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13.xml" ContentType="application/vnd.openxmlformats-officedocument.drawing+xml"/>
  <Override PartName="/xl/ctrlProps/ctrlProp95.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96.xml" ContentType="application/vnd.ms-excel.controlproperties+xml"/>
  <Override PartName="/xl/drawings/drawing15.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omments12.xml" ContentType="application/vnd.openxmlformats-officedocument.spreadsheetml.comments+xml"/>
  <Override PartName="/xl/drawings/drawing16.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17.xml" ContentType="application/vnd.openxmlformats-officedocument.drawing+xml"/>
  <Override PartName="/xl/ctrlProps/ctrlProp109.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omments17.xml" ContentType="application/vnd.openxmlformats-officedocument.spreadsheetml.comments+xml"/>
  <Override PartName="/xl/comments18.xml" ContentType="application/vnd.openxmlformats-officedocument.spreadsheetml.comments+xml"/>
  <Override PartName="/xl/drawings/drawing22.xml" ContentType="application/vnd.openxmlformats-officedocument.drawing+xml"/>
  <Override PartName="/xl/ctrlProps/ctrlProp122.xml" ContentType="application/vnd.ms-excel.controlproperties+xml"/>
  <Override PartName="/xl/drawings/drawing23.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26.xml" ContentType="application/vnd.openxmlformats-officedocument.drawing+xml"/>
  <Override PartName="/xl/ctrlProps/ctrlProp139.xml" ContentType="application/vnd.ms-excel.controlproperties+xml"/>
  <Override PartName="/xl/charts/chart4.xml" ContentType="application/vnd.openxmlformats-officedocument.drawingml.chart+xml"/>
  <Override PartName="/xl/drawings/drawing27.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drawings/drawing28.xml" ContentType="application/vnd.openxmlformats-officedocument.drawing+xml"/>
  <Override PartName="/xl/ctrlProps/ctrlProp153.xml" ContentType="application/vnd.ms-excel.controlproperties+xml"/>
  <Override PartName="/xl/comments24.xml" ContentType="application/vnd.openxmlformats-officedocument.spreadsheetml.comments+xml"/>
  <Override PartName="/xl/drawings/drawing29.xml" ContentType="application/vnd.openxmlformats-officedocument.drawing+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324" codeName="{899C9086-67A9-5B14-2C2D-5A8001700F7D}"/>
  <workbookPr updateLinks="always" codeName="ThisWorkbook" hidePivotFieldList="1" defaultThemeVersion="124226"/>
  <mc:AlternateContent xmlns:mc="http://schemas.openxmlformats.org/markup-compatibility/2006">
    <mc:Choice Requires="x15">
      <x15ac:absPath xmlns:x15ac="http://schemas.microsoft.com/office/spreadsheetml/2010/11/ac" url="C:\Users\KEFir\Desktop\"/>
    </mc:Choice>
  </mc:AlternateContent>
  <xr:revisionPtr revIDLastSave="0" documentId="8_{F97969FB-2B00-487F-B6D5-415AF3E4D58D}" xr6:coauthVersionLast="47" xr6:coauthVersionMax="47" xr10:uidLastSave="{00000000-0000-0000-0000-000000000000}"/>
  <bookViews>
    <workbookView xWindow="-110" yWindow="-110" windowWidth="19420" windowHeight="10300" tabRatio="813" xr2:uid="{00000000-000D-0000-FFFF-FFFF00000000}"/>
  </bookViews>
  <sheets>
    <sheet name="Introduction" sheetId="32" r:id="rId1"/>
    <sheet name="Main Menu" sheetId="40" r:id="rId2"/>
    <sheet name="Workbook Notes" sheetId="48" r:id="rId3"/>
    <sheet name="LOPA Menu" sheetId="41" r:id="rId4"/>
    <sheet name="Chemical Properties" sheetId="3" state="hidden" r:id="rId5"/>
    <sheet name="Equipment Table" sheetId="9" r:id="rId6"/>
    <sheet name="Chemical Data" sheetId="11" r:id="rId7"/>
    <sheet name="Equipment Input" sheetId="5" r:id="rId8"/>
    <sheet name="New Chemical" sheetId="36" state="hidden" r:id="rId9"/>
    <sheet name="Process Conditions" sheetId="43" r:id="rId10"/>
    <sheet name="Plant Layout" sheetId="44" r:id="rId11"/>
    <sheet name="Reaction Input" sheetId="10" r:id="rId12"/>
    <sheet name="Input Guidance" sheetId="22" r:id="rId13"/>
    <sheet name="Input Error Check" sheetId="25" r:id="rId14"/>
    <sheet name="FEI &amp; CEI" sheetId="23" r:id="rId15"/>
    <sheet name="Scenario List" sheetId="17" r:id="rId16"/>
    <sheet name="Hazards &amp; Consequences" sheetId="42" r:id="rId17"/>
    <sheet name="Pool Fire Frequency" sheetId="31" r:id="rId18"/>
    <sheet name="Relief Effluent" sheetId="30" r:id="rId19"/>
    <sheet name="Scenario Identification" sheetId="7" state="hidden" r:id="rId20"/>
    <sheet name="Scenario Descriptors" sheetId="35" state="hidden" r:id="rId21"/>
    <sheet name="User Scenario" sheetId="19" state="hidden" r:id="rId22"/>
    <sheet name="Scenario Analysis" sheetId="4" state="hidden" r:id="rId23"/>
    <sheet name="Scenario Selection Guidance" sheetId="47" state="hidden" r:id="rId24"/>
    <sheet name="Scenario Results" sheetId="34" r:id="rId25"/>
    <sheet name="MART_MALR" sheetId="33" r:id="rId26"/>
    <sheet name="IPL List" sheetId="49" r:id="rId27"/>
    <sheet name="Risk Summary" sheetId="21" r:id="rId28"/>
    <sheet name="LOPA Worksheet" sheetId="15" state="hidden" r:id="rId29"/>
    <sheet name="Release Calculations" sheetId="1" state="hidden" r:id="rId30"/>
    <sheet name="Special Calcs" sheetId="38" state="hidden" r:id="rId31"/>
    <sheet name="Revision History" sheetId="20" state="hidden" r:id="rId32"/>
    <sheet name="Study Parameters" sheetId="29" state="hidden" r:id="rId33"/>
    <sheet name="IPL Credits" sheetId="16" state="hidden" r:id="rId34"/>
    <sheet name="Unit Conversion" sheetId="12" state="hidden" r:id="rId35"/>
  </sheets>
  <functionGroups builtInGroupCount="19"/>
  <definedNames>
    <definedName name="_xlnm._FilterDatabase" localSheetId="4" hidden="1">'Chemical Properties'!$A$1:$BP$251</definedName>
    <definedName name="_xlnm._FilterDatabase" localSheetId="5" hidden="1">'Equipment Table'!$A$3:$LT$3</definedName>
    <definedName name="_xlnm._FilterDatabase" localSheetId="13" hidden="1">'Input Error Check'!$B$3:$C$166</definedName>
    <definedName name="_xlnm._FilterDatabase" localSheetId="26" hidden="1">'IPL List'!$A$2:$S$2</definedName>
    <definedName name="_xlnm._FilterDatabase" localSheetId="22" hidden="1">'Scenario Analysis'!$GU$6:$GU$28</definedName>
    <definedName name="_xlnm._FilterDatabase" localSheetId="19" hidden="1">'Scenario Identification'!$AK$3:$BH$62</definedName>
    <definedName name="_xlnm._FilterDatabase" localSheetId="15" hidden="1">'Scenario List'!$A$10:$S$10</definedName>
    <definedName name="_xlnm._FilterDatabase" localSheetId="24" hidden="1">'Scenario Results'!$A$2:$HN$2</definedName>
    <definedName name="_xlnm._FilterDatabase" localSheetId="34" hidden="1">'Unit Conversion'!$U$62:$V$62</definedName>
    <definedName name="_xleta.LARGE" hidden="1" xlm="1">#NAME?</definedName>
    <definedName name="_xleta.SMALL" hidden="1" xlm="1">#NAME?</definedName>
    <definedName name="Access">'Plant Layout'!$C$18</definedName>
    <definedName name="Access_List">'Unit Conversion'!$M$8:$M$10</definedName>
    <definedName name="Act_1">'Chemical Data'!$V$2</definedName>
    <definedName name="Act_2">'Chemical Data'!$V$3</definedName>
    <definedName name="Act_3">'Chemical Data'!$V$4</definedName>
    <definedName name="Act_4">'Chemical Data'!$V$5</definedName>
    <definedName name="Act_5">'Chemical Data'!$V$6</definedName>
    <definedName name="Act_Energy">'Reaction Input'!$D$14</definedName>
    <definedName name="Act_Energy_C">'Chemical Properties'!$BI$1</definedName>
    <definedName name="Act_Energy_U">'Reaction Input'!$E$14</definedName>
    <definedName name="Act_rel">'Chemical Data'!$Z$3</definedName>
    <definedName name="ActEng_R1">'Reaction Input'!$D$50</definedName>
    <definedName name="ActEng_R2">'Reaction Input'!$E$50</definedName>
    <definedName name="ActEng_T1">'Reaction Input'!$D$49</definedName>
    <definedName name="ActEng_T2">'Reaction Input'!$E$49</definedName>
    <definedName name="ActHT_1">'Chemical Data'!$AH$63</definedName>
    <definedName name="ActHT_2">'Chemical Data'!$AH$64</definedName>
    <definedName name="ActHT_3">'Chemical Data'!$AH$65</definedName>
    <definedName name="ActHT_4">'Chemical Data'!$AH$66</definedName>
    <definedName name="ActHT_5">'Chemical Data'!$AH$67</definedName>
    <definedName name="ActHT_Rel">'Chemical Data'!$AH$63</definedName>
    <definedName name="Activation_Energy_Est">'Reaction Input'!$D$49:$E$50</definedName>
    <definedName name="Adjacent_Dike">'Unit Conversion'!$C$6</definedName>
    <definedName name="Adjacent_Dike_Area">'Plant Layout'!$C$26</definedName>
    <definedName name="Adjacent_Dike_Units">'Plant Layout'!$D$26</definedName>
    <definedName name="Adjusted_Flanges">'Special Calcs'!$D$12</definedName>
    <definedName name="AdRx_TempRise">'Special Calcs'!$C$148</definedName>
    <definedName name="Aerosol_Diameter">'Special Calcs'!$C$42</definedName>
    <definedName name="Aerosol_Diameter_Backflow">'Special Calcs'!$C$56</definedName>
    <definedName name="Aerosol_Diameter_Overfill">'Special Calcs'!$C$54</definedName>
    <definedName name="Aerosol_Drop_Limit">'Study Parameters'!$J$11</definedName>
    <definedName name="Aerosol_Internal">'Process Conditions'!$C$20</definedName>
    <definedName name="Aerosol_Potential">'Special Calcs'!$C$152</definedName>
    <definedName name="AIDefault">'Study Parameters'!$J$9</definedName>
    <definedName name="AIgnite_C">'Chemical Properties'!$AM$1</definedName>
    <definedName name="AIgnite_Feed">'Chemical Data'!$H$29</definedName>
    <definedName name="AIgnite_HT">'Chemical Data'!$O$82</definedName>
    <definedName name="AIgnite_N">'New Chemical'!$E$23</definedName>
    <definedName name="AIgnite_U">'Chemical Data'!$I$29</definedName>
    <definedName name="Air_Dens">'Special Calcs'!$G$115</definedName>
    <definedName name="Alarm_Credit">OFFSET(Out_IPL_2,1,0,Last_Scenario_Row-2,1)</definedName>
    <definedName name="Alarm_Status">OFFSET(Out_IPL2_Status,1,0,Last_Scenario_Row-2,1)</definedName>
    <definedName name="Alpha_1">'Chemical Data'!$R$2</definedName>
    <definedName name="Alpha_2">'Chemical Data'!$R$3</definedName>
    <definedName name="Alpha_3">'Chemical Data'!$R$4</definedName>
    <definedName name="Alpha_4">'Chemical Data'!$R$5</definedName>
    <definedName name="Alpha_5">'Chemical Data'!$R$6</definedName>
    <definedName name="AlphaHT_1">'Chemical Data'!$AG$63</definedName>
    <definedName name="AlphaHT_2">'Chemical Data'!$AG$64</definedName>
    <definedName name="AlphaHT_3">'Chemical Data'!$AG$65</definedName>
    <definedName name="AlphaHT_4">'Chemical Data'!$AG$66</definedName>
    <definedName name="AlphaHT_5">'Chemical Data'!$AG$67</definedName>
    <definedName name="Ambient_T_Default">'Study Parameters'!$C$6</definedName>
    <definedName name="Ambient_Temp">'Unit Conversion'!$C$61</definedName>
    <definedName name="Ambient_Temp_Input">'Process Conditions'!$C$10</definedName>
    <definedName name="Ambient_Temp_Units">'Process Conditions'!$D$10</definedName>
    <definedName name="Ambient_Tmin">'Study Parameters'!$C$7</definedName>
    <definedName name="Apool_Backflow">'Release Calculations'!$AG$55</definedName>
    <definedName name="Apool_Drain">'Release Calculations'!$J$55</definedName>
    <definedName name="Apool_ExtremeLarge">'Release Calculations'!$X$55</definedName>
    <definedName name="Apool_FullBore">'Release Calculations'!$N$55</definedName>
    <definedName name="Apool_Medium">'Release Calculations'!$T$55</definedName>
    <definedName name="Apool_Overfill">'Release Calculations'!$AE$55</definedName>
    <definedName name="Apool_Relief">'Release Calculations'!$AI$55</definedName>
    <definedName name="APool_RupFire">'Release Calculations'!$CC$55</definedName>
    <definedName name="APool_RupPeak">'Release Calculations'!$CA$55</definedName>
    <definedName name="APool_RupSat">'Release Calculations'!$BY$55</definedName>
    <definedName name="APool_Rupture">'Release Calculations'!$BU$55</definedName>
    <definedName name="Apool_Seal">'Release Calculations'!$D$55</definedName>
    <definedName name="Apool_Small">'Release Calculations'!$F$55</definedName>
    <definedName name="Apool_User">'Release Calculations'!$AK$55</definedName>
    <definedName name="Apool_UserHole">'Release Calculations'!$L$55</definedName>
    <definedName name="Apool_VeryLarge">'Release Calculations'!$V$55</definedName>
    <definedName name="Apool_VerySmall">'Release Calculations'!$P$55</definedName>
    <definedName name="Approach_dT">'Study Parameters'!$C$28</definedName>
    <definedName name="AQ_Fire">'Release Calculations'!$AV$73</definedName>
    <definedName name="AQ_Heat_Transfer">'Release Calculations'!$AX$73</definedName>
    <definedName name="AQ_Mechanical">'Release Calculations'!$AZ$73</definedName>
    <definedName name="AQ_Overfill">'Release Calculations'!$AE$86</definedName>
    <definedName name="AQ_Reactive">'Release Calculations'!$BB$73</definedName>
    <definedName name="AQ_Reactive_Catalyst">'Release Calculations'!$BH$73</definedName>
    <definedName name="AQ_Reactive_MisLoading">'Release Calculations'!$BL$73</definedName>
    <definedName name="AQ_Reactive_Pooling">'Release Calculations'!$BJ$73</definedName>
    <definedName name="AQ_Reactive_withFire">'Release Calculations'!$BF$73</definedName>
    <definedName name="AQ_Relief">'Release Calculations'!$AI$86</definedName>
    <definedName name="AQ_Small">'Release Calculations'!$F$55</definedName>
    <definedName name="Aquatic_Tox_Feed">'Chemical Data'!$H$33</definedName>
    <definedName name="Aquatic_Tox_HT">'Chemical Data'!$O$84</definedName>
    <definedName name="Aquatic_Tox_N">'New Chemical'!$E$39</definedName>
    <definedName name="Aquatic_Tox_U">'Chemical Data'!$I$33</definedName>
    <definedName name="Area_Fraction">'Pool Fire Frequency'!$Z$11</definedName>
    <definedName name="Area_List">'Unit Conversion'!$O$21:$O$22</definedName>
    <definedName name="AS_1">'Scenario Identification'!$EI$6</definedName>
    <definedName name="AS_10">'Scenario Identification'!$EI$15</definedName>
    <definedName name="AS_11">'Scenario Identification'!$EI$16</definedName>
    <definedName name="AS_12">'Scenario Identification'!$EI$17</definedName>
    <definedName name="AS_13">'Scenario Identification'!$EI$18</definedName>
    <definedName name="AS_14">'Scenario Identification'!$EI$19</definedName>
    <definedName name="AS_15">'Scenario Identification'!$EI$20</definedName>
    <definedName name="AS_16">'Scenario Identification'!$EI$21</definedName>
    <definedName name="AS_17">'Scenario Identification'!$EI$22</definedName>
    <definedName name="AS_18">'Scenario Identification'!$EI$23</definedName>
    <definedName name="AS_19">'Scenario Identification'!$EI$24</definedName>
    <definedName name="AS_2">'Scenario Identification'!$EI$7</definedName>
    <definedName name="AS_20">'Scenario Identification'!$EI$25</definedName>
    <definedName name="AS_21">'Scenario Identification'!$EI$26</definedName>
    <definedName name="AS_22">'Scenario Identification'!$EI$27</definedName>
    <definedName name="AS_23">'Scenario Identification'!$EI$28</definedName>
    <definedName name="AS_24">'Scenario Identification'!$EI$30</definedName>
    <definedName name="AS_25">'Scenario Identification'!$EI$31</definedName>
    <definedName name="AS_26">'Scenario Identification'!$EI$32</definedName>
    <definedName name="AS_27">'Scenario Identification'!$EI$33</definedName>
    <definedName name="AS_28">'Scenario Identification'!$EI$34</definedName>
    <definedName name="AS_29">'Scenario Identification'!$EI$35</definedName>
    <definedName name="AS_3">'Scenario Identification'!$EI$8</definedName>
    <definedName name="AS_30">'Scenario Identification'!$EI$36</definedName>
    <definedName name="AS_31">'Scenario Identification'!$EI$37</definedName>
    <definedName name="AS_32">'Scenario Identification'!$EI$38</definedName>
    <definedName name="AS_33">'Scenario Identification'!$EI$39</definedName>
    <definedName name="AS_34">'Scenario Identification'!$EI$40</definedName>
    <definedName name="AS_35">'Scenario Identification'!$EI$41</definedName>
    <definedName name="AS_36">'Scenario Identification'!$EI$42</definedName>
    <definedName name="AS_37">'Scenario Identification'!$EI$43</definedName>
    <definedName name="AS_38">'Scenario Identification'!$EI$44</definedName>
    <definedName name="AS_39">'Scenario Identification'!$EI$45</definedName>
    <definedName name="AS_4">'Scenario Identification'!$EI$9</definedName>
    <definedName name="AS_40">'Scenario Identification'!$EI$46</definedName>
    <definedName name="AS_41">'Scenario Identification'!$EI$47</definedName>
    <definedName name="AS_42">'Scenario Identification'!$EI$48</definedName>
    <definedName name="AS_43">'Scenario Identification'!$EI$49</definedName>
    <definedName name="AS_44">'Scenario Identification'!$EI$50</definedName>
    <definedName name="AS_45">'Scenario Identification'!$EI$51</definedName>
    <definedName name="AS_46">'Scenario Identification'!$EI$52</definedName>
    <definedName name="AS_47">'Scenario Identification'!$EI$53</definedName>
    <definedName name="AS_48">'Scenario Identification'!$EI$54</definedName>
    <definedName name="AS_49">'Scenario Identification'!$EI$55</definedName>
    <definedName name="AS_5">'Scenario Identification'!$EI$10</definedName>
    <definedName name="AS_50">'Scenario Identification'!$EI$56</definedName>
    <definedName name="AS_51">'Scenario Identification'!$EI$57</definedName>
    <definedName name="AS_52">'Scenario Identification'!$EI$58</definedName>
    <definedName name="AS_53">'Scenario Identification'!$EI$59</definedName>
    <definedName name="AS_54">'Scenario Identification'!$EI$60</definedName>
    <definedName name="AS_55">'Scenario Identification'!$EI$61</definedName>
    <definedName name="AS_56">'Scenario Identification'!$EI$62</definedName>
    <definedName name="AS_57">'Scenario Identification'!$EI$63</definedName>
    <definedName name="AS_58">'Scenario Identification'!$EI$29</definedName>
    <definedName name="AS_6">'Scenario Identification'!$EI$11</definedName>
    <definedName name="AS_7">'Scenario Identification'!$EI$12</definedName>
    <definedName name="AS_8">'Scenario Identification'!$EI$13</definedName>
    <definedName name="AS_9">'Scenario Identification'!$EI$14</definedName>
    <definedName name="Asp_Limit">'Study Parameters'!$C$19</definedName>
    <definedName name="Asp_Screen">'Study Parameters'!$C$18</definedName>
    <definedName name="Atm_Stability">'Study Parameters'!$C$29</definedName>
    <definedName name="Atm_Stability_Night">'Study Parameters'!$C$30</definedName>
    <definedName name="ATRS_C">'Chemical Properties'!$AT$1</definedName>
    <definedName name="Attended">'Plant Layout'!$C$13</definedName>
    <definedName name="Attended_Op">'Special Calcs'!$G$164</definedName>
    <definedName name="Auto_Valve_List">'Unit Conversion'!$M$56:$M$58</definedName>
    <definedName name="Automated_EBV">'Plant Layout'!$C$27</definedName>
    <definedName name="AvgConc_Correction">'Study Parameters'!$C$17</definedName>
    <definedName name="AvgTime_Correction">'Special Calcs'!$G$214</definedName>
    <definedName name="Backflow">'Unit Conversion'!$C$70</definedName>
    <definedName name="Backflow_Input">'Process Conditions'!$C$25</definedName>
    <definedName name="Backflow_Time">'Special Calcs'!$C$131</definedName>
    <definedName name="Backflow_Time_Units">'Special Calcs'!$D$131</definedName>
    <definedName name="Backflow_Units">'Process Conditions'!$D$25</definedName>
    <definedName name="Backflow_Velocity">'Special Calcs'!$C$55</definedName>
    <definedName name="Blast_Direct">'Study Parameters'!$J$20</definedName>
    <definedName name="Blast_Fragments">'Special Calcs'!$C$179</definedName>
    <definedName name="Bldg_Explosion_0.3psi">'Special Calcs'!$G$77</definedName>
    <definedName name="Bldg_Explosion_0.3psi_HT">'Special Calcs'!$I$77</definedName>
    <definedName name="Bldg_Explosion_1psi">'Special Calcs'!$G$78</definedName>
    <definedName name="Bldg_Explosion_1psi_HT">'Special Calcs'!$I$78</definedName>
    <definedName name="Bldg_Explosion_Center">'Special Calcs'!$H$82</definedName>
    <definedName name="Bldg_Explosion_Center_HT">'Special Calcs'!$I$82</definedName>
    <definedName name="Bldg_Explosion_Energy">'Special Calcs'!$G$73</definedName>
    <definedName name="Bldg_Explosion_Press">'Special Calcs'!$H$80</definedName>
    <definedName name="Bldg_Explosion_Press_HT">'Special Calcs'!$I$80</definedName>
    <definedName name="Bldg_Type">'Plant Layout'!$H$14</definedName>
    <definedName name="Bldg_Type_Coefficient">'Special Calcs'!$H$49</definedName>
    <definedName name="Bldg_Type_Correction">'Special Calcs'!$H$46</definedName>
    <definedName name="Bldg_Type_Exponent">'Special Calcs'!$H$52</definedName>
    <definedName name="Bldg_Type_List">'Plant Layout'!$H$14</definedName>
    <definedName name="Bldg_Vulnerable">'Special Calcs'!$C$189</definedName>
    <definedName name="Bldg_Vulnerable2">'Special Calcs'!$C$190</definedName>
    <definedName name="Bldg_Vulnerable3">'Special Calcs'!$C$191</definedName>
    <definedName name="Bldg2_Explosion_Center">'Special Calcs'!$H$86</definedName>
    <definedName name="Bldg2_Explosion_Center_HT">'Special Calcs'!$I$86</definedName>
    <definedName name="Bldg2_Explosion_Press">'Special Calcs'!$H$84</definedName>
    <definedName name="Bldg2_Explosion_Press_HT">'Special Calcs'!$I$84</definedName>
    <definedName name="Bldg2_Type">'Plant Layout'!$H$22</definedName>
    <definedName name="Bldg2_Type_Coefficient">'Special Calcs'!$H$50</definedName>
    <definedName name="Bldg2_Type_Correction">'Special Calcs'!$H$47</definedName>
    <definedName name="Bldg2_Type_Exponent">'Special Calcs'!$H$53</definedName>
    <definedName name="BldgExp_Strength">'Special Calcs'!$H$58</definedName>
    <definedName name="BldgExp_Strength_HT">'Special Calcs'!$I$58</definedName>
    <definedName name="BldgType_Desc">'Unit Conversion'!$Q$57</definedName>
    <definedName name="BldgType_Desc2">'Unit Conversion'!$Q$58</definedName>
    <definedName name="BldgType_Desc3">'Unit Conversion'!$Q$59</definedName>
    <definedName name="BldgType_Exp">'Special Calcs'!$C$186</definedName>
    <definedName name="BldgType_Exp2">'Special Calcs'!$C$187</definedName>
    <definedName name="BldgType_Exp3">'Special Calcs'!$C$188</definedName>
    <definedName name="BldgType_Limit">'Special Calcs'!$C$183</definedName>
    <definedName name="BldgType_Limit2">'Special Calcs'!$C$184</definedName>
    <definedName name="BldgType_Limit3">'Special Calcs'!$C$185</definedName>
    <definedName name="BldgType_List">'Unit Conversion'!$Q$57:$Q$59</definedName>
    <definedName name="BP_C">'Chemical Properties'!$AC$1</definedName>
    <definedName name="BPCS_Credit">OFFSET(Out_IPL_1,1,0,Last_Scenario_Row-2,1)</definedName>
    <definedName name="BPCS_Status">OFFSET(Out_IPL1_Status,1,0,Last_Scenario_Row-2,1)</definedName>
    <definedName name="Brittle">'Special Calcs'!$C$27</definedName>
    <definedName name="BST_gt1_Coeff">'Special Calcs'!$C$194</definedName>
    <definedName name="BST_gt1_Exp">'Special Calcs'!$C$195</definedName>
    <definedName name="BST_gt1_Limit">'Special Calcs'!$C$196</definedName>
    <definedName name="BST_mach0.35_Coeff">'Special Calcs'!$C$203</definedName>
    <definedName name="BST_mach0.35_Exp">'Special Calcs'!$C$204</definedName>
    <definedName name="BST_mach0.35_Limit">'Special Calcs'!$C$205</definedName>
    <definedName name="BST_mach0.5_Coeff">'Special Calcs'!$C$200</definedName>
    <definedName name="BST_mach0.5_Exp">'Special Calcs'!$C$201</definedName>
    <definedName name="BST_mach0.5_Limit">'Special Calcs'!$C$202</definedName>
    <definedName name="BST_mach1_Coeff">'Special Calcs'!$C$197</definedName>
    <definedName name="BST_mach1_Exp">'Special Calcs'!$C$198</definedName>
    <definedName name="BST_mach1_Limit">'Special Calcs'!$C$199</definedName>
    <definedName name="Bulk_Density">'Chemical Data'!$I$47</definedName>
    <definedName name="Burst_P">'Special Calcs'!$G$25</definedName>
    <definedName name="Bus_Loss">'Equipment Input'!$H$27</definedName>
    <definedName name="Cas_No_C">'Chemical Properties'!$B$1</definedName>
    <definedName name="Cas_No_N">'New Chemical'!$E$5</definedName>
    <definedName name="Case_Eval_Results">OFFSET(Out_Case_Evaluation,1,0,Last_Scenario_Row-2,1)</definedName>
    <definedName name="Catalyzed">'Reaction Input'!$D$24</definedName>
    <definedName name="Cd">'Study Parameters'!$C$34</definedName>
    <definedName name="Cd_Relief">'Special Calcs'!$G$30</definedName>
    <definedName name="Cd_Rounded">'Study Parameters'!$C$35</definedName>
    <definedName name="CEI">'FEI &amp; CEI'!$Y$61</definedName>
    <definedName name="CEI_Desc">'FEI &amp; CEI'!$AB$61</definedName>
    <definedName name="CEI_HD2">'FEI &amp; CEI'!$Z$61</definedName>
    <definedName name="CEI_HD3">'FEI &amp; CEI'!$AA$61</definedName>
    <definedName name="CEI_Pool_Fire">'FEI &amp; CEI'!$M$55</definedName>
    <definedName name="CEI_Review">'FEI &amp; CEI'!$H$8</definedName>
    <definedName name="CEI_Review_Date">'FEI &amp; CEI'!$L$8</definedName>
    <definedName name="CEI_Size">'FEI &amp; CEI'!$M$31</definedName>
    <definedName name="Chem_Comments">'Chemical Data'!$C$10</definedName>
    <definedName name="Chem_ExposureHazard">'Special Calcs'!$C$34</definedName>
    <definedName name="Chem_ExposureHazard_HT">'Special Calcs'!$C$37</definedName>
    <definedName name="Chem_Name">OFFSET('Chemical Properties'!$A$1,1,0,COUNTA('Chemical Properties'!$A$1:$A$19620)-1,1)</definedName>
    <definedName name="Chem_Reference">'New Chemical'!$D$6</definedName>
    <definedName name="Chem_Reference_C">'Chemical Properties'!$E$1</definedName>
    <definedName name="Chem_Table">'Chemical Properties'!$A$1:$BP$251</definedName>
    <definedName name="ChemExp_Flow_Limit">'Study Parameters'!$C$51</definedName>
    <definedName name="ChemExp_Mass_Limit">'Study Parameters'!$C$52</definedName>
    <definedName name="Chemical">'Chemical Data'!$C$9</definedName>
    <definedName name="Chemical_1">'Chemical Data'!$B$16</definedName>
    <definedName name="Chemical_1_C">'Chemical Properties'!$F$1</definedName>
    <definedName name="Chemical_2">'Chemical Data'!$B$17</definedName>
    <definedName name="Chemical_2_C">'Chemical Properties'!$G$1</definedName>
    <definedName name="Chemical_3">'Chemical Data'!$B$18</definedName>
    <definedName name="Chemical_3_C">'Chemical Properties'!$H$1</definedName>
    <definedName name="Chemical_4">'Chemical Data'!$B$19</definedName>
    <definedName name="Chemical_4_C">'Chemical Properties'!$I$1</definedName>
    <definedName name="Chemical_5">'Chemical Data'!$B$20</definedName>
    <definedName name="Chemical_5_C">'Chemical Properties'!$J$1</definedName>
    <definedName name="Chemical_C">'Chemical Properties'!$A$1</definedName>
    <definedName name="ChemName_1">'Chemical Data'!$M$18</definedName>
    <definedName name="ChemName_2">'Chemical Data'!$M$19</definedName>
    <definedName name="ChemName_3">'Chemical Data'!$M$20</definedName>
    <definedName name="ChemName_4">'Chemical Data'!$M$21</definedName>
    <definedName name="ChemName_5">'Chemical Data'!$M$22</definedName>
    <definedName name="ChemTable_1">'Chemical Data'!$N$10</definedName>
    <definedName name="ChemTable_2">'Chemical Data'!$N$11</definedName>
    <definedName name="ChemTable_3">'Chemical Data'!$N$12</definedName>
    <definedName name="ChemTable_4">'Chemical Data'!$N$13</definedName>
    <definedName name="ChemTable_5">'Chemical Data'!$N$14</definedName>
    <definedName name="Class">{0,1,2,3,4}</definedName>
    <definedName name="ConcFract_Indoor">'Study Parameters'!$C$96</definedName>
    <definedName name="Conductive_C">'Chemical Properties'!$AV$1</definedName>
    <definedName name="Conductive_Feed">'Chemical Data'!$H$39</definedName>
    <definedName name="Conductive_HT">'Chemical Data'!$O$85</definedName>
    <definedName name="Conductive_N">'New Chemical'!$E$26</definedName>
    <definedName name="Conductive_U">'Chemical Data'!$I$39</definedName>
    <definedName name="Conductivity_List">'Unit Conversion'!$O$65:$O$67</definedName>
    <definedName name="Congestion">'Plant Layout'!$C$19</definedName>
    <definedName name="Congestion_List">'Unit Conversion'!$S$15:$S$17</definedName>
    <definedName name="Connection_List">'Unit Conversion'!$M$45:$M$46</definedName>
    <definedName name="Connection_Type">'Equipment Input'!$H$24</definedName>
    <definedName name="Conseq_Criteria">'Study Parameters'!$I$41</definedName>
    <definedName name="Conseq_ExtremeHigh">'Study Parameters'!$K$53</definedName>
    <definedName name="Conseq_ExtremeHigh_Bus">'Study Parameters'!$K$83</definedName>
    <definedName name="Conseq_ExtremeHigh_Environ">'Study Parameters'!$K$93</definedName>
    <definedName name="Conseq_GT_ExtremeHigh">'Study Parameters'!$K$54</definedName>
    <definedName name="Conseq_High">'Study Parameters'!$K$51</definedName>
    <definedName name="Conseq_High_Bus">'Study Parameters'!$K$81</definedName>
    <definedName name="Conseq_High_Environ">'Study Parameters'!$K$91</definedName>
    <definedName name="Conseq_Low">'Study Parameters'!$K$49</definedName>
    <definedName name="Conseq_Low_Bus">'Study Parameters'!$K$79</definedName>
    <definedName name="Conseq_Low_Environ">'Study Parameters'!$K$89</definedName>
    <definedName name="Conseq_Low_Offsite">'Study Parameters'!$K$47</definedName>
    <definedName name="Conseq_Moderate">'Study Parameters'!$K$50</definedName>
    <definedName name="Conseq_Moderate_Bus">'Study Parameters'!$K$80</definedName>
    <definedName name="Conseq_Moderate_Environ">'Study Parameters'!$K$90</definedName>
    <definedName name="Conseq_VeryHigh">'Study Parameters'!$K$52</definedName>
    <definedName name="Conseq_VeryHigh_Bus">'Study Parameters'!$K$82</definedName>
    <definedName name="Conseq_VeryHigh_Environ">'Study Parameters'!$K$92</definedName>
    <definedName name="Conseq_VeryLow">'Study Parameters'!$K$48</definedName>
    <definedName name="Conseq_VeryLow_Bus">'Study Parameters'!$K$78</definedName>
    <definedName name="Conseq_VeryLow_Environ">'Study Parameters'!$K$88</definedName>
    <definedName name="Conseq_VeryLow_Offsite">'Study Parameters'!$K$46</definedName>
    <definedName name="Consequence">'Scenario Analysis'!$GU$6:$GU$28</definedName>
    <definedName name="Consequence_List1">'Scenario Analysis'!$GU$6:$GU$22</definedName>
    <definedName name="Consequence_List2">'Scenario Analysis'!$GU$23:$GU$28</definedName>
    <definedName name="ContainedMass">'Special Calcs'!$G$8</definedName>
    <definedName name="ContainedMass_Output">'Unit Conversion'!$F$79</definedName>
    <definedName name="ContainedMass_Units">'Process Conditions'!$I$14</definedName>
    <definedName name="Coolant_Area">'Unit Conversion'!$C$55</definedName>
    <definedName name="Coolant_Area_Input">'Equipment Input'!$D$48</definedName>
    <definedName name="Coolant_Area_Units">'Equipment Input'!$E$48</definedName>
    <definedName name="Coolant_Temp">'Unit Conversion'!$C$57</definedName>
    <definedName name="Coolant_Temp_Input">'Equipment Input'!$D$50</definedName>
    <definedName name="Coolant_Temp_Units">'Equipment Input'!$E$50</definedName>
    <definedName name="Coolant_U">'Unit Conversion'!$C$56</definedName>
    <definedName name="Coolant_U_Input">'Equipment Input'!$D$49</definedName>
    <definedName name="Coolant_U_Units">'Equipment Input'!$E$49</definedName>
    <definedName name="Corrosion_Insulation">'Special Calcs'!$D$10</definedName>
    <definedName name="Corrosion_List">'Unit Conversion'!$U$14:$U$17</definedName>
    <definedName name="Corrosive">'Equipment Input'!$D$20</definedName>
    <definedName name="Cost_1">'Study Parameters'!$J$78</definedName>
    <definedName name="Cost_2">'Study Parameters'!$J$79</definedName>
    <definedName name="Cost_3">'Study Parameters'!$J$80</definedName>
    <definedName name="Cost_4">'Study Parameters'!$J$81</definedName>
    <definedName name="Cost_5">'Study Parameters'!$J$82</definedName>
    <definedName name="Cost_6">'Study Parameters'!$J$83</definedName>
    <definedName name="Cost_List">'Study Parameters'!$J$78:$J$83</definedName>
    <definedName name="Cp_Data_Units">'New Chemical'!$H$16</definedName>
    <definedName name="CP_Detonable">'Reaction Input'!$D$33</definedName>
    <definedName name="Credible_Results">OFFSET(Out_Credible,1,0,Last_Scenario_Row-2,1)</definedName>
    <definedName name="Credit_Vent_Shutoff">'IPL Credits'!$B$35</definedName>
    <definedName name="CT_Void_Fraction">'Release Calculations'!$AV$14</definedName>
    <definedName name="Current_Version">'Revision History'!$F$3</definedName>
    <definedName name="D">'Unit Conversion'!$C$42</definedName>
    <definedName name="D_Drain">'Release Calculations'!$J$7</definedName>
    <definedName name="D_ExtremeLarge">'Release Calculations'!$X$7</definedName>
    <definedName name="D_Input">'Equipment Input'!$D$15</definedName>
    <definedName name="D_Medium">'Release Calculations'!$T$7</definedName>
    <definedName name="D_Seal">'Release Calculations'!$D$7</definedName>
    <definedName name="D_Small">'Release Calculations'!$F$7</definedName>
    <definedName name="D_Units">'Equipment Input'!$E$15</definedName>
    <definedName name="D_VeryLarge">'Release Calculations'!$V$7</definedName>
    <definedName name="D_VerySmall">'Release Calculations'!$P$7</definedName>
    <definedName name="dAlpha_1">'Chemical Data'!$AL$18</definedName>
    <definedName name="dAlpha_2">'Chemical Data'!$AL$19</definedName>
    <definedName name="dAlpha_3">'Chemical Data'!$AL$20</definedName>
    <definedName name="dAlpha_4">'Chemical Data'!$AL$21</definedName>
    <definedName name="dAlpha_5">'Chemical Data'!$AL$22</definedName>
    <definedName name="Date">'Main Menu'!$C$18</definedName>
    <definedName name="DC_Cmax">'Special Calcs'!$G$209</definedName>
    <definedName name="DC_D_Area_Industrial">'Special Calcs'!$G$184</definedName>
    <definedName name="DC_D_Area_Rural">'Special Calcs'!$G$183</definedName>
    <definedName name="DC_D_Area_Urban">'Special Calcs'!$G$185</definedName>
    <definedName name="DC_Duration">'Special Calcs'!$G$207</definedName>
    <definedName name="DC_Duration_Initial">'Special Calcs'!$G$208</definedName>
    <definedName name="DC_F_Area_Industrial">'Special Calcs'!$G$199</definedName>
    <definedName name="DC_F_Area_Rural">'Special Calcs'!$G$198</definedName>
    <definedName name="DC_F_Area_Urban">'Special Calcs'!$G$200</definedName>
    <definedName name="DC2_D_Area_Industrial">'Special Calcs'!$G$187</definedName>
    <definedName name="DC2_D_Area_Rural">'Special Calcs'!$G$186</definedName>
    <definedName name="DC2_D_Area_Urban">'Special Calcs'!$G$188</definedName>
    <definedName name="DC2_F_Area_Industrial">'Special Calcs'!$G$202</definedName>
    <definedName name="DC2_F_Area_Rural">'Special Calcs'!$G$201</definedName>
    <definedName name="DC2_F_Area_Urban">'Special Calcs'!$G$203</definedName>
    <definedName name="DCI_D_Area">'Special Calcs'!$H$183</definedName>
    <definedName name="DCI_F_Area">'Special Calcs'!$H$198</definedName>
    <definedName name="decimals">{4,4,3,2,1,0,-1,-2,-3,-4}</definedName>
    <definedName name="Deflagration_0.3psi_Distance">'Special Calcs'!$G$95</definedName>
    <definedName name="Deflagration_1.0psi_Distance">'Special Calcs'!$G$96</definedName>
    <definedName name="Deflagration_10psi_Distance">'Special Calcs'!$G$97</definedName>
    <definedName name="Deflagration_Energy">'Special Calcs'!$G$90</definedName>
    <definedName name="Deflagration_HD2">'Release Calculations'!$BW$282</definedName>
    <definedName name="Deflagration_HD3">'Release Calculations'!$BW$285</definedName>
    <definedName name="Deflagration_Press_Bldg1">'Special Calcs'!$H$99</definedName>
    <definedName name="Deflagration_Press_Bldg1_Cntr">'Special Calcs'!$H$101</definedName>
    <definedName name="Deflagration_Press_Bldg2">'Special Calcs'!$H$103</definedName>
    <definedName name="Deflagration_Press_Bldg2_Cntr">'Special Calcs'!$H$105</definedName>
    <definedName name="Deflagration_Volume">'Special Calcs'!$G$89</definedName>
    <definedName name="Delete_Chemical">'New Chemical'!$G$4</definedName>
    <definedName name="Delete_Eliminated">'LOPA Menu'!$P$12</definedName>
    <definedName name="Dens_A_N">'New Chemical'!$E$13</definedName>
    <definedName name="Dens_B_N">'New Chemical'!$E$14</definedName>
    <definedName name="Dens_Data_Units">'New Chemical'!$H$15</definedName>
    <definedName name="Density_Other">'Pool Fire Frequency'!$D$33</definedName>
    <definedName name="Depressurization_1">'Release Calculations'!$D$421</definedName>
    <definedName name="Depressurization_2">'Release Calculations'!$D$422</definedName>
    <definedName name="Depressurization_3">'Release Calculations'!$D$423</definedName>
    <definedName name="Depressurization_4">'Release Calculations'!$D$424</definedName>
    <definedName name="Depressurization_5">'Release Calculations'!$D$425</definedName>
    <definedName name="Dermal_Tox_Feed">'Chemical Data'!$H$32</definedName>
    <definedName name="Dermal_Tox_HT">'Chemical Data'!$O$83</definedName>
    <definedName name="Dermal_Tox_N">'New Chemical'!$E$38</definedName>
    <definedName name="Dermal_Tox_U">'Chemical Data'!$I$32</definedName>
    <definedName name="DermalTox_List">'Unit Conversion'!$S$42:$S$46</definedName>
    <definedName name="Desc_ExtremeHigh">'Study Parameters'!$I$53</definedName>
    <definedName name="Desc_ExtremeHigh_Bus">'Study Parameters'!$I$83</definedName>
    <definedName name="Desc_ExtremeHigh_Environ">'Study Parameters'!$I$93</definedName>
    <definedName name="Desc_GT_ExtremeHigh">'Study Parameters'!$I$54</definedName>
    <definedName name="Desc_High">'Study Parameters'!$I$51</definedName>
    <definedName name="Desc_High_Bus">'Study Parameters'!$I$81</definedName>
    <definedName name="Desc_High_Environ">'Study Parameters'!$I$91</definedName>
    <definedName name="Desc_Low">'Study Parameters'!$I$49</definedName>
    <definedName name="Desc_Low_Bus">'Study Parameters'!$I$79</definedName>
    <definedName name="Desc_Low_Environ">'Study Parameters'!$I$89</definedName>
    <definedName name="Desc_Low_Offsite">'Study Parameters'!$I$47</definedName>
    <definedName name="Desc_Moderate">'Study Parameters'!$I$50</definedName>
    <definedName name="Desc_Moderate_Bus">'Study Parameters'!$I$80</definedName>
    <definedName name="Desc_Moderate_Environ">'Study Parameters'!$I$90</definedName>
    <definedName name="Desc_VeryHigh">'Study Parameters'!$I$52</definedName>
    <definedName name="Desc_VeryHigh_Bus">'Study Parameters'!$I$82</definedName>
    <definedName name="Desc_VeryHigh_Environ">'Study Parameters'!$I$92</definedName>
    <definedName name="Desc_VeryLow">'Study Parameters'!$I$48</definedName>
    <definedName name="Desc_VeryLow_Bus">'Study Parameters'!$I$78</definedName>
    <definedName name="Desc_VeryLow_Environ">'Study Parameters'!$I$88</definedName>
    <definedName name="Desc_VeryLow_Offsite">'Study Parameters'!$I$46</definedName>
    <definedName name="Description">'Equipment Input'!$G$6</definedName>
    <definedName name="Design_Intent">'Scenario List'!$D$3</definedName>
    <definedName name="Detonation_Limit">'Special Calcs'!$C$180</definedName>
    <definedName name="Detonation_Potential">'Special Calcs'!$H$61</definedName>
    <definedName name="Dh">'Unit Conversion'!$C$65</definedName>
    <definedName name="Dh_Input">'Process Conditions'!$C$12</definedName>
    <definedName name="Dh_Units">'Process Conditions'!$D$12</definedName>
    <definedName name="DHR">'Reaction Input'!$D$13</definedName>
    <definedName name="DHR_C">'Chemical Properties'!$BH$1</definedName>
    <definedName name="DHR_U">'Reaction Input'!$E$13</definedName>
    <definedName name="Diameter_Units_Conversion">'Unit Conversion'!$E$42</definedName>
    <definedName name="Dike_Area">'Unit Conversion'!$C$3</definedName>
    <definedName name="Dike_Area_Input">'Plant Layout'!$C$20</definedName>
    <definedName name="Dike_Area_Units">'Plant Layout'!$D$20</definedName>
    <definedName name="Dike_Design">'Plant Layout'!$C$21</definedName>
    <definedName name="Dip_Pipe">'Equipment Input'!$D$35</definedName>
    <definedName name="Discharge_List">'Unit Conversion'!$M$35:$M$42</definedName>
    <definedName name="Discharge_Velocity">'Special Calcs'!$C$41</definedName>
    <definedName name="Discharge_VelocityTP">'Special Calcs'!$C$46</definedName>
    <definedName name="Disk_Relief">'Special Calcs'!$C$29</definedName>
    <definedName name="Dispersion_D">'Special Calcs'!$G$118</definedName>
    <definedName name="Dispersion_E">'Special Calcs'!$G$119</definedName>
    <definedName name="Dispersion_I">'Special Calcs'!$H$118</definedName>
    <definedName name="Dispersion_M">'Special Calcs'!$G$122</definedName>
    <definedName name="Dispersion_N">'Special Calcs'!$G$123</definedName>
    <definedName name="Dispersion_R">'Special Calcs'!$H$122</definedName>
    <definedName name="Displace_Flow">'Release Calculations'!$AG$478</definedName>
    <definedName name="Dist_List">'Unit Conversion'!$O$37:$O$38</definedName>
    <definedName name="Downstr_P">'Unit Conversion'!$C$69</definedName>
    <definedName name="Downstr_P_Input">'Process Conditions'!$C$24</definedName>
    <definedName name="Downstr_P_Units">'Process Conditions'!$D$24</definedName>
    <definedName name="Downstream_Population">'Plant Layout'!$H$31</definedName>
    <definedName name="Drain_D">'Unit Conversion'!$C$44</definedName>
    <definedName name="Drain_HD2">'Release Calculations'!$J$282</definedName>
    <definedName name="Drain_HD3">'Release Calculations'!$J$285</definedName>
    <definedName name="Drain_Input">'Equipment Input'!$D$29</definedName>
    <definedName name="Drain_Units">'Equipment Input'!$E$29</definedName>
    <definedName name="Drainage_Credit">'Plant Layout'!$C$22</definedName>
    <definedName name="Drainage_List">'Unit Conversion'!$Q$63:$Q$65</definedName>
    <definedName name="dRel_1">'Chemical Data'!$T$30</definedName>
    <definedName name="dRel_2">'Chemical Data'!$T$31</definedName>
    <definedName name="dRel_3">'Chemical Data'!$T$32</definedName>
    <definedName name="dRel_4">'Chemical Data'!$T$33</definedName>
    <definedName name="dRel_5">'Chemical Data'!$T$34</definedName>
    <definedName name="DrumOven_Volume">'Unit Conversion'!$C$35</definedName>
    <definedName name="DrumOven_Volume_Input">'Equipment Input'!$H$28</definedName>
    <definedName name="DrumOven_Volume_Units">'Equipment Input'!$I$28</definedName>
    <definedName name="DTRS_C">'Chemical Properties'!$AS$1</definedName>
    <definedName name="Duration">'Release Calculations'!$N$22</definedName>
    <definedName name="Duration_Backflow">'Release Calculations'!$AG$22</definedName>
    <definedName name="Duration_Drain">'Release Calculations'!$J$22</definedName>
    <definedName name="Duration_ExtremeLarge">'Release Calculations'!$X$22</definedName>
    <definedName name="Duration_Fire">'Release Calculations'!$AV$24</definedName>
    <definedName name="Duration_Ht_Trans">'Release Calculations'!$AX$24</definedName>
    <definedName name="Duration_Mech_Energy">'Release Calculations'!$AZ$24</definedName>
    <definedName name="Duration_Medium">'Release Calculations'!$T$22</definedName>
    <definedName name="Duration_Overfill">'Release Calculations'!$AE$22</definedName>
    <definedName name="Duration_Reaction">'Release Calculations'!$BB$24</definedName>
    <definedName name="Duration_Reaction_Catalyst">'Release Calculations'!$BH$24</definedName>
    <definedName name="Duration_Reaction_MisLoading">'Release Calculations'!$BL$24</definedName>
    <definedName name="Duration_Reaction_Pooling">'Release Calculations'!$BJ$24</definedName>
    <definedName name="Duration_Reaction_withFire">'Release Calculations'!$BF$24</definedName>
    <definedName name="Duration_Relief">'Release Calculations'!$AI$22</definedName>
    <definedName name="Duration_Rupture">'Release Calculations'!$BU$22</definedName>
    <definedName name="Duration_Seal">'Release Calculations'!$D$22</definedName>
    <definedName name="Duration_Small">'Release Calculations'!$F$22</definedName>
    <definedName name="Duration_User">'Release Calculations'!$AK$22</definedName>
    <definedName name="Duration_UserHole">'Release Calculations'!$L$22</definedName>
    <definedName name="Duration_VeryLarge">'Release Calculations'!$V$22</definedName>
    <definedName name="Duration_VerySmall">'Release Calculations'!$P$22</definedName>
    <definedName name="Dust_Class_C">'Chemical Properties'!$AE$1</definedName>
    <definedName name="Dust_Class_Feed">'Chemical Data'!$H$42</definedName>
    <definedName name="Dust_Class_N">'New Chemical'!$E$27</definedName>
    <definedName name="Dust_Class_U">'Chemical Data'!$I$42</definedName>
    <definedName name="Dust_Deflag_External">'Special Calcs'!$D$96</definedName>
    <definedName name="Dust_Deflagration">'Special Calcs'!$D$95</definedName>
    <definedName name="Dust_Equip_POI">'Special Calcs'!$D$98</definedName>
    <definedName name="Dust_Explosion">'Special Calcs'!$D$105</definedName>
    <definedName name="Dust_Fireball">'Study Parameters'!$J$29</definedName>
    <definedName name="Dust_High_MIE">'Study Parameters'!$J$27</definedName>
    <definedName name="Dust_Hybrid_C">'Chemical Properties'!$AI$1</definedName>
    <definedName name="Dust_Hybrid_Feed">'Chemical Data'!$H$46</definedName>
    <definedName name="Dust_Hybrid_N">'New Chemical'!$E$31</definedName>
    <definedName name="Dust_Hybrid_U">'Chemical Data'!$I$46</definedName>
    <definedName name="Dust_Low_MIE">'Study Parameters'!$J$28</definedName>
    <definedName name="Dust_MIE_C">'Chemical Properties'!$AH$1</definedName>
    <definedName name="Dust_MIE_Feed">'Chemical Data'!$H$45</definedName>
    <definedName name="Dust_MIE_N">'New Chemical'!$E$30</definedName>
    <definedName name="Dust_MIE_U">'Chemical Data'!$I$45</definedName>
    <definedName name="Dust_Screening_Limit">'Study Parameters'!$J$26</definedName>
    <definedName name="Dust_SecondExpl_POE">'Special Calcs'!$D$118</definedName>
    <definedName name="Dust_Size_C">'Chemical Properties'!$AF$1</definedName>
    <definedName name="Dust_Size_Feed">'Chemical Data'!$H$43</definedName>
    <definedName name="Dust_Size_Limit">'Study Parameters'!$J$25</definedName>
    <definedName name="Dust_Size_N">'New Chemical'!$E$28</definedName>
    <definedName name="Dust_Size_U">'Chemical Data'!$I$43</definedName>
    <definedName name="Dust_Spill_POI">'Special Calcs'!$D$99</definedName>
    <definedName name="DustDefl_List">'Unit Conversion'!$S$20:$S$25</definedName>
    <definedName name="Ease_of_Ignition_Feed">'Chemical Data'!$H$30</definedName>
    <definedName name="Ease_of_Ignition_HT">'Chemical Data'!$O$80</definedName>
    <definedName name="Ease_of_Ignition_N">'New Chemical'!$E$24</definedName>
    <definedName name="Ease_of_Ignition_U">'Chemical Data'!$I$30</definedName>
    <definedName name="Effective_ContainedMass">'Special Calcs'!$G$17</definedName>
    <definedName name="Effective_Fill_Fract">'Special Calcs'!$G$15</definedName>
    <definedName name="Effective_SurArea">'Special Calcs'!$G$16</definedName>
    <definedName name="Effluent_By">'Relief Effluent'!$D$8</definedName>
    <definedName name="Effluent_Case1">'Relief Effluent'!$H$24</definedName>
    <definedName name="Effluent_Case10">'Relief Effluent'!$H$42</definedName>
    <definedName name="Effluent_Case11">'Relief Effluent'!$H$44</definedName>
    <definedName name="Effluent_Case12">'Relief Effluent'!$H$46</definedName>
    <definedName name="Effluent_Case13">'Relief Effluent'!$H$48</definedName>
    <definedName name="Effluent_Case14">'Relief Effluent'!$H$50</definedName>
    <definedName name="Effluent_Case15">'Relief Effluent'!$H$52</definedName>
    <definedName name="Effluent_Case16">'Relief Effluent'!$H$54</definedName>
    <definedName name="Effluent_Case2">'Relief Effluent'!$H$26</definedName>
    <definedName name="Effluent_Case3">'Relief Effluent'!$H$28</definedName>
    <definedName name="Effluent_Case4">'Relief Effluent'!$H$30</definedName>
    <definedName name="Effluent_Case5">'Relief Effluent'!$H$32</definedName>
    <definedName name="Effluent_Case6">'Relief Effluent'!$H$34</definedName>
    <definedName name="Effluent_Case7">'Relief Effluent'!$H$36</definedName>
    <definedName name="Effluent_Case8">'Relief Effluent'!$H$38</definedName>
    <definedName name="Effluent_Case9">'Relief Effluent'!$H$40</definedName>
    <definedName name="Effluent_Comments1">'Relief Effluent'!$D$24</definedName>
    <definedName name="Effluent_Comments10">'Relief Effluent'!$D$42</definedName>
    <definedName name="Effluent_Comments11">'Relief Effluent'!$D$44</definedName>
    <definedName name="Effluent_Comments12">'Relief Effluent'!$D$46</definedName>
    <definedName name="Effluent_Comments13">'Relief Effluent'!$D$48</definedName>
    <definedName name="Effluent_Comments14">'Relief Effluent'!$D$50</definedName>
    <definedName name="Effluent_Comments15">'Relief Effluent'!$D$52</definedName>
    <definedName name="Effluent_Comments16">'Relief Effluent'!$D$54</definedName>
    <definedName name="Effluent_Comments2">'Relief Effluent'!$D$26</definedName>
    <definedName name="Effluent_Comments3">'Relief Effluent'!$D$28</definedName>
    <definedName name="Effluent_Comments4">'Relief Effluent'!$D$30</definedName>
    <definedName name="Effluent_Comments5">'Relief Effluent'!$D$32</definedName>
    <definedName name="Effluent_Comments6">'Relief Effluent'!$D$34</definedName>
    <definedName name="Effluent_Comments7">'Relief Effluent'!$D$36</definedName>
    <definedName name="Effluent_Comments8">'Relief Effluent'!$D$38</definedName>
    <definedName name="Effluent_Comments9">'Relief Effluent'!$D$40</definedName>
    <definedName name="Effluent_Date">'Relief Effluent'!$D$9</definedName>
    <definedName name="Effluent_List">'Relief Effluent'!$AD$8:$AD$10</definedName>
    <definedName name="Effluent_Scenario">'Relief Effluent'!$AS$4:$AS$19</definedName>
    <definedName name="Egress">'Plant Layout'!$C$17</definedName>
    <definedName name="EI_C">'Chemical Properties'!$AQ$1</definedName>
    <definedName name="Elevation_30ft">'Pool Fire Frequency'!$Z$21</definedName>
    <definedName name="Embrittle_T">'Unit Conversion'!$C$32</definedName>
    <definedName name="Embrittle_T_Input">'Equipment Input'!$D$14</definedName>
    <definedName name="Embrittle_T_Units">'Equipment Input'!$E$14</definedName>
    <definedName name="Enclosed_Process_Volume">'Unit Conversion'!$C$7</definedName>
    <definedName name="Enclosed_Process_Volume_Input">'Plant Layout'!$C$30</definedName>
    <definedName name="Enclosed_Process_Volume_Units">'Plant Layout'!$D$30</definedName>
    <definedName name="Enclosed_Ventilation_Rate">'Plant Layout'!$C$31</definedName>
    <definedName name="Endo_Reaction">'Reaction Input'!$D$32</definedName>
    <definedName name="Endotherm_Table">'Unit Conversion'!$U$63:$V$68</definedName>
    <definedName name="Endothermic_Reaction_Type">'Unit Conversion'!$U$63:$U$68</definedName>
    <definedName name="Energy_List">'Unit Conversion'!$Q$52:$Q$54</definedName>
    <definedName name="EquipExp_Strength">'Special Calcs'!$H$60</definedName>
    <definedName name="EquipExp_Strength_HT">'Special Calcs'!$I$60</definedName>
    <definedName name="Equipgroup_A">'Special Calcs'!$C$25</definedName>
    <definedName name="Equipment">'Main Menu'!$F$21</definedName>
    <definedName name="Equipment_Elevation">'Unit Conversion'!$C$36</definedName>
    <definedName name="Equipment_Elevation_Input">'Equipment Input'!$D$28</definedName>
    <definedName name="Equipment_Elevation_Units">'Equipment Input'!$E$28</definedName>
    <definedName name="Equipment_Results">OFFSET(Out_Equip_Tag,1,0,Last_Scenario_Row-2,1)</definedName>
    <definedName name="Equipment_Status">'Main Menu'!$F$23</definedName>
    <definedName name="Equipment_Table_Headings">'Equipment Table'!$A$3:$SM$3</definedName>
    <definedName name="Equipment_Tag">'Main Menu'!$F$20</definedName>
    <definedName name="Equipment_Type">'Scenario Identification'!$E$3:$AI$3</definedName>
    <definedName name="Equipment_Volume">'Equipment Input'!$D$10</definedName>
    <definedName name="EquipVol_List">'Unit Conversion'!$O$41:$O$44</definedName>
    <definedName name="ER2_1">'Chemical Data'!$H$16</definedName>
    <definedName name="ER2_2">'Chemical Data'!$H$17</definedName>
    <definedName name="ER2_3">'Chemical Data'!$H$18</definedName>
    <definedName name="ER2_4">'Chemical Data'!$H$19</definedName>
    <definedName name="ER2_5">'Chemical Data'!$H$20</definedName>
    <definedName name="ER2_Feed">'Chemical Data'!$AB$23</definedName>
    <definedName name="ER2_Mix">'Chemical Data'!$H$21</definedName>
    <definedName name="ER2HT_1">'Chemical Data'!$R$72</definedName>
    <definedName name="ER2HT_2">'Chemical Data'!$R$73</definedName>
    <definedName name="ER2HT_3">'Chemical Data'!$R$74</definedName>
    <definedName name="ER2HT_4">'Chemical Data'!$R$75</definedName>
    <definedName name="ER2HT_5">'Chemical Data'!$R$76</definedName>
    <definedName name="ER3_1">'Chemical Data'!$I$16</definedName>
    <definedName name="ER3_2">'Chemical Data'!$I$17</definedName>
    <definedName name="ER3_3">'Chemical Data'!$I$18</definedName>
    <definedName name="ER3_4">'Chemical Data'!$I$19</definedName>
    <definedName name="ER3_5">'Chemical Data'!$I$20</definedName>
    <definedName name="ER3_Feed">'Chemical Data'!$AC$23</definedName>
    <definedName name="ER3_Min">'Chemical Data'!$S$57</definedName>
    <definedName name="ER3_Mix">'Chemical Data'!$I$21</definedName>
    <definedName name="ER3HT_1">'Chemical Data'!$S$72</definedName>
    <definedName name="ER3HT_2">'Chemical Data'!$S$73</definedName>
    <definedName name="ER3HT_3">'Chemical Data'!$S$74</definedName>
    <definedName name="ER3HT_4">'Chemical Data'!$S$75</definedName>
    <definedName name="ER3HT_5">'Chemical Data'!$S$76</definedName>
    <definedName name="ERPG_1_N">'New Chemical'!$E$32</definedName>
    <definedName name="ERPG_2_N">'New Chemical'!$E$33</definedName>
    <definedName name="ERPG_3_N">'New Chemical'!$E$34</definedName>
    <definedName name="ERPG_Ref_C">'Chemical Properties'!$X$1</definedName>
    <definedName name="ERPG1_C">'Chemical Properties'!$U$1</definedName>
    <definedName name="ERPG2_C">'Chemical Properties'!$V$1</definedName>
    <definedName name="ERPG3_C">'Chemical Properties'!$W$1</definedName>
    <definedName name="ERPG3_Range">{0,5.001,100.001,1000.001}</definedName>
    <definedName name="Error_Count">'Main Menu'!$B$42</definedName>
    <definedName name="Error_Message">'Input Error Check'!$B$3</definedName>
    <definedName name="ES_1">'Scenario Identification'!$EG$6</definedName>
    <definedName name="ES_10">'Scenario Identification'!$EG$15</definedName>
    <definedName name="ES_11">'Scenario Identification'!$EG$16</definedName>
    <definedName name="ES_12">'Scenario Identification'!$EG$17</definedName>
    <definedName name="ES_13">'Scenario Identification'!$EG$18</definedName>
    <definedName name="ES_14">'Scenario Identification'!$EG$19</definedName>
    <definedName name="ES_15">'Scenario Identification'!$EG$20</definedName>
    <definedName name="ES_16">'Scenario Identification'!$EG$21</definedName>
    <definedName name="ES_17">'Scenario Identification'!$EG$22</definedName>
    <definedName name="ES_18">'Scenario Identification'!$EG$23</definedName>
    <definedName name="ES_19">'Scenario Identification'!$EG$24</definedName>
    <definedName name="ES_2">'Scenario Identification'!$EG$7</definedName>
    <definedName name="ES_20">'Scenario Identification'!$EG$25</definedName>
    <definedName name="ES_21">'Scenario Identification'!$EG$26</definedName>
    <definedName name="ES_22">'Scenario Identification'!$EG$27</definedName>
    <definedName name="ES_23">'Scenario Identification'!$EG$28</definedName>
    <definedName name="ES_24">'Scenario Identification'!$EG$30</definedName>
    <definedName name="ES_25">'Scenario Identification'!$EG$31</definedName>
    <definedName name="ES_26">'Scenario Identification'!$EG$32</definedName>
    <definedName name="ES_27">'Scenario Identification'!$EG$33</definedName>
    <definedName name="ES_28">'Scenario Identification'!$EG$34</definedName>
    <definedName name="ES_29">'Scenario Identification'!$EG$35</definedName>
    <definedName name="ES_3">'Scenario Identification'!$EG$8</definedName>
    <definedName name="ES_30">'Scenario Identification'!$EG$36</definedName>
    <definedName name="ES_31">'Scenario Identification'!$EG$37</definedName>
    <definedName name="ES_32">'Scenario Identification'!$EG$38</definedName>
    <definedName name="ES_33">'Scenario Identification'!$EG$39</definedName>
    <definedName name="ES_34">'Scenario Identification'!$EG$40</definedName>
    <definedName name="ES_35">'Scenario Identification'!$EG$41</definedName>
    <definedName name="ES_36">'Scenario Identification'!$EG$42</definedName>
    <definedName name="ES_37">'Scenario Identification'!$EG$43</definedName>
    <definedName name="ES_38">'Scenario Identification'!$EG$44</definedName>
    <definedName name="ES_39">'Scenario Identification'!$EG$45</definedName>
    <definedName name="ES_4">'Scenario Identification'!$EG$9</definedName>
    <definedName name="ES_40">'Scenario Identification'!$EG$46</definedName>
    <definedName name="ES_41">'Scenario Identification'!$EG$47</definedName>
    <definedName name="ES_42">'Scenario Identification'!$EG$48</definedName>
    <definedName name="ES_43">'Scenario Identification'!$EG$49</definedName>
    <definedName name="ES_44">'Scenario Identification'!$EG$50</definedName>
    <definedName name="ES_45">'Scenario Identification'!$EG$51</definedName>
    <definedName name="ES_46">'Scenario Identification'!$EG$52</definedName>
    <definedName name="ES_47">'Scenario Identification'!$EG$53</definedName>
    <definedName name="ES_48">'Scenario Identification'!$EG$54</definedName>
    <definedName name="ES_49">'Scenario Identification'!$EG$55</definedName>
    <definedName name="ES_5">'Scenario Identification'!$EG$10</definedName>
    <definedName name="ES_50">'Scenario Identification'!$EG$56</definedName>
    <definedName name="ES_51">'Scenario Identification'!$EG$57</definedName>
    <definedName name="ES_52">'Scenario Identification'!$EG$58</definedName>
    <definedName name="ES_53">'Scenario Identification'!$EG$59</definedName>
    <definedName name="ES_54">'Scenario Identification'!$EG$60</definedName>
    <definedName name="ES_55">'Scenario Identification'!$EG$61</definedName>
    <definedName name="ES_56">'Scenario Identification'!$EG$62</definedName>
    <definedName name="ES_57">'Scenario Identification'!$EG$63</definedName>
    <definedName name="ES_58">'Scenario Identification'!$EG$29</definedName>
    <definedName name="ES_6">'Scenario Identification'!$EG$11</definedName>
    <definedName name="ES_7">'Scenario Identification'!$EG$12</definedName>
    <definedName name="ES_8">'Scenario Identification'!$EG$13</definedName>
    <definedName name="ES_9">'Scenario Identification'!$EG$14</definedName>
    <definedName name="Est_Equip_Mass">'Unit Conversion'!$F$34</definedName>
    <definedName name="Est_Mass">'Special Calcs'!$G$18</definedName>
    <definedName name="Est_Surf_Area">'Unit Conversion'!$F$49</definedName>
    <definedName name="Est_Wetted_Area">'Special Calcs'!$G$12</definedName>
    <definedName name="Estimated_Inventory">'Special Calcs'!$G$7</definedName>
    <definedName name="Estimated_Inventory_Output">'Unit Conversion'!$F$77</definedName>
    <definedName name="Event_Tree_Columns">'Scenario List'!$B$10:$F$10</definedName>
    <definedName name="Exclude_MI">'LOPA Menu'!$K$10</definedName>
    <definedName name="ExcludeMI_List">'Unit Conversion'!$S$67:$S$69</definedName>
    <definedName name="Exo_Reaction">'Reaction Input'!$D$31</definedName>
    <definedName name="Exotherm_Table">'Unit Conversion'!$U$40:$V$59</definedName>
    <definedName name="Exothermic_Reaction_Type">'Unit Conversion'!$U$40:$U$59</definedName>
    <definedName name="Exp_Joint">'Equipment Input'!$H$30</definedName>
    <definedName name="ExpJoint_List">'Unit Conversion'!$Q$69:$Q$73</definedName>
    <definedName name="ExplEng_Limit">'Study Parameters'!$J$17</definedName>
    <definedName name="ExplEng_perVolume">'Study Parameters'!$J$16</definedName>
    <definedName name="Exposure_Rupture_atSat">'Release Calculations'!#REF!</definedName>
    <definedName name="ExtHeat_List">'Unit Conversion'!$S$62:$S$64</definedName>
    <definedName name="_xlnm.Extract" localSheetId="24">'Scenario Results'!#REF!</definedName>
    <definedName name="ExtremeLarge_HD2">'Release Calculations'!$X$282</definedName>
    <definedName name="ExtremeLarge_HD3">'Release Calculations'!$X$285</definedName>
    <definedName name="ExtremeLarge_Top_HD2">'Release Calculations'!$X$666</definedName>
    <definedName name="ExtremeLarge_Top_HD3">'Release Calculations'!$X$669</definedName>
    <definedName name="Failure_API_Anchored">'Study Parameters'!$C$86</definedName>
    <definedName name="Failure_API_NoAnchored">'Study Parameters'!$C$84</definedName>
    <definedName name="Failure_ASME">'Study Parameters'!$C$87</definedName>
    <definedName name="Failure_Fire">'Study Parameters'!$C$88</definedName>
    <definedName name="Failure_Gasket">'Study Parameters'!$C$85</definedName>
    <definedName name="Failure_T">'Unit Conversion'!$C$31</definedName>
    <definedName name="Failure_T_Default">'Study Parameters'!$C$89</definedName>
    <definedName name="Failure_T_Input">'Equipment Input'!$D$13</definedName>
    <definedName name="Failure_T_Units">'Equipment Input'!$E$13</definedName>
    <definedName name="Fd">'Release Calculations'!$F$36</definedName>
    <definedName name="Fd_Overfill">'Release Calculations'!$AE$36</definedName>
    <definedName name="Fd_Relief">'Release Calculations'!$AV$34</definedName>
    <definedName name="Fd_RupFire">'Release Calculations'!$CC$36</definedName>
    <definedName name="Fd_RupPeak">'Release Calculations'!$CA$36</definedName>
    <definedName name="Fd_RupSat">'Release Calculations'!$BY$36</definedName>
    <definedName name="Fd_Rupture">'Release Calculations'!$BU$36</definedName>
    <definedName name="Feed_1">'Chemical Data'!$P$2</definedName>
    <definedName name="Feed_2">'Chemical Data'!$P$3</definedName>
    <definedName name="Feed_3">'Chemical Data'!$P$4</definedName>
    <definedName name="Feed_4">'Chemical Data'!$P$5</definedName>
    <definedName name="Feed_5">'Chemical Data'!$P$6</definedName>
    <definedName name="Feed_List">'Unit Conversion'!$O$4:$O$5</definedName>
    <definedName name="Feed_T">'Unit Conversion'!$C$68</definedName>
    <definedName name="Feed_Temp_Input">'Process Conditions'!$C$17</definedName>
    <definedName name="Feed_Temp_Units">'Process Conditions'!$D$17</definedName>
    <definedName name="Feed_Type">'Process Conditions'!$C$18</definedName>
    <definedName name="Feedrate">'Unit Conversion'!$C$67</definedName>
    <definedName name="Feedrate_Input">'Process Conditions'!$C$16</definedName>
    <definedName name="Feedrate_Units">'Process Conditions'!$D$16</definedName>
    <definedName name="FEI">'FEI &amp; CEI'!$D$59</definedName>
    <definedName name="FEI_Review">'FEI &amp; CEI'!$B$8</definedName>
    <definedName name="FEI_Review_Date">'FEI &amp; CEI'!$C$8</definedName>
    <definedName name="FFire_High_Dist">'Study Parameters'!$J$34</definedName>
    <definedName name="FFire_Low_Dist">'Study Parameters'!$J$33</definedName>
    <definedName name="Fill">'Process Conditions'!$C$13</definedName>
    <definedName name="Fill_Max">'Special Calcs'!$G$13</definedName>
    <definedName name="Fill_Max_Limit">'Study Parameters'!$C$38</definedName>
    <definedName name="Fill_Min">'Special Calcs'!$G$14</definedName>
    <definedName name="Fill_Min_Limit">'Study Parameters'!$C$39</definedName>
    <definedName name="Fill2">'Process Conditions'!$C$14</definedName>
    <definedName name="Filter_Equipment">'LOPA Menu'!$I$16</definedName>
    <definedName name="Filter_IPLs">'LOPA Menu'!$O$16</definedName>
    <definedName name="Filter_Worst">'LOPA Menu'!$U$16</definedName>
    <definedName name="Fire_Burst">'Pool Fire Frequency'!$Z$9</definedName>
    <definedName name="Fire_Duration">'Pool Fire Frequency'!$Z$19</definedName>
    <definedName name="Fire_Duration_Rupture">'Pool Fire Frequency'!$Z$20</definedName>
    <definedName name="Fire_Duration_TNR">'Pool Fire Frequency'!$Z$18</definedName>
    <definedName name="Fire_Efficiency">'Study Parameters'!$J$19</definedName>
    <definedName name="Fire_HD2">'Release Calculations'!$AV$279</definedName>
    <definedName name="Fire_HD3">'Release Calculations'!$AV$282</definedName>
    <definedName name="Fire_Heat_Rate">'Pool Fire Frequency'!$J$11</definedName>
    <definedName name="Fire_Heat_Rate_Max">'Pool Fire Frequency'!$J$14</definedName>
    <definedName name="Fire_Potential">'Special Calcs'!$C$161</definedName>
    <definedName name="Fire_Relief_Rate">'Release Calculations'!$AV$7</definedName>
    <definedName name="FiredEq_List">'Unit Conversion'!$M$13:$M$17</definedName>
    <definedName name="FiredEq_ProcessArea">'Plant Layout'!$C$23</definedName>
    <definedName name="Flam_1">'Chemical Data'!$C$101</definedName>
    <definedName name="Flam_2">'Chemical Data'!$D$101</definedName>
    <definedName name="Flam_3">'Chemical Data'!$E$101</definedName>
    <definedName name="Flam_4">'Chemical Data'!$F$101</definedName>
    <definedName name="Flam_5">'Chemical Data'!$G$101</definedName>
    <definedName name="Flam_Adjacent">'Unit Conversion'!$C$5</definedName>
    <definedName name="Flam_Adjacent_Input">'Plant Layout'!$C$25</definedName>
    <definedName name="Flam_Adjacent_Units">'Plant Layout'!$D$25</definedName>
    <definedName name="Flam_In_Area">'Unit Conversion'!$C$4</definedName>
    <definedName name="Flam_In_Area_Input">'Plant Layout'!$C$24</definedName>
    <definedName name="Flam_In_Area_Units">'Plant Layout'!$D$24</definedName>
    <definedName name="Flam_Inventory">'Pool Fire Frequency'!$J$27</definedName>
    <definedName name="Flame_List">'Unit Conversion'!$S$10:$S$12</definedName>
    <definedName name="Flame_Speed_Feed">'Chemical Data'!$H$31</definedName>
    <definedName name="Flame_Speed_HT">'Chemical Data'!$O$81</definedName>
    <definedName name="Flame_Speed_N">'New Chemical'!$E$25</definedName>
    <definedName name="Flame_Speed_U">'Chemical Data'!$I$31</definedName>
    <definedName name="FlamHT_1">'Chemical Data'!$AJ$71</definedName>
    <definedName name="FlamHT_2">'Chemical Data'!$AJ$72</definedName>
    <definedName name="FlamHT_3">'Chemical Data'!$AJ$73</definedName>
    <definedName name="FlamHT_4">'Chemical Data'!$AJ$74</definedName>
    <definedName name="FlamHT_5">'Chemical Data'!$AJ$75</definedName>
    <definedName name="Flammable_FP_Limit">'Study Parameters'!$J$8</definedName>
    <definedName name="Flammable_inArea_Limit">'Study Parameters'!$J$10</definedName>
    <definedName name="Flammable_Potential">'Special Calcs'!$C$154</definedName>
    <definedName name="Flammable_Potential_Burst">'Special Calcs'!$C$159</definedName>
    <definedName name="Flammable_Potential_HT">'Special Calcs'!$C$155</definedName>
    <definedName name="Flammable_Potential_ME">'Special Calcs'!$C$156</definedName>
    <definedName name="Flammable_Potential_Peak">'Special Calcs'!$C$157</definedName>
    <definedName name="Flammable_Potential_Relief">'Special Calcs'!$C$158</definedName>
    <definedName name="Flanges">'Equipment Input'!$D$16</definedName>
    <definedName name="Flash_Pt_Estimate">'Chemical Data'!$H$27</definedName>
    <definedName name="Flash_Pt_Feed">'Chemical Data'!$H$26</definedName>
    <definedName name="Flash_Pt_HT">'Chemical Data'!$O$70</definedName>
    <definedName name="Flash_Pt_N">'New Chemical'!$E$20</definedName>
    <definedName name="Flash_Pt_U">'Chemical Data'!$I$26</definedName>
    <definedName name="FlashPt_Difference_Limit">'Study Parameters'!$J$12</definedName>
    <definedName name="Fluidized_Equipment">'Special Calcs'!$D$104</definedName>
    <definedName name="FP_C">'Chemical Properties'!$AJ$1</definedName>
    <definedName name="Fpool_Backflow">'Release Calculations'!$AG$56</definedName>
    <definedName name="Fpool_Drain">'Release Calculations'!$J$56</definedName>
    <definedName name="Fpool_ExtremeLarge">'Release Calculations'!$X$56</definedName>
    <definedName name="Fpool_FullBore">'Release Calculations'!$N$56</definedName>
    <definedName name="Fpool_Medium">'Release Calculations'!$T$56</definedName>
    <definedName name="Fpool_Overfill">'Release Calculations'!$AE$56</definedName>
    <definedName name="Fpool_Relief">'Release Calculations'!$AI$56</definedName>
    <definedName name="Fpool_Seal">'Release Calculations'!$D$56</definedName>
    <definedName name="Fpool_Small">'Release Calculations'!$F$56</definedName>
    <definedName name="Fpool_User">'Release Calculations'!$AK$56</definedName>
    <definedName name="Fpool_UserHole">'Release Calculations'!$L$56</definedName>
    <definedName name="Fpool_VeryLarge">'Release Calculations'!$V$56</definedName>
    <definedName name="Fpool_VerySmall">'Release Calculations'!$P$56</definedName>
    <definedName name="Fr">'Release Calculations'!$F$44</definedName>
    <definedName name="Fr_Key_Consumed_Fire">'Special Calcs'!$C$151</definedName>
    <definedName name="Fr_Overfill">'Release Calculations'!$AE$44</definedName>
    <definedName name="Frac_Key_C">'Chemical Properties'!$D$1</definedName>
    <definedName name="Fract_1.5_F">'Study Parameters'!$C$95</definedName>
    <definedName name="Fract_Aq">'Chemical Data'!$AG$11</definedName>
    <definedName name="Fract_Key_Chemical">'Chemical Data'!$C$16</definedName>
    <definedName name="Fract_Key_Mix">'Chemical Data'!$C$28</definedName>
    <definedName name="Fract_Oleum">'Chemical Data'!$AH$14</definedName>
    <definedName name="Fract_Sulfuric">'Chemical Data'!$AI$14</definedName>
    <definedName name="Fraction_Dust_C">'Chemical Properties'!$AG$1</definedName>
    <definedName name="Fraction_Dust_Feed">'Chemical Data'!$H$44</definedName>
    <definedName name="Fraction_Dust_N">'New Chemical'!$E$29</definedName>
    <definedName name="Fraction_Dust_U">'Chemical Data'!$I$44</definedName>
    <definedName name="Fraction_Flammable">'Chemical Data'!$H$101</definedName>
    <definedName name="Fraction_Heat_Limit">'Study Parameters'!$C$62</definedName>
    <definedName name="Fraction_Reactive">'Chemical Data'!$H$102</definedName>
    <definedName name="Frequent_Turnaround">'Process Conditions'!$I$22</definedName>
    <definedName name="FS_C">'Chemical Properties'!$AR$1</definedName>
    <definedName name="Fv">'Release Calculations'!$D$27</definedName>
    <definedName name="Fv_Fire">'Release Calculations'!$AV$19</definedName>
    <definedName name="Fv_HT">'Release Calculations'!$AO$27</definedName>
    <definedName name="Fv_Ht_Trans">'Release Calculations'!$AX$19</definedName>
    <definedName name="Fv_Mech_Energy">'Release Calculations'!$AZ$19</definedName>
    <definedName name="Fv_Peak">'Release Calculations'!$CA$27</definedName>
    <definedName name="Fv_Reaction">'Release Calculations'!$BB$19</definedName>
    <definedName name="Fv_Reaction_Catalyst">'Release Calculations'!$BH$19</definedName>
    <definedName name="Fv_Reaction_MisLoading">'Release Calculations'!$BL$19</definedName>
    <definedName name="Fv_Reaction_Pooling">'Release Calculations'!$BJ$19</definedName>
    <definedName name="Fv_Reaction_withFire">'Release Calculations'!$BF$19</definedName>
    <definedName name="Fv_Relief">'Release Calculations'!$AV$25</definedName>
    <definedName name="Fv_Relief_Depressurize">'Special Calcs'!$G$36</definedName>
    <definedName name="Fv_Rupture">'Release Calculations'!$BY$27</definedName>
    <definedName name="Fv_Rupture_Fire">'Release Calculations'!$CC$27</definedName>
    <definedName name="Fv_User_VaporRate">'Release Calculations'!$BN$19</definedName>
    <definedName name="Gap_Results">OFFSET(Out_LPR,1,0,Last_Scenario_Row-2,1)</definedName>
    <definedName name="Gap2_Results">OFFSET(Out_Gap,1,0,Last_Scenario_Row-2,1)</definedName>
    <definedName name="Gas_Exo">'Reaction Input'!$D$18</definedName>
    <definedName name="Gas_Exo_C">'Chemical Properties'!$BM$1</definedName>
    <definedName name="Gas_Exo_U">'Reaction Input'!$E$18</definedName>
    <definedName name="Gas_Gen">'Reaction Input'!$D$17</definedName>
    <definedName name="Gas_Gen_C">'Chemical Properties'!$BL$1</definedName>
    <definedName name="Gas_Gen_Est">'Reaction Input'!$D$55:$E$55</definedName>
    <definedName name="Gas_Gen_U">'Reaction Input'!$E$17</definedName>
    <definedName name="Gas_Product">'Reaction Input'!$D$17</definedName>
    <definedName name="Gas_Rx_atRelief">'Reaction Input'!$V$67</definedName>
    <definedName name="Gas_Rx_atRelief_Catalyst">'Reaction Input'!$AU$67</definedName>
    <definedName name="Gas_Rx_atRelief_ExtHt">'Reaction Input'!$AE$67</definedName>
    <definedName name="Gas_Rx_atRelief_Fire">'Reaction Input'!$AM$67</definedName>
    <definedName name="Gas_Rx_atRelief_MisLoading">'Reaction Input'!$BK$67</definedName>
    <definedName name="Gas_Rx_atRelief_Pooling">'Reaction Input'!$BC$67</definedName>
    <definedName name="GasGen_P">'Reaction Input'!$D$55</definedName>
    <definedName name="GasGen_T">'Reaction Input'!$E$55</definedName>
    <definedName name="GasPad_1_Displacement">'Release Calculations'!$AG$436</definedName>
    <definedName name="GasPad_1_Sweep">'Release Calculations'!$AE$436</definedName>
    <definedName name="GasPad_2_Displacement">'Release Calculations'!$AG$437</definedName>
    <definedName name="GasPad_2_Sweep">'Release Calculations'!$AE$437</definedName>
    <definedName name="GasPad_3_Displacement">'Release Calculations'!$AG$438</definedName>
    <definedName name="GasPad_3_Sweep">'Release Calculations'!$AE$438</definedName>
    <definedName name="GasPad_4_Displacement">'Release Calculations'!$AG$439</definedName>
    <definedName name="GasPad_4_Sweep">'Release Calculations'!$AE$439</definedName>
    <definedName name="GasPad_5_Displacement">'Release Calculations'!$AG$440</definedName>
    <definedName name="GasPad_5_Sweep">'Release Calculations'!$AE$440</definedName>
    <definedName name="Geometry">'Equipment Input'!$D$32</definedName>
    <definedName name="Gnd_Coeff">'Special Calcs'!$G$111</definedName>
    <definedName name="Goto_from_User_Scenario">'User Scenario'!$AR$4</definedName>
    <definedName name="HAZ_CATEGORY">{"E","D","C","B","A"}</definedName>
    <definedName name="HAZ_SCORE">{0,10,50,100,200}</definedName>
    <definedName name="HD_ExtremeHigh_Expl">'Study Parameters'!$Q$68</definedName>
    <definedName name="HD_ExtremeHigh_FF">'Study Parameters'!$R$68</definedName>
    <definedName name="HD_ExtremeHigh_IndoorFF">'Study Parameters'!$S$68</definedName>
    <definedName name="HD_ExtremeHigh_Infiltration">'Study Parameters'!$N$68</definedName>
    <definedName name="HD_ExtremeHigh_Offsite">'Study Parameters'!$O$68</definedName>
    <definedName name="HD_ExtremeHigh_OnSite">'Study Parameters'!$K$68</definedName>
    <definedName name="HD_ExtremeHigh_PE">'Study Parameters'!$P$68</definedName>
    <definedName name="HD_Factor">'Study Parameters'!$C$21</definedName>
    <definedName name="HD_High_BLEVE">'Study Parameters'!$T$66</definedName>
    <definedName name="HD_High_Expl">'Study Parameters'!$Q$66</definedName>
    <definedName name="HD_High_FF">'Study Parameters'!$R$66</definedName>
    <definedName name="HD_High_Indoor">'Study Parameters'!$L$66</definedName>
    <definedName name="HD_High_IndoorFF">'Study Parameters'!$S$66</definedName>
    <definedName name="HD_High_Infiltration">'Study Parameters'!$N$66</definedName>
    <definedName name="HD_High_Offsite">'Study Parameters'!$O$66</definedName>
    <definedName name="HD_High_OnSite">'Study Parameters'!$K$66</definedName>
    <definedName name="HD_High_PE">'Study Parameters'!$P$66</definedName>
    <definedName name="HD_Low_BLEVE">'Study Parameters'!$T$64</definedName>
    <definedName name="HD_Low_CE">'Study Parameters'!$U$64</definedName>
    <definedName name="HD_Low_Expl">'Study Parameters'!$Q$64</definedName>
    <definedName name="HD_Low_FF">'Study Parameters'!$R$64</definedName>
    <definedName name="HD_Low_Indoor">'Study Parameters'!$L$64</definedName>
    <definedName name="HD_Low_IndoorFF">'Study Parameters'!$S$64</definedName>
    <definedName name="HD_Low_Infiltration">'Study Parameters'!$N$64</definedName>
    <definedName name="HD_Low_Offsite">'Study Parameters'!$O$64</definedName>
    <definedName name="HD_Low_OnSite">'Study Parameters'!$K$64</definedName>
    <definedName name="HD_Low_PE">'Study Parameters'!$P$64</definedName>
    <definedName name="HD_Moderate_BLEVE">'Study Parameters'!$T$65</definedName>
    <definedName name="HD_Moderate_CE">'Study Parameters'!$U$65</definedName>
    <definedName name="HD_Moderate_Expl">'Study Parameters'!$Q$65</definedName>
    <definedName name="HD_Moderate_FF">'Study Parameters'!$R$65</definedName>
    <definedName name="HD_Moderate_Indoor">'Study Parameters'!$L$65</definedName>
    <definedName name="HD_Moderate_IndoorFF">'Study Parameters'!$S$65</definedName>
    <definedName name="HD_Moderate_Infiltration">'Study Parameters'!$N$65</definedName>
    <definedName name="HD_Moderate_Offsite">'Study Parameters'!$O$65</definedName>
    <definedName name="HD_Moderate_OnSite">'Study Parameters'!$K$65</definedName>
    <definedName name="HD_Moderate_PE">'Study Parameters'!$P$65</definedName>
    <definedName name="HD_Screening_Limit">'Study Parameters'!$C$24</definedName>
    <definedName name="HD_Severe_Impact">'Study Parameters'!$C$25</definedName>
    <definedName name="HD_VeryHigh_BLEVE">'Study Parameters'!$T$67</definedName>
    <definedName name="HD_VeryHigh_Expl">'Study Parameters'!$Q$67</definedName>
    <definedName name="HD_VeryHigh_FF">'Study Parameters'!$R$67</definedName>
    <definedName name="HD_VeryHigh_Indoor">'Study Parameters'!$L$67</definedName>
    <definedName name="HD_VeryHigh_IndoorFF">'Study Parameters'!$S$67</definedName>
    <definedName name="HD_VeryHigh_Infiltration">'Study Parameters'!$N$67</definedName>
    <definedName name="HD_VeryHigh_Offsite">'Study Parameters'!$O$67</definedName>
    <definedName name="HD_VeryHigh_OnSite">'Study Parameters'!$K$67</definedName>
    <definedName name="HD_VeryHigh_PE">'Study Parameters'!$P$67</definedName>
    <definedName name="HD_VeryLow_BLEVE">'Study Parameters'!$T$63</definedName>
    <definedName name="HD_VeryLow_CE">'Study Parameters'!$U$63</definedName>
    <definedName name="HD_VeryLow_Expl">'Study Parameters'!$Q$63</definedName>
    <definedName name="HD_VeryLow_FF">'Study Parameters'!$R$63</definedName>
    <definedName name="HD_VeryLow_Indoor">'Study Parameters'!$L$63</definedName>
    <definedName name="HD_VeryLow_IndoorFF">'Study Parameters'!$S$63</definedName>
    <definedName name="HD_VeryLow_Infiltration">'Study Parameters'!$N$63</definedName>
    <definedName name="HD_VeryLow_Offsite">'Study Parameters'!$O$63</definedName>
    <definedName name="HD_VeryLow_OnSite">'Study Parameters'!$K$63</definedName>
    <definedName name="HD_VeryLow_PE">'Study Parameters'!$P$63</definedName>
    <definedName name="HeadSpace_Deflag_Potential">'Special Calcs'!$C$153</definedName>
    <definedName name="Heat_Transfer_HD2">'Release Calculations'!$AX$279</definedName>
    <definedName name="Heat_Transfer_HD3">'Release Calculations'!$AX$282</definedName>
    <definedName name="Heating_Media_HazClass">'Chemical Data'!$O$78</definedName>
    <definedName name="Heating_Media_Name">'Equipment Input'!$D$43</definedName>
    <definedName name="Heating_Media_State">'Chemical Data'!$E$54</definedName>
    <definedName name="Heating_P">'Unit Conversion'!$C$53</definedName>
    <definedName name="Heating_P_Input">'Equipment Input'!$D$41</definedName>
    <definedName name="Heating_P_Units">'Equipment Input'!$E$41</definedName>
    <definedName name="Heating_Relief_Input">'Equipment Input'!$D$42</definedName>
    <definedName name="Heating_Reqd">'Special Calcs'!$C$160</definedName>
    <definedName name="Heating_T">'Unit Conversion'!$C$52</definedName>
    <definedName name="Heating_T_Input">'Equipment Input'!$D$40</definedName>
    <definedName name="Heating_T_Units">'Equipment Input'!$E$40</definedName>
    <definedName name="High_Speed">'Equipment Input'!$H$29</definedName>
    <definedName name="High_Tip_Speed">'Special Calcs'!$D$103</definedName>
    <definedName name="HighMix_Corr_T">'Chemical Data'!$I$104</definedName>
    <definedName name="Hole_Drain">'Study Parameters'!$C$68</definedName>
    <definedName name="Hole_ExtremelyLarge">'Study Parameters'!$C$73</definedName>
    <definedName name="Hole_Gasket">'Study Parameters'!$C$66</definedName>
    <definedName name="Hole_Medium">'Study Parameters'!$C$71</definedName>
    <definedName name="Hole_Seal">'Study Parameters'!$C$67</definedName>
    <definedName name="Hole_Small">'Study Parameters'!$C$69</definedName>
    <definedName name="Hole_VeryLarge">'Study Parameters'!$C$72</definedName>
    <definedName name="Hole_VerySmall">'Study Parameters'!$C$70</definedName>
    <definedName name="HotOil_List">'Unit Conversion'!$U$20:$U$23</definedName>
    <definedName name="HotOil_Quantity">'Equipment Input'!$D$45</definedName>
    <definedName name="HT_Area">'Unit Conversion'!$C$50</definedName>
    <definedName name="HT_Area_Input">'Equipment Input'!$D$38</definedName>
    <definedName name="HT_Area_Units">'Equipment Input'!$E$38</definedName>
    <definedName name="HT_BP">'Chemical Data'!$O$66</definedName>
    <definedName name="HT_ER2">'Chemical Data'!$G$54</definedName>
    <definedName name="HT_ER3">'Chemical Data'!$H$54</definedName>
    <definedName name="HT_ER3_Min">'Chemical Data'!$S$77</definedName>
    <definedName name="HT_FP">'Chemical Data'!$J$54</definedName>
    <definedName name="HT_Fract_1">'Chemical Data'!$R$63</definedName>
    <definedName name="HT_Fract_2">'Chemical Data'!$R$64</definedName>
    <definedName name="HT_Fract_3">'Chemical Data'!$R$65</definedName>
    <definedName name="HT_Fract_4">'Chemical Data'!$R$66</definedName>
    <definedName name="HT_Fract_5">'Chemical Data'!$R$67</definedName>
    <definedName name="HT_HazClass_1">'Chemical Data'!$AB$81</definedName>
    <definedName name="HT_HazClass_2">'Chemical Data'!$AB$82</definedName>
    <definedName name="HT_HazClass_3">'Chemical Data'!$AB$83</definedName>
    <definedName name="HT_HazClass_4">'Chemical Data'!$AB$84</definedName>
    <definedName name="HT_HazClass_5">'Chemical Data'!$AB$85</definedName>
    <definedName name="HT_Lat_Ht">'Chemical Data'!$X$56</definedName>
    <definedName name="HT_LFL">'Chemical Data'!$I$54</definedName>
    <definedName name="HT_Liq_C">'Chemical Data'!$X$54</definedName>
    <definedName name="HT_Liq_rho">'Chemical Data'!$X$52</definedName>
    <definedName name="Ht_Loss_Coeff">'Special Calcs'!$G$108</definedName>
    <definedName name="Ht_Loss_Coeff_A">'Study Parameters'!$C$12</definedName>
    <definedName name="Ht_Loss_Coeff_B">'Study Parameters'!$C$13</definedName>
    <definedName name="HT_Mw">'Chemical Data'!$F$54</definedName>
    <definedName name="HT_Name_1">'Chemical Data'!$Q$63</definedName>
    <definedName name="HT_Name_2">'Chemical Data'!$Q$64</definedName>
    <definedName name="HT_Name_3">'Chemical Data'!$Q$65</definedName>
    <definedName name="HT_Name_4">'Chemical Data'!$Q$66</definedName>
    <definedName name="HT_Name_5">'Chemical Data'!$Q$67</definedName>
    <definedName name="HT_Psat">'Chemical Data'!$X$51</definedName>
    <definedName name="HT_PVap">'Chemical Data'!$X$58</definedName>
    <definedName name="Ht_Relief_Rate">'Release Calculations'!$AX$7</definedName>
    <definedName name="Ht_Trans_Rate">'Release Calculations'!$AX$6</definedName>
    <definedName name="HT_Tsat">'Chemical Data'!$X$57</definedName>
    <definedName name="HT_Vap_C">'Chemical Data'!$X$55</definedName>
    <definedName name="HT_Vap_rho">'Chemical Data'!$X$53</definedName>
    <definedName name="HTFeed_1">'Chemical Data'!$Y$63</definedName>
    <definedName name="HTFeed_2">'Chemical Data'!$Y$64</definedName>
    <definedName name="HTFeed_3">'Chemical Data'!$Y$65</definedName>
    <definedName name="HTFeed_4">'Chemical Data'!$Y$66</definedName>
    <definedName name="HTFeed_5">'Chemical Data'!$Y$67</definedName>
    <definedName name="HV_A_C">'Chemical Properties'!$BA$1</definedName>
    <definedName name="HV_B_C">'Chemical Properties'!$BB$1</definedName>
    <definedName name="HV_C_C">'Chemical Properties'!$BC$1</definedName>
    <definedName name="HVAP_1">'New Chemical'!$I$17</definedName>
    <definedName name="HVAP_2">'New Chemical'!$J$17</definedName>
    <definedName name="HVAP_A">'Chemical Data'!$H$74</definedName>
    <definedName name="HVAP_B">'Chemical Data'!$H$75</definedName>
    <definedName name="HVAP_C">'Chemical Data'!$H$76</definedName>
    <definedName name="Hyperlink_Name">'Input Error Check'!$E$3</definedName>
    <definedName name="IE">'IPL Credits'!$G$11:$G$22</definedName>
    <definedName name="IE_Fire">'IPL Credits'!$G$25:$G$36</definedName>
    <definedName name="IE_Fire_Table">'IPL Credits'!$G$25:$H$36</definedName>
    <definedName name="IE_Fire_Tool">'IPL Credits'!$G$25:$G$30</definedName>
    <definedName name="IE_Fire_USER">'IPL Credits'!$G$31:$G$36</definedName>
    <definedName name="IE_Table">'IPL Credits'!$G$11:$H$22</definedName>
    <definedName name="IED_D_1">'Scenario Descriptors'!$E$130</definedName>
    <definedName name="IED_D_2">'Scenario Descriptors'!$E$131</definedName>
    <definedName name="IED_D_3">'Scenario Descriptors'!$E$132</definedName>
    <definedName name="IED_D_4">'Scenario Descriptors'!$E$133</definedName>
    <definedName name="IED_D_5">'Scenario Descriptors'!$E$134</definedName>
    <definedName name="IED_D_6">'Scenario Descriptors'!$E$135</definedName>
    <definedName name="IED_D_7">'Scenario Descriptors'!$E$136</definedName>
    <definedName name="IED_D_8">'Scenario Descriptors'!$E$137</definedName>
    <definedName name="IED_FE_1">'Scenario Descriptors'!$E$105</definedName>
    <definedName name="IED_FE_10">'Scenario Descriptors'!$E$115</definedName>
    <definedName name="IED_FE_12">'Scenario Descriptors'!$E$117</definedName>
    <definedName name="IED_FE_2">'Scenario Descriptors'!$E$106</definedName>
    <definedName name="IED_FE_20">'Scenario Descriptors'!$E$119</definedName>
    <definedName name="IED_FE_21">'Scenario Descriptors'!$E$120</definedName>
    <definedName name="IED_FE_22">'Scenario Descriptors'!$E$121</definedName>
    <definedName name="IED_FE_23">'Scenario Descriptors'!$E$122</definedName>
    <definedName name="IED_FE_3">'Scenario Descriptors'!$E$107</definedName>
    <definedName name="IED_FE_30">'Scenario Descriptors'!$E$124</definedName>
    <definedName name="IED_FE_31">'Scenario Descriptors'!$E$125</definedName>
    <definedName name="IED_FE_4">'Scenario Descriptors'!$E$108</definedName>
    <definedName name="IED_FE_5">'Scenario Descriptors'!$E$110</definedName>
    <definedName name="IED_FE_6">'Scenario Descriptors'!$E$111</definedName>
    <definedName name="IED_FE_7">'Scenario Descriptors'!$E$112</definedName>
    <definedName name="IED_FE_8">'Scenario Descriptors'!$E$113</definedName>
    <definedName name="IED_FE_9">'Scenario Descriptors'!$E$114</definedName>
    <definedName name="IED_Gen_1">'Scenario Descriptors'!$E$5</definedName>
    <definedName name="IED_Gen_10">'Scenario Descriptors'!$E$14</definedName>
    <definedName name="IED_Gen_11">'Scenario Descriptors'!$E$15</definedName>
    <definedName name="IED_Gen_12">'Scenario Descriptors'!$E$16</definedName>
    <definedName name="IED_Gen_13">'Scenario Descriptors'!$E$17</definedName>
    <definedName name="IED_Gen_14">'Scenario Descriptors'!$E$18</definedName>
    <definedName name="IED_Gen_15">'Scenario Descriptors'!$E$19</definedName>
    <definedName name="IED_Gen_16">'Scenario Descriptors'!$E$20</definedName>
    <definedName name="IED_Gen_17">'Scenario Descriptors'!$E$21</definedName>
    <definedName name="IED_Gen_2">'Scenario Descriptors'!$E$6</definedName>
    <definedName name="IED_Gen_20">'Scenario Descriptors'!$E$23</definedName>
    <definedName name="IED_Gen_21">'Scenario Descriptors'!$E$24</definedName>
    <definedName name="IED_Gen_22">'Scenario Descriptors'!$E$25</definedName>
    <definedName name="IED_Gen_23">'Scenario Descriptors'!$E$26</definedName>
    <definedName name="IED_Gen_24">'Scenario Descriptors'!$E$27</definedName>
    <definedName name="IED_Gen_25">'Scenario Descriptors'!$E$28</definedName>
    <definedName name="IED_Gen_26">'Scenario Descriptors'!$E$29</definedName>
    <definedName name="IED_Gen_27">'Scenario Descriptors'!$E$30</definedName>
    <definedName name="IED_Gen_28">'Scenario Descriptors'!$E$31</definedName>
    <definedName name="IED_Gen_29">'Scenario Descriptors'!$E$32</definedName>
    <definedName name="IED_Gen_3">'Scenario Descriptors'!$E$7</definedName>
    <definedName name="IED_Gen_30">'Scenario Descriptors'!$E$33</definedName>
    <definedName name="IED_Gen_31">'Scenario Descriptors'!$E$34</definedName>
    <definedName name="IED_Gen_32">'Scenario Descriptors'!$E$35</definedName>
    <definedName name="IED_Gen_33">'Scenario Descriptors'!$E$36</definedName>
    <definedName name="IED_Gen_34">'Scenario Descriptors'!$E$37</definedName>
    <definedName name="IED_Gen_35">'Scenario Descriptors'!$E$38</definedName>
    <definedName name="IED_Gen_36">'Scenario Descriptors'!$E$39</definedName>
    <definedName name="IED_Gen_37">'Scenario Descriptors'!$E$40</definedName>
    <definedName name="IED_Gen_4">'Scenario Descriptors'!$E$8</definedName>
    <definedName name="IED_Gen_40">'Scenario Descriptors'!$E$42</definedName>
    <definedName name="IED_Gen_41">'Scenario Descriptors'!$E$43</definedName>
    <definedName name="IED_Gen_43">'Scenario Descriptors'!$E$44</definedName>
    <definedName name="IED_Gen_44">'Scenario Descriptors'!$E$45</definedName>
    <definedName name="IED_Gen_45">'Scenario Descriptors'!$E$46</definedName>
    <definedName name="IED_Gen_46">'Scenario Descriptors'!$E$47</definedName>
    <definedName name="IED_Gen_47">'Scenario Descriptors'!$E$48</definedName>
    <definedName name="IED_Gen_48">'Scenario Descriptors'!$E$49</definedName>
    <definedName name="IED_Gen_49">'Scenario Descriptors'!$E$50</definedName>
    <definedName name="IED_Gen_5">'Scenario Descriptors'!$E$9</definedName>
    <definedName name="IED_Gen_50">'Scenario Descriptors'!$E$51</definedName>
    <definedName name="IED_Gen_51">'Scenario Descriptors'!$E$52</definedName>
    <definedName name="IED_Gen_52">'Scenario Descriptors'!$E$53</definedName>
    <definedName name="IED_Gen_54">'Scenario Descriptors'!$E$55</definedName>
    <definedName name="IED_Gen_55">'Scenario Descriptors'!$E$56</definedName>
    <definedName name="IED_Gen_56">'Scenario Descriptors'!$E$57</definedName>
    <definedName name="IED_Gen_57">'Scenario Descriptors'!$E$58</definedName>
    <definedName name="IED_Gen_58">'Scenario Descriptors'!$E$59</definedName>
    <definedName name="IED_Gen_6">'Scenario Descriptors'!$E$10</definedName>
    <definedName name="IED_Gen_60">'Scenario Descriptors'!$E$60</definedName>
    <definedName name="IED_Gen_61">'Scenario Descriptors'!$E$61</definedName>
    <definedName name="IED_Gen_62">'Scenario Descriptors'!$E$62</definedName>
    <definedName name="IED_Gen_63">'Scenario Descriptors'!$E$63</definedName>
    <definedName name="IED_Gen_64">'Scenario Descriptors'!$E$64</definedName>
    <definedName name="IED_Gen_65">'Scenario Descriptors'!$E$65</definedName>
    <definedName name="IED_Gen_66">'Scenario Descriptors'!$E$66</definedName>
    <definedName name="IED_Gen_67">'Scenario Descriptors'!$E$67</definedName>
    <definedName name="IED_Gen_68">'Scenario Descriptors'!$E$68</definedName>
    <definedName name="IED_Gen_69">'Scenario Descriptors'!$E$69</definedName>
    <definedName name="IED_Gen_7">'Scenario Descriptors'!$E$11</definedName>
    <definedName name="IED_Gen_70">'Scenario Descriptors'!$E$70</definedName>
    <definedName name="IED_Gen_71">'Scenario Descriptors'!$E$71</definedName>
    <definedName name="IED_Gen_72">'Scenario Descriptors'!$E$72</definedName>
    <definedName name="IED_Gen_8">'Scenario Descriptors'!$E$12</definedName>
    <definedName name="IED_Gen_9">'Scenario Descriptors'!$E$13</definedName>
    <definedName name="IED_MI_1">'Scenario Descriptors'!$E$89</definedName>
    <definedName name="IED_MI_2">'Scenario Descriptors'!$E$90</definedName>
    <definedName name="IED_MI_3">'Scenario Descriptors'!$E$91</definedName>
    <definedName name="IED_MI_4">'Scenario Descriptors'!$E$92</definedName>
    <definedName name="IED_Rx_1">'Scenario Descriptors'!$E$154</definedName>
    <definedName name="IED_Rx_10">'Scenario Descriptors'!$E$163</definedName>
    <definedName name="IED_Rx_11">'Scenario Descriptors'!$E$164</definedName>
    <definedName name="IED_Rx_2">'Scenario Descriptors'!$E$155</definedName>
    <definedName name="IED_Rx_3">'Scenario Descriptors'!$E$156</definedName>
    <definedName name="IED_Rx_4">'Scenario Descriptors'!$E$157</definedName>
    <definedName name="IED_Rx_5">'Scenario Descriptors'!$E$158</definedName>
    <definedName name="IED_Rx_6">'Scenario Descriptors'!$E$159</definedName>
    <definedName name="IED_Rx_7">'Scenario Descriptors'!$E$160</definedName>
    <definedName name="IED_Rx_8">'Scenario Descriptors'!$E$161</definedName>
    <definedName name="IED_Rx_9">'Scenario Descriptors'!$E$162</definedName>
    <definedName name="IED_T_1">'Scenario Descriptors'!$E$143</definedName>
    <definedName name="IED_T_2">'Scenario Descriptors'!$E$144</definedName>
    <definedName name="IED_T_3">'Scenario Descriptors'!$E$145</definedName>
    <definedName name="IED_T_4">'Scenario Descriptors'!$E$146</definedName>
    <definedName name="IED_T_5">'Scenario Descriptors'!$E$147</definedName>
    <definedName name="IED_T_6">'Scenario Descriptors'!$E$148</definedName>
    <definedName name="IED_T_7">'Scenario Descriptors'!$E$149</definedName>
    <definedName name="Ignition_List">'Unit Conversion'!$S$4:$S$7</definedName>
    <definedName name="Incident">'Scenario Identification'!$BJ$3:$DJ$3</definedName>
    <definedName name="Incident_Explicit">'Scenario Identification'!$BJ$72:$DJ$72</definedName>
    <definedName name="Incident_Table">'Scenario Identification'!$BJ$3:$DI$63</definedName>
    <definedName name="Indirect">'Pool Fire Frequency'!$Z$8</definedName>
    <definedName name="Inert_Atm">'Process Conditions'!$C$19</definedName>
    <definedName name="Inert_FeedRate">'Unit Conversion'!$C$72</definedName>
    <definedName name="Inert_FeedRate_Input">'Process Conditions'!$C$23</definedName>
    <definedName name="Inert_FeedRate_Units">'Process Conditions'!$D$23</definedName>
    <definedName name="InertFeed_HD2">'Release Calculations'!$AE$693</definedName>
    <definedName name="InertFeed_HD3">'Release Calculations'!$AE$696</definedName>
    <definedName name="InhalTox_List">'Unit Conversion'!$S$36:$S$39</definedName>
    <definedName name="Initial_Design_Intent">'Scenario Identification'!$DS$3</definedName>
    <definedName name="Initiating_Event">'Scenario Identification'!$AK$3:$BH$3</definedName>
    <definedName name="Initiating_Event_Table">'Scenario Identification'!$AK$3:$BH$63</definedName>
    <definedName name="Insul_List">'Unit Conversion'!$Q$15:$Q$17</definedName>
    <definedName name="Insulation">'Equipment Input'!$D$23</definedName>
    <definedName name="Insulation_Factor">'Equipment Input'!$D$24</definedName>
    <definedName name="Intended_Reaction">'Reaction Input'!$D$23</definedName>
    <definedName name="International_Decimal">'IPL Credits'!$N$38</definedName>
    <definedName name="International_System">'IPL Credits'!$N$37</definedName>
    <definedName name="International_Thousands">'IPL Credits'!$N$39</definedName>
    <definedName name="Inventory">'Unit Conversion'!$C$64</definedName>
    <definedName name="Inventory_Input">'Process Conditions'!$C$11</definedName>
    <definedName name="Inventory_List">'Unit Conversion'!$O$25:$O$30</definedName>
    <definedName name="Inventory_Units">'Process Conditions'!$D$11</definedName>
    <definedName name="IPL_Alarm">'IPL List'!$A$2</definedName>
    <definedName name="IPL_Column">'IPL List'!$C$2</definedName>
    <definedName name="IPL_Comment">'IPL List'!$R$2</definedName>
    <definedName name="IPL_Credit_Factor">'IPL List'!$F$2</definedName>
    <definedName name="IPL_DelayTime">'IPL List'!$P$2</definedName>
    <definedName name="IPL_Detail_Desc">'IPL List'!$H$2</definedName>
    <definedName name="IPL_Equipment_Tag">'IPL List'!$E$2</definedName>
    <definedName name="IPL_FCE1">'IPL List'!$M$2</definedName>
    <definedName name="IPL_FCE2">'IPL List'!$N$2</definedName>
    <definedName name="IPL_Gen_Desc">'IPL List'!$G$2</definedName>
    <definedName name="IPL_LogicSolver">'IPL List'!$S$2</definedName>
    <definedName name="IPL_MALR">'IPL List'!$Q$2</definedName>
    <definedName name="IPL_Notes">'IPL Credits'!$V$11</definedName>
    <definedName name="IPL_Operator">'IPL Credits'!$B$11:$B$13</definedName>
    <definedName name="IPL_Operator_Factor">'IPL Credits'!$B$11:$D$13</definedName>
    <definedName name="IPL_PRD">'IPL Credits'!$B$21:$B$27</definedName>
    <definedName name="IPL_PRD_Factor">'IPL Credits'!$B$21:$D$27</definedName>
    <definedName name="IPL_Scenario">'IPL List'!$D$2</definedName>
    <definedName name="IPL_Sensor1">'IPL List'!$J$2</definedName>
    <definedName name="IPL_Sensor2">'IPL List'!$K$2</definedName>
    <definedName name="IPL_Sensor3">'IPL List'!$L$2</definedName>
    <definedName name="IPL_SetPoint">'IPL List'!$O$2</definedName>
    <definedName name="IPL_SIS">'IPL Credits'!$B$15:$B$19</definedName>
    <definedName name="IPL_SIS_Factor">'IPL Credits'!$B$15:$D$19</definedName>
    <definedName name="IPL_SRPS">'IPL Credits'!$B$29:$B$47</definedName>
    <definedName name="IPL_SRPS_Factor">'IPL Credits'!$B$29:$D$47</definedName>
    <definedName name="IPL_Status">'IPL List'!$I$2</definedName>
    <definedName name="IPL_Type">'IPL List'!$B$2</definedName>
    <definedName name="IPLD_D_1">'Scenario Descriptors'!$G$130</definedName>
    <definedName name="IPLD_FE_1">'Scenario Descriptors'!$G$105</definedName>
    <definedName name="IPLD_FE_10">'Scenario Descriptors'!$G$117</definedName>
    <definedName name="IPLD_FE_2">'Scenario Descriptors'!$G$106</definedName>
    <definedName name="IPLD_FE_20">'Scenario Descriptors'!$G$119</definedName>
    <definedName name="IPLD_FE_21">'Scenario Descriptors'!$G$120</definedName>
    <definedName name="IPLD_FE_22">'Scenario Descriptors'!$G$121</definedName>
    <definedName name="IPLD_FE_29">'Scenario Descriptors'!$G$124</definedName>
    <definedName name="IPLD_FE_3">'Scenario Descriptors'!$G$107</definedName>
    <definedName name="IPLD_FE_30">'Scenario Descriptors'!$G$125</definedName>
    <definedName name="IPLD_FE_4">'Scenario Descriptors'!$G$108</definedName>
    <definedName name="IPLD_FE_5">'Scenario Descriptors'!$G$110</definedName>
    <definedName name="IPLD_FE_6">'Scenario Descriptors'!$G$111</definedName>
    <definedName name="IPLD_FE_7">'Scenario Descriptors'!$G$112</definedName>
    <definedName name="IPLD_FE_8">'Scenario Descriptors'!$G$113</definedName>
    <definedName name="IPLD_FE_9">'Scenario Descriptors'!$G$114</definedName>
    <definedName name="IPLD_Gen_1">'Scenario Descriptors'!$G$7</definedName>
    <definedName name="IPLD_Gen_10">'Scenario Descriptors'!$G$15</definedName>
    <definedName name="IPLD_Gen_11">'Scenario Descriptors'!$G$16</definedName>
    <definedName name="IPLD_Gen_12">'Scenario Descriptors'!$G$17</definedName>
    <definedName name="IPLD_Gen_13">'Scenario Descriptors'!$G$18</definedName>
    <definedName name="IPLD_Gen_14">'Scenario Descriptors'!$G$19</definedName>
    <definedName name="IPLD_Gen_15">'Scenario Descriptors'!$G$20</definedName>
    <definedName name="IPLD_Gen_16">'Scenario Descriptors'!$G$21</definedName>
    <definedName name="IPLD_Gen_17">'Scenario Descriptors'!$G$22</definedName>
    <definedName name="IPLD_Gen_2">'Scenario Descriptors'!$G$8</definedName>
    <definedName name="IPLD_Gen_20">'Scenario Descriptors'!$G$27</definedName>
    <definedName name="IPLD_Gen_21">'Scenario Descriptors'!$G$28</definedName>
    <definedName name="IPLD_Gen_22">'Scenario Descriptors'!$G$29</definedName>
    <definedName name="IPLD_Gen_3">'Scenario Descriptors'!$G$9</definedName>
    <definedName name="IPLD_Gen_32">'Scenario Descriptors'!$G$35</definedName>
    <definedName name="IPLD_Gen_34">'Scenario Descriptors'!$G$37</definedName>
    <definedName name="IPLD_Gen_37">'Scenario Descriptors'!$G$41</definedName>
    <definedName name="IPLD_Gen_38">'Scenario Descriptors'!$G$42</definedName>
    <definedName name="IPLD_Gen_39">'Scenario Descriptors'!$G$43</definedName>
    <definedName name="IPLD_Gen_4">'Scenario Descriptors'!$G$10</definedName>
    <definedName name="IPLD_Gen_41">'Scenario Descriptors'!$G$45</definedName>
    <definedName name="IPLD_Gen_42">'Scenario Descriptors'!$G$46</definedName>
    <definedName name="IPLD_MI_1">'Scenario Descriptors'!$G$89</definedName>
    <definedName name="IPLD_MI_2">'Scenario Descriptors'!$G$90</definedName>
    <definedName name="IPLD_MI_3">'Scenario Descriptors'!$G$91</definedName>
    <definedName name="IPLD_Rx_1">'Scenario Descriptors'!$G$154</definedName>
    <definedName name="IPLD_T_1">'Scenario Descriptors'!$G$143</definedName>
    <definedName name="IPLD_T_4">'Scenario Descriptors'!$G$146</definedName>
    <definedName name="Jet_Mix_Parameter">'Special Calcs'!$G$206</definedName>
    <definedName name="K_Material">'Reaction Input'!$D$45</definedName>
    <definedName name="Key_withGeneration">'Reaction Input'!$R$22</definedName>
    <definedName name="Large_HD2">'Release Calculations'!$N$282</definedName>
    <definedName name="Large_HD3">'Release Calculations'!$N$285</definedName>
    <definedName name="Large_Top_HD2">'Release Calculations'!$N$666</definedName>
    <definedName name="Large_Top_HD3">'Release Calculations'!$N$669</definedName>
    <definedName name="Last_Equipment_Row">'Risk Summary'!$AJ$8</definedName>
    <definedName name="Last_Scenario_Row">'Risk Summary'!$AJ$5</definedName>
    <definedName name="Lat_Ht">'Chemical Data'!$N$55</definedName>
    <definedName name="Lat_Ht_A_N">'New Chemical'!$E$17</definedName>
    <definedName name="Lat_Ht_atTBp">'Chemical Data'!$S$55</definedName>
    <definedName name="Lat_Ht_B_N">'New Chemical'!$E$18</definedName>
    <definedName name="Lat_Ht_C_N">'New Chemical'!$E$19</definedName>
    <definedName name="Layout">'Plant Layout'!$G$6</definedName>
    <definedName name="LC1_1">'Chemical Data'!$AO$30</definedName>
    <definedName name="LC1_2">'Chemical Data'!$AO$31</definedName>
    <definedName name="LC1_3">'Chemical Data'!$AO$32</definedName>
    <definedName name="LC1_4">'Chemical Data'!$AO$33</definedName>
    <definedName name="LC1_5">'Chemical Data'!$AO$34</definedName>
    <definedName name="LC1_Mix">'Chemical Data'!$E$49</definedName>
    <definedName name="LC1_Ratio">'Study Parameters'!$C$22</definedName>
    <definedName name="LC1HT_1">'Chemical Data'!$AL$71</definedName>
    <definedName name="LC1HT_2">'Chemical Data'!$AL$72</definedName>
    <definedName name="LC1HT_3">'Chemical Data'!$AL$73</definedName>
    <definedName name="LC1HT_4">'Chemical Data'!$AL$74</definedName>
    <definedName name="LC1HT_5">'Chemical Data'!$AL$75</definedName>
    <definedName name="LC1Pad">'Chemical Data'!$N$76</definedName>
    <definedName name="LC50_1">'Chemical Data'!$AP$30</definedName>
    <definedName name="LC50_2">'Chemical Data'!$AP$31</definedName>
    <definedName name="LC50_3">'Chemical Data'!$AP$32</definedName>
    <definedName name="LC50_4">'Chemical Data'!$AP$33</definedName>
    <definedName name="LC50_5">'Chemical Data'!$AP$34</definedName>
    <definedName name="LC50_Mix">'Chemical Data'!$I$49</definedName>
    <definedName name="LC50_Ratio">'Study Parameters'!$C$23</definedName>
    <definedName name="LC50HT_1">'Chemical Data'!$AM$71</definedName>
    <definedName name="LC50HT_2">'Chemical Data'!$AM$72</definedName>
    <definedName name="LC50HT_3">'Chemical Data'!$AM$73</definedName>
    <definedName name="LC50HT_4">'Chemical Data'!$AM$74</definedName>
    <definedName name="LC50HT_5">'Chemical Data'!$AM$75</definedName>
    <definedName name="LC50Pad">'Chemical Data'!$N$77</definedName>
    <definedName name="LCP_A_C">'Chemical Properties'!$AY$1</definedName>
    <definedName name="LCP_B_C">'Chemical Properties'!$AZ$1</definedName>
    <definedName name="LD_1">'New Chemical'!$I$15</definedName>
    <definedName name="LD_2">'New Chemical'!$J$15</definedName>
    <definedName name="LD_A">'Chemical Data'!$H$70</definedName>
    <definedName name="LD_A_C">'Chemical Properties'!$AW$1</definedName>
    <definedName name="LD_B">'Chemical Data'!$H$71</definedName>
    <definedName name="LD_B_C">'Chemical Properties'!$AX$1</definedName>
    <definedName name="Leak">'Release Calculations'!$N$16</definedName>
    <definedName name="Leak_Backflow">'Release Calculations'!$AG$16</definedName>
    <definedName name="Leak_Drain">'Release Calculations'!$J$16</definedName>
    <definedName name="Leak_ExtremeLarge">'Release Calculations'!$X$16</definedName>
    <definedName name="Leak_Fire">'Release Calculations'!$AV$48</definedName>
    <definedName name="Leak_From_InertFeed">'Release Calculations'!$AE$457</definedName>
    <definedName name="Leak_Ht_Trans">'Release Calculations'!$AX$48</definedName>
    <definedName name="Leak_Mech_Energy">'Release Calculations'!$AZ$48</definedName>
    <definedName name="Leak_Medium">'Release Calculations'!$T$16</definedName>
    <definedName name="Leak_Overfill">'Release Calculations'!$AE$16</definedName>
    <definedName name="Leak_Reaction">'Release Calculations'!$BB$48</definedName>
    <definedName name="Leak_Reaction_Catalyst">'Release Calculations'!$BH$48</definedName>
    <definedName name="Leak_Reaction_MisLoading">'Release Calculations'!$BL$48</definedName>
    <definedName name="Leak_Reaction_Pooling">'Release Calculations'!$BJ$48</definedName>
    <definedName name="Leak_Reaction_withFire">'Release Calculations'!$BF$48</definedName>
    <definedName name="Leak_Relief">'Release Calculations'!$AI$16</definedName>
    <definedName name="Leak_RupSat">'Release Calculations'!$BY$16</definedName>
    <definedName name="Leak_Rupture">'Release Calculations'!$BU$16</definedName>
    <definedName name="Leak_Seal">'Release Calculations'!$D$16</definedName>
    <definedName name="Leak_Small">'Release Calculations'!$F$16</definedName>
    <definedName name="Leak_Type">'Release Calculations'!$N$5</definedName>
    <definedName name="Leak_User">'Release Calculations'!$AK$16</definedName>
    <definedName name="Leak_UserHole">'Release Calculations'!$L$16</definedName>
    <definedName name="Leak_VeryLarge">'Release Calculations'!$V$16</definedName>
    <definedName name="Leak_VerySmall">'Release Calculations'!$P$16</definedName>
    <definedName name="Leakrate_Solids">'Special Calcs'!$C$77</definedName>
    <definedName name="Lethality_Correction">'Study Parameters'!$C$16</definedName>
    <definedName name="LFL_1">'Chemical Data'!$J$16</definedName>
    <definedName name="LFL_2">'Chemical Data'!$J$17</definedName>
    <definedName name="LFL_3">'Chemical Data'!$J$18</definedName>
    <definedName name="LFL_4">'Chemical Data'!$J$19</definedName>
    <definedName name="LFL_5">'Chemical Data'!$J$20</definedName>
    <definedName name="LFL_C">'Chemical Properties'!$AK$1</definedName>
    <definedName name="LFL_Estimate">'Chemical Data'!$H$78</definedName>
    <definedName name="LFL_Feed">'Chemical Data'!$AD$23</definedName>
    <definedName name="LFL_Fract_FlashFIre">'Study Parameters'!$J$6</definedName>
    <definedName name="LFL_Fract_VCE">'Special Calcs'!#REF!</definedName>
    <definedName name="LFL_Fract_VCE_Epicenter">'Special Calcs'!$H$64</definedName>
    <definedName name="LFL_Limit">'Study Parameters'!$J$18</definedName>
    <definedName name="LFL_Mix">'Chemical Data'!$J$21</definedName>
    <definedName name="LFL_N">'New Chemical'!$E$21</definedName>
    <definedName name="LFLHT_1">'Chemical Data'!$W$72</definedName>
    <definedName name="LFLHT_2">'Chemical Data'!$W$73</definedName>
    <definedName name="LFLHT_3">'Chemical Data'!$W$74</definedName>
    <definedName name="LFLHT_4">'Chemical Data'!$W$75</definedName>
    <definedName name="LFLHT_5">'Chemical Data'!$W$76</definedName>
    <definedName name="LH_Data_Units">'New Chemical'!$H$17</definedName>
    <definedName name="LHC_1">'New Chemical'!$I$16</definedName>
    <definedName name="LHC_2">'New Chemical'!$J$16</definedName>
    <definedName name="LHC_A">'Chemical Data'!$H$72</definedName>
    <definedName name="LHC_B">'Chemical Data'!$H$73</definedName>
    <definedName name="Limiting_Rate">'Reaction Input'!$D$22</definedName>
    <definedName name="Liq_C">'Chemical Data'!$N$53</definedName>
    <definedName name="Liq_C_A_N">'New Chemical'!$E$15</definedName>
    <definedName name="Liq_C_atTBp">'Chemical Data'!$S$53</definedName>
    <definedName name="Liq_C_B_N">'New Chemical'!$E$16</definedName>
    <definedName name="Liq_rho">'Chemical Data'!$N$51</definedName>
    <definedName name="Liq_rho_atTBp">'Chemical Data'!$S$51</definedName>
    <definedName name="Liq_rho_atTBurst">'Chemical Data'!$N$58</definedName>
    <definedName name="Liq_rho_atTFireBurst">'Chemical Data'!$N$59</definedName>
    <definedName name="Liq_rho_atTPeak">'Chemical Data'!$N$60</definedName>
    <definedName name="LiquidA_Key_Feed">'Chemical Data'!$T$18</definedName>
    <definedName name="LiquidB_Key_Feed">'Chemical Data'!$V$18</definedName>
    <definedName name="List_Cause">'Scenario List'!$D$10</definedName>
    <definedName name="List_Cause_Description">'Scenario List'!$E$10</definedName>
    <definedName name="List_Deviation">'Scenario List'!$C$10</definedName>
    <definedName name="List_Incident">'Scenario List'!$F$10</definedName>
    <definedName name="List_Included">'Scenario List'!$S$10</definedName>
    <definedName name="List_Notes">'Scenario List'!$V$10</definedName>
    <definedName name="List_Outcome">'Scenario List'!$H$10:$R$10</definedName>
    <definedName name="List_Outcome_All">'Scenario List'!$G$10</definedName>
    <definedName name="List_Recommendations">'Scenario List'!$U$10</definedName>
    <definedName name="List_Safeguards">'Scenario List'!$T$10</definedName>
    <definedName name="List_Scenario_Description">'Scenario List'!$B$10</definedName>
    <definedName name="List_Scenario_Type">'Scenario List'!$A$10</definedName>
    <definedName name="List_TF">'Scenario List'!$H$3:$R$10</definedName>
    <definedName name="Location">'Main Menu'!$F$22</definedName>
    <definedName name="Location_List">'Unit Conversion'!$M$4:$M$5</definedName>
    <definedName name="LOPA_Alt_PE">'LOPA Worksheet'!$O$2</definedName>
    <definedName name="LOPA_Alt_PI">'LOPA Worksheet'!$M$2</definedName>
    <definedName name="LOPA_Alt_TF">'LOPA Worksheet'!$F$2</definedName>
    <definedName name="LOPA_Approval_Date">'LOPA Worksheet'!$AL$2</definedName>
    <definedName name="LOPA_Approval_Name">'LOPA Worksheet'!$AK$2</definedName>
    <definedName name="LOPA_Approval_Type">'LOPA Worksheet'!$AJ$2</definedName>
    <definedName name="LOPA_Case_No">'LOPA Worksheet'!$B$2</definedName>
    <definedName name="LOPA_Desc">'LOPA Worksheet'!$C$2</definedName>
    <definedName name="LOPA_EF">'LOPA Worksheet'!$N$2</definedName>
    <definedName name="LOPA_HE_C1">'LOPA Worksheet'!$G$2</definedName>
    <definedName name="LOPA_HE_C2">'LOPA Worksheet'!$H$2</definedName>
    <definedName name="LOPA_IE">'LOPA Worksheet'!$I$2</definedName>
    <definedName name="LOPA_IE_C1">'LOPA Worksheet'!$J$2</definedName>
    <definedName name="LOPA_IE_C2">'LOPA Worksheet'!$K$2</definedName>
    <definedName name="LOPA_IPL1">'LOPA Worksheet'!$R$2</definedName>
    <definedName name="LOPA_IPL1_C1">'LOPA Worksheet'!$S$2</definedName>
    <definedName name="LOPA_IPL1_C2">'LOPA Worksheet'!$T$2</definedName>
    <definedName name="LOPA_IPL2">'LOPA Worksheet'!$U$2</definedName>
    <definedName name="LOPA_IPL2_C1">'LOPA Worksheet'!$V$2</definedName>
    <definedName name="LOPA_IPL2_C2">'LOPA Worksheet'!$W$2</definedName>
    <definedName name="LOPA_IPL3">'LOPA Worksheet'!$X$2</definedName>
    <definedName name="LOPA_IPL3_C1">'LOPA Worksheet'!$Y$2</definedName>
    <definedName name="LOPA_IPL3_C2">'LOPA Worksheet'!$Z$2</definedName>
    <definedName name="LOPA_IPL4">'LOPA Worksheet'!$AA$2</definedName>
    <definedName name="LOPA_IPL4_C1">'LOPA Worksheet'!$AB$2</definedName>
    <definedName name="LOPA_IPL4_C2">'LOPA Worksheet'!$AC$2</definedName>
    <definedName name="LOPA_IPL5">'LOPA Worksheet'!$AD$2</definedName>
    <definedName name="LOPA_IPL6">'LOPA Worksheet'!$AE$2</definedName>
    <definedName name="LOPA_IPL7">'LOPA Worksheet'!$AF$2</definedName>
    <definedName name="LOPA_IPL8">'LOPA Worksheet'!$AG$2</definedName>
    <definedName name="LOPA_Issues">'LOPA Worksheet'!$AI$1</definedName>
    <definedName name="LOPA_Notes">'LOPA Worksheet'!$AH$1</definedName>
    <definedName name="LOPA_POE">'LOPA Worksheet'!$P$2</definedName>
    <definedName name="LOPA_POI">'LOPA Worksheet'!$L$2</definedName>
    <definedName name="LOPA_Suggested_IPLs">'LOPA Worksheet'!$D$2</definedName>
    <definedName name="LOPA_TF">'LOPA Worksheet'!$E$2</definedName>
    <definedName name="Low_Tip_Speed">'Special Calcs'!$D$102</definedName>
    <definedName name="LowMix_Corr_T">'Chemical Data'!$D$104</definedName>
    <definedName name="LPR_Results">OFFSET(Out_LPR,1,0,Last_Scenario_Row-2,1)</definedName>
    <definedName name="LT_Embrittlement">'Special Calcs'!$D$18</definedName>
    <definedName name="LV_Ratio">'Chemical Data'!$Y$45</definedName>
    <definedName name="mag">{0,0.01,0.1,1,10,100,1000,10000,100000,1000000}</definedName>
    <definedName name="MART_R1">'Reaction Input'!$W$58</definedName>
    <definedName name="MART_R2">'Reaction Input'!$AF$58</definedName>
    <definedName name="MART_R3">'Reaction Input'!$AN$58</definedName>
    <definedName name="MART_R4">'Reaction Input'!$AV$58</definedName>
    <definedName name="MART_R5">'Reaction Input'!$BD$58</definedName>
    <definedName name="MART_R6">'Reaction Input'!$BL$58</definedName>
    <definedName name="MART_Rx1">'Reaction Input'!$Z$58</definedName>
    <definedName name="MART_Rx2">'Reaction Input'!$AI$58</definedName>
    <definedName name="MART_Rx3">'Reaction Input'!$AQ$58</definedName>
    <definedName name="MART_Rx4">'Reaction Input'!$AY$58</definedName>
    <definedName name="MART_Rx5">'Reaction Input'!$BG$58</definedName>
    <definedName name="MART_Rx6">'Reaction Input'!$BO$58</definedName>
    <definedName name="MART_SetPt">MART_MALR!$F$37</definedName>
    <definedName name="Mass_Equip">'Unit Conversion'!$C$33</definedName>
    <definedName name="Mass_Equip_Input">'Equipment Input'!$D$19</definedName>
    <definedName name="Mass_Equip_Units">'Equipment Input'!$E$19</definedName>
    <definedName name="Mass_Fv_OpTemp">'Release Calculations'!$D$34</definedName>
    <definedName name="Mass_Fv_ReliefTemp">'Release Calculations'!$AV$32</definedName>
    <definedName name="Mass_List">'Unit Conversion'!$O$25:$O$26</definedName>
    <definedName name="Matl_Construction">'Equipment Input'!$D$17</definedName>
    <definedName name="Matl_Construction_List">'Unit Conversion'!$O$52:$O$61</definedName>
    <definedName name="MAWP">'Unit Conversion'!$C$30</definedName>
    <definedName name="MAWP_Input">'Equipment Input'!$D$11</definedName>
    <definedName name="MAWP_Units">'Equipment Input'!$E$11</definedName>
    <definedName name="Max_ContainedMass">'Special Calcs'!$G$9</definedName>
    <definedName name="Max_ContainedMass_Output">'Unit Conversion'!$F$78</definedName>
    <definedName name="Max_Duration">'Study Parameters'!$C$14</definedName>
    <definedName name="Max_Feed_P">'Unit Conversion'!$C$66</definedName>
    <definedName name="Max_Feed_P_Input">'Process Conditions'!$C$15</definedName>
    <definedName name="Max_Feed_P_Units">'Process Conditions'!$D$15</definedName>
    <definedName name="Max_Fire_Duration">'Pool Fire Frequency'!$Z$17</definedName>
    <definedName name="Max_FIre_Temp">'Pool Fire Frequency'!$Z$25</definedName>
    <definedName name="Max_Inert_P">'Unit Conversion'!$C$71</definedName>
    <definedName name="Max_Inert_P_Input">'Process Conditions'!$C$22</definedName>
    <definedName name="Max_Inert_P_Units">'Process Conditions'!$D$22</definedName>
    <definedName name="Max_Inert_Vented">'Release Calculations'!$N$419</definedName>
    <definedName name="ME_Relief_Rate">'Release Calculations'!$AZ$7</definedName>
    <definedName name="ME_Trans_Rate">'Release Calculations'!$AZ$6</definedName>
    <definedName name="Mechanical_HD2">'Release Calculations'!$AZ$279</definedName>
    <definedName name="Mechanical_HD3">'Release Calculations'!$AZ$282</definedName>
    <definedName name="Medium_HD2">'Release Calculations'!$T$282</definedName>
    <definedName name="Medium_HD3">'Release Calculations'!$T$285</definedName>
    <definedName name="Medium_Top_HD2">'Release Calculations'!$T$666</definedName>
    <definedName name="Medium_Top_HD3">'Release Calculations'!$T$669</definedName>
    <definedName name="MI_ExtremeLarge_Hole">'Special Calcs'!$D$16</definedName>
    <definedName name="MI_Medium_Hole">'Special Calcs'!$D$14</definedName>
    <definedName name="MI_Small_Hole">'Special Calcs'!$D$13</definedName>
    <definedName name="MI_VeryLarge_Hole">'Special Calcs'!$D$15</definedName>
    <definedName name="Mitigating_IPLs">OFFSET(Out_Mitigate_IPL,1,0,Last_Scenario_Row-2,1)</definedName>
    <definedName name="Mixture_Comp_Data">'Chemical Data'!$B$16:$J$20</definedName>
    <definedName name="Mixture_Input">'Chemical Data'!$B$16:$D$19</definedName>
    <definedName name="Mixture_Prop_Used">'Chemical Data'!$H$25:$H$46</definedName>
    <definedName name="Modulating_Relief">'Special Calcs'!$C$28</definedName>
    <definedName name="Molar_Cs">'Chemical Data'!$Y$42</definedName>
    <definedName name="Molar_HtVap">'Chemical Data'!$Y$44</definedName>
    <definedName name="Molar_Vapor_Cs">'Chemical Data'!$Y$43</definedName>
    <definedName name="MolFract_Key_Chemical">'Chemical Data'!$P$2</definedName>
    <definedName name="MolVapor_Composition__Key">'Chemical Data'!$Z$18</definedName>
    <definedName name="Monomer">'Reaction Input'!$D$19</definedName>
    <definedName name="Monomer_C">'Chemical Properties'!$BP$1</definedName>
    <definedName name="Monomer_U">'Reaction Input'!$E$19</definedName>
    <definedName name="Motor">'Unit Conversion'!$C$58</definedName>
    <definedName name="Motor_Input">'Equipment Input'!$D$22</definedName>
    <definedName name="Motor_List">'Unit Conversion'!$Q$29:$Q$31</definedName>
    <definedName name="Motor_Screen">'Study Parameters'!$C$42</definedName>
    <definedName name="Motor_Units">'Equipment Input'!$E$22</definedName>
    <definedName name="Motor_Vibration">'Study Parameters'!$C$43</definedName>
    <definedName name="MP_C">'Chemical Properties'!$AD$1</definedName>
    <definedName name="Mw_1">'Chemical Data'!$X$2</definedName>
    <definedName name="Mw_2">'Chemical Data'!$X$3</definedName>
    <definedName name="Mw_3">'Chemical Data'!$X$4</definedName>
    <definedName name="Mw_4">'Chemical Data'!$X$5</definedName>
    <definedName name="Mw_5">'Chemical Data'!$X$6</definedName>
    <definedName name="Mw_C">'Chemical Properties'!$T$1</definedName>
    <definedName name="Mw_Feed">'Chemical Data'!$Q$24</definedName>
    <definedName name="Mw_HeadSpace">'Special Calcs'!$G$41</definedName>
    <definedName name="Mw_Mix">'Chemical Data'!$AA$23</definedName>
    <definedName name="MW_N">'New Chemical'!$E$7</definedName>
    <definedName name="MW_Pad">'Chemical Data'!$AB$56</definedName>
    <definedName name="MwHT_1">'Chemical Data'!$S$63</definedName>
    <definedName name="MwHT_2">'Chemical Data'!$S$64</definedName>
    <definedName name="MwHT_3">'Chemical Data'!$S$65</definedName>
    <definedName name="MwHT_4">'Chemical Data'!$S$66</definedName>
    <definedName name="MwHT_5">'Chemical Data'!$S$67</definedName>
    <definedName name="MwHT_Feed">'Chemical Data'!$Z$68</definedName>
    <definedName name="N_ExtremeHigh">'Study Parameters'!$J$53</definedName>
    <definedName name="N_High">'Study Parameters'!$J$51</definedName>
    <definedName name="N_Low">'Study Parameters'!$J$49</definedName>
    <definedName name="N_Moderate">'Study Parameters'!$J$50</definedName>
    <definedName name="N_OffSite">'Study Parameters'!$J$55</definedName>
    <definedName name="N_Screening">'Study Parameters'!$J$45</definedName>
    <definedName name="N_VeryHigh">'Study Parameters'!$J$52</definedName>
    <definedName name="N_VeryLow">'Study Parameters'!$J$48</definedName>
    <definedName name="NBPlume_A">'Special Calcs'!$G$210</definedName>
    <definedName name="NBPlume_A_Night">'Special Calcs'!$G$212</definedName>
    <definedName name="NBPlume_B">'Special Calcs'!$H$210</definedName>
    <definedName name="NBPlume_B_Night">'Special Calcs'!$H$212</definedName>
    <definedName name="NBPuff_A">'Special Calcs'!$G$211</definedName>
    <definedName name="NBPuff_A_Night">'Special Calcs'!$G$213</definedName>
    <definedName name="NBPuff_B">'Special Calcs'!$H$211</definedName>
    <definedName name="NBPuff_B_Night">'Special Calcs'!$H$213</definedName>
    <definedName name="New_Chemical">'New Chemical'!$E$4</definedName>
    <definedName name="New_IPL_Results">OFFSET(Out_New_IPL,1,0,Last_Scenario_Row-2,1)</definedName>
    <definedName name="NF_C">'Chemical Properties'!$AO$1</definedName>
    <definedName name="NF_SCORE">{2,2,6,18,54}</definedName>
    <definedName name="NFPA_F_Feed">'Chemical Data'!$H$35</definedName>
    <definedName name="NFPA_F_Max">'Chemical Data'!$H$95</definedName>
    <definedName name="NFPA_F_N">'New Chemical'!$E$36</definedName>
    <definedName name="NFPA_F_Pad">'Chemical Data'!$N$68</definedName>
    <definedName name="NFPA_F_U">'Chemical Data'!$I$35</definedName>
    <definedName name="NFPA_H_Feed">'Chemical Data'!$H$36</definedName>
    <definedName name="NFPA_H_Max">'Chemical Data'!$H$94</definedName>
    <definedName name="NFPA_H_N">'New Chemical'!$E$35</definedName>
    <definedName name="NFPA_H_U">'Chemical Data'!$I$36</definedName>
    <definedName name="NFPA_HT_F">'Chemical Data'!$O$68</definedName>
    <definedName name="NFPA_HT_H">'Chemical Data'!$O$67</definedName>
    <definedName name="NFPA_List">'Unit Conversion'!$S$29:$S$33</definedName>
    <definedName name="NFPA_R_Feed">'Chemical Data'!$H$38</definedName>
    <definedName name="NFPA_R_Max">'Chemical Data'!$H$96</definedName>
    <definedName name="NFPA_R_N">'New Chemical'!$E$37</definedName>
    <definedName name="NFPA_R_U">'Chemical Data'!$I$38</definedName>
    <definedName name="NH_C">'Chemical Properties'!$AN$1</definedName>
    <definedName name="NH_SCORE">{2,2,6,18,54}</definedName>
    <definedName name="NonConductive_Equipment">'Special Calcs'!$D$22</definedName>
    <definedName name="NR_C">'Chemical Properties'!$AP$1</definedName>
    <definedName name="NR_SCORE">{2,6,18,54,162}</definedName>
    <definedName name="Number_Trials">'Study Parameters'!$C$26</definedName>
    <definedName name="Obstacle_Density">'Special Calcs'!$H$59</definedName>
    <definedName name="Occ_Bldg">'Unit Conversion'!$C$13</definedName>
    <definedName name="Occ_Bldg_Cntr">'Unit Conversion'!$C$11</definedName>
    <definedName name="Occ_Bldg_Cntr_Input">'Plant Layout'!$H$13</definedName>
    <definedName name="Occ_Bldg_Cntr_Relief">'Unit Conversion'!$C$23</definedName>
    <definedName name="Occ_Bldg_Cntr_Relief_Input">'Equipment Input'!$H$48</definedName>
    <definedName name="Occ_Bldg_Cntr_Relief_Units">'Equipment Input'!$I$48</definedName>
    <definedName name="Occ_Bldg_Cntr_Units">'Plant Layout'!$I$13</definedName>
    <definedName name="Occ_Bldg_Input">'Plant Layout'!$H$11</definedName>
    <definedName name="Occ_Bldg_Name">'Plant Layout'!$H$10</definedName>
    <definedName name="Occ_Bldg_Relief">'Unit Conversion'!$C$21</definedName>
    <definedName name="Occ_Bldg_Relief_Input">'Equipment Input'!$H$47</definedName>
    <definedName name="Occ_Bldg_Relief_Units">'Equipment Input'!$I$47</definedName>
    <definedName name="Occ_Bldg_Units">'Plant Layout'!$I$11</definedName>
    <definedName name="Occ_Bldg_Vent">'Study Parameters'!$C$97</definedName>
    <definedName name="Occ_Bldg2">'Unit Conversion'!$C$14</definedName>
    <definedName name="Occ_Bldg2_Cntr">'Unit Conversion'!$C$16</definedName>
    <definedName name="Occ_Bldg2_Cntr_Input">'Plant Layout'!$H$21</definedName>
    <definedName name="Occ_Bldg2_Cntr_Relief">'Unit Conversion'!$C$24</definedName>
    <definedName name="Occ_Bldg2_Cntr_Relief_Input">'Equipment Input'!$H$51</definedName>
    <definedName name="Occ_Bldg2_Cntr_Relief_Units">'Equipment Input'!$I$51</definedName>
    <definedName name="Occ_Bldg2_Cntr_Units">'Plant Layout'!$I$21</definedName>
    <definedName name="Occ_Bldg2_Direction">'Plant Layout'!$H$17</definedName>
    <definedName name="Occ_Bldg2_Input">'Plant Layout'!$H$19</definedName>
    <definedName name="Occ_Bldg2_Name">'Plant Layout'!$H$18</definedName>
    <definedName name="Occ_Bldg2_Relief">'Unit Conversion'!$C$22</definedName>
    <definedName name="Occ_Bldg2_Relief_Direction">'Equipment Input'!$H$49</definedName>
    <definedName name="Occ_Bldg2_Relief_Input">'Equipment Input'!$H$50</definedName>
    <definedName name="Occ_Bldg2_Relief_Units">'Equipment Input'!$I$50</definedName>
    <definedName name="Occ_Bldg2_Units">'Plant Layout'!$I$19</definedName>
    <definedName name="OccBldg_Elevation">'Unit Conversion'!$C$12</definedName>
    <definedName name="OccBldg_Elevation_Input">'Plant Layout'!$H$12</definedName>
    <definedName name="OccBldg_Elevation_Units">'Plant Layout'!$I$12</definedName>
    <definedName name="OccBldg2_Elevation">'Unit Conversion'!$C$15</definedName>
    <definedName name="OccBldg2_Elevation_Input">'Plant Layout'!$H$20</definedName>
    <definedName name="OccBldg2_Elevation_Units">'Plant Layout'!$I$20</definedName>
    <definedName name="Occupants_atRisk">'Plant Layout'!$H$16</definedName>
    <definedName name="Occupants_atRisk2">'Plant Layout'!$H$24</definedName>
    <definedName name="OD_Review">'Process Conditions'!$G$28</definedName>
    <definedName name="OD_Review_Date">'Process Conditions'!$H$28</definedName>
    <definedName name="Offsite_Area_Bldg_Factor">'Special Calcs'!$H$56</definedName>
    <definedName name="Offsite_Area_Fraction">'Plant Layout'!$H$25</definedName>
    <definedName name="Offsite_Area_Fraction_Default">'Study Parameters'!$J$21</definedName>
    <definedName name="Offsite_Bldg_a">'Special Calcs'!$H$55</definedName>
    <definedName name="Offsite_Bldg_Type_Coefficient">'Special Calcs'!$H$51</definedName>
    <definedName name="Offsite_Bldg_Type_Correction">'Special Calcs'!$H$48</definedName>
    <definedName name="Offsite_Bldg_Type_Exponent">'Special Calcs'!$H$54</definedName>
    <definedName name="Offsite_Building_Type">'Plant Layout'!$H$26</definedName>
    <definedName name="Offsite_PD">'Study Parameters'!$C$92</definedName>
    <definedName name="Offsite_PD1">'Plant Layout'!$C$15</definedName>
    <definedName name="Offsite_PD2">'Plant Layout'!$C$16</definedName>
    <definedName name="OnSite_Limit">'Study Parameters'!$C$15</definedName>
    <definedName name="Onsite_PD">'Special Calcs'!$G$162</definedName>
    <definedName name="Onsite_PD_Default">'Study Parameters'!$C$99</definedName>
    <definedName name="Op_Indoors">'Special Calcs'!$G$163</definedName>
    <definedName name="Op_Indoors_Limit">'Study Parameters'!$C$100</definedName>
    <definedName name="Op_Number">'Plant Layout'!$C$32</definedName>
    <definedName name="Operating_Time">'Process Conditions'!$H$21</definedName>
    <definedName name="OpTime_List">'Unit Conversion'!$O$15:$O$17</definedName>
    <definedName name="Out_API">'Scenario Results'!$CN$2</definedName>
    <definedName name="Out_API_Desc">'Scenario Results'!$EG$2</definedName>
    <definedName name="Out_API_Detail">'Scenario Results'!$EH$2</definedName>
    <definedName name="Out_AQ">'Scenario Results'!$AK$2</definedName>
    <definedName name="Out_AQ_Units">'Scenario Results'!$AL$2</definedName>
    <definedName name="Out_AR">'Scenario Results'!$AM$2</definedName>
    <definedName name="Out_AR_Units">'Scenario Results'!$AN$2</definedName>
    <definedName name="Out_ATEF">'Scenario Results'!$CQ$2</definedName>
    <definedName name="Out_ATEF_Desc">'Scenario Results'!$EK$2</definedName>
    <definedName name="Out_ATEF_Detail">'Scenario Results'!$EL$2</definedName>
    <definedName name="Out_ATF">'Scenario Results'!$CJ$2</definedName>
    <definedName name="Out_ATF_Desc">'Scenario Results'!$DL$2</definedName>
    <definedName name="Out_ATF_Detail">'Scenario Results'!$DM$2</definedName>
    <definedName name="Out_Bldg1_Name">'Scenario Results'!$AY$2</definedName>
    <definedName name="Out_Bldg2_Name">'Scenario Results'!$AZ$2</definedName>
    <definedName name="Out_Case_Evaluation">'Scenario Results'!$CV$2</definedName>
    <definedName name="Out_Cause">'Scenario Results'!$E$2</definedName>
    <definedName name="Out_Cause_Comment">'Scenario Results'!$ED$2</definedName>
    <definedName name="Out_Cause_Desc">'Scenario Results'!$DP$2</definedName>
    <definedName name="Out_Cause_Desc_Tool">'Scenario Results'!$DO$2</definedName>
    <definedName name="Out_Cause_FinalElement">'Scenario Results'!$DY$2</definedName>
    <definedName name="Out_Cause_FinalElement2">'Scenario Results'!$DZ$2</definedName>
    <definedName name="Out_Cause_FinalElement3">'Scenario Results'!$EA$2</definedName>
    <definedName name="Out_Cause_FinalElement4">'Scenario Results'!$EB$2</definedName>
    <definedName name="Out_Cause_LogicSolver">'Scenario Results'!$EC$2</definedName>
    <definedName name="Out_Cause_Sensor">'Scenario Results'!$DT$2</definedName>
    <definedName name="Out_Cause_Sensor2">'Scenario Results'!$DU$2</definedName>
    <definedName name="Out_Cause_Sensor3">'Scenario Results'!$DV$2</definedName>
    <definedName name="Out_Cause_Sensor4">'Scenario Results'!$DW$2</definedName>
    <definedName name="Out_Cause_Sensor5">'Scenario Results'!$DX$2</definedName>
    <definedName name="Out_Cause_Tool">'Scenario Results'!$DN$2</definedName>
    <definedName name="Out_Comments">'Scenario Results'!$DC$2</definedName>
    <definedName name="Out_Compare">'Scenario Results'!$DA$2</definedName>
    <definedName name="Out_Conc_atOccBldg">'Scenario Results'!$BB$2</definedName>
    <definedName name="Out_Conc_atOccBldg2">'Scenario Results'!$BC$2</definedName>
    <definedName name="Out_Consequence">'Scenario Results'!$CG$2</definedName>
    <definedName name="Out_Consequence_User">'Scenario Results'!$CH$2</definedName>
    <definedName name="Out_Credible">'Scenario Results'!$CW$2</definedName>
    <definedName name="Out_Cross_Ref">'Scenario Results'!$B$2</definedName>
    <definedName name="Out_Dist_10psi">'Scenario Results'!$BN$2</definedName>
    <definedName name="Out_Dist_10psi_Units">'Scenario Results'!$BO$2</definedName>
    <definedName name="Out_Dist_1psi">'Scenario Results'!$BP$2</definedName>
    <definedName name="Out_Dist_1psi_Units">'Scenario Results'!$BQ$2</definedName>
    <definedName name="Out_Dist_3x_ERPG3">'Scenario Results'!$AS$2</definedName>
    <definedName name="Out_Dist_3x_ERPG3_Units">'Scenario Results'!$AT$2</definedName>
    <definedName name="Out_Dist_Debris">'Scenario Results'!$BX$2</definedName>
    <definedName name="Out_Dist_Debris_Units">'Scenario Results'!$BY$2</definedName>
    <definedName name="Out_Dist_ERPG2">'Scenario Results'!$AO$2</definedName>
    <definedName name="Out_Dist_ERPG2_Units">'Scenario Results'!$AP$2</definedName>
    <definedName name="Out_Dist_ERPG3">'Scenario Results'!$AQ$2</definedName>
    <definedName name="Out_Dist_ERPG3_Units">'Scenario Results'!$AR$2</definedName>
    <definedName name="Out_Dist_Frag">'Scenario Results'!$BT$2</definedName>
    <definedName name="Out_Dist_Half_LFL">'Scenario Results'!$BL$2</definedName>
    <definedName name="Out_Dist_Half_LFL_Units">'Scenario Results'!$BM$2</definedName>
    <definedName name="Out_Dist_LFL">'Scenario Results'!$BJ$2</definedName>
    <definedName name="Out_Dist_LFL_Units">'Scenario Results'!$BK$2</definedName>
    <definedName name="Out_Dist2_Frag">'Scenario Results'!$BU$2</definedName>
    <definedName name="Out_DowGEP">'Scenario Results'!#REF!</definedName>
    <definedName name="Out_DurMR">'Scenario Results'!$Z$2</definedName>
    <definedName name="Out_DurT">'Scenario Results'!$AA$2</definedName>
    <definedName name="Out_EF_Desc">'Scenario Results'!$EI$2</definedName>
    <definedName name="Out_EF_Detail">'Scenario Results'!$EJ$2</definedName>
    <definedName name="Out_Enc_Process_Conc">'Scenario Results'!$BF$2</definedName>
    <definedName name="Out_Enc_Process_Conc_W">'Scenario Results'!$BG$2</definedName>
    <definedName name="Out_Equip_Tag">'Scenario Results'!$C$2</definedName>
    <definedName name="Out_Equip_Type">'Scenario Results'!$I$2</definedName>
    <definedName name="Out_Equip_Vol">'Scenario Results'!$M$2</definedName>
    <definedName name="Out_Equip_Vol_Units">'Scenario Results'!$N$2</definedName>
    <definedName name="Out_ER2">'Scenario Results'!$AE$2</definedName>
    <definedName name="Out_ER3">'Scenario Results'!$AF$2</definedName>
    <definedName name="Out_Est_POE">'Scenario Results'!$CD$2</definedName>
    <definedName name="Out_Exp_Dist_1psi">'Scenario Results'!$BZ$2</definedName>
    <definedName name="Out_Exp_Dist_2psi">'Scenario Results'!$CA$2</definedName>
    <definedName name="Out_Feed_Comp">'Scenario Results'!$T$2</definedName>
    <definedName name="Out_FK">'Scenario Results'!$AD$2</definedName>
    <definedName name="Out_FlashError">'Scenario Results'!$K$2</definedName>
    <definedName name="Out_FM">'Scenario Results'!$BV$2</definedName>
    <definedName name="Out_FM_Units">'Scenario Results'!$BW$2</definedName>
    <definedName name="Out_FragRange">'Scenario Results'!$BR$2</definedName>
    <definedName name="Out_FragRange_Units">'Scenario Results'!$BS$2</definedName>
    <definedName name="Out_Gap">'Scenario Results'!$CU$2</definedName>
    <definedName name="Out_HD_LC1">'Scenario Results'!$AU$2</definedName>
    <definedName name="Out_HD_LC1_Units">'Scenario Results'!$AV$2</definedName>
    <definedName name="Out_HD_LC50">'Scenario Results'!$AW$2</definedName>
    <definedName name="Out_HD_LC50_Units">'Scenario Results'!$AX$2</definedName>
    <definedName name="Out_HE_Comment">'Scenario Results'!$DS$2</definedName>
    <definedName name="Out_Hole">'Scenario Results'!$O$2</definedName>
    <definedName name="Out_Hole_Units">'Scenario Results'!$P$2</definedName>
    <definedName name="Out_IEF">'Scenario Results'!$CL$2</definedName>
    <definedName name="Out_Incident">'Scenario Results'!$F$2</definedName>
    <definedName name="Out_IPL_1">'Scenario Results'!$EP$2</definedName>
    <definedName name="Out_IPL_2">'Scenario Results'!$FD$2</definedName>
    <definedName name="Out_IPL_3">'Scenario Results'!$FR$2</definedName>
    <definedName name="Out_IPL_4">'Scenario Results'!$GF$2</definedName>
    <definedName name="Out_IPL_5">'Scenario Results'!$GT$2</definedName>
    <definedName name="Out_IPL_6">'Scenario Results'!$GW$2</definedName>
    <definedName name="Out_IPL_7">'Scenario Results'!$GZ$2</definedName>
    <definedName name="Out_IPL_8">'Scenario Results'!$HC$2</definedName>
    <definedName name="Out_IPL1_Alarm">'Scenario Results'!$ES$2</definedName>
    <definedName name="Out_IPL1_ALR">'Scenario Results'!$FA$2</definedName>
    <definedName name="Out_IPL1_DelayTime">'Scenario Results'!$EZ$2</definedName>
    <definedName name="Out_IPL1_Desc">'Scenario Results'!$EQ$2</definedName>
    <definedName name="Out_IPL1_Detail">'Scenario Results'!$ER$2</definedName>
    <definedName name="Out_IPL1_FinalElement">'Scenario Results'!$EW$2</definedName>
    <definedName name="Out_IPL1_FinalElement2">'Scenario Results'!$EX$2</definedName>
    <definedName name="Out_IPL1_LogicSolver">'Scenario Results'!$FC$2</definedName>
    <definedName name="Out_IPL1_Other">'Scenario Results'!$FB$2</definedName>
    <definedName name="Out_IPL1_Sensor">'Scenario Results'!$ET$2</definedName>
    <definedName name="Out_IPL1_Sensor2">'Scenario Results'!$EU$2</definedName>
    <definedName name="Out_IPL1_Sensor3">'Scenario Results'!$EV$2</definedName>
    <definedName name="Out_IPL1_SetPoint">'Scenario Results'!$EY$2</definedName>
    <definedName name="Out_IPL1_Status">'Scenario Results'!$HG$2</definedName>
    <definedName name="Out_IPL2_Alarm">'Scenario Results'!$FG$2</definedName>
    <definedName name="Out_IPL2_ALR">'Scenario Results'!$FO$2</definedName>
    <definedName name="Out_IPL2_DelayTime">'Scenario Results'!$FN$2</definedName>
    <definedName name="Out_IPL2_Desc">'Scenario Results'!$FE$2</definedName>
    <definedName name="Out_IPL2_Detail">'Scenario Results'!$FF$2</definedName>
    <definedName name="Out_IPL2_FinalElement">'Scenario Results'!$FK$2</definedName>
    <definedName name="Out_IPL2_FinalElement2">'Scenario Results'!$FL$2</definedName>
    <definedName name="Out_IPL2_LogicSolver">'Scenario Results'!$FQ$2</definedName>
    <definedName name="Out_IPL2_Other">'Scenario Results'!$FP$2</definedName>
    <definedName name="Out_IPL2_Sensor">'Scenario Results'!$FH$2</definedName>
    <definedName name="Out_IPL2_Sensor2">'Scenario Results'!$FI$2</definedName>
    <definedName name="Out_IPL2_Sensor3">'Scenario Results'!$FJ$2</definedName>
    <definedName name="Out_IPL2_SetPoint">'Scenario Results'!$FM$2</definedName>
    <definedName name="Out_IPL2_Status">'Scenario Results'!$HH$2</definedName>
    <definedName name="Out_IPL3_Comment">'Scenario Results'!$GD$2</definedName>
    <definedName name="Out_IPL3_DelayTime">'Scenario Results'!$GB$2</definedName>
    <definedName name="Out_IPL3_Desc">'Scenario Results'!$FS$2</definedName>
    <definedName name="Out_IPL3_Detail">'Scenario Results'!$FT$2</definedName>
    <definedName name="Out_IPL3_FinalElement">'Scenario Results'!$FY$2</definedName>
    <definedName name="Out_IPL3_FinalElement2">'Scenario Results'!$FZ$2</definedName>
    <definedName name="Out_IPL3_LogicSolver">'Scenario Results'!$GE$2</definedName>
    <definedName name="Out_IPL3_Other">'Scenario Results'!$GC$2</definedName>
    <definedName name="Out_IPL3_Sensor">'Scenario Results'!$FV$2</definedName>
    <definedName name="Out_IPL3_Sensor2">'Scenario Results'!$FW$2</definedName>
    <definedName name="Out_IPL3_Sensor3">'Scenario Results'!$FX$2</definedName>
    <definedName name="Out_IPL3_SetPoint">'Scenario Results'!$GA$2</definedName>
    <definedName name="Out_IPL3_Status">'Scenario Results'!$HI$2</definedName>
    <definedName name="Out_IPL4_Comment">'Scenario Results'!$GR$2</definedName>
    <definedName name="Out_IPL4_DelayTime">'Scenario Results'!$GP$2</definedName>
    <definedName name="Out_IPL4_Desc">'Scenario Results'!$GG$2</definedName>
    <definedName name="Out_IPL4_Detail">'Scenario Results'!$GH$2</definedName>
    <definedName name="Out_IPL4_FinalElement">'Scenario Results'!$GM$2</definedName>
    <definedName name="Out_IPL4_FinalElement2">'Scenario Results'!$GN$2</definedName>
    <definedName name="Out_IPL4_LogicSolver">'Scenario Results'!$GS$2</definedName>
    <definedName name="Out_IPL4_Other">'Scenario Results'!$GQ$2</definedName>
    <definedName name="Out_IPL4_Sensor">'Scenario Results'!$GJ$2</definedName>
    <definedName name="Out_IPL4_Sensor2">'Scenario Results'!$GK$2</definedName>
    <definedName name="Out_IPL4_Sensor3">'Scenario Results'!$GL$2</definedName>
    <definedName name="Out_IPL4_SetPoint">'Scenario Results'!$GO$2</definedName>
    <definedName name="Out_IPL4_Status">'Scenario Results'!$HJ$2</definedName>
    <definedName name="Out_IPL5_Desc">'Scenario Results'!$GU$2</definedName>
    <definedName name="Out_IPL5_Detail">'Scenario Results'!$GV$2</definedName>
    <definedName name="Out_IPL5_Status">'Scenario Results'!$HK$2</definedName>
    <definedName name="Out_IPL6_Desc">'Scenario Results'!$GX$2</definedName>
    <definedName name="Out_IPL6_Detail">'Scenario Results'!$GY$2</definedName>
    <definedName name="Out_IPL6_Status">'Scenario Results'!$HL$2</definedName>
    <definedName name="Out_IPL7_Desc">'Scenario Results'!$HA$2</definedName>
    <definedName name="Out_IPL7_Detail">'Scenario Results'!$HB$2</definedName>
    <definedName name="Out_IPL7_Status">'Scenario Results'!$HM$2</definedName>
    <definedName name="Out_IPL8_Desc">'Scenario Results'!$HD$2</definedName>
    <definedName name="Out_IPL8_Detail">'Scenario Results'!$HE$2</definedName>
    <definedName name="Out_IPL8_Status">'Scenario Results'!$HN$2</definedName>
    <definedName name="Out_Issues">'Scenario Results'!$DD$2</definedName>
    <definedName name="Out_Key_Chemical">'Scenario Results'!$J$2</definedName>
    <definedName name="Out_Last_Calc_Date">'Scenario Results'!$CZ$2</definedName>
    <definedName name="Out_Last_Version">'Scenario Results'!$CY$2</definedName>
    <definedName name="Out_LC1">'Scenario Results'!$AG$2</definedName>
    <definedName name="Out_LC50">'Scenario Results'!$AH$2</definedName>
    <definedName name="Out_LFL">'Scenario Results'!$AJ$2</definedName>
    <definedName name="Out_Location">'Scenario Results'!$Q$2</definedName>
    <definedName name="Out_LPR">'Scenario Results'!$CT$2</definedName>
    <definedName name="Out_LS_Inst_Credits">'Scenario Results'!$EO$2</definedName>
    <definedName name="Out_New_IPL">'Scenario Results'!$HF$2</definedName>
    <definedName name="Out_Outcome">'Scenario Results'!$G$2</definedName>
    <definedName name="Out_Outcome_Desc">'Scenario Results'!$CE$2</definedName>
    <definedName name="Out_Outcome_Desc_User">'Scenario Results'!$CF$2</definedName>
    <definedName name="Out_PCA">'Scenario Results'!$DI$2</definedName>
    <definedName name="Out_PCA_Date">'Scenario Results'!$DJ$2</definedName>
    <definedName name="Out_PI">'Scenario Results'!$CM$2</definedName>
    <definedName name="Out_PI_Used">'Scenario Results'!$CO$2</definedName>
    <definedName name="Out_Plant_Section">'Scenario Results'!$H$2</definedName>
    <definedName name="Out_POE">'Scenario Results'!$CS$2</definedName>
    <definedName name="Out_POE_Desc">'Scenario Results'!$EM$2</definedName>
    <definedName name="Out_POE_Detail">'Scenario Results'!$EN$2</definedName>
    <definedName name="Out_POI_Desc">'Scenario Results'!$EE$2</definedName>
    <definedName name="Out_POI_Detail">'Scenario Results'!$EF$2</definedName>
    <definedName name="Out_PoolA">'Scenario Results'!$AB$2</definedName>
    <definedName name="Out_PoolA_Units">'Scenario Results'!$AC$2</definedName>
    <definedName name="Out_Procedure_FR">'Scenario Results'!$DR$2</definedName>
    <definedName name="Out_Procedure_Freq">'Scenario Results'!$DQ$2</definedName>
    <definedName name="Out_PSA">'Scenario Results'!$DG$2</definedName>
    <definedName name="Out_PSA_Date">'Scenario Results'!$DH$2</definedName>
    <definedName name="Out_Quality">'Scenario Results'!$DB$2</definedName>
    <definedName name="Out_Ref">'Scenario Results'!$L$2</definedName>
    <definedName name="Out_Release_Calcs">'Scenario Results'!$K$2:$CC$2</definedName>
    <definedName name="Out_RelP">'Scenario Results'!$V$2</definedName>
    <definedName name="Out_RelP_Units">'Scenario Results'!$W$2</definedName>
    <definedName name="Out_RelT">'Scenario Results'!$U$2</definedName>
    <definedName name="Out_Scaled_LC1">'Scenario Results'!$AI$2</definedName>
    <definedName name="Out_Scenario_No">'Scenario Results'!$A$2</definedName>
    <definedName name="Out_Scenario_Type">'Scenario Results'!$D$2</definedName>
    <definedName name="Out_SIFA">'Scenario Results'!$FU$2</definedName>
    <definedName name="Out_SIFB">'Scenario Results'!$GI$2</definedName>
    <definedName name="Out_Source">'Scenario Results'!$CX$2</definedName>
    <definedName name="Out_Suggested_IPLs">'Scenario Results'!$DK$2</definedName>
    <definedName name="Out_TCA">'Scenario Results'!$DE$2</definedName>
    <definedName name="Out_TCA_Date">'Scenario Results'!$DF$2</definedName>
    <definedName name="Out_TEF">'Scenario Results'!$CP$2</definedName>
    <definedName name="Out_TEF_Used">'Scenario Results'!$CR$2</definedName>
    <definedName name="Out_TF">'Scenario Results'!$CI$2</definedName>
    <definedName name="Out_TF_Used">'Scenario Results'!$CK$2</definedName>
    <definedName name="Out_Time_Relief">'Scenario Results'!$CB$2</definedName>
    <definedName name="Out_Time_Relief_Units">'Scenario Results'!$CC$2</definedName>
    <definedName name="Out_TimeER3_atOccBldg">'Scenario Results'!$BD$2</definedName>
    <definedName name="Out_TimeER3_atOccBldg2">'Scenario Results'!$BE$2</definedName>
    <definedName name="Out_TimeER3_Enc_Process">'Scenario Results'!$BH$2</definedName>
    <definedName name="Out_TimeER3_Enc_Process_W">'Scenario Results'!$BI$2</definedName>
    <definedName name="Out_TR">'Scenario Results'!$R$2</definedName>
    <definedName name="Out_TR_Units">'Scenario Results'!$S$2</definedName>
    <definedName name="Out_TRR">'Scenario Results'!$X$2</definedName>
    <definedName name="Out_TRR_Units">'Scenario Results'!$Y$2</definedName>
    <definedName name="Out_Wind_Direction">'Scenario Results'!$BA$2</definedName>
    <definedName name="Outcome">'Scenario Analysis'!$CN$3:$CX$3</definedName>
    <definedName name="Outcome_Desc">'Scenario Analysis'!$CZ$3:$DJ$3</definedName>
    <definedName name="Outcome_Summary_Table">'Scenario Analysis'!$E$5:$BW$57</definedName>
    <definedName name="Outcome_User">'Scenario Analysis'!$GY$3:$HI$3</definedName>
    <definedName name="Outdoor_Fract">'Study Parameters'!$C$93</definedName>
    <definedName name="Outdoor_Fract_Night">'Study Parameters'!$C$94</definedName>
    <definedName name="Outdoor_PD">'Plant Layout'!$C$12</definedName>
    <definedName name="Overfill_1">'Release Calculations'!$AE$38</definedName>
    <definedName name="Overfill_2">'Release Calculations'!$AE$39</definedName>
    <definedName name="Overfill_3">'Release Calculations'!$AE$40</definedName>
    <definedName name="Overfill_4">'Release Calculations'!$AE$41</definedName>
    <definedName name="Overfill_5">'Release Calculations'!$AE$42</definedName>
    <definedName name="Overfill_HD2">'Release Calculations'!$AE$295</definedName>
    <definedName name="Overfill_HD3">'Release Calculations'!$AE$298</definedName>
    <definedName name="Overflow_Location">'Process Conditions'!$C$26</definedName>
    <definedName name="Overflow_Time">'Special Calcs'!$C$129</definedName>
    <definedName name="Overflow_Time_Units">'Special Calcs'!$D$129</definedName>
    <definedName name="P">'Unit Conversion'!$I$46</definedName>
    <definedName name="P_Act_Energy">'Equipment Table'!$FR$3</definedName>
    <definedName name="P_AIgnite">'Equipment Table'!$DJ$3</definedName>
    <definedName name="P_Aquatic_Tox">'Equipment Table'!$DT$3</definedName>
    <definedName name="P_atBurst_PeakT">'Chemical Data'!$O$47</definedName>
    <definedName name="P_atCoolant">'Chemical Data'!$O$45</definedName>
    <definedName name="P_atHeatMedia">'Chemical Data'!$O$44</definedName>
    <definedName name="P_atMax_FeedT">'Chemical Data'!$O$46</definedName>
    <definedName name="P_atME_Continuous">'Special Calcs'!$C$166</definedName>
    <definedName name="P_atMechEng">'Special Calcs'!$C$165</definedName>
    <definedName name="P_Conductive">'Equipment Table'!$DZ$3</definedName>
    <definedName name="P_Dermal_Tox">'Equipment Table'!$DS$3</definedName>
    <definedName name="P_DHR">'Equipment Table'!$FQ$3</definedName>
    <definedName name="P_Dust_Class">'Equipment Table'!$DM$3</definedName>
    <definedName name="P_Dust_Hybrid">'Equipment Table'!$DQ$3</definedName>
    <definedName name="P_Dust_MIE">'Equipment Table'!$DP$3</definedName>
    <definedName name="P_Dust_Size">'Equipment Table'!$DN$3</definedName>
    <definedName name="P_Ease_of_Ignition">'Equipment Table'!$DK$3</definedName>
    <definedName name="P_Flame_Speed">'Equipment Table'!$DL$3</definedName>
    <definedName name="P_Flash_Pt">'Equipment Table'!$DH$3</definedName>
    <definedName name="P_Fract_Key_Chemical">'Equipment Table'!$CR$3</definedName>
    <definedName name="P_Fraction_Dust">'Equipment Table'!$DO$3</definedName>
    <definedName name="P_Gas_Exo">'Equipment Table'!$FV$3</definedName>
    <definedName name="P_Gas_Gen">'Equipment Table'!$FW$3</definedName>
    <definedName name="P_Input">'Chemical Data'!$I$6</definedName>
    <definedName name="P_Monomer">'Equipment Table'!$FX$3</definedName>
    <definedName name="P_NFPA_F">'Equipment Table'!$DV$3</definedName>
    <definedName name="P_NFPA_H">'Equipment Table'!$DW$3</definedName>
    <definedName name="P_NFPA_R">'Equipment Table'!$DY$3</definedName>
    <definedName name="P_phi">'Equipment Table'!$FS$3</definedName>
    <definedName name="P_Rdet">'Equipment Table'!$FU$3</definedName>
    <definedName name="P_Reactive_Risk">'Equipment Table'!$DX$3</definedName>
    <definedName name="P_Rx_Data_Reference">'Equipment Table'!$FO$3</definedName>
    <definedName name="P_Surge">'Special Calcs'!$C$49</definedName>
    <definedName name="P_Sustain_Burn">'Equipment Table'!$DI$3</definedName>
    <definedName name="P_Tdet">'Equipment Table'!$FT$3</definedName>
    <definedName name="P_Test_Method">'Equipment Table'!$FP$3</definedName>
    <definedName name="P_TM">'Equipment Table'!$DG$3</definedName>
    <definedName name="P_Units">'Chemical Data'!$J$6</definedName>
    <definedName name="P_Unlimited">'Unit Conversion'!$C$63</definedName>
    <definedName name="P0_rel">'Chemical Data'!$N$35</definedName>
    <definedName name="P1_rel">'Chemical Data'!$O$35</definedName>
    <definedName name="P2_rel">'Chemical Data'!$P$35</definedName>
    <definedName name="Pad_ER2">'Chemical Data'!$G$53</definedName>
    <definedName name="Pad_ER3">'Chemical Data'!$H$53</definedName>
    <definedName name="Pad_Flow">'Release Calculations'!$AE$478</definedName>
    <definedName name="Pad_FP">'Chemical Data'!$J$53</definedName>
    <definedName name="Pad_HazClass">'Chemical Data'!$N$78</definedName>
    <definedName name="Pad_LFL">'Chemical Data'!$I$53</definedName>
    <definedName name="Pad_MW">'Chemical Data'!$F$53</definedName>
    <definedName name="Pad_Name">'Process Conditions'!$C$21</definedName>
    <definedName name="Pad_Pressure">'Chemical Data'!$O$48</definedName>
    <definedName name="Pad_Vent">'Special Calcs'!$G$35</definedName>
    <definedName name="Parameter_Deviation">'Scenario Identification'!$DV$3</definedName>
    <definedName name="Partipants">'Main Menu'!$G$18</definedName>
    <definedName name="Path">'Revision History'!$C$7</definedName>
    <definedName name="Peak_Deflag">'Study Parameters'!$J$13</definedName>
    <definedName name="Penalty_Corrosive">'Special Calcs'!$D$9</definedName>
    <definedName name="Penalty_Insulation">'Special Calcs'!$D$11</definedName>
    <definedName name="Penalty_Screwed">'Special Calcs'!$C$5</definedName>
    <definedName name="Penalty_Screwed2">'Special Calcs'!$C$6</definedName>
    <definedName name="Penalty_Screwed3">'Special Calcs'!$C$7</definedName>
    <definedName name="Penalty_Screwed4">'Special Calcs'!$C$8</definedName>
    <definedName name="Permits">'Relief Effluent'!$H$5</definedName>
    <definedName name="PFF_1">'Pool Fire Frequency'!$B$38</definedName>
    <definedName name="PFF_10">'Pool Fire Frequency'!$B$47</definedName>
    <definedName name="PFF_2">'Pool Fire Frequency'!$B$39</definedName>
    <definedName name="PFF_3">'Pool Fire Frequency'!$B$40</definedName>
    <definedName name="PFF_4">'Pool Fire Frequency'!$B$41</definedName>
    <definedName name="PFF_5">'Pool Fire Frequency'!$B$42</definedName>
    <definedName name="PFF_6">'Pool Fire Frequency'!$B$43</definedName>
    <definedName name="PFF_7">'Pool Fire Frequency'!$B$44</definedName>
    <definedName name="PFF_8">'Pool Fire Frequency'!$B$45</definedName>
    <definedName name="PFF_9">'Pool Fire Frequency'!$B$46</definedName>
    <definedName name="phi">'Reaction Input'!$D$20</definedName>
    <definedName name="phi_C">'Chemical Properties'!$BN$1</definedName>
    <definedName name="phi_U">'Reaction Input'!$E$20</definedName>
    <definedName name="Phys_Prop_Used">'Chemical Data'!$C$60:$H$101</definedName>
    <definedName name="PID_Number">'Main Menu'!$F$26</definedName>
    <definedName name="Pipe_Length">'Unit Conversion'!$C$43</definedName>
    <definedName name="Pipe_Length_Input">'Equipment Input'!$H$10</definedName>
    <definedName name="Pipe_Length_Units">'Equipment Input'!$I$10</definedName>
    <definedName name="Pipe_Vulnerable">'Equipment Input'!$H$11</definedName>
    <definedName name="Plant_Section">'Main Menu'!$F$25</definedName>
    <definedName name="Plume_sY_A">'Special Calcs'!$G$178</definedName>
    <definedName name="Plume_sY_A_Night">'Special Calcs'!$G$193</definedName>
    <definedName name="Plume_sY_B">'Special Calcs'!$H$178</definedName>
    <definedName name="Plume_sY_B_Night">'Special Calcs'!$H$193</definedName>
    <definedName name="Plume_sZ_A">'Special Calcs'!$G$179</definedName>
    <definedName name="Plume_sZ_A_Night">'Special Calcs'!$G$194</definedName>
    <definedName name="Plume_sZ_B">'Special Calcs'!$H$179</definedName>
    <definedName name="Plume_sZ_B_Night">'Special Calcs'!$H$194</definedName>
    <definedName name="Pmax_HtTrans">'Special Calcs'!$C$164</definedName>
    <definedName name="Pmax_ME_Continuous">'Special Calcs'!$C$168</definedName>
    <definedName name="Pmax_MechEng">'Special Calcs'!$C$167</definedName>
    <definedName name="Pmax_Source">'Special Calcs'!$C$169</definedName>
    <definedName name="Pn_1">'Chemical Data'!$AN$30</definedName>
    <definedName name="Pn_2">'Chemical Data'!$AN$31</definedName>
    <definedName name="Pn_3">'Chemical Data'!$AN$32</definedName>
    <definedName name="Pn_4">'Chemical Data'!$AN$33</definedName>
    <definedName name="Pn_5">'Chemical Data'!$AN$34</definedName>
    <definedName name="PnHT_1">'Chemical Data'!$AK$71</definedName>
    <definedName name="PnHT_2">'Chemical Data'!$AK$72</definedName>
    <definedName name="PnHT_3">'Chemical Data'!$AK$73</definedName>
    <definedName name="PnHT_4">'Chemical Data'!$AK$74</definedName>
    <definedName name="PnHT_5">'Chemical Data'!$AK$75</definedName>
    <definedName name="PnPad">'Chemical Data'!$N$75</definedName>
    <definedName name="POE_1">'IPL Credits'!$J$11:$J$21</definedName>
    <definedName name="POE_2">'IPL Credits'!$J$15:$J$21</definedName>
    <definedName name="POE_Alternate">'IPL Credits'!$J$41:$J$45</definedName>
    <definedName name="POE_Alternate_Table">'IPL Credits'!$J$41:$K$45</definedName>
    <definedName name="POE_Table">'IPL Credits'!$J$11:$K$21</definedName>
    <definedName name="POE_Table2">'IPL Credits'!$J$14:$K$21</definedName>
    <definedName name="POI_1">'IPL Credits'!$Q$35:$Q$39</definedName>
    <definedName name="POI_Table">'IPL Credits'!$Q$11:$R$39</definedName>
    <definedName name="Pool_1">'Release Calculations'!$D$38</definedName>
    <definedName name="Pool_1_Backflow">'Release Calculations'!$AG$57</definedName>
    <definedName name="Pool_1_Drain">'Release Calculations'!$J$57</definedName>
    <definedName name="Pool_1_ExtremeLarge">'Release Calculations'!$X$57</definedName>
    <definedName name="Pool_1_FullBore">'Release Calculations'!$N$57</definedName>
    <definedName name="Pool_1_Medium">'Release Calculations'!$T$57</definedName>
    <definedName name="Pool_1_Overfill">'Release Calculations'!$AE$57</definedName>
    <definedName name="Pool_1_Relief">'Release Calculations'!$AI$57</definedName>
    <definedName name="Pool_1_RupFire">'Release Calculations'!$CC$57</definedName>
    <definedName name="Pool_1_RupPeak">'Release Calculations'!$CA$57</definedName>
    <definedName name="Pool_1_RupSat">'Release Calculations'!$BY$57</definedName>
    <definedName name="Pool_1_Rupture">'Release Calculations'!$BU$57</definedName>
    <definedName name="Pool_1_Seal">'Release Calculations'!$D$57</definedName>
    <definedName name="Pool_1_Small">'Release Calculations'!$F$57</definedName>
    <definedName name="Pool_1_User">'Release Calculations'!$AK$57</definedName>
    <definedName name="Pool_1_UserHole">'Release Calculations'!$L$57</definedName>
    <definedName name="Pool_1_VeryLarge">'Release Calculations'!$V$57</definedName>
    <definedName name="Pool_1_VerySmall">'Release Calculations'!$P$57</definedName>
    <definedName name="Pool_2">'Release Calculations'!$D$39</definedName>
    <definedName name="Pool_2_Backflow">'Release Calculations'!$AG$58</definedName>
    <definedName name="Pool_2_Drain">'Release Calculations'!$J$58</definedName>
    <definedName name="Pool_2_ExtremeLarge">'Release Calculations'!$X$58</definedName>
    <definedName name="Pool_2_FullBore">'Release Calculations'!$N$58</definedName>
    <definedName name="Pool_2_Medium">'Release Calculations'!$T$58</definedName>
    <definedName name="Pool_2_Overfill">'Release Calculations'!$AE$58</definedName>
    <definedName name="Pool_2_Relief">'Release Calculations'!$AI$58</definedName>
    <definedName name="Pool_2_RupFire">'Release Calculations'!$CC$58</definedName>
    <definedName name="Pool_2_RupPeak">'Release Calculations'!$CA$58</definedName>
    <definedName name="Pool_2_RupSat">'Release Calculations'!$BY$58</definedName>
    <definedName name="Pool_2_Rupture">'Release Calculations'!$BU$58</definedName>
    <definedName name="Pool_2_Seal">'Release Calculations'!$D$58</definedName>
    <definedName name="Pool_2_Small">'Release Calculations'!$F$58</definedName>
    <definedName name="Pool_2_User">'Release Calculations'!$AK$58</definedName>
    <definedName name="Pool_2_UserHole">'Release Calculations'!$L$58</definedName>
    <definedName name="Pool_2_VeryLarge">'Release Calculations'!$V$58</definedName>
    <definedName name="Pool_2_VerySmall">'Release Calculations'!$P$58</definedName>
    <definedName name="Pool_3">'Release Calculations'!$D$40</definedName>
    <definedName name="Pool_3_Backflow">'Release Calculations'!Z$57</definedName>
    <definedName name="Pool_3_Drain">'Release Calculations'!$J$59</definedName>
    <definedName name="Pool_3_ExtremeLarge">'Release Calculations'!$X$59</definedName>
    <definedName name="Pool_3_FullBore">'Release Calculations'!$N$59</definedName>
    <definedName name="Pool_3_Medium">'Release Calculations'!$T$59</definedName>
    <definedName name="Pool_3_Overfill">'Release Calculations'!$AE$59</definedName>
    <definedName name="Pool_3_Relief">'Release Calculations'!$AI$59</definedName>
    <definedName name="Pool_3_RupFire">'Release Calculations'!$CC$59</definedName>
    <definedName name="Pool_3_RupPeak">'Release Calculations'!$CA$59</definedName>
    <definedName name="Pool_3_RupSat">'Release Calculations'!$BY$59</definedName>
    <definedName name="Pool_3_Rupture">'Release Calculations'!$BU$59</definedName>
    <definedName name="Pool_3_Seal">'Release Calculations'!$D$59</definedName>
    <definedName name="Pool_3_Small">'Release Calculations'!$F$59</definedName>
    <definedName name="Pool_3_User">'Release Calculations'!$AK$59</definedName>
    <definedName name="Pool_3_UserHole">'Release Calculations'!$L$59</definedName>
    <definedName name="Pool_3_VeryLarge">'Release Calculations'!$V$59</definedName>
    <definedName name="Pool_3_VerySmall">'Release Calculations'!$P$59</definedName>
    <definedName name="Pool_4">'Release Calculations'!$D$41</definedName>
    <definedName name="Pool_4_Backflow">'Release Calculations'!$AG$60</definedName>
    <definedName name="Pool_4_Drain">'Release Calculations'!$J$60</definedName>
    <definedName name="Pool_4_ExtremeLarge">'Release Calculations'!$X$60</definedName>
    <definedName name="Pool_4_FullBore">'Release Calculations'!$N$60</definedName>
    <definedName name="Pool_4_Medium">'Release Calculations'!$T$60</definedName>
    <definedName name="Pool_4_Overfill">'Release Calculations'!$AE$60</definedName>
    <definedName name="Pool_4_Relief">'Release Calculations'!$AI$60</definedName>
    <definedName name="Pool_4_RupFire">'Release Calculations'!$CC$60</definedName>
    <definedName name="Pool_4_RupPeak">'Release Calculations'!$CA$60</definedName>
    <definedName name="Pool_4_RupSat">'Release Calculations'!$BY$60</definedName>
    <definedName name="Pool_4_Rupture">'Release Calculations'!$BU$60</definedName>
    <definedName name="Pool_4_Seal">'Release Calculations'!$D$60</definedName>
    <definedName name="Pool_4_Small">'Release Calculations'!$F$60</definedName>
    <definedName name="Pool_4_User">'Release Calculations'!$AK$60</definedName>
    <definedName name="Pool_4_UserHole">'Release Calculations'!$L$60</definedName>
    <definedName name="Pool_4_VeryLarge">'Release Calculations'!$V$60</definedName>
    <definedName name="Pool_4_VerySmall">'Release Calculations'!$P$60</definedName>
    <definedName name="Pool_5">'Release Calculations'!$D$42</definedName>
    <definedName name="Pool_5_Backflow">'Release Calculations'!$AG$61</definedName>
    <definedName name="Pool_5_Drain">'Release Calculations'!$J$61</definedName>
    <definedName name="Pool_5_ExtremeLarge">'Release Calculations'!$X$61</definedName>
    <definedName name="Pool_5_FullBore">'Release Calculations'!$N$61</definedName>
    <definedName name="Pool_5_Medium">'Release Calculations'!$T$61</definedName>
    <definedName name="Pool_5_Overfill">'Release Calculations'!$AE$61</definedName>
    <definedName name="Pool_5_Relief">'Release Calculations'!$AI$61</definedName>
    <definedName name="Pool_5_RupFire">'Release Calculations'!$CC$61</definedName>
    <definedName name="Pool_5_RupPeak">'Release Calculations'!$CA$61</definedName>
    <definedName name="Pool_5_RupSat">'Release Calculations'!$BY$61</definedName>
    <definedName name="Pool_5_Rupture">'Release Calculations'!$BU$61</definedName>
    <definedName name="Pool_5_Seal">'Release Calculations'!$D$61</definedName>
    <definedName name="Pool_5_Small">'Release Calculations'!$F$61</definedName>
    <definedName name="Pool_5_User">'Release Calculations'!$AK$61</definedName>
    <definedName name="Pool_5_UserHole">'Release Calculations'!$L$61</definedName>
    <definedName name="Pool_5_VeryLarge">'Release Calculations'!$V$61</definedName>
    <definedName name="Pool_5_VerySmall">'Release Calculations'!$P$61</definedName>
    <definedName name="Pool_Coefficient">'Special Calcs'!$C$218</definedName>
    <definedName name="Pool_Fire_IE">'Special Calcs'!$D$21</definedName>
    <definedName name="PoolFire_By">'Pool Fire Frequency'!$D$6</definedName>
    <definedName name="PoolFire_Date">'Pool Fire Frequency'!$D$7</definedName>
    <definedName name="PoolRate_RupFire">'Release Calculations'!$CC$54</definedName>
    <definedName name="PoolRate_RupPeak">'Release Calculations'!$CA$54</definedName>
    <definedName name="PoolRate_RupSat">'Release Calculations'!$BY$54</definedName>
    <definedName name="PoolRate_Rupture">'Release Calculations'!$BU$54</definedName>
    <definedName name="PoolRate1_Backflow">'Release Calculations'!$AG$52</definedName>
    <definedName name="PoolRate1_Drain">'Release Calculations'!$J$52</definedName>
    <definedName name="PoolRate1_ExtremeLarge">'Release Calculations'!$X$52</definedName>
    <definedName name="PoolRate1_FullBore">'Release Calculations'!$N$52</definedName>
    <definedName name="PoolRate1_Medium">'Release Calculations'!$T$52</definedName>
    <definedName name="PoolRate1_Overfill">'Release Calculations'!$AE$52</definedName>
    <definedName name="PoolRate1_Relief">'Release Calculations'!$AI$52</definedName>
    <definedName name="PoolRate1_Seal">'Release Calculations'!$D$52</definedName>
    <definedName name="PoolRate1_Small">'Release Calculations'!$F$52</definedName>
    <definedName name="PoolRate1_User">'Release Calculations'!$AK$52</definedName>
    <definedName name="PoolRate1_UserHole">'Release Calculations'!$L$52</definedName>
    <definedName name="PoolRate1_VeryLarge">'Release Calculations'!$V$52</definedName>
    <definedName name="PoolRate1_VerySmall">'Release Calculations'!$P$52</definedName>
    <definedName name="PoolRate2_Backflow">'Release Calculations'!$AG$54</definedName>
    <definedName name="PoolRate2_Drain">'Release Calculations'!$J$54</definedName>
    <definedName name="PoolRate2_ExtremeLarge">'Release Calculations'!$X$54</definedName>
    <definedName name="PoolRate2_FullBore">'Release Calculations'!$N$54</definedName>
    <definedName name="PoolRate2_Medium">'Release Calculations'!$T$54</definedName>
    <definedName name="PoolRate2_Overfill">'Release Calculations'!$AE$54</definedName>
    <definedName name="PoolRate2_Relief">'Release Calculations'!$AI$54</definedName>
    <definedName name="PoolRate2_Seal">'Release Calculations'!$D$54</definedName>
    <definedName name="PoolRate2_Small">'Release Calculations'!$F$54</definedName>
    <definedName name="PoolRate2_User">'Release Calculations'!$AK$54</definedName>
    <definedName name="PoolRate2_UserHole">'Release Calculations'!$L$54</definedName>
    <definedName name="PoolRate2_VeryLarge">'Release Calculations'!$V$54</definedName>
    <definedName name="PoolRate2_VerySmall">'Release Calculations'!$P$54</definedName>
    <definedName name="Press_List">'Unit Conversion'!$Q$4:$Q$7</definedName>
    <definedName name="_xlnm.Print_Area" localSheetId="6">'Chemical Data'!$A$1:$K$56</definedName>
    <definedName name="_xlnm.Print_Area" localSheetId="7">'Equipment Input'!$A$1:$J$45</definedName>
    <definedName name="_xlnm.Print_Area" localSheetId="14">'FEI &amp; CEI'!$A$1:$N$62</definedName>
    <definedName name="_xlnm.Print_Area" localSheetId="16">'Hazards &amp; Consequences'!$A$3:$V$69</definedName>
    <definedName name="_xlnm.Print_Area" localSheetId="33">'IPL Credits'!$B$8:$R$49</definedName>
    <definedName name="_xlnm.Print_Area" localSheetId="25">MART_MALR!$A$1:$U$70</definedName>
    <definedName name="_xlnm.Print_Area" localSheetId="8">'New Chemical'!$A$1:$K$42</definedName>
    <definedName name="_xlnm.Print_Area" localSheetId="17">'Pool Fire Frequency'!$B$2:$W$50</definedName>
    <definedName name="_xlnm.Print_Area" localSheetId="11">'Reaction Input'!$A$1:$M$64</definedName>
    <definedName name="_xlnm.Print_Area" localSheetId="18">'Relief Effluent'!$A$1:$Y$62</definedName>
    <definedName name="_xlnm.Print_Area" localSheetId="19">'Scenario Identification'!$EF$3:$ER$63</definedName>
    <definedName name="_xlnm.Print_Area" localSheetId="15">'Scenario List'!$A$1:$G$10</definedName>
    <definedName name="_xlnm.Print_Area" localSheetId="24">'Scenario Results'!$A$2:$CW$2</definedName>
    <definedName name="_xlnm.Print_Titles" localSheetId="4">'Chemical Properties'!$A:$A,'Chemical Properties'!$1:$1</definedName>
    <definedName name="_xlnm.Print_Titles" localSheetId="5">'Equipment Table'!$A:$A,'Equipment Table'!$2:$3</definedName>
    <definedName name="_xlnm.Print_Titles" localSheetId="28">'LOPA Worksheet'!$A:$B,'LOPA Worksheet'!$1:$2</definedName>
    <definedName name="_xlnm.Print_Titles" localSheetId="17">'Pool Fire Frequency'!$A:$B,'Pool Fire Frequency'!$2:$36</definedName>
    <definedName name="_xlnm.Print_Titles" localSheetId="19">'Scenario Identification'!$C:$C</definedName>
    <definedName name="_xlnm.Print_Titles" localSheetId="15">'Scenario List'!$4:$10</definedName>
    <definedName name="_xlnm.Print_Titles" localSheetId="24">'Scenario Results'!$2:$2</definedName>
    <definedName name="ProbitLC1_C">'Chemical Properties'!$Z$1</definedName>
    <definedName name="ProbitLC50_C">'Chemical Properties'!$AA$1</definedName>
    <definedName name="Probitn_C">'Chemical Properties'!$AB$1</definedName>
    <definedName name="Process">'Process Conditions'!$G$6</definedName>
    <definedName name="Prop_Source_C">'Chemical Properties'!$C$1</definedName>
    <definedName name="Prx_Max">'Reaction Input'!$Q$57</definedName>
    <definedName name="Prx_Max_Adiabatic">'Reaction Input'!$Q$56</definedName>
    <definedName name="Prx_Max_Cat">'Reaction Input'!$Q$59</definedName>
    <definedName name="Prx_Max_Fire">'Reaction Input'!$Q$58</definedName>
    <definedName name="Prx_Max_MisLoading">'Reaction Input'!$Q$61</definedName>
    <definedName name="Prx_Max_Pooling">'Reaction Input'!$Q$60</definedName>
    <definedName name="Psat">'Chemical Data'!$O$42</definedName>
    <definedName name="Pseudo_Chem">'Chemical Data'!$C$35</definedName>
    <definedName name="Public">'Unit Conversion'!$C$8</definedName>
    <definedName name="Public_Input">'Plant Layout'!$C$10</definedName>
    <definedName name="Public_Relief">'Unit Conversion'!$C$20</definedName>
    <definedName name="Public_Relief_Input">'Equipment Input'!$H$46</definedName>
    <definedName name="Public_Relief_Units">'Equipment Input'!$I$46</definedName>
    <definedName name="Public_Units">'Plant Layout'!$D$10</definedName>
    <definedName name="Public_Units_Conversion">'Unit Conversion'!$E$8</definedName>
    <definedName name="Public2">'Unit Conversion'!$C$9</definedName>
    <definedName name="Public2_Input">'Plant Layout'!$C$11</definedName>
    <definedName name="Public2_Units">'Plant Layout'!$D$11</definedName>
    <definedName name="Puff_sX_A">'Special Calcs'!$G$180</definedName>
    <definedName name="Puff_sX_A_Night">'Special Calcs'!$G$195</definedName>
    <definedName name="Puff_sX_B">'Special Calcs'!$H$180</definedName>
    <definedName name="Puff_sX_B_Night">'Special Calcs'!$H$195</definedName>
    <definedName name="Puff_sY_A">'Special Calcs'!$G$181</definedName>
    <definedName name="Puff_sY_A_Night">'Special Calcs'!$G$196</definedName>
    <definedName name="Puff_sY_B">'Special Calcs'!$H$181</definedName>
    <definedName name="Puff_sY_B_Night">'Special Calcs'!$H$196</definedName>
    <definedName name="Puff_sZ_A">'Special Calcs'!$G$182</definedName>
    <definedName name="Puff_sZ_A_Night">'Special Calcs'!$G$197</definedName>
    <definedName name="Puff_sZ_B">'Special Calcs'!$H$182</definedName>
    <definedName name="Puff_sZ_B_Night">'Special Calcs'!$H$197</definedName>
    <definedName name="Pump_List">'Unit Conversion'!$O$47:$O$49</definedName>
    <definedName name="Pump_Mass1">'Special Calcs'!$D$215</definedName>
    <definedName name="Pump_Mass2">'Special Calcs'!$D$216</definedName>
    <definedName name="Pump_S">'Unit Conversion'!$C$29</definedName>
    <definedName name="Pump_S_Est">'Equipment Input'!$H$21</definedName>
    <definedName name="Pump_S_Input">'Equipment Input'!$I$21</definedName>
    <definedName name="Pump_Sur1">'Special Calcs'!$D$212</definedName>
    <definedName name="Pump_Sur2">'Special Calcs'!$D$213</definedName>
    <definedName name="Pump_Type">'Equipment Input'!$H$15</definedName>
    <definedName name="Pump_V">'Unit Conversion'!$C$28</definedName>
    <definedName name="Pump_V_Est">'Equipment Input'!$H$20</definedName>
    <definedName name="Pump_V_Input">'Equipment Input'!$I$20</definedName>
    <definedName name="Pump_Valves">'Equipment Input'!$H$18</definedName>
    <definedName name="Pump_Vol1">'Special Calcs'!$D$210</definedName>
    <definedName name="Pump_Vol2">'Special Calcs'!$D$211</definedName>
    <definedName name="PV_Energy">'Release Calculations'!$BU$339</definedName>
    <definedName name="PV_Energy_Fire">'Release Calculations'!$CC$339</definedName>
    <definedName name="PV_Energy_Tsat">'Release Calculations'!$BY$339</definedName>
    <definedName name="PVap">'Chemical Data'!$O$43</definedName>
    <definedName name="Q_ExtHeat">'Reaction Input'!$Z$38</definedName>
    <definedName name="Q_ExtHt_atRelief">'Reaction Input'!$AE$65</definedName>
    <definedName name="Q_Fire">'Reaction Input'!$AD$28</definedName>
    <definedName name="Q_Rx_atRelief">'Reaction Input'!$V$66</definedName>
    <definedName name="Q_Rx_atRelief_Catalyst">'Reaction Input'!$AU$66</definedName>
    <definedName name="Q_Rx_atRelief_ExtHt">'Reaction Input'!$AE$66</definedName>
    <definedName name="Q_Rx_atRelief_Fire">'Reaction Input'!$AM$66</definedName>
    <definedName name="Q_Rx_atRelief_MisLoading">'Reaction Input'!$BK$66</definedName>
    <definedName name="Q_Rx_atRelief_Pooling">'Reaction Input'!$BC$66</definedName>
    <definedName name="Q_Rx_Total">'Reaction Input'!$Q$71</definedName>
    <definedName name="R_CEI">'Equipment Table'!$JI$3</definedName>
    <definedName name="R_CEI_Desc">'Equipment Table'!$JJ$3</definedName>
    <definedName name="R_CEI_HD2">'Equipment Table'!$JK$3</definedName>
    <definedName name="R_CEI_HD3">'Equipment Table'!$JL$3</definedName>
    <definedName name="R_ER2_Mix">'Equipment Table'!$JH$3</definedName>
    <definedName name="R_FEI">'Equipment Table'!$JO$3</definedName>
    <definedName name="R_ROE">'Equipment Table'!$JP$3</definedName>
    <definedName name="r_Tinitial">'Reaction Input'!$Q$69</definedName>
    <definedName name="R_Trigger">'Equipment Table'!$JG$3</definedName>
    <definedName name="Rate_List">'Unit Conversion'!$Q$34:$Q$45</definedName>
    <definedName name="RCTest_List">'Unit Conversion'!$S$56:$S$59</definedName>
    <definedName name="Rdet">'Reaction Input'!$D$16</definedName>
    <definedName name="Rdet_C">'Chemical Properties'!$BK$1</definedName>
    <definedName name="Rdet_U">'Reaction Input'!$E$16</definedName>
    <definedName name="Reaction_Energy">'Release Calculations'!$BY$349</definedName>
    <definedName name="Reaction_Energy2">'Release Calculations'!$BW$349</definedName>
    <definedName name="Reaction_Energy3">'Release Calculations'!$CC$349</definedName>
    <definedName name="Reaction_Index">'Reaction Input'!$AE$71</definedName>
    <definedName name="Reaction_Index_Cat">'Reaction Input'!$AU$71</definedName>
    <definedName name="Reaction_Index_Fire">'Reaction Input'!$AM$71</definedName>
    <definedName name="Reaction_Index_MisLoading">'Reaction Input'!$BK$71</definedName>
    <definedName name="Reaction_Index_Pooling">'Reaction Input'!$BC$71</definedName>
    <definedName name="Reaction_Type">'Reaction Input'!$D$60</definedName>
    <definedName name="Reaction_withExtHeat">'Special Calcs'!$C$144</definedName>
    <definedName name="Reactive_HD2">'Release Calculations'!$BB$279</definedName>
    <definedName name="Reactive_HD3">'Release Calculations'!$BB$282</definedName>
    <definedName name="Reactive_Only">'Reaction Input'!$D$9</definedName>
    <definedName name="Reactive_Potential">'Special Calcs'!$C$141</definedName>
    <definedName name="Reactive_Potential_Fire">'Special Calcs'!$C$145</definedName>
    <definedName name="Reactive_Potential_HT">'Special Calcs'!$C$142</definedName>
    <definedName name="Reactive_Potential_ME">'Special Calcs'!$C$143</definedName>
    <definedName name="Reactive_Potential_MisLoad">'Special Calcs'!$C$147</definedName>
    <definedName name="Reactive_Potential_Pooling">'Special Calcs'!$C$146</definedName>
    <definedName name="Reactive_Relief_Rate">'Release Calculations'!$BB$7</definedName>
    <definedName name="Reactive_Risk_Feed">'Chemical Data'!$H$37</definedName>
    <definedName name="Reactive_Risk_N">'New Chemical'!$E$40</definedName>
    <definedName name="Reactive_Risk_U">'Chemical Data'!$I$37</definedName>
    <definedName name="Reactive_withCatalyst_HD2">'Release Calculations'!$BH$279</definedName>
    <definedName name="Reactive_withCatalyst_HD3">'Release Calculations'!$BH$282</definedName>
    <definedName name="Reactive_withFire_HD2">'Release Calculations'!$BF$279</definedName>
    <definedName name="Reactive_withFire_HD3">'Release Calculations'!$BF$282</definedName>
    <definedName name="Reactive_withMisloading_HD2">'Release Calculations'!$BL$279</definedName>
    <definedName name="Reactive_withMisloading_HD3">'Release Calculations'!$BL$282</definedName>
    <definedName name="Reactive_withPooling_HD2">'Release Calculations'!$BJ$279</definedName>
    <definedName name="Reactive_withPooling_HD3">'Release Calculations'!$BJ$282</definedName>
    <definedName name="ReactiveCategory_List">'Unit Conversion'!$S$49:$S$53</definedName>
    <definedName name="Reactivity_Data">'Reaction Input'!$D$22:$D$33</definedName>
    <definedName name="Reactivity_Data_U">'Reaction Input'!$E$13:$E$21</definedName>
    <definedName name="RegToxic">'Chemical Data'!$H$91</definedName>
    <definedName name="RegToxic_C">'Chemical Properties'!$Y$1</definedName>
    <definedName name="Regulatory_Tox">'Chemical Data'!$C$12</definedName>
    <definedName name="Regulatory_Toxic">'Chemical Data'!$D$12</definedName>
    <definedName name="Rel_1">'Chemical Data'!$T$2</definedName>
    <definedName name="Rel_2">'Chemical Data'!$T$3</definedName>
    <definedName name="Rel_3">'Chemical Data'!$T$4</definedName>
    <definedName name="Rel_4">'Chemical Data'!$T$5</definedName>
    <definedName name="Rel_5">'Chemical Data'!$T$6</definedName>
    <definedName name="RelHT_1">'Chemical Data'!$AD$63</definedName>
    <definedName name="RelHT_2">'Chemical Data'!$AD$64</definedName>
    <definedName name="RelHT_3">'Chemical Data'!$AD$65</definedName>
    <definedName name="RelHT_4">'Chemical Data'!$AD$66</definedName>
    <definedName name="RelHT_5">'Chemical Data'!$AD$67</definedName>
    <definedName name="Relief_Credit">OFFSET(Out_IPL_5,1,0,Last_Scenario_Row-2,1)</definedName>
    <definedName name="Relief_Discharge_Location">'Equipment Input'!$H$36</definedName>
    <definedName name="Relief_Discharge_Size">'Unit Conversion'!$C$40</definedName>
    <definedName name="Relief_Discharge_Size_Input">'Equipment Input'!$H$40</definedName>
    <definedName name="Relief_Discharge_Units">'Equipment Input'!$I$40</definedName>
    <definedName name="Relief_Elevation">'Unit Conversion'!$C$41</definedName>
    <definedName name="Relief_Elevation_Input">'Equipment Input'!$H$41</definedName>
    <definedName name="Relief_Elevation_Units">'Equipment Input'!$I$41</definedName>
    <definedName name="Relief_Flowrate">'Unit Conversion'!$C$38</definedName>
    <definedName name="Relief_Flowrate_Input">'Equipment Input'!$H$39</definedName>
    <definedName name="Relief_Flowrate_Units">'Equipment Input'!$I$39</definedName>
    <definedName name="Relief_HD2">'Release Calculations'!$AI$295</definedName>
    <definedName name="Relief_HD3">'Release Calculations'!$AI$298</definedName>
    <definedName name="Relief_HT_Capacity">'Special Calcs'!$G$38</definedName>
    <definedName name="Relief_HT_Velocity">'Special Calcs'!$G$39</definedName>
    <definedName name="Relief_HtTrans">'Special Calcs'!$C$170</definedName>
    <definedName name="Relief_Liquid_Capacity">'Release Calculations'!$AI$11</definedName>
    <definedName name="Relief_List">'Unit Conversion'!$M$24:$M$32</definedName>
    <definedName name="Relief_MechEng">'Special Calcs'!$C$171</definedName>
    <definedName name="Relief_Release">'Special Calcs'!$C$65</definedName>
    <definedName name="Relief_Set">'Unit Conversion'!$C$37</definedName>
    <definedName name="Relief_Set_Input">'Equipment Input'!$H$37</definedName>
    <definedName name="Relief_Set_Units">'Equipment Input'!$I$37</definedName>
    <definedName name="Relief_Size">'Unit Conversion'!$C$39</definedName>
    <definedName name="Relief_Size_Input">'Equipment Input'!$H$38</definedName>
    <definedName name="Relief_Size_Units">'Equipment Input'!$I$38</definedName>
    <definedName name="Relief_Status">OFFSET(Out_IPL5_Status,1,0,Last_Scenario_Row-2,1)</definedName>
    <definedName name="Relief_Tag">'Equipment Input'!$H$34</definedName>
    <definedName name="Relief_Top_HD2">'Release Calculations'!$AI$693</definedName>
    <definedName name="Relief_Top_HD3">'Release Calculations'!$AI$696</definedName>
    <definedName name="Relief_Type">'Equipment Input'!$H$35</definedName>
    <definedName name="Relief_Vapor_Capacity">'Special Calcs'!$G$33</definedName>
    <definedName name="Relief_Vapor_Capacity_Pad">'Special Calcs'!$G$42</definedName>
    <definedName name="Relief_Vapor_Velocity">'Special Calcs'!$G$34</definedName>
    <definedName name="Relief_Vapor_Velocity_Pad">'Special Calcs'!$G$43</definedName>
    <definedName name="Relief_Velocity">'Special Calcs'!$C$53</definedName>
    <definedName name="ReliefEff_Distance">'Study Parameters'!$C$78</definedName>
    <definedName name="ReliefEff_Elevation">'Study Parameters'!$C$77</definedName>
    <definedName name="ReliefEff_Flammable">'Study Parameters'!$C$79</definedName>
    <definedName name="ReliefEff_Infiltration">'Study Parameters'!$C$81</definedName>
    <definedName name="ReliefEff_Toxic">'Study Parameters'!$C$80</definedName>
    <definedName name="Remote_Start">'Equipment Input'!$H$17</definedName>
    <definedName name="Report_A">'Workbook Notes'!$G$49</definedName>
    <definedName name="Report_D">'Workbook Notes'!$G$45</definedName>
    <definedName name="Report_F">'Workbook Notes'!$G$48</definedName>
    <definedName name="Report_H">'Workbook Notes'!$G$46</definedName>
    <definedName name="Report_M">'Workbook Notes'!$G$47</definedName>
    <definedName name="Report_NoIPL">'LOPA Menu'!$W$10</definedName>
    <definedName name="Report_P">'Workbook Notes'!$G$50</definedName>
    <definedName name="Report_V">'Workbook Notes'!$G$51</definedName>
    <definedName name="Results_Chemical">'Scenario Analysis'!$C$3</definedName>
    <definedName name="Results_EF_Desc">'Scenario Analysis'!$DX$3:$EH$3</definedName>
    <definedName name="Results_EF_Detail">'Scenario Analysis'!$EJ$3:$ET$3</definedName>
    <definedName name="Results_Est_POE">'Scenario Analysis'!$EV$3:$FF$3</definedName>
    <definedName name="Results_Incident">'Scenario Analysis'!$B$5:$B$57</definedName>
    <definedName name="Results_PI_Desc">'Scenario Analysis'!$FT$3:$GD$3</definedName>
    <definedName name="Results_PI_Detail">'Scenario Analysis'!$GF$3:$GP$3</definedName>
    <definedName name="Results_POI">'Scenario Analysis'!$FH$3:$FR$3</definedName>
    <definedName name="Results_POI_Desc">'Scenario Analysis'!$FT$3:$GD$3</definedName>
    <definedName name="Results_Release_Calcs">'Scenario Analysis'!$E$3:$BW$3</definedName>
    <definedName name="Results_TEF">'Scenario Analysis'!$DL$3:$DV$3</definedName>
    <definedName name="Results_TEF_Desc">'Scenario Analysis'!$DX$3:$EH$3</definedName>
    <definedName name="Results_TF">'Scenario Analysis'!$CA$3:$CK$3</definedName>
    <definedName name="Risk_Filter_Input">'Risk Summary'!$B$4:$B$23</definedName>
    <definedName name="Risk_Filters">'Risk Summary'!$AJ$9</definedName>
    <definedName name="ROE">'FEI &amp; CEI'!$C$60</definedName>
    <definedName name="ROE_Units">'FEI &amp; CEI'!$D$60</definedName>
    <definedName name="Rotating_Equip">'Special Calcs'!$C$26</definedName>
    <definedName name="Roughness">'Study Parameters'!$C$31</definedName>
    <definedName name="Roughness_A">'Special Calcs'!$G$175</definedName>
    <definedName name="Roughness_B">'Special Calcs'!$H$175</definedName>
    <definedName name="Roughness_C">'Special Calcs'!$G$190</definedName>
    <definedName name="Roughness_D">'Special Calcs'!$H$190</definedName>
    <definedName name="Row_Modifying">'User Scenario'!$AR$5</definedName>
    <definedName name="RRS_C">'Chemical Properties'!$AU$1</definedName>
    <definedName name="RS_1">'Scenario Identification'!$EH$6</definedName>
    <definedName name="RS_10">'Scenario Identification'!$EH$15</definedName>
    <definedName name="RS_11">'Scenario Identification'!$EH$16</definedName>
    <definedName name="RS_12">'Scenario Identification'!$EH$17</definedName>
    <definedName name="RS_13">'Scenario Identification'!$EH$18</definedName>
    <definedName name="RS_14">'Scenario Identification'!$EH$19</definedName>
    <definedName name="RS_15">'Scenario Identification'!$EH$20</definedName>
    <definedName name="RS_16">'Scenario Identification'!$EH$21</definedName>
    <definedName name="RS_17">'Scenario Identification'!$EH$22</definedName>
    <definedName name="RS_18">'Scenario Identification'!$EH$23</definedName>
    <definedName name="RS_19">'Scenario Identification'!$EH$24</definedName>
    <definedName name="RS_2">'Scenario Identification'!$EH$7</definedName>
    <definedName name="RS_20">'Scenario Identification'!$EH$25</definedName>
    <definedName name="RS_21">'Scenario Identification'!$EH$26</definedName>
    <definedName name="RS_22">'Scenario Identification'!$EH$27</definedName>
    <definedName name="RS_23">'Scenario Identification'!$EH$28</definedName>
    <definedName name="RS_24">'Scenario Identification'!$EH$30</definedName>
    <definedName name="RS_25">'Scenario Identification'!$EH$31</definedName>
    <definedName name="RS_26">'Scenario Identification'!$EH$32</definedName>
    <definedName name="RS_27">'Scenario Identification'!$EH$33</definedName>
    <definedName name="RS_28">'Scenario Identification'!$EH$34</definedName>
    <definedName name="RS_29">'Scenario Identification'!$EH$35</definedName>
    <definedName name="RS_3">'Scenario Identification'!$EH$8</definedName>
    <definedName name="RS_30">'Scenario Identification'!$EH$36</definedName>
    <definedName name="RS_31">'Scenario Identification'!$EH$37</definedName>
    <definedName name="RS_32">'Scenario Identification'!$EH$38</definedName>
    <definedName name="RS_33">'Scenario Identification'!$EH$39</definedName>
    <definedName name="RS_34">'Scenario Identification'!$EH$40</definedName>
    <definedName name="RS_35">'Scenario Identification'!$EH$41</definedName>
    <definedName name="RS_36">'Scenario Identification'!$EH$42</definedName>
    <definedName name="RS_37">'Scenario Identification'!$EH$43</definedName>
    <definedName name="RS_38">'Scenario Identification'!$EH$44</definedName>
    <definedName name="RS_39">'Scenario Identification'!$EH$45</definedName>
    <definedName name="RS_4">'Scenario Identification'!$EH$9</definedName>
    <definedName name="RS_40">'Scenario Identification'!$EH$46</definedName>
    <definedName name="RS_41">'Scenario Identification'!$EH$47</definedName>
    <definedName name="RS_42">'Scenario Identification'!$EH$48</definedName>
    <definedName name="RS_43">'Scenario Identification'!$EH$49</definedName>
    <definedName name="RS_44">'Scenario Identification'!$EH$50</definedName>
    <definedName name="RS_45">'Scenario Identification'!$EH$51</definedName>
    <definedName name="RS_46">'Scenario Identification'!$EH$52</definedName>
    <definedName name="RS_47">'Scenario Identification'!$EH$53</definedName>
    <definedName name="RS_48">'Scenario Identification'!$EH$54</definedName>
    <definedName name="RS_49">'Scenario Identification'!$EH$55</definedName>
    <definedName name="RS_5">'Scenario Identification'!$EH$10</definedName>
    <definedName name="RS_50">'Scenario Identification'!$EH$56</definedName>
    <definedName name="RS_51">'Scenario Identification'!$EH$57</definedName>
    <definedName name="RS_52">'Scenario Identification'!$EH$58</definedName>
    <definedName name="RS_53">'Scenario Identification'!$EH$59</definedName>
    <definedName name="RS_54">'Scenario Identification'!$EH$60</definedName>
    <definedName name="RS_55">'Scenario Identification'!$EH$61</definedName>
    <definedName name="RS_56">'Scenario Identification'!$EH$62</definedName>
    <definedName name="RS_57">'Scenario Identification'!$EH$63</definedName>
    <definedName name="RS_58">'Scenario Identification'!$EH$29</definedName>
    <definedName name="RS_6">'Scenario Identification'!$EH$11</definedName>
    <definedName name="RS_7">'Scenario Identification'!$EH$12</definedName>
    <definedName name="RS_8">'Scenario Identification'!$EH$13</definedName>
    <definedName name="RS_9">'Scenario Identification'!$EH$14</definedName>
    <definedName name="RupFire_1">'Release Calculations'!$CC$38</definedName>
    <definedName name="RupFire_2">'Release Calculations'!$CC$39</definedName>
    <definedName name="RupFire_3">'Release Calculations'!$CC$40</definedName>
    <definedName name="RupFire_4">'Release Calculations'!$CC$41</definedName>
    <definedName name="RupFire_5">'Release Calculations'!$CC$42</definedName>
    <definedName name="RupFire_Fv">'Release Calculations'!$CA$27</definedName>
    <definedName name="RupFire_T">'Release Calculations'!$CC$28</definedName>
    <definedName name="RupPeak_1">'Release Calculations'!$CA$38</definedName>
    <definedName name="RupPeak_2">'Release Calculations'!$CA$39</definedName>
    <definedName name="RupPeak_3">'Release Calculations'!$CA$40</definedName>
    <definedName name="RupPeak_4">'Release Calculations'!$CA$41</definedName>
    <definedName name="RupPeak_5">'Release Calculations'!$CA$42</definedName>
    <definedName name="RupPeak_T">'Release Calculations'!$CA$28</definedName>
    <definedName name="RupSat_1">'Release Calculations'!$BY$38</definedName>
    <definedName name="RupSat_2">'Release Calculations'!$BY$39</definedName>
    <definedName name="RupSat_3">'Release Calculations'!$BY$40</definedName>
    <definedName name="RupSat_4">'Release Calculations'!$BY$41</definedName>
    <definedName name="RupSat_5">'Release Calculations'!$BY$42</definedName>
    <definedName name="RupSat_T">'Release Calculations'!$BY$28</definedName>
    <definedName name="Rupture_1">'Release Calculations'!$BU$38</definedName>
    <definedName name="Rupture_10min">'Process Conditions'!$C$30</definedName>
    <definedName name="Rupture_2">'Release Calculations'!$BU$39</definedName>
    <definedName name="Rupture_3">'Release Calculations'!$BU$40</definedName>
    <definedName name="Rupture_4">'Release Calculations'!$BU$41</definedName>
    <definedName name="Rupture_5">'Release Calculations'!$BU$42</definedName>
    <definedName name="Rupture_Aerosol">'Special Calcs'!$C$71</definedName>
    <definedName name="Rupture_Aerosol_Saturation">'Special Calcs'!$C$72</definedName>
    <definedName name="Rupture_Fire_HD2">'Release Calculations'!$CC$282</definedName>
    <definedName name="Rupture_Fire_HD3">'Release Calculations'!$CC$285</definedName>
    <definedName name="Rupture_HD2">'Release Calculations'!$BU$282</definedName>
    <definedName name="Rupture_HD3">'Release Calculations'!$BU$285</definedName>
    <definedName name="Rupture_Incidents">'Scenario Analysis'!$B$51:$B$56</definedName>
    <definedName name="Rupture_Spray_Area">'Special Calcs'!$C$74</definedName>
    <definedName name="Rupture_Time">'Process Conditions'!$D$30</definedName>
    <definedName name="Rupture_Velocity">'Special Calcs'!$C$68</definedName>
    <definedName name="Rupture_Velocity_Fire">'Special Calcs'!$C$70</definedName>
    <definedName name="Rupture_Velocity_Sat">'Special Calcs'!$C$69</definedName>
    <definedName name="Rupture2_HD2">'Release Calculations'!$BY$282</definedName>
    <definedName name="Rupture2_HD3">'Release Calculations'!$BY$285</definedName>
    <definedName name="Rupture3_HD2">'Release Calculations'!$CA$282</definedName>
    <definedName name="Rupture3_HD3">'Release Calculations'!$CA$285</definedName>
    <definedName name="Rx_Data_Reference">'Reaction Input'!$B$12</definedName>
    <definedName name="Rx_Data_Reference_C">'Chemical Properties'!$BG$1</definedName>
    <definedName name="Rx_Data_Reference_U">'Reaction Input'!$D$12</definedName>
    <definedName name="Rx_Heat">'Reaction Input'!$D$13</definedName>
    <definedName name="Rx_Heat_Rate">'Release Calculations'!$BB$6</definedName>
    <definedName name="Rx_Heat_withCatalyst">'Release Calculations'!$BH$6</definedName>
    <definedName name="Rx_Heat_withExtHt">'Release Calculations'!$BD$6</definedName>
    <definedName name="Rx_Heat_withFire">'Release Calculations'!$BF$6</definedName>
    <definedName name="Rx_Heat_withMisLoading">'Release Calculations'!$BL$6</definedName>
    <definedName name="Rx_Heat_withPooling">'Release Calculations'!$BJ$6</definedName>
    <definedName name="Rx_Incompatible">'Reaction Input'!$D$30</definedName>
    <definedName name="Rx_MisLoading">'Reaction Input'!$D$28</definedName>
    <definedName name="Rx_MisLoading_Factor">'Reaction Input'!$D$29</definedName>
    <definedName name="Rx_Parameter">'Reaction Input'!$K$59</definedName>
    <definedName name="Rx_Pooling">'Reaction Input'!$D$25</definedName>
    <definedName name="Rx_Pooling_Factor">'Reaction Input'!$D$27</definedName>
    <definedName name="Rx_Relief_withCatalyst">'Release Calculations'!$BH$7</definedName>
    <definedName name="Rx_Relief_withFire">'Release Calculations'!$BF$7</definedName>
    <definedName name="Rx_Relief_withHeat">'Release Calculations'!$BD$7</definedName>
    <definedName name="Rx_Relief_withMisLoading">'Release Calculations'!$BL$7</definedName>
    <definedName name="Rx_Relief_withPooling">'Release Calculations'!$BJ$7</definedName>
    <definedName name="RxGas_Limit">'Study Parameters'!$C$61</definedName>
    <definedName name="RxHeat_Limit">'Study Parameters'!$C$60</definedName>
    <definedName name="RxParameter_Limit">'Study Parameters'!$C$63</definedName>
    <definedName name="RxTemp_Failure">'Hazards &amp; Consequences'!$F$71</definedName>
    <definedName name="Scenario_Included">'Scenario Identification'!$EB$3</definedName>
    <definedName name="Scenario_Outcomes">'Scenario Identification'!$DZ$3</definedName>
    <definedName name="Scenario_Table">'Scenario Identification'!$C$3:$AI$63</definedName>
    <definedName name="Scenario_Type">'Scenario Identification'!$C$6:$C$63</definedName>
    <definedName name="Scenario_Type2">'Scenario Identification'!$C$72</definedName>
    <definedName name="Scenario_Type3">'Scenario Identification'!$C$134</definedName>
    <definedName name="Scenario_Type4">'Scenario Identification'!$C$196</definedName>
    <definedName name="Scenario_Type5">'Scenario Identification'!$C$258</definedName>
    <definedName name="Screwed_Connect">'Equipment Input'!$H$12</definedName>
    <definedName name="Screwed_List">'Unit Conversion'!$O$71:$O$75</definedName>
    <definedName name="SD_D_1">'Scenario Descriptors'!$C$130</definedName>
    <definedName name="SD_D_10">'Scenario Descriptors'!$C$139</definedName>
    <definedName name="SD_D_11">'Scenario Descriptors'!$C$140</definedName>
    <definedName name="SD_D_2">'Scenario Descriptors'!$C$131</definedName>
    <definedName name="SD_D_3">'Scenario Descriptors'!$C$132</definedName>
    <definedName name="SD_D_4">'Scenario Descriptors'!$C$133</definedName>
    <definedName name="SD_D_5">'Scenario Descriptors'!$C$134</definedName>
    <definedName name="SD_D_6">'Scenario Descriptors'!$C$135</definedName>
    <definedName name="SD_D_7">'Scenario Descriptors'!$C$136</definedName>
    <definedName name="SD_D_8">'Scenario Descriptors'!$C$137</definedName>
    <definedName name="SD_D_9">'Scenario Descriptors'!$C$138</definedName>
    <definedName name="SD_FE_1">'Scenario Descriptors'!$C$105</definedName>
    <definedName name="SD_FE_10">'Scenario Descriptors'!$C$117</definedName>
    <definedName name="SD_FE_11">'Scenario Descriptors'!$C$118</definedName>
    <definedName name="SD_FE_12">'Scenario Descriptors'!$C$119</definedName>
    <definedName name="SD_FE_13">'Scenario Descriptors'!$C$120</definedName>
    <definedName name="SD_FE_14">'Scenario Descriptors'!$C$121</definedName>
    <definedName name="SD_FE_2">'Scenario Descriptors'!$C$106</definedName>
    <definedName name="SD_FE_20">'Scenario Descriptors'!$C$123</definedName>
    <definedName name="SD_FE_21">'Scenario Descriptors'!$C$124</definedName>
    <definedName name="SD_FE_22">'Scenario Descriptors'!$C$125</definedName>
    <definedName name="SD_FE_23">'Scenario Descriptors'!$C$126</definedName>
    <definedName name="SD_FE_4">'Scenario Descriptors'!$C$110</definedName>
    <definedName name="SD_FE_5">'Scenario Descriptors'!$C$111</definedName>
    <definedName name="SD_FE_6">'Scenario Descriptors'!$C$112</definedName>
    <definedName name="SD_FE_8">'Scenario Descriptors'!$C$115</definedName>
    <definedName name="SD_Gen_1">'Scenario Descriptors'!$C$5</definedName>
    <definedName name="SD_Gen_10">'Scenario Descriptors'!$C$12</definedName>
    <definedName name="SD_Gen_11">'Scenario Descriptors'!$C$13</definedName>
    <definedName name="SD_Gen_12">'Scenario Descriptors'!$C$14</definedName>
    <definedName name="SD_Gen_13">'Scenario Descriptors'!$C$16</definedName>
    <definedName name="SD_Gen_14">'Scenario Descriptors'!$C$17</definedName>
    <definedName name="SD_Gen_15">'Scenario Descriptors'!$C$18</definedName>
    <definedName name="SD_Gen_16">'Scenario Descriptors'!$C$19</definedName>
    <definedName name="SD_Gen_17">'Scenario Descriptors'!$C$20</definedName>
    <definedName name="SD_Gen_18">'Scenario Descriptors'!$C$21</definedName>
    <definedName name="SD_Gen_19">'Scenario Descriptors'!$C$23</definedName>
    <definedName name="SD_Gen_2">'Scenario Descriptors'!$C$6</definedName>
    <definedName name="SD_Gen_20">'Scenario Descriptors'!$C$24</definedName>
    <definedName name="SD_Gen_21">'Scenario Descriptors'!$C$25</definedName>
    <definedName name="SD_Gen_22">'Scenario Descriptors'!$C$26</definedName>
    <definedName name="SD_Gen_23">'Scenario Descriptors'!$C$27</definedName>
    <definedName name="SD_Gen_24">'Scenario Descriptors'!$C$28</definedName>
    <definedName name="SD_Gen_25">'Scenario Descriptors'!$C$29</definedName>
    <definedName name="SD_Gen_26">'Scenario Descriptors'!$C$30</definedName>
    <definedName name="SD_Gen_27">'Scenario Descriptors'!$C$31</definedName>
    <definedName name="SD_Gen_28">'Scenario Descriptors'!$C$32</definedName>
    <definedName name="SD_Gen_29">'Scenario Descriptors'!$C$33</definedName>
    <definedName name="SD_Gen_3">'Scenario Descriptors'!$C$7</definedName>
    <definedName name="SD_Gen_30">'Scenario Descriptors'!$C$34</definedName>
    <definedName name="SD_Gen_31">'Scenario Descriptors'!$B$35</definedName>
    <definedName name="SD_Gen_32">'Scenario Descriptors'!$C$36</definedName>
    <definedName name="SD_Gen_33">'Scenario Descriptors'!$C$37</definedName>
    <definedName name="SD_Gen_34">'Scenario Descriptors'!$C$38</definedName>
    <definedName name="SD_Gen_35">'Scenario Descriptors'!$C$39</definedName>
    <definedName name="SD_Gen_36">'Scenario Descriptors'!$C$41</definedName>
    <definedName name="SD_Gen_37">'Scenario Descriptors'!$C$42</definedName>
    <definedName name="SD_Gen_38">'Scenario Descriptors'!$C$43</definedName>
    <definedName name="SD_Gen_39">'Scenario Descriptors'!$C$44</definedName>
    <definedName name="SD_Gen_40">'Scenario Descriptors'!$C$45</definedName>
    <definedName name="SD_Gen_41">'Scenario Descriptors'!$C$46</definedName>
    <definedName name="SD_Gen_42">'Scenario Descriptors'!$C$47</definedName>
    <definedName name="SD_Gen_43">'Scenario Descriptors'!$C$48</definedName>
    <definedName name="SD_Gen_44">'Scenario Descriptors'!$C$49</definedName>
    <definedName name="SD_Gen_45">'Scenario Descriptors'!$C$50</definedName>
    <definedName name="SD_Gen_46">'Scenario Descriptors'!$C$51</definedName>
    <definedName name="SD_Gen_47">'Scenario Descriptors'!$C$52</definedName>
    <definedName name="SD_Gen_48">'Scenario Descriptors'!$C$53</definedName>
    <definedName name="SD_Gen_49">'Scenario Descriptors'!$C$54</definedName>
    <definedName name="SD_Gen_5">'Scenario Descriptors'!$C$8</definedName>
    <definedName name="SD_Gen_50">'Scenario Descriptors'!$C$56</definedName>
    <definedName name="SD_Gen_51">'Scenario Descriptors'!$C$57</definedName>
    <definedName name="SD_Gen_52">'Scenario Descriptors'!$C$58</definedName>
    <definedName name="SD_Gen_53">'Scenario Descriptors'!$C$59</definedName>
    <definedName name="SD_Gen_54">'Scenario Descriptors'!$C$60</definedName>
    <definedName name="SD_Gen_55">'Scenario Descriptors'!$C$61</definedName>
    <definedName name="SD_Gen_56">'Scenario Descriptors'!$C$62</definedName>
    <definedName name="SD_Gen_57">'Scenario Descriptors'!$C$63</definedName>
    <definedName name="SD_Gen_58">'Scenario Descriptors'!$C$64</definedName>
    <definedName name="SD_Gen_59">'Scenario Descriptors'!$C$66</definedName>
    <definedName name="SD_Gen_6">'Scenario Descriptors'!$C$22</definedName>
    <definedName name="SD_Gen_60">'Scenario Descriptors'!$C$67</definedName>
    <definedName name="SD_Gen_61">'Scenario Descriptors'!$C$69</definedName>
    <definedName name="SD_Gen_62">'Scenario Descriptors'!$C$70</definedName>
    <definedName name="SD_Gen_63">'Scenario Descriptors'!$C$71</definedName>
    <definedName name="SD_Gen_64">'Scenario Descriptors'!$C$72</definedName>
    <definedName name="SD_Gen_65">'Scenario Descriptors'!$C$73</definedName>
    <definedName name="SD_Gen_66">'Scenario Descriptors'!$C$74</definedName>
    <definedName name="SD_Gen_67">'Scenario Descriptors'!$C$75</definedName>
    <definedName name="SD_Gen_68">'Scenario Descriptors'!$C$76</definedName>
    <definedName name="SD_Gen_69">'Scenario Descriptors'!$C$77</definedName>
    <definedName name="SD_Gen_7">'Scenario Descriptors'!$C$15</definedName>
    <definedName name="SD_Gen_70">'Scenario Descriptors'!$C$68</definedName>
    <definedName name="SD_Gen_71">'Scenario Descriptors'!$C$65</definedName>
    <definedName name="SD_Gen_72">'Scenario Descriptors'!$C$78</definedName>
    <definedName name="SD_Gen_73">'Scenario Descriptors'!$C$79</definedName>
    <definedName name="SD_Gen_74">'Scenario Descriptors'!$C$80</definedName>
    <definedName name="SD_Gen_75">'Scenario Descriptors'!$C$81</definedName>
    <definedName name="SD_Gen_76">'Scenario Descriptors'!$C$82</definedName>
    <definedName name="SD_Gen_77">'Scenario Descriptors'!$C$83</definedName>
    <definedName name="SD_Gen_78">'Scenario Descriptors'!$C$84</definedName>
    <definedName name="SD_Gen_79">'Scenario Descriptors'!$C$85</definedName>
    <definedName name="SD_Gen_8">'Scenario Descriptors'!$C$10</definedName>
    <definedName name="SD_Gen_80">'Scenario Descriptors'!$C$86</definedName>
    <definedName name="SD_Gen_9">'Scenario Descriptors'!$C$11</definedName>
    <definedName name="SD_MI_1">'Scenario Descriptors'!$C$89</definedName>
    <definedName name="SD_MI_10">'Scenario Descriptors'!$C$98</definedName>
    <definedName name="SD_MI_11">'Scenario Descriptors'!$C$99</definedName>
    <definedName name="SD_MI_2">'Scenario Descriptors'!$C$90</definedName>
    <definedName name="SD_MI_3">'Scenario Descriptors'!$C$91</definedName>
    <definedName name="SD_MI_4">'Scenario Descriptors'!$C$92</definedName>
    <definedName name="SD_MI_5">'Scenario Descriptors'!$C$93</definedName>
    <definedName name="SD_MI_6">'Scenario Descriptors'!$C$94</definedName>
    <definedName name="SD_MI_7">'Scenario Descriptors'!$C$95</definedName>
    <definedName name="SD_MI_8">'Scenario Descriptors'!$C$96</definedName>
    <definedName name="SD_MI_9">'Scenario Descriptors'!$C$97</definedName>
    <definedName name="SD_Rx_1">'Scenario Descriptors'!$C$154</definedName>
    <definedName name="SD_Rx_10">'Scenario Descriptors'!$C$163</definedName>
    <definedName name="SD_Rx_11">'Scenario Descriptors'!$C$164</definedName>
    <definedName name="SD_Rx_12">'Scenario Descriptors'!$C$165</definedName>
    <definedName name="SD_Rx_13">'Scenario Descriptors'!$C$166</definedName>
    <definedName name="SD_Rx_14">'Scenario Descriptors'!$C$167</definedName>
    <definedName name="SD_Rx_15">'Scenario Descriptors'!$C$168</definedName>
    <definedName name="SD_Rx_16">'Scenario Descriptors'!$C$169</definedName>
    <definedName name="SD_Rx_17">'Scenario Descriptors'!$C$170</definedName>
    <definedName name="SD_Rx_18">'Scenario Descriptors'!$C$171</definedName>
    <definedName name="SD_Rx_19">'Scenario Descriptors'!$C$172</definedName>
    <definedName name="SD_Rx_2">'Scenario Descriptors'!$C$155</definedName>
    <definedName name="SD_Rx_20">'Scenario Descriptors'!$C$173</definedName>
    <definedName name="SD_Rx_21">'Scenario Descriptors'!$C$174</definedName>
    <definedName name="SD_Rx_22">'Scenario Descriptors'!$C$175</definedName>
    <definedName name="SD_Rx_23">'Scenario Descriptors'!$C$176</definedName>
    <definedName name="SD_Rx_3">'Scenario Descriptors'!$C$156</definedName>
    <definedName name="SD_Rx_4">'Scenario Descriptors'!$C$157</definedName>
    <definedName name="SD_Rx_5">'Scenario Descriptors'!$C$158</definedName>
    <definedName name="SD_Rx_6">'Scenario Descriptors'!$C$159</definedName>
    <definedName name="SD_Rx_7">'Scenario Descriptors'!$C$160</definedName>
    <definedName name="SD_Rx_8">'Scenario Descriptors'!$C$161</definedName>
    <definedName name="SD_Rx_9">'Scenario Descriptors'!$C$162</definedName>
    <definedName name="SD_T_1">'Scenario Descriptors'!$C$143</definedName>
    <definedName name="SD_T_2">'Scenario Descriptors'!$C$144</definedName>
    <definedName name="SD_T_3">'Scenario Descriptors'!$C$145</definedName>
    <definedName name="SD_T_4">'Scenario Descriptors'!$C$146</definedName>
    <definedName name="SD_T_5">'Scenario Descriptors'!$C$147</definedName>
    <definedName name="SD_T_6">'Scenario Descriptors'!$C$148</definedName>
    <definedName name="SD_T_7">'Scenario Descriptors'!$C$149</definedName>
    <definedName name="SD_T_8">'Scenario Descriptors'!$C$150</definedName>
    <definedName name="Seal_HD2">'Release Calculations'!$D$282</definedName>
    <definedName name="Seal_HD3">'Release Calculations'!$D$285</definedName>
    <definedName name="Seal_Indoor">'Release Calculations'!$D$300</definedName>
    <definedName name="Seal_LFL">'Release Calculations'!$D$319</definedName>
    <definedName name="Seal_List">'Unit Conversion'!$M$49:$M$52</definedName>
    <definedName name="Seal_Type">'Equipment Input'!$H$16</definedName>
    <definedName name="Second_Phase">'Reaction Input'!$D$26</definedName>
    <definedName name="SecPhase_1">'Chemical Data'!$D$16</definedName>
    <definedName name="SecPhase_1_C">'Chemical Properties'!$O$1</definedName>
    <definedName name="SecPhase_2">'Chemical Data'!$D$17</definedName>
    <definedName name="SecPhase_2_C">'Chemical Properties'!$P$1</definedName>
    <definedName name="SecPhase_3">'Chemical Data'!$D$18</definedName>
    <definedName name="SecPhase_3_C">'Chemical Properties'!$Q$1</definedName>
    <definedName name="SecPhase_4">'Chemical Data'!$D$19</definedName>
    <definedName name="SecPhase_4_C">'Chemical Properties'!$R$1</definedName>
    <definedName name="SecPhase_5">'Chemical Data'!$D$20</definedName>
    <definedName name="SecPhase_5_C">'Chemical Properties'!$S$1</definedName>
    <definedName name="Sep_1">'Chemical Data'!$P$18</definedName>
    <definedName name="Sep_2">'Chemical Data'!$P$19</definedName>
    <definedName name="Sep_3">'Chemical Data'!$P$20</definedName>
    <definedName name="Sep_4">'Chemical Data'!$P$21</definedName>
    <definedName name="Sep_5">'Chemical Data'!$P$22</definedName>
    <definedName name="Sight_Glass">'Equipment Input'!$H$31</definedName>
    <definedName name="SISA_Credit">OFFSET(Out_IPL_3,1,0,Last_Scenario_Row-2,1)</definedName>
    <definedName name="SISA_Status">OFFSET(Out_IPL3_Status,1,0,Last_Scenario_Row-2,1)</definedName>
    <definedName name="SISB_Credit">OFFSET(Out_IPL_4,1,0,Last_Scenario_Row-2,1)</definedName>
    <definedName name="SISB_Status">OFFSET(Out_IPL4_Status,1,0,Last_Scenario_Row-2,1)</definedName>
    <definedName name="Size_List">'Unit Conversion'!$Q$10:$Q$12</definedName>
    <definedName name="Small_HD2">'Release Calculations'!$F$282</definedName>
    <definedName name="Small_HD3">'Release Calculations'!$F$285</definedName>
    <definedName name="Small_Leak_AQ_Units">'Scenario Analysis'!$F$4</definedName>
    <definedName name="Small_Leak_AQ_Units_Conversion">'Scenario Analysis'!$L$4</definedName>
    <definedName name="Small_Leak_Units">'Scenario Analysis'!$R$4</definedName>
    <definedName name="Small_Leak_Units_Conversion">'Scenario Analysis'!$AG$4</definedName>
    <definedName name="Small_Top_HD2">'Release Calculations'!$F$666</definedName>
    <definedName name="Small_Top_HD3">'Release Calculations'!$F$669</definedName>
    <definedName name="Soil_Remediation">'Plant Layout'!$H$29</definedName>
    <definedName name="SoilLimit_ExtremeHigh_Environ">'Study Parameters'!$K$102</definedName>
    <definedName name="SoilLimit_High_Environ">'Study Parameters'!$K$100</definedName>
    <definedName name="SoilLimit_Low_Environ">'Study Parameters'!$K$98</definedName>
    <definedName name="SoilLimit_Moderate_Environ">'Study Parameters'!$K$99</definedName>
    <definedName name="SoilLimit_VeryHigh_Environ">'Study Parameters'!$K$101</definedName>
    <definedName name="Solar">'Special Calcs'!$G$109</definedName>
    <definedName name="Solar_Input">'Study Parameters'!$C$11</definedName>
    <definedName name="Solar_Relief">'Special Calcs'!$G$113</definedName>
    <definedName name="SP_Notes">'Study Parameters'!$T$6</definedName>
    <definedName name="Spray_Distance">'Special Calcs'!$C$43</definedName>
    <definedName name="Spray_Distance_Backflow">'Special Calcs'!$C$58</definedName>
    <definedName name="Spray_Distance_HT">'Special Calcs'!$C$61</definedName>
    <definedName name="Spray_Distance_Relief">'Special Calcs'!$C$57</definedName>
    <definedName name="Spray_Distance_Rupture">'Special Calcs'!$C$73</definedName>
    <definedName name="Spray_Distance_VaporRelief">'Special Calcs'!$C$59</definedName>
    <definedName name="Spray_ImpactArea">'Special Calcs'!$C$44</definedName>
    <definedName name="SRPS1_Credit">OFFSET(Out_IPL_6,1,0,Last_Scenario_Row-2,1)</definedName>
    <definedName name="SRPS1_Status">OFFSET(Out_IPL6_Status,1,0,Last_Scenario_Row-2,1)</definedName>
    <definedName name="SRPS2_Credit">OFFSET(Out_IPL_7,1,0,Last_Scenario_Row-2,1)</definedName>
    <definedName name="SRPS2_Status">OFFSET(Out_IPL7_Status,1,0,Last_Scenario_Row-2,1)</definedName>
    <definedName name="SRPS3_Credit">OFFSET(Out_IPL_8,1,0,Last_Scenario_Row-2,1)</definedName>
    <definedName name="SRPS3_Status">OFFSET(Out_IPL8_Status,1,0,Last_Scenario_Row-2,1)</definedName>
    <definedName name="Starting_Chemical">'New Chemical'!$C$4</definedName>
    <definedName name="State">'Chemical Data'!$I$8</definedName>
    <definedName name="Storage">'Equipment Input'!$D$34</definedName>
    <definedName name="Stream_Input">'Chemical Data'!$B$28:$D$32</definedName>
    <definedName name="Suggested_IPLs">'Scenario Identification'!$ED$3</definedName>
    <definedName name="Sum_WtFract">'Chemical Data'!$C$21</definedName>
    <definedName name="Sur_Area">'Unit Conversion'!$C$48</definedName>
    <definedName name="Sur_Area_Input">'Equipment Input'!$D$27</definedName>
    <definedName name="Sur_Area_Units">'Equipment Input'!$E$27</definedName>
    <definedName name="Sustain_Burn_U">'Chemical Data'!$I$28</definedName>
    <definedName name="T">'Unit Conversion'!$C$62</definedName>
    <definedName name="T_Access">'Equipment Table'!$GT$3</definedName>
    <definedName name="T_Adjacent_Dike_Area">'Equipment Table'!$HI$3</definedName>
    <definedName name="T_Adjacent_Dike_Units">'Equipment Table'!$HJ$3</definedName>
    <definedName name="T_Aerosol_Internal">'Equipment Table'!$FA$3</definedName>
    <definedName name="T_Ambient_Temp_Input">'Equipment Table'!$EB$3</definedName>
    <definedName name="T_Ambient_Temp_Units">'Equipment Table'!$EC$3</definedName>
    <definedName name="T_AS_1">'Equipment Table'!$QH$3</definedName>
    <definedName name="T_AS_10">'Equipment Table'!$QQ$3</definedName>
    <definedName name="T_AS_11">'Equipment Table'!$QR$3</definedName>
    <definedName name="T_AS_12">'Equipment Table'!$QS$3</definedName>
    <definedName name="T_AS_13">'Equipment Table'!$QT$3</definedName>
    <definedName name="T_AS_14">'Equipment Table'!$QU$3</definedName>
    <definedName name="T_AS_15">'Equipment Table'!$QV$3</definedName>
    <definedName name="T_AS_16">'Equipment Table'!$QW$3</definedName>
    <definedName name="T_AS_17">'Equipment Table'!$QX$3</definedName>
    <definedName name="T_AS_18">'Equipment Table'!$QY$3</definedName>
    <definedName name="T_AS_19">'Equipment Table'!$QZ$3</definedName>
    <definedName name="T_AS_2">'Equipment Table'!$QI$3</definedName>
    <definedName name="T_AS_20">'Equipment Table'!$RA$3</definedName>
    <definedName name="T_AS_21">'Equipment Table'!$RB$3</definedName>
    <definedName name="T_AS_22">'Equipment Table'!$RC$3</definedName>
    <definedName name="T_AS_23">'Equipment Table'!$RD$3</definedName>
    <definedName name="T_AS_24">'Equipment Table'!$RF$3</definedName>
    <definedName name="T_AS_25">'Equipment Table'!$RG$3</definedName>
    <definedName name="T_AS_26">'Equipment Table'!$RH$3</definedName>
    <definedName name="T_AS_27">'Equipment Table'!$RI$3</definedName>
    <definedName name="T_AS_28">'Equipment Table'!$RJ$3</definedName>
    <definedName name="T_AS_29">'Equipment Table'!$RK$3</definedName>
    <definedName name="T_AS_3">'Equipment Table'!$QJ$3</definedName>
    <definedName name="T_AS_30">'Equipment Table'!$RL$3</definedName>
    <definedName name="T_AS_31">'Equipment Table'!$RM$3</definedName>
    <definedName name="T_AS_32">'Equipment Table'!$RN$3</definedName>
    <definedName name="T_AS_33">'Equipment Table'!$RO$3</definedName>
    <definedName name="T_AS_34">'Equipment Table'!$RP$3</definedName>
    <definedName name="T_AS_35">'Equipment Table'!$RQ$3</definedName>
    <definedName name="T_AS_36">'Equipment Table'!$RR$3</definedName>
    <definedName name="T_AS_37">'Equipment Table'!$RS$3</definedName>
    <definedName name="T_AS_38">'Equipment Table'!$RT$3</definedName>
    <definedName name="T_AS_39">'Equipment Table'!$RU$3</definedName>
    <definedName name="T_AS_4">'Equipment Table'!$QK$3</definedName>
    <definedName name="T_AS_40">'Equipment Table'!$RV$3</definedName>
    <definedName name="T_AS_41">'Equipment Table'!$RW$3</definedName>
    <definedName name="T_AS_42">'Equipment Table'!$RX$3</definedName>
    <definedName name="T_AS_43">'Equipment Table'!$RY$3</definedName>
    <definedName name="T_AS_44">'Equipment Table'!$RZ$3</definedName>
    <definedName name="T_AS_45">'Equipment Table'!$SA$3</definedName>
    <definedName name="T_AS_46">'Equipment Table'!$SB$3</definedName>
    <definedName name="T_AS_47">'Equipment Table'!$SC$3</definedName>
    <definedName name="T_AS_48">'Equipment Table'!$SD$3</definedName>
    <definedName name="T_AS_49">'Equipment Table'!$SE$3</definedName>
    <definedName name="T_AS_5">'Equipment Table'!$QL$3</definedName>
    <definedName name="T_AS_50">'Equipment Table'!$SF$3</definedName>
    <definedName name="T_AS_51">'Equipment Table'!$SG$3</definedName>
    <definedName name="T_AS_52">'Equipment Table'!$SH$3</definedName>
    <definedName name="T_AS_53">'Equipment Table'!$SI$3</definedName>
    <definedName name="T_AS_54">'Equipment Table'!$SJ$3</definedName>
    <definedName name="T_AS_55">'Equipment Table'!$SK$3</definedName>
    <definedName name="T_AS_56">'Equipment Table'!$SL$3</definedName>
    <definedName name="T_AS_57">'Equipment Table'!$SM$3</definedName>
    <definedName name="T_AS_58">'Equipment Table'!$RE$3</definedName>
    <definedName name="T_AS_6">'Equipment Table'!$QM$3</definedName>
    <definedName name="T_AS_7">'Equipment Table'!$QN$3</definedName>
    <definedName name="T_AS_8">'Equipment Table'!$QO$3</definedName>
    <definedName name="T_AS_9">'Equipment Table'!$QP$3</definedName>
    <definedName name="T_atBurst">'Chemical Data'!$T$43</definedName>
    <definedName name="T_atFire_Burst">'Chemical Data'!$T$44</definedName>
    <definedName name="T_atRelief">'Chemical Data'!$T$42</definedName>
    <definedName name="T_Attended">'Equipment Table'!$H$3</definedName>
    <definedName name="T_Automated_EBV">'Equipment Table'!$HK$3</definedName>
    <definedName name="T_Backflow_Input">'Equipment Table'!$EX$3</definedName>
    <definedName name="T_Backflow_Units">'Equipment Table'!$EY$3</definedName>
    <definedName name="T_Bldg_Type">'Equipment Table'!$HT$3</definedName>
    <definedName name="T_Bldg2_Type">'Equipment Table'!$IJ$3</definedName>
    <definedName name="T_Bulk_Density">'Equipment Table'!$DR$3</definedName>
    <definedName name="T_Bus_Loss">'Equipment Table'!$BJ$3</definedName>
    <definedName name="T_Cat">'Reaction Input'!$AL$40</definedName>
    <definedName name="T_Catalyzed">'Equipment Table'!$GG$3</definedName>
    <definedName name="T_CEI_Review">'Equipment Table'!$JU$3</definedName>
    <definedName name="T_CEI_Review_Date">'Equipment Table'!$JV$3</definedName>
    <definedName name="T_Chem_Comments">'Equipment Table'!$CO$3</definedName>
    <definedName name="T_Chemical">'Equipment Table'!$CN$3</definedName>
    <definedName name="T_Chemical_2">'Equipment Table'!$CW$3</definedName>
    <definedName name="T_Chemical_3">'Equipment Table'!$CX$3</definedName>
    <definedName name="T_Chemical_4">'Equipment Table'!$CY$3</definedName>
    <definedName name="T_Chemical_5">'Equipment Table'!$CZ$3</definedName>
    <definedName name="T_Congestion">'Equipment Table'!$GV$3</definedName>
    <definedName name="T_Connection_Type">'Equipment Table'!$BI$3</definedName>
    <definedName name="T_Coolant_Area_Input">'Equipment Table'!$GC$3</definedName>
    <definedName name="T_Coolant_Area_Units">'Equipment Table'!$GD$3</definedName>
    <definedName name="T_Coolant_Temp_Input">'Equipment Table'!$GA$3</definedName>
    <definedName name="T_Coolant_Temp_Units">'Equipment Table'!$GB$3</definedName>
    <definedName name="T_Coolant_U_Input">'Equipment Table'!$GE$3</definedName>
    <definedName name="T_Coolant_U_Units">'Equipment Table'!$GF$3</definedName>
    <definedName name="T_Corrosive">'Equipment Table'!$AT$3</definedName>
    <definedName name="T_CP_Detonable">'Equipment Table'!$GQ$3</definedName>
    <definedName name="T_D_Input">'Equipment Table'!$AW$3</definedName>
    <definedName name="T_D_Units">'Equipment Table'!$AX$3</definedName>
    <definedName name="T_Data_Units">'New Chemical'!$H$13</definedName>
    <definedName name="T_Date">'Equipment Table'!$CK$3</definedName>
    <definedName name="T_Density_Other">'Equipment Table'!$LJ$3</definedName>
    <definedName name="T_Description">'Equipment Table'!$C$3</definedName>
    <definedName name="T_Design_Intent">'Equipment Table'!$LU$3</definedName>
    <definedName name="T_Dh_Input">'Equipment Table'!$EK$3</definedName>
    <definedName name="T_Dh_Units">'Equipment Table'!$EL$3</definedName>
    <definedName name="T_Dike_Area_Input">'Equipment Table'!$HA$3</definedName>
    <definedName name="T_Dike_Area_Units">'Equipment Table'!$HB$3</definedName>
    <definedName name="T_Dike_Design">'Equipment Table'!$HC$3</definedName>
    <definedName name="T_Dip_Pipe">'Equipment Table'!$AV$3</definedName>
    <definedName name="T_Downstr_P_Input">'Equipment Table'!$EV$3</definedName>
    <definedName name="T_Downstr_P_Units">'Equipment Table'!$EW$3</definedName>
    <definedName name="T_Downstream_Population">'Equipment Table'!$GZ$3</definedName>
    <definedName name="T_Drain_Input">'Equipment Table'!$BB$3</definedName>
    <definedName name="T_Drain_Units">'Equipment Table'!$BC$3</definedName>
    <definedName name="T_Drainage_Credit">'Equipment Table'!$HD$3</definedName>
    <definedName name="T_DrumOven_Volume_Input">'Equipment Table'!$Y$3</definedName>
    <definedName name="T_DrumOven_Volume_Units">'Equipment Table'!$Z$3</definedName>
    <definedName name="T_Effluent_By">'Equipment Table'!$JW$3</definedName>
    <definedName name="T_Effluent_Case1">'Equipment Table'!$KA$3</definedName>
    <definedName name="T_Effluent_Case10">'Equipment Table'!$KJ$3</definedName>
    <definedName name="T_Effluent_Case11">'Equipment Table'!$KK$3</definedName>
    <definedName name="T_Effluent_Case12">'Equipment Table'!$KL$3</definedName>
    <definedName name="T_Effluent_Case13">'Equipment Table'!$KM$3</definedName>
    <definedName name="T_Effluent_Case14">'Equipment Table'!$KN$3</definedName>
    <definedName name="T_Effluent_Case15">'Equipment Table'!$KO$3</definedName>
    <definedName name="T_Effluent_Case16">'Equipment Table'!$KP$3</definedName>
    <definedName name="T_Effluent_Case2">'Equipment Table'!$KB$3</definedName>
    <definedName name="T_Effluent_Case3">'Equipment Table'!$KC$3</definedName>
    <definedName name="T_Effluent_Case4">'Equipment Table'!$KD$3</definedName>
    <definedName name="T_Effluent_Case5">'Equipment Table'!$KE$3</definedName>
    <definedName name="T_Effluent_Case6">'Equipment Table'!$KF$3</definedName>
    <definedName name="T_Effluent_Case7">'Equipment Table'!$KG$3</definedName>
    <definedName name="T_Effluent_Case8">'Equipment Table'!$KH$3</definedName>
    <definedName name="T_Effluent_Case9">'Equipment Table'!$KI$3</definedName>
    <definedName name="T_Effluent_Comments1">'Equipment Table'!$KQ$3</definedName>
    <definedName name="T_Effluent_Comments10">'Equipment Table'!$KZ$3</definedName>
    <definedName name="T_Effluent_Comments11">'Equipment Table'!$LA$3</definedName>
    <definedName name="T_Effluent_Comments12">'Equipment Table'!$LB$3</definedName>
    <definedName name="T_Effluent_Comments13">'Equipment Table'!$LC$3</definedName>
    <definedName name="T_Effluent_Comments14">'Equipment Table'!$LD$3</definedName>
    <definedName name="T_Effluent_Comments15">'Equipment Table'!$LE$3</definedName>
    <definedName name="T_Effluent_Comments16">'Equipment Table'!$LF$3</definedName>
    <definedName name="T_Effluent_Comments2">'Equipment Table'!$KR$3</definedName>
    <definedName name="T_Effluent_Comments3">'Equipment Table'!$KS$3</definedName>
    <definedName name="T_Effluent_Comments4">'Equipment Table'!$KT$3</definedName>
    <definedName name="T_Effluent_Comments5">'Equipment Table'!$KU$3</definedName>
    <definedName name="T_Effluent_Comments6">'Equipment Table'!$KV$3</definedName>
    <definedName name="T_Effluent_Comments7">'Equipment Table'!$KW$3</definedName>
    <definedName name="T_Effluent_Comments8">'Equipment Table'!$KX$3</definedName>
    <definedName name="T_Effluent_Comments9">'Equipment Table'!$KY$3</definedName>
    <definedName name="T_Effluent_Date">'Equipment Table'!$JX$3</definedName>
    <definedName name="T_Egress">'Equipment Table'!$GU$3</definedName>
    <definedName name="T_Embrittle_T_Input">'Equipment Table'!$U$3</definedName>
    <definedName name="T_Embrittle_T_Units">'Equipment Table'!$V$3</definedName>
    <definedName name="T_Enclosed_Process_Volume_Input">'Equipment Table'!$HL$3</definedName>
    <definedName name="T_Enclosed_Process_Volume_Units">'Equipment Table'!$HM$3</definedName>
    <definedName name="T_Enclosed_Ventilation_Rate">'Equipment Table'!$HN$3</definedName>
    <definedName name="T_Endo_Reaction">'Equipment Table'!$GP$3</definedName>
    <definedName name="T_Equipment">'Equipment Table'!$G$3</definedName>
    <definedName name="T_Equipment_Elevation_Input">'Equipment Table'!$AD$3</definedName>
    <definedName name="T_Equipment_Elevation_Units">'Equipment Table'!$AE$3</definedName>
    <definedName name="T_Equipment_Status">'Equipment Table'!$B$3</definedName>
    <definedName name="T_Equipment_Tag">'Equipment Table'!$A$3</definedName>
    <definedName name="T_ES_1">'Equipment Table'!$LV$3</definedName>
    <definedName name="T_ES_10">'Equipment Table'!$ME$3</definedName>
    <definedName name="T_ES_11">'Equipment Table'!$MF$3</definedName>
    <definedName name="T_ES_12">'Equipment Table'!$MG$3</definedName>
    <definedName name="T_ES_13">'Equipment Table'!$MH$3</definedName>
    <definedName name="T_ES_14">'Equipment Table'!$MI$3</definedName>
    <definedName name="T_ES_15">'Equipment Table'!$MJ$3</definedName>
    <definedName name="T_ES_16">'Equipment Table'!$MK$3</definedName>
    <definedName name="T_ES_17">'Equipment Table'!$ML$3</definedName>
    <definedName name="T_ES_18">'Equipment Table'!$MM$3</definedName>
    <definedName name="T_ES_19">'Equipment Table'!$MN$3</definedName>
    <definedName name="T_ES_2">'Equipment Table'!$LW$3</definedName>
    <definedName name="T_ES_20">'Equipment Table'!$MO$3</definedName>
    <definedName name="T_ES_21">'Equipment Table'!$MP$3</definedName>
    <definedName name="T_ES_22">'Equipment Table'!$MQ$3</definedName>
    <definedName name="T_ES_23">'Equipment Table'!$MR$3</definedName>
    <definedName name="T_ES_24">'Equipment Table'!$MT$3</definedName>
    <definedName name="T_ES_25">'Equipment Table'!$MU$3</definedName>
    <definedName name="T_ES_26">'Equipment Table'!$MV$3</definedName>
    <definedName name="T_ES_27">'Equipment Table'!$MW$3</definedName>
    <definedName name="T_ES_28">'Equipment Table'!$MX$3</definedName>
    <definedName name="T_ES_29">'Equipment Table'!$MY$3</definedName>
    <definedName name="T_ES_3">'Equipment Table'!$LX$3</definedName>
    <definedName name="T_ES_30">'Equipment Table'!$MZ$3</definedName>
    <definedName name="T_ES_31">'Equipment Table'!$NA$3</definedName>
    <definedName name="T_ES_32">'Equipment Table'!$NB$3</definedName>
    <definedName name="T_ES_33">'Equipment Table'!$NC$3</definedName>
    <definedName name="T_ES_34">'Equipment Table'!$ND$3</definedName>
    <definedName name="T_ES_35">'Equipment Table'!$NE$3</definedName>
    <definedName name="T_ES_36">'Equipment Table'!$NF$3</definedName>
    <definedName name="T_ES_37">'Equipment Table'!$NG$3</definedName>
    <definedName name="T_ES_38">'Equipment Table'!$NH$3</definedName>
    <definedName name="T_ES_39">'Equipment Table'!$NI$3</definedName>
    <definedName name="T_ES_4">'Equipment Table'!$LY$3</definedName>
    <definedName name="T_ES_40">'Equipment Table'!$NJ$3</definedName>
    <definedName name="T_ES_41">'Equipment Table'!$NK$3</definedName>
    <definedName name="T_ES_42">'Equipment Table'!$NL$3</definedName>
    <definedName name="T_ES_43">'Equipment Table'!$NM$3</definedName>
    <definedName name="T_ES_44">'Equipment Table'!$NN$3</definedName>
    <definedName name="T_ES_45">'Equipment Table'!$NO$3</definedName>
    <definedName name="T_ES_46">'Equipment Table'!$NP$3</definedName>
    <definedName name="T_ES_47">'Equipment Table'!$NQ$3</definedName>
    <definedName name="T_ES_48">'Equipment Table'!$NR$3</definedName>
    <definedName name="T_ES_49">'Equipment Table'!$NS$3</definedName>
    <definedName name="T_ES_5">'Equipment Table'!$LZ$3</definedName>
    <definedName name="T_ES_50">'Equipment Table'!$NT$3</definedName>
    <definedName name="T_ES_51">'Equipment Table'!$NU$3</definedName>
    <definedName name="T_ES_52">'Equipment Table'!$NV$3</definedName>
    <definedName name="T_ES_53">'Equipment Table'!$NW$3</definedName>
    <definedName name="T_ES_54">'Equipment Table'!$NX$3</definedName>
    <definedName name="T_ES_55">'Equipment Table'!$NY$3</definedName>
    <definedName name="T_ES_56">'Equipment Table'!$NZ$3</definedName>
    <definedName name="T_ES_57">'Equipment Table'!$OA$3</definedName>
    <definedName name="T_ES_58">'Equipment Table'!$MS$3</definedName>
    <definedName name="T_ES_6">'Equipment Table'!$MA$3</definedName>
    <definedName name="T_ES_7">'Equipment Table'!$MB$3</definedName>
    <definedName name="T_ES_8">'Equipment Table'!$MC$3</definedName>
    <definedName name="T_ES_9">'Equipment Table'!$MD$3</definedName>
    <definedName name="T_Exclude_MI">'Equipment Table'!$M$3</definedName>
    <definedName name="T_Exo_Reaction">'Equipment Table'!$GO$3</definedName>
    <definedName name="T_Exp_Joint">'Equipment Table'!$BE$3</definedName>
    <definedName name="T_ExtHeat">'Reaction Input'!$Z$40</definedName>
    <definedName name="T_Failure_T_Input">'Equipment Table'!$S$3</definedName>
    <definedName name="T_Failure_T_Units">'Equipment Table'!$T$3</definedName>
    <definedName name="T_Feed_Temp_Input">'Equipment Table'!$ES$3</definedName>
    <definedName name="T_Feed_Temp_Units">'Equipment Table'!$ET$3</definedName>
    <definedName name="T_Feed_Type">'Equipment Table'!$EU$3</definedName>
    <definedName name="T_Feedrate_Input">'Equipment Table'!$EQ$3</definedName>
    <definedName name="T_Feedrate_Units">'Equipment Table'!$ER$3</definedName>
    <definedName name="T_FEI_Review">'Equipment Table'!$JS$3</definedName>
    <definedName name="T_FEI_Review_Date">'Equipment Table'!$JT$3</definedName>
    <definedName name="T_Fill">'Equipment Table'!$EM$3</definedName>
    <definedName name="T_Fill2">'Equipment Table'!$EN$3</definedName>
    <definedName name="T_Fire">'Reaction Input'!$AD$29</definedName>
    <definedName name="T_FiredEq_ProcessArea">'Equipment Table'!$GW$3</definedName>
    <definedName name="T_Flam_Adjacent_Input">'Equipment Table'!$HG$3</definedName>
    <definedName name="T_Flam_Adjacent_Units">'Equipment Table'!$HH$3</definedName>
    <definedName name="T_Flam_in_Area_Input">'Equipment Table'!$HE$3</definedName>
    <definedName name="T_Flam_in_Area_Units">'Equipment Table'!$HF$3</definedName>
    <definedName name="T_Flanges">'Equipment Table'!$AY$3</definedName>
    <definedName name="T_Frequent_Turnaround">'Equipment Table'!$FI$3</definedName>
    <definedName name="T_Geometry">'Equipment Table'!$AA$3</definedName>
    <definedName name="T_Heating_Media_Name">'Equipment Table'!$DA$3</definedName>
    <definedName name="T_Heating_P_Input">'Equipment Table'!$BU$3</definedName>
    <definedName name="T_Heating_P_Units">'Equipment Table'!$BV$3</definedName>
    <definedName name="T_Heating_Relief_Input">'Equipment Table'!$BX$3</definedName>
    <definedName name="T_Heating_T_Input">'Equipment Table'!$BS$3</definedName>
    <definedName name="T_Heating_T_Units">'Equipment Table'!$BT$3</definedName>
    <definedName name="T_High_Speed">'Equipment Table'!$BH$3</definedName>
    <definedName name="T_HighMix_Corr_T">'Equipment Table'!$CM$3</definedName>
    <definedName name="T_HotOil_Quantity">'Equipment Table'!$BW$3</definedName>
    <definedName name="T_HT_Area_Input">'Equipment Table'!$BO$3</definedName>
    <definedName name="T_HT_Area_Units">'Equipment Table'!$BP$3</definedName>
    <definedName name="T_Inert_Atm">'Equipment Table'!$EZ$3</definedName>
    <definedName name="T_Inert_FeedRate_Input">'Equipment Table'!$FD$3</definedName>
    <definedName name="T_Inert_FeedRate_Units">'Equipment Table'!$FE$3</definedName>
    <definedName name="T_Input">'Chemical Data'!$I$5</definedName>
    <definedName name="T_Insulation">'Equipment Table'!$BM$3</definedName>
    <definedName name="T_Insulation_Factor">'Equipment Table'!$LI$3</definedName>
    <definedName name="T_Intended_Reaction">'Equipment Table'!$FZ$3</definedName>
    <definedName name="T_Inventory_Input">'Equipment Table'!$EH$3</definedName>
    <definedName name="T_Inventory_Units">'Equipment Table'!$EI$3</definedName>
    <definedName name="T_K_Material">'Equipment Table'!$GN$3</definedName>
    <definedName name="T_Layout">'Equipment Table'!$GS$3</definedName>
    <definedName name="T_Limiting_Rate">'Equipment Table'!$FY$3</definedName>
    <definedName name="T_List">'Unit Conversion'!$Q$25:$Q$26</definedName>
    <definedName name="T_Location">'Equipment Table'!$GR$3</definedName>
    <definedName name="T_LowMix_Corr_T">'Equipment Table'!$CL$3</definedName>
    <definedName name="T_Mass_Equip_Input">'Equipment Table'!$W$3</definedName>
    <definedName name="T_Mass_Equip_Units">'Equipment Table'!$X$3</definedName>
    <definedName name="T_Matl_Construction">'Equipment Table'!$AS$3</definedName>
    <definedName name="T_MAWP_Input">'Equipment Table'!$Q$3</definedName>
    <definedName name="T_MAWP_Units">'Equipment Table'!$R$3</definedName>
    <definedName name="T_Max_Feed_P_Input">'Equipment Table'!$EO$3</definedName>
    <definedName name="T_Max_Feed_P_Units">'Equipment Table'!$EP$3</definedName>
    <definedName name="T_Max_Inert_P_Input">'Equipment Table'!$FB$3</definedName>
    <definedName name="T_Max_Inert_P_Units">'Equipment Table'!$FC$3</definedName>
    <definedName name="T_MisLoad">'Reaction Input'!$BB$40</definedName>
    <definedName name="T_Motor_Input">'Equipment Table'!$CB$3</definedName>
    <definedName name="T_Motor_Units">'Equipment Table'!$CC$3</definedName>
    <definedName name="T_Occ_Bldg_Cntr_Input">'Equipment Table'!$HR$3</definedName>
    <definedName name="T_Occ_Bldg_Cntr_Relief_Input">'Equipment Table'!$JB$3</definedName>
    <definedName name="T_Occ_Bldg_Cntr_Relief_Units">'Equipment Table'!$JC$3</definedName>
    <definedName name="T_Occ_Bldg_Cntr_Units">'Equipment Table'!$HS$3</definedName>
    <definedName name="T_Occ_Bldg_Input">'Equipment Table'!$JQ$3</definedName>
    <definedName name="T_Occ_Bldg_Name">'Equipment Table'!$HQ$3</definedName>
    <definedName name="T_Occ_Bldg_Relief_Input">'Equipment Table'!$IX$3</definedName>
    <definedName name="T_Occ_Bldg_Relief_Units">'Equipment Table'!$IY$3</definedName>
    <definedName name="T_Occ_Bldg_Units">'Equipment Table'!$JR$3</definedName>
    <definedName name="T_Occ_Bldg2_Cntr_Input">'Equipment Table'!$IF$3</definedName>
    <definedName name="T_Occ_Bldg2_Cntr_Relief_Input">'Equipment Table'!$JE$3</definedName>
    <definedName name="T_Occ_Bldg2_Cntr_Relief_Units">'Equipment Table'!$JF$3</definedName>
    <definedName name="T_Occ_Bldg2_Cntr_Units">'Equipment Table'!$IG$3</definedName>
    <definedName name="T_Occ_Bldg2_Direction">'Equipment Table'!$HZ$3</definedName>
    <definedName name="T_Occ_Bldg2_Input">'Equipment Table'!$IB$3</definedName>
    <definedName name="T_Occ_Bldg2_Name">'Equipment Table'!$IA$3</definedName>
    <definedName name="T_Occ_Bldg2_Relief_Direction">'Equipment Table'!$JD$3</definedName>
    <definedName name="T_Occ_Bldg2_Relief_Input">'Equipment Table'!$IZ$3</definedName>
    <definedName name="T_Occ_Bldg2_Relief_Units">'Equipment Table'!$JA$3</definedName>
    <definedName name="T_Occ_Bldg2_Units">'Equipment Table'!$IC$3</definedName>
    <definedName name="T_OccBldg_Elevation_Input">'Equipment Table'!$HW$3</definedName>
    <definedName name="T_OccBldg_Elevation_Units">'Equipment Table'!$HX$3</definedName>
    <definedName name="T_OccBldg2_Elevation_Input">'Equipment Table'!$ID$3</definedName>
    <definedName name="T_OccBldg2_Elevation_Units">'Equipment Table'!$IE$3</definedName>
    <definedName name="T_Occupants_atRisk">'Equipment Table'!$HY$3</definedName>
    <definedName name="T_Occupants_atRisk2">'Equipment Table'!$IK$3</definedName>
    <definedName name="T_OD_Review">'Equipment Table'!$FL$3</definedName>
    <definedName name="T_OD_Review_Date">'Equipment Table'!$FM$3</definedName>
    <definedName name="T_Offsite_Area_Fraction">'Equipment Table'!$IL$3</definedName>
    <definedName name="T_Offsite_Building_Type">'Equipment Table'!$IM$3</definedName>
    <definedName name="T_Offsite_PD1">'Equipment Table'!$IQ$3</definedName>
    <definedName name="T_Offsite_PD2">'Equipment Table'!$IR$3</definedName>
    <definedName name="T_Op_Number">'Equipment Table'!$HP$3</definedName>
    <definedName name="T_Operating_Time">'Equipment Table'!$FH$3</definedName>
    <definedName name="T_Outdoor_PD">'Equipment Table'!$HO$3</definedName>
    <definedName name="T_Overflow_Location">'Equipment Table'!$FF$3</definedName>
    <definedName name="T_P_Input">'Equipment Table'!$EF$3</definedName>
    <definedName name="T_P_Units">'Equipment Table'!$EG$3</definedName>
    <definedName name="T_Pad_Name">'Equipment Table'!$EA$3</definedName>
    <definedName name="T_Partipants">'Equipment Table'!$CJ$3</definedName>
    <definedName name="T_Permits">'Equipment Table'!$JY$3</definedName>
    <definedName name="T_PFF_1">'Equipment Table'!$LK$3</definedName>
    <definedName name="T_PFF_10">'Equipment Table'!$LT$3</definedName>
    <definedName name="T_PFF_2">'Equipment Table'!$LL$3</definedName>
    <definedName name="T_PFF_3">'Equipment Table'!$LM$3</definedName>
    <definedName name="T_PFF_4">'Equipment Table'!$LN$3</definedName>
    <definedName name="T_PFF_5">'Equipment Table'!$LO$3</definedName>
    <definedName name="T_PFF_6">'Equipment Table'!$LP$3</definedName>
    <definedName name="T_PFF_7">'Equipment Table'!$LQ$3</definedName>
    <definedName name="T_PFF_8">'Equipment Table'!$LR$3</definedName>
    <definedName name="T_PFF_9">'Equipment Table'!$LS$3</definedName>
    <definedName name="T_PID_Number">'Equipment Table'!$F$3</definedName>
    <definedName name="T_Pipe_Length_Input">'Equipment Table'!$AZ$3</definedName>
    <definedName name="T_Pipe_Length_Units">'Equipment Table'!$BA$3</definedName>
    <definedName name="T_Pipe_Vulnerable">'Equipment Table'!$BD$3</definedName>
    <definedName name="T_Plant_Section">'Equipment Table'!$E$3</definedName>
    <definedName name="T_PoolFire_By">'Equipment Table'!$LG$3</definedName>
    <definedName name="T_PoolFire_Date">'Equipment Table'!$LH$3</definedName>
    <definedName name="T_Pooling">'Reaction Input'!$AT$39</definedName>
    <definedName name="T_Process">'Equipment Table'!$EJ$3</definedName>
    <definedName name="T_Pseudo_Chem">'Equipment Table'!$CQ$3</definedName>
    <definedName name="T_Public_Input">'Equipment Table'!$JM$3</definedName>
    <definedName name="T_Public_Relief_Input">'Equipment Table'!$IV$3</definedName>
    <definedName name="T_Public_Relief_Units">'Equipment Table'!$IW$3</definedName>
    <definedName name="T_Public_Units">'Equipment Table'!$JN$3</definedName>
    <definedName name="T_Public2_Input">'Equipment Table'!$IN$3</definedName>
    <definedName name="T_Public2_Units">'Equipment Table'!$IS$3</definedName>
    <definedName name="T_Pump_S_Input">'Equipment Table'!$CI$3</definedName>
    <definedName name="T_Pump_Type">'Equipment Table'!$CF$3</definedName>
    <definedName name="T_Pump_V_Input">'Equipment Table'!$CH$3</definedName>
    <definedName name="T_Pump_Valves">'Equipment Table'!$CE$3</definedName>
    <definedName name="T_Reactive_Only">'Equipment Table'!$FN$3</definedName>
    <definedName name="T_Regulatory_Tox">'Equipment Table'!$CP$3</definedName>
    <definedName name="T_Relief_Discharge_Location">'Equipment Table'!$AR$3</definedName>
    <definedName name="T_Relief_Discharge_Size_Input">'Equipment Table'!$AN$3</definedName>
    <definedName name="T_Relief_Discharge_Units">'Equipment Table'!$AO$3</definedName>
    <definedName name="T_Relief_Elevation_Input">'Equipment Table'!$AP$3</definedName>
    <definedName name="T_Relief_Elevation_Units">'Equipment Table'!$AQ$3</definedName>
    <definedName name="T_Relief_Flowrate_Input">'Equipment Table'!$AK$3</definedName>
    <definedName name="T_Relief_Flowrate_Units">'Equipment Table'!$AL$3</definedName>
    <definedName name="T_Relief_Set_Input">'Equipment Table'!$AG$3</definedName>
    <definedName name="T_Relief_Set_Units">'Equipment Table'!$AH$3</definedName>
    <definedName name="T_Relief_Size_Input">'Equipment Table'!$AI$3</definedName>
    <definedName name="T_Relief_Size_Units">'Equipment Table'!$AJ$3</definedName>
    <definedName name="T_Relief_Tag">'Equipment Table'!$AF$3</definedName>
    <definedName name="T_Relief_Type">'Equipment Table'!$AM$3</definedName>
    <definedName name="T_Remote_Start">'Equipment Table'!$CD$3</definedName>
    <definedName name="T_Report_NoIPL">'Equipment Table'!$N$3</definedName>
    <definedName name="T_RS_1">'Equipment Table'!$OB$3</definedName>
    <definedName name="T_RS_10">'Equipment Table'!$OK$3</definedName>
    <definedName name="T_RS_11">'Equipment Table'!$OL$3</definedName>
    <definedName name="T_RS_12">'Equipment Table'!$OM$3</definedName>
    <definedName name="T_RS_13">'Equipment Table'!$ON$3</definedName>
    <definedName name="T_RS_14">'Equipment Table'!$OO$3</definedName>
    <definedName name="T_RS_15">'Equipment Table'!$OP$3</definedName>
    <definedName name="T_RS_16">'Equipment Table'!$OQ$3</definedName>
    <definedName name="T_RS_17">'Equipment Table'!$OR$3</definedName>
    <definedName name="T_RS_18">'Equipment Table'!$OS$3</definedName>
    <definedName name="T_RS_19">'Equipment Table'!$OT$3</definedName>
    <definedName name="T_RS_2">'Equipment Table'!$OC$3</definedName>
    <definedName name="T_RS_20">'Equipment Table'!$OU$3</definedName>
    <definedName name="T_RS_21">'Equipment Table'!$OV$3</definedName>
    <definedName name="T_RS_22">'Equipment Table'!$OW$3</definedName>
    <definedName name="T_RS_23">'Equipment Table'!$OX$3</definedName>
    <definedName name="T_RS_24">'Equipment Table'!$OZ$3</definedName>
    <definedName name="T_RS_25">'Equipment Table'!$PA$3</definedName>
    <definedName name="T_RS_26">'Equipment Table'!$PB$3</definedName>
    <definedName name="T_RS_27">'Equipment Table'!$PC$3</definedName>
    <definedName name="T_RS_28">'Equipment Table'!$PD$3</definedName>
    <definedName name="T_RS_29">'Equipment Table'!$PE$3</definedName>
    <definedName name="T_RS_3">'Equipment Table'!$OD$3</definedName>
    <definedName name="T_RS_30">'Equipment Table'!$PF$3</definedName>
    <definedName name="T_RS_31">'Equipment Table'!$PG$3</definedName>
    <definedName name="T_RS_32">'Equipment Table'!$PH$3</definedName>
    <definedName name="T_RS_33">'Equipment Table'!$PI$3</definedName>
    <definedName name="T_RS_34">'Equipment Table'!$PJ$3</definedName>
    <definedName name="T_RS_35">'Equipment Table'!$PK$3</definedName>
    <definedName name="T_RS_36">'Equipment Table'!$PL$3</definedName>
    <definedName name="T_RS_37">'Equipment Table'!$PM$3</definedName>
    <definedName name="T_RS_38">'Equipment Table'!$PN$3</definedName>
    <definedName name="T_RS_39">'Equipment Table'!$PO$3</definedName>
    <definedName name="T_RS_4">'Equipment Table'!$OE$3</definedName>
    <definedName name="T_RS_40">'Equipment Table'!$PP$3</definedName>
    <definedName name="T_RS_41">'Equipment Table'!$PQ$3</definedName>
    <definedName name="T_RS_42">'Equipment Table'!$PR$3</definedName>
    <definedName name="T_RS_43">'Equipment Table'!$PS$3</definedName>
    <definedName name="T_RS_44">'Equipment Table'!$PT$3</definedName>
    <definedName name="T_RS_45">'Equipment Table'!$PU$3</definedName>
    <definedName name="T_RS_46">'Equipment Table'!$PV$3</definedName>
    <definedName name="T_RS_47">'Equipment Table'!$PW$3</definedName>
    <definedName name="T_RS_48">'Equipment Table'!$PX$3</definedName>
    <definedName name="T_RS_49">'Equipment Table'!$PY$3</definedName>
    <definedName name="T_RS_5">'Equipment Table'!$OF$3</definedName>
    <definedName name="T_RS_50">'Equipment Table'!$PZ$3</definedName>
    <definedName name="T_RS_51">'Equipment Table'!$QA$3</definedName>
    <definedName name="T_RS_52">'Equipment Table'!$QB$3</definedName>
    <definedName name="T_RS_53">'Equipment Table'!$QC$3</definedName>
    <definedName name="T_RS_54">'Equipment Table'!$QD$3</definedName>
    <definedName name="T_RS_55">'Equipment Table'!$QE$3</definedName>
    <definedName name="T_RS_56">'Equipment Table'!$QF$3</definedName>
    <definedName name="T_RS_57">'Equipment Table'!$QG$3</definedName>
    <definedName name="T_RS_58">'Equipment Table'!$OY$3</definedName>
    <definedName name="T_RS_6">'Equipment Table'!$OG$3</definedName>
    <definedName name="T_RS_7">'Equipment Table'!$OH$3</definedName>
    <definedName name="T_RS_8">'Equipment Table'!$OI$3</definedName>
    <definedName name="T_RS_9">'Equipment Table'!$OJ$3</definedName>
    <definedName name="T_Rupture_10min">'Equipment Table'!$FJ$3</definedName>
    <definedName name="T_Rupture_Time">'Equipment Table'!$FK$3</definedName>
    <definedName name="T_Rx_Incompatible">'Equipment Table'!$GM$3</definedName>
    <definedName name="T_Rx_MisLoading">'Equipment Table'!$GK$3</definedName>
    <definedName name="T_Rx_MisLoading_Factor">'Equipment Table'!$GL$3</definedName>
    <definedName name="T_Rx_Pooling">'Equipment Table'!$GH$3</definedName>
    <definedName name="T_Rx_Pooling_Factor">'Equipment Table'!$GJ$3</definedName>
    <definedName name="T_Save_Date">'Equipment Table'!$D$3</definedName>
    <definedName name="T_Screwed_Connect">'Equipment Table'!$BF$3</definedName>
    <definedName name="T_Seal_Type">'Equipment Table'!$CG$3</definedName>
    <definedName name="T_Second_Phase">'Equipment Table'!$GI$3</definedName>
    <definedName name="T_SecPhase_1">'Equipment Table'!$DB$3</definedName>
    <definedName name="T_SecPhase_2">'Equipment Table'!$DC$3</definedName>
    <definedName name="T_SecPhase_3">'Equipment Table'!$DD$3</definedName>
    <definedName name="T_SecPhase_4">'Equipment Table'!$DE$3</definedName>
    <definedName name="T_SecPhase_5">'Equipment Table'!$DF$3</definedName>
    <definedName name="T_Sight_Glass">'Equipment Table'!$BG$3</definedName>
    <definedName name="T_Soil_Remediation">'Equipment Table'!$GX$3</definedName>
    <definedName name="T_Storage">'Equipment Table'!$AC$3</definedName>
    <definedName name="T_Sur_Area_Input">'Equipment Table'!$BK$3</definedName>
    <definedName name="T_Sur_Area_Units">'Equipment Table'!$BL$3</definedName>
    <definedName name="T_T_Input">'Equipment Table'!$ED$3</definedName>
    <definedName name="T_T_Units">'Equipment Table'!$EE$3</definedName>
    <definedName name="T_TCSupport">'Equipment Table'!$JZ$3</definedName>
    <definedName name="T_Tracing">'Equipment Table'!$BN$3</definedName>
    <definedName name="T_Tube_D_Input">'Equipment Table'!$BY$3</definedName>
    <definedName name="T_Tube_D_Units">'Equipment Table'!$BZ$3</definedName>
    <definedName name="T_Tube_No">'Equipment Table'!$CA$3</definedName>
    <definedName name="T_U_Input">'Equipment Table'!$BQ$3</definedName>
    <definedName name="T_U_Units">'Equipment Table'!$BR$3</definedName>
    <definedName name="T_Units">'Chemical Data'!$J$5</definedName>
    <definedName name="T_Vacuum_Rated">'Equipment Table'!$AU$3</definedName>
    <definedName name="T_Ventilation_Rate">'Equipment Table'!$HU$3</definedName>
    <definedName name="T_Ventilation_Rate2">'Equipment Table'!$IH$3</definedName>
    <definedName name="T_Ventilation_ShutOff">'Equipment Table'!$HV$3</definedName>
    <definedName name="T_Ventilation_ShutOff2">'Equipment Table'!$II$3</definedName>
    <definedName name="T_Vibration">'Equipment Table'!$FG$3</definedName>
    <definedName name="T_Viscous">'Equipment Table'!$DU$3</definedName>
    <definedName name="T_Volume_Input">'Equipment Table'!$O$3</definedName>
    <definedName name="T_Volume_Units">'Equipment Table'!$P$3</definedName>
    <definedName name="T_Waterway">'Equipment Table'!$GY$3</definedName>
    <definedName name="T_WeakSeam_Roof">'Equipment Table'!$AB$3</definedName>
    <definedName name="T_WorkArea_Distance_Input">'Equipment Table'!$K$3</definedName>
    <definedName name="T_WorkArea_Distance_Units">'Equipment Table'!$L$3</definedName>
    <definedName name="T_WorkArea_Distance2_Input">'Equipment Table'!$IT$3</definedName>
    <definedName name="T_WorkArea_Distance2_Units">'Equipment Table'!$IU$3</definedName>
    <definedName name="T_WorkArea_Elevation_Input">'Equipment Table'!$I$3</definedName>
    <definedName name="T_WorkArea_Elevation_Units">'Equipment Table'!$J$3</definedName>
    <definedName name="T_WtFract_2">'Equipment Table'!$CS$3</definedName>
    <definedName name="T_WtFract_3">'Equipment Table'!$CT$3</definedName>
    <definedName name="T_WtFract_4">'Equipment Table'!$CU$3</definedName>
    <definedName name="T_WtFract_5">'Equipment Table'!$CV$3</definedName>
    <definedName name="T_Zone1_Input">'Equipment Table'!$IO$3</definedName>
    <definedName name="T_Zone1_Units">'Equipment Table'!$IP$3</definedName>
    <definedName name="Table_TF">'User Scenario'!$AR$1</definedName>
    <definedName name="Tad_max">'Reaction Input'!$Q$67</definedName>
    <definedName name="Tag_List">OFFSET(T_Equipment_Tag,1,0,Last_Equipment_Row-3,1)</definedName>
    <definedName name="Tank_Geometry_List">'Unit Conversion'!$M$62:$M$65</definedName>
    <definedName name="Tank_Mass1">'Special Calcs'!$C$215</definedName>
    <definedName name="Tank_Mass2">'Special Calcs'!$C$216</definedName>
    <definedName name="Tank_Mass3">'Special Calcs'!$C$217</definedName>
    <definedName name="Tank_Sur1">'Special Calcs'!$C$212</definedName>
    <definedName name="Tank_Sur2">'Special Calcs'!$C$213</definedName>
    <definedName name="Tank_Sur3">'Special Calcs'!$C$214</definedName>
    <definedName name="Target_Factor_Table">'Scenario Analysis'!$GU$6:$GV$28</definedName>
    <definedName name="TB_N">'New Chemical'!$E$9</definedName>
    <definedName name="TBp">'Chemical Data'!$T$40</definedName>
    <definedName name="TBp_Aerosol">'Release Calculations'!$D$37</definedName>
    <definedName name="TBp_Aerosol_Overfill">'Release Calculations'!$AE$37</definedName>
    <definedName name="TBp_Aerosol_RupFire">'Release Calculations'!$CC$37</definedName>
    <definedName name="TBp_Aerosol_RupPeak">'Release Calculations'!$CA$37</definedName>
    <definedName name="TBp_Aerosol_RupSat">'Release Calculations'!$BY$37</definedName>
    <definedName name="TBp_Aerosol_Rupture">'Release Calculations'!$BU$37</definedName>
    <definedName name="TBp_afterFlash">'Release Calculations'!$D$28</definedName>
    <definedName name="TBp_ReliefFlash">'Release Calculations'!$AV$26</definedName>
    <definedName name="TC_BP30TO60">{3,2,1,0}</definedName>
    <definedName name="TC_BP60TO150">{2,1,0,0}</definedName>
    <definedName name="TC_BPGT150">{1,0,0,0}</definedName>
    <definedName name="TC_BPLT30">{4,3,2,1}</definedName>
    <definedName name="TC_SCORE">{2,6,18,54,162}</definedName>
    <definedName name="TCSupport">'Relief Effluent'!$H$6</definedName>
    <definedName name="Tdet">'Reaction Input'!$D$15</definedName>
    <definedName name="Tdet_C">'Chemical Properties'!$BJ$1</definedName>
    <definedName name="Tdet_U">'Reaction Input'!$E$15</definedName>
    <definedName name="Team_Selection">'Scenario Identification'!$DT$3</definedName>
    <definedName name="TEF_Results">OFFSET(Out_TEF,1,0,Last_Scenario_Row-2,1)</definedName>
    <definedName name="Temp_1">'New Chemical'!$I$13</definedName>
    <definedName name="Temp_2">'New Chemical'!$J$13</definedName>
    <definedName name="Test_Method">'Reaction Input'!$D$21</definedName>
    <definedName name="Test_Method_C">'Chemical Properties'!$BO$1</definedName>
    <definedName name="Test_Method_U">'Reaction Input'!$E$21</definedName>
    <definedName name="TF_Results">OFFSET(Out_TF_Used,1,0,Last_Scenario_Row-2,1)</definedName>
    <definedName name="TF_User">'Scenario Analysis'!$GX$5:$GX$13</definedName>
    <definedName name="TFCorrect">'IPL Credits'!$J$28:$J$34</definedName>
    <definedName name="TFCorrect_Table">'IPL Credits'!$J$28:$K$34</definedName>
    <definedName name="Thermal_Expand">'Special Calcs'!$C$50</definedName>
    <definedName name="Thermal_Expand_DT">'Study Parameters'!$C$56</definedName>
    <definedName name="Thermal_Expand_Length">'Study Parameters'!$C$57</definedName>
    <definedName name="Thermal_Liquid_High">'Study Parameters'!$C$46</definedName>
    <definedName name="Thermal_Liquid_Low">'Study Parameters'!$C$48</definedName>
    <definedName name="Thermal_Liquid_Severe">'Study Parameters'!$C$47</definedName>
    <definedName name="Thermal_Vapor_High">'Study Parameters'!$C$49</definedName>
    <definedName name="Thermal_Vapor_Severe">'Study Parameters'!$C$50</definedName>
    <definedName name="ThermRad_Screening_Limit">'Study Parameters'!$C$53</definedName>
    <definedName name="This_Version">'Revision History'!$F$4</definedName>
    <definedName name="Time_HTRelief_atHigh">'Special Calcs'!$G$149</definedName>
    <definedName name="Time_HTRelief_atLow">'Special Calcs'!$G$151</definedName>
    <definedName name="Time_MERelief_atHigh">'Special Calcs'!$G$136</definedName>
    <definedName name="Time_MERelief_atLow">'Special Calcs'!$G$129</definedName>
    <definedName name="Time_to_Event">'Scenario Analysis'!$BV$3</definedName>
    <definedName name="Time_to_Event_Units">'Scenario Analysis'!$BW$3</definedName>
    <definedName name="Time_to_Rupture">'Scenario Identification'!$DL$3:$DQ$3</definedName>
    <definedName name="Time_to_Rupture_Table">'Scenario Identification'!$DL$6:$DQ$63</definedName>
    <definedName name="Tinit">'Reaction Input'!$Q$65</definedName>
    <definedName name="TM_Feed">'Chemical Data'!$H$25</definedName>
    <definedName name="TM_N">'New Chemical'!$E$8</definedName>
    <definedName name="TM_U">'Chemical Data'!$I$25</definedName>
    <definedName name="Tmax">'Hazards &amp; Consequences'!$F$57</definedName>
    <definedName name="Tmax_ME_Continuous">'Special Calcs'!$G$133</definedName>
    <definedName name="Tmax_MechEng">'Special Calcs'!$G$126</definedName>
    <definedName name="Tmin">'Hazards &amp; Consequences'!$F$60</definedName>
    <definedName name="Tmisload_max">'Reaction Input'!$Q$75</definedName>
    <definedName name="TMR">'Reaction Input'!$C$62</definedName>
    <definedName name="TNR">'Reaction Input'!$R$38</definedName>
    <definedName name="TNR_Amb">'Special Calcs'!$C$134</definedName>
    <definedName name="TNR_Feed">'Special Calcs'!$C$136</definedName>
    <definedName name="TNR_HT">'Special Calcs'!$C$137</definedName>
    <definedName name="TNR_ME">'Special Calcs'!$C$138</definedName>
    <definedName name="TNR_Relief">'Special Calcs'!$C$140</definedName>
    <definedName name="TNR_T">'Special Calcs'!$C$135</definedName>
    <definedName name="TNR_withCoolant">'Reaction Input'!$H$62</definedName>
    <definedName name="TNT_A">'Special Calcs'!$C$176</definedName>
    <definedName name="TNT_B">'Special Calcs'!$C$177</definedName>
    <definedName name="TNT_C">'Special Calcs'!$C$178</definedName>
    <definedName name="Total_AQ">'Release Calculations'!$N$70</definedName>
    <definedName name="Total_AQ_Drain">'Release Calculations'!$J$70</definedName>
    <definedName name="Total_AQ_ExtremeLarge">'Release Calculations'!$X$70</definedName>
    <definedName name="Total_AQ_ExtremeLarge_Top">'Release Calculations'!$X$437</definedName>
    <definedName name="Total_AQ_Fire">'Release Calculations'!$AV$71</definedName>
    <definedName name="Total_AQ_from_InertFeed">'Release Calculations'!$AE$451</definedName>
    <definedName name="Total_AQ_Heat_Transfer">'Release Calculations'!$AX$71</definedName>
    <definedName name="Total_AQ_Mechanical">'Release Calculations'!$AZ$71</definedName>
    <definedName name="Total_AQ_Medium">'Release Calculations'!$T$70</definedName>
    <definedName name="Total_AQ_Medium_Top">'Release Calculations'!$T$437</definedName>
    <definedName name="Total_AQ_Overfill">'Release Calculations'!$AE$93</definedName>
    <definedName name="Total_AQ_Reactive">'Release Calculations'!$BB$71</definedName>
    <definedName name="Total_AQ_Reactive_Catalyst">'Release Calculations'!$BH$71</definedName>
    <definedName name="Total_AQ_Reactive_MisLoading">'Release Calculations'!$BL$71</definedName>
    <definedName name="Total_AQ_Reactive_Pooling">'Release Calculations'!$BJ$71</definedName>
    <definedName name="Total_AQ_Reactive_withFire">'Release Calculations'!$BF$71</definedName>
    <definedName name="Total_AQ_Relief">'Release Calculations'!$AI$93</definedName>
    <definedName name="Total_AQ_Relief_Top">'Release Calculations'!$AI$451</definedName>
    <definedName name="Total_AQ_Seal">'Release Calculations'!$D$70</definedName>
    <definedName name="Total_AQ_Small">'Release Calculations'!$F$70</definedName>
    <definedName name="Total_AQ_Small_Top">'Release Calculations'!$F$437</definedName>
    <definedName name="Total_AQ_Top">'Release Calculations'!$N$437</definedName>
    <definedName name="Total_AQ_UserHole">'Release Calculations'!$L$70</definedName>
    <definedName name="Total_AQ_VeryLarge">'Release Calculations'!$V$70</definedName>
    <definedName name="Total_AQ_VeryLarge_Top">'Release Calculations'!$V$437</definedName>
    <definedName name="Total_AQ_VerySmall">'Release Calculations'!$P$70</definedName>
    <definedName name="Total_AQ_VerySmall_Top">'Release Calculations'!$P$437</definedName>
    <definedName name="Total_Flash">'Release Calculations'!$N$420</definedName>
    <definedName name="Total_Leak_Solids">'Special Calcs'!$C$83</definedName>
    <definedName name="Toxic_Limit">'Study Parameters'!$C$20</definedName>
    <definedName name="Tpeak_atBurst">'Chemical Data'!$T$46</definedName>
    <definedName name="Tpeak_atRelief">'Chemical Data'!$T$45</definedName>
    <definedName name="TPool_RupFire">'Release Calculations'!$CC$53</definedName>
    <definedName name="TPool_RupPeak">'Release Calculations'!$CA$53</definedName>
    <definedName name="TPool_RupSat">'Release Calculations'!$BY$53</definedName>
    <definedName name="TPool_Rupture">'Release Calculations'!$BU$53</definedName>
    <definedName name="Tpool1_Backflow">'Release Calculations'!$AG$51</definedName>
    <definedName name="Tpool1_Drain">'Release Calculations'!$J$51</definedName>
    <definedName name="Tpool1_ExtremeLarge">'Release Calculations'!$X$51</definedName>
    <definedName name="Tpool1_FullBore">'Release Calculations'!$N$51</definedName>
    <definedName name="Tpool1_Medium">'Release Calculations'!$T$51</definedName>
    <definedName name="Tpool1_Overfill">'Release Calculations'!$AE$51</definedName>
    <definedName name="Tpool1_Relief">'Release Calculations'!$AI$51</definedName>
    <definedName name="Tpool1_Seal">'Release Calculations'!$D$51</definedName>
    <definedName name="Tpool1_Small">'Release Calculations'!$F$51</definedName>
    <definedName name="Tpool1_User">'Release Calculations'!$AK$51</definedName>
    <definedName name="Tpool1_UserHole">'Release Calculations'!$L$51</definedName>
    <definedName name="Tpool1_VeryLarge">'Release Calculations'!$V$51</definedName>
    <definedName name="Tpool1_VerySmall">'Release Calculations'!$P$51</definedName>
    <definedName name="Tpool2_Backflow">'Release Calculations'!$AG$53</definedName>
    <definedName name="Tpool2_Drain">'Release Calculations'!$J$53</definedName>
    <definedName name="Tpool2_ExtremeLarge">'Release Calculations'!$X$53</definedName>
    <definedName name="Tpool2_FullBore">'Release Calculations'!$N$53</definedName>
    <definedName name="Tpool2_Medium">'Release Calculations'!$T$53</definedName>
    <definedName name="Tpool2_Overfill">'Release Calculations'!$AE$53</definedName>
    <definedName name="Tpool2_Relief">'Release Calculations'!$AI$53</definedName>
    <definedName name="Tpool2_Seal">'Release Calculations'!$D$53</definedName>
    <definedName name="Tpool2_Small">'Release Calculations'!$F$53</definedName>
    <definedName name="Tpool2_User">'Release Calculations'!$AK$53</definedName>
    <definedName name="Tpool2_UserHole">'Release Calculations'!$L$53</definedName>
    <definedName name="Tpool2_VeryLarge">'Release Calculations'!$V$53</definedName>
    <definedName name="Tpool2_VerySmall">'Release Calculations'!$P$53</definedName>
    <definedName name="Tracing">'Equipment Input'!$D$25</definedName>
    <definedName name="TRate_List">'Unit Conversion'!$Q$48:$Q$49</definedName>
    <definedName name="Trial_Gain">'Study Parameters'!$C$27</definedName>
    <definedName name="Tsat">'Chemical Data'!$T$41</definedName>
    <definedName name="Tube_D">'Unit Conversion'!$C$54</definedName>
    <definedName name="Tube_D_Input">'Equipment Input'!$D$46</definedName>
    <definedName name="Tube_D_Units">'Equipment Input'!$E$46</definedName>
    <definedName name="Tube_No">'Equipment Input'!$D$47</definedName>
    <definedName name="Two_Phase_1">'Release Calculations'!$AV$36</definedName>
    <definedName name="Two_Phase_2">'Release Calculations'!$AV$37</definedName>
    <definedName name="Two_Phase_3">'Release Calculations'!$AV$38</definedName>
    <definedName name="Two_Phase_4">'Release Calculations'!$AV$39</definedName>
    <definedName name="Two_Phase_5">'Release Calculations'!$AV$40</definedName>
    <definedName name="Two_Phase_Limit">'Study Parameters'!$C$76</definedName>
    <definedName name="U">'Unit Conversion'!$C$51</definedName>
    <definedName name="U_droplet">'Special Calcs'!$G$110</definedName>
    <definedName name="U_Input">'Equipment Input'!$D$39</definedName>
    <definedName name="U_List">'Unit Conversion'!$Q$20:$Q$22</definedName>
    <definedName name="U_Units">'Equipment Input'!$E$39</definedName>
    <definedName name="UFL_C">'Chemical Properties'!$AL$1</definedName>
    <definedName name="UFL_Fraction_Limit">'Study Parameters'!$J$7</definedName>
    <definedName name="UFL_N">'New Chemical'!$E$22</definedName>
    <definedName name="Units">'Relief Effluent'!$N$20</definedName>
    <definedName name="User_Cause">'User Scenario'!$C$10</definedName>
    <definedName name="User_Cause_Desc">'User Scenario'!$C$12</definedName>
    <definedName name="User_Clear1">'User Scenario'!$S$7</definedName>
    <definedName name="User_Cons_NA">'User Scenario'!$H$24</definedName>
    <definedName name="User_Consequence_Program">'User Scenario'!$C$25</definedName>
    <definedName name="User_Consequence_User">'User Scenario'!$C$31</definedName>
    <definedName name="User_Defined_Calcs">'Scenario Analysis'!$F$57:$BW$57</definedName>
    <definedName name="User_Defined_D">'Unit Conversion'!$C$45</definedName>
    <definedName name="User_Defined_Input">'User Scenario'!$C$17</definedName>
    <definedName name="User_Defined_Input_Units">'User Scenario'!$F$17</definedName>
    <definedName name="User_Defined_Input2">'User Scenario'!$C$18</definedName>
    <definedName name="User_Defined_Input2_Units">'User Scenario'!$F$18</definedName>
    <definedName name="User_Defined_Input3">'User Scenario'!$C$19</definedName>
    <definedName name="User_Defined_Input3_Units">'User Scenario'!$F$19</definedName>
    <definedName name="User_Defined_LeakRate">'Unit Conversion'!$C$74</definedName>
    <definedName name="User_Defined_P">'Unit Conversion'!$C$46</definedName>
    <definedName name="User_Defined_T">'Unit Conversion'!$C$47</definedName>
    <definedName name="User_Defined_VaporRate">'Unit Conversion'!$C$73</definedName>
    <definedName name="User_Dust_Prop">'Chemical Data'!$I$42:$I$46</definedName>
    <definedName name="User_EF_Desc">'User Scenario'!$AR$9</definedName>
    <definedName name="User_EF_Detail">'User Scenario'!$AR$10</definedName>
    <definedName name="User_Equip_Tag">'User Scenario'!$C$3</definedName>
    <definedName name="User_Equip_Type">'User Scenario'!$C$5</definedName>
    <definedName name="User_Hole_In">'User Scenario'!$AE$4</definedName>
    <definedName name="User_Hole_Out">'User Scenario'!$AI$4</definedName>
    <definedName name="User_Hole_Units_In">'User Scenario'!$AF$4</definedName>
    <definedName name="User_IEF">'User Scenario'!$D$36</definedName>
    <definedName name="User_Incident">'User Scenario'!$AR$6</definedName>
    <definedName name="User_Incident_Entered">'User Scenario'!$C$15</definedName>
    <definedName name="User_Key_Chemical">'User Scenario'!$C$7</definedName>
    <definedName name="User_Mix_Prop">'Chemical Data'!$I$28:$I$39</definedName>
    <definedName name="User_Mix_Prop2">'Chemical Data'!$I$25:$I$26</definedName>
    <definedName name="User_Outcome">'User Scenario'!$C$20</definedName>
    <definedName name="User_Outcome_Desc">'User Scenario'!$C$22</definedName>
    <definedName name="User_Outcome_Desc_User">'User Scenario'!$C$28</definedName>
    <definedName name="User_PhysProps">'New Chemical'!$I$13:$J$17</definedName>
    <definedName name="User_PI">'User Scenario'!$D$37</definedName>
    <definedName name="User_PI_Desc">'User Scenario'!$AR$7</definedName>
    <definedName name="User_PI_Detail">'User Scenario'!$AR$8</definedName>
    <definedName name="User_Plant_Section">'User Scenario'!$C$2</definedName>
    <definedName name="User_POE">'User Scenario'!$D$39</definedName>
    <definedName name="User_POE_Desc">'User Scenario'!$AR$11</definedName>
    <definedName name="User_POE_Entered">'User Scenario'!$AR$12</definedName>
    <definedName name="User_POE_Overwritten">'User Scenario'!$AR$13</definedName>
    <definedName name="User_Press_In">'User Scenario'!$AE$9</definedName>
    <definedName name="User_Press_Out">'User Scenario'!$AI$9</definedName>
    <definedName name="User_Press_Units_In">'User Scenario'!$AF$9</definedName>
    <definedName name="User_Properties">'New Chemical'!$D$5:$D$41</definedName>
    <definedName name="User_Rate_In">'User Scenario'!$AE$10</definedName>
    <definedName name="User_Rate_Out">'User Scenario'!$AI$10</definedName>
    <definedName name="User_Rate_Units_In">'User Scenario'!$AF$10</definedName>
    <definedName name="User_Release_Calcs">'User Scenario'!$O$2:$O$50</definedName>
    <definedName name="User_Release_Calcs_User">'User Scenario'!$S$2:$S$50</definedName>
    <definedName name="User_Scenario_Type">'User Scenario'!$C$8</definedName>
    <definedName name="User_TEF">'User Scenario'!$D$38</definedName>
    <definedName name="User_Temp_In">'User Scenario'!$AE$8</definedName>
    <definedName name="User_Temp_Out">'User Scenario'!$AI$8</definedName>
    <definedName name="User_Temp_Units_In">'User Scenario'!$AF$8</definedName>
    <definedName name="User_TF">'User Scenario'!$D$35</definedName>
    <definedName name="User_Units_In">'User Scenario'!$AF$2:$AF$50</definedName>
    <definedName name="User_Units_Out">'User Scenario'!$W$2:$W$50</definedName>
    <definedName name="User_Value_In">'User Scenario'!$AE$2:$AE$50</definedName>
    <definedName name="User_Value_Out">'User Scenario'!$AI$2:$AI$50</definedName>
    <definedName name="UserHole_HD2">'Release Calculations'!$L$282</definedName>
    <definedName name="UserHole_HD3">'Release Calculations'!$L$285</definedName>
    <definedName name="Vacuum_Rated">'Equipment Input'!$D$12</definedName>
    <definedName name="Vap_C">'Chemical Data'!$N$54</definedName>
    <definedName name="Vap_C_atTBp">'Chemical Data'!$S$54</definedName>
    <definedName name="Vap_Pres_A_N">'New Chemical'!$E$10</definedName>
    <definedName name="Vap_Pres_B_N">'New Chemical'!$E$11</definedName>
    <definedName name="Vap_Pres_C_N">'New Chemical'!$E$12</definedName>
    <definedName name="Vap_rho">'Chemical Data'!$N$52</definedName>
    <definedName name="Vap_rho_atAmbient">'Chemical Data'!$N$57</definedName>
    <definedName name="Vap_rho_atTBp">'Chemical Data'!$S$52</definedName>
    <definedName name="Vapor_Composition__Key">'Chemical Data'!$E$16</definedName>
    <definedName name="Vapor_Incident_Fire">'Scenario Identification'!$CR$3</definedName>
    <definedName name="Vapor_Incident_HT">'Scenario Identification'!$CS$3</definedName>
    <definedName name="Vapor_Incident_ME">'Scenario Identification'!$CT$3</definedName>
    <definedName name="Vapor_Incident_Rx">'Scenario Identification'!$CU$3</definedName>
    <definedName name="Vapor_Incident_Rx_Cat">'Scenario Identification'!$CX$3</definedName>
    <definedName name="Vapor_Incident_Rx_Fire">'Scenario Identification'!$CW$3</definedName>
    <definedName name="Vapor_Incident_Rx_ML">'Scenario Identification'!$CZ$3</definedName>
    <definedName name="Vapor_Incident_Rx_Pool">'Scenario Identification'!$CY$3</definedName>
    <definedName name="VCE_BST_Coeff">'Special Calcs'!$H$67</definedName>
    <definedName name="VCE_BST_Coeff_HT">'Special Calcs'!$I$67</definedName>
    <definedName name="VCE_BST_Exp">'Special Calcs'!$H$68</definedName>
    <definedName name="VCE_BST_Exp_HT">'Special Calcs'!$I$68</definedName>
    <definedName name="VCE_BST_Limit">'Special Calcs'!$H$69</definedName>
    <definedName name="VCE_BST_Limit_HT">'Special Calcs'!$I$69</definedName>
    <definedName name="VCE_Efficiency">'Special Calcs'!$H$57</definedName>
    <definedName name="VCE_Efficiency_HT">'Special Calcs'!$I$57</definedName>
    <definedName name="VCE_High_Dist">'Study Parameters'!$J$36</definedName>
    <definedName name="VCE_HighTotal">'Study Parameters'!$J$14</definedName>
    <definedName name="VCE_Low_Dist">'Study Parameters'!$J$35</definedName>
    <definedName name="VCE_LowTotal">'Study Parameters'!$J$15</definedName>
    <definedName name="VCE_R_1psi">'Special Calcs'!$H$66</definedName>
    <definedName name="VCE_R_1psi_HT">'Special Calcs'!$I$66</definedName>
    <definedName name="Vent_List">'Unit Conversion'!$O$8:$O$12</definedName>
    <definedName name="Vent_Nat">'Study Parameters'!$C$98</definedName>
    <definedName name="Vent_Release">'Special Calcs'!$C$64</definedName>
    <definedName name="Ventilation_Rate">'Plant Layout'!$H$15</definedName>
    <definedName name="Ventilation_Rate2">'Plant Layout'!$H$23</definedName>
    <definedName name="Ventilation_ShutOff">'Process Conditions'!$I$23</definedName>
    <definedName name="Ventilation_ShutOff2">'Process Conditions'!$I$24</definedName>
    <definedName name="Version">'Scenario Results'!$A$1</definedName>
    <definedName name="VeryLarge_HD2">'Release Calculations'!$V$282</definedName>
    <definedName name="VeryLarge_HD3">'Release Calculations'!$V$285</definedName>
    <definedName name="VeryLarge_Top_HD2">'Release Calculations'!$V$666</definedName>
    <definedName name="VeryLarge_Top_HD3">'Release Calculations'!$V$669</definedName>
    <definedName name="VerySmall_HD2">'Release Calculations'!$P$282</definedName>
    <definedName name="VerySmall_HD3">'Release Calculations'!$P$285</definedName>
    <definedName name="VerySmall_Top_HD2">'Release Calculations'!$P$666</definedName>
    <definedName name="VerySmall_Top_HD3">'Release Calculations'!$P$669</definedName>
    <definedName name="Vibration">'Equipment Input'!$D$21</definedName>
    <definedName name="Viscous">'Chemical Data'!$I$34</definedName>
    <definedName name="Vol_List">'Unit Conversion'!$O$33:$O$34</definedName>
    <definedName name="Volume">'Unit Conversion'!$C$27</definedName>
    <definedName name="Volume_Input">'Equipment Input'!$D$10</definedName>
    <definedName name="Volume_Units">'Equipment Input'!$E$10</definedName>
    <definedName name="VP_1">'New Chemical'!$I$14</definedName>
    <definedName name="VP_2">'New Chemical'!$J$14</definedName>
    <definedName name="VP_A">'Chemical Data'!$Z$4</definedName>
    <definedName name="VP_A_C">'Chemical Properties'!$BD$1</definedName>
    <definedName name="VP_B">'Chemical Data'!$Z$5</definedName>
    <definedName name="VP_B_C">'Chemical Properties'!$BE$1</definedName>
    <definedName name="VP_C">'Chemical Data'!$Z$6</definedName>
    <definedName name="VP_C_C">'Chemical Properties'!$BF$1</definedName>
    <definedName name="VP_Data_Units">'New Chemical'!$H$14</definedName>
    <definedName name="VPHT_A">'Chemical Data'!$T$63</definedName>
    <definedName name="VPHT_B">'Chemical Data'!$U$63</definedName>
    <definedName name="VPHT_C">'Chemical Data'!$V$63</definedName>
    <definedName name="WaterLimit_ExtremeHigh_Environ">'Study Parameters'!$J$102</definedName>
    <definedName name="WaterLimit_High_Environ">'Study Parameters'!$J$100</definedName>
    <definedName name="WaterLimit_Low_Environ">'Study Parameters'!$J$98</definedName>
    <definedName name="WaterLimit_Moderate_Environ">'Study Parameters'!$J$99</definedName>
    <definedName name="WaterLimit_VeryHigh_Environ">'Study Parameters'!$J$101</definedName>
    <definedName name="Waterway">'Plant Layout'!$H$30</definedName>
    <definedName name="WeakSeam_Roof">'Equipment Input'!$D$33</definedName>
    <definedName name="WFeed_1">'Chemical Data'!$N$2</definedName>
    <definedName name="WFeed_2">'Chemical Data'!$N$3</definedName>
    <definedName name="WFeed_3">'Chemical Data'!$N$4</definedName>
    <definedName name="WFeed_4">'Chemical Data'!$N$5</definedName>
    <definedName name="WFeed_5">'Chemical Data'!$N$6</definedName>
    <definedName name="Wind">'Study Parameters'!$C$8</definedName>
    <definedName name="Wind_Effective">'Special Calcs'!$G$112</definedName>
    <definedName name="Wind_Indoor">'Study Parameters'!$C$10</definedName>
    <definedName name="Wind_Night">'Study Parameters'!$C$9</definedName>
    <definedName name="Wind_Relief">'Special Calcs'!$G$114</definedName>
    <definedName name="WorkArea_Distance">'Unit Conversion'!$C$18</definedName>
    <definedName name="WorkArea_Distance_Input">'Equipment Input'!$H$42</definedName>
    <definedName name="WorkArea_Distance_Units">'Equipment Input'!$I$42</definedName>
    <definedName name="WorkArea_Distance2">'Unit Conversion'!$C$19</definedName>
    <definedName name="WorkArea_Distance2_Input">'Equipment Input'!$H$43</definedName>
    <definedName name="WorkArea_Distance2_Units">'Equipment Input'!$I$43</definedName>
    <definedName name="WorkArea_Elevation">'Unit Conversion'!$C$17</definedName>
    <definedName name="WorkArea_Elevation_Input">'Equipment Input'!$H$44</definedName>
    <definedName name="WorkArea_Elevation_Units">'Equipment Input'!$I$44</definedName>
    <definedName name="Workbook_Comments">'Workbook Notes'!$B$8</definedName>
    <definedName name="Workbook_Review">'Workbook Notes'!$C$5</definedName>
    <definedName name="Workbook_Review_Date">'Workbook Notes'!$C$6</definedName>
    <definedName name="WtFract_2">'Chemical Data'!$C$17</definedName>
    <definedName name="WtFract_2_C">'Chemical Properties'!$K$1</definedName>
    <definedName name="WtFract_3">'Chemical Data'!$C$18</definedName>
    <definedName name="WtFract_3_C">'Chemical Properties'!$L$1</definedName>
    <definedName name="WtFract_4">'Chemical Data'!$C$19</definedName>
    <definedName name="WtFract_4_C">'Chemical Properties'!$M$1</definedName>
    <definedName name="WtFract_5">'Chemical Data'!$C$20</definedName>
    <definedName name="WtFract_5_C">'Chemical Properties'!$N$1</definedName>
    <definedName name="WtVap_2">'Chemical Data'!$E$17</definedName>
    <definedName name="WtVap_3">'Chemical Data'!$E$18</definedName>
    <definedName name="WtVap_4">'Chemical Data'!$E$19</definedName>
    <definedName name="WtVap_5">'Chemical Data'!$E$20</definedName>
    <definedName name="x_rel">'Chemical Data'!$R$23</definedName>
    <definedName name="y_rel">'Chemical Data'!$Z$23</definedName>
    <definedName name="y_rel1">'Chemical Data'!$AH$24</definedName>
    <definedName name="y_rel2">'Chemical Data'!$AG$24</definedName>
    <definedName name="YN_List">'Unit Conversion'!$M$20:$M$21</definedName>
    <definedName name="Zone_1">'Unit Conversion'!$C$10</definedName>
    <definedName name="Zone1_Input">'Plant Layout'!$C$14</definedName>
    <definedName name="Zone1_Units">'Plant Layout'!$D$14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17" l="1"/>
  <c r="F9" i="17"/>
  <c r="B9" i="17"/>
  <c r="H3" i="17" l="1"/>
  <c r="I3" i="17"/>
  <c r="J3" i="17"/>
  <c r="K3" i="17"/>
  <c r="L3" i="17"/>
  <c r="M3" i="17"/>
  <c r="N3" i="17"/>
  <c r="O3" i="17"/>
  <c r="P3" i="17"/>
  <c r="Q3" i="17"/>
  <c r="R3" i="17"/>
  <c r="B4" i="17"/>
  <c r="B5" i="17"/>
  <c r="B6" i="17"/>
  <c r="C8" i="17"/>
  <c r="E8" i="17"/>
  <c r="H10" i="17"/>
  <c r="I10" i="17"/>
  <c r="J10" i="17"/>
  <c r="K10" i="17"/>
  <c r="L10" i="17"/>
  <c r="M10" i="17"/>
  <c r="N10" i="17"/>
  <c r="O10" i="17"/>
  <c r="P10" i="17"/>
  <c r="Q10" i="17"/>
  <c r="R10" i="17"/>
  <c r="G80" i="42" l="1"/>
  <c r="AB58" i="42" l="1"/>
  <c r="AA59" i="42"/>
  <c r="AA58" i="42"/>
  <c r="C66" i="42"/>
  <c r="F68" i="42"/>
  <c r="D60" i="42"/>
  <c r="D57" i="42"/>
  <c r="D9" i="38"/>
  <c r="EL46" i="7"/>
  <c r="EK8" i="7"/>
  <c r="EK43" i="7"/>
  <c r="EM46" i="7"/>
  <c r="EK13" i="7"/>
  <c r="EK50" i="7"/>
  <c r="EK55" i="7"/>
  <c r="EK22" i="7"/>
  <c r="EK49" i="7"/>
  <c r="EK19" i="7"/>
  <c r="EM58" i="7"/>
  <c r="EK44" i="7"/>
  <c r="EK57" i="7"/>
  <c r="EK46" i="7"/>
  <c r="EM8" i="7"/>
  <c r="EM39" i="7"/>
  <c r="EL23" i="7"/>
  <c r="EK52" i="7"/>
  <c r="EL48" i="7"/>
  <c r="EL20" i="7"/>
  <c r="EM45" i="7"/>
  <c r="EK31" i="7"/>
  <c r="EK39" i="7"/>
  <c r="EM20" i="7"/>
  <c r="EK62" i="7"/>
  <c r="EL14" i="7"/>
  <c r="EM29" i="7"/>
  <c r="EL61" i="7"/>
  <c r="EL11" i="7"/>
  <c r="EM61" i="7"/>
  <c r="EK48" i="7"/>
  <c r="EL51" i="7"/>
  <c r="EM12" i="7"/>
  <c r="EK29" i="7"/>
  <c r="EK37" i="7"/>
  <c r="EL17" i="7"/>
  <c r="EK58" i="7"/>
  <c r="EM31" i="7"/>
  <c r="EK16" i="7"/>
  <c r="EK41" i="7"/>
  <c r="EL38" i="7"/>
  <c r="EL37" i="7"/>
  <c r="EM17" i="7"/>
  <c r="EM55" i="7"/>
  <c r="EL26" i="7"/>
  <c r="EL10" i="7"/>
  <c r="EL63" i="7"/>
  <c r="EM30" i="7"/>
  <c r="EK51" i="7"/>
  <c r="EM57" i="7"/>
  <c r="EM60" i="7"/>
  <c r="EK61" i="7"/>
  <c r="EL50" i="7"/>
  <c r="EM27" i="7"/>
  <c r="EM13" i="7"/>
  <c r="EL59" i="7"/>
  <c r="EK15" i="7"/>
  <c r="EK28" i="7"/>
  <c r="EK11" i="7"/>
  <c r="EM36" i="7"/>
  <c r="EK35" i="7"/>
  <c r="EL19" i="7"/>
  <c r="EL27" i="7"/>
  <c r="EK59" i="7"/>
  <c r="EM23" i="7"/>
  <c r="EM49" i="7"/>
  <c r="EL44" i="7"/>
  <c r="EL12" i="7"/>
  <c r="EL55" i="7"/>
  <c r="EL16" i="7"/>
  <c r="EK33" i="7"/>
  <c r="EL45" i="7"/>
  <c r="EM33" i="7"/>
  <c r="EK32" i="7"/>
  <c r="EM18" i="7"/>
  <c r="EM21" i="7"/>
  <c r="EL30" i="7"/>
  <c r="EK21" i="7"/>
  <c r="EK40" i="7"/>
  <c r="EL42" i="7"/>
  <c r="EM35" i="7"/>
  <c r="EL62" i="7"/>
  <c r="EL41" i="7"/>
  <c r="EM63" i="7"/>
  <c r="EM62" i="7"/>
  <c r="EM37" i="7"/>
  <c r="EK53" i="7"/>
  <c r="EM6" i="7"/>
  <c r="EM53" i="7"/>
  <c r="EK6" i="7"/>
  <c r="EL53" i="7"/>
  <c r="EK34" i="7"/>
  <c r="EL32" i="7"/>
  <c r="EM48" i="7"/>
  <c r="EL15" i="7"/>
  <c r="EK20" i="7"/>
  <c r="EL21" i="7"/>
  <c r="EM24" i="7"/>
  <c r="EL39" i="7"/>
  <c r="EK9" i="7"/>
  <c r="EK27" i="7"/>
  <c r="EK36" i="7"/>
  <c r="EM19" i="7"/>
  <c r="EM11" i="7"/>
  <c r="EM43" i="7"/>
  <c r="EM15" i="7"/>
  <c r="EM54" i="7"/>
  <c r="EK23" i="7"/>
  <c r="EL35" i="7"/>
  <c r="EL52" i="7"/>
  <c r="EK7" i="7"/>
  <c r="EM14" i="7"/>
  <c r="EK26" i="7"/>
  <c r="EL33" i="7"/>
  <c r="EL24" i="7"/>
  <c r="EL6" i="7"/>
  <c r="EL36" i="7"/>
  <c r="EK10" i="7"/>
  <c r="EL31" i="7"/>
  <c r="EM51" i="7"/>
  <c r="EM41" i="7"/>
  <c r="EL22" i="7"/>
  <c r="EL49" i="7"/>
  <c r="EK47" i="7"/>
  <c r="EL34" i="7"/>
  <c r="EM47" i="7"/>
  <c r="EK30" i="7"/>
  <c r="EK56" i="7"/>
  <c r="EL43" i="7"/>
  <c r="EK18" i="7"/>
  <c r="EM34" i="7"/>
  <c r="EK42" i="7"/>
  <c r="EL47" i="7"/>
  <c r="EL8" i="7"/>
  <c r="EL9" i="7"/>
  <c r="EM56" i="7"/>
  <c r="EK54" i="7"/>
  <c r="EM7" i="7"/>
  <c r="EM50" i="7"/>
  <c r="EL13" i="7"/>
  <c r="EM28" i="7"/>
  <c r="EL54" i="7"/>
  <c r="EK24" i="7"/>
  <c r="EL28" i="7"/>
  <c r="EM52" i="7"/>
  <c r="EK14" i="7"/>
  <c r="EM22" i="7"/>
  <c r="EL57" i="7"/>
  <c r="EM40" i="7"/>
  <c r="EM32" i="7"/>
  <c r="EK12" i="7"/>
  <c r="EL58" i="7"/>
  <c r="EM26" i="7"/>
  <c r="EM16" i="7"/>
  <c r="EK38" i="7"/>
  <c r="EL40" i="7"/>
  <c r="EM38" i="7"/>
  <c r="EL29" i="7"/>
  <c r="EK60" i="7"/>
  <c r="EL56" i="7"/>
  <c r="EL7" i="7"/>
  <c r="EL25" i="7"/>
  <c r="EM10" i="7"/>
  <c r="EL60" i="7"/>
  <c r="EK63" i="7"/>
  <c r="EM42" i="7"/>
  <c r="EL18" i="7"/>
  <c r="EM59" i="7"/>
  <c r="EK25" i="7"/>
  <c r="EM44" i="7"/>
  <c r="EK17" i="7"/>
  <c r="EM9" i="7"/>
  <c r="EK45" i="7"/>
  <c r="EM25" i="7"/>
  <c r="NS3" i="9" l="1"/>
  <c r="H54" i="38"/>
  <c r="H53" i="38"/>
  <c r="H52" i="38"/>
  <c r="H51" i="38"/>
  <c r="H50" i="38"/>
  <c r="H49" i="38"/>
  <c r="H48" i="38"/>
  <c r="H47" i="38"/>
  <c r="H46" i="38"/>
  <c r="EO57" i="7"/>
  <c r="EO56" i="7"/>
  <c r="EO58" i="7"/>
  <c r="H55" i="38" l="1"/>
  <c r="B191" i="38"/>
  <c r="B190" i="38"/>
  <c r="B188" i="38"/>
  <c r="B187" i="38"/>
  <c r="B185" i="38"/>
  <c r="B184" i="38"/>
  <c r="K46" i="38" a="1"/>
  <c r="K46" i="38" s="1"/>
  <c r="CJ13" i="1" l="1"/>
  <c r="O93" i="42"/>
  <c r="O69" i="42"/>
  <c r="O68" i="42"/>
  <c r="O67" i="42"/>
  <c r="O64" i="42"/>
  <c r="G175" i="38" l="1"/>
  <c r="F73" i="12" l="1"/>
  <c r="F17" i="19"/>
  <c r="B17" i="19"/>
  <c r="F47" i="12"/>
  <c r="F46" i="12"/>
  <c r="B18" i="19"/>
  <c r="F19" i="19"/>
  <c r="F18" i="19"/>
  <c r="B19" i="19"/>
  <c r="EF62" i="7" l="1"/>
  <c r="EF61" i="7"/>
  <c r="EF60" i="7"/>
  <c r="EF59" i="7"/>
  <c r="EF58" i="7"/>
  <c r="EF57" i="7"/>
  <c r="EF56" i="7"/>
  <c r="EF55" i="7"/>
  <c r="EF54" i="7"/>
  <c r="EF53" i="7"/>
  <c r="EF52" i="7"/>
  <c r="EF51" i="7"/>
  <c r="EF50" i="7"/>
  <c r="EF49" i="7"/>
  <c r="EF48" i="7"/>
  <c r="EF47" i="7"/>
  <c r="EF46" i="7"/>
  <c r="EF45" i="7"/>
  <c r="EF44" i="7"/>
  <c r="EF43" i="7"/>
  <c r="EF42" i="7"/>
  <c r="EF41" i="7"/>
  <c r="EF40" i="7"/>
  <c r="EF39" i="7"/>
  <c r="EF38" i="7"/>
  <c r="EF37" i="7"/>
  <c r="EF36" i="7"/>
  <c r="EF35" i="7"/>
  <c r="EF34" i="7"/>
  <c r="EF33" i="7"/>
  <c r="EF32" i="7"/>
  <c r="EF31" i="7"/>
  <c r="EF30" i="7"/>
  <c r="EF29" i="7"/>
  <c r="EF28" i="7"/>
  <c r="EF27" i="7"/>
  <c r="EF26" i="7"/>
  <c r="EF25" i="7"/>
  <c r="EF24" i="7"/>
  <c r="EF23" i="7"/>
  <c r="EF22" i="7"/>
  <c r="EF21" i="7"/>
  <c r="EF20" i="7"/>
  <c r="EF19" i="7"/>
  <c r="EF18" i="7"/>
  <c r="EF17" i="7"/>
  <c r="EF16" i="7"/>
  <c r="EF15" i="7"/>
  <c r="EF14" i="7"/>
  <c r="EF13" i="7"/>
  <c r="EF12" i="7"/>
  <c r="EF11" i="7"/>
  <c r="EF10" i="7"/>
  <c r="EF9" i="7"/>
  <c r="EF8" i="7"/>
  <c r="EF7" i="7"/>
  <c r="EF6" i="7"/>
  <c r="OY3" i="9"/>
  <c r="MS3" i="9"/>
  <c r="C77" i="48"/>
  <c r="AC59" i="42" l="1"/>
  <c r="AD58" i="42"/>
  <c r="AC58" i="42"/>
  <c r="AC89" i="42"/>
  <c r="AD23" i="42"/>
  <c r="AC23" i="42"/>
  <c r="AC57" i="42" s="1"/>
  <c r="AD6" i="42"/>
  <c r="AC6" i="42"/>
  <c r="H4" i="1"/>
  <c r="H56" i="38"/>
  <c r="F48" i="38" l="1"/>
  <c r="F54" i="38"/>
  <c r="F51" i="38"/>
  <c r="U68" i="19" l="1"/>
  <c r="T68" i="19"/>
  <c r="S68" i="19"/>
  <c r="O68" i="19"/>
  <c r="T67" i="19"/>
  <c r="S67" i="19"/>
  <c r="BB419" i="1" l="1"/>
  <c r="AZ419" i="1"/>
  <c r="AT420" i="1"/>
  <c r="DQ9" i="4"/>
  <c r="DN9" i="4"/>
  <c r="DM9" i="4"/>
  <c r="DQ8" i="4"/>
  <c r="DP8" i="4"/>
  <c r="DN8" i="4"/>
  <c r="DM8" i="4"/>
  <c r="DQ15" i="4"/>
  <c r="DQ11" i="4"/>
  <c r="DN11" i="4"/>
  <c r="DM11" i="4"/>
  <c r="DQ10" i="4"/>
  <c r="DP10" i="4"/>
  <c r="DN10" i="4"/>
  <c r="DM10" i="4"/>
  <c r="HI11" i="4"/>
  <c r="HG11" i="4"/>
  <c r="HF11" i="4"/>
  <c r="HE11" i="4"/>
  <c r="HD11" i="4"/>
  <c r="HC11" i="4"/>
  <c r="HB11" i="4"/>
  <c r="HA11" i="4"/>
  <c r="GZ11" i="4"/>
  <c r="GY11" i="4"/>
  <c r="GX11" i="4"/>
  <c r="GV11" i="4"/>
  <c r="GU11" i="4"/>
  <c r="HI10" i="4"/>
  <c r="HG10" i="4"/>
  <c r="HF10" i="4"/>
  <c r="HE10" i="4"/>
  <c r="HD10" i="4"/>
  <c r="HC10" i="4"/>
  <c r="HB10" i="4"/>
  <c r="HA10" i="4"/>
  <c r="GZ10" i="4"/>
  <c r="GY10" i="4"/>
  <c r="GX10" i="4"/>
  <c r="GV10" i="4"/>
  <c r="GU10" i="4"/>
  <c r="EB10" i="4"/>
  <c r="BS11" i="4"/>
  <c r="BS10" i="4"/>
  <c r="BG11" i="4"/>
  <c r="BG10" i="4"/>
  <c r="BE11" i="4"/>
  <c r="BE10" i="4"/>
  <c r="AU11" i="4"/>
  <c r="AU10" i="4"/>
  <c r="AT11" i="4"/>
  <c r="AT10" i="4"/>
  <c r="AT8" i="4"/>
  <c r="AS11" i="4"/>
  <c r="AS10" i="4"/>
  <c r="AR11" i="4"/>
  <c r="AR10" i="4"/>
  <c r="AP11" i="4"/>
  <c r="AP10" i="4"/>
  <c r="AN11" i="4"/>
  <c r="AN10" i="4"/>
  <c r="AL11" i="4"/>
  <c r="AL10" i="4"/>
  <c r="AJ11" i="4"/>
  <c r="AJ10" i="4"/>
  <c r="BD419" i="1" l="1"/>
  <c r="CK8" i="4" s="1"/>
  <c r="DJ8" i="4"/>
  <c r="W10" i="4"/>
  <c r="Q11" i="4"/>
  <c r="Q10" i="4"/>
  <c r="T413" i="1"/>
  <c r="X413" i="1"/>
  <c r="V413" i="1"/>
  <c r="R413" i="1"/>
  <c r="P413" i="1"/>
  <c r="N413" i="1"/>
  <c r="F413" i="1"/>
  <c r="L413" i="1"/>
  <c r="J413" i="1"/>
  <c r="H413" i="1"/>
  <c r="D413" i="1"/>
  <c r="K11" i="4"/>
  <c r="K10" i="4"/>
  <c r="J11" i="4"/>
  <c r="J10" i="4"/>
  <c r="H11" i="4"/>
  <c r="H10" i="4"/>
  <c r="C11" i="4"/>
  <c r="C10" i="4"/>
  <c r="BP3" i="7"/>
  <c r="BO3" i="7"/>
  <c r="AN118" i="7"/>
  <c r="B10" i="4" l="1"/>
  <c r="BO72" i="7"/>
  <c r="J67" i="19" s="1"/>
  <c r="B11" i="4"/>
  <c r="BP72" i="7"/>
  <c r="J68" i="19" s="1"/>
  <c r="H281" i="1" l="1"/>
  <c r="H7" i="1"/>
  <c r="H6" i="1"/>
  <c r="AD13" i="42" l="1"/>
  <c r="AC13" i="42"/>
  <c r="BM96" i="7"/>
  <c r="AK96" i="7" l="1"/>
  <c r="RE3" i="9"/>
  <c r="DT29" i="7"/>
  <c r="ED29" i="7"/>
  <c r="DD96" i="7"/>
  <c r="C282" i="7"/>
  <c r="C220" i="7"/>
  <c r="C158" i="7"/>
  <c r="C96" i="7"/>
  <c r="AH93" i="7"/>
  <c r="Z93" i="7"/>
  <c r="J93" i="7"/>
  <c r="BM26" i="7"/>
  <c r="C47" i="12"/>
  <c r="C46" i="12"/>
  <c r="F45" i="12"/>
  <c r="G46" i="12"/>
  <c r="E46" i="12" s="1"/>
  <c r="G47" i="12"/>
  <c r="G62" i="12"/>
  <c r="L8" i="1" l="1"/>
  <c r="AK8" i="1"/>
  <c r="L9" i="1"/>
  <c r="O14" i="4" s="1"/>
  <c r="AK9" i="1"/>
  <c r="G179" i="38"/>
  <c r="H190" i="38" l="1"/>
  <c r="G190" i="38"/>
  <c r="BG4" i="7" l="1"/>
  <c r="CJ8" i="1" l="1"/>
  <c r="BS99" i="42" s="1"/>
  <c r="BL102" i="42"/>
  <c r="BL101" i="42"/>
  <c r="BL100" i="42"/>
  <c r="G17" i="48" l="1"/>
  <c r="H197" i="38"/>
  <c r="G181" i="38"/>
  <c r="H193" i="38"/>
  <c r="H178" i="38"/>
  <c r="H179" i="38"/>
  <c r="H194" i="38"/>
  <c r="G194" i="38"/>
  <c r="G178" i="38"/>
  <c r="G193" i="38"/>
  <c r="G196" i="38" l="1"/>
  <c r="G195" i="38"/>
  <c r="G197" i="38"/>
  <c r="H181" i="38"/>
  <c r="H180" i="38"/>
  <c r="H182" i="38"/>
  <c r="H195" i="38"/>
  <c r="G180" i="38"/>
  <c r="H196" i="38"/>
  <c r="G182" i="38"/>
  <c r="AC642" i="1" l="1"/>
  <c r="C65" i="38" l="1"/>
  <c r="DT63" i="7"/>
  <c r="DT62" i="7"/>
  <c r="DT61" i="7"/>
  <c r="DT60" i="7"/>
  <c r="DT59" i="7"/>
  <c r="DT58" i="7"/>
  <c r="DT57" i="7"/>
  <c r="DT56" i="7"/>
  <c r="DT55" i="7"/>
  <c r="DT54" i="7"/>
  <c r="DT53" i="7"/>
  <c r="DT52" i="7"/>
  <c r="DT51" i="7"/>
  <c r="DT50" i="7"/>
  <c r="DT49" i="7"/>
  <c r="DT48" i="7"/>
  <c r="DT47" i="7"/>
  <c r="DT46" i="7"/>
  <c r="DT45" i="7"/>
  <c r="DT44" i="7"/>
  <c r="DT43" i="7"/>
  <c r="DT42" i="7"/>
  <c r="DT41" i="7"/>
  <c r="DT40" i="7"/>
  <c r="DT39" i="7"/>
  <c r="DT38" i="7"/>
  <c r="DT37" i="7"/>
  <c r="DT36" i="7"/>
  <c r="DT35" i="7"/>
  <c r="DT34" i="7"/>
  <c r="DT33" i="7"/>
  <c r="DT32" i="7"/>
  <c r="DT31" i="7"/>
  <c r="DT30" i="7"/>
  <c r="DT28" i="7"/>
  <c r="DT27" i="7"/>
  <c r="DT26" i="7"/>
  <c r="DT25" i="7"/>
  <c r="DT24" i="7"/>
  <c r="DT23" i="7"/>
  <c r="DT22" i="7"/>
  <c r="DT21" i="7"/>
  <c r="DT20" i="7"/>
  <c r="DT19" i="7"/>
  <c r="DT18" i="7"/>
  <c r="DT17" i="7"/>
  <c r="DT16" i="7"/>
  <c r="DT15" i="7"/>
  <c r="DT14" i="7"/>
  <c r="DT13" i="7"/>
  <c r="DT12" i="7"/>
  <c r="DT11" i="7"/>
  <c r="DT10" i="7"/>
  <c r="DT9" i="7"/>
  <c r="DT8" i="7"/>
  <c r="DT7" i="7"/>
  <c r="DT6" i="7"/>
  <c r="B8" i="25" l="1"/>
  <c r="C8" i="25" s="1"/>
  <c r="B7" i="25"/>
  <c r="C7" i="25" s="1"/>
  <c r="B5" i="25"/>
  <c r="F177" i="38" l="1"/>
  <c r="F192" i="38"/>
  <c r="G164" i="38" l="1"/>
  <c r="N73" i="42" l="1"/>
  <c r="AX289" i="1"/>
  <c r="BF289" i="1"/>
  <c r="BN289" i="1"/>
  <c r="BL289" i="1"/>
  <c r="BH289" i="1"/>
  <c r="BD289" i="1"/>
  <c r="BJ289" i="1"/>
  <c r="BB289" i="1"/>
  <c r="AO305" i="1"/>
  <c r="AZ289" i="1"/>
  <c r="AI305" i="1"/>
  <c r="AK305" i="1"/>
  <c r="AG305" i="1"/>
  <c r="AM305" i="1"/>
  <c r="H292" i="1"/>
  <c r="CC292" i="1"/>
  <c r="CC281" i="1"/>
  <c r="CA292" i="1"/>
  <c r="CA281" i="1"/>
  <c r="BY292" i="1"/>
  <c r="BY281" i="1"/>
  <c r="BW292" i="1"/>
  <c r="BW281" i="1"/>
  <c r="BU292" i="1"/>
  <c r="BU281" i="1"/>
  <c r="BN377" i="1"/>
  <c r="BN378" i="1" s="1"/>
  <c r="X281" i="1" l="1"/>
  <c r="V281" i="1"/>
  <c r="T281" i="1"/>
  <c r="R281" i="1"/>
  <c r="P281" i="1"/>
  <c r="N281" i="1"/>
  <c r="L281" i="1"/>
  <c r="J281" i="1"/>
  <c r="F281" i="1"/>
  <c r="D281" i="1"/>
  <c r="CJ283" i="1" l="1"/>
  <c r="CJ282" i="1"/>
  <c r="CJ281" i="1"/>
  <c r="CJ280" i="1"/>
  <c r="CJ279" i="1"/>
  <c r="CJ278" i="1"/>
  <c r="CJ277" i="1"/>
  <c r="CJ294" i="1"/>
  <c r="CJ293" i="1"/>
  <c r="CJ292" i="1"/>
  <c r="CJ291" i="1"/>
  <c r="CJ290" i="1"/>
  <c r="CJ289" i="1"/>
  <c r="CJ288" i="1"/>
  <c r="CJ287" i="1"/>
  <c r="CJ295" i="1" l="1"/>
  <c r="CJ286" i="1"/>
  <c r="G210" i="38"/>
  <c r="H210" i="38" l="1"/>
  <c r="H211" i="38"/>
  <c r="G211" i="38"/>
  <c r="H212" i="38"/>
  <c r="H213" i="38"/>
  <c r="G212" i="38"/>
  <c r="G213" i="38"/>
  <c r="EF63" i="7" l="1"/>
  <c r="EP57" i="7" l="1"/>
  <c r="EQ56" i="7"/>
  <c r="EQ58" i="7"/>
  <c r="EP56" i="7"/>
  <c r="ER56" i="7"/>
  <c r="EP58" i="7"/>
  <c r="ER58" i="7"/>
  <c r="ER57" i="7"/>
  <c r="EQ57" i="7"/>
  <c r="NR3" i="9"/>
  <c r="OA3" i="9"/>
  <c r="NZ3" i="9"/>
  <c r="NY3" i="9"/>
  <c r="NX3" i="9"/>
  <c r="NW3" i="9"/>
  <c r="NV3" i="9"/>
  <c r="NU3" i="9"/>
  <c r="NT3" i="9"/>
  <c r="NQ3" i="9"/>
  <c r="NP3" i="9"/>
  <c r="NO3" i="9"/>
  <c r="NN3" i="9"/>
  <c r="NM3" i="9"/>
  <c r="NL3" i="9"/>
  <c r="NK3" i="9"/>
  <c r="NJ3" i="9"/>
  <c r="NI3" i="9"/>
  <c r="NH3" i="9"/>
  <c r="NG3" i="9"/>
  <c r="NF3" i="9"/>
  <c r="NE3" i="9"/>
  <c r="ND3" i="9"/>
  <c r="NC3" i="9"/>
  <c r="NB3" i="9"/>
  <c r="NA3" i="9"/>
  <c r="MZ3" i="9"/>
  <c r="MY3" i="9"/>
  <c r="MX3" i="9"/>
  <c r="MW3" i="9"/>
  <c r="MV3" i="9"/>
  <c r="MU3" i="9"/>
  <c r="MT3" i="9"/>
  <c r="MR3" i="9"/>
  <c r="MQ3" i="9"/>
  <c r="MP3" i="9"/>
  <c r="MO3" i="9"/>
  <c r="MN3" i="9"/>
  <c r="MM3" i="9"/>
  <c r="ML3" i="9"/>
  <c r="MK3" i="9"/>
  <c r="MJ3" i="9"/>
  <c r="MI3" i="9"/>
  <c r="MH3" i="9"/>
  <c r="MG3" i="9"/>
  <c r="MF3" i="9"/>
  <c r="ME3" i="9"/>
  <c r="MD3" i="9"/>
  <c r="MC3" i="9"/>
  <c r="MB3" i="9"/>
  <c r="MA3" i="9"/>
  <c r="LZ3" i="9"/>
  <c r="LY3" i="9"/>
  <c r="LX3" i="9"/>
  <c r="LW3" i="9"/>
  <c r="LV3" i="9"/>
  <c r="SM3" i="9" l="1"/>
  <c r="SL3" i="9"/>
  <c r="SK3" i="9"/>
  <c r="SJ3" i="9"/>
  <c r="SI3" i="9"/>
  <c r="SH3" i="9"/>
  <c r="SG3" i="9"/>
  <c r="SF3" i="9"/>
  <c r="SE3" i="9"/>
  <c r="SD3" i="9"/>
  <c r="SC3" i="9"/>
  <c r="SB3" i="9"/>
  <c r="SA3" i="9"/>
  <c r="RZ3" i="9"/>
  <c r="RY3" i="9"/>
  <c r="RX3" i="9"/>
  <c r="RW3" i="9"/>
  <c r="RV3" i="9"/>
  <c r="RU3" i="9"/>
  <c r="RT3" i="9"/>
  <c r="RS3" i="9"/>
  <c r="RR3" i="9"/>
  <c r="RQ3" i="9"/>
  <c r="RP3" i="9"/>
  <c r="RO3" i="9"/>
  <c r="RN3" i="9"/>
  <c r="RM3" i="9"/>
  <c r="RL3" i="9"/>
  <c r="RK3" i="9"/>
  <c r="RJ3" i="9"/>
  <c r="RI3" i="9"/>
  <c r="RH3" i="9"/>
  <c r="RG3" i="9"/>
  <c r="RF3" i="9"/>
  <c r="RD3" i="9"/>
  <c r="RC3" i="9"/>
  <c r="RB3" i="9"/>
  <c r="RA3" i="9"/>
  <c r="QZ3" i="9"/>
  <c r="QY3" i="9"/>
  <c r="QX3" i="9"/>
  <c r="QW3" i="9"/>
  <c r="QV3" i="9"/>
  <c r="QU3" i="9"/>
  <c r="QT3" i="9"/>
  <c r="QS3" i="9"/>
  <c r="QR3" i="9"/>
  <c r="QQ3" i="9"/>
  <c r="QP3" i="9"/>
  <c r="QO3" i="9"/>
  <c r="QN3" i="9"/>
  <c r="QM3" i="9"/>
  <c r="QL3" i="9"/>
  <c r="QK3" i="9"/>
  <c r="QJ3" i="9"/>
  <c r="QI3" i="9"/>
  <c r="QH3" i="9"/>
  <c r="QG3" i="9"/>
  <c r="OF3" i="9"/>
  <c r="OE3" i="9"/>
  <c r="QF3" i="9"/>
  <c r="QE3" i="9"/>
  <c r="QD3" i="9"/>
  <c r="QC3" i="9"/>
  <c r="QB3" i="9"/>
  <c r="QA3" i="9"/>
  <c r="PZ3" i="9"/>
  <c r="PY3" i="9"/>
  <c r="PX3" i="9"/>
  <c r="PW3" i="9"/>
  <c r="PV3" i="9"/>
  <c r="PU3" i="9"/>
  <c r="PT3" i="9"/>
  <c r="PR3" i="9"/>
  <c r="PS3" i="9"/>
  <c r="PQ3" i="9"/>
  <c r="PP3" i="9"/>
  <c r="PO3" i="9"/>
  <c r="PN3" i="9"/>
  <c r="PM3" i="9"/>
  <c r="PL3" i="9"/>
  <c r="PK3" i="9"/>
  <c r="PJ3" i="9"/>
  <c r="PI3" i="9"/>
  <c r="PH3" i="9"/>
  <c r="PG3" i="9"/>
  <c r="PF3" i="9"/>
  <c r="PE3" i="9"/>
  <c r="PD3" i="9"/>
  <c r="PC3" i="9"/>
  <c r="PB3" i="9"/>
  <c r="PA3" i="9"/>
  <c r="OZ3" i="9"/>
  <c r="OX3" i="9"/>
  <c r="OW3" i="9"/>
  <c r="OV3" i="9"/>
  <c r="OU3" i="9"/>
  <c r="OT3" i="9"/>
  <c r="OS3" i="9"/>
  <c r="OR3" i="9"/>
  <c r="OQ3" i="9"/>
  <c r="OP3" i="9"/>
  <c r="OO3" i="9"/>
  <c r="ON3" i="9"/>
  <c r="OM3" i="9"/>
  <c r="OL3" i="9"/>
  <c r="OK3" i="9"/>
  <c r="OJ3" i="9"/>
  <c r="OI3" i="9"/>
  <c r="OH3" i="9"/>
  <c r="OG3" i="9"/>
  <c r="OD3" i="9"/>
  <c r="OC3" i="9"/>
  <c r="OB3" i="9"/>
  <c r="ED38" i="7" l="1"/>
  <c r="AH38" i="7"/>
  <c r="AF38" i="7"/>
  <c r="C291" i="7"/>
  <c r="C229" i="7"/>
  <c r="C105" i="7"/>
  <c r="C167" i="7"/>
  <c r="Q26" i="33" l="1"/>
  <c r="Q27" i="33"/>
  <c r="AP15" i="30"/>
  <c r="J157" i="29" l="1"/>
  <c r="R145" i="29"/>
  <c r="R144" i="29"/>
  <c r="N41" i="48"/>
  <c r="N40" i="48"/>
  <c r="J153" i="29"/>
  <c r="J149" i="29"/>
  <c r="N157" i="29" l="1"/>
  <c r="N153" i="29"/>
  <c r="N149" i="29"/>
  <c r="N120" i="29"/>
  <c r="N119" i="29"/>
  <c r="N118" i="29"/>
  <c r="N117" i="29"/>
  <c r="I83" i="29"/>
  <c r="I82" i="29"/>
  <c r="HH11" i="4" s="1"/>
  <c r="CJ156" i="1" l="1"/>
  <c r="CJ155" i="1"/>
  <c r="AW57" i="4"/>
  <c r="AV57" i="4"/>
  <c r="Z137" i="29" l="1"/>
  <c r="N136" i="29"/>
  <c r="N135" i="29"/>
  <c r="N132" i="29"/>
  <c r="EO48" i="7"/>
  <c r="EO25" i="7"/>
  <c r="EO54" i="7"/>
  <c r="EO45" i="7"/>
  <c r="EO31" i="7"/>
  <c r="EO50" i="7"/>
  <c r="EO39" i="7"/>
  <c r="EO37" i="7"/>
  <c r="EO22" i="7"/>
  <c r="EO10" i="7"/>
  <c r="EO44" i="7"/>
  <c r="EO51" i="7"/>
  <c r="EO27" i="7"/>
  <c r="EO20" i="7"/>
  <c r="EO6" i="7"/>
  <c r="EO40" i="7"/>
  <c r="EO29" i="7"/>
  <c r="EO55" i="7"/>
  <c r="EO8" i="7"/>
  <c r="EO7" i="7"/>
  <c r="EO42" i="7"/>
  <c r="EO26" i="7"/>
  <c r="EO21" i="7"/>
  <c r="EO43" i="7"/>
  <c r="EO11" i="7"/>
  <c r="EO24" i="7"/>
  <c r="EO34" i="7"/>
  <c r="EO53" i="7"/>
  <c r="EO52" i="7"/>
  <c r="EO36" i="7"/>
  <c r="EO17" i="7"/>
  <c r="EO18" i="7"/>
  <c r="EO41" i="7"/>
  <c r="EO49" i="7"/>
  <c r="EO23" i="7"/>
  <c r="EO30" i="7"/>
  <c r="EO35" i="7"/>
  <c r="EO19" i="7"/>
  <c r="EO9" i="7"/>
  <c r="EO47" i="7"/>
  <c r="EO46" i="7"/>
  <c r="EO38" i="7"/>
  <c r="EO13" i="7"/>
  <c r="EO32" i="7"/>
  <c r="EO12" i="7"/>
  <c r="EO16" i="7"/>
  <c r="EO15" i="7"/>
  <c r="EO28" i="7"/>
  <c r="EO14" i="7"/>
  <c r="EO33" i="7"/>
  <c r="EQ35" i="7" l="1"/>
  <c r="EP35" i="7"/>
  <c r="ER35" i="7"/>
  <c r="EQ18" i="7"/>
  <c r="ER18" i="7"/>
  <c r="EP18" i="7"/>
  <c r="EQ37" i="7"/>
  <c r="ER37" i="7"/>
  <c r="EP37" i="7"/>
  <c r="EQ14" i="7"/>
  <c r="ER14" i="7"/>
  <c r="EP14" i="7"/>
  <c r="EP16" i="7"/>
  <c r="ER16" i="7"/>
  <c r="EQ16" i="7"/>
  <c r="EQ46" i="7"/>
  <c r="EP46" i="7"/>
  <c r="ER46" i="7"/>
  <c r="ER47" i="7"/>
  <c r="EP47" i="7"/>
  <c r="EQ47" i="7"/>
  <c r="EQ42" i="7"/>
  <c r="ER42" i="7"/>
  <c r="EP42" i="7"/>
  <c r="ER25" i="7"/>
  <c r="EP25" i="7"/>
  <c r="EQ25" i="7"/>
  <c r="ER28" i="7"/>
  <c r="EQ28" i="7"/>
  <c r="EP28" i="7"/>
  <c r="EP54" i="7"/>
  <c r="ER54" i="7"/>
  <c r="EQ54" i="7"/>
  <c r="ER51" i="7"/>
  <c r="EP51" i="7"/>
  <c r="EQ51" i="7"/>
  <c r="EP49" i="7"/>
  <c r="EQ49" i="7"/>
  <c r="ER49" i="7"/>
  <c r="EQ17" i="7"/>
  <c r="EP17" i="7"/>
  <c r="ER17" i="7"/>
  <c r="EP32" i="7"/>
  <c r="ER32" i="7"/>
  <c r="EQ32" i="7"/>
  <c r="ER41" i="7"/>
  <c r="EQ41" i="7"/>
  <c r="EP41" i="7"/>
  <c r="EQ52" i="7"/>
  <c r="EP52" i="7"/>
  <c r="ER52" i="7"/>
  <c r="ER24" i="7"/>
  <c r="EP24" i="7"/>
  <c r="EQ24" i="7"/>
  <c r="ER7" i="7"/>
  <c r="EQ7" i="7"/>
  <c r="EP7" i="7"/>
  <c r="EP44" i="7"/>
  <c r="EQ44" i="7"/>
  <c r="ER44" i="7"/>
  <c r="ER39" i="7"/>
  <c r="EP39" i="7"/>
  <c r="EQ39" i="7"/>
  <c r="ER50" i="7"/>
  <c r="EP50" i="7"/>
  <c r="EQ50" i="7"/>
  <c r="EQ19" i="7"/>
  <c r="ER19" i="7"/>
  <c r="EP19" i="7"/>
  <c r="EQ38" i="7"/>
  <c r="EP38" i="7"/>
  <c r="ER38" i="7"/>
  <c r="ER22" i="7"/>
  <c r="EP22" i="7"/>
  <c r="EQ22" i="7"/>
  <c r="EP33" i="7"/>
  <c r="EQ33" i="7"/>
  <c r="ER33" i="7"/>
  <c r="EP8" i="7"/>
  <c r="EQ8" i="7"/>
  <c r="ER8" i="7"/>
  <c r="ER9" i="7"/>
  <c r="EQ9" i="7"/>
  <c r="EP9" i="7"/>
  <c r="EQ6" i="7"/>
  <c r="ER6" i="7"/>
  <c r="EP6" i="7"/>
  <c r="ER43" i="7"/>
  <c r="EQ43" i="7"/>
  <c r="EP43" i="7"/>
  <c r="EP36" i="7"/>
  <c r="EQ36" i="7"/>
  <c r="ER36" i="7"/>
  <c r="ER40" i="7"/>
  <c r="EQ40" i="7"/>
  <c r="EP40" i="7"/>
  <c r="EP23" i="7"/>
  <c r="ER23" i="7"/>
  <c r="EQ23" i="7"/>
  <c r="ER29" i="7"/>
  <c r="EP29" i="7"/>
  <c r="EQ29" i="7"/>
  <c r="ER30" i="7"/>
  <c r="EQ30" i="7"/>
  <c r="EP30" i="7"/>
  <c r="EQ26" i="7"/>
  <c r="ER26" i="7"/>
  <c r="EP26" i="7"/>
  <c r="EP31" i="7"/>
  <c r="ER31" i="7"/>
  <c r="EQ31" i="7"/>
  <c r="ER27" i="7"/>
  <c r="EP27" i="7"/>
  <c r="EQ27" i="7"/>
  <c r="ER53" i="7"/>
  <c r="EP53" i="7"/>
  <c r="EQ53" i="7"/>
  <c r="ER12" i="7"/>
  <c r="EQ12" i="7"/>
  <c r="EP12" i="7"/>
  <c r="EQ11" i="7"/>
  <c r="ER11" i="7"/>
  <c r="EP11" i="7"/>
  <c r="EQ10" i="7"/>
  <c r="ER10" i="7"/>
  <c r="EP10" i="7"/>
  <c r="EP55" i="7"/>
  <c r="EQ55" i="7"/>
  <c r="ER55" i="7"/>
  <c r="EP34" i="7"/>
  <c r="EQ34" i="7"/>
  <c r="ER34" i="7"/>
  <c r="EP48" i="7"/>
  <c r="EQ48" i="7"/>
  <c r="ER48" i="7"/>
  <c r="EP21" i="7"/>
  <c r="ER21" i="7"/>
  <c r="EQ21" i="7"/>
  <c r="EQ15" i="7"/>
  <c r="EP15" i="7"/>
  <c r="ER15" i="7"/>
  <c r="EP45" i="7"/>
  <c r="ER45" i="7"/>
  <c r="EQ45" i="7"/>
  <c r="EP13" i="7"/>
  <c r="EQ13" i="7"/>
  <c r="ER13" i="7"/>
  <c r="EP20" i="7"/>
  <c r="EQ20" i="7"/>
  <c r="ER20" i="7"/>
  <c r="I157" i="29"/>
  <c r="I121" i="29" s="1"/>
  <c r="I153" i="29"/>
  <c r="I117" i="29" s="1"/>
  <c r="I149" i="29"/>
  <c r="I113" i="29" s="1"/>
  <c r="J121" i="29"/>
  <c r="J117" i="29"/>
  <c r="S153" i="29"/>
  <c r="R153" i="29"/>
  <c r="J113" i="29"/>
  <c r="O89" i="42"/>
  <c r="C53" i="42"/>
  <c r="C51" i="42"/>
  <c r="BQ53" i="42"/>
  <c r="BN53" i="42"/>
  <c r="BQ52" i="42"/>
  <c r="BN52" i="42"/>
  <c r="AU44" i="42"/>
  <c r="G40" i="48"/>
  <c r="G39" i="48"/>
  <c r="G38" i="48"/>
  <c r="G37" i="48"/>
  <c r="R157" i="29" l="1"/>
  <c r="N123" i="29"/>
  <c r="N122" i="29"/>
  <c r="N121" i="29"/>
  <c r="N124" i="29"/>
  <c r="S157" i="29"/>
  <c r="R74" i="42"/>
  <c r="S161" i="29" l="1"/>
  <c r="R161" i="29"/>
  <c r="N127" i="29"/>
  <c r="N126" i="29"/>
  <c r="N125" i="29"/>
  <c r="N128" i="29"/>
  <c r="Q153" i="29"/>
  <c r="Q157" i="29" s="1"/>
  <c r="R165" i="29" l="1"/>
  <c r="N130" i="29"/>
  <c r="N129" i="29"/>
  <c r="N131" i="29"/>
  <c r="Q161" i="29"/>
  <c r="N161" i="29" s="1"/>
  <c r="S165" i="29"/>
  <c r="Q129" i="29"/>
  <c r="I161" i="29"/>
  <c r="I125" i="29" s="1"/>
  <c r="P60" i="29"/>
  <c r="S169" i="29" l="1"/>
  <c r="Q133" i="29"/>
  <c r="Q165" i="29"/>
  <c r="J161" i="29"/>
  <c r="J125" i="29" s="1"/>
  <c r="R169" i="29"/>
  <c r="N134" i="29"/>
  <c r="N133" i="29"/>
  <c r="I165" i="29"/>
  <c r="I129" i="29" s="1"/>
  <c r="Z113" i="29"/>
  <c r="Z117" i="29"/>
  <c r="Z121" i="29"/>
  <c r="B47" i="48"/>
  <c r="Q169" i="29" l="1"/>
  <c r="J173" i="29" s="1"/>
  <c r="J165" i="29"/>
  <c r="J129" i="29" s="1"/>
  <c r="V121" i="29"/>
  <c r="W121" i="29"/>
  <c r="T121" i="29"/>
  <c r="X121" i="29"/>
  <c r="U121" i="29"/>
  <c r="U117" i="29"/>
  <c r="V117" i="29"/>
  <c r="W117" i="29"/>
  <c r="T117" i="29"/>
  <c r="X117" i="29"/>
  <c r="N165" i="29"/>
  <c r="Z125" i="29"/>
  <c r="I169" i="29"/>
  <c r="I133" i="29" s="1"/>
  <c r="R60" i="29"/>
  <c r="J169" i="29" l="1"/>
  <c r="J133" i="29" s="1"/>
  <c r="Z129" i="29"/>
  <c r="X125" i="29"/>
  <c r="U125" i="29"/>
  <c r="V125" i="29"/>
  <c r="W125" i="29"/>
  <c r="T125" i="29"/>
  <c r="N169" i="29"/>
  <c r="N173" i="29"/>
  <c r="Q173" i="29"/>
  <c r="I173" i="29"/>
  <c r="I137" i="29" s="1"/>
  <c r="CJ182" i="1"/>
  <c r="W43" i="19"/>
  <c r="I43" i="19"/>
  <c r="BM57" i="4"/>
  <c r="BM56" i="4"/>
  <c r="BM55" i="4"/>
  <c r="BM54" i="4"/>
  <c r="BM53" i="4"/>
  <c r="BM52" i="4"/>
  <c r="BL4" i="4"/>
  <c r="BM51" i="4"/>
  <c r="Z133" i="29" l="1"/>
  <c r="X129" i="29"/>
  <c r="V129" i="29"/>
  <c r="U129" i="29"/>
  <c r="T129" i="29"/>
  <c r="W129" i="29"/>
  <c r="J137" i="29"/>
  <c r="T62" i="29"/>
  <c r="AE294" i="1"/>
  <c r="V133" i="29" l="1"/>
  <c r="T133" i="29"/>
  <c r="U133" i="29"/>
  <c r="W133" i="29"/>
  <c r="X133" i="29"/>
  <c r="AV278" i="1"/>
  <c r="BB278" i="1"/>
  <c r="BN278" i="1"/>
  <c r="BH278" i="1"/>
  <c r="AX278" i="1"/>
  <c r="BL278" i="1"/>
  <c r="BJ278" i="1"/>
  <c r="BF278" i="1"/>
  <c r="BD278" i="1"/>
  <c r="AZ278" i="1"/>
  <c r="AK294" i="1"/>
  <c r="AI294" i="1"/>
  <c r="AM294" i="1"/>
  <c r="AG294" i="1"/>
  <c r="AO294" i="1"/>
  <c r="U62" i="29"/>
  <c r="J34" i="16"/>
  <c r="J33" i="16"/>
  <c r="J32" i="16"/>
  <c r="J31" i="16"/>
  <c r="J30" i="16"/>
  <c r="J29" i="16"/>
  <c r="J28" i="16"/>
  <c r="R62" i="29" l="1"/>
  <c r="K62" i="29"/>
  <c r="P62" i="29"/>
  <c r="I69" i="29" l="1"/>
  <c r="I68" i="29"/>
  <c r="I67" i="29"/>
  <c r="I66" i="29"/>
  <c r="I65" i="29"/>
  <c r="I64" i="29"/>
  <c r="I63" i="29"/>
  <c r="I78" i="29"/>
  <c r="I79" i="29"/>
  <c r="Q117" i="29" s="1"/>
  <c r="X103" i="29"/>
  <c r="X102" i="29"/>
  <c r="X101" i="29"/>
  <c r="X100" i="29"/>
  <c r="X99" i="29"/>
  <c r="W102" i="29" l="1"/>
  <c r="W101" i="29"/>
  <c r="W100" i="29"/>
  <c r="W99" i="29"/>
  <c r="V103" i="29"/>
  <c r="U103" i="29"/>
  <c r="T103" i="29"/>
  <c r="V102" i="29"/>
  <c r="U102" i="29"/>
  <c r="T102" i="29"/>
  <c r="V101" i="29"/>
  <c r="U101" i="29"/>
  <c r="T101" i="29"/>
  <c r="V100" i="29"/>
  <c r="U100" i="29"/>
  <c r="T100" i="29"/>
  <c r="V99" i="29"/>
  <c r="U99" i="29"/>
  <c r="T99" i="29"/>
  <c r="N116" i="29" l="1"/>
  <c r="M12" i="48" s="1"/>
  <c r="N115" i="29"/>
  <c r="M11" i="48" s="1"/>
  <c r="N114" i="29"/>
  <c r="M10" i="48" s="1"/>
  <c r="N113" i="29"/>
  <c r="M9" i="48" s="1"/>
  <c r="U33" i="48"/>
  <c r="T33" i="48"/>
  <c r="S33" i="48"/>
  <c r="R33" i="48"/>
  <c r="Q33" i="48"/>
  <c r="P33" i="48"/>
  <c r="I94" i="29"/>
  <c r="I84" i="29"/>
  <c r="AX444" i="1" l="1"/>
  <c r="L17" i="48" l="1"/>
  <c r="K25" i="48" l="1"/>
  <c r="I81" i="29"/>
  <c r="HH10" i="4" s="1"/>
  <c r="I80" i="29"/>
  <c r="Q113" i="29"/>
  <c r="N9" i="48" s="1"/>
  <c r="Q121" i="29" l="1"/>
  <c r="Q125" i="29"/>
  <c r="K17" i="48"/>
  <c r="O29" i="48"/>
  <c r="O33" i="48"/>
  <c r="O9" i="48"/>
  <c r="X112" i="29"/>
  <c r="W112" i="29"/>
  <c r="V112" i="29"/>
  <c r="U112" i="29"/>
  <c r="T112" i="29"/>
  <c r="S112" i="29"/>
  <c r="L13" i="48"/>
  <c r="L9" i="48"/>
  <c r="K9" i="48"/>
  <c r="K21" i="48" l="1"/>
  <c r="M15" i="48"/>
  <c r="O13" i="48"/>
  <c r="M16" i="48"/>
  <c r="M14" i="48"/>
  <c r="M13" i="48"/>
  <c r="N13" i="48"/>
  <c r="Q9" i="48"/>
  <c r="T9" i="48"/>
  <c r="R9" i="48"/>
  <c r="P9" i="48"/>
  <c r="U9" i="48"/>
  <c r="S9" i="48"/>
  <c r="M17" i="48"/>
  <c r="M18" i="48"/>
  <c r="O17" i="48"/>
  <c r="S17" i="48" s="1"/>
  <c r="M19" i="48"/>
  <c r="N17" i="48"/>
  <c r="M20" i="48"/>
  <c r="K13" i="48"/>
  <c r="M21" i="48"/>
  <c r="M24" i="48"/>
  <c r="M23" i="48"/>
  <c r="N21" i="48"/>
  <c r="M22" i="48"/>
  <c r="O21" i="48"/>
  <c r="M28" i="48"/>
  <c r="N29" i="48"/>
  <c r="M25" i="48"/>
  <c r="M26" i="48"/>
  <c r="M29" i="48"/>
  <c r="M30" i="48"/>
  <c r="O25" i="48"/>
  <c r="M27" i="48"/>
  <c r="M32" i="48"/>
  <c r="M31" i="48"/>
  <c r="N25" i="48"/>
  <c r="S129" i="29"/>
  <c r="U113" i="29"/>
  <c r="V113" i="29"/>
  <c r="S113" i="29"/>
  <c r="W113" i="29"/>
  <c r="T113" i="29"/>
  <c r="X113" i="29"/>
  <c r="S117" i="29"/>
  <c r="S121" i="29"/>
  <c r="S125" i="29"/>
  <c r="T25" i="48" l="1"/>
  <c r="U25" i="48"/>
  <c r="S25" i="48"/>
  <c r="S21" i="48"/>
  <c r="T21" i="48"/>
  <c r="U21" i="48"/>
  <c r="Q17" i="48"/>
  <c r="U17" i="48"/>
  <c r="P17" i="48"/>
  <c r="R17" i="48"/>
  <c r="T17" i="48"/>
  <c r="T13" i="48"/>
  <c r="R13" i="48"/>
  <c r="P13" i="48"/>
  <c r="U13" i="48"/>
  <c r="Q13" i="48"/>
  <c r="S13" i="48"/>
  <c r="Q21" i="48"/>
  <c r="P21" i="48"/>
  <c r="R21" i="48"/>
  <c r="P25" i="48"/>
  <c r="R25" i="48"/>
  <c r="Q25" i="48"/>
  <c r="L21" i="48"/>
  <c r="K29" i="48"/>
  <c r="S133" i="29"/>
  <c r="S29" i="48" l="1"/>
  <c r="U29" i="48"/>
  <c r="T29" i="48"/>
  <c r="V137" i="29"/>
  <c r="L25" i="48"/>
  <c r="L29" i="48"/>
  <c r="S137" i="29"/>
  <c r="U137" i="29"/>
  <c r="T137" i="29"/>
  <c r="Q29" i="48"/>
  <c r="P29" i="48"/>
  <c r="R29" i="48"/>
  <c r="X137" i="29"/>
  <c r="W137" i="29"/>
  <c r="O47" i="42"/>
  <c r="X91" i="42" l="1"/>
  <c r="B72" i="25" l="1"/>
  <c r="BD82" i="7" l="1"/>
  <c r="CH2" i="1" l="1"/>
  <c r="N6" i="42"/>
  <c r="AU37" i="21" l="1"/>
  <c r="AT37" i="21"/>
  <c r="AS37" i="21"/>
  <c r="AR37" i="21"/>
  <c r="AQ37" i="21"/>
  <c r="AP37" i="21"/>
  <c r="AO37" i="21"/>
  <c r="AO36" i="21"/>
  <c r="G36" i="21" s="1"/>
  <c r="AU15" i="21"/>
  <c r="AT15" i="21"/>
  <c r="AS15" i="21"/>
  <c r="AR15" i="21"/>
  <c r="AQ15" i="21"/>
  <c r="AP15" i="21"/>
  <c r="AO15" i="21"/>
  <c r="AO14" i="21"/>
  <c r="G14" i="21" s="1"/>
  <c r="AB4" i="21" l="1"/>
  <c r="AB8" i="21"/>
  <c r="AB5" i="21"/>
  <c r="AB9" i="21"/>
  <c r="AB6" i="21"/>
  <c r="AB7" i="21"/>
  <c r="G37" i="21"/>
  <c r="G15" i="21"/>
  <c r="AP36" i="21"/>
  <c r="AP14" i="21"/>
  <c r="P6" i="1"/>
  <c r="P7" i="1"/>
  <c r="AQ14" i="21" l="1"/>
  <c r="AQ36" i="21"/>
  <c r="AR36" i="21" l="1"/>
  <c r="AR14" i="21"/>
  <c r="A2" i="40"/>
  <c r="AS36" i="21" l="1"/>
  <c r="AS14" i="21"/>
  <c r="AU14" i="21" s="1"/>
  <c r="AS2" i="34"/>
  <c r="AT36" i="21" l="1"/>
  <c r="H36" i="21" s="1"/>
  <c r="AU36" i="21"/>
  <c r="AT14" i="21"/>
  <c r="AN3" i="4"/>
  <c r="AM3" i="4"/>
  <c r="I36" i="21" l="1"/>
  <c r="J36" i="21" s="1"/>
  <c r="K36" i="21" s="1"/>
  <c r="L36" i="21" s="1"/>
  <c r="M36" i="21" s="1"/>
  <c r="H14" i="21"/>
  <c r="I14" i="21" s="1"/>
  <c r="J14" i="21" l="1"/>
  <c r="K14" i="21" s="1"/>
  <c r="L14" i="21" s="1"/>
  <c r="M14" i="21" s="1"/>
  <c r="M37" i="21" s="1"/>
  <c r="I37" i="21"/>
  <c r="I15" i="21"/>
  <c r="H15" i="21"/>
  <c r="H37" i="21"/>
  <c r="J15" i="21" l="1"/>
  <c r="J37" i="21"/>
  <c r="L15" i="21"/>
  <c r="K37" i="21"/>
  <c r="M15" i="21"/>
  <c r="K15" i="21"/>
  <c r="L37" i="21"/>
  <c r="Q19" i="16"/>
  <c r="Q18" i="16"/>
  <c r="Q17" i="16"/>
  <c r="Q16" i="16"/>
  <c r="Q15" i="16"/>
  <c r="Q14" i="16"/>
  <c r="Q13" i="16"/>
  <c r="Q12" i="16"/>
  <c r="Q11" i="16"/>
  <c r="Q33" i="16"/>
  <c r="Q32" i="16"/>
  <c r="Q31" i="16"/>
  <c r="Q28" i="16"/>
  <c r="Q30" i="16"/>
  <c r="Q27" i="16"/>
  <c r="Q29" i="16"/>
  <c r="Q26" i="16"/>
  <c r="J6" i="1"/>
  <c r="I39" i="19"/>
  <c r="BE57" i="4" l="1"/>
  <c r="BE56" i="4"/>
  <c r="BE53" i="4"/>
  <c r="BE52" i="4"/>
  <c r="BE51" i="4"/>
  <c r="BE50" i="4"/>
  <c r="BE48" i="4"/>
  <c r="BE47" i="4"/>
  <c r="BE46" i="4"/>
  <c r="BE45" i="4"/>
  <c r="BE44" i="4"/>
  <c r="BE43" i="4"/>
  <c r="BE42" i="4"/>
  <c r="BE41" i="4"/>
  <c r="BE40" i="4"/>
  <c r="BE39" i="4"/>
  <c r="BE38" i="4"/>
  <c r="BE37" i="4"/>
  <c r="BE36" i="4"/>
  <c r="BE35" i="4"/>
  <c r="BE34" i="4"/>
  <c r="BE33" i="4"/>
  <c r="BE32" i="4"/>
  <c r="BE31" i="4"/>
  <c r="BE30" i="4"/>
  <c r="BE29" i="4"/>
  <c r="BE28" i="4"/>
  <c r="BE25" i="4"/>
  <c r="BE24" i="4"/>
  <c r="BE23" i="4"/>
  <c r="BE22" i="4"/>
  <c r="BE21" i="4"/>
  <c r="BE20" i="4"/>
  <c r="BE19" i="4"/>
  <c r="BE18" i="4"/>
  <c r="BE17" i="4"/>
  <c r="BE16" i="4"/>
  <c r="BE15" i="4"/>
  <c r="BE14" i="4"/>
  <c r="BE13" i="4"/>
  <c r="BE12" i="4"/>
  <c r="BE9" i="4"/>
  <c r="BE8" i="4"/>
  <c r="BE7" i="4"/>
  <c r="BE6" i="4"/>
  <c r="BE5" i="4"/>
  <c r="BJ31" i="4"/>
  <c r="CJ171" i="1"/>
  <c r="BS91" i="42" s="1"/>
  <c r="CJ170" i="1"/>
  <c r="AI39" i="19"/>
  <c r="W39" i="19"/>
  <c r="W41" i="19"/>
  <c r="BG8" i="4"/>
  <c r="BG5" i="4"/>
  <c r="BD4" i="4"/>
  <c r="BF4" i="4"/>
  <c r="BF3" i="4"/>
  <c r="AA32" i="30"/>
  <c r="X38" i="42"/>
  <c r="BS50" i="4" l="1"/>
  <c r="BD57" i="4"/>
  <c r="CH170" i="1" l="1"/>
  <c r="CH237" i="1"/>
  <c r="M36" i="30"/>
  <c r="BL2" i="34"/>
  <c r="C17" i="48" l="1"/>
  <c r="F61" i="12" l="1"/>
  <c r="C61" i="12"/>
  <c r="G115" i="38" l="1"/>
  <c r="B183" i="38"/>
  <c r="B186" i="38"/>
  <c r="B189" i="38"/>
  <c r="BC448" i="1" l="1"/>
  <c r="BC447" i="1"/>
  <c r="BC446" i="1"/>
  <c r="BC445" i="1"/>
  <c r="BC444" i="1"/>
  <c r="AV448" i="1"/>
  <c r="AV447" i="1"/>
  <c r="AV446" i="1"/>
  <c r="AV445" i="1"/>
  <c r="AV444" i="1"/>
  <c r="H16" i="16" l="1"/>
  <c r="H15" i="16"/>
  <c r="H14" i="16"/>
  <c r="H13" i="16"/>
  <c r="H12" i="16"/>
  <c r="H11" i="16"/>
  <c r="H30" i="16"/>
  <c r="H29" i="16"/>
  <c r="H28" i="16"/>
  <c r="H27" i="16"/>
  <c r="H26" i="16"/>
  <c r="H25" i="16"/>
  <c r="BH4" i="7"/>
  <c r="BF4" i="7"/>
  <c r="BE4" i="7"/>
  <c r="BD4" i="7"/>
  <c r="BC4" i="7"/>
  <c r="BB4" i="7"/>
  <c r="BA4" i="7"/>
  <c r="AZ4" i="7"/>
  <c r="AY4" i="7"/>
  <c r="AX4" i="7"/>
  <c r="AW4" i="7"/>
  <c r="AV4" i="7"/>
  <c r="AU4" i="7"/>
  <c r="AT4" i="7"/>
  <c r="AS4" i="7"/>
  <c r="AR4" i="7"/>
  <c r="AQ4" i="7"/>
  <c r="AP4" i="7"/>
  <c r="AO4" i="7"/>
  <c r="AN4" i="7"/>
  <c r="AM4" i="7"/>
  <c r="AL4" i="7"/>
  <c r="C41" i="48"/>
  <c r="C30" i="48"/>
  <c r="C43" i="48"/>
  <c r="C42" i="48"/>
  <c r="C40" i="48"/>
  <c r="C29" i="48"/>
  <c r="C27" i="48"/>
  <c r="C28" i="48"/>
  <c r="G28" i="48"/>
  <c r="G21" i="48"/>
  <c r="G19" i="48"/>
  <c r="C34" i="48"/>
  <c r="C18" i="48"/>
  <c r="T56" i="4" l="1"/>
  <c r="T55" i="4"/>
  <c r="T54" i="4"/>
  <c r="T53" i="4"/>
  <c r="T52" i="4"/>
  <c r="T51" i="4"/>
  <c r="U56" i="4"/>
  <c r="U55" i="4"/>
  <c r="U54" i="4"/>
  <c r="U53" i="4"/>
  <c r="U52" i="4"/>
  <c r="AO14" i="1"/>
  <c r="M26" i="16" l="1"/>
  <c r="AE47" i="31" l="1"/>
  <c r="AE46" i="31"/>
  <c r="AE45" i="31"/>
  <c r="C57" i="4" l="1"/>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9" i="4"/>
  <c r="C8" i="4"/>
  <c r="C7" i="4"/>
  <c r="C6" i="4"/>
  <c r="C5" i="4"/>
  <c r="Z2" i="11" l="1"/>
  <c r="DD85" i="7" l="1"/>
  <c r="DD84" i="7"/>
  <c r="DD83" i="7"/>
  <c r="DE81" i="7"/>
  <c r="AW16" i="7"/>
  <c r="AM16" i="7"/>
  <c r="ED18" i="7"/>
  <c r="ED17" i="7"/>
  <c r="ED16" i="7"/>
  <c r="AK84" i="7"/>
  <c r="ED19" i="7"/>
  <c r="C67" i="48"/>
  <c r="C66" i="48"/>
  <c r="C84" i="7"/>
  <c r="C146" i="7"/>
  <c r="C208" i="7"/>
  <c r="C270" i="7"/>
  <c r="BR67" i="42" l="1"/>
  <c r="BR54" i="42"/>
  <c r="BR23" i="42"/>
  <c r="AK85" i="7" l="1"/>
  <c r="C85" i="7"/>
  <c r="C147" i="7"/>
  <c r="C209" i="7"/>
  <c r="C271" i="7"/>
  <c r="C272" i="7"/>
  <c r="AV449" i="1" l="1"/>
  <c r="O97" i="42" l="1"/>
  <c r="CV50" i="4" l="1"/>
  <c r="D104" i="38" l="1"/>
  <c r="C8" i="38" l="1"/>
  <c r="C7" i="38"/>
  <c r="C5" i="38"/>
  <c r="C6" i="38"/>
  <c r="AH46" i="7" l="1"/>
  <c r="AD46" i="7"/>
  <c r="AC46" i="7"/>
  <c r="AB46" i="7"/>
  <c r="Y46" i="7"/>
  <c r="Q46" i="7"/>
  <c r="N46" i="7"/>
  <c r="I46" i="7"/>
  <c r="G30" i="38" l="1"/>
  <c r="AI5" i="1" s="1"/>
  <c r="X6" i="1"/>
  <c r="V6" i="1"/>
  <c r="T6" i="1"/>
  <c r="T415" i="1" s="1"/>
  <c r="R6" i="1"/>
  <c r="N6" i="1"/>
  <c r="L6" i="1"/>
  <c r="F6" i="1"/>
  <c r="U74" i="19" l="1"/>
  <c r="T74" i="19"/>
  <c r="S74" i="19"/>
  <c r="O74" i="19"/>
  <c r="T73" i="19"/>
  <c r="S73" i="19"/>
  <c r="D51" i="23" l="1"/>
  <c r="BU3" i="4" l="1"/>
  <c r="BT3" i="4"/>
  <c r="BO3" i="4"/>
  <c r="BN3" i="4"/>
  <c r="W9" i="11"/>
  <c r="B123" i="38" l="1"/>
  <c r="B122" i="38"/>
  <c r="F53" i="38"/>
  <c r="F52" i="38"/>
  <c r="F50" i="38"/>
  <c r="F49" i="38"/>
  <c r="F47" i="38"/>
  <c r="F46" i="38"/>
  <c r="AB10" i="21" l="1"/>
  <c r="K34" i="16" l="1"/>
  <c r="K33" i="16"/>
  <c r="K32" i="16"/>
  <c r="K31" i="16"/>
  <c r="K30" i="16"/>
  <c r="K29" i="16"/>
  <c r="K28" i="16"/>
  <c r="ED43" i="7"/>
  <c r="ED26" i="7"/>
  <c r="ED10" i="7"/>
  <c r="ED9" i="7"/>
  <c r="GV14" i="4" l="1"/>
  <c r="GU14" i="4"/>
  <c r="GV13" i="4"/>
  <c r="GU13" i="4"/>
  <c r="GU12" i="4"/>
  <c r="GV12" i="4"/>
  <c r="GV9" i="4"/>
  <c r="GU9" i="4"/>
  <c r="GU8" i="4"/>
  <c r="GV8" i="4"/>
  <c r="GV7" i="4"/>
  <c r="GU7" i="4"/>
  <c r="GV6" i="4"/>
  <c r="GU6" i="4"/>
  <c r="HI12" i="4"/>
  <c r="HI9" i="4"/>
  <c r="HI8" i="4"/>
  <c r="HI7" i="4"/>
  <c r="HI6" i="4"/>
  <c r="HI5" i="4"/>
  <c r="GV22" i="4"/>
  <c r="HG13" i="4"/>
  <c r="HG12" i="4"/>
  <c r="HG9" i="4"/>
  <c r="HG8" i="4"/>
  <c r="HG7" i="4"/>
  <c r="HG6" i="4"/>
  <c r="HG5" i="4"/>
  <c r="HF13" i="4"/>
  <c r="HF12" i="4"/>
  <c r="HF9" i="4"/>
  <c r="HF8" i="4"/>
  <c r="HF7" i="4"/>
  <c r="HF6" i="4"/>
  <c r="HF5" i="4"/>
  <c r="HE13" i="4"/>
  <c r="HE12" i="4"/>
  <c r="HE9" i="4"/>
  <c r="HE8" i="4"/>
  <c r="HE7" i="4"/>
  <c r="HE6" i="4"/>
  <c r="HE5" i="4"/>
  <c r="HD13" i="4"/>
  <c r="HD12" i="4"/>
  <c r="HD9" i="4"/>
  <c r="HD8" i="4"/>
  <c r="HD7" i="4"/>
  <c r="HD6" i="4"/>
  <c r="HD5" i="4"/>
  <c r="HC13" i="4"/>
  <c r="HC12" i="4"/>
  <c r="HC9" i="4"/>
  <c r="HC8" i="4"/>
  <c r="HC7" i="4"/>
  <c r="HC6" i="4"/>
  <c r="HC5" i="4"/>
  <c r="HB13" i="4"/>
  <c r="HB12" i="4"/>
  <c r="HB9" i="4"/>
  <c r="HB8" i="4"/>
  <c r="HB7" i="4"/>
  <c r="HB6" i="4"/>
  <c r="HB5" i="4"/>
  <c r="HA13" i="4"/>
  <c r="HA12" i="4"/>
  <c r="HA9" i="4"/>
  <c r="HA8" i="4"/>
  <c r="HA7" i="4"/>
  <c r="HA6" i="4"/>
  <c r="HA5" i="4"/>
  <c r="GZ6" i="4"/>
  <c r="GZ5" i="4"/>
  <c r="GZ13" i="4"/>
  <c r="GZ12" i="4"/>
  <c r="GZ9" i="4"/>
  <c r="GZ8" i="4"/>
  <c r="GZ7" i="4"/>
  <c r="GY13" i="4"/>
  <c r="GX13" i="4"/>
  <c r="GY12" i="4"/>
  <c r="GY9" i="4"/>
  <c r="GX9" i="4"/>
  <c r="GX12" i="4"/>
  <c r="GY8" i="4"/>
  <c r="GX8" i="4"/>
  <c r="GY7" i="4"/>
  <c r="GX7" i="4"/>
  <c r="GX6" i="4"/>
  <c r="GX5" i="4"/>
  <c r="GY6" i="4"/>
  <c r="GU16" i="4"/>
  <c r="GY5" i="4"/>
  <c r="GU15" i="4"/>
  <c r="CU54" i="4"/>
  <c r="CJ49" i="4"/>
  <c r="HH12" i="4"/>
  <c r="HH9" i="4"/>
  <c r="HH8" i="4"/>
  <c r="HH7" i="4"/>
  <c r="HH6" i="4"/>
  <c r="HH5" i="4"/>
  <c r="CX57" i="4"/>
  <c r="CX17" i="4"/>
  <c r="CX15" i="4"/>
  <c r="CX7" i="4"/>
  <c r="CW49" i="4" l="1"/>
  <c r="U64" i="19" l="1"/>
  <c r="T64" i="19"/>
  <c r="S64" i="19"/>
  <c r="O64" i="19"/>
  <c r="C28" i="38" l="1"/>
  <c r="B55" i="25" l="1"/>
  <c r="F11" i="30"/>
  <c r="F10" i="30"/>
  <c r="F9" i="30"/>
  <c r="F15" i="30"/>
  <c r="B24" i="30" l="1"/>
  <c r="G46" i="7" l="1"/>
  <c r="AG46" i="7"/>
  <c r="AE46" i="7"/>
  <c r="AA46" i="7"/>
  <c r="R46" i="7"/>
  <c r="H46" i="7"/>
  <c r="AH110" i="7"/>
  <c r="AG110" i="7"/>
  <c r="AF110" i="7"/>
  <c r="AE110" i="7"/>
  <c r="AC110" i="7"/>
  <c r="AB110" i="7"/>
  <c r="Y110" i="7"/>
  <c r="W110" i="7"/>
  <c r="R110" i="7"/>
  <c r="Q110" i="7"/>
  <c r="L110" i="7"/>
  <c r="K110" i="7"/>
  <c r="H110" i="7"/>
  <c r="E110" i="7"/>
  <c r="BY43" i="7"/>
  <c r="AU46" i="7" l="1"/>
  <c r="AM113" i="7"/>
  <c r="AE52" i="7"/>
  <c r="AF46" i="7"/>
  <c r="L46" i="7"/>
  <c r="AG47" i="7"/>
  <c r="AH47" i="7"/>
  <c r="AF47" i="7"/>
  <c r="AE47" i="7"/>
  <c r="AC47" i="7"/>
  <c r="AB47" i="7"/>
  <c r="Y47" i="7"/>
  <c r="W47" i="7"/>
  <c r="R47" i="7"/>
  <c r="Q47" i="7"/>
  <c r="L47" i="7"/>
  <c r="K47" i="7"/>
  <c r="H47" i="7"/>
  <c r="E47" i="7"/>
  <c r="C26" i="38"/>
  <c r="BH114" i="7"/>
  <c r="BG114" i="7"/>
  <c r="BF114" i="7"/>
  <c r="BD114" i="7"/>
  <c r="BC114" i="7"/>
  <c r="AH114" i="7"/>
  <c r="AG114" i="7"/>
  <c r="AF114" i="7"/>
  <c r="AE114" i="7"/>
  <c r="AC114" i="7"/>
  <c r="AB114" i="7"/>
  <c r="Y114" i="7"/>
  <c r="W114" i="7"/>
  <c r="V114" i="7"/>
  <c r="U114" i="7"/>
  <c r="T114" i="7"/>
  <c r="S114" i="7"/>
  <c r="R114" i="7"/>
  <c r="Q114" i="7"/>
  <c r="L114" i="7"/>
  <c r="K114" i="7"/>
  <c r="H114" i="7"/>
  <c r="E114" i="7"/>
  <c r="AU113" i="7"/>
  <c r="AF113" i="7"/>
  <c r="AC113" i="7"/>
  <c r="AB113" i="7"/>
  <c r="L113" i="7"/>
  <c r="BH112" i="7"/>
  <c r="BG112" i="7"/>
  <c r="BF112" i="7"/>
  <c r="BE112" i="7"/>
  <c r="BD112" i="7"/>
  <c r="BC112" i="7"/>
  <c r="AH112" i="7"/>
  <c r="AG112" i="7"/>
  <c r="AF112" i="7"/>
  <c r="AE112" i="7"/>
  <c r="AC112" i="7"/>
  <c r="AB112" i="7"/>
  <c r="Y112" i="7"/>
  <c r="X112" i="7"/>
  <c r="R112" i="7"/>
  <c r="Q112" i="7"/>
  <c r="K112" i="7"/>
  <c r="H112" i="7"/>
  <c r="E112" i="7"/>
  <c r="AH111" i="7"/>
  <c r="AG111" i="7"/>
  <c r="AF111" i="7"/>
  <c r="AE111" i="7"/>
  <c r="AC111" i="7"/>
  <c r="AB111" i="7"/>
  <c r="Y111" i="7"/>
  <c r="W111" i="7"/>
  <c r="R111" i="7"/>
  <c r="Q111" i="7"/>
  <c r="L111" i="7"/>
  <c r="K111" i="7"/>
  <c r="H111" i="7"/>
  <c r="E111" i="7"/>
  <c r="AT110" i="7"/>
  <c r="AR110" i="7"/>
  <c r="BW44" i="7"/>
  <c r="AH44" i="7"/>
  <c r="AG44" i="7"/>
  <c r="AF44" i="7"/>
  <c r="AE44" i="7"/>
  <c r="AC44" i="7"/>
  <c r="AB44" i="7"/>
  <c r="Y44" i="7"/>
  <c r="R44" i="7"/>
  <c r="Q44" i="7"/>
  <c r="L44" i="7"/>
  <c r="K44" i="7"/>
  <c r="H44" i="7"/>
  <c r="E44" i="7"/>
  <c r="AT43" i="7"/>
  <c r="AR43" i="7"/>
  <c r="AH43" i="7"/>
  <c r="AG43" i="7"/>
  <c r="AF43" i="7"/>
  <c r="AE43" i="7"/>
  <c r="AC43" i="7"/>
  <c r="AB43" i="7"/>
  <c r="Y43" i="7"/>
  <c r="W43" i="7"/>
  <c r="R43" i="7"/>
  <c r="Q43" i="7"/>
  <c r="L43" i="7"/>
  <c r="K43" i="7"/>
  <c r="H43" i="7"/>
  <c r="E43" i="7"/>
  <c r="CA42" i="7"/>
  <c r="CC41" i="7"/>
  <c r="AM46" i="7" l="1"/>
  <c r="AM83" i="7"/>
  <c r="L37" i="7" l="1"/>
  <c r="AH37" i="7" l="1"/>
  <c r="AF37" i="7"/>
  <c r="C64" i="38"/>
  <c r="R76" i="7" l="1"/>
  <c r="R120" i="7"/>
  <c r="AM9" i="7"/>
  <c r="AL9" i="7"/>
  <c r="R9" i="7"/>
  <c r="C29" i="38" l="1"/>
  <c r="B40" i="25" l="1"/>
  <c r="AK92" i="7" l="1"/>
  <c r="AK100" i="7"/>
  <c r="W100" i="7"/>
  <c r="AH25" i="7"/>
  <c r="AE25" i="7"/>
  <c r="Y25" i="7"/>
  <c r="W25" i="7"/>
  <c r="Q25" i="7"/>
  <c r="E25" i="7"/>
  <c r="K25" i="7"/>
  <c r="BY40" i="7" l="1"/>
  <c r="H52" i="7"/>
  <c r="AA81" i="7"/>
  <c r="G81" i="7"/>
  <c r="AA14" i="7"/>
  <c r="G14" i="7"/>
  <c r="M7" i="7" l="1"/>
  <c r="DV14" i="7" l="1"/>
  <c r="N81" i="7"/>
  <c r="N14" i="7"/>
  <c r="I14" i="7"/>
  <c r="AM81" i="7"/>
  <c r="I81" i="7"/>
  <c r="AK14" i="7"/>
  <c r="DV52" i="7"/>
  <c r="W32" i="7"/>
  <c r="E32" i="7"/>
  <c r="W19" i="7"/>
  <c r="E19" i="7"/>
  <c r="E13" i="7"/>
  <c r="AK86" i="7"/>
  <c r="DY19" i="7"/>
  <c r="C210" i="7"/>
  <c r="C148" i="7"/>
  <c r="C86" i="7"/>
  <c r="AG10" i="7" l="1"/>
  <c r="H10" i="7"/>
  <c r="DD31" i="7"/>
  <c r="AG120" i="7"/>
  <c r="AG98" i="7"/>
  <c r="AG53" i="7"/>
  <c r="AG31" i="7"/>
  <c r="AM52" i="7"/>
  <c r="AF62" i="7" l="1"/>
  <c r="AE62" i="7"/>
  <c r="Y62" i="7"/>
  <c r="X62" i="7"/>
  <c r="R62" i="7"/>
  <c r="Q62" i="7"/>
  <c r="L62" i="7"/>
  <c r="K62" i="7"/>
  <c r="E62" i="7"/>
  <c r="AH62" i="7"/>
  <c r="AC40" i="7"/>
  <c r="AB40" i="7"/>
  <c r="Z117" i="7"/>
  <c r="W73" i="7"/>
  <c r="W6" i="7"/>
  <c r="AM102" i="7"/>
  <c r="D102" i="38" l="1"/>
  <c r="D103" i="38"/>
  <c r="AN7" i="7" l="1"/>
  <c r="AL7" i="7"/>
  <c r="ED25" i="7" l="1"/>
  <c r="ED12" i="7"/>
  <c r="ED8" i="7"/>
  <c r="ED7" i="7"/>
  <c r="AZ137" i="7"/>
  <c r="AZ75" i="7"/>
  <c r="DY10" i="7"/>
  <c r="DY8" i="7"/>
  <c r="DX25" i="7"/>
  <c r="AX53" i="7" l="1"/>
  <c r="AC53" i="7"/>
  <c r="AC8" i="7"/>
  <c r="EB8" i="7" s="1"/>
  <c r="AY41" i="42" l="1"/>
  <c r="HI3" i="4" l="1"/>
  <c r="HH3" i="4"/>
  <c r="HG3" i="4"/>
  <c r="HF3" i="4"/>
  <c r="HE3" i="4"/>
  <c r="HD3" i="4"/>
  <c r="HC3" i="4"/>
  <c r="HB3" i="4"/>
  <c r="HA3" i="4"/>
  <c r="GZ3" i="4"/>
  <c r="GY3" i="4"/>
  <c r="BK53" i="7" l="1"/>
  <c r="BL53" i="7"/>
  <c r="DD104" i="7" l="1"/>
  <c r="DD116" i="7"/>
  <c r="AK52" i="7" l="1"/>
  <c r="AG52" i="7"/>
  <c r="DB31" i="7" l="1"/>
  <c r="AK119" i="7"/>
  <c r="DC33" i="7" l="1"/>
  <c r="DG33" i="7"/>
  <c r="T107" i="19" l="1"/>
  <c r="S107" i="19"/>
  <c r="EB50" i="4"/>
  <c r="BG50" i="4"/>
  <c r="AU50" i="4"/>
  <c r="AT50" i="4"/>
  <c r="AS50" i="4"/>
  <c r="AR50" i="4"/>
  <c r="AP50" i="4"/>
  <c r="AN50" i="4"/>
  <c r="AL50" i="4"/>
  <c r="AJ50" i="4"/>
  <c r="W50" i="4"/>
  <c r="Q50" i="4"/>
  <c r="K50" i="4"/>
  <c r="J50" i="4"/>
  <c r="H50" i="4"/>
  <c r="B50" i="4"/>
  <c r="DC196" i="7"/>
  <c r="DC134" i="7"/>
  <c r="DC72" i="7"/>
  <c r="J107" i="19" s="1"/>
  <c r="AN53" i="7" l="1"/>
  <c r="AM79" i="7" l="1"/>
  <c r="AL79" i="7"/>
  <c r="C55" i="25" l="1"/>
  <c r="I38" i="19" l="1"/>
  <c r="I36" i="19"/>
  <c r="ED6" i="7" l="1"/>
  <c r="ED47" i="7"/>
  <c r="ED44" i="7"/>
  <c r="ED42" i="7"/>
  <c r="ED41" i="7"/>
  <c r="CO145" i="7"/>
  <c r="CZ189" i="7"/>
  <c r="CY188" i="7"/>
  <c r="CX187" i="7"/>
  <c r="CW186" i="7"/>
  <c r="CV185" i="7"/>
  <c r="CU184" i="7"/>
  <c r="CT143" i="7"/>
  <c r="CR144" i="7"/>
  <c r="CS142" i="7"/>
  <c r="CL135" i="7"/>
  <c r="BJ176" i="7"/>
  <c r="BX173" i="7"/>
  <c r="CB171" i="7"/>
  <c r="CD170" i="7"/>
  <c r="B52" i="5"/>
  <c r="DJ134" i="7"/>
  <c r="DI134" i="7"/>
  <c r="DH134" i="7"/>
  <c r="DG134" i="7"/>
  <c r="DF134" i="7"/>
  <c r="DE134" i="7"/>
  <c r="DD134" i="7"/>
  <c r="DB134" i="7"/>
  <c r="DA134" i="7"/>
  <c r="CZ134" i="7"/>
  <c r="CY134" i="7"/>
  <c r="CX134" i="7"/>
  <c r="CW134" i="7"/>
  <c r="CV134" i="7"/>
  <c r="CU134" i="7"/>
  <c r="CT134" i="7"/>
  <c r="CS134" i="7"/>
  <c r="CR134" i="7"/>
  <c r="CQ134" i="7"/>
  <c r="CP134" i="7"/>
  <c r="CO134" i="7"/>
  <c r="CN134" i="7"/>
  <c r="CM134" i="7"/>
  <c r="CL134" i="7"/>
  <c r="CK134" i="7"/>
  <c r="CJ134" i="7"/>
  <c r="CI134" i="7"/>
  <c r="CH134" i="7"/>
  <c r="CG134" i="7"/>
  <c r="CF134" i="7"/>
  <c r="CE134" i="7"/>
  <c r="CD134" i="7"/>
  <c r="CC134" i="7"/>
  <c r="CB134" i="7"/>
  <c r="CA134" i="7"/>
  <c r="BZ134" i="7"/>
  <c r="BY134" i="7"/>
  <c r="BX134" i="7"/>
  <c r="BW134" i="7"/>
  <c r="BV134" i="7"/>
  <c r="BU134" i="7"/>
  <c r="BT134" i="7"/>
  <c r="BS134" i="7"/>
  <c r="BR134" i="7"/>
  <c r="BQ134" i="7"/>
  <c r="BN134" i="7"/>
  <c r="BM134" i="7"/>
  <c r="BL134" i="7"/>
  <c r="BK134" i="7"/>
  <c r="DJ196" i="7"/>
  <c r="DI196" i="7"/>
  <c r="DH196" i="7"/>
  <c r="DG196" i="7"/>
  <c r="DF196" i="7"/>
  <c r="DE196" i="7"/>
  <c r="DD196" i="7"/>
  <c r="DB196" i="7"/>
  <c r="DA196" i="7"/>
  <c r="CZ196" i="7"/>
  <c r="CY196" i="7"/>
  <c r="CX196" i="7"/>
  <c r="CW196" i="7"/>
  <c r="CV196" i="7"/>
  <c r="CU196" i="7"/>
  <c r="CT196" i="7"/>
  <c r="CS196" i="7"/>
  <c r="CR196" i="7"/>
  <c r="CQ196" i="7"/>
  <c r="CP196" i="7"/>
  <c r="CO196" i="7"/>
  <c r="CN196" i="7"/>
  <c r="CM196" i="7"/>
  <c r="CL196" i="7"/>
  <c r="CK196" i="7"/>
  <c r="CJ196" i="7"/>
  <c r="CI196" i="7"/>
  <c r="CH196" i="7"/>
  <c r="CG196" i="7"/>
  <c r="CF196" i="7"/>
  <c r="CE196" i="7"/>
  <c r="CD196" i="7"/>
  <c r="CC196" i="7"/>
  <c r="CB196" i="7"/>
  <c r="CA196" i="7"/>
  <c r="BZ196" i="7"/>
  <c r="BY196" i="7"/>
  <c r="BX196" i="7"/>
  <c r="BW196" i="7"/>
  <c r="BV196" i="7"/>
  <c r="BU196" i="7"/>
  <c r="BT196" i="7"/>
  <c r="BS196" i="7"/>
  <c r="BR196" i="7"/>
  <c r="BQ196" i="7"/>
  <c r="BN196" i="7"/>
  <c r="BM196" i="7"/>
  <c r="BL196" i="7"/>
  <c r="BK196" i="7"/>
  <c r="B27" i="43"/>
  <c r="DJ72" i="7"/>
  <c r="DI72" i="7"/>
  <c r="DH72" i="7"/>
  <c r="DG72" i="7"/>
  <c r="DF72" i="7"/>
  <c r="DE72" i="7"/>
  <c r="DD72" i="7"/>
  <c r="DB72" i="7"/>
  <c r="DA72" i="7"/>
  <c r="CZ72" i="7"/>
  <c r="CY72" i="7"/>
  <c r="CX72" i="7"/>
  <c r="CW72" i="7"/>
  <c r="CV72" i="7"/>
  <c r="CU72" i="7"/>
  <c r="CT72" i="7"/>
  <c r="CS72" i="7"/>
  <c r="CR72" i="7"/>
  <c r="CQ72" i="7"/>
  <c r="CP72" i="7"/>
  <c r="CO72" i="7"/>
  <c r="CN72" i="7"/>
  <c r="CM72" i="7"/>
  <c r="CL72" i="7"/>
  <c r="CK72" i="7"/>
  <c r="CJ72" i="7"/>
  <c r="CI72" i="7"/>
  <c r="CH72" i="7"/>
  <c r="CG72" i="7"/>
  <c r="CF72" i="7"/>
  <c r="CE72" i="7"/>
  <c r="CD72" i="7"/>
  <c r="CC72" i="7"/>
  <c r="CB72" i="7"/>
  <c r="CA72" i="7"/>
  <c r="BZ72" i="7"/>
  <c r="BY72" i="7"/>
  <c r="BX72" i="7"/>
  <c r="BW72" i="7"/>
  <c r="BV72" i="7"/>
  <c r="J74" i="19" s="1"/>
  <c r="BU72" i="7"/>
  <c r="J73" i="19" s="1"/>
  <c r="BT72" i="7"/>
  <c r="BS72" i="7"/>
  <c r="BR72" i="7"/>
  <c r="BQ72" i="7"/>
  <c r="BN72" i="7"/>
  <c r="BM72" i="7"/>
  <c r="BL72" i="7"/>
  <c r="J64" i="19" s="1"/>
  <c r="BK72" i="7"/>
  <c r="I37" i="19"/>
  <c r="BC14" i="4"/>
  <c r="U45" i="31" l="1"/>
  <c r="U46" i="31"/>
  <c r="U47" i="31"/>
  <c r="T45" i="31"/>
  <c r="T46" i="31"/>
  <c r="T47" i="31"/>
  <c r="S45" i="31"/>
  <c r="S46" i="31"/>
  <c r="S47" i="31"/>
  <c r="R45" i="31"/>
  <c r="R46" i="31"/>
  <c r="R47" i="31"/>
  <c r="Q45" i="31"/>
  <c r="Q46" i="31"/>
  <c r="Q47" i="31"/>
  <c r="AD47" i="31"/>
  <c r="AD46" i="31"/>
  <c r="AD45" i="31"/>
  <c r="P47" i="31"/>
  <c r="P46" i="31"/>
  <c r="P45" i="31"/>
  <c r="O47" i="31"/>
  <c r="O46" i="31"/>
  <c r="O45" i="31"/>
  <c r="N47" i="31"/>
  <c r="N46" i="31"/>
  <c r="N45" i="31"/>
  <c r="M47" i="31"/>
  <c r="M46" i="31"/>
  <c r="M45" i="31"/>
  <c r="L47" i="31"/>
  <c r="L46" i="31"/>
  <c r="L45" i="31"/>
  <c r="K47" i="31"/>
  <c r="K46" i="31"/>
  <c r="K45" i="31"/>
  <c r="J47" i="31"/>
  <c r="J46" i="31"/>
  <c r="J45" i="31"/>
  <c r="I47" i="31"/>
  <c r="I46" i="31"/>
  <c r="I45" i="31"/>
  <c r="H47" i="31"/>
  <c r="H46" i="31"/>
  <c r="H45" i="31"/>
  <c r="G47" i="31"/>
  <c r="G46" i="31"/>
  <c r="G45" i="31"/>
  <c r="F47" i="31"/>
  <c r="F46" i="31"/>
  <c r="F45" i="31"/>
  <c r="D47" i="31"/>
  <c r="D46" i="31"/>
  <c r="D45" i="31"/>
  <c r="AF47" i="31"/>
  <c r="AF46" i="31"/>
  <c r="AF45" i="31"/>
  <c r="AC47" i="31"/>
  <c r="AC46" i="31"/>
  <c r="AC45" i="31"/>
  <c r="AB47" i="31"/>
  <c r="AB46" i="31"/>
  <c r="AB45" i="31"/>
  <c r="AA47" i="31"/>
  <c r="AA46" i="31"/>
  <c r="AA45" i="31"/>
  <c r="Z47" i="31"/>
  <c r="Z46" i="31"/>
  <c r="Z45" i="31"/>
  <c r="Y47" i="31"/>
  <c r="Y46" i="31"/>
  <c r="Y45" i="31"/>
  <c r="C45" i="31"/>
  <c r="E45" i="31"/>
  <c r="V45" i="31"/>
  <c r="W45" i="31" s="1"/>
  <c r="C46" i="31"/>
  <c r="E46" i="31"/>
  <c r="V46" i="31"/>
  <c r="W46" i="31" s="1"/>
  <c r="C47" i="31"/>
  <c r="E47" i="31"/>
  <c r="V47" i="31"/>
  <c r="W47" i="31" s="1"/>
  <c r="AB40" i="31"/>
  <c r="AA41" i="31"/>
  <c r="T40" i="31"/>
  <c r="AD43" i="31"/>
  <c r="AC44" i="31"/>
  <c r="Z39" i="31"/>
  <c r="M38" i="31"/>
  <c r="M44" i="31"/>
  <c r="K38" i="31"/>
  <c r="J44" i="31"/>
  <c r="G40" i="31"/>
  <c r="O40" i="31"/>
  <c r="Z40" i="31"/>
  <c r="AD42" i="31"/>
  <c r="AD41" i="31"/>
  <c r="U38" i="31"/>
  <c r="K40" i="31"/>
  <c r="H40" i="31"/>
  <c r="O38" i="31"/>
  <c r="T38" i="31"/>
  <c r="S40" i="31"/>
  <c r="N44" i="31"/>
  <c r="G44" i="31"/>
  <c r="I40" i="31"/>
  <c r="F44" i="31"/>
  <c r="Z41" i="31"/>
  <c r="AC39" i="31"/>
  <c r="AA42" i="31"/>
  <c r="Z42" i="31"/>
  <c r="AF43" i="31"/>
  <c r="Y42" i="31"/>
  <c r="L44" i="31"/>
  <c r="T44" i="31"/>
  <c r="N40" i="31"/>
  <c r="Q40" i="31"/>
  <c r="D38" i="31"/>
  <c r="F38" i="31"/>
  <c r="AC40" i="31"/>
  <c r="Y43" i="31"/>
  <c r="R44" i="31"/>
  <c r="Z38" i="31"/>
  <c r="AB39" i="31"/>
  <c r="Y41" i="31"/>
  <c r="R40" i="31"/>
  <c r="P38" i="31"/>
  <c r="AB42" i="31"/>
  <c r="AC38" i="31"/>
  <c r="AB41" i="31"/>
  <c r="K44" i="31"/>
  <c r="AD44" i="31"/>
  <c r="AF44" i="31"/>
  <c r="E44" i="31"/>
  <c r="Q38" i="31"/>
  <c r="AD38" i="31"/>
  <c r="AF38" i="31"/>
  <c r="S44" i="31"/>
  <c r="S38" i="31"/>
  <c r="H38" i="31"/>
  <c r="P40" i="31"/>
  <c r="N38" i="31"/>
  <c r="Y39" i="31"/>
  <c r="AF42" i="31"/>
  <c r="Q44" i="31"/>
  <c r="AA44" i="31"/>
  <c r="Y38" i="31"/>
  <c r="P44" i="31"/>
  <c r="AA43" i="31"/>
  <c r="L38" i="31"/>
  <c r="AA40" i="31"/>
  <c r="D44" i="31"/>
  <c r="AB38" i="31"/>
  <c r="AB43" i="31"/>
  <c r="I38" i="31"/>
  <c r="G38" i="31"/>
  <c r="AD40" i="31"/>
  <c r="Z44" i="31"/>
  <c r="U40" i="31"/>
  <c r="F40" i="31"/>
  <c r="U44" i="31"/>
  <c r="L40" i="31"/>
  <c r="D40" i="31"/>
  <c r="Y44" i="31"/>
  <c r="AC43" i="31"/>
  <c r="Z43" i="31"/>
  <c r="R38" i="31"/>
  <c r="AC42" i="31"/>
  <c r="AB44" i="31"/>
  <c r="AF41" i="31"/>
  <c r="AA38" i="31"/>
  <c r="Y40" i="31"/>
  <c r="AC41" i="31"/>
  <c r="J38" i="31"/>
  <c r="AF40" i="31"/>
  <c r="M40" i="31"/>
  <c r="H44" i="31"/>
  <c r="AA39" i="31"/>
  <c r="I44" i="31"/>
  <c r="AD39" i="31"/>
  <c r="O44" i="31"/>
  <c r="J40" i="31"/>
  <c r="AF39" i="31"/>
  <c r="V44" i="31" l="1"/>
  <c r="W44" i="31" s="1"/>
  <c r="ED33" i="7" l="1"/>
  <c r="ED63" i="7"/>
  <c r="ED62" i="7"/>
  <c r="ED61" i="7"/>
  <c r="ED60" i="7"/>
  <c r="ED59" i="7"/>
  <c r="ED58" i="7"/>
  <c r="ED57" i="7"/>
  <c r="ED56" i="7"/>
  <c r="ED55" i="7"/>
  <c r="ED54" i="7"/>
  <c r="ED53" i="7"/>
  <c r="ED52" i="7"/>
  <c r="ED51" i="7"/>
  <c r="ED50" i="7"/>
  <c r="ED49" i="7"/>
  <c r="ED48" i="7"/>
  <c r="ED46" i="7"/>
  <c r="ED45" i="7"/>
  <c r="ED40" i="7"/>
  <c r="ED35" i="7"/>
  <c r="ED34" i="7"/>
  <c r="ED32" i="7"/>
  <c r="ED31" i="7"/>
  <c r="ED30" i="7"/>
  <c r="ED28" i="7"/>
  <c r="ED27" i="7"/>
  <c r="ED15" i="7"/>
  <c r="ED14" i="7"/>
  <c r="ED13" i="7"/>
  <c r="ED11" i="7"/>
  <c r="C110" i="48" l="1"/>
  <c r="C109" i="48"/>
  <c r="C108" i="48"/>
  <c r="C107" i="48"/>
  <c r="C106" i="48"/>
  <c r="C105" i="48"/>
  <c r="C104" i="48"/>
  <c r="C103" i="48"/>
  <c r="C102" i="48"/>
  <c r="C101" i="48"/>
  <c r="C100" i="48"/>
  <c r="C99" i="48"/>
  <c r="C98" i="48"/>
  <c r="C97" i="48"/>
  <c r="C96" i="48"/>
  <c r="C95" i="48"/>
  <c r="C94" i="48"/>
  <c r="C93" i="48"/>
  <c r="C92" i="48"/>
  <c r="C91" i="48"/>
  <c r="C90" i="48"/>
  <c r="C89" i="48"/>
  <c r="C88" i="48"/>
  <c r="C87" i="48"/>
  <c r="C86" i="48"/>
  <c r="C85" i="48"/>
  <c r="C84" i="48"/>
  <c r="C83" i="48"/>
  <c r="C82" i="48"/>
  <c r="C81" i="48"/>
  <c r="C80" i="48"/>
  <c r="C79" i="48"/>
  <c r="C78" i="48"/>
  <c r="C76" i="48"/>
  <c r="C75" i="48"/>
  <c r="C74" i="48"/>
  <c r="C73" i="48"/>
  <c r="C72" i="48"/>
  <c r="C71" i="48"/>
  <c r="C70" i="48"/>
  <c r="C69" i="48"/>
  <c r="C68" i="48"/>
  <c r="C65" i="48"/>
  <c r="C64" i="48"/>
  <c r="C63" i="48"/>
  <c r="C62" i="48"/>
  <c r="C61" i="48"/>
  <c r="C60" i="48"/>
  <c r="C59" i="48"/>
  <c r="C58" i="48"/>
  <c r="C57" i="48"/>
  <c r="C56" i="48"/>
  <c r="C24" i="48"/>
  <c r="E40" i="31"/>
  <c r="V40" i="31" l="1"/>
  <c r="W40" i="31" s="1"/>
  <c r="AZ53" i="7"/>
  <c r="AK120" i="7" l="1"/>
  <c r="BA53" i="7"/>
  <c r="AK53" i="7"/>
  <c r="BA51" i="7"/>
  <c r="AK51" i="7"/>
  <c r="AN120" i="7" l="1"/>
  <c r="BA120" i="7"/>
  <c r="AC51" i="7" l="1"/>
  <c r="AH13" i="7" l="1"/>
  <c r="AF13" i="7"/>
  <c r="AE13" i="7"/>
  <c r="Y13" i="7"/>
  <c r="Q13" i="7"/>
  <c r="L13" i="7"/>
  <c r="K13" i="7"/>
  <c r="G34" i="12"/>
  <c r="E34" i="12" s="1"/>
  <c r="E18" i="5"/>
  <c r="AS126" i="7"/>
  <c r="O85" i="42" l="1"/>
  <c r="AM23" i="42"/>
  <c r="AL23" i="42"/>
  <c r="Z23" i="42"/>
  <c r="AL80" i="7" l="1"/>
  <c r="AC75" i="7"/>
  <c r="CG31" i="7" l="1"/>
  <c r="DB39" i="7"/>
  <c r="BD57" i="7"/>
  <c r="AH61" i="7"/>
  <c r="AF61" i="7"/>
  <c r="AE61" i="7"/>
  <c r="L61" i="7"/>
  <c r="AL62" i="7" l="1"/>
  <c r="AK62" i="7"/>
  <c r="DB54" i="7"/>
  <c r="AQ54" i="7"/>
  <c r="AP54" i="7"/>
  <c r="DH50" i="7" l="1"/>
  <c r="AN10" i="7"/>
  <c r="AL10" i="7"/>
  <c r="AL40" i="7"/>
  <c r="AO40" i="7"/>
  <c r="F40" i="7" l="1"/>
  <c r="DB24" i="7"/>
  <c r="C316" i="7"/>
  <c r="C315" i="7"/>
  <c r="C314" i="7"/>
  <c r="C313" i="7"/>
  <c r="C312" i="7"/>
  <c r="C311" i="7"/>
  <c r="C310" i="7"/>
  <c r="C309" i="7"/>
  <c r="C308" i="7"/>
  <c r="C307" i="7"/>
  <c r="C306" i="7"/>
  <c r="C305" i="7"/>
  <c r="C304" i="7"/>
  <c r="C303" i="7"/>
  <c r="C302" i="7"/>
  <c r="C301" i="7"/>
  <c r="C300" i="7"/>
  <c r="C299" i="7"/>
  <c r="C298" i="7"/>
  <c r="C297" i="7"/>
  <c r="C296" i="7"/>
  <c r="C295" i="7"/>
  <c r="C294" i="7"/>
  <c r="C293" i="7"/>
  <c r="C292" i="7"/>
  <c r="C290" i="7"/>
  <c r="C289" i="7"/>
  <c r="C288" i="7"/>
  <c r="C287" i="7"/>
  <c r="C286" i="7"/>
  <c r="C285" i="7"/>
  <c r="C284" i="7"/>
  <c r="C283" i="7"/>
  <c r="C281" i="7"/>
  <c r="C280" i="7"/>
  <c r="C279" i="7"/>
  <c r="C278" i="7"/>
  <c r="C277" i="7"/>
  <c r="C276" i="7"/>
  <c r="C275" i="7"/>
  <c r="C274" i="7"/>
  <c r="C273" i="7"/>
  <c r="C269" i="7"/>
  <c r="C268" i="7"/>
  <c r="C267" i="7"/>
  <c r="C266" i="7"/>
  <c r="C265" i="7"/>
  <c r="C264" i="7"/>
  <c r="C263" i="7"/>
  <c r="C262" i="7"/>
  <c r="C261" i="7"/>
  <c r="C260" i="7"/>
  <c r="C259" i="7"/>
  <c r="C254" i="7"/>
  <c r="C253" i="7"/>
  <c r="C252" i="7"/>
  <c r="C251" i="7"/>
  <c r="C250" i="7"/>
  <c r="C249" i="7"/>
  <c r="C248" i="7"/>
  <c r="C247" i="7"/>
  <c r="C246" i="7"/>
  <c r="C245" i="7"/>
  <c r="C244" i="7"/>
  <c r="C243" i="7"/>
  <c r="C242" i="7"/>
  <c r="C241" i="7"/>
  <c r="C240" i="7"/>
  <c r="C239" i="7"/>
  <c r="C238" i="7"/>
  <c r="C237" i="7"/>
  <c r="C236" i="7"/>
  <c r="C235" i="7"/>
  <c r="C234" i="7"/>
  <c r="C233" i="7"/>
  <c r="C232" i="7"/>
  <c r="C231" i="7"/>
  <c r="C230" i="7"/>
  <c r="C228" i="7"/>
  <c r="C227" i="7"/>
  <c r="C226" i="7"/>
  <c r="C225" i="7"/>
  <c r="C224" i="7"/>
  <c r="C223" i="7"/>
  <c r="C222" i="7"/>
  <c r="C221" i="7"/>
  <c r="C219" i="7"/>
  <c r="C218" i="7"/>
  <c r="C217" i="7"/>
  <c r="C216" i="7"/>
  <c r="C215" i="7"/>
  <c r="C214" i="7"/>
  <c r="C213" i="7"/>
  <c r="C212" i="7"/>
  <c r="C211" i="7"/>
  <c r="C207" i="7"/>
  <c r="C206" i="7"/>
  <c r="C205" i="7"/>
  <c r="C204" i="7"/>
  <c r="C203" i="7"/>
  <c r="C202" i="7"/>
  <c r="C201" i="7"/>
  <c r="C200" i="7"/>
  <c r="C199" i="7"/>
  <c r="C198" i="7"/>
  <c r="C197" i="7"/>
  <c r="C135"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6" i="7"/>
  <c r="C165" i="7"/>
  <c r="C164" i="7"/>
  <c r="C163" i="7"/>
  <c r="C162" i="7"/>
  <c r="C161" i="7"/>
  <c r="C160" i="7"/>
  <c r="C159" i="7"/>
  <c r="C157" i="7"/>
  <c r="C156" i="7"/>
  <c r="C155" i="7"/>
  <c r="C154" i="7"/>
  <c r="C153" i="7"/>
  <c r="C152" i="7"/>
  <c r="C151" i="7"/>
  <c r="C150" i="7"/>
  <c r="C149" i="7"/>
  <c r="C145" i="7"/>
  <c r="C144" i="7"/>
  <c r="C143" i="7"/>
  <c r="C142" i="7"/>
  <c r="C141" i="7"/>
  <c r="C140" i="7"/>
  <c r="C139" i="7"/>
  <c r="C138" i="7"/>
  <c r="C137" i="7"/>
  <c r="C136"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4" i="7"/>
  <c r="C103" i="7"/>
  <c r="C102" i="7"/>
  <c r="C101" i="7"/>
  <c r="C100" i="7"/>
  <c r="C99" i="7"/>
  <c r="C98" i="7"/>
  <c r="C97" i="7"/>
  <c r="C95" i="7"/>
  <c r="C94" i="7"/>
  <c r="C93" i="7"/>
  <c r="C92" i="7"/>
  <c r="C91" i="7"/>
  <c r="C90" i="7"/>
  <c r="C89" i="7"/>
  <c r="C88" i="7"/>
  <c r="C87" i="7"/>
  <c r="C83" i="7"/>
  <c r="C82" i="7"/>
  <c r="C81" i="7"/>
  <c r="C80" i="7"/>
  <c r="C79" i="7"/>
  <c r="C78" i="7"/>
  <c r="C77" i="7"/>
  <c r="C76" i="7"/>
  <c r="C75" i="7"/>
  <c r="C74" i="7"/>
  <c r="C73" i="7"/>
  <c r="BD15" i="7"/>
  <c r="DG13" i="7"/>
  <c r="BS7" i="4" l="1"/>
  <c r="BG7" i="4"/>
  <c r="AU7" i="4"/>
  <c r="AT7" i="4"/>
  <c r="AS7" i="4"/>
  <c r="AR7" i="4"/>
  <c r="AP7" i="4"/>
  <c r="AN7" i="4"/>
  <c r="AL7" i="4"/>
  <c r="AJ7" i="4"/>
  <c r="Q7" i="4"/>
  <c r="B7" i="4"/>
  <c r="K7" i="4"/>
  <c r="J7" i="4"/>
  <c r="H7" i="4"/>
  <c r="C27" i="38"/>
  <c r="BU8" i="7" l="1"/>
  <c r="R7" i="1"/>
  <c r="B17" i="4"/>
  <c r="B16" i="4"/>
  <c r="BS17" i="4"/>
  <c r="BG17" i="4"/>
  <c r="AU17" i="4"/>
  <c r="AT17" i="4"/>
  <c r="AS17" i="4"/>
  <c r="AR17" i="4"/>
  <c r="AP17" i="4"/>
  <c r="AN17" i="4"/>
  <c r="AL17" i="4"/>
  <c r="AJ17" i="4"/>
  <c r="Q17" i="4"/>
  <c r="K17" i="4"/>
  <c r="J17" i="4"/>
  <c r="H17" i="4"/>
  <c r="EB16" i="4"/>
  <c r="BS16" i="4"/>
  <c r="BG16" i="4"/>
  <c r="AU16" i="4"/>
  <c r="AT16" i="4"/>
  <c r="AS16" i="4"/>
  <c r="AR16" i="4"/>
  <c r="AP16" i="4"/>
  <c r="AN16" i="4"/>
  <c r="AL16" i="4"/>
  <c r="AJ16" i="4"/>
  <c r="W16" i="4"/>
  <c r="Q16" i="4"/>
  <c r="K16" i="4"/>
  <c r="J16" i="4"/>
  <c r="H16" i="4"/>
  <c r="B18" i="4"/>
  <c r="AM13" i="42" l="1"/>
  <c r="AL13" i="42"/>
  <c r="C12" i="29" l="1"/>
  <c r="Z11" i="31" l="1"/>
  <c r="Q10" i="31"/>
  <c r="Q20" i="31"/>
  <c r="Q18" i="31"/>
  <c r="Q15" i="31"/>
  <c r="Q12" i="31"/>
  <c r="D16" i="31"/>
  <c r="P11" i="31" l="1"/>
  <c r="B52" i="25" l="1"/>
  <c r="B51" i="25"/>
  <c r="B50" i="25"/>
  <c r="B49" i="25"/>
  <c r="B48" i="25"/>
  <c r="B47" i="25"/>
  <c r="B46" i="25"/>
  <c r="B45" i="25"/>
  <c r="B44" i="25"/>
  <c r="B43" i="25"/>
  <c r="B42" i="25"/>
  <c r="B41" i="25"/>
  <c r="B39" i="25"/>
  <c r="B38" i="25"/>
  <c r="B37" i="25"/>
  <c r="B36" i="25"/>
  <c r="B34" i="25"/>
  <c r="B33" i="25"/>
  <c r="B31" i="25"/>
  <c r="B30" i="25"/>
  <c r="B29" i="25"/>
  <c r="B28" i="25"/>
  <c r="B27" i="25"/>
  <c r="B26" i="25"/>
  <c r="B25" i="25"/>
  <c r="B24" i="25"/>
  <c r="B23" i="25"/>
  <c r="B22" i="25"/>
  <c r="B21" i="25"/>
  <c r="B12" i="25"/>
  <c r="B10" i="25"/>
  <c r="B9" i="25"/>
  <c r="B165" i="25"/>
  <c r="B163" i="25"/>
  <c r="B161" i="25"/>
  <c r="B160" i="25"/>
  <c r="B143" i="25"/>
  <c r="B103" i="25"/>
  <c r="B101" i="25"/>
  <c r="B99" i="25"/>
  <c r="B97" i="25"/>
  <c r="B94" i="25"/>
  <c r="B93" i="25"/>
  <c r="B90" i="25"/>
  <c r="B89" i="25"/>
  <c r="B88" i="25"/>
  <c r="B87" i="25"/>
  <c r="B86" i="25"/>
  <c r="B85" i="25"/>
  <c r="B83" i="25"/>
  <c r="B82" i="25"/>
  <c r="B81" i="25"/>
  <c r="B76" i="25"/>
  <c r="B73" i="25"/>
  <c r="B70" i="25"/>
  <c r="B69" i="25"/>
  <c r="B68" i="25"/>
  <c r="B67" i="25"/>
  <c r="B66" i="25"/>
  <c r="B65" i="25"/>
  <c r="B63" i="25"/>
  <c r="B60" i="25"/>
  <c r="AV162" i="7" l="1"/>
  <c r="AK162" i="7"/>
  <c r="AZ448" i="1" l="1"/>
  <c r="BB447" i="1"/>
  <c r="BB446" i="1"/>
  <c r="AZ447" i="1"/>
  <c r="AX448" i="1"/>
  <c r="BB445" i="1"/>
  <c r="AZ446" i="1"/>
  <c r="AX447" i="1"/>
  <c r="BB444" i="1"/>
  <c r="AZ445" i="1"/>
  <c r="AX446" i="1"/>
  <c r="AZ444" i="1"/>
  <c r="AX445" i="1"/>
  <c r="F17" i="12" l="1"/>
  <c r="GV28" i="4" l="1"/>
  <c r="GU28" i="4"/>
  <c r="GV27" i="4"/>
  <c r="GU27" i="4"/>
  <c r="GV26" i="4"/>
  <c r="GU26" i="4"/>
  <c r="GV25" i="4"/>
  <c r="GU25" i="4"/>
  <c r="GV24" i="4"/>
  <c r="GU24" i="4"/>
  <c r="GV23" i="4"/>
  <c r="GU23" i="4"/>
  <c r="GV17" i="4"/>
  <c r="GU17" i="4"/>
  <c r="GV16" i="4"/>
  <c r="GV15" i="4"/>
  <c r="GV21" i="4"/>
  <c r="GU21" i="4"/>
  <c r="GV20" i="4"/>
  <c r="GU20" i="4"/>
  <c r="GV19" i="4"/>
  <c r="GU19" i="4"/>
  <c r="GV18" i="4"/>
  <c r="GU18" i="4"/>
  <c r="X7" i="1" l="1"/>
  <c r="V7" i="1"/>
  <c r="T7" i="1"/>
  <c r="F7" i="1"/>
  <c r="D7" i="1"/>
  <c r="Z13" i="42" s="1"/>
  <c r="AA13" i="42" l="1"/>
  <c r="AB13" i="42"/>
  <c r="CJ151" i="1"/>
  <c r="CJ152" i="1" l="1"/>
  <c r="BS41" i="42"/>
  <c r="CJ185" i="1"/>
  <c r="BS75" i="42" s="1"/>
  <c r="CJ184" i="1"/>
  <c r="CJ177" i="1"/>
  <c r="CJ176" i="1"/>
  <c r="CJ167" i="1"/>
  <c r="CJ166" i="1"/>
  <c r="CJ158" i="1"/>
  <c r="CJ157" i="1"/>
  <c r="AZ57" i="4"/>
  <c r="BA57" i="4"/>
  <c r="BS52" i="42" l="1"/>
  <c r="BS53" i="42"/>
  <c r="F94" i="38"/>
  <c r="G33" i="48" l="1"/>
  <c r="G34" i="48"/>
  <c r="G32" i="48"/>
  <c r="G31" i="48"/>
  <c r="C20" i="48"/>
  <c r="C22" i="48"/>
  <c r="C37" i="48"/>
  <c r="C36" i="48"/>
  <c r="G162" i="38" l="1"/>
  <c r="G14" i="38" l="1"/>
  <c r="G13" i="38"/>
  <c r="G163" i="38"/>
  <c r="G41" i="48" l="1"/>
  <c r="I34" i="19"/>
  <c r="I33" i="19"/>
  <c r="I31" i="19"/>
  <c r="I30" i="19"/>
  <c r="AU57" i="4" l="1"/>
  <c r="AU56" i="4"/>
  <c r="AU55" i="4"/>
  <c r="AU54" i="4"/>
  <c r="AU53" i="4"/>
  <c r="AU52" i="4"/>
  <c r="AU51" i="4"/>
  <c r="AU48" i="4"/>
  <c r="AU47" i="4"/>
  <c r="AU46" i="4"/>
  <c r="AU45" i="4"/>
  <c r="AU44" i="4"/>
  <c r="AU43" i="4"/>
  <c r="AU42" i="4"/>
  <c r="AU41" i="4"/>
  <c r="AU40" i="4"/>
  <c r="AU39" i="4"/>
  <c r="AU38" i="4"/>
  <c r="AU37" i="4"/>
  <c r="AU36" i="4"/>
  <c r="AU35" i="4"/>
  <c r="AU34" i="4"/>
  <c r="AU33" i="4"/>
  <c r="AU32" i="4"/>
  <c r="AU31" i="4"/>
  <c r="AU30" i="4"/>
  <c r="AU29" i="4"/>
  <c r="AU25" i="4"/>
  <c r="AU24" i="4"/>
  <c r="AU23" i="4"/>
  <c r="AU22" i="4"/>
  <c r="AU21" i="4"/>
  <c r="AU20" i="4"/>
  <c r="AU19" i="4"/>
  <c r="AU18" i="4"/>
  <c r="AU15" i="4"/>
  <c r="AU14" i="4"/>
  <c r="AU13" i="4"/>
  <c r="AU12" i="4"/>
  <c r="AU9" i="4"/>
  <c r="AU8" i="4"/>
  <c r="AU6" i="4"/>
  <c r="AU5" i="4"/>
  <c r="AT57" i="4"/>
  <c r="AS57" i="4"/>
  <c r="AT56" i="4"/>
  <c r="AS56" i="4"/>
  <c r="AT55" i="4"/>
  <c r="AS55" i="4"/>
  <c r="AT54" i="4"/>
  <c r="AS54" i="4"/>
  <c r="AT53" i="4"/>
  <c r="AS53" i="4"/>
  <c r="AT52" i="4"/>
  <c r="AS52" i="4"/>
  <c r="AT51" i="4"/>
  <c r="AS51" i="4"/>
  <c r="AT48" i="4"/>
  <c r="AS48" i="4"/>
  <c r="AT47" i="4"/>
  <c r="AS47" i="4"/>
  <c r="AT46" i="4"/>
  <c r="AS46" i="4"/>
  <c r="AT45" i="4"/>
  <c r="AS45" i="4"/>
  <c r="AT44" i="4"/>
  <c r="AS44" i="4"/>
  <c r="AT43" i="4"/>
  <c r="AS43" i="4"/>
  <c r="AT42" i="4"/>
  <c r="AS42" i="4"/>
  <c r="AT41" i="4"/>
  <c r="AS41" i="4"/>
  <c r="AT40" i="4"/>
  <c r="AS40" i="4"/>
  <c r="AT39" i="4"/>
  <c r="AS39" i="4"/>
  <c r="AT38" i="4"/>
  <c r="AS38" i="4"/>
  <c r="AT37" i="4"/>
  <c r="AS37" i="4"/>
  <c r="AT36" i="4"/>
  <c r="AS36" i="4"/>
  <c r="AT35" i="4"/>
  <c r="AS35" i="4"/>
  <c r="AT34" i="4"/>
  <c r="AS34" i="4"/>
  <c r="AT33" i="4"/>
  <c r="AS33" i="4"/>
  <c r="AT32" i="4"/>
  <c r="AS32" i="4"/>
  <c r="AT31" i="4"/>
  <c r="AS31" i="4"/>
  <c r="AT30" i="4"/>
  <c r="AS30" i="4"/>
  <c r="AT29" i="4"/>
  <c r="AS29" i="4"/>
  <c r="AT25" i="4"/>
  <c r="AS25" i="4"/>
  <c r="AT24" i="4"/>
  <c r="AS24" i="4"/>
  <c r="AT23" i="4"/>
  <c r="AS23" i="4"/>
  <c r="AT22" i="4"/>
  <c r="AS22" i="4"/>
  <c r="AT21" i="4"/>
  <c r="AS21" i="4"/>
  <c r="AT20" i="4"/>
  <c r="AS20" i="4"/>
  <c r="AT19" i="4"/>
  <c r="AS19" i="4"/>
  <c r="AT18" i="4"/>
  <c r="AS18" i="4"/>
  <c r="AT15" i="4"/>
  <c r="AS15" i="4"/>
  <c r="AT14" i="4"/>
  <c r="AS14" i="4"/>
  <c r="AT13" i="4"/>
  <c r="AS13" i="4"/>
  <c r="AT12" i="4"/>
  <c r="AS12" i="4"/>
  <c r="AT9" i="4"/>
  <c r="AS9" i="4"/>
  <c r="AS8" i="4"/>
  <c r="AT6" i="4"/>
  <c r="AS6" i="4"/>
  <c r="AT5" i="4"/>
  <c r="AS5" i="4"/>
  <c r="I29" i="19"/>
  <c r="I28" i="19"/>
  <c r="I22" i="19" l="1"/>
  <c r="I32" i="19"/>
  <c r="I19" i="19"/>
  <c r="I18" i="19"/>
  <c r="I17" i="19"/>
  <c r="G119" i="38" l="1"/>
  <c r="G123" i="38"/>
  <c r="G68" i="12" l="1"/>
  <c r="F68" i="12"/>
  <c r="C68" i="12" l="1"/>
  <c r="F44" i="42" l="1"/>
  <c r="N46" i="11"/>
  <c r="N68" i="11"/>
  <c r="H122" i="38" l="1"/>
  <c r="H118" i="38"/>
  <c r="G122" i="38"/>
  <c r="G118" i="38"/>
  <c r="I49" i="19" l="1"/>
  <c r="I45" i="19"/>
  <c r="C25" i="38" l="1"/>
  <c r="D34" i="42" l="1"/>
  <c r="G32" i="12"/>
  <c r="F32" i="12"/>
  <c r="F31" i="12"/>
  <c r="C32" i="12" l="1"/>
  <c r="D36" i="42" s="1"/>
  <c r="CJ9" i="1" l="1"/>
  <c r="CJ14" i="1"/>
  <c r="CJ149" i="1"/>
  <c r="CJ150" i="1" l="1"/>
  <c r="BS44" i="42"/>
  <c r="BS45" i="42"/>
  <c r="AR57" i="4" l="1"/>
  <c r="AR56" i="4"/>
  <c r="AR55" i="4"/>
  <c r="AR54" i="4"/>
  <c r="AR53" i="4"/>
  <c r="AR52" i="4"/>
  <c r="AR51" i="4"/>
  <c r="AR48" i="4"/>
  <c r="AR47" i="4"/>
  <c r="AR46" i="4"/>
  <c r="AR45" i="4"/>
  <c r="AR44" i="4"/>
  <c r="AR43" i="4"/>
  <c r="AR42" i="4"/>
  <c r="AR41" i="4"/>
  <c r="AR40" i="4"/>
  <c r="AR39" i="4"/>
  <c r="AR38" i="4"/>
  <c r="AR37" i="4"/>
  <c r="AR36" i="4"/>
  <c r="AR35" i="4"/>
  <c r="AR34" i="4"/>
  <c r="AR33" i="4"/>
  <c r="AR32" i="4"/>
  <c r="AR31" i="4"/>
  <c r="AR30" i="4"/>
  <c r="AR29" i="4"/>
  <c r="AR25" i="4"/>
  <c r="AR24" i="4"/>
  <c r="AR23" i="4"/>
  <c r="AR22" i="4"/>
  <c r="AR21" i="4"/>
  <c r="AR20" i="4"/>
  <c r="AR19" i="4"/>
  <c r="AR18" i="4"/>
  <c r="AR15" i="4"/>
  <c r="AR14" i="4"/>
  <c r="AR13" i="4"/>
  <c r="AR12" i="4"/>
  <c r="AR9" i="4"/>
  <c r="AR8" i="4"/>
  <c r="AR6" i="4"/>
  <c r="AP57" i="4"/>
  <c r="AP56" i="4"/>
  <c r="AP55" i="4"/>
  <c r="AP54" i="4"/>
  <c r="AP53" i="4"/>
  <c r="AP52" i="4"/>
  <c r="AP51" i="4"/>
  <c r="AP48" i="4"/>
  <c r="AP47" i="4"/>
  <c r="AP46" i="4"/>
  <c r="AP45" i="4"/>
  <c r="AP44" i="4"/>
  <c r="AP43" i="4"/>
  <c r="AP42" i="4"/>
  <c r="AP41" i="4"/>
  <c r="AP40" i="4"/>
  <c r="AP39" i="4"/>
  <c r="AP38" i="4"/>
  <c r="AP37" i="4"/>
  <c r="AP36" i="4"/>
  <c r="AP35" i="4"/>
  <c r="AP34" i="4"/>
  <c r="AP33" i="4"/>
  <c r="AP32" i="4"/>
  <c r="AP31" i="4"/>
  <c r="AP30" i="4"/>
  <c r="AP29" i="4"/>
  <c r="AP25" i="4"/>
  <c r="AP24" i="4"/>
  <c r="AP23" i="4"/>
  <c r="AP22" i="4"/>
  <c r="AP21" i="4"/>
  <c r="AP20" i="4"/>
  <c r="AP19" i="4"/>
  <c r="AP18" i="4"/>
  <c r="AP15" i="4"/>
  <c r="AP14" i="4"/>
  <c r="AP13" i="4"/>
  <c r="AP12" i="4"/>
  <c r="AP9" i="4"/>
  <c r="AP8" i="4"/>
  <c r="AP6" i="4"/>
  <c r="AR5" i="4"/>
  <c r="AP5" i="4"/>
  <c r="AQ4" i="4"/>
  <c r="AO4" i="4"/>
  <c r="I26" i="19"/>
  <c r="I27" i="19"/>
  <c r="AI27" i="19"/>
  <c r="AG27" i="19"/>
  <c r="AI26" i="19"/>
  <c r="AG26" i="19"/>
  <c r="W27" i="19"/>
  <c r="AH27" i="19" s="1"/>
  <c r="W26" i="19"/>
  <c r="AH26" i="19" s="1"/>
  <c r="G35" i="12"/>
  <c r="E35" i="12" s="1"/>
  <c r="F35" i="12"/>
  <c r="AO57" i="4"/>
  <c r="AQ57" i="4"/>
  <c r="C35" i="12" l="1"/>
  <c r="G31" i="12"/>
  <c r="C31" i="12" s="1"/>
  <c r="DC25" i="7" l="1"/>
  <c r="D41" i="31"/>
  <c r="S39" i="31"/>
  <c r="G39" i="31"/>
  <c r="T41" i="31"/>
  <c r="N43" i="31"/>
  <c r="F41" i="31"/>
  <c r="T43" i="31"/>
  <c r="E38" i="31"/>
  <c r="H41" i="31"/>
  <c r="D43" i="31"/>
  <c r="Q41" i="31"/>
  <c r="M41" i="31"/>
  <c r="M42" i="31"/>
  <c r="F43" i="31"/>
  <c r="S43" i="31"/>
  <c r="L43" i="31"/>
  <c r="U39" i="31"/>
  <c r="N39" i="31"/>
  <c r="K39" i="31"/>
  <c r="F42" i="31"/>
  <c r="O41" i="31"/>
  <c r="R41" i="31"/>
  <c r="M39" i="31"/>
  <c r="N41" i="31"/>
  <c r="J43" i="31"/>
  <c r="E42" i="31"/>
  <c r="P41" i="31"/>
  <c r="T42" i="31"/>
  <c r="E41" i="31"/>
  <c r="L42" i="31"/>
  <c r="J41" i="31"/>
  <c r="R39" i="31"/>
  <c r="I41" i="31"/>
  <c r="Q42" i="31"/>
  <c r="U43" i="31"/>
  <c r="T39" i="31"/>
  <c r="D42" i="31"/>
  <c r="P42" i="31"/>
  <c r="O39" i="31"/>
  <c r="H43" i="31"/>
  <c r="G42" i="31"/>
  <c r="I39" i="31"/>
  <c r="U42" i="31"/>
  <c r="G41" i="31"/>
  <c r="H39" i="31"/>
  <c r="L41" i="31"/>
  <c r="J42" i="31"/>
  <c r="O42" i="31"/>
  <c r="K43" i="31"/>
  <c r="U41" i="31"/>
  <c r="R42" i="31"/>
  <c r="S42" i="31"/>
  <c r="I43" i="31"/>
  <c r="K41" i="31"/>
  <c r="E43" i="31"/>
  <c r="H42" i="31"/>
  <c r="F39" i="31"/>
  <c r="Q39" i="31"/>
  <c r="L39" i="31"/>
  <c r="E39" i="31"/>
  <c r="P39" i="31"/>
  <c r="N42" i="31"/>
  <c r="Q43" i="31"/>
  <c r="D39" i="31"/>
  <c r="P43" i="31"/>
  <c r="M43" i="31"/>
  <c r="G43" i="31"/>
  <c r="J39" i="31"/>
  <c r="O43" i="31"/>
  <c r="R43" i="31"/>
  <c r="I42" i="31"/>
  <c r="K42" i="31"/>
  <c r="S41" i="31"/>
  <c r="V43" i="31" l="1"/>
  <c r="W43" i="31" s="1"/>
  <c r="V39" i="31"/>
  <c r="W39" i="31" s="1"/>
  <c r="V41" i="31"/>
  <c r="W41" i="31" s="1"/>
  <c r="V42" i="31"/>
  <c r="W42" i="31" s="1"/>
  <c r="V38" i="31"/>
  <c r="W38" i="31" s="1"/>
  <c r="S78" i="11"/>
  <c r="S60" i="11"/>
  <c r="H53" i="11" l="1"/>
  <c r="G53" i="11"/>
  <c r="N73" i="11"/>
  <c r="N72" i="11"/>
  <c r="N74" i="11"/>
  <c r="N75" i="11" s="1"/>
  <c r="N65" i="11"/>
  <c r="F10" i="12" l="1"/>
  <c r="G10" i="12"/>
  <c r="E10" i="12" s="1"/>
  <c r="C10" i="12" l="1"/>
  <c r="F19" i="12"/>
  <c r="F9" i="12"/>
  <c r="S89" i="19" l="1"/>
  <c r="T89" i="19"/>
  <c r="S90" i="19"/>
  <c r="T90" i="19"/>
  <c r="S91" i="19"/>
  <c r="T91" i="19"/>
  <c r="S92" i="19"/>
  <c r="T92" i="19"/>
  <c r="O93" i="19"/>
  <c r="S93" i="19"/>
  <c r="T93" i="19"/>
  <c r="U93" i="19"/>
  <c r="O94" i="19"/>
  <c r="S94" i="19"/>
  <c r="T94" i="19"/>
  <c r="U94" i="19"/>
  <c r="S95" i="19"/>
  <c r="T95" i="19"/>
  <c r="O96" i="19"/>
  <c r="S96" i="19"/>
  <c r="T96" i="19"/>
  <c r="U96" i="19"/>
  <c r="O97" i="19"/>
  <c r="S97" i="19"/>
  <c r="T97" i="19"/>
  <c r="U97" i="19"/>
  <c r="O98" i="19"/>
  <c r="S98" i="19"/>
  <c r="T98" i="19"/>
  <c r="U98" i="19"/>
  <c r="O99" i="19"/>
  <c r="S99" i="19"/>
  <c r="T99" i="19"/>
  <c r="U99" i="19"/>
  <c r="O100" i="19"/>
  <c r="S100" i="19"/>
  <c r="T100" i="19"/>
  <c r="U100" i="19"/>
  <c r="O101" i="19"/>
  <c r="S101" i="19"/>
  <c r="T101" i="19"/>
  <c r="U101" i="19"/>
  <c r="O102" i="19"/>
  <c r="S102" i="19"/>
  <c r="T102" i="19"/>
  <c r="U102" i="19"/>
  <c r="O103" i="19"/>
  <c r="S103" i="19"/>
  <c r="T103" i="19"/>
  <c r="U103" i="19"/>
  <c r="O104" i="19"/>
  <c r="S104" i="19"/>
  <c r="T104" i="19"/>
  <c r="U104" i="19"/>
  <c r="O105" i="19"/>
  <c r="S105" i="19"/>
  <c r="T105" i="19"/>
  <c r="U105" i="19"/>
  <c r="K106" i="19"/>
  <c r="L106" i="19"/>
  <c r="M106" i="19"/>
  <c r="N106" i="19"/>
  <c r="O106" i="19"/>
  <c r="P106" i="19"/>
  <c r="Q106" i="19"/>
  <c r="R106" i="19"/>
  <c r="S106" i="19"/>
  <c r="U106" i="19"/>
  <c r="T108" i="19"/>
  <c r="T109" i="19"/>
  <c r="T110" i="19"/>
  <c r="Q111" i="19"/>
  <c r="R111" i="19"/>
  <c r="T111" i="19"/>
  <c r="Q112" i="19"/>
  <c r="R112" i="19"/>
  <c r="T112" i="19"/>
  <c r="T113" i="19"/>
  <c r="T114" i="19"/>
  <c r="U114" i="19"/>
  <c r="S88" i="19"/>
  <c r="T88" i="19"/>
  <c r="K84" i="19"/>
  <c r="L84" i="19"/>
  <c r="M84" i="19"/>
  <c r="N84" i="19"/>
  <c r="O84" i="19"/>
  <c r="P84" i="19"/>
  <c r="Q84" i="19"/>
  <c r="S84" i="19"/>
  <c r="T84" i="19"/>
  <c r="U84" i="19"/>
  <c r="F4" i="20" l="1"/>
  <c r="C5" i="32" l="1"/>
  <c r="B53" i="23" l="1"/>
  <c r="B40" i="23"/>
  <c r="B25" i="23" l="1"/>
  <c r="B24" i="23"/>
  <c r="O70" i="11" l="1"/>
  <c r="N70" i="11"/>
  <c r="D28" i="23" l="1"/>
  <c r="B5" i="23"/>
  <c r="AR13" i="19" l="1"/>
  <c r="D39" i="19" s="1"/>
  <c r="Q63" i="11" l="1"/>
  <c r="S72" i="11" l="1"/>
  <c r="AI81" i="11"/>
  <c r="T72" i="11"/>
  <c r="AK71" i="11" s="1"/>
  <c r="U72" i="11"/>
  <c r="V72" i="11"/>
  <c r="AR3" i="19"/>
  <c r="AM71" i="11" l="1"/>
  <c r="AL71" i="11"/>
  <c r="C33" i="25"/>
  <c r="AR2" i="19" l="1"/>
  <c r="CC23" i="1" l="1"/>
  <c r="CA23" i="1"/>
  <c r="BY23" i="1"/>
  <c r="BW23" i="1"/>
  <c r="BU23" i="1"/>
  <c r="N57" i="4" l="1"/>
  <c r="ED39" i="7" l="1"/>
  <c r="ED37" i="7"/>
  <c r="ED24" i="7"/>
  <c r="ED23" i="7"/>
  <c r="ED22" i="7"/>
  <c r="ED21" i="7"/>
  <c r="ED20" i="7"/>
  <c r="ED36" i="7" l="1"/>
  <c r="C55" i="48" l="1"/>
  <c r="BA177" i="7" l="1"/>
  <c r="AM168" i="7"/>
  <c r="AK166" i="7"/>
  <c r="AM164" i="7"/>
  <c r="AK160" i="7"/>
  <c r="AK153" i="7"/>
  <c r="AK152" i="7"/>
  <c r="AM151" i="7"/>
  <c r="AK150" i="7"/>
  <c r="AK149" i="7"/>
  <c r="AY182" i="7"/>
  <c r="AK215" i="7"/>
  <c r="AN205" i="7"/>
  <c r="AK276" i="7"/>
  <c r="AK274" i="7"/>
  <c r="AK135" i="7"/>
  <c r="K25" i="43" l="1"/>
  <c r="BN57" i="4"/>
  <c r="CJ15" i="1"/>
  <c r="BT57" i="4" l="1"/>
  <c r="C31" i="25"/>
  <c r="C30" i="25"/>
  <c r="C29" i="25"/>
  <c r="C27" i="25"/>
  <c r="C28" i="25"/>
  <c r="C26" i="25"/>
  <c r="C23" i="25"/>
  <c r="G23" i="12" l="1"/>
  <c r="E23" i="12" s="1"/>
  <c r="G24" i="12"/>
  <c r="E24" i="12" s="1"/>
  <c r="F24" i="12"/>
  <c r="F23" i="12"/>
  <c r="C23" i="12" l="1"/>
  <c r="C24" i="12"/>
  <c r="G22" i="12" l="1"/>
  <c r="E22" i="12" s="1"/>
  <c r="F22" i="12"/>
  <c r="G21" i="12"/>
  <c r="E21" i="12" s="1"/>
  <c r="F21" i="12"/>
  <c r="G20" i="12"/>
  <c r="E20" i="12" s="1"/>
  <c r="F20" i="12"/>
  <c r="C21" i="25"/>
  <c r="C20" i="12" l="1"/>
  <c r="C22" i="12"/>
  <c r="C21" i="12"/>
  <c r="X38" i="4"/>
  <c r="U35" i="4"/>
  <c r="T35" i="4"/>
  <c r="X28" i="4"/>
  <c r="X27" i="4"/>
  <c r="X26" i="4"/>
  <c r="K63" i="12" l="1"/>
  <c r="W58" i="11" l="1"/>
  <c r="A3" i="40" l="1"/>
  <c r="DX50" i="7" l="1"/>
  <c r="DY11" i="7"/>
  <c r="BI58" i="10" l="1"/>
  <c r="AS58" i="10"/>
  <c r="AB58" i="10"/>
  <c r="S58" i="10"/>
  <c r="T58" i="10" s="1"/>
  <c r="AB57" i="10"/>
  <c r="S57" i="10"/>
  <c r="T57" i="10" s="1"/>
  <c r="AB56" i="10"/>
  <c r="S56" i="10"/>
  <c r="T56" i="10" s="1"/>
  <c r="AB55" i="10"/>
  <c r="S55" i="10"/>
  <c r="T55" i="10" s="1"/>
  <c r="AB54" i="10"/>
  <c r="S54" i="10"/>
  <c r="T54" i="10" s="1"/>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BV22" i="10"/>
  <c r="BV21" i="10"/>
  <c r="BU21" i="10"/>
  <c r="BV20" i="10"/>
  <c r="BU20" i="10"/>
  <c r="BV19" i="10"/>
  <c r="BU19" i="10"/>
  <c r="BV18" i="10"/>
  <c r="BU18" i="10"/>
  <c r="BV17" i="10"/>
  <c r="BU17" i="10"/>
  <c r="BV16" i="10"/>
  <c r="BU16" i="10"/>
  <c r="BV15" i="10"/>
  <c r="BU15" i="10"/>
  <c r="BV14" i="10"/>
  <c r="BU14" i="10"/>
  <c r="BV13" i="10"/>
  <c r="BU13" i="10"/>
  <c r="BV12" i="10"/>
  <c r="BU12" i="10"/>
  <c r="BV11" i="10"/>
  <c r="BU11" i="10"/>
  <c r="BV10" i="10"/>
  <c r="BU10" i="10"/>
  <c r="BV9" i="10"/>
  <c r="BU9" i="10"/>
  <c r="BT9" i="10"/>
  <c r="BS9" i="10"/>
  <c r="BR9" i="10"/>
  <c r="BQ9" i="10"/>
  <c r="BP9" i="10"/>
  <c r="BO9" i="10"/>
  <c r="BN9" i="10"/>
  <c r="BM9" i="10"/>
  <c r="BL9" i="10"/>
  <c r="BV8" i="10"/>
  <c r="BT8" i="10"/>
  <c r="BS8" i="10"/>
  <c r="BR8" i="10"/>
  <c r="BQ8" i="10"/>
  <c r="BP8" i="10"/>
  <c r="BO8" i="10"/>
  <c r="BN8" i="10"/>
  <c r="BM8" i="10"/>
  <c r="BL8" i="10"/>
  <c r="BR5" i="10"/>
  <c r="BO5" i="10"/>
  <c r="BL5" i="10"/>
  <c r="BK5" i="10"/>
  <c r="BJ5" i="10"/>
  <c r="BI5" i="10"/>
  <c r="BH5" i="10"/>
  <c r="BE5" i="10"/>
  <c r="BD5" i="10"/>
  <c r="BC5" i="10"/>
  <c r="BB5" i="10"/>
  <c r="BA5" i="10"/>
  <c r="AZ5" i="10"/>
  <c r="AY5" i="10"/>
  <c r="AX5" i="10"/>
  <c r="D62" i="33" l="1"/>
  <c r="BE117" i="7" l="1"/>
  <c r="AD117" i="7"/>
  <c r="AA117" i="7"/>
  <c r="P117" i="7"/>
  <c r="O117" i="7"/>
  <c r="N117" i="7"/>
  <c r="J117" i="7"/>
  <c r="I117" i="7"/>
  <c r="G117" i="7"/>
  <c r="F117" i="7"/>
  <c r="BE78" i="7"/>
  <c r="BS27" i="4"/>
  <c r="O27" i="4"/>
  <c r="B27" i="4"/>
  <c r="J84" i="19"/>
  <c r="AK80" i="7" l="1"/>
  <c r="G114" i="38" l="1"/>
  <c r="W42" i="19"/>
  <c r="W40" i="19"/>
  <c r="W25" i="19"/>
  <c r="W24" i="19"/>
  <c r="W23" i="19"/>
  <c r="AJ6" i="4"/>
  <c r="W13" i="19"/>
  <c r="AH13" i="19" s="1"/>
  <c r="W6" i="4"/>
  <c r="W9" i="19"/>
  <c r="AH9" i="19" s="1"/>
  <c r="Q6" i="4"/>
  <c r="W4" i="19"/>
  <c r="J5" i="4"/>
  <c r="W3" i="19"/>
  <c r="H5" i="4"/>
  <c r="I3" i="19"/>
  <c r="I40" i="19"/>
  <c r="I35" i="19"/>
  <c r="AI31" i="19"/>
  <c r="AG24" i="19"/>
  <c r="I24" i="19"/>
  <c r="AG21" i="19"/>
  <c r="I21" i="19"/>
  <c r="AI13" i="19"/>
  <c r="AG13" i="19"/>
  <c r="I13" i="19"/>
  <c r="I9" i="19"/>
  <c r="AG9" i="19"/>
  <c r="AI9" i="19" s="1"/>
  <c r="AH24" i="19" l="1"/>
  <c r="AI24" i="19" s="1"/>
  <c r="BS57" i="4" l="1"/>
  <c r="BS56" i="4"/>
  <c r="BS55" i="4"/>
  <c r="BS54" i="4"/>
  <c r="BS53" i="4"/>
  <c r="BS52" i="4"/>
  <c r="BS51" i="4"/>
  <c r="BS48" i="4"/>
  <c r="BS47" i="4"/>
  <c r="BS46" i="4"/>
  <c r="BS45" i="4"/>
  <c r="BS44" i="4"/>
  <c r="BS43" i="4"/>
  <c r="BS42" i="4"/>
  <c r="BS41" i="4"/>
  <c r="BS40" i="4"/>
  <c r="BS39" i="4"/>
  <c r="BS38" i="4"/>
  <c r="BS37" i="4"/>
  <c r="BS36" i="4"/>
  <c r="BS35" i="4"/>
  <c r="BS34" i="4"/>
  <c r="BS33" i="4"/>
  <c r="BS32" i="4"/>
  <c r="BS31" i="4"/>
  <c r="BS30" i="4"/>
  <c r="BS29" i="4"/>
  <c r="BS28" i="4"/>
  <c r="BS25" i="4"/>
  <c r="BS24" i="4"/>
  <c r="BS23" i="4"/>
  <c r="BS22" i="4"/>
  <c r="BS21" i="4"/>
  <c r="BS20" i="4"/>
  <c r="BS19" i="4"/>
  <c r="BS18" i="4"/>
  <c r="BS15" i="4"/>
  <c r="BS14" i="4"/>
  <c r="BS13" i="4"/>
  <c r="BS12" i="4"/>
  <c r="BS9" i="4"/>
  <c r="BS8" i="4"/>
  <c r="BS6" i="4"/>
  <c r="BS5" i="4"/>
  <c r="BK57" i="4"/>
  <c r="BK56" i="4"/>
  <c r="BK55" i="4"/>
  <c r="BK54" i="4"/>
  <c r="BK53" i="4"/>
  <c r="BK52" i="4"/>
  <c r="BK51" i="4"/>
  <c r="BI57" i="4"/>
  <c r="BI56" i="4"/>
  <c r="BI55" i="4"/>
  <c r="BI54" i="4"/>
  <c r="BI53" i="4"/>
  <c r="BI52" i="4"/>
  <c r="BI51" i="4"/>
  <c r="BG57" i="4"/>
  <c r="BG56" i="4"/>
  <c r="BG55" i="4"/>
  <c r="BG54" i="4"/>
  <c r="BG53" i="4"/>
  <c r="BG52" i="4"/>
  <c r="BG51" i="4"/>
  <c r="BG48" i="4"/>
  <c r="BG47" i="4"/>
  <c r="BG46" i="4"/>
  <c r="BG45" i="4"/>
  <c r="BG44" i="4"/>
  <c r="BG43" i="4"/>
  <c r="BG42" i="4"/>
  <c r="BG41" i="4"/>
  <c r="BG40" i="4"/>
  <c r="BG39" i="4"/>
  <c r="BG38" i="4"/>
  <c r="BG37" i="4"/>
  <c r="BG36" i="4"/>
  <c r="BG35" i="4"/>
  <c r="BG34" i="4"/>
  <c r="BG33" i="4"/>
  <c r="BG32" i="4"/>
  <c r="BG31" i="4"/>
  <c r="BG30" i="4"/>
  <c r="BG29" i="4"/>
  <c r="BG28" i="4"/>
  <c r="BG26" i="4"/>
  <c r="BG25" i="4"/>
  <c r="BG24" i="4"/>
  <c r="BG23" i="4"/>
  <c r="BG22" i="4"/>
  <c r="BG21" i="4"/>
  <c r="BG20" i="4"/>
  <c r="BG19" i="4"/>
  <c r="BG18" i="4"/>
  <c r="BG15" i="4"/>
  <c r="BG14" i="4"/>
  <c r="BG13" i="4"/>
  <c r="BG12" i="4"/>
  <c r="BG9" i="4"/>
  <c r="BG6" i="4"/>
  <c r="AN57" i="4"/>
  <c r="AN56" i="4"/>
  <c r="AN55" i="4"/>
  <c r="AN54" i="4"/>
  <c r="AN53" i="4"/>
  <c r="AN52" i="4"/>
  <c r="AN51" i="4"/>
  <c r="AL57" i="4"/>
  <c r="AL56" i="4"/>
  <c r="AL55" i="4"/>
  <c r="AL54" i="4"/>
  <c r="AL53" i="4"/>
  <c r="AL52" i="4"/>
  <c r="AN48" i="4"/>
  <c r="AN47" i="4"/>
  <c r="AN46" i="4"/>
  <c r="AN45" i="4"/>
  <c r="AN44" i="4"/>
  <c r="AN43" i="4"/>
  <c r="AN42" i="4"/>
  <c r="AN41" i="4"/>
  <c r="AN40" i="4"/>
  <c r="AN39" i="4"/>
  <c r="AN38" i="4"/>
  <c r="AN37" i="4"/>
  <c r="AN36" i="4"/>
  <c r="AN35" i="4"/>
  <c r="AN34" i="4"/>
  <c r="AN33" i="4"/>
  <c r="AN32" i="4"/>
  <c r="AN31" i="4"/>
  <c r="AN30" i="4"/>
  <c r="AN29" i="4"/>
  <c r="AL48" i="4"/>
  <c r="AL47" i="4"/>
  <c r="AL46" i="4"/>
  <c r="AL45" i="4"/>
  <c r="AL44" i="4"/>
  <c r="AL43" i="4"/>
  <c r="AL42" i="4"/>
  <c r="AL41" i="4"/>
  <c r="AL40" i="4"/>
  <c r="AL39" i="4"/>
  <c r="AL38" i="4"/>
  <c r="AL37" i="4"/>
  <c r="AL36" i="4"/>
  <c r="AL35" i="4"/>
  <c r="AL34" i="4"/>
  <c r="AL33" i="4"/>
  <c r="AL32" i="4"/>
  <c r="AL31" i="4"/>
  <c r="AL30" i="4"/>
  <c r="AL29" i="4"/>
  <c r="AN25" i="4"/>
  <c r="AN24" i="4"/>
  <c r="AN23" i="4"/>
  <c r="AN22" i="4"/>
  <c r="AN21" i="4"/>
  <c r="AN20" i="4"/>
  <c r="AN19" i="4"/>
  <c r="AN18" i="4"/>
  <c r="AN15" i="4"/>
  <c r="AN14" i="4"/>
  <c r="AN13" i="4"/>
  <c r="AN12" i="4"/>
  <c r="AN9" i="4"/>
  <c r="AN8" i="4"/>
  <c r="AN6" i="4"/>
  <c r="AN5" i="4"/>
  <c r="AL25" i="4"/>
  <c r="AL24" i="4"/>
  <c r="AL23" i="4"/>
  <c r="AL22" i="4"/>
  <c r="AL21" i="4"/>
  <c r="AL20" i="4"/>
  <c r="AL19" i="4"/>
  <c r="AL18" i="4"/>
  <c r="AL15" i="4"/>
  <c r="AL14" i="4"/>
  <c r="AL13" i="4"/>
  <c r="AL12" i="4"/>
  <c r="AL9" i="4"/>
  <c r="AL8" i="4"/>
  <c r="AL6" i="4"/>
  <c r="AL5" i="4"/>
  <c r="AJ57" i="4"/>
  <c r="AJ56" i="4"/>
  <c r="AJ55" i="4"/>
  <c r="AJ54" i="4"/>
  <c r="AJ53" i="4"/>
  <c r="AJ52" i="4"/>
  <c r="AJ51" i="4"/>
  <c r="AJ48" i="4"/>
  <c r="AJ47" i="4"/>
  <c r="AJ46" i="4"/>
  <c r="AJ45" i="4"/>
  <c r="AJ44" i="4"/>
  <c r="AJ43" i="4"/>
  <c r="AJ42" i="4"/>
  <c r="AJ41" i="4"/>
  <c r="AJ40" i="4"/>
  <c r="AJ39" i="4"/>
  <c r="AJ38" i="4"/>
  <c r="AJ37" i="4"/>
  <c r="AJ36" i="4"/>
  <c r="AJ35" i="4"/>
  <c r="AJ34" i="4"/>
  <c r="AJ33" i="4"/>
  <c r="AJ32" i="4"/>
  <c r="AJ31" i="4"/>
  <c r="AJ30" i="4"/>
  <c r="AJ29" i="4"/>
  <c r="AJ25" i="4"/>
  <c r="AJ24" i="4"/>
  <c r="AJ23" i="4"/>
  <c r="AJ22" i="4"/>
  <c r="AJ21" i="4"/>
  <c r="AJ20" i="4"/>
  <c r="AJ19" i="4"/>
  <c r="AJ18" i="4"/>
  <c r="AJ15" i="4"/>
  <c r="AJ14" i="4"/>
  <c r="AJ13" i="4"/>
  <c r="AJ12" i="4"/>
  <c r="AJ9" i="4"/>
  <c r="AJ8" i="4"/>
  <c r="AJ5" i="4"/>
  <c r="BV57" i="4"/>
  <c r="W56" i="4"/>
  <c r="W55" i="4"/>
  <c r="W54" i="4"/>
  <c r="W53" i="4"/>
  <c r="W52" i="4"/>
  <c r="W51" i="4"/>
  <c r="W38" i="4"/>
  <c r="W35" i="4"/>
  <c r="W34" i="4"/>
  <c r="W32" i="4"/>
  <c r="W31" i="4"/>
  <c r="W29" i="4"/>
  <c r="W28" i="4"/>
  <c r="W24" i="4"/>
  <c r="W22" i="4"/>
  <c r="W20" i="4"/>
  <c r="W18" i="4"/>
  <c r="W14" i="4"/>
  <c r="W12" i="4"/>
  <c r="W8" i="4"/>
  <c r="W5" i="4"/>
  <c r="Q56" i="4"/>
  <c r="Q55" i="4"/>
  <c r="Q54" i="4"/>
  <c r="Q53" i="4"/>
  <c r="Q52" i="4"/>
  <c r="Q51" i="4"/>
  <c r="Q48" i="4"/>
  <c r="Q47" i="4"/>
  <c r="Q46" i="4"/>
  <c r="Q45" i="4"/>
  <c r="Q44" i="4"/>
  <c r="Q43" i="4"/>
  <c r="Q42" i="4"/>
  <c r="Q41" i="4"/>
  <c r="Q40" i="4"/>
  <c r="Q39" i="4"/>
  <c r="Q38" i="4"/>
  <c r="Q37" i="4"/>
  <c r="Q36" i="4"/>
  <c r="Q35" i="4"/>
  <c r="Q34" i="4"/>
  <c r="Q33" i="4"/>
  <c r="Q32" i="4"/>
  <c r="Q31" i="4"/>
  <c r="Q30" i="4"/>
  <c r="Q29" i="4"/>
  <c r="Q28" i="4"/>
  <c r="Q26" i="4"/>
  <c r="Q25" i="4"/>
  <c r="Q24" i="4"/>
  <c r="Q23" i="4"/>
  <c r="Q22" i="4"/>
  <c r="Q21" i="4"/>
  <c r="Q20" i="4"/>
  <c r="Q19" i="4"/>
  <c r="Q18" i="4"/>
  <c r="Q15" i="4"/>
  <c r="Q14" i="4"/>
  <c r="Q13" i="4"/>
  <c r="Q12" i="4"/>
  <c r="Q9" i="4"/>
  <c r="Q8" i="4"/>
  <c r="Q5" i="4"/>
  <c r="J57" i="4"/>
  <c r="J35" i="4"/>
  <c r="J34" i="4"/>
  <c r="J30" i="4"/>
  <c r="J29" i="4"/>
  <c r="J25" i="4"/>
  <c r="J24" i="4"/>
  <c r="J23" i="4"/>
  <c r="J22" i="4"/>
  <c r="J21" i="4"/>
  <c r="J20" i="4"/>
  <c r="J19" i="4"/>
  <c r="J18" i="4"/>
  <c r="J15" i="4"/>
  <c r="J14" i="4"/>
  <c r="J13" i="4"/>
  <c r="J12" i="4"/>
  <c r="J9" i="4"/>
  <c r="J8" i="4"/>
  <c r="J6" i="4"/>
  <c r="H56" i="4"/>
  <c r="H55" i="4"/>
  <c r="H54" i="4"/>
  <c r="H53" i="4"/>
  <c r="H52" i="4"/>
  <c r="H51" i="4"/>
  <c r="H48" i="4"/>
  <c r="H47" i="4"/>
  <c r="H46" i="4"/>
  <c r="H45" i="4"/>
  <c r="H44" i="4"/>
  <c r="H43" i="4"/>
  <c r="H42" i="4"/>
  <c r="H41" i="4"/>
  <c r="H40" i="4"/>
  <c r="H39" i="4"/>
  <c r="H38" i="4"/>
  <c r="H37" i="4"/>
  <c r="H36" i="4"/>
  <c r="H35" i="4"/>
  <c r="H34" i="4"/>
  <c r="H33" i="4"/>
  <c r="H32" i="4"/>
  <c r="H31" i="4"/>
  <c r="H30" i="4"/>
  <c r="H29" i="4"/>
  <c r="H28" i="4"/>
  <c r="H26" i="4"/>
  <c r="H25" i="4"/>
  <c r="H24" i="4"/>
  <c r="H23" i="4"/>
  <c r="H22" i="4"/>
  <c r="H21" i="4"/>
  <c r="H20" i="4"/>
  <c r="H19" i="4"/>
  <c r="H18" i="4"/>
  <c r="H15" i="4"/>
  <c r="H14" i="4"/>
  <c r="H13" i="4"/>
  <c r="H12" i="4"/>
  <c r="H9" i="4"/>
  <c r="H8" i="4"/>
  <c r="H6" i="4"/>
  <c r="CJ10" i="1" l="1"/>
  <c r="K57" i="4" l="1"/>
  <c r="AG8" i="19" l="1"/>
  <c r="AI8" i="19" s="1"/>
  <c r="AI14" i="19"/>
  <c r="AI7" i="19"/>
  <c r="AI5" i="19"/>
  <c r="AI20" i="19"/>
  <c r="AI40" i="19"/>
  <c r="AI35" i="19"/>
  <c r="AI16" i="19"/>
  <c r="AI15" i="19"/>
  <c r="AG50" i="19"/>
  <c r="AH48" i="19"/>
  <c r="AG48" i="19"/>
  <c r="AG47" i="19"/>
  <c r="AI46" i="19"/>
  <c r="AH44" i="19"/>
  <c r="AG44" i="19"/>
  <c r="AG42" i="19"/>
  <c r="AI41" i="19"/>
  <c r="AG41" i="19"/>
  <c r="AG25" i="19"/>
  <c r="AG23" i="19"/>
  <c r="AI12" i="19"/>
  <c r="AH12" i="19"/>
  <c r="AG12" i="19"/>
  <c r="AH11" i="19"/>
  <c r="AG11" i="19"/>
  <c r="AI11" i="19" s="1"/>
  <c r="AG6" i="19"/>
  <c r="AI3" i="19"/>
  <c r="AG3" i="19"/>
  <c r="AI48" i="19" l="1"/>
  <c r="AI44" i="19"/>
  <c r="W8" i="19"/>
  <c r="AH3" i="19"/>
  <c r="F4" i="4" l="1"/>
  <c r="M11" i="4" l="1"/>
  <c r="AF11" i="4"/>
  <c r="AF10" i="4"/>
  <c r="M10" i="4"/>
  <c r="AF50" i="4"/>
  <c r="M50" i="4"/>
  <c r="M7" i="4"/>
  <c r="AF7" i="4"/>
  <c r="W21" i="19"/>
  <c r="AH21" i="19" s="1"/>
  <c r="AI21" i="19" s="1"/>
  <c r="AF16" i="4"/>
  <c r="M16" i="4"/>
  <c r="AF17" i="4"/>
  <c r="M17" i="4"/>
  <c r="AF54" i="4"/>
  <c r="AF48" i="4"/>
  <c r="AF44" i="4"/>
  <c r="AF40" i="4"/>
  <c r="AF36" i="4"/>
  <c r="AF32" i="4"/>
  <c r="AF28" i="4"/>
  <c r="AF23" i="4"/>
  <c r="AF19" i="4"/>
  <c r="AF13" i="4"/>
  <c r="AF6" i="4"/>
  <c r="AF57" i="4"/>
  <c r="AF53" i="4"/>
  <c r="AF47" i="4"/>
  <c r="AF43" i="4"/>
  <c r="AF39" i="4"/>
  <c r="AF35" i="4"/>
  <c r="AF31" i="4"/>
  <c r="AF26" i="4"/>
  <c r="AF22" i="4"/>
  <c r="AF18" i="4"/>
  <c r="AF12" i="4"/>
  <c r="AF5" i="4"/>
  <c r="AF56" i="4"/>
  <c r="AF52" i="4"/>
  <c r="AF46" i="4"/>
  <c r="AF42" i="4"/>
  <c r="AF38" i="4"/>
  <c r="AF34" i="4"/>
  <c r="AF30" i="4"/>
  <c r="AF25" i="4"/>
  <c r="AF21" i="4"/>
  <c r="AF15" i="4"/>
  <c r="AF9" i="4"/>
  <c r="AF55" i="4"/>
  <c r="AF51" i="4"/>
  <c r="AF45" i="4"/>
  <c r="AF41" i="4"/>
  <c r="AF37" i="4"/>
  <c r="AF33" i="4"/>
  <c r="AF29" i="4"/>
  <c r="AF24" i="4"/>
  <c r="AF20" i="4"/>
  <c r="AF14" i="4"/>
  <c r="AF8" i="4"/>
  <c r="M55" i="4"/>
  <c r="M51" i="4"/>
  <c r="M45" i="4"/>
  <c r="M41" i="4"/>
  <c r="M37" i="4"/>
  <c r="M33" i="4"/>
  <c r="M29" i="4"/>
  <c r="M24" i="4"/>
  <c r="M20" i="4"/>
  <c r="M14" i="4"/>
  <c r="M8" i="4"/>
  <c r="M53" i="4"/>
  <c r="M39" i="4"/>
  <c r="M26" i="4"/>
  <c r="M12" i="4"/>
  <c r="M5" i="4"/>
  <c r="M54" i="4"/>
  <c r="M48" i="4"/>
  <c r="M44" i="4"/>
  <c r="M40" i="4"/>
  <c r="M36" i="4"/>
  <c r="M32" i="4"/>
  <c r="M28" i="4"/>
  <c r="M23" i="4"/>
  <c r="M19" i="4"/>
  <c r="M13" i="4"/>
  <c r="M6" i="4"/>
  <c r="M47" i="4"/>
  <c r="M35" i="4"/>
  <c r="M22" i="4"/>
  <c r="M56" i="4"/>
  <c r="M52" i="4"/>
  <c r="M46" i="4"/>
  <c r="M42" i="4"/>
  <c r="M38" i="4"/>
  <c r="M34" i="4"/>
  <c r="M30" i="4"/>
  <c r="M25" i="4"/>
  <c r="M21" i="4"/>
  <c r="M15" i="4"/>
  <c r="M9" i="4"/>
  <c r="M57" i="4"/>
  <c r="M43" i="4"/>
  <c r="M31" i="4"/>
  <c r="M18" i="4"/>
  <c r="AW215" i="7"/>
  <c r="I7" i="19" l="1"/>
  <c r="I5" i="19"/>
  <c r="G4" i="4" l="1"/>
  <c r="K56" i="4"/>
  <c r="K55" i="4"/>
  <c r="K54" i="4"/>
  <c r="K53" i="4"/>
  <c r="K52" i="4"/>
  <c r="K51" i="4"/>
  <c r="K26" i="4"/>
  <c r="K25" i="4"/>
  <c r="K24" i="4"/>
  <c r="K23" i="4"/>
  <c r="K22" i="4"/>
  <c r="K21" i="4"/>
  <c r="K20" i="4"/>
  <c r="K19" i="4"/>
  <c r="K18" i="4"/>
  <c r="K15" i="4"/>
  <c r="K14" i="4"/>
  <c r="K13" i="4"/>
  <c r="K12" i="4"/>
  <c r="K9" i="4"/>
  <c r="K8" i="4"/>
  <c r="K6" i="4"/>
  <c r="K5" i="4"/>
  <c r="BR4" i="4" l="1"/>
  <c r="BJ4" i="4"/>
  <c r="BH4" i="4"/>
  <c r="AM4" i="4"/>
  <c r="AK4" i="4"/>
  <c r="AI4" i="4"/>
  <c r="V4" i="4"/>
  <c r="I4" i="4"/>
  <c r="P4" i="4"/>
  <c r="P14" i="4" s="1"/>
  <c r="R4" i="4"/>
  <c r="BL57" i="4"/>
  <c r="I11" i="4" l="1"/>
  <c r="I10" i="4"/>
  <c r="I9" i="4"/>
  <c r="BQ10" i="4"/>
  <c r="BQ11" i="4"/>
  <c r="S10" i="4"/>
  <c r="AH11" i="4"/>
  <c r="AH10" i="4"/>
  <c r="S11" i="4"/>
  <c r="S52" i="4"/>
  <c r="S51" i="4"/>
  <c r="S56" i="4"/>
  <c r="S55" i="4"/>
  <c r="S54" i="4"/>
  <c r="S53" i="4"/>
  <c r="AH50" i="4"/>
  <c r="S50" i="4"/>
  <c r="BQ50" i="4"/>
  <c r="I7" i="4"/>
  <c r="BQ7" i="4"/>
  <c r="S7" i="4"/>
  <c r="AH7" i="4"/>
  <c r="P5" i="4"/>
  <c r="I18" i="4"/>
  <c r="I17" i="4"/>
  <c r="I16" i="4"/>
  <c r="BQ16" i="4"/>
  <c r="S16" i="4"/>
  <c r="AH17" i="4"/>
  <c r="BQ17" i="4"/>
  <c r="S17" i="4"/>
  <c r="AH16" i="4"/>
  <c r="BQ57" i="4"/>
  <c r="AH5" i="4"/>
  <c r="I25" i="4"/>
  <c r="I19" i="4"/>
  <c r="I6" i="4"/>
  <c r="I23" i="4"/>
  <c r="I22" i="4"/>
  <c r="I8" i="4"/>
  <c r="I24" i="4"/>
  <c r="W46" i="19"/>
  <c r="W22" i="19"/>
  <c r="BQ48" i="4"/>
  <c r="BQ44" i="4"/>
  <c r="BQ40" i="4"/>
  <c r="BQ36" i="4"/>
  <c r="BQ32" i="4"/>
  <c r="BQ28" i="4"/>
  <c r="BQ22" i="4"/>
  <c r="BQ18" i="4"/>
  <c r="BQ12" i="4"/>
  <c r="BQ5" i="4"/>
  <c r="BQ47" i="4"/>
  <c r="BQ43" i="4"/>
  <c r="BQ39" i="4"/>
  <c r="BQ35" i="4"/>
  <c r="BQ31" i="4"/>
  <c r="BQ25" i="4"/>
  <c r="BQ21" i="4"/>
  <c r="BQ15" i="4"/>
  <c r="BQ9" i="4"/>
  <c r="BQ46" i="4"/>
  <c r="BQ42" i="4"/>
  <c r="BQ38" i="4"/>
  <c r="BQ34" i="4"/>
  <c r="BQ30" i="4"/>
  <c r="BQ24" i="4"/>
  <c r="BQ20" i="4"/>
  <c r="BQ14" i="4"/>
  <c r="BQ8" i="4"/>
  <c r="BQ45" i="4"/>
  <c r="BQ41" i="4"/>
  <c r="BQ37" i="4"/>
  <c r="BQ33" i="4"/>
  <c r="BQ29" i="4"/>
  <c r="BQ23" i="4"/>
  <c r="BQ19" i="4"/>
  <c r="BQ13" i="4"/>
  <c r="BQ6" i="4"/>
  <c r="AH46" i="4"/>
  <c r="AH42" i="4"/>
  <c r="AH38" i="4"/>
  <c r="AH34" i="4"/>
  <c r="AH30" i="4"/>
  <c r="AH25" i="4"/>
  <c r="AH21" i="4"/>
  <c r="AH15" i="4"/>
  <c r="AH9" i="4"/>
  <c r="AH45" i="4"/>
  <c r="AH41" i="4"/>
  <c r="AH37" i="4"/>
  <c r="AH33" i="4"/>
  <c r="AH29" i="4"/>
  <c r="AH24" i="4"/>
  <c r="AH20" i="4"/>
  <c r="AH14" i="4"/>
  <c r="AH8" i="4"/>
  <c r="AH48" i="4"/>
  <c r="AH44" i="4"/>
  <c r="AH40" i="4"/>
  <c r="AH36" i="4"/>
  <c r="AH32" i="4"/>
  <c r="AH28" i="4"/>
  <c r="AH23" i="4"/>
  <c r="AH19" i="4"/>
  <c r="AH13" i="4"/>
  <c r="AH6" i="4"/>
  <c r="AH47" i="4"/>
  <c r="AH43" i="4"/>
  <c r="AH39" i="4"/>
  <c r="AH35" i="4"/>
  <c r="AH31" i="4"/>
  <c r="AH26" i="4"/>
  <c r="AH22" i="4"/>
  <c r="AH18" i="4"/>
  <c r="AH12" i="4"/>
  <c r="S48" i="4"/>
  <c r="S44" i="4"/>
  <c r="S40" i="4"/>
  <c r="S36" i="4"/>
  <c r="S32" i="4"/>
  <c r="S28" i="4"/>
  <c r="S23" i="4"/>
  <c r="S19" i="4"/>
  <c r="S13" i="4"/>
  <c r="S6" i="4"/>
  <c r="S57" i="4"/>
  <c r="S47" i="4"/>
  <c r="S43" i="4"/>
  <c r="S39" i="4"/>
  <c r="S35" i="4"/>
  <c r="S31" i="4"/>
  <c r="S26" i="4"/>
  <c r="S22" i="4"/>
  <c r="S18" i="4"/>
  <c r="S12" i="4"/>
  <c r="S5" i="4"/>
  <c r="S46" i="4"/>
  <c r="S42" i="4"/>
  <c r="S38" i="4"/>
  <c r="S34" i="4"/>
  <c r="S30" i="4"/>
  <c r="S25" i="4"/>
  <c r="S21" i="4"/>
  <c r="S15" i="4"/>
  <c r="S9" i="4"/>
  <c r="S45" i="4"/>
  <c r="S41" i="4"/>
  <c r="S37" i="4"/>
  <c r="S33" i="4"/>
  <c r="S29" i="4"/>
  <c r="S24" i="4"/>
  <c r="S20" i="4"/>
  <c r="S14" i="4"/>
  <c r="S8" i="4"/>
  <c r="AE4" i="4"/>
  <c r="L4" i="4"/>
  <c r="AE7" i="4"/>
  <c r="CJ16" i="1" l="1"/>
  <c r="I20" i="19"/>
  <c r="I16" i="19"/>
  <c r="I15" i="19"/>
  <c r="L57" i="4"/>
  <c r="CJ132" i="1" l="1"/>
  <c r="CJ128" i="1"/>
  <c r="CJ124" i="1"/>
  <c r="CJ120" i="1"/>
  <c r="CJ79" i="1"/>
  <c r="CJ75" i="1"/>
  <c r="CJ71" i="1"/>
  <c r="CJ72" i="1"/>
  <c r="CJ131" i="1"/>
  <c r="CJ127" i="1"/>
  <c r="CJ123" i="1"/>
  <c r="CJ78" i="1"/>
  <c r="CJ74" i="1"/>
  <c r="CJ70" i="1"/>
  <c r="CJ129" i="1"/>
  <c r="CJ121" i="1"/>
  <c r="CJ76" i="1"/>
  <c r="CJ130" i="1"/>
  <c r="CJ126" i="1"/>
  <c r="CJ122" i="1"/>
  <c r="CJ77" i="1"/>
  <c r="CJ73" i="1"/>
  <c r="CJ69" i="1"/>
  <c r="CJ125" i="1"/>
  <c r="CJ80" i="1"/>
  <c r="CJ68" i="1"/>
  <c r="CJ17" i="1"/>
  <c r="CJ160" i="1"/>
  <c r="I12" i="19"/>
  <c r="I11" i="19"/>
  <c r="I8" i="19"/>
  <c r="AE57" i="4"/>
  <c r="BP57" i="4" l="1"/>
  <c r="BH57" i="4"/>
  <c r="AK106" i="7" l="1"/>
  <c r="AK104" i="7"/>
  <c r="S42" i="23" l="1"/>
  <c r="C90" i="25" l="1"/>
  <c r="DY46" i="7" l="1"/>
  <c r="O7" i="42" l="1"/>
  <c r="K48" i="4" l="1"/>
  <c r="K44" i="4"/>
  <c r="K40" i="4"/>
  <c r="K33" i="4"/>
  <c r="K29" i="4"/>
  <c r="K35" i="4"/>
  <c r="K47" i="4"/>
  <c r="K43" i="4"/>
  <c r="K39" i="4"/>
  <c r="K32" i="4"/>
  <c r="K34" i="4"/>
  <c r="K46" i="4"/>
  <c r="K42" i="4"/>
  <c r="K37" i="4"/>
  <c r="K31" i="4"/>
  <c r="K28" i="4"/>
  <c r="K45" i="4"/>
  <c r="K41" i="4"/>
  <c r="K36" i="4"/>
  <c r="K30" i="4"/>
  <c r="G24" i="48"/>
  <c r="AV286" i="7" l="1"/>
  <c r="AM286" i="7"/>
  <c r="AK286" i="7"/>
  <c r="AM275" i="7"/>
  <c r="AK275" i="7"/>
  <c r="AM274" i="7"/>
  <c r="V63" i="11" l="1"/>
  <c r="BS23" i="42" l="1"/>
  <c r="C54" i="11" l="1"/>
  <c r="R67" i="11" l="1"/>
  <c r="R66" i="11"/>
  <c r="R65" i="11"/>
  <c r="R64" i="11"/>
  <c r="R63" i="11"/>
  <c r="X66" i="11" l="1"/>
  <c r="X65" i="11"/>
  <c r="X67" i="11"/>
  <c r="P11" i="11"/>
  <c r="Q67" i="11"/>
  <c r="AI85" i="11" s="1"/>
  <c r="Q66" i="11"/>
  <c r="AI84" i="11" s="1"/>
  <c r="Q65" i="11"/>
  <c r="AI83" i="11" s="1"/>
  <c r="Q64" i="11"/>
  <c r="AI82" i="11" s="1"/>
  <c r="N10" i="11"/>
  <c r="U73" i="11" l="1"/>
  <c r="V73" i="11"/>
  <c r="V75" i="11"/>
  <c r="U75" i="11"/>
  <c r="U74" i="11"/>
  <c r="V74" i="11"/>
  <c r="V67" i="11"/>
  <c r="U76" i="11"/>
  <c r="V76" i="11"/>
  <c r="T76" i="11"/>
  <c r="AK75" i="11" s="1"/>
  <c r="V64" i="11"/>
  <c r="T73" i="11"/>
  <c r="AK72" i="11" s="1"/>
  <c r="V65" i="11"/>
  <c r="T74" i="11"/>
  <c r="AK73" i="11" s="1"/>
  <c r="V66" i="11"/>
  <c r="T75" i="11"/>
  <c r="AK74" i="11" s="1"/>
  <c r="W81" i="11"/>
  <c r="W84" i="11"/>
  <c r="W83" i="11"/>
  <c r="W85" i="11"/>
  <c r="W82" i="11"/>
  <c r="Z84" i="11"/>
  <c r="Z81" i="11"/>
  <c r="Z85" i="11"/>
  <c r="Z83" i="11"/>
  <c r="Z82" i="11"/>
  <c r="AA83" i="11"/>
  <c r="X83" i="11"/>
  <c r="U83" i="11"/>
  <c r="T83" i="11"/>
  <c r="Y83" i="11"/>
  <c r="V83" i="11"/>
  <c r="U84" i="11"/>
  <c r="AA84" i="11"/>
  <c r="Y84" i="11"/>
  <c r="V84" i="11"/>
  <c r="X84" i="11"/>
  <c r="T84" i="11"/>
  <c r="Y85" i="11"/>
  <c r="U85" i="11"/>
  <c r="X85" i="11"/>
  <c r="T85" i="11"/>
  <c r="V85" i="11"/>
  <c r="AA85" i="11"/>
  <c r="Y81" i="11"/>
  <c r="U81" i="11"/>
  <c r="AA81" i="11"/>
  <c r="V81" i="11"/>
  <c r="X81" i="11"/>
  <c r="T81" i="11"/>
  <c r="Y82" i="11"/>
  <c r="AA82" i="11"/>
  <c r="X82" i="11"/>
  <c r="V82" i="11"/>
  <c r="T82" i="11"/>
  <c r="U82" i="11"/>
  <c r="Q81" i="11"/>
  <c r="R81" i="11"/>
  <c r="S81" i="11"/>
  <c r="S84" i="11"/>
  <c r="Q84" i="11"/>
  <c r="R84" i="11"/>
  <c r="Q85" i="11"/>
  <c r="S85" i="11"/>
  <c r="R85" i="11"/>
  <c r="R83" i="11"/>
  <c r="S83" i="11"/>
  <c r="Q83" i="11"/>
  <c r="R82" i="11"/>
  <c r="S82" i="11"/>
  <c r="Q82" i="11"/>
  <c r="S73" i="11"/>
  <c r="AO252" i="1" s="1"/>
  <c r="AI72" i="11"/>
  <c r="R73" i="11"/>
  <c r="W73" i="11"/>
  <c r="AI73" i="11"/>
  <c r="W74" i="11"/>
  <c r="S74" i="11"/>
  <c r="AO253" i="1" s="1"/>
  <c r="R74" i="11"/>
  <c r="R72" i="11"/>
  <c r="AI71" i="11"/>
  <c r="W72" i="11"/>
  <c r="W75" i="11"/>
  <c r="S75" i="11"/>
  <c r="AO254" i="1" s="1"/>
  <c r="AI74" i="11"/>
  <c r="R75" i="11"/>
  <c r="Y75" i="11" s="1"/>
  <c r="R76" i="11"/>
  <c r="AI75" i="11"/>
  <c r="W76" i="11"/>
  <c r="S76" i="11"/>
  <c r="AO255" i="1" s="1"/>
  <c r="X74" i="11"/>
  <c r="X75" i="11"/>
  <c r="X76" i="11"/>
  <c r="X73" i="11"/>
  <c r="X72" i="11"/>
  <c r="AE72" i="11"/>
  <c r="AC72" i="11"/>
  <c r="AD72" i="11"/>
  <c r="AB72" i="11"/>
  <c r="AC75" i="11"/>
  <c r="AD75" i="11"/>
  <c r="AB75" i="11"/>
  <c r="AE75" i="11"/>
  <c r="AE76" i="11"/>
  <c r="AC76" i="11"/>
  <c r="AD76" i="11"/>
  <c r="AB76" i="11"/>
  <c r="AE74" i="11"/>
  <c r="AC74" i="11"/>
  <c r="AD74" i="11"/>
  <c r="AB74" i="11"/>
  <c r="AE73" i="11"/>
  <c r="AC73" i="11"/>
  <c r="AD73" i="11"/>
  <c r="AB73" i="11"/>
  <c r="Q72" i="11"/>
  <c r="Q73" i="11"/>
  <c r="Q74" i="11"/>
  <c r="S65" i="11"/>
  <c r="AO95" i="1" s="1"/>
  <c r="Q75" i="11"/>
  <c r="S66" i="11"/>
  <c r="AO96" i="1" s="1"/>
  <c r="Q76" i="11"/>
  <c r="S67" i="11"/>
  <c r="AO97" i="1" s="1"/>
  <c r="W64" i="11"/>
  <c r="S64" i="11"/>
  <c r="AO94" i="1" s="1"/>
  <c r="W65" i="11"/>
  <c r="W66" i="11"/>
  <c r="S63" i="11"/>
  <c r="W67" i="11"/>
  <c r="W63" i="11"/>
  <c r="T67" i="11"/>
  <c r="U67" i="11"/>
  <c r="U64" i="11"/>
  <c r="T64" i="11"/>
  <c r="T65" i="11"/>
  <c r="U65" i="11"/>
  <c r="U66" i="11"/>
  <c r="T66" i="11"/>
  <c r="U63" i="11"/>
  <c r="AM83" i="11" l="1"/>
  <c r="AL83" i="11"/>
  <c r="AM85" i="11"/>
  <c r="AL85" i="11"/>
  <c r="AL82" i="11"/>
  <c r="AM82" i="11"/>
  <c r="AM84" i="11"/>
  <c r="AL84" i="11"/>
  <c r="AM75" i="11"/>
  <c r="AO75" i="11" s="1"/>
  <c r="AL75" i="11"/>
  <c r="AN75" i="11" s="1"/>
  <c r="AM73" i="11"/>
  <c r="AO73" i="11" s="1"/>
  <c r="AL73" i="11"/>
  <c r="AN73" i="11" s="1"/>
  <c r="AM74" i="11"/>
  <c r="AO74" i="11" s="1"/>
  <c r="AL74" i="11"/>
  <c r="AN74" i="11" s="1"/>
  <c r="AL72" i="11"/>
  <c r="AM72" i="11"/>
  <c r="S77" i="11"/>
  <c r="AA75" i="11"/>
  <c r="AJ73" i="11"/>
  <c r="Z74" i="11"/>
  <c r="AA86" i="11"/>
  <c r="AJ75" i="11"/>
  <c r="Z76" i="11"/>
  <c r="W86" i="11"/>
  <c r="O82" i="11" s="1"/>
  <c r="Z86" i="11"/>
  <c r="O85" i="11" s="1"/>
  <c r="AB84" i="11"/>
  <c r="AB85" i="11"/>
  <c r="AB83" i="11"/>
  <c r="Y86" i="11"/>
  <c r="O84" i="11" s="1"/>
  <c r="AJ72" i="11"/>
  <c r="T86" i="11"/>
  <c r="O67" i="11" s="1"/>
  <c r="U86" i="11"/>
  <c r="O68" i="11" s="1"/>
  <c r="X86" i="11"/>
  <c r="O83" i="11" s="1"/>
  <c r="C36" i="38" s="1"/>
  <c r="S86" i="11"/>
  <c r="O81" i="11" s="1"/>
  <c r="V86" i="11"/>
  <c r="O69" i="11" s="1"/>
  <c r="R86" i="11"/>
  <c r="O80" i="11" s="1"/>
  <c r="AJ74" i="11"/>
  <c r="X77" i="11"/>
  <c r="J54" i="11" s="1"/>
  <c r="AJ71" i="11"/>
  <c r="AF66" i="11"/>
  <c r="Z66" i="11"/>
  <c r="AF67" i="11"/>
  <c r="Z67" i="11"/>
  <c r="AF65" i="11"/>
  <c r="Z65" i="11"/>
  <c r="AA76" i="11"/>
  <c r="AB77" i="11"/>
  <c r="AA74" i="11"/>
  <c r="Y76" i="11"/>
  <c r="AC77" i="11"/>
  <c r="Y74" i="11"/>
  <c r="Z75" i="11"/>
  <c r="X63" i="11"/>
  <c r="X64" i="11"/>
  <c r="I58" i="38" l="1"/>
  <c r="I57" i="38"/>
  <c r="I66" i="38" s="1"/>
  <c r="X68" i="11"/>
  <c r="Y65" i="11" l="1"/>
  <c r="AC65" i="11" s="1"/>
  <c r="AD66" i="11" s="1"/>
  <c r="I76" i="38"/>
  <c r="I74" i="38"/>
  <c r="I75" i="38"/>
  <c r="I67" i="38"/>
  <c r="I65" i="38"/>
  <c r="I69" i="38"/>
  <c r="I68" i="38"/>
  <c r="Y67" i="11"/>
  <c r="Y66" i="11"/>
  <c r="AC66" i="11" s="1"/>
  <c r="Y63" i="11"/>
  <c r="Y64" i="11"/>
  <c r="AO48" i="1" l="1"/>
  <c r="AH65" i="11"/>
  <c r="AA65" i="11"/>
  <c r="AB65" i="11" s="1"/>
  <c r="AA67" i="11"/>
  <c r="AB67" i="11" s="1"/>
  <c r="AC67" i="11"/>
  <c r="AA66" i="11"/>
  <c r="AB66" i="11" s="1"/>
  <c r="AO49" i="1"/>
  <c r="AH67" i="11"/>
  <c r="AO50" i="1"/>
  <c r="AA64" i="11"/>
  <c r="AB64" i="11" s="1"/>
  <c r="Z64" i="11"/>
  <c r="Z63" i="11"/>
  <c r="AH66" i="11"/>
  <c r="AA63" i="11"/>
  <c r="AB63" i="11" s="1"/>
  <c r="AD67" i="11"/>
  <c r="Y68" i="11"/>
  <c r="AA68" i="11" l="1"/>
  <c r="AB68" i="11"/>
  <c r="AH63" i="11"/>
  <c r="AH64" i="11"/>
  <c r="Z68" i="11"/>
  <c r="AK83" i="11" l="1"/>
  <c r="AK81" i="11"/>
  <c r="AK82" i="11"/>
  <c r="AK85" i="11"/>
  <c r="AK84" i="11"/>
  <c r="AN94" i="7"/>
  <c r="AN93" i="7"/>
  <c r="J32" i="23" l="1"/>
  <c r="J42" i="23"/>
  <c r="I57" i="4" l="1"/>
  <c r="R55" i="33" l="1"/>
  <c r="Q35" i="33" l="1"/>
  <c r="Q49" i="33" l="1"/>
  <c r="CJ166" i="7" l="1"/>
  <c r="G27" i="48" l="1"/>
  <c r="G26" i="48"/>
  <c r="G25" i="48"/>
  <c r="G20" i="48"/>
  <c r="C35" i="48"/>
  <c r="C23" i="48"/>
  <c r="C21" i="48"/>
  <c r="C26" i="48"/>
  <c r="C25" i="48"/>
  <c r="C19" i="48"/>
  <c r="A3" i="48"/>
  <c r="G19" i="12" l="1"/>
  <c r="E19" i="12" s="1"/>
  <c r="C19" i="12" s="1"/>
  <c r="G9" i="12" l="1"/>
  <c r="E9" i="12" s="1"/>
  <c r="C9" i="12" s="1"/>
  <c r="G8" i="12"/>
  <c r="AK103" i="7"/>
  <c r="D22" i="38"/>
  <c r="F3" i="30" l="1"/>
  <c r="H59" i="38" l="1"/>
  <c r="N85" i="19" l="1"/>
  <c r="N83" i="19"/>
  <c r="AK81" i="7" l="1"/>
  <c r="AK118" i="7" l="1"/>
  <c r="DG186" i="7" l="1"/>
  <c r="CR186" i="7"/>
  <c r="DG144" i="7"/>
  <c r="CW144" i="7"/>
  <c r="AG4" i="19" l="1"/>
  <c r="AI4" i="19" s="1"/>
  <c r="AH4" i="19"/>
  <c r="I4" i="19"/>
  <c r="C29" i="11" l="1"/>
  <c r="N19" i="11" s="1"/>
  <c r="N3" i="11" s="1"/>
  <c r="B16" i="11"/>
  <c r="DY36" i="7"/>
  <c r="BJ196" i="7"/>
  <c r="BJ72" i="7"/>
  <c r="DN47" i="4"/>
  <c r="O7" i="19" l="1"/>
  <c r="BS2" i="1"/>
  <c r="AD13" i="11"/>
  <c r="AD12" i="11"/>
  <c r="AD11" i="11"/>
  <c r="AD10" i="11"/>
  <c r="AF13" i="11"/>
  <c r="AF12" i="11"/>
  <c r="AF11" i="11"/>
  <c r="AF10" i="11"/>
  <c r="AE11" i="11"/>
  <c r="AE13" i="11"/>
  <c r="AE12" i="11"/>
  <c r="AE10" i="11"/>
  <c r="G9" i="11"/>
  <c r="AC47" i="3"/>
  <c r="F27" i="42" l="1"/>
  <c r="G27" i="42"/>
  <c r="AK129" i="7" l="1"/>
  <c r="AK116" i="7"/>
  <c r="AW129" i="7"/>
  <c r="R13" i="15" l="1"/>
  <c r="AG13" i="15"/>
  <c r="AF13" i="15"/>
  <c r="AE13" i="15"/>
  <c r="AD13" i="15"/>
  <c r="AA13" i="15"/>
  <c r="X13" i="15"/>
  <c r="U13" i="15"/>
  <c r="P13" i="15"/>
  <c r="O13" i="15"/>
  <c r="M13" i="15"/>
  <c r="F13" i="15"/>
  <c r="N13" i="15" l="1"/>
  <c r="L13" i="15"/>
  <c r="E13" i="15"/>
  <c r="J90" i="19" l="1"/>
  <c r="D21" i="31"/>
  <c r="D11" i="31"/>
  <c r="F6" i="12" l="1"/>
  <c r="G6" i="12"/>
  <c r="E6" i="12" s="1"/>
  <c r="F3" i="12"/>
  <c r="D20" i="31"/>
  <c r="D9" i="31"/>
  <c r="D12" i="31"/>
  <c r="D10" i="31"/>
  <c r="C6" i="12" l="1"/>
  <c r="D23" i="31" s="1"/>
  <c r="G5" i="12"/>
  <c r="E5" i="12" s="1"/>
  <c r="F5" i="12"/>
  <c r="F13" i="30"/>
  <c r="U4" i="30"/>
  <c r="U5" i="30"/>
  <c r="N5" i="30"/>
  <c r="N4" i="30"/>
  <c r="C5" i="12" l="1"/>
  <c r="AC3" i="30"/>
  <c r="J32" i="31" l="1"/>
  <c r="I33" i="31" s="1"/>
  <c r="D25" i="31"/>
  <c r="AA9" i="30"/>
  <c r="M16" i="30"/>
  <c r="B54" i="30" l="1"/>
  <c r="M3" i="30"/>
  <c r="AQ3" i="30"/>
  <c r="AP3" i="30"/>
  <c r="AO3" i="30"/>
  <c r="AN3" i="30"/>
  <c r="AM3" i="30"/>
  <c r="AL3" i="30"/>
  <c r="AK3" i="30"/>
  <c r="AJ3" i="30"/>
  <c r="AI3" i="30"/>
  <c r="AH3" i="30"/>
  <c r="AG3" i="30"/>
  <c r="AF3" i="30"/>
  <c r="AE3" i="30"/>
  <c r="AB3" i="30"/>
  <c r="B52" i="30"/>
  <c r="B48" i="30"/>
  <c r="B26" i="30"/>
  <c r="B50" i="30"/>
  <c r="B46" i="30"/>
  <c r="B44" i="30"/>
  <c r="B42" i="30"/>
  <c r="B40" i="30"/>
  <c r="B38" i="30"/>
  <c r="B36" i="30"/>
  <c r="B34" i="30"/>
  <c r="B32" i="30"/>
  <c r="B30" i="30"/>
  <c r="AA10" i="30"/>
  <c r="AA8" i="30"/>
  <c r="AA7" i="30"/>
  <c r="AA6" i="30"/>
  <c r="AA5" i="30"/>
  <c r="F14" i="30"/>
  <c r="E12" i="30" s="1"/>
  <c r="E40" i="36"/>
  <c r="C40" i="36"/>
  <c r="D7" i="30"/>
  <c r="D6" i="30"/>
  <c r="D5" i="30"/>
  <c r="G16" i="40"/>
  <c r="E5" i="42"/>
  <c r="P5" i="42"/>
  <c r="X57" i="4" l="1"/>
  <c r="BS74" i="42" l="1"/>
  <c r="AM103" i="7"/>
  <c r="AH103" i="7"/>
  <c r="AF103" i="7"/>
  <c r="AE103" i="7"/>
  <c r="AC103" i="7"/>
  <c r="AB103" i="7"/>
  <c r="Y103" i="7"/>
  <c r="R103" i="7"/>
  <c r="Q103" i="7"/>
  <c r="K103" i="7"/>
  <c r="L103" i="7"/>
  <c r="H103" i="7"/>
  <c r="E103" i="7"/>
  <c r="B33" i="4" l="1"/>
  <c r="EB33" i="4"/>
  <c r="M18" i="16" l="1"/>
  <c r="M16" i="16"/>
  <c r="M15" i="16"/>
  <c r="BQ58" i="42" l="1"/>
  <c r="BN58" i="42"/>
  <c r="R9" i="42" l="1"/>
  <c r="G78" i="12"/>
  <c r="E78" i="12" s="1"/>
  <c r="G77" i="12"/>
  <c r="E77" i="12" s="1"/>
  <c r="B15" i="5" l="1"/>
  <c r="I14" i="19"/>
  <c r="AR1" i="7"/>
  <c r="AF23" i="30" l="1"/>
  <c r="BE65" i="42" l="1"/>
  <c r="B36" i="4" l="1"/>
  <c r="EB36" i="4"/>
  <c r="J93" i="19"/>
  <c r="F15" i="12" l="1"/>
  <c r="F12" i="12"/>
  <c r="BQ69" i="42"/>
  <c r="BQ64" i="42"/>
  <c r="BQ55" i="42"/>
  <c r="BQ51" i="42"/>
  <c r="BQ49" i="42"/>
  <c r="BQ38" i="42"/>
  <c r="BQ23" i="42"/>
  <c r="BQ106" i="42" s="1"/>
  <c r="BP67" i="42"/>
  <c r="BP54" i="42"/>
  <c r="BP23" i="42"/>
  <c r="BO67" i="42"/>
  <c r="BO54" i="42"/>
  <c r="BO23" i="42"/>
  <c r="BN69" i="42"/>
  <c r="BN64" i="42"/>
  <c r="BN55" i="42"/>
  <c r="BN51" i="42"/>
  <c r="BN49" i="42"/>
  <c r="BN38" i="42"/>
  <c r="BN23" i="42"/>
  <c r="BN106" i="42" s="1"/>
  <c r="BM67" i="42"/>
  <c r="BM54" i="42"/>
  <c r="Y23" i="42"/>
  <c r="AA23" i="42"/>
  <c r="AB23" i="42"/>
  <c r="AE23" i="42"/>
  <c r="AF23" i="42"/>
  <c r="AG23" i="42"/>
  <c r="AH23" i="42"/>
  <c r="AI23" i="42"/>
  <c r="AJ23" i="42"/>
  <c r="AK23" i="42"/>
  <c r="AN23" i="42"/>
  <c r="AO23" i="42"/>
  <c r="AP23" i="42"/>
  <c r="AQ23" i="42"/>
  <c r="AR23" i="42"/>
  <c r="AS23" i="42"/>
  <c r="BM23" i="42"/>
  <c r="F40" i="12"/>
  <c r="G40" i="12"/>
  <c r="BN81" i="42" l="1"/>
  <c r="BQ81" i="42"/>
  <c r="BL12" i="42"/>
  <c r="H31" i="23"/>
  <c r="AS13" i="42"/>
  <c r="AQ13" i="42"/>
  <c r="AO13" i="42"/>
  <c r="AN13" i="42"/>
  <c r="AR13" i="42"/>
  <c r="AP13" i="42"/>
  <c r="BS43" i="42"/>
  <c r="Y13" i="42"/>
  <c r="G11" i="12"/>
  <c r="G54" i="12" l="1"/>
  <c r="E54" i="12" s="1"/>
  <c r="F54" i="12"/>
  <c r="C54" i="12" l="1"/>
  <c r="AO7" i="1" l="1"/>
  <c r="AM7" i="1"/>
  <c r="AY13" i="42" l="1"/>
  <c r="I35" i="4"/>
  <c r="K38" i="4"/>
  <c r="I34" i="4"/>
  <c r="AX13" i="42"/>
  <c r="AX23" i="42"/>
  <c r="AW23" i="42"/>
  <c r="AY23" i="42"/>
  <c r="AV23" i="42"/>
  <c r="BB23" i="42"/>
  <c r="AT23" i="42"/>
  <c r="AZ23" i="42"/>
  <c r="BA23" i="42"/>
  <c r="AU23" i="42"/>
  <c r="O65" i="11"/>
  <c r="N71" i="11"/>
  <c r="N69" i="11"/>
  <c r="N67" i="11"/>
  <c r="N66" i="11"/>
  <c r="T63" i="19"/>
  <c r="S63" i="19"/>
  <c r="B6" i="4"/>
  <c r="EB6" i="4"/>
  <c r="BQ10" i="7"/>
  <c r="N77" i="11" l="1"/>
  <c r="N76" i="11"/>
  <c r="N78" i="11"/>
  <c r="J63" i="19"/>
  <c r="K57" i="12"/>
  <c r="K56" i="12"/>
  <c r="G74" i="12"/>
  <c r="F74" i="12"/>
  <c r="G73" i="12"/>
  <c r="C73" i="12"/>
  <c r="G72" i="12"/>
  <c r="I56" i="12" s="1"/>
  <c r="F72" i="12"/>
  <c r="G71" i="12"/>
  <c r="E71" i="12" s="1"/>
  <c r="F71" i="12"/>
  <c r="G70" i="12"/>
  <c r="I54" i="12" s="1"/>
  <c r="F70" i="12"/>
  <c r="K49" i="12"/>
  <c r="G69" i="12"/>
  <c r="E69" i="12" s="1"/>
  <c r="F69" i="12"/>
  <c r="K48" i="12"/>
  <c r="G67" i="12"/>
  <c r="I50" i="12" s="1"/>
  <c r="F67" i="12"/>
  <c r="K47" i="12"/>
  <c r="G66" i="12"/>
  <c r="E66" i="12" s="1"/>
  <c r="F66" i="12"/>
  <c r="K46" i="12"/>
  <c r="G65" i="12"/>
  <c r="E65" i="12" s="1"/>
  <c r="F65" i="12"/>
  <c r="G64" i="12"/>
  <c r="F64" i="12"/>
  <c r="G63" i="12"/>
  <c r="E63" i="12" s="1"/>
  <c r="F63" i="12"/>
  <c r="K43" i="12"/>
  <c r="F62" i="12"/>
  <c r="C62" i="12" s="1"/>
  <c r="K42" i="12"/>
  <c r="K41" i="12"/>
  <c r="G58" i="12"/>
  <c r="E58" i="12" s="1"/>
  <c r="F58" i="12"/>
  <c r="G57" i="12"/>
  <c r="F57" i="12"/>
  <c r="G56" i="12"/>
  <c r="F56" i="12"/>
  <c r="G55" i="12"/>
  <c r="F55" i="12"/>
  <c r="AI9" i="1" l="1"/>
  <c r="AD9" i="42"/>
  <c r="AC9" i="42"/>
  <c r="H9" i="1"/>
  <c r="O10" i="4" s="1"/>
  <c r="H416" i="1"/>
  <c r="O11" i="4" s="1"/>
  <c r="C69" i="12"/>
  <c r="AG4" i="4"/>
  <c r="CJ7" i="1" s="1"/>
  <c r="AG22" i="19"/>
  <c r="AG10" i="19"/>
  <c r="AG46" i="19"/>
  <c r="C58" i="12"/>
  <c r="BU46" i="7" s="1"/>
  <c r="BP4" i="4"/>
  <c r="AH22" i="19"/>
  <c r="E64" i="12"/>
  <c r="I48" i="12"/>
  <c r="C71" i="12"/>
  <c r="E73" i="12"/>
  <c r="C63" i="12"/>
  <c r="I46" i="12" s="1"/>
  <c r="C65" i="12"/>
  <c r="E56" i="12"/>
  <c r="C56" i="12" s="1"/>
  <c r="U24" i="10" s="1"/>
  <c r="C57" i="12"/>
  <c r="C66" i="12"/>
  <c r="E55" i="12"/>
  <c r="C55" i="12" s="1"/>
  <c r="E74" i="12"/>
  <c r="E67" i="12"/>
  <c r="E72" i="12"/>
  <c r="C74" i="12"/>
  <c r="E70" i="12"/>
  <c r="G53" i="12"/>
  <c r="F53" i="12"/>
  <c r="G52" i="12"/>
  <c r="F52" i="12"/>
  <c r="U34" i="12"/>
  <c r="G51" i="12"/>
  <c r="E51" i="12" s="1"/>
  <c r="F51" i="12"/>
  <c r="G50" i="12"/>
  <c r="E50" i="12" s="1"/>
  <c r="F50" i="12"/>
  <c r="G49" i="12"/>
  <c r="E49" i="12" s="1"/>
  <c r="G48" i="12"/>
  <c r="E48" i="12" s="1"/>
  <c r="F48" i="12"/>
  <c r="G45" i="12"/>
  <c r="E45" i="12" s="1"/>
  <c r="C45" i="12"/>
  <c r="L7" i="1" s="1"/>
  <c r="G44" i="12"/>
  <c r="E44" i="12" s="1"/>
  <c r="F44" i="12"/>
  <c r="G43" i="12"/>
  <c r="E43" i="12" s="1"/>
  <c r="F43" i="12"/>
  <c r="G42" i="12"/>
  <c r="E42" i="12" s="1"/>
  <c r="F42" i="12"/>
  <c r="G41" i="12"/>
  <c r="AI8" i="1" l="1"/>
  <c r="F8" i="1"/>
  <c r="P8" i="4" s="1"/>
  <c r="AE430" i="1"/>
  <c r="AG430" i="1"/>
  <c r="O37" i="4" s="1"/>
  <c r="AI430" i="1"/>
  <c r="O30" i="4" s="1"/>
  <c r="AE429" i="1"/>
  <c r="AG429" i="1"/>
  <c r="P37" i="4" s="1"/>
  <c r="AI429" i="1"/>
  <c r="P30" i="4" s="1"/>
  <c r="V416" i="1"/>
  <c r="R416" i="1"/>
  <c r="O17" i="4" s="1"/>
  <c r="X416" i="1"/>
  <c r="P416" i="1"/>
  <c r="N416" i="1"/>
  <c r="F416" i="1"/>
  <c r="O9" i="4" s="1"/>
  <c r="J416" i="1"/>
  <c r="X415" i="1"/>
  <c r="V415" i="1"/>
  <c r="P415" i="1"/>
  <c r="N415" i="1"/>
  <c r="R415" i="1"/>
  <c r="P17" i="4" s="1"/>
  <c r="F415" i="1"/>
  <c r="P9" i="4" s="1"/>
  <c r="J415" i="1"/>
  <c r="N41" i="11"/>
  <c r="D416" i="1"/>
  <c r="O7" i="4" s="1"/>
  <c r="D415" i="1"/>
  <c r="P7" i="4" s="1"/>
  <c r="BS15" i="42"/>
  <c r="P9" i="1"/>
  <c r="P8" i="1"/>
  <c r="J8" i="1"/>
  <c r="J9" i="1"/>
  <c r="AN10" i="42"/>
  <c r="AG113" i="7"/>
  <c r="AD113" i="7"/>
  <c r="G113" i="7"/>
  <c r="AA113" i="7"/>
  <c r="AE113" i="7"/>
  <c r="R113" i="7"/>
  <c r="H113" i="7"/>
  <c r="C43" i="12"/>
  <c r="AE119" i="7"/>
  <c r="DD52" i="7"/>
  <c r="H119" i="7"/>
  <c r="AG119" i="7"/>
  <c r="AI22" i="19"/>
  <c r="B15" i="25"/>
  <c r="C15" i="25" s="1"/>
  <c r="DE51" i="7"/>
  <c r="AC118" i="7"/>
  <c r="BW15" i="1"/>
  <c r="DD51" i="7"/>
  <c r="AM10" i="42"/>
  <c r="Z10" i="42"/>
  <c r="AL10" i="42"/>
  <c r="AL9" i="42"/>
  <c r="Z9" i="42"/>
  <c r="AM9" i="42"/>
  <c r="B17" i="25"/>
  <c r="C17" i="25" s="1"/>
  <c r="N45" i="11"/>
  <c r="C169" i="38"/>
  <c r="F28" i="33"/>
  <c r="D10" i="38"/>
  <c r="D50" i="23" s="1"/>
  <c r="R8" i="1"/>
  <c r="B98" i="25"/>
  <c r="R9" i="1"/>
  <c r="P26" i="4"/>
  <c r="R24" i="10"/>
  <c r="O26" i="4"/>
  <c r="S59" i="10"/>
  <c r="T59" i="10" s="1"/>
  <c r="AB59" i="10"/>
  <c r="BS10" i="42"/>
  <c r="BS9" i="42"/>
  <c r="F39" i="33"/>
  <c r="AB82" i="11"/>
  <c r="AB81" i="11"/>
  <c r="BU15" i="1"/>
  <c r="G16" i="33"/>
  <c r="D27" i="31"/>
  <c r="F16" i="33"/>
  <c r="F26" i="33"/>
  <c r="AF10" i="42"/>
  <c r="BM9" i="42"/>
  <c r="AC21" i="30"/>
  <c r="BN9" i="42"/>
  <c r="AB21" i="30"/>
  <c r="AQ21" i="30"/>
  <c r="AQ23" i="30" s="1"/>
  <c r="AE21" i="30"/>
  <c r="AE23" i="30" s="1"/>
  <c r="AD21" i="30"/>
  <c r="AD23" i="30" s="1"/>
  <c r="AM8" i="1"/>
  <c r="P34" i="4" s="1"/>
  <c r="BA10" i="42"/>
  <c r="AY10" i="42"/>
  <c r="AW10" i="42"/>
  <c r="AU10" i="42"/>
  <c r="BB10" i="42"/>
  <c r="AZ10" i="42"/>
  <c r="AX10" i="42"/>
  <c r="AV10" i="42"/>
  <c r="AZ9" i="42"/>
  <c r="BA9" i="42"/>
  <c r="AY9" i="42"/>
  <c r="AW9" i="42"/>
  <c r="AU9" i="42"/>
  <c r="AX9" i="42"/>
  <c r="AV9" i="42"/>
  <c r="BB9" i="42"/>
  <c r="AJ10" i="42"/>
  <c r="AH10" i="42"/>
  <c r="AE10" i="42"/>
  <c r="AB10" i="42"/>
  <c r="AA10" i="42"/>
  <c r="AS10" i="42"/>
  <c r="AO10" i="42"/>
  <c r="AT10" i="42"/>
  <c r="AR10" i="42"/>
  <c r="AQ10" i="42"/>
  <c r="AP10" i="42"/>
  <c r="AI10" i="42"/>
  <c r="Y10" i="42"/>
  <c r="AG10" i="42"/>
  <c r="AK10" i="42"/>
  <c r="AQ9" i="42"/>
  <c r="AF9" i="42"/>
  <c r="AP9" i="42"/>
  <c r="AI9" i="42"/>
  <c r="Y9" i="42"/>
  <c r="AR9" i="42"/>
  <c r="AN9" i="42"/>
  <c r="AH9" i="42"/>
  <c r="AS9" i="42"/>
  <c r="AO9" i="42"/>
  <c r="AT9" i="42"/>
  <c r="AK9" i="42"/>
  <c r="AG9" i="42"/>
  <c r="AJ9" i="42"/>
  <c r="AE9" i="42"/>
  <c r="AA9" i="42"/>
  <c r="AB9" i="42"/>
  <c r="C42" i="12"/>
  <c r="D8" i="1"/>
  <c r="P6" i="4" s="1"/>
  <c r="D9" i="1"/>
  <c r="C44" i="12"/>
  <c r="J7" i="1" s="1"/>
  <c r="AE13" i="42" s="1"/>
  <c r="C50" i="12"/>
  <c r="C52" i="12"/>
  <c r="C51" i="12"/>
  <c r="E53" i="12"/>
  <c r="C53" i="12" s="1"/>
  <c r="F41" i="12"/>
  <c r="E41" i="12"/>
  <c r="E40" i="12"/>
  <c r="G39" i="12"/>
  <c r="E39" i="12" s="1"/>
  <c r="F39" i="12"/>
  <c r="G38" i="12"/>
  <c r="F38" i="12"/>
  <c r="G37" i="12"/>
  <c r="E37" i="12" s="1"/>
  <c r="F37" i="12"/>
  <c r="G36" i="12"/>
  <c r="F36" i="12"/>
  <c r="R57" i="4"/>
  <c r="O51" i="4" l="1"/>
  <c r="CJ215" i="1"/>
  <c r="O16" i="4"/>
  <c r="O6" i="4"/>
  <c r="P16" i="4"/>
  <c r="H20" i="5"/>
  <c r="C28" i="12" s="1"/>
  <c r="H21" i="5"/>
  <c r="C29" i="12" s="1"/>
  <c r="D12" i="38"/>
  <c r="AH109" i="7"/>
  <c r="AC109" i="7"/>
  <c r="R109" i="7"/>
  <c r="E109" i="7"/>
  <c r="AE108" i="7"/>
  <c r="W108" i="7"/>
  <c r="H108" i="7"/>
  <c r="AB42" i="7"/>
  <c r="Y109" i="7"/>
  <c r="AG108" i="7"/>
  <c r="Q108" i="7"/>
  <c r="AE109" i="7"/>
  <c r="H109" i="7"/>
  <c r="K108" i="7"/>
  <c r="AB41" i="7"/>
  <c r="AG109" i="7"/>
  <c r="AB109" i="7"/>
  <c r="Q109" i="7"/>
  <c r="AH108" i="7"/>
  <c r="AC108" i="7"/>
  <c r="R108" i="7"/>
  <c r="E108" i="7"/>
  <c r="AF109" i="7"/>
  <c r="K109" i="7"/>
  <c r="AB108" i="7"/>
  <c r="AC41" i="7"/>
  <c r="W109" i="7"/>
  <c r="AF108" i="7"/>
  <c r="Y108" i="7"/>
  <c r="AC42" i="7"/>
  <c r="CM54" i="7"/>
  <c r="AC107" i="7"/>
  <c r="AB107" i="7"/>
  <c r="C50" i="38"/>
  <c r="L7" i="7"/>
  <c r="B16" i="25"/>
  <c r="C16" i="25" s="1"/>
  <c r="CN54" i="7"/>
  <c r="G146" i="38"/>
  <c r="B23" i="5"/>
  <c r="I13" i="4"/>
  <c r="I12" i="4"/>
  <c r="I15" i="4"/>
  <c r="I14" i="4"/>
  <c r="AA24" i="10"/>
  <c r="S8" i="10"/>
  <c r="M30" i="23"/>
  <c r="X50" i="11"/>
  <c r="AC62" i="11"/>
  <c r="AO9" i="1"/>
  <c r="X52" i="11"/>
  <c r="AF13" i="42"/>
  <c r="AC23" i="30"/>
  <c r="AB23" i="30"/>
  <c r="C37" i="12"/>
  <c r="C39" i="12"/>
  <c r="C41" i="12"/>
  <c r="E38" i="12"/>
  <c r="C38" i="12" s="1"/>
  <c r="E36" i="12"/>
  <c r="C36" i="12" s="1"/>
  <c r="AG57" i="4"/>
  <c r="G53" i="5" l="1"/>
  <c r="AV105" i="7"/>
  <c r="O35" i="4"/>
  <c r="AE45" i="7"/>
  <c r="X45" i="7"/>
  <c r="E45" i="7"/>
  <c r="AC45" i="7"/>
  <c r="R45" i="7"/>
  <c r="AH45" i="7"/>
  <c r="AB45" i="7"/>
  <c r="Q45" i="7"/>
  <c r="AF45" i="7"/>
  <c r="Y45" i="7"/>
  <c r="K45" i="7"/>
  <c r="BE45" i="7"/>
  <c r="AH57" i="4"/>
  <c r="AI7" i="1"/>
  <c r="B19" i="25"/>
  <c r="G18" i="30"/>
  <c r="Y121" i="7"/>
  <c r="AX8" i="10"/>
  <c r="AC64" i="11"/>
  <c r="AD65" i="11" s="1"/>
  <c r="E16" i="30"/>
  <c r="C40" i="12"/>
  <c r="AF10" i="30"/>
  <c r="E17" i="30"/>
  <c r="G21" i="30"/>
  <c r="D18" i="31"/>
  <c r="BL13" i="42"/>
  <c r="BK13" i="42"/>
  <c r="BI13" i="42"/>
  <c r="BG13" i="42"/>
  <c r="BD13" i="42"/>
  <c r="BF13" i="42"/>
  <c r="BJ13" i="42"/>
  <c r="BH13" i="42"/>
  <c r="BE13" i="42"/>
  <c r="BC13" i="42"/>
  <c r="G33" i="12"/>
  <c r="F33" i="12"/>
  <c r="G30" i="12"/>
  <c r="E30" i="12" s="1"/>
  <c r="F30" i="12"/>
  <c r="G27" i="12"/>
  <c r="E27" i="12" s="1"/>
  <c r="F27" i="12"/>
  <c r="G18" i="12"/>
  <c r="F18" i="12"/>
  <c r="I29" i="4" l="1"/>
  <c r="I30" i="4"/>
  <c r="G16" i="30"/>
  <c r="C27" i="12"/>
  <c r="C30" i="12"/>
  <c r="E18" i="12"/>
  <c r="C18" i="12" s="1"/>
  <c r="E33" i="12"/>
  <c r="C33" i="12" s="1"/>
  <c r="G17" i="12"/>
  <c r="E17" i="12" s="1"/>
  <c r="C17" i="12" s="1"/>
  <c r="G16" i="12"/>
  <c r="F16" i="12"/>
  <c r="G15" i="12"/>
  <c r="G14" i="12"/>
  <c r="E14" i="12" s="1"/>
  <c r="F14" i="12"/>
  <c r="G13" i="12"/>
  <c r="E13" i="12" s="1"/>
  <c r="F13" i="12"/>
  <c r="G12" i="12"/>
  <c r="F11" i="12"/>
  <c r="E8" i="12"/>
  <c r="F8" i="12"/>
  <c r="G7" i="12"/>
  <c r="E7" i="12" s="1"/>
  <c r="F7" i="12"/>
  <c r="G4" i="12"/>
  <c r="F4" i="12"/>
  <c r="G3" i="12"/>
  <c r="E3" i="12" s="1"/>
  <c r="M33" i="16"/>
  <c r="G30" i="16"/>
  <c r="M32" i="16"/>
  <c r="G29" i="16"/>
  <c r="M31" i="16"/>
  <c r="G28" i="16"/>
  <c r="M30" i="16"/>
  <c r="G27" i="16"/>
  <c r="M29" i="16"/>
  <c r="G26" i="16"/>
  <c r="M28" i="16"/>
  <c r="G25" i="16"/>
  <c r="M27" i="16"/>
  <c r="M25" i="16"/>
  <c r="M24" i="16"/>
  <c r="M23" i="16"/>
  <c r="M22" i="16"/>
  <c r="M21" i="16"/>
  <c r="M20" i="16"/>
  <c r="M19" i="16"/>
  <c r="M17" i="16"/>
  <c r="G16" i="16"/>
  <c r="G15" i="16"/>
  <c r="M14" i="16"/>
  <c r="G14" i="16"/>
  <c r="M13" i="16"/>
  <c r="G13" i="16"/>
  <c r="M12" i="16"/>
  <c r="G12" i="16"/>
  <c r="M11" i="16"/>
  <c r="G11" i="16"/>
  <c r="M10" i="16"/>
  <c r="H8" i="15"/>
  <c r="AC10" i="42" l="1"/>
  <c r="AD10" i="42"/>
  <c r="H8" i="1"/>
  <c r="P10" i="4" s="1"/>
  <c r="H415" i="1"/>
  <c r="P11" i="4" s="1"/>
  <c r="G11" i="4"/>
  <c r="G10" i="4"/>
  <c r="BO29" i="7"/>
  <c r="AH96" i="7"/>
  <c r="AC96" i="7"/>
  <c r="AB96" i="7"/>
  <c r="Y96" i="7"/>
  <c r="AF96" i="7"/>
  <c r="Q96" i="7"/>
  <c r="Z9" i="31"/>
  <c r="C33" i="42"/>
  <c r="CO16" i="7"/>
  <c r="AD116" i="7"/>
  <c r="AA116" i="7"/>
  <c r="CL17" i="7"/>
  <c r="P116" i="7"/>
  <c r="O116" i="7"/>
  <c r="N116" i="7"/>
  <c r="I116" i="7"/>
  <c r="G116" i="7"/>
  <c r="J116" i="7"/>
  <c r="Z116" i="7"/>
  <c r="CP18" i="7"/>
  <c r="AE85" i="7"/>
  <c r="AF85" i="7"/>
  <c r="Y85" i="7"/>
  <c r="AH85" i="7"/>
  <c r="L85" i="7"/>
  <c r="BL10" i="42"/>
  <c r="BG10" i="42"/>
  <c r="BF10" i="42"/>
  <c r="BD10" i="42"/>
  <c r="BJ10" i="42"/>
  <c r="BH10" i="42"/>
  <c r="BC10" i="42"/>
  <c r="BI10" i="42"/>
  <c r="BE10" i="42"/>
  <c r="BK10" i="42"/>
  <c r="AG42" i="7"/>
  <c r="Q42" i="7"/>
  <c r="AE41" i="7"/>
  <c r="W41" i="7"/>
  <c r="H41" i="7"/>
  <c r="AE42" i="7"/>
  <c r="H42" i="7"/>
  <c r="R42" i="7"/>
  <c r="AF41" i="7"/>
  <c r="K41" i="7"/>
  <c r="AF42" i="7"/>
  <c r="Y42" i="7"/>
  <c r="K42" i="7"/>
  <c r="AH41" i="7"/>
  <c r="R41" i="7"/>
  <c r="E41" i="7"/>
  <c r="W42" i="7"/>
  <c r="AG41" i="7"/>
  <c r="Q41" i="7"/>
  <c r="AH42" i="7"/>
  <c r="E42" i="7"/>
  <c r="Y41" i="7"/>
  <c r="DB16" i="7"/>
  <c r="AE8" i="1"/>
  <c r="AH129" i="7"/>
  <c r="AA129" i="7"/>
  <c r="R129" i="7"/>
  <c r="N129" i="7"/>
  <c r="E129" i="7"/>
  <c r="AE129" i="7"/>
  <c r="Y129" i="7"/>
  <c r="P129" i="7"/>
  <c r="K129" i="7"/>
  <c r="AB129" i="7"/>
  <c r="X129" i="7"/>
  <c r="O129" i="7"/>
  <c r="B32" i="25"/>
  <c r="AF129" i="7"/>
  <c r="Z129" i="7"/>
  <c r="Q129" i="7"/>
  <c r="L129" i="7"/>
  <c r="G50" i="4"/>
  <c r="CJ174" i="1"/>
  <c r="CJ178" i="1" s="1"/>
  <c r="CJ164" i="1"/>
  <c r="CJ181" i="1"/>
  <c r="CJ144" i="1"/>
  <c r="J9" i="31"/>
  <c r="G7" i="4"/>
  <c r="AK49" i="7"/>
  <c r="AW49" i="7"/>
  <c r="B18" i="25"/>
  <c r="G18" i="38"/>
  <c r="C34" i="12" s="1"/>
  <c r="F34" i="12" s="1"/>
  <c r="D18" i="5" s="1"/>
  <c r="G16" i="4"/>
  <c r="G17" i="4"/>
  <c r="R16" i="31"/>
  <c r="R15" i="31"/>
  <c r="B11" i="25"/>
  <c r="G25" i="38"/>
  <c r="C31" i="31"/>
  <c r="G89" i="38"/>
  <c r="E19" i="30"/>
  <c r="CJ148" i="1"/>
  <c r="CJ146" i="1"/>
  <c r="G32" i="42"/>
  <c r="C32" i="42"/>
  <c r="G51" i="4"/>
  <c r="G47" i="4"/>
  <c r="G45" i="4"/>
  <c r="G43" i="4"/>
  <c r="G41" i="4"/>
  <c r="G39" i="4"/>
  <c r="G38" i="4"/>
  <c r="G35" i="4"/>
  <c r="G34" i="4"/>
  <c r="G15" i="4"/>
  <c r="G30" i="4"/>
  <c r="G24" i="4"/>
  <c r="G21" i="4"/>
  <c r="G52" i="4"/>
  <c r="G37" i="4"/>
  <c r="G33" i="4"/>
  <c r="G14" i="4"/>
  <c r="G13" i="4"/>
  <c r="G12" i="4"/>
  <c r="G9" i="4"/>
  <c r="G8" i="4"/>
  <c r="G6" i="4"/>
  <c r="G5" i="4"/>
  <c r="G56" i="4"/>
  <c r="G31" i="4"/>
  <c r="G26" i="4"/>
  <c r="G22" i="4"/>
  <c r="G18" i="4"/>
  <c r="G55" i="4"/>
  <c r="G54" i="4"/>
  <c r="G53" i="4"/>
  <c r="G48" i="4"/>
  <c r="G46" i="4"/>
  <c r="G44" i="4"/>
  <c r="G42" i="4"/>
  <c r="G40" i="4"/>
  <c r="G36" i="4"/>
  <c r="G32" i="4"/>
  <c r="G29" i="4"/>
  <c r="G28" i="4"/>
  <c r="G25" i="4"/>
  <c r="G23" i="4"/>
  <c r="G20" i="4"/>
  <c r="G19" i="4"/>
  <c r="P43" i="4"/>
  <c r="P48" i="4"/>
  <c r="P45" i="4"/>
  <c r="P46" i="4"/>
  <c r="P41" i="4"/>
  <c r="P44" i="4"/>
  <c r="P47" i="4"/>
  <c r="P39" i="4"/>
  <c r="P40" i="4"/>
  <c r="P42" i="4"/>
  <c r="AV23" i="10"/>
  <c r="BV23" i="10" s="1"/>
  <c r="AU8" i="10"/>
  <c r="BU8" i="10" s="1"/>
  <c r="AU22" i="10"/>
  <c r="BU22" i="10" s="1"/>
  <c r="B30" i="5"/>
  <c r="B38" i="10"/>
  <c r="B29" i="43"/>
  <c r="G19" i="30"/>
  <c r="D29" i="42"/>
  <c r="D15" i="31"/>
  <c r="F6" i="33"/>
  <c r="D13" i="31"/>
  <c r="I13" i="15"/>
  <c r="A13" i="15" s="1"/>
  <c r="D14" i="31"/>
  <c r="S42" i="11"/>
  <c r="S45" i="11"/>
  <c r="C3" i="12"/>
  <c r="N31" i="31" s="1"/>
  <c r="C7" i="12"/>
  <c r="C13" i="12"/>
  <c r="E11" i="12"/>
  <c r="C11" i="12" s="1"/>
  <c r="C14" i="12"/>
  <c r="E4" i="12"/>
  <c r="C4" i="12" s="1"/>
  <c r="E12" i="12"/>
  <c r="E16" i="12"/>
  <c r="C16" i="12" s="1"/>
  <c r="C8" i="12"/>
  <c r="E15" i="12"/>
  <c r="C15" i="12" s="1"/>
  <c r="L415" i="1" l="1"/>
  <c r="P15" i="4" s="1"/>
  <c r="DD16" i="7"/>
  <c r="DD29" i="7"/>
  <c r="G90" i="38"/>
  <c r="BW340" i="1" s="1"/>
  <c r="BW336" i="1"/>
  <c r="BW339" i="1" s="1"/>
  <c r="CJ145" i="1"/>
  <c r="CJ213" i="1" s="1"/>
  <c r="CJ216" i="1"/>
  <c r="CJ217" i="1" s="1"/>
  <c r="CJ180" i="1"/>
  <c r="CJ179" i="1"/>
  <c r="CJ259" i="1"/>
  <c r="CJ260" i="1" s="1"/>
  <c r="CJ261" i="1" s="1"/>
  <c r="CJ272" i="1"/>
  <c r="CJ263" i="1"/>
  <c r="J22" i="31"/>
  <c r="GJ35" i="4"/>
  <c r="DD17" i="7"/>
  <c r="BO18" i="7"/>
  <c r="DD18" i="7"/>
  <c r="BO17" i="7"/>
  <c r="BR10" i="42"/>
  <c r="DH21" i="7"/>
  <c r="DB21" i="7"/>
  <c r="DH30" i="7"/>
  <c r="DH20" i="7"/>
  <c r="DB20" i="7"/>
  <c r="DH23" i="7"/>
  <c r="DB23" i="7"/>
  <c r="DH22" i="7"/>
  <c r="DB22" i="7"/>
  <c r="CJ186" i="1"/>
  <c r="CJ250" i="1"/>
  <c r="CJ251" i="1"/>
  <c r="B75" i="25"/>
  <c r="C75" i="25" s="1"/>
  <c r="B74" i="25"/>
  <c r="C74" i="25" s="1"/>
  <c r="B11" i="44"/>
  <c r="BS40" i="42"/>
  <c r="CJ165" i="1"/>
  <c r="CJ147" i="1"/>
  <c r="CJ183" i="1"/>
  <c r="CJ175" i="1"/>
  <c r="P56" i="4"/>
  <c r="P55" i="4"/>
  <c r="P52" i="4"/>
  <c r="P51" i="4"/>
  <c r="P54" i="4"/>
  <c r="P53" i="4"/>
  <c r="G33" i="42"/>
  <c r="C12" i="12"/>
  <c r="E18" i="30"/>
  <c r="U33" i="31"/>
  <c r="U32" i="31"/>
  <c r="U31" i="31"/>
  <c r="H12" i="31"/>
  <c r="Z21" i="31"/>
  <c r="D24" i="31"/>
  <c r="O21" i="42"/>
  <c r="D22" i="31"/>
  <c r="E20" i="30"/>
  <c r="AJ9" i="21"/>
  <c r="BF57" i="4"/>
  <c r="AK57" i="4"/>
  <c r="CJ245" i="1" l="1"/>
  <c r="CJ244" i="1"/>
  <c r="CJ253" i="1"/>
  <c r="CJ252" i="1"/>
  <c r="CJ268" i="1"/>
  <c r="CJ267" i="1"/>
  <c r="BW439" i="1"/>
  <c r="BW438" i="1"/>
  <c r="BN94" i="42"/>
  <c r="CJ266" i="1"/>
  <c r="BS83" i="42" s="1"/>
  <c r="CJ265" i="1"/>
  <c r="G20" i="30"/>
  <c r="AJ7" i="21"/>
  <c r="AJ6" i="21"/>
  <c r="BL55" i="4"/>
  <c r="CJ254" i="1" l="1"/>
  <c r="CJ269" i="1"/>
  <c r="BS107" i="42" s="1"/>
  <c r="CJ246" i="1"/>
  <c r="BW440" i="1"/>
  <c r="BW441" i="1" s="1"/>
  <c r="BW444" i="1" s="1"/>
  <c r="BW443" i="1"/>
  <c r="FD57" i="4"/>
  <c r="BS82" i="42"/>
  <c r="CJ270" i="1"/>
  <c r="AJ4" i="21"/>
  <c r="AJ3" i="21"/>
  <c r="BS106" i="42" l="1"/>
  <c r="D61" i="33"/>
  <c r="F41" i="33"/>
  <c r="W49" i="31" l="1"/>
  <c r="W50" i="31" s="1"/>
  <c r="Q39" i="33"/>
  <c r="Q38" i="33"/>
  <c r="P34" i="33"/>
  <c r="F29" i="33"/>
  <c r="S28" i="33"/>
  <c r="Q28" i="33" l="1"/>
  <c r="S27" i="33"/>
  <c r="S26" i="33"/>
  <c r="D33" i="33" l="1"/>
  <c r="Q5" i="33"/>
  <c r="F5" i="33"/>
  <c r="Q4" i="33"/>
  <c r="F4" i="33"/>
  <c r="D21" i="33" l="1"/>
  <c r="D20" i="33"/>
  <c r="U87" i="19" l="1"/>
  <c r="T87" i="19"/>
  <c r="S87" i="19"/>
  <c r="O87" i="19"/>
  <c r="T86" i="19"/>
  <c r="S86" i="19"/>
  <c r="U85" i="19"/>
  <c r="T85" i="19"/>
  <c r="S85" i="19"/>
  <c r="R85" i="19"/>
  <c r="Q85" i="19"/>
  <c r="O85" i="19"/>
  <c r="M85" i="19"/>
  <c r="L85" i="19"/>
  <c r="K85" i="19"/>
  <c r="T83" i="19"/>
  <c r="S83" i="19"/>
  <c r="Q83" i="19"/>
  <c r="M83" i="19"/>
  <c r="L83" i="19"/>
  <c r="K83" i="19"/>
  <c r="U82" i="19"/>
  <c r="T82" i="19"/>
  <c r="S82" i="19"/>
  <c r="O82" i="19"/>
  <c r="T81" i="19"/>
  <c r="S81" i="19"/>
  <c r="U80" i="19"/>
  <c r="T80" i="19"/>
  <c r="S80" i="19"/>
  <c r="O80" i="19"/>
  <c r="T79" i="19"/>
  <c r="S79" i="19"/>
  <c r="U78" i="19"/>
  <c r="T78" i="19"/>
  <c r="S78" i="19"/>
  <c r="O78" i="19"/>
  <c r="T77" i="19"/>
  <c r="S77" i="19"/>
  <c r="U76" i="19"/>
  <c r="T76" i="19"/>
  <c r="S76" i="19"/>
  <c r="O76" i="19"/>
  <c r="T75" i="19"/>
  <c r="S75" i="19"/>
  <c r="U72" i="19"/>
  <c r="T72" i="19"/>
  <c r="S72" i="19"/>
  <c r="O72" i="19"/>
  <c r="T71" i="19"/>
  <c r="S71" i="19"/>
  <c r="U70" i="19"/>
  <c r="T70" i="19"/>
  <c r="S70" i="19"/>
  <c r="O70" i="19"/>
  <c r="T69" i="19"/>
  <c r="S69" i="19"/>
  <c r="U66" i="19"/>
  <c r="T66" i="19"/>
  <c r="S66" i="19"/>
  <c r="O66" i="19"/>
  <c r="T65" i="19"/>
  <c r="S65" i="19"/>
  <c r="T62" i="19"/>
  <c r="S62" i="19"/>
  <c r="D36" i="19"/>
  <c r="U53" i="19"/>
  <c r="T53" i="19"/>
  <c r="S53" i="19"/>
  <c r="R53" i="19"/>
  <c r="Q53" i="19"/>
  <c r="P53" i="19"/>
  <c r="O53" i="19"/>
  <c r="N53" i="19"/>
  <c r="M53" i="19"/>
  <c r="L53" i="19"/>
  <c r="K53" i="19"/>
  <c r="I50" i="19"/>
  <c r="W47" i="19"/>
  <c r="I47" i="19"/>
  <c r="I46" i="19"/>
  <c r="AH47" i="19" l="1"/>
  <c r="AI47" i="19" s="1"/>
  <c r="AH46" i="19"/>
  <c r="AH42" i="19" l="1"/>
  <c r="AI42" i="19" s="1"/>
  <c r="I42" i="19"/>
  <c r="AH41" i="19"/>
  <c r="I41" i="19"/>
  <c r="AH25" i="19"/>
  <c r="AI25" i="19" s="1"/>
  <c r="AH23" i="19" l="1"/>
  <c r="AI23" i="19" s="1"/>
  <c r="I23" i="19"/>
  <c r="W10" i="19"/>
  <c r="I10" i="19"/>
  <c r="C5" i="19"/>
  <c r="W6" i="19"/>
  <c r="I6" i="19"/>
  <c r="C3" i="19"/>
  <c r="AI2" i="19"/>
  <c r="I2" i="19"/>
  <c r="C2" i="19"/>
  <c r="AH6" i="19" l="1"/>
  <c r="AI6" i="19" s="1"/>
  <c r="AH10" i="19"/>
  <c r="AI10" i="19" s="1"/>
  <c r="O25" i="4" l="1"/>
  <c r="O23" i="4"/>
  <c r="O19" i="4"/>
  <c r="O21" i="4"/>
  <c r="O13" i="4"/>
  <c r="P25" i="4"/>
  <c r="P23" i="4"/>
  <c r="P19" i="4"/>
  <c r="P21" i="4"/>
  <c r="P13" i="4"/>
  <c r="O33" i="4" l="1"/>
  <c r="O36" i="4"/>
  <c r="P36" i="4"/>
  <c r="P33" i="4"/>
  <c r="BS38" i="42" l="1"/>
  <c r="AM57" i="4"/>
  <c r="BS37" i="42" l="1"/>
  <c r="EW57" i="4" l="1"/>
  <c r="BS77" i="42" l="1"/>
  <c r="BR57" i="4"/>
  <c r="BJ57" i="4"/>
  <c r="BS50" i="42" l="1"/>
  <c r="BS51" i="42" l="1"/>
  <c r="BS73" i="42"/>
  <c r="BS46" i="42" l="1"/>
  <c r="CJ153" i="1"/>
  <c r="AO22" i="1" l="1"/>
  <c r="AY15" i="42" s="1"/>
  <c r="AI57" i="4"/>
  <c r="BS36" i="42" l="1"/>
  <c r="AM9" i="1" l="1"/>
  <c r="AG9" i="1"/>
  <c r="AE9" i="1"/>
  <c r="X9" i="1"/>
  <c r="V9" i="1"/>
  <c r="T9" i="1"/>
  <c r="N9" i="1"/>
  <c r="O12" i="4"/>
  <c r="F9" i="1"/>
  <c r="O8" i="4" s="1"/>
  <c r="AO8" i="1"/>
  <c r="P35" i="4" s="1"/>
  <c r="P38" i="4"/>
  <c r="P29" i="4"/>
  <c r="AG8" i="1"/>
  <c r="P32" i="4" s="1"/>
  <c r="X8" i="1"/>
  <c r="P24" i="4" s="1"/>
  <c r="V8" i="1"/>
  <c r="P22" i="4" s="1"/>
  <c r="T8" i="1"/>
  <c r="P18" i="4" s="1"/>
  <c r="N8" i="1"/>
  <c r="P12" i="4"/>
  <c r="N7" i="1"/>
  <c r="AM5" i="1"/>
  <c r="AT2" i="1"/>
  <c r="AC2" i="1"/>
  <c r="B2" i="1"/>
  <c r="O32" i="4" l="1"/>
  <c r="O29" i="4"/>
  <c r="O38" i="4"/>
  <c r="O34" i="4"/>
  <c r="I50" i="4"/>
  <c r="O18" i="4"/>
  <c r="O24" i="4"/>
  <c r="O22" i="4"/>
  <c r="P20" i="4"/>
  <c r="P50" i="4"/>
  <c r="O20" i="4"/>
  <c r="O50" i="4"/>
  <c r="I21" i="4"/>
  <c r="I20" i="4"/>
  <c r="O31" i="4"/>
  <c r="O28" i="4"/>
  <c r="P31" i="4"/>
  <c r="P28" i="4"/>
  <c r="AH13" i="42"/>
  <c r="AG13" i="42"/>
  <c r="AJ13" i="42"/>
  <c r="AI13" i="42"/>
  <c r="AO6" i="1"/>
  <c r="D6" i="1"/>
  <c r="AM6" i="1"/>
  <c r="G112" i="38" l="1"/>
  <c r="G109" i="38"/>
  <c r="G108" i="38"/>
  <c r="C121" i="38"/>
  <c r="C122" i="38" s="1"/>
  <c r="C93" i="38"/>
  <c r="C87" i="38"/>
  <c r="Q47" i="33" l="1"/>
  <c r="CJ271" i="1"/>
  <c r="CJ273" i="1" s="1"/>
  <c r="BQ10" i="42"/>
  <c r="Q34" i="33"/>
  <c r="CI57" i="4" l="1"/>
  <c r="CV57" i="4" s="1"/>
  <c r="BS76" i="42"/>
  <c r="DT57" i="4"/>
  <c r="BS60" i="42"/>
  <c r="DH57" i="4" l="1"/>
  <c r="S114" i="19"/>
  <c r="G113" i="38"/>
  <c r="G72" i="38"/>
  <c r="G21" i="38"/>
  <c r="BJ23" i="42" l="1"/>
  <c r="BH23" i="42"/>
  <c r="BK23" i="42"/>
  <c r="BE23" i="42"/>
  <c r="BI23" i="42"/>
  <c r="BC23" i="42"/>
  <c r="BG23" i="42"/>
  <c r="BD23" i="42"/>
  <c r="BF23" i="42"/>
  <c r="BL23" i="42"/>
  <c r="AV13" i="42"/>
  <c r="BB13" i="42"/>
  <c r="G4" i="38"/>
  <c r="B2" i="38"/>
  <c r="Q8" i="42" l="1"/>
  <c r="BM10" i="42"/>
  <c r="BP10" i="42"/>
  <c r="BN10" i="42"/>
  <c r="BO10" i="42"/>
  <c r="G24" i="38"/>
  <c r="D11" i="38"/>
  <c r="Q11" i="42" l="1"/>
  <c r="D14" i="38"/>
  <c r="D16" i="38"/>
  <c r="D15" i="38"/>
  <c r="D13" i="38"/>
  <c r="BH111" i="7"/>
  <c r="BD111" i="7"/>
  <c r="BC110" i="7"/>
  <c r="BH109" i="7"/>
  <c r="BD109" i="7"/>
  <c r="BG108" i="7"/>
  <c r="BC108" i="7"/>
  <c r="BG111" i="7"/>
  <c r="BC111" i="7"/>
  <c r="BG109" i="7"/>
  <c r="BF108" i="7"/>
  <c r="BF111" i="7"/>
  <c r="BF109" i="7"/>
  <c r="BE108" i="7"/>
  <c r="BE114" i="7"/>
  <c r="BE111" i="7"/>
  <c r="BE109" i="7"/>
  <c r="BH108" i="7"/>
  <c r="BD108" i="7"/>
  <c r="BC109" i="7"/>
  <c r="BE44" i="7" l="1"/>
  <c r="BH44" i="7"/>
  <c r="BD44" i="7"/>
  <c r="BG44" i="7"/>
  <c r="BF44" i="7"/>
  <c r="BC44" i="7"/>
  <c r="BH42" i="7"/>
  <c r="BD42" i="7"/>
  <c r="BE42" i="7"/>
  <c r="BG42" i="7"/>
  <c r="BC42" i="7"/>
  <c r="BF42" i="7"/>
  <c r="BH41" i="7"/>
  <c r="BD41" i="7"/>
  <c r="BE41" i="7"/>
  <c r="BG41" i="7"/>
  <c r="BC41" i="7"/>
  <c r="BF41" i="7"/>
  <c r="F57" i="4"/>
  <c r="B57" i="4"/>
  <c r="B56" i="4" l="1"/>
  <c r="B55" i="4" l="1"/>
  <c r="EB54" i="4"/>
  <c r="B54" i="4" l="1"/>
  <c r="B53" i="4" l="1"/>
  <c r="B52" i="4"/>
  <c r="EB51" i="4"/>
  <c r="B51" i="4" l="1"/>
  <c r="B49" i="4" l="1"/>
  <c r="EB48" i="4"/>
  <c r="B48" i="4" l="1"/>
  <c r="B47" i="4"/>
  <c r="B46" i="4"/>
  <c r="B45" i="4" l="1"/>
  <c r="B44" i="4" l="1"/>
  <c r="B43" i="4" l="1"/>
  <c r="B42" i="4" l="1"/>
  <c r="B41" i="4" l="1"/>
  <c r="B40" i="4" l="1"/>
  <c r="B39" i="4" l="1"/>
  <c r="EB38" i="4"/>
  <c r="B38" i="4"/>
  <c r="EB37" i="4"/>
  <c r="B37" i="4" l="1"/>
  <c r="EB35" i="4"/>
  <c r="B35" i="4"/>
  <c r="EB34" i="4"/>
  <c r="B34" i="4"/>
  <c r="EB32" i="4"/>
  <c r="B32" i="4"/>
  <c r="EB31" i="4"/>
  <c r="B31" i="4"/>
  <c r="B30" i="4"/>
  <c r="EB29" i="4"/>
  <c r="B29" i="4"/>
  <c r="DE28" i="4" l="1"/>
  <c r="CF28" i="4" l="1"/>
  <c r="CS28" i="4" s="1"/>
  <c r="GR28" i="4" l="1"/>
  <c r="P85" i="19"/>
  <c r="B28" i="4"/>
  <c r="B26" i="4"/>
  <c r="B25" i="4"/>
  <c r="EB24" i="4"/>
  <c r="B24" i="4"/>
  <c r="B23" i="4"/>
  <c r="EB22" i="4"/>
  <c r="B22" i="4"/>
  <c r="B21" i="4"/>
  <c r="EB20" i="4"/>
  <c r="B20" i="4"/>
  <c r="B19" i="4"/>
  <c r="EB18" i="4"/>
  <c r="EB15" i="4"/>
  <c r="B15" i="4"/>
  <c r="EB14" i="4"/>
  <c r="B14" i="4"/>
  <c r="EB13" i="4"/>
  <c r="B13" i="4"/>
  <c r="EB12" i="4"/>
  <c r="B12" i="4" l="1"/>
  <c r="B9" i="4"/>
  <c r="EB8" i="4"/>
  <c r="B8" i="4" l="1"/>
  <c r="EB5" i="4"/>
  <c r="B5" i="4"/>
  <c r="GR4" i="4"/>
  <c r="GP3" i="4"/>
  <c r="GO3" i="4"/>
  <c r="GN3" i="4"/>
  <c r="GM3" i="4"/>
  <c r="GL3" i="4"/>
  <c r="GK3" i="4"/>
  <c r="GJ3" i="4"/>
  <c r="GI3" i="4"/>
  <c r="GH3" i="4"/>
  <c r="GG3" i="4"/>
  <c r="GF3" i="4"/>
  <c r="GD3" i="4"/>
  <c r="GC3" i="4"/>
  <c r="GB3" i="4"/>
  <c r="GA3" i="4"/>
  <c r="FZ3" i="4"/>
  <c r="FY3" i="4"/>
  <c r="FX3" i="4"/>
  <c r="FW3" i="4"/>
  <c r="FV3" i="4"/>
  <c r="FU3" i="4"/>
  <c r="FT3" i="4"/>
  <c r="FR3" i="4"/>
  <c r="FQ3" i="4"/>
  <c r="FP3" i="4"/>
  <c r="FO3" i="4"/>
  <c r="FN3" i="4"/>
  <c r="FM3" i="4"/>
  <c r="FL3" i="4"/>
  <c r="FK3" i="4"/>
  <c r="FJ3" i="4"/>
  <c r="FI3" i="4"/>
  <c r="FH3" i="4"/>
  <c r="ET3" i="4"/>
  <c r="FF3" i="4" s="1"/>
  <c r="ES3" i="4"/>
  <c r="FE3" i="4" s="1"/>
  <c r="ER3" i="4"/>
  <c r="FD3" i="4" s="1"/>
  <c r="EQ3" i="4"/>
  <c r="FC3" i="4" s="1"/>
  <c r="EP3" i="4"/>
  <c r="FB3" i="4" s="1"/>
  <c r="EO3" i="4"/>
  <c r="FA3" i="4" s="1"/>
  <c r="EN3" i="4"/>
  <c r="EZ3" i="4" s="1"/>
  <c r="EM3" i="4"/>
  <c r="EY3" i="4" s="1"/>
  <c r="EL3" i="4"/>
  <c r="EX3" i="4" s="1"/>
  <c r="EK3" i="4"/>
  <c r="EW3" i="4" s="1"/>
  <c r="EJ3" i="4"/>
  <c r="EV3" i="4" s="1"/>
  <c r="EH3" i="4"/>
  <c r="EG3" i="4"/>
  <c r="EF3" i="4"/>
  <c r="EE3" i="4"/>
  <c r="ED3" i="4"/>
  <c r="EC3" i="4"/>
  <c r="EB3" i="4"/>
  <c r="EA3" i="4"/>
  <c r="DZ3" i="4"/>
  <c r="DY3" i="4"/>
  <c r="DX3" i="4"/>
  <c r="DV3" i="4"/>
  <c r="DU3" i="4"/>
  <c r="DT3" i="4"/>
  <c r="DS3" i="4"/>
  <c r="DR3" i="4"/>
  <c r="DQ3" i="4"/>
  <c r="DP3" i="4"/>
  <c r="DO3" i="4"/>
  <c r="DN3" i="4"/>
  <c r="DM3" i="4"/>
  <c r="DL3" i="4"/>
  <c r="DJ3" i="4"/>
  <c r="DI3" i="4"/>
  <c r="DH3" i="4"/>
  <c r="DG3" i="4"/>
  <c r="DF3" i="4"/>
  <c r="DE3" i="4"/>
  <c r="DD3" i="4"/>
  <c r="DC3" i="4"/>
  <c r="DB3" i="4"/>
  <c r="DA3" i="4"/>
  <c r="CZ3" i="4"/>
  <c r="CX3" i="4"/>
  <c r="CW3" i="4"/>
  <c r="CV3" i="4"/>
  <c r="CU3" i="4"/>
  <c r="CT3" i="4"/>
  <c r="CS3" i="4"/>
  <c r="CR3" i="4"/>
  <c r="CQ3" i="4"/>
  <c r="CP3" i="4"/>
  <c r="CO3" i="4"/>
  <c r="CN3" i="4"/>
  <c r="I48" i="19"/>
  <c r="I44" i="19"/>
  <c r="AK259" i="7"/>
  <c r="BW173" i="7"/>
  <c r="CB172" i="7"/>
  <c r="CA171" i="7"/>
  <c r="CC170" i="7"/>
  <c r="BY169" i="7"/>
  <c r="AM162" i="7"/>
  <c r="AW153" i="7"/>
  <c r="AW151" i="7"/>
  <c r="AM150" i="7"/>
  <c r="BA149" i="7"/>
  <c r="AK142" i="7"/>
  <c r="BJ134" i="7"/>
  <c r="DB129" i="7"/>
  <c r="AN129" i="7"/>
  <c r="AL129" i="7"/>
  <c r="DE128" i="7"/>
  <c r="AL128" i="7"/>
  <c r="DE127" i="7"/>
  <c r="AK127" i="7"/>
  <c r="DE126" i="7"/>
  <c r="AM126" i="7"/>
  <c r="AL126" i="7"/>
  <c r="DE125" i="7"/>
  <c r="AL125" i="7"/>
  <c r="DG124" i="7"/>
  <c r="BG124" i="7"/>
  <c r="BF124" i="7"/>
  <c r="BE124" i="7"/>
  <c r="DE123" i="7"/>
  <c r="AQ121" i="7"/>
  <c r="AP121" i="7"/>
  <c r="I25" i="19" l="1"/>
  <c r="AE120" i="7"/>
  <c r="AC120" i="7"/>
  <c r="H120" i="7"/>
  <c r="AM119" i="7"/>
  <c r="R119" i="7"/>
  <c r="BA118" i="7"/>
  <c r="AL118" i="7"/>
  <c r="DG116" i="7"/>
  <c r="AW116" i="7"/>
  <c r="AV116" i="7"/>
  <c r="BA115" i="7"/>
  <c r="V115" i="7"/>
  <c r="AO107" i="7"/>
  <c r="AL107" i="7"/>
  <c r="M107" i="7"/>
  <c r="L107" i="7"/>
  <c r="F107" i="7"/>
  <c r="AM106" i="7"/>
  <c r="AL104" i="7"/>
  <c r="X105" i="7"/>
  <c r="U102" i="7"/>
  <c r="AK101" i="7"/>
  <c r="V101" i="7"/>
  <c r="DG100" i="7"/>
  <c r="AV100" i="7"/>
  <c r="AM100" i="7"/>
  <c r="X100" i="7"/>
  <c r="AV99" i="7"/>
  <c r="AM99" i="7"/>
  <c r="AK99" i="7"/>
  <c r="AK98" i="7"/>
  <c r="V98" i="7"/>
  <c r="U98" i="7"/>
  <c r="H98" i="7"/>
  <c r="DH97" i="7"/>
  <c r="AM97" i="7"/>
  <c r="AL97" i="7"/>
  <c r="AN95" i="7"/>
  <c r="AO94" i="7"/>
  <c r="AF94" i="7"/>
  <c r="AL93" i="7"/>
  <c r="AF93" i="7"/>
  <c r="L93" i="7"/>
  <c r="AW91" i="7"/>
  <c r="AK91" i="7"/>
  <c r="U91" i="7"/>
  <c r="T91" i="7"/>
  <c r="S91" i="7"/>
  <c r="AK90" i="7"/>
  <c r="U90" i="7"/>
  <c r="T90" i="7"/>
  <c r="S90" i="7"/>
  <c r="AW89" i="7"/>
  <c r="AK89" i="7"/>
  <c r="V89" i="7"/>
  <c r="U89" i="7"/>
  <c r="T89" i="7"/>
  <c r="S89" i="7"/>
  <c r="AW88" i="7"/>
  <c r="AM88" i="7"/>
  <c r="AK88" i="7"/>
  <c r="U88" i="7"/>
  <c r="T88" i="7"/>
  <c r="S88" i="7"/>
  <c r="BA87" i="7"/>
  <c r="AK87" i="7"/>
  <c r="V87" i="7"/>
  <c r="U87" i="7"/>
  <c r="AW83" i="7"/>
  <c r="DG82" i="7"/>
  <c r="BG82" i="7"/>
  <c r="BF82" i="7"/>
  <c r="BE82" i="7"/>
  <c r="DH81" i="7"/>
  <c r="AN81" i="7"/>
  <c r="DH80" i="7"/>
  <c r="DE80" i="7"/>
  <c r="BA80" i="7"/>
  <c r="AN77" i="7"/>
  <c r="AL77" i="7"/>
  <c r="AK77" i="7"/>
  <c r="AH77" i="7"/>
  <c r="AF77" i="7"/>
  <c r="AE77" i="7"/>
  <c r="AC77" i="7"/>
  <c r="AB77" i="7"/>
  <c r="Y77" i="7"/>
  <c r="X77" i="7"/>
  <c r="R77" i="7"/>
  <c r="Q77" i="7"/>
  <c r="L77" i="7"/>
  <c r="K77" i="7"/>
  <c r="H77" i="7"/>
  <c r="E77" i="7"/>
  <c r="AM76" i="7"/>
  <c r="AD76" i="7"/>
  <c r="AA76" i="7"/>
  <c r="Z76" i="7"/>
  <c r="P76" i="7"/>
  <c r="O76" i="7"/>
  <c r="N76" i="7"/>
  <c r="J76" i="7"/>
  <c r="I76" i="7"/>
  <c r="G76" i="7"/>
  <c r="F76" i="7"/>
  <c r="BA74" i="7"/>
  <c r="AN74" i="7"/>
  <c r="AL74" i="7"/>
  <c r="AK73" i="7"/>
  <c r="U73" i="7"/>
  <c r="J114" i="19"/>
  <c r="J113" i="19"/>
  <c r="J112" i="19"/>
  <c r="J111" i="19"/>
  <c r="J110" i="19"/>
  <c r="J109" i="19"/>
  <c r="J108" i="19"/>
  <c r="J106" i="19"/>
  <c r="J105" i="19"/>
  <c r="J104" i="19"/>
  <c r="J103" i="19"/>
  <c r="J102" i="19"/>
  <c r="J101" i="19"/>
  <c r="J99" i="19"/>
  <c r="J98" i="19"/>
  <c r="J97" i="19"/>
  <c r="J96" i="19"/>
  <c r="J95" i="19"/>
  <c r="J94" i="19"/>
  <c r="J92" i="19"/>
  <c r="J91" i="19"/>
  <c r="J89" i="19"/>
  <c r="J88" i="19"/>
  <c r="J87" i="19"/>
  <c r="J86" i="19"/>
  <c r="J85" i="19"/>
  <c r="J83" i="19"/>
  <c r="J82" i="19"/>
  <c r="J81" i="19"/>
  <c r="J80" i="19"/>
  <c r="J79" i="19"/>
  <c r="J78" i="19"/>
  <c r="J77" i="19"/>
  <c r="J76" i="19"/>
  <c r="J75" i="19"/>
  <c r="J72" i="19"/>
  <c r="J71" i="19"/>
  <c r="J70" i="19"/>
  <c r="J69" i="19"/>
  <c r="J66" i="19"/>
  <c r="O30" i="19" l="1"/>
  <c r="O28" i="19"/>
  <c r="O29" i="19"/>
  <c r="O9" i="19"/>
  <c r="O3" i="19"/>
  <c r="O5" i="19"/>
  <c r="BS21" i="42"/>
  <c r="C7" i="19"/>
  <c r="BS14" i="42"/>
  <c r="J65" i="19"/>
  <c r="O4" i="19"/>
  <c r="J62" i="19"/>
  <c r="AR7" i="19"/>
  <c r="O2" i="19"/>
  <c r="AR6" i="19"/>
  <c r="DX61" i="7"/>
  <c r="BW57" i="4" l="1"/>
  <c r="AH50" i="19"/>
  <c r="AI50" i="19" s="1"/>
  <c r="Y54" i="7"/>
  <c r="DY53" i="7"/>
  <c r="AY53" i="7" l="1"/>
  <c r="AE53" i="7" l="1"/>
  <c r="H53" i="7"/>
  <c r="DX52" i="7"/>
  <c r="R52" i="7"/>
  <c r="DX48" i="7" l="1"/>
  <c r="DB48" i="7"/>
  <c r="V48" i="7"/>
  <c r="DY47" i="7"/>
  <c r="BJ47" i="7"/>
  <c r="BH47" i="7"/>
  <c r="BG47" i="7"/>
  <c r="BF47" i="7"/>
  <c r="BE47" i="7"/>
  <c r="BD47" i="7"/>
  <c r="BC47" i="7"/>
  <c r="DY45" i="7"/>
  <c r="DY44" i="7"/>
  <c r="DY43" i="7"/>
  <c r="DY42" i="7"/>
  <c r="DY41" i="7"/>
  <c r="M40" i="7"/>
  <c r="L40" i="7"/>
  <c r="DY35" i="7" l="1"/>
  <c r="U35" i="7"/>
  <c r="DY34" i="7"/>
  <c r="V34" i="7"/>
  <c r="AV33" i="7"/>
  <c r="X33" i="7"/>
  <c r="DY32" i="7"/>
  <c r="V31" i="7"/>
  <c r="U31" i="7"/>
  <c r="H31" i="7"/>
  <c r="DX30" i="7"/>
  <c r="DY28" i="7"/>
  <c r="DY27" i="7"/>
  <c r="BY27" i="7"/>
  <c r="AF27" i="7"/>
  <c r="DY26" i="7"/>
  <c r="AF26" i="7"/>
  <c r="L26" i="7"/>
  <c r="DX24" i="7"/>
  <c r="U24" i="7"/>
  <c r="T24" i="7"/>
  <c r="S24" i="7"/>
  <c r="U23" i="7"/>
  <c r="T23" i="7"/>
  <c r="S23" i="7"/>
  <c r="DX22" i="7"/>
  <c r="U22" i="7"/>
  <c r="T22" i="7"/>
  <c r="S22" i="7"/>
  <c r="DX21" i="7"/>
  <c r="U21" i="7"/>
  <c r="T21" i="7"/>
  <c r="S21" i="7"/>
  <c r="DX20" i="7"/>
  <c r="X13" i="7" l="1"/>
  <c r="AH10" i="7" l="1"/>
  <c r="AF10" i="7"/>
  <c r="AE10" i="7"/>
  <c r="AC10" i="7"/>
  <c r="AB10" i="7"/>
  <c r="Y10" i="7"/>
  <c r="X10" i="7"/>
  <c r="R10" i="7"/>
  <c r="Q10" i="7"/>
  <c r="K10" i="7"/>
  <c r="E10" i="7"/>
  <c r="DY9" i="7"/>
  <c r="J9" i="7" l="1"/>
  <c r="I9" i="7"/>
  <c r="G9" i="7"/>
  <c r="F9" i="7"/>
  <c r="DB7" i="7" l="1"/>
  <c r="DY6" i="7"/>
  <c r="U6" i="7"/>
  <c r="BH1" i="7"/>
  <c r="BG1" i="7"/>
  <c r="BF1" i="7"/>
  <c r="BE1" i="7"/>
  <c r="BD1" i="7"/>
  <c r="BC1" i="7"/>
  <c r="BB1" i="7"/>
  <c r="AZ1" i="7"/>
  <c r="AY1" i="7"/>
  <c r="AX1" i="7"/>
  <c r="AW1" i="7"/>
  <c r="AV1" i="7"/>
  <c r="AU1" i="7"/>
  <c r="AT1" i="7"/>
  <c r="AP1" i="7"/>
  <c r="AO1" i="7"/>
  <c r="AN1" i="7"/>
  <c r="AM1" i="7"/>
  <c r="AL1" i="7"/>
  <c r="AK1" i="7"/>
  <c r="M17" i="30" l="1"/>
  <c r="G78" i="42" l="1"/>
  <c r="G68" i="42" l="1"/>
  <c r="H28" i="42" l="1"/>
  <c r="G29" i="42"/>
  <c r="F29" i="42"/>
  <c r="F47" i="42" l="1"/>
  <c r="F43" i="42"/>
  <c r="F35" i="42"/>
  <c r="F31" i="42"/>
  <c r="H66" i="42"/>
  <c r="F25" i="42"/>
  <c r="F24" i="42"/>
  <c r="G37" i="42" l="1"/>
  <c r="G39" i="42"/>
  <c r="G50" i="42"/>
  <c r="F21" i="42"/>
  <c r="H39" i="42" l="1"/>
  <c r="H50" i="42"/>
  <c r="C14" i="42"/>
  <c r="C13" i="42" l="1"/>
  <c r="F6" i="42"/>
  <c r="S5" i="42"/>
  <c r="H5" i="42"/>
  <c r="D60" i="23"/>
  <c r="H58" i="23"/>
  <c r="H57" i="23"/>
  <c r="H51" i="23" l="1"/>
  <c r="P42" i="23"/>
  <c r="B44" i="23"/>
  <c r="Y38" i="23"/>
  <c r="B30" i="23"/>
  <c r="M29" i="23"/>
  <c r="J29" i="23"/>
  <c r="I29" i="23"/>
  <c r="H29" i="23"/>
  <c r="M28" i="23"/>
  <c r="J28" i="23"/>
  <c r="I28" i="23"/>
  <c r="H28" i="23"/>
  <c r="M24" i="23" l="1"/>
  <c r="J24" i="23"/>
  <c r="M23" i="23"/>
  <c r="J23" i="23"/>
  <c r="I20" i="23" l="1"/>
  <c r="H20" i="23"/>
  <c r="I19" i="23"/>
  <c r="H19" i="23"/>
  <c r="K15" i="23" l="1"/>
  <c r="H45" i="23" s="1"/>
  <c r="H12" i="23"/>
  <c r="B12" i="23"/>
  <c r="H10" i="23"/>
  <c r="B10" i="23"/>
  <c r="L6" i="23"/>
  <c r="H6" i="23"/>
  <c r="C6" i="23"/>
  <c r="B6" i="23"/>
  <c r="H5" i="23"/>
  <c r="C165" i="25"/>
  <c r="C163" i="25"/>
  <c r="H53" i="23" l="1"/>
  <c r="H50" i="23"/>
  <c r="H46" i="23"/>
  <c r="H43" i="23"/>
  <c r="H35" i="23"/>
  <c r="H49" i="23"/>
  <c r="H52" i="23"/>
  <c r="H44" i="23"/>
  <c r="H33" i="23"/>
  <c r="H34" i="23"/>
  <c r="C161" i="25"/>
  <c r="C160" i="25"/>
  <c r="C143" i="25" l="1"/>
  <c r="C103" i="25" l="1"/>
  <c r="C101" i="25"/>
  <c r="C94" i="25"/>
  <c r="C93" i="25"/>
  <c r="C89" i="25"/>
  <c r="C88" i="25"/>
  <c r="C87" i="25"/>
  <c r="C86" i="25"/>
  <c r="C85" i="25"/>
  <c r="C83" i="25"/>
  <c r="C82" i="25"/>
  <c r="C81" i="25"/>
  <c r="B100" i="25"/>
  <c r="C100" i="25" s="1"/>
  <c r="C99" i="25"/>
  <c r="C98" i="25"/>
  <c r="C97" i="25"/>
  <c r="C76" i="25"/>
  <c r="C73" i="25"/>
  <c r="C72" i="25"/>
  <c r="C70" i="25"/>
  <c r="C69" i="25"/>
  <c r="C68" i="25"/>
  <c r="C67" i="25"/>
  <c r="C66" i="25"/>
  <c r="C65" i="25"/>
  <c r="C63" i="25"/>
  <c r="B62" i="25"/>
  <c r="C62" i="25" s="1"/>
  <c r="B61" i="25"/>
  <c r="C61" i="25" s="1"/>
  <c r="C60" i="25"/>
  <c r="B59" i="25"/>
  <c r="C59" i="25" s="1"/>
  <c r="B58" i="25"/>
  <c r="C58" i="25" s="1"/>
  <c r="B57" i="25"/>
  <c r="B56" i="25"/>
  <c r="C52" i="25"/>
  <c r="C51" i="25"/>
  <c r="C50" i="25"/>
  <c r="C49" i="25"/>
  <c r="C48" i="25"/>
  <c r="C47" i="25"/>
  <c r="C46" i="25"/>
  <c r="C45" i="25"/>
  <c r="C44" i="25"/>
  <c r="C43" i="25"/>
  <c r="C42" i="25"/>
  <c r="C41" i="25"/>
  <c r="C40" i="25"/>
  <c r="C39" i="25"/>
  <c r="C38" i="25"/>
  <c r="C37" i="25"/>
  <c r="C36" i="25"/>
  <c r="C34" i="25"/>
  <c r="C32" i="25"/>
  <c r="C22" i="25"/>
  <c r="B20" i="25"/>
  <c r="C20" i="25" s="1"/>
  <c r="C19" i="25"/>
  <c r="C18" i="25"/>
  <c r="B14" i="25"/>
  <c r="C14" i="25" s="1"/>
  <c r="B13" i="25"/>
  <c r="C13" i="25" s="1"/>
  <c r="C11" i="25"/>
  <c r="C10" i="25"/>
  <c r="C9" i="25"/>
  <c r="C25" i="25" l="1"/>
  <c r="C24" i="25"/>
  <c r="C56" i="25"/>
  <c r="C57" i="25"/>
  <c r="C5" i="25"/>
  <c r="B1" i="25"/>
  <c r="N46" i="22"/>
  <c r="N45" i="22"/>
  <c r="N44" i="22"/>
  <c r="N43" i="22"/>
  <c r="N42" i="22"/>
  <c r="N41" i="22"/>
  <c r="N40" i="22"/>
  <c r="N39" i="22"/>
  <c r="N38" i="22"/>
  <c r="N37" i="22"/>
  <c r="N36" i="22"/>
  <c r="O36" i="22" s="1"/>
  <c r="O35" i="22"/>
  <c r="O34" i="22"/>
  <c r="O33" i="22"/>
  <c r="I31" i="22"/>
  <c r="I30" i="22"/>
  <c r="I29" i="22"/>
  <c r="I28" i="22"/>
  <c r="O27" i="22"/>
  <c r="I27" i="22"/>
  <c r="O26" i="22" s="1"/>
  <c r="I26" i="22"/>
  <c r="O25" i="22" s="1"/>
  <c r="O24" i="22"/>
  <c r="O23" i="22"/>
  <c r="F21" i="22"/>
  <c r="G21" i="22" s="1"/>
  <c r="F20" i="22"/>
  <c r="G20" i="22" s="1"/>
  <c r="F19" i="22"/>
  <c r="G19" i="22" s="1"/>
  <c r="F18" i="22"/>
  <c r="G18" i="22" s="1"/>
  <c r="O17" i="22"/>
  <c r="F17" i="22"/>
  <c r="G17" i="22" s="1"/>
  <c r="O16" i="22"/>
  <c r="O15" i="22"/>
  <c r="O14" i="22"/>
  <c r="O13" i="22"/>
  <c r="O12" i="22"/>
  <c r="H12" i="22"/>
  <c r="I12" i="22" s="1"/>
  <c r="F12" i="22"/>
  <c r="G12" i="22" s="1"/>
  <c r="O11" i="22"/>
  <c r="H11" i="22"/>
  <c r="I11" i="22" s="1"/>
  <c r="F11" i="22"/>
  <c r="G11" i="22" s="1"/>
  <c r="O10" i="22"/>
  <c r="H10" i="22"/>
  <c r="I10" i="22" s="1"/>
  <c r="F10" i="22"/>
  <c r="G10" i="22" s="1"/>
  <c r="O9" i="22"/>
  <c r="H9" i="22"/>
  <c r="I9" i="22" s="1"/>
  <c r="F9" i="22"/>
  <c r="G9" i="22" s="1"/>
  <c r="O8" i="22"/>
  <c r="H8" i="22"/>
  <c r="I8" i="22" s="1"/>
  <c r="F8" i="22"/>
  <c r="G8" i="22" s="1"/>
  <c r="O7" i="22"/>
  <c r="O6" i="22"/>
  <c r="O46" i="22" l="1"/>
  <c r="O40" i="22"/>
  <c r="O39" i="22"/>
  <c r="O43" i="22"/>
  <c r="O45" i="22"/>
  <c r="O37" i="22"/>
  <c r="O41" i="22"/>
  <c r="O44" i="22"/>
  <c r="O38" i="22"/>
  <c r="O42" i="22"/>
  <c r="K61" i="10"/>
  <c r="K60" i="10"/>
  <c r="D61" i="10"/>
  <c r="C61" i="10"/>
  <c r="B46" i="10" l="1"/>
  <c r="B39" i="10" l="1"/>
  <c r="B37" i="10"/>
  <c r="B35" i="10" l="1"/>
  <c r="D6" i="10" l="1"/>
  <c r="D5" i="10"/>
  <c r="G32" i="44" l="1"/>
  <c r="B8" i="44"/>
  <c r="C7" i="44"/>
  <c r="C6" i="44" l="1"/>
  <c r="C5" i="44"/>
  <c r="I16" i="43"/>
  <c r="I15" i="43"/>
  <c r="I14" i="43"/>
  <c r="I13" i="43"/>
  <c r="I11" i="43"/>
  <c r="H11" i="43"/>
  <c r="I10" i="43"/>
  <c r="H10" i="43"/>
  <c r="G9" i="43"/>
  <c r="C7" i="43"/>
  <c r="C6" i="43"/>
  <c r="C5" i="43"/>
  <c r="E41" i="36"/>
  <c r="C41" i="36"/>
  <c r="E39" i="36"/>
  <c r="C39" i="36"/>
  <c r="E38" i="36"/>
  <c r="C38" i="36"/>
  <c r="E37" i="36"/>
  <c r="C37" i="36"/>
  <c r="E36" i="36"/>
  <c r="C36" i="36"/>
  <c r="E35" i="36"/>
  <c r="C35" i="36"/>
  <c r="E34" i="36"/>
  <c r="C34" i="36"/>
  <c r="E33" i="36"/>
  <c r="C33" i="36"/>
  <c r="E32" i="36"/>
  <c r="C32" i="36"/>
  <c r="E31" i="36"/>
  <c r="C31" i="36"/>
  <c r="E30" i="36"/>
  <c r="C30" i="36"/>
  <c r="E29" i="36"/>
  <c r="C29" i="36"/>
  <c r="E28" i="36"/>
  <c r="C28" i="36"/>
  <c r="E27" i="36"/>
  <c r="C27" i="36"/>
  <c r="E26" i="36"/>
  <c r="C26" i="36"/>
  <c r="E25" i="36"/>
  <c r="C25" i="36"/>
  <c r="E24" i="36"/>
  <c r="C24" i="36"/>
  <c r="E23" i="36"/>
  <c r="C23" i="36"/>
  <c r="E22" i="36"/>
  <c r="C22" i="36"/>
  <c r="E21" i="36"/>
  <c r="C21" i="36"/>
  <c r="E20" i="36"/>
  <c r="C20" i="36"/>
  <c r="C19" i="36"/>
  <c r="C18" i="36"/>
  <c r="R16" i="36"/>
  <c r="N16" i="36"/>
  <c r="M16" i="36"/>
  <c r="C17" i="36"/>
  <c r="M15" i="36"/>
  <c r="N15" i="36" s="1"/>
  <c r="C16" i="36"/>
  <c r="M14" i="36"/>
  <c r="O14" i="36" s="1"/>
  <c r="N14" i="36" s="1"/>
  <c r="C15" i="36"/>
  <c r="R13" i="36"/>
  <c r="M13" i="36"/>
  <c r="O13" i="36" s="1"/>
  <c r="H17" i="23" l="1"/>
  <c r="G79" i="12"/>
  <c r="E79" i="12" s="1"/>
  <c r="N13" i="36"/>
  <c r="H18" i="23"/>
  <c r="B19" i="23"/>
  <c r="C14" i="36"/>
  <c r="O12" i="36"/>
  <c r="N12" i="36"/>
  <c r="C13" i="36"/>
  <c r="E12" i="36"/>
  <c r="C12" i="36"/>
  <c r="Q14" i="36" l="1"/>
  <c r="P14" i="36" s="1"/>
  <c r="E13" i="36" s="1"/>
  <c r="Q13" i="36"/>
  <c r="P13" i="36" s="1"/>
  <c r="C11" i="36"/>
  <c r="C10" i="36"/>
  <c r="E9" i="36"/>
  <c r="C9" i="36"/>
  <c r="E8" i="36"/>
  <c r="C8" i="36"/>
  <c r="E7" i="36"/>
  <c r="C7" i="36"/>
  <c r="E5" i="36"/>
  <c r="C5" i="36"/>
  <c r="E14" i="36" l="1"/>
  <c r="E10" i="36"/>
  <c r="E11" i="36"/>
  <c r="E19" i="36"/>
  <c r="I19" i="36" l="1"/>
  <c r="W57" i="11"/>
  <c r="AC54" i="11"/>
  <c r="AB54" i="11"/>
  <c r="AC53" i="11"/>
  <c r="AB53" i="11"/>
  <c r="AC52" i="11"/>
  <c r="AB52" i="11"/>
  <c r="AC51" i="11"/>
  <c r="AB51" i="11"/>
  <c r="N50" i="11"/>
  <c r="J53" i="11"/>
  <c r="I53" i="11"/>
  <c r="F53" i="11"/>
  <c r="C53" i="11"/>
  <c r="N48" i="11"/>
  <c r="N44" i="11"/>
  <c r="S43" i="11"/>
  <c r="N43" i="11"/>
  <c r="B135" i="25" l="1"/>
  <c r="C135" i="25" s="1"/>
  <c r="O33" i="42"/>
  <c r="I58" i="12"/>
  <c r="C72" i="12" s="1"/>
  <c r="F27" i="33" l="1"/>
  <c r="N42" i="11"/>
  <c r="S41" i="11"/>
  <c r="O41" i="11"/>
  <c r="O40" i="11"/>
  <c r="N40" i="11"/>
  <c r="H28" i="11" l="1"/>
  <c r="W26" i="11" l="1"/>
  <c r="U26" i="11"/>
  <c r="Q14" i="11" l="1"/>
  <c r="P14" i="11"/>
  <c r="N14" i="11"/>
  <c r="Q13" i="11"/>
  <c r="P13" i="11"/>
  <c r="N13" i="11"/>
  <c r="Q12" i="11"/>
  <c r="P12" i="11"/>
  <c r="C30" i="11" s="1"/>
  <c r="N20" i="11" s="1"/>
  <c r="N4" i="11" s="1"/>
  <c r="N12" i="11"/>
  <c r="B30" i="11" s="1"/>
  <c r="Q11" i="11"/>
  <c r="D29" i="11" s="1"/>
  <c r="N11" i="11"/>
  <c r="B29" i="11" s="1"/>
  <c r="M19" i="11" s="1"/>
  <c r="Q10" i="11"/>
  <c r="D28" i="11" s="1"/>
  <c r="N9" i="11"/>
  <c r="J7" i="11"/>
  <c r="C7" i="11"/>
  <c r="C6" i="11"/>
  <c r="E5" i="11"/>
  <c r="C5" i="11"/>
  <c r="O29" i="42" l="1"/>
  <c r="B18" i="1"/>
  <c r="M12" i="30"/>
  <c r="B24" i="11"/>
  <c r="P10" i="11"/>
  <c r="B32" i="11"/>
  <c r="M22" i="11" s="1"/>
  <c r="B21" i="1" s="1"/>
  <c r="C32" i="11"/>
  <c r="N22" i="11" s="1"/>
  <c r="N6" i="11" s="1"/>
  <c r="D32" i="11"/>
  <c r="C31" i="11"/>
  <c r="N21" i="11" s="1"/>
  <c r="N5" i="11" s="1"/>
  <c r="D31" i="11"/>
  <c r="B31" i="11"/>
  <c r="M21" i="11" s="1"/>
  <c r="B20" i="1" s="1"/>
  <c r="D30" i="11"/>
  <c r="O20" i="11" s="1"/>
  <c r="O19" i="11"/>
  <c r="B28" i="11"/>
  <c r="M18" i="11" s="1"/>
  <c r="B17" i="1" s="1"/>
  <c r="E26" i="5"/>
  <c r="B8" i="5"/>
  <c r="C7" i="5"/>
  <c r="C6" i="5"/>
  <c r="C5" i="5"/>
  <c r="O32" i="42" l="1"/>
  <c r="BS20" i="1"/>
  <c r="BS361" i="1"/>
  <c r="AC20" i="1"/>
  <c r="B606" i="1"/>
  <c r="B627" i="1"/>
  <c r="AC654" i="1" s="1"/>
  <c r="B80" i="1"/>
  <c r="B461" i="1"/>
  <c r="AC475" i="1" s="1"/>
  <c r="B229" i="1"/>
  <c r="B441" i="1"/>
  <c r="AC455" i="1" s="1"/>
  <c r="B32" i="1"/>
  <c r="B67" i="1"/>
  <c r="B41" i="1"/>
  <c r="B641" i="1"/>
  <c r="AC668" i="1" s="1"/>
  <c r="B634" i="1"/>
  <c r="AC661" i="1" s="1"/>
  <c r="B620" i="1"/>
  <c r="AC647" i="1" s="1"/>
  <c r="B431" i="1"/>
  <c r="AC445" i="1" s="1"/>
  <c r="B447" i="1"/>
  <c r="AC461" i="1" s="1"/>
  <c r="B424" i="1"/>
  <c r="AC439" i="1" s="1"/>
  <c r="B247" i="1"/>
  <c r="B217" i="1"/>
  <c r="B96" i="1"/>
  <c r="B655" i="1"/>
  <c r="AC682" i="1" s="1"/>
  <c r="B599" i="1"/>
  <c r="AC626" i="1" s="1"/>
  <c r="B592" i="1"/>
  <c r="AC619" i="1" s="1"/>
  <c r="B271" i="1"/>
  <c r="B253" i="1"/>
  <c r="B265" i="1"/>
  <c r="B235" i="1"/>
  <c r="B60" i="1"/>
  <c r="B74" i="1"/>
  <c r="B613" i="1"/>
  <c r="AC640" i="1" s="1"/>
  <c r="B648" i="1"/>
  <c r="AC675" i="1" s="1"/>
  <c r="B471" i="1"/>
  <c r="AC485" i="1" s="1"/>
  <c r="B259" i="1"/>
  <c r="B241" i="1"/>
  <c r="B453" i="1"/>
  <c r="AC467" i="1" s="1"/>
  <c r="B223" i="1"/>
  <c r="B87" i="1"/>
  <c r="B49" i="1"/>
  <c r="BS17" i="1"/>
  <c r="BS358" i="1"/>
  <c r="B645" i="1"/>
  <c r="AC672" i="1" s="1"/>
  <c r="B617" i="1"/>
  <c r="AC644" i="1" s="1"/>
  <c r="B652" i="1"/>
  <c r="AC679" i="1" s="1"/>
  <c r="B93" i="1"/>
  <c r="B262" i="1"/>
  <c r="B421" i="1"/>
  <c r="AC436" i="1" s="1"/>
  <c r="B232" i="1"/>
  <c r="B57" i="1"/>
  <c r="B29" i="1"/>
  <c r="B624" i="1"/>
  <c r="AC651" i="1" s="1"/>
  <c r="AC17" i="1"/>
  <c r="B631" i="1"/>
  <c r="AC658" i="1" s="1"/>
  <c r="B444" i="1"/>
  <c r="AC458" i="1" s="1"/>
  <c r="B250" i="1"/>
  <c r="B450" i="1"/>
  <c r="AC464" i="1" s="1"/>
  <c r="B428" i="1"/>
  <c r="AC442" i="1" s="1"/>
  <c r="B214" i="1"/>
  <c r="B46" i="1"/>
  <c r="B38" i="1"/>
  <c r="B220" i="1"/>
  <c r="B638" i="1"/>
  <c r="AC665" i="1" s="1"/>
  <c r="B596" i="1"/>
  <c r="AC623" i="1" s="1"/>
  <c r="B468" i="1"/>
  <c r="AC482" i="1" s="1"/>
  <c r="B238" i="1"/>
  <c r="B438" i="1"/>
  <c r="AC452" i="1" s="1"/>
  <c r="B268" i="1"/>
  <c r="B64" i="1"/>
  <c r="B77" i="1"/>
  <c r="B603" i="1"/>
  <c r="AC630" i="1" s="1"/>
  <c r="B610" i="1"/>
  <c r="AC637" i="1" s="1"/>
  <c r="B589" i="1"/>
  <c r="AC616" i="1" s="1"/>
  <c r="B458" i="1"/>
  <c r="AC472" i="1" s="1"/>
  <c r="B226" i="1"/>
  <c r="B244" i="1"/>
  <c r="B256" i="1"/>
  <c r="B84" i="1"/>
  <c r="B71" i="1"/>
  <c r="BS21" i="1"/>
  <c r="BS362" i="1"/>
  <c r="B614" i="1"/>
  <c r="AC641" i="1" s="1"/>
  <c r="B649" i="1"/>
  <c r="AC676" i="1" s="1"/>
  <c r="B621" i="1"/>
  <c r="AC648" i="1" s="1"/>
  <c r="B254" i="1"/>
  <c r="B266" i="1"/>
  <c r="B236" i="1"/>
  <c r="B260" i="1"/>
  <c r="B68" i="1"/>
  <c r="B81" i="1"/>
  <c r="B75" i="1"/>
  <c r="B218" i="1"/>
  <c r="B607" i="1"/>
  <c r="B628" i="1"/>
  <c r="AC655" i="1" s="1"/>
  <c r="B593" i="1"/>
  <c r="AC620" i="1" s="1"/>
  <c r="B242" i="1"/>
  <c r="B454" i="1"/>
  <c r="AC468" i="1" s="1"/>
  <c r="B224" i="1"/>
  <c r="B635" i="1"/>
  <c r="AC662" i="1" s="1"/>
  <c r="AC21" i="1"/>
  <c r="B472" i="1"/>
  <c r="AC486" i="1" s="1"/>
  <c r="B462" i="1"/>
  <c r="AC476" i="1" s="1"/>
  <c r="B230" i="1"/>
  <c r="B442" i="1"/>
  <c r="AC456" i="1" s="1"/>
  <c r="B432" i="1"/>
  <c r="AC446" i="1" s="1"/>
  <c r="B50" i="1"/>
  <c r="B656" i="1"/>
  <c r="AC683" i="1" s="1"/>
  <c r="B600" i="1"/>
  <c r="AC627" i="1" s="1"/>
  <c r="B642" i="1"/>
  <c r="AC669" i="1" s="1"/>
  <c r="B448" i="1"/>
  <c r="AC462" i="1" s="1"/>
  <c r="B425" i="1"/>
  <c r="AC440" i="1" s="1"/>
  <c r="B248" i="1"/>
  <c r="B272" i="1"/>
  <c r="B97" i="1"/>
  <c r="B61" i="1"/>
  <c r="B42" i="1"/>
  <c r="B33" i="1"/>
  <c r="B88" i="1"/>
  <c r="BS18" i="1"/>
  <c r="BS359" i="1"/>
  <c r="B632" i="1"/>
  <c r="AC659" i="1" s="1"/>
  <c r="AC18" i="1"/>
  <c r="B604" i="1"/>
  <c r="B422" i="1"/>
  <c r="AC437" i="1" s="1"/>
  <c r="B245" i="1"/>
  <c r="B269" i="1"/>
  <c r="B251" i="1"/>
  <c r="B58" i="1"/>
  <c r="B39" i="1"/>
  <c r="B597" i="1"/>
  <c r="AC624" i="1" s="1"/>
  <c r="B639" i="1"/>
  <c r="AC666" i="1" s="1"/>
  <c r="B469" i="1"/>
  <c r="AC483" i="1" s="1"/>
  <c r="B263" i="1"/>
  <c r="B233" i="1"/>
  <c r="B257" i="1"/>
  <c r="B239" i="1"/>
  <c r="B30" i="1"/>
  <c r="B72" i="1"/>
  <c r="B646" i="1"/>
  <c r="AC673" i="1" s="1"/>
  <c r="B618" i="1"/>
  <c r="AC645" i="1" s="1"/>
  <c r="B590" i="1"/>
  <c r="AC617" i="1" s="1"/>
  <c r="B451" i="1"/>
  <c r="AC465" i="1" s="1"/>
  <c r="B221" i="1"/>
  <c r="B459" i="1"/>
  <c r="AC473" i="1" s="1"/>
  <c r="B227" i="1"/>
  <c r="B215" i="1"/>
  <c r="B78" i="1"/>
  <c r="B94" i="1"/>
  <c r="B653" i="1"/>
  <c r="AC680" i="1" s="1"/>
  <c r="B625" i="1"/>
  <c r="AC652" i="1" s="1"/>
  <c r="B611" i="1"/>
  <c r="AC638" i="1" s="1"/>
  <c r="B439" i="1"/>
  <c r="AC453" i="1" s="1"/>
  <c r="B429" i="1"/>
  <c r="AC443" i="1" s="1"/>
  <c r="B445" i="1"/>
  <c r="AC459" i="1" s="1"/>
  <c r="B85" i="1"/>
  <c r="B47" i="1"/>
  <c r="B65" i="1"/>
  <c r="O31" i="42"/>
  <c r="AG44" i="11"/>
  <c r="M14" i="30"/>
  <c r="AG45" i="11"/>
  <c r="M15" i="30"/>
  <c r="AG41" i="11"/>
  <c r="M11" i="30"/>
  <c r="AI12" i="11"/>
  <c r="AI13" i="11"/>
  <c r="AH9" i="11"/>
  <c r="AI9" i="11"/>
  <c r="AH13" i="11"/>
  <c r="AH12" i="11"/>
  <c r="C28" i="11"/>
  <c r="O18" i="11"/>
  <c r="AG42" i="11"/>
  <c r="C60" i="11"/>
  <c r="M30" i="11"/>
  <c r="M34" i="11"/>
  <c r="G60" i="11"/>
  <c r="G91" i="11" s="1"/>
  <c r="M33" i="11"/>
  <c r="F60" i="11"/>
  <c r="F91" i="11" s="1"/>
  <c r="M20" i="11"/>
  <c r="B19" i="1" s="1"/>
  <c r="BS19" i="1" l="1"/>
  <c r="BS360" i="1"/>
  <c r="B640" i="1"/>
  <c r="AC667" i="1" s="1"/>
  <c r="B605" i="1"/>
  <c r="B591" i="1"/>
  <c r="AC618" i="1" s="1"/>
  <c r="B440" i="1"/>
  <c r="AC454" i="1" s="1"/>
  <c r="B430" i="1"/>
  <c r="AC444" i="1" s="1"/>
  <c r="B446" i="1"/>
  <c r="AC460" i="1" s="1"/>
  <c r="B423" i="1"/>
  <c r="AC438" i="1" s="1"/>
  <c r="B216" i="1"/>
  <c r="B73" i="1"/>
  <c r="B86" i="1"/>
  <c r="B59" i="1"/>
  <c r="B647" i="1"/>
  <c r="AC674" i="1" s="1"/>
  <c r="B619" i="1"/>
  <c r="AC646" i="1" s="1"/>
  <c r="B633" i="1"/>
  <c r="AC660" i="1" s="1"/>
  <c r="B246" i="1"/>
  <c r="B270" i="1"/>
  <c r="B252" i="1"/>
  <c r="B264" i="1"/>
  <c r="B79" i="1"/>
  <c r="B31" i="1"/>
  <c r="B626" i="1"/>
  <c r="AC653" i="1" s="1"/>
  <c r="B654" i="1"/>
  <c r="AC681" i="1" s="1"/>
  <c r="B598" i="1"/>
  <c r="AC625" i="1" s="1"/>
  <c r="B234" i="1"/>
  <c r="B258" i="1"/>
  <c r="B240" i="1"/>
  <c r="B48" i="1"/>
  <c r="B95" i="1"/>
  <c r="AC19" i="1"/>
  <c r="B612" i="1"/>
  <c r="AC639" i="1" s="1"/>
  <c r="B470" i="1"/>
  <c r="AC484" i="1" s="1"/>
  <c r="B452" i="1"/>
  <c r="AC466" i="1" s="1"/>
  <c r="B222" i="1"/>
  <c r="B460" i="1"/>
  <c r="AC474" i="1" s="1"/>
  <c r="B228" i="1"/>
  <c r="B40" i="1"/>
  <c r="B66" i="1"/>
  <c r="BS215" i="1"/>
  <c r="AC228" i="1"/>
  <c r="AT212" i="1"/>
  <c r="BS72" i="1"/>
  <c r="AC72" i="1"/>
  <c r="AT55" i="1"/>
  <c r="BS233" i="1"/>
  <c r="AC246" i="1"/>
  <c r="AT230" i="1"/>
  <c r="BS269" i="1"/>
  <c r="AC282" i="1"/>
  <c r="AT266" i="1"/>
  <c r="BS88" i="1"/>
  <c r="AC88" i="1"/>
  <c r="AT72" i="1"/>
  <c r="BS97" i="1"/>
  <c r="AC97" i="1"/>
  <c r="AT81" i="1"/>
  <c r="BS224" i="1"/>
  <c r="AC237" i="1"/>
  <c r="AT221" i="1"/>
  <c r="BS81" i="1"/>
  <c r="AC81" i="1"/>
  <c r="AT64" i="1"/>
  <c r="BS266" i="1"/>
  <c r="AC279" i="1"/>
  <c r="AT263" i="1"/>
  <c r="BS238" i="1"/>
  <c r="AC251" i="1"/>
  <c r="AT235" i="1"/>
  <c r="BS220" i="1"/>
  <c r="AC233" i="1"/>
  <c r="AT217" i="1"/>
  <c r="BS57" i="1"/>
  <c r="AC57" i="1"/>
  <c r="AT42" i="1"/>
  <c r="BS65" i="1"/>
  <c r="AC65" i="1"/>
  <c r="AT50" i="1"/>
  <c r="BS227" i="1"/>
  <c r="AC240" i="1"/>
  <c r="AT224" i="1"/>
  <c r="BS30" i="1"/>
  <c r="AC30" i="1"/>
  <c r="AT28" i="1"/>
  <c r="BS263" i="1"/>
  <c r="AC276" i="1"/>
  <c r="AT260" i="1"/>
  <c r="BS39" i="1"/>
  <c r="AC39" i="1"/>
  <c r="AT37" i="1"/>
  <c r="BS245" i="1"/>
  <c r="AC258" i="1"/>
  <c r="AT242" i="1"/>
  <c r="BS33" i="1"/>
  <c r="AC33" i="1"/>
  <c r="AT31" i="1"/>
  <c r="BS272" i="1"/>
  <c r="AC285" i="1"/>
  <c r="AT269" i="1"/>
  <c r="BS68" i="1"/>
  <c r="AC68" i="1"/>
  <c r="AT53" i="1"/>
  <c r="BS254" i="1"/>
  <c r="AC267" i="1"/>
  <c r="AT251" i="1"/>
  <c r="BS256" i="1"/>
  <c r="AC269" i="1"/>
  <c r="AT253" i="1"/>
  <c r="BS64" i="1"/>
  <c r="AC64" i="1"/>
  <c r="AT49" i="1"/>
  <c r="BS38" i="1"/>
  <c r="AC38" i="1"/>
  <c r="AT36" i="1"/>
  <c r="BS232" i="1"/>
  <c r="AC245" i="1"/>
  <c r="AT229" i="1"/>
  <c r="BS235" i="1"/>
  <c r="AC248" i="1"/>
  <c r="AT232" i="1"/>
  <c r="BS217" i="1"/>
  <c r="AC230" i="1"/>
  <c r="AT214" i="1"/>
  <c r="BS41" i="1"/>
  <c r="AC41" i="1"/>
  <c r="AT39" i="1"/>
  <c r="BS229" i="1"/>
  <c r="AC242" i="1"/>
  <c r="AT226" i="1"/>
  <c r="BS239" i="1"/>
  <c r="AC252" i="1"/>
  <c r="AT236" i="1"/>
  <c r="BS42" i="1"/>
  <c r="AC42" i="1"/>
  <c r="AT40" i="1"/>
  <c r="BS218" i="1"/>
  <c r="AC231" i="1"/>
  <c r="AT215" i="1"/>
  <c r="BS260" i="1"/>
  <c r="AC273" i="1"/>
  <c r="AT257" i="1"/>
  <c r="BS244" i="1"/>
  <c r="AC257" i="1"/>
  <c r="AT241" i="1"/>
  <c r="BS268" i="1"/>
  <c r="AC281" i="1"/>
  <c r="AT265" i="1"/>
  <c r="AC46" i="1"/>
  <c r="BS46" i="1"/>
  <c r="BS250" i="1"/>
  <c r="AC263" i="1"/>
  <c r="AT247" i="1"/>
  <c r="AC49" i="1"/>
  <c r="BS49" i="1"/>
  <c r="BS241" i="1"/>
  <c r="AC254" i="1"/>
  <c r="AT238" i="1"/>
  <c r="BS265" i="1"/>
  <c r="AC278" i="1"/>
  <c r="AT262" i="1"/>
  <c r="BS247" i="1"/>
  <c r="AC260" i="1"/>
  <c r="AT244" i="1"/>
  <c r="BS67" i="1"/>
  <c r="AC67" i="1"/>
  <c r="AT52" i="1"/>
  <c r="AC47" i="1"/>
  <c r="BS47" i="1"/>
  <c r="BS94" i="1"/>
  <c r="AC94" i="1"/>
  <c r="AT78" i="1"/>
  <c r="BS58" i="1"/>
  <c r="AC58" i="1"/>
  <c r="AT43" i="1"/>
  <c r="BS248" i="1"/>
  <c r="AC261" i="1"/>
  <c r="AT245" i="1"/>
  <c r="BS242" i="1"/>
  <c r="AC255" i="1"/>
  <c r="AT239" i="1"/>
  <c r="BS85" i="1"/>
  <c r="AC85" i="1"/>
  <c r="AT69" i="1"/>
  <c r="BS78" i="1"/>
  <c r="AC78" i="1"/>
  <c r="AT61" i="1"/>
  <c r="BS221" i="1"/>
  <c r="AC234" i="1"/>
  <c r="AT218" i="1"/>
  <c r="BS257" i="1"/>
  <c r="AC270" i="1"/>
  <c r="AT254" i="1"/>
  <c r="BS251" i="1"/>
  <c r="AC264" i="1"/>
  <c r="AT248" i="1"/>
  <c r="BS61" i="1"/>
  <c r="AC61" i="1"/>
  <c r="AT46" i="1"/>
  <c r="BS230" i="1"/>
  <c r="AC243" i="1"/>
  <c r="AT227" i="1"/>
  <c r="BS75" i="1"/>
  <c r="AC75" i="1"/>
  <c r="AT58" i="1"/>
  <c r="BS236" i="1"/>
  <c r="AC249" i="1"/>
  <c r="AT233" i="1"/>
  <c r="BS71" i="1"/>
  <c r="AC71" i="1"/>
  <c r="AT54" i="1"/>
  <c r="BS226" i="1"/>
  <c r="AC239" i="1"/>
  <c r="AT223" i="1"/>
  <c r="BS214" i="1"/>
  <c r="AC227" i="1"/>
  <c r="AT211" i="1"/>
  <c r="BS29" i="1"/>
  <c r="AC29" i="1"/>
  <c r="AT27" i="1"/>
  <c r="BS262" i="1"/>
  <c r="AC275" i="1"/>
  <c r="AT259" i="1"/>
  <c r="BS87" i="1"/>
  <c r="AC87" i="1"/>
  <c r="AT71" i="1"/>
  <c r="BS259" i="1"/>
  <c r="AC272" i="1"/>
  <c r="AT256" i="1"/>
  <c r="BS74" i="1"/>
  <c r="AC74" i="1"/>
  <c r="AT57" i="1"/>
  <c r="BS253" i="1"/>
  <c r="AC266" i="1"/>
  <c r="AT250" i="1"/>
  <c r="BS32" i="1"/>
  <c r="AC32" i="1"/>
  <c r="AT30" i="1"/>
  <c r="BS80" i="1"/>
  <c r="AC80" i="1"/>
  <c r="AT63" i="1"/>
  <c r="AC50" i="1"/>
  <c r="BS50" i="1"/>
  <c r="BS84" i="1"/>
  <c r="AC84" i="1"/>
  <c r="AT68" i="1"/>
  <c r="BS77" i="1"/>
  <c r="AC77" i="1"/>
  <c r="AT60" i="1"/>
  <c r="BS93" i="1"/>
  <c r="AC93" i="1"/>
  <c r="AT77" i="1"/>
  <c r="BS223" i="1"/>
  <c r="AC236" i="1"/>
  <c r="AT220" i="1"/>
  <c r="BS60" i="1"/>
  <c r="AC60" i="1"/>
  <c r="AT45" i="1"/>
  <c r="BS271" i="1"/>
  <c r="AC284" i="1"/>
  <c r="AT268" i="1"/>
  <c r="BS96" i="1"/>
  <c r="AC96" i="1"/>
  <c r="AT80" i="1"/>
  <c r="C82" i="11"/>
  <c r="C91" i="11"/>
  <c r="C89" i="11"/>
  <c r="N18" i="11"/>
  <c r="N2" i="11" s="1"/>
  <c r="C90" i="11"/>
  <c r="I16" i="11" s="1"/>
  <c r="C93" i="11"/>
  <c r="C92" i="11"/>
  <c r="AG43" i="11"/>
  <c r="M13" i="30"/>
  <c r="O30" i="42"/>
  <c r="C98" i="11"/>
  <c r="AL34" i="11"/>
  <c r="AM34" i="11"/>
  <c r="AN34" i="11" s="1"/>
  <c r="AK34" i="11"/>
  <c r="AK33" i="11"/>
  <c r="AM33" i="11"/>
  <c r="AN33" i="11" s="1"/>
  <c r="AL33" i="11"/>
  <c r="AL30" i="11"/>
  <c r="AK30" i="11"/>
  <c r="AM30" i="11"/>
  <c r="AN30" i="11" s="1"/>
  <c r="G100" i="11"/>
  <c r="S58" i="11"/>
  <c r="C65" i="11"/>
  <c r="F99" i="11"/>
  <c r="F81" i="11"/>
  <c r="F82" i="11"/>
  <c r="C77" i="11"/>
  <c r="C80" i="11"/>
  <c r="C96" i="11"/>
  <c r="C81" i="11"/>
  <c r="C100" i="11"/>
  <c r="C97" i="11"/>
  <c r="C94" i="11"/>
  <c r="C66" i="11"/>
  <c r="C95" i="11"/>
  <c r="C70" i="11"/>
  <c r="C78" i="11"/>
  <c r="C63" i="11"/>
  <c r="AI10" i="11"/>
  <c r="AI11" i="11"/>
  <c r="AH10" i="11"/>
  <c r="AH11" i="11"/>
  <c r="E62" i="11"/>
  <c r="N13" i="30"/>
  <c r="F10" i="42"/>
  <c r="D10" i="42" s="1"/>
  <c r="D62" i="11"/>
  <c r="N12" i="30"/>
  <c r="F9" i="42"/>
  <c r="D9" i="42" s="1"/>
  <c r="F98" i="11"/>
  <c r="G98" i="11"/>
  <c r="G99" i="11"/>
  <c r="C99" i="11"/>
  <c r="C69" i="11"/>
  <c r="E60" i="11"/>
  <c r="E91" i="11" s="1"/>
  <c r="M32" i="11"/>
  <c r="F89" i="11"/>
  <c r="F76" i="11"/>
  <c r="F71" i="11"/>
  <c r="F75" i="11"/>
  <c r="F97" i="11"/>
  <c r="F78" i="11"/>
  <c r="F65" i="11"/>
  <c r="F96" i="11"/>
  <c r="F88" i="11"/>
  <c r="F80" i="11"/>
  <c r="F85" i="11"/>
  <c r="F67" i="11"/>
  <c r="F94" i="11"/>
  <c r="F90" i="11"/>
  <c r="F63" i="11"/>
  <c r="F95" i="11"/>
  <c r="F79" i="11"/>
  <c r="F77" i="11"/>
  <c r="F83" i="11"/>
  <c r="F100" i="11"/>
  <c r="F84" i="11"/>
  <c r="F69" i="11"/>
  <c r="F73" i="11"/>
  <c r="F86" i="11"/>
  <c r="F64" i="11"/>
  <c r="X5" i="11" s="1"/>
  <c r="F70" i="11"/>
  <c r="F74" i="11"/>
  <c r="F66" i="11"/>
  <c r="F72" i="11"/>
  <c r="F87" i="11"/>
  <c r="C87" i="11"/>
  <c r="C83" i="11"/>
  <c r="C79" i="11"/>
  <c r="C85" i="11"/>
  <c r="C88" i="11"/>
  <c r="C84" i="11"/>
  <c r="C75" i="11"/>
  <c r="C73" i="11"/>
  <c r="C71" i="11"/>
  <c r="C86" i="11"/>
  <c r="C76" i="11"/>
  <c r="C74" i="11"/>
  <c r="C72" i="11"/>
  <c r="G67" i="11"/>
  <c r="G97" i="11"/>
  <c r="G90" i="11"/>
  <c r="G86" i="11"/>
  <c r="G82" i="11"/>
  <c r="G78" i="11"/>
  <c r="G68" i="11"/>
  <c r="G69" i="11"/>
  <c r="G63" i="11"/>
  <c r="G75" i="11"/>
  <c r="G95" i="11"/>
  <c r="G84" i="11"/>
  <c r="G76" i="11"/>
  <c r="G70" i="11"/>
  <c r="G89" i="11"/>
  <c r="G85" i="11"/>
  <c r="G77" i="11"/>
  <c r="G74" i="11"/>
  <c r="G71" i="11"/>
  <c r="G94" i="11"/>
  <c r="G87" i="11"/>
  <c r="G83" i="11"/>
  <c r="G79" i="11"/>
  <c r="G72" i="11"/>
  <c r="G73" i="11"/>
  <c r="G65" i="11"/>
  <c r="G88" i="11"/>
  <c r="G80" i="11"/>
  <c r="G64" i="11"/>
  <c r="X6" i="11" s="1"/>
  <c r="G96" i="11"/>
  <c r="G102" i="11" s="1"/>
  <c r="G81" i="11"/>
  <c r="G66" i="11"/>
  <c r="D60" i="11"/>
  <c r="D91" i="11" s="1"/>
  <c r="M31" i="11"/>
  <c r="M8" i="41"/>
  <c r="M7" i="41"/>
  <c r="M6" i="41"/>
  <c r="L4" i="41"/>
  <c r="AE41" i="31"/>
  <c r="AE42" i="31"/>
  <c r="AE40" i="31"/>
  <c r="AE44" i="31"/>
  <c r="AE43" i="31"/>
  <c r="AE39" i="31"/>
  <c r="AE38" i="31"/>
  <c r="C43" i="31" l="1"/>
  <c r="C44" i="31"/>
  <c r="DS3" i="7"/>
  <c r="H472" i="1"/>
  <c r="H97" i="1"/>
  <c r="BS240" i="1"/>
  <c r="AC253" i="1"/>
  <c r="AT237" i="1"/>
  <c r="BS264" i="1"/>
  <c r="AC277" i="1"/>
  <c r="AT261" i="1"/>
  <c r="BS86" i="1"/>
  <c r="AC86" i="1"/>
  <c r="AT70" i="1"/>
  <c r="BS66" i="1"/>
  <c r="AC66" i="1"/>
  <c r="AT51" i="1"/>
  <c r="BS222" i="1"/>
  <c r="AC235" i="1"/>
  <c r="AT219" i="1"/>
  <c r="BS258" i="1"/>
  <c r="AC271" i="1"/>
  <c r="AT255" i="1"/>
  <c r="BS252" i="1"/>
  <c r="AC265" i="1"/>
  <c r="AT249" i="1"/>
  <c r="BS73" i="1"/>
  <c r="AC73" i="1"/>
  <c r="AT56" i="1"/>
  <c r="BS40" i="1"/>
  <c r="AC40" i="1"/>
  <c r="AT38" i="1"/>
  <c r="BS95" i="1"/>
  <c r="AC95" i="1"/>
  <c r="AT79" i="1"/>
  <c r="BS234" i="1"/>
  <c r="AC247" i="1"/>
  <c r="AT231" i="1"/>
  <c r="BS31" i="1"/>
  <c r="AC31" i="1"/>
  <c r="AT29" i="1"/>
  <c r="BS270" i="1"/>
  <c r="AC283" i="1"/>
  <c r="AT267" i="1"/>
  <c r="BS216" i="1"/>
  <c r="AC229" i="1"/>
  <c r="AT213" i="1"/>
  <c r="BS228" i="1"/>
  <c r="AC241" i="1"/>
  <c r="AT225" i="1"/>
  <c r="AC48" i="1"/>
  <c r="BS48" i="1"/>
  <c r="BS79" i="1"/>
  <c r="AC79" i="1"/>
  <c r="AT62" i="1"/>
  <c r="BS246" i="1"/>
  <c r="AC259" i="1"/>
  <c r="AT243" i="1"/>
  <c r="BS59" i="1"/>
  <c r="AC59" i="1"/>
  <c r="AT44" i="1"/>
  <c r="C39" i="31"/>
  <c r="C40" i="31"/>
  <c r="C42" i="31"/>
  <c r="C38" i="31"/>
  <c r="C41" i="31"/>
  <c r="I15" i="23"/>
  <c r="H91" i="11"/>
  <c r="D12" i="11" s="1"/>
  <c r="O28" i="42"/>
  <c r="B14" i="23"/>
  <c r="H14" i="23"/>
  <c r="G19" i="11"/>
  <c r="Q21" i="11"/>
  <c r="G20" i="11"/>
  <c r="Q22" i="11"/>
  <c r="H19" i="11"/>
  <c r="Q14" i="30" s="1"/>
  <c r="J20" i="11"/>
  <c r="S15" i="30" s="1"/>
  <c r="J19" i="11"/>
  <c r="S14" i="30" s="1"/>
  <c r="H20" i="11"/>
  <c r="Q15" i="30" s="1"/>
  <c r="AP34" i="11"/>
  <c r="AO34" i="11"/>
  <c r="AO33" i="11"/>
  <c r="AP33" i="11"/>
  <c r="AP30" i="11"/>
  <c r="AO30" i="11"/>
  <c r="AK32" i="11"/>
  <c r="AL32" i="11"/>
  <c r="AL31" i="11"/>
  <c r="AK31" i="11"/>
  <c r="B142" i="25"/>
  <c r="C142" i="25" s="1"/>
  <c r="B141" i="25"/>
  <c r="C141" i="25" s="1"/>
  <c r="I20" i="11"/>
  <c r="I19" i="11"/>
  <c r="AM31" i="11"/>
  <c r="AN31" i="11" s="1"/>
  <c r="AM32" i="11"/>
  <c r="AN32" i="11" s="1"/>
  <c r="N34" i="11"/>
  <c r="D75" i="11"/>
  <c r="E81" i="11"/>
  <c r="D80" i="11"/>
  <c r="D97" i="11"/>
  <c r="AH14" i="11"/>
  <c r="C15" i="23"/>
  <c r="H24" i="23"/>
  <c r="F8" i="42"/>
  <c r="D8" i="42" s="1"/>
  <c r="N11" i="30"/>
  <c r="H25" i="23"/>
  <c r="E98" i="11"/>
  <c r="E99" i="11"/>
  <c r="D98" i="11"/>
  <c r="D99" i="11"/>
  <c r="C62" i="11"/>
  <c r="C101" i="11" s="1"/>
  <c r="J16" i="11"/>
  <c r="E96" i="11"/>
  <c r="E102" i="11" s="1"/>
  <c r="E89" i="11"/>
  <c r="E85" i="11"/>
  <c r="E77" i="11"/>
  <c r="E94" i="11"/>
  <c r="E87" i="11"/>
  <c r="E83" i="11"/>
  <c r="E79" i="11"/>
  <c r="E65" i="11"/>
  <c r="E97" i="11"/>
  <c r="E90" i="11"/>
  <c r="E86" i="11"/>
  <c r="E100" i="11"/>
  <c r="E95" i="11"/>
  <c r="E88" i="11"/>
  <c r="E84" i="11"/>
  <c r="E80" i="11"/>
  <c r="E76" i="11"/>
  <c r="E75" i="11"/>
  <c r="E74" i="11"/>
  <c r="E73" i="11"/>
  <c r="E72" i="11"/>
  <c r="E71" i="11"/>
  <c r="E70" i="11"/>
  <c r="E69" i="11"/>
  <c r="E66" i="11"/>
  <c r="E82" i="11"/>
  <c r="E78" i="11"/>
  <c r="E63" i="11"/>
  <c r="D100" i="11"/>
  <c r="D95" i="11"/>
  <c r="D88" i="11"/>
  <c r="D84" i="11"/>
  <c r="D76" i="11"/>
  <c r="D74" i="11"/>
  <c r="D73" i="11"/>
  <c r="D72" i="11"/>
  <c r="D71" i="11"/>
  <c r="D70" i="11"/>
  <c r="D69" i="11"/>
  <c r="D66" i="11"/>
  <c r="D90" i="11"/>
  <c r="D86" i="11"/>
  <c r="D82" i="11"/>
  <c r="D78" i="11"/>
  <c r="D96" i="11"/>
  <c r="D102" i="11" s="1"/>
  <c r="D89" i="11"/>
  <c r="D85" i="11"/>
  <c r="D81" i="11"/>
  <c r="D77" i="11"/>
  <c r="D94" i="11"/>
  <c r="D87" i="11"/>
  <c r="D83" i="11"/>
  <c r="D79" i="11"/>
  <c r="D65" i="11"/>
  <c r="D63" i="11"/>
  <c r="H76" i="11"/>
  <c r="B117" i="25" s="1"/>
  <c r="H16" i="11"/>
  <c r="Q11" i="30" s="1"/>
  <c r="H241" i="1" l="1"/>
  <c r="H620" i="1"/>
  <c r="H242" i="1"/>
  <c r="H621" i="1"/>
  <c r="D13" i="11"/>
  <c r="H17" i="11"/>
  <c r="Q12" i="30" s="1"/>
  <c r="I17" i="11"/>
  <c r="J17" i="11"/>
  <c r="S12" i="30" s="1"/>
  <c r="H18" i="11"/>
  <c r="Q13" i="30" s="1"/>
  <c r="AP31" i="11"/>
  <c r="AO31" i="11"/>
  <c r="AP32" i="11"/>
  <c r="AO32" i="11"/>
  <c r="R15" i="30"/>
  <c r="R14" i="30"/>
  <c r="C102" i="11"/>
  <c r="H100" i="11"/>
  <c r="S11" i="30"/>
  <c r="H65" i="11"/>
  <c r="R11" i="30"/>
  <c r="E101" i="11"/>
  <c r="H77" i="11"/>
  <c r="D101" i="11"/>
  <c r="H94" i="11"/>
  <c r="H85" i="11"/>
  <c r="H44" i="11" s="1"/>
  <c r="H80" i="11"/>
  <c r="H29" i="11" s="1"/>
  <c r="H86" i="11"/>
  <c r="H45" i="11" s="1"/>
  <c r="H83" i="11"/>
  <c r="H42" i="11" s="1"/>
  <c r="H96" i="11"/>
  <c r="H84" i="11"/>
  <c r="H43" i="11" s="1"/>
  <c r="P15" i="30"/>
  <c r="J18" i="11"/>
  <c r="H95" i="11"/>
  <c r="B130" i="25" s="1"/>
  <c r="P14" i="30"/>
  <c r="C4" i="32"/>
  <c r="D118" i="38" l="1"/>
  <c r="B129" i="25"/>
  <c r="C129" i="25" s="1"/>
  <c r="H36" i="11"/>
  <c r="B131" i="25"/>
  <c r="C131" i="25" s="1"/>
  <c r="H38" i="11"/>
  <c r="U30" i="23" s="1"/>
  <c r="C151" i="38"/>
  <c r="H35" i="11"/>
  <c r="R12" i="30"/>
  <c r="H25" i="11"/>
  <c r="CC12" i="1"/>
  <c r="C130" i="25"/>
  <c r="I18" i="11"/>
  <c r="S13" i="30"/>
  <c r="I23" i="23"/>
  <c r="BA7" i="7" l="1"/>
  <c r="BM7" i="7"/>
  <c r="B106" i="25"/>
  <c r="C106" i="25" s="1"/>
  <c r="B105" i="25"/>
  <c r="C105" i="25" s="1"/>
  <c r="S57" i="11"/>
  <c r="R13" i="30"/>
  <c r="CJ219" i="1" l="1"/>
  <c r="CJ220" i="1"/>
  <c r="C117" i="25"/>
  <c r="D37" i="23"/>
  <c r="M31" i="23"/>
  <c r="X9" i="23" s="1"/>
  <c r="H37" i="42"/>
  <c r="S16" i="30"/>
  <c r="R16" i="30"/>
  <c r="Q16" i="30"/>
  <c r="S46" i="11"/>
  <c r="AB56" i="11"/>
  <c r="C123" i="38"/>
  <c r="H32" i="23"/>
  <c r="J100" i="19"/>
  <c r="R22" i="33"/>
  <c r="F45" i="33"/>
  <c r="Q65" i="33"/>
  <c r="S44" i="11"/>
  <c r="CJ264" i="1" l="1"/>
  <c r="CB57" i="4"/>
  <c r="CO57" i="4" s="1"/>
  <c r="AF9" i="11"/>
  <c r="AF14" i="11" s="1"/>
  <c r="AE9" i="11"/>
  <c r="AE14" i="11" s="1"/>
  <c r="AD9" i="11"/>
  <c r="AA4" i="30"/>
  <c r="J43" i="23"/>
  <c r="EF57" i="4"/>
  <c r="EB57" i="4"/>
  <c r="G12" i="38" l="1"/>
  <c r="C49" i="12" s="1"/>
  <c r="C48" i="12" s="1"/>
  <c r="DA57" i="4"/>
  <c r="L114" i="19"/>
  <c r="AG11" i="11"/>
  <c r="T208" i="3" l="1"/>
  <c r="T211" i="3"/>
  <c r="BD134" i="3"/>
  <c r="BD18" i="3"/>
  <c r="F49" i="12"/>
  <c r="D26" i="5" s="1"/>
  <c r="D17" i="31"/>
  <c r="Q33" i="33"/>
  <c r="Q36" i="33"/>
  <c r="T63" i="11"/>
  <c r="AC63" i="11" s="1"/>
  <c r="E64" i="11"/>
  <c r="X4" i="11" s="1"/>
  <c r="G31" i="42"/>
  <c r="O21" i="11"/>
  <c r="O22" i="11"/>
  <c r="Q20" i="11" l="1"/>
  <c r="G18" i="11"/>
  <c r="AL81" i="11"/>
  <c r="AL86" i="11" s="1"/>
  <c r="AM81" i="11"/>
  <c r="AM86" i="11" s="1"/>
  <c r="C23" i="11"/>
  <c r="P20" i="11" s="1"/>
  <c r="AC68" i="11"/>
  <c r="AD64" i="11"/>
  <c r="C64" i="11"/>
  <c r="C21" i="11"/>
  <c r="D64" i="11"/>
  <c r="X3" i="11" s="1"/>
  <c r="F11" i="42"/>
  <c r="D11" i="42" s="1"/>
  <c r="N14" i="30"/>
  <c r="G62" i="11"/>
  <c r="N15" i="30"/>
  <c r="F12" i="42"/>
  <c r="D12" i="42" s="1"/>
  <c r="F62" i="11"/>
  <c r="F102" i="11" s="1"/>
  <c r="G38" i="42"/>
  <c r="H38" i="42" s="1"/>
  <c r="F45" i="42"/>
  <c r="AJ5" i="21"/>
  <c r="AJ8" i="21"/>
  <c r="AU13" i="21" l="1" a="1"/>
  <c r="AU13" i="21" s="1"/>
  <c r="AQ9" i="21" a="1"/>
  <c r="AQ9" i="21" s="1"/>
  <c r="AO10" i="21" a="1"/>
  <c r="AO10" i="21" s="1"/>
  <c r="G10" i="21" s="1"/>
  <c r="AU6" i="21" a="1"/>
  <c r="AU6" i="21" s="1"/>
  <c r="AP8" i="21" a="1"/>
  <c r="AP8" i="21" s="1"/>
  <c r="AT7" i="21" a="1"/>
  <c r="AT7" i="21" s="1"/>
  <c r="AS7" i="21" a="1"/>
  <c r="AS7" i="21" s="1"/>
  <c r="AP10" i="21" a="1"/>
  <c r="AP10" i="21" s="1"/>
  <c r="AU8" i="21" a="1"/>
  <c r="AU8" i="21" s="1"/>
  <c r="AS12" i="21" a="1"/>
  <c r="AS12" i="21" s="1"/>
  <c r="AT13" i="21" a="1"/>
  <c r="AT13" i="21" s="1"/>
  <c r="AO8" i="21" a="1"/>
  <c r="AO8" i="21" s="1"/>
  <c r="G8" i="21" s="1"/>
  <c r="AS5" i="21" a="1"/>
  <c r="AS5" i="21" s="1"/>
  <c r="AT6" i="21" a="1"/>
  <c r="AT6" i="21" s="1"/>
  <c r="AR6" i="21" a="1"/>
  <c r="AR6" i="21" s="1"/>
  <c r="AQ6" i="21" a="1"/>
  <c r="AQ6" i="21" s="1"/>
  <c r="AT8" i="21" a="1"/>
  <c r="AT8" i="21" s="1"/>
  <c r="AP9" i="21" a="1"/>
  <c r="AP9" i="21" s="1"/>
  <c r="AQ11" i="21" a="1"/>
  <c r="AQ11" i="21" s="1"/>
  <c r="AR12" i="21" a="1"/>
  <c r="AR12" i="21" s="1"/>
  <c r="AU7" i="21" a="1"/>
  <c r="AU7" i="21" s="1"/>
  <c r="AO9" i="21" a="1"/>
  <c r="AO9" i="21" s="1"/>
  <c r="G9" i="21" s="1"/>
  <c r="AQ13" i="21" a="1"/>
  <c r="AQ13" i="21" s="1"/>
  <c r="AP5" i="21" a="1"/>
  <c r="AP5" i="21" s="1"/>
  <c r="AO13" i="21" a="1"/>
  <c r="AO13" i="21" s="1"/>
  <c r="G13" i="21" s="1"/>
  <c r="AR7" i="21" a="1"/>
  <c r="AR7" i="21" s="1"/>
  <c r="AR11" i="21" a="1"/>
  <c r="AR11" i="21" s="1"/>
  <c r="AU9" i="21" a="1"/>
  <c r="AU9" i="21" s="1"/>
  <c r="AP11" i="21" a="1"/>
  <c r="AP11" i="21" s="1"/>
  <c r="AS13" i="21" a="1"/>
  <c r="AS13" i="21" s="1"/>
  <c r="AS10" i="21" a="1"/>
  <c r="AS10" i="21" s="1"/>
  <c r="AQ5" i="21" a="1"/>
  <c r="AQ5" i="21" s="1"/>
  <c r="AO6" i="21" a="1"/>
  <c r="AO6" i="21" s="1"/>
  <c r="G6" i="21" s="1"/>
  <c r="AO5" i="21" a="1"/>
  <c r="AO5" i="21" s="1"/>
  <c r="G5" i="21" s="1"/>
  <c r="AP6" i="21" a="1"/>
  <c r="AP6" i="21" s="1"/>
  <c r="AR9" i="21" a="1"/>
  <c r="AR9" i="21" s="1"/>
  <c r="AS8" i="21" a="1"/>
  <c r="AS8" i="21" s="1"/>
  <c r="AT9" i="21" a="1"/>
  <c r="AT9" i="21" s="1"/>
  <c r="AQ12" i="21" a="1"/>
  <c r="AQ12" i="21" s="1"/>
  <c r="AR13" i="21" a="1"/>
  <c r="AR13" i="21" s="1"/>
  <c r="AP13" i="21" a="1"/>
  <c r="AP13" i="21" s="1"/>
  <c r="AU12" i="21" a="1"/>
  <c r="AU12" i="21" s="1"/>
  <c r="AU11" i="21" a="1"/>
  <c r="AU11" i="21" s="1"/>
  <c r="AO12" i="21" a="1"/>
  <c r="AO12" i="21" s="1"/>
  <c r="G12" i="21" s="1"/>
  <c r="AQ8" i="21" a="1"/>
  <c r="AQ8" i="21" s="1"/>
  <c r="AQ7" i="21" a="1"/>
  <c r="AQ7" i="21" s="1"/>
  <c r="AR8" i="21" a="1"/>
  <c r="AR8" i="21" s="1"/>
  <c r="AU10" i="21" a="1"/>
  <c r="AU10" i="21" s="1"/>
  <c r="AP12" i="21" a="1"/>
  <c r="AP12" i="21" s="1"/>
  <c r="AT11" i="21" a="1"/>
  <c r="AT11" i="21" s="1"/>
  <c r="AS11" i="21" a="1"/>
  <c r="AS11" i="21" s="1"/>
  <c r="AO7" i="21" a="1"/>
  <c r="AO7" i="21" s="1"/>
  <c r="G7" i="21" s="1"/>
  <c r="AR5" i="21" a="1"/>
  <c r="AR5" i="21" s="1"/>
  <c r="AT5" i="21" a="1"/>
  <c r="AT5" i="21" s="1"/>
  <c r="AU5" i="21" a="1"/>
  <c r="AU5" i="21" s="1"/>
  <c r="AP7" i="21" a="1"/>
  <c r="AP7" i="21" s="1"/>
  <c r="AS9" i="21" a="1"/>
  <c r="AS9" i="21" s="1"/>
  <c r="AT10" i="21" a="1"/>
  <c r="AT10" i="21" s="1"/>
  <c r="AR10" i="21" a="1"/>
  <c r="AR10" i="21" s="1"/>
  <c r="AQ10" i="21" a="1"/>
  <c r="AQ10" i="21" s="1"/>
  <c r="AT12" i="21" a="1"/>
  <c r="AT12" i="21" s="1"/>
  <c r="AS6" i="21" a="1"/>
  <c r="AS6" i="21" s="1"/>
  <c r="AO11" i="21" a="1"/>
  <c r="AO11" i="21" s="1"/>
  <c r="G11" i="21" s="1"/>
  <c r="AO32" i="21" a="1"/>
  <c r="AO32" i="21" s="1"/>
  <c r="G32" i="21" s="1"/>
  <c r="AO30" i="21" a="1"/>
  <c r="AO30" i="21" s="1"/>
  <c r="G30" i="21" s="1"/>
  <c r="AO28" i="21" a="1"/>
  <c r="AO28" i="21" s="1"/>
  <c r="G28" i="21" s="1"/>
  <c r="AO34" i="21" a="1"/>
  <c r="AO34" i="21" s="1"/>
  <c r="G34" i="21" s="1"/>
  <c r="AO35" i="21" a="1"/>
  <c r="AO35" i="21" s="1"/>
  <c r="G35" i="21" s="1"/>
  <c r="AO31" i="21" a="1"/>
  <c r="AO31" i="21" s="1"/>
  <c r="G31" i="21" s="1"/>
  <c r="AO33" i="21" a="1"/>
  <c r="AO33" i="21" s="1"/>
  <c r="G33" i="21" s="1"/>
  <c r="AO29" i="21" a="1"/>
  <c r="AO29" i="21" s="1"/>
  <c r="G29" i="21" s="1"/>
  <c r="AO27" i="21" a="1"/>
  <c r="AO27" i="21" s="1"/>
  <c r="G27" i="21" s="1"/>
  <c r="AP28" i="21" a="1"/>
  <c r="AP28" i="21" s="1"/>
  <c r="AP35" i="21" a="1"/>
  <c r="AP35" i="21" s="1"/>
  <c r="AP34" i="21" a="1"/>
  <c r="AP34" i="21" s="1"/>
  <c r="AP33" i="21" a="1"/>
  <c r="AP33" i="21" s="1"/>
  <c r="AP31" i="21" a="1"/>
  <c r="AP31" i="21" s="1"/>
  <c r="AP30" i="21" a="1"/>
  <c r="AP30" i="21" s="1"/>
  <c r="AP27" i="21" a="1"/>
  <c r="AP27" i="21" s="1"/>
  <c r="AP32" i="21" a="1"/>
  <c r="AP32" i="21" s="1"/>
  <c r="AP29" i="21" a="1"/>
  <c r="AP29" i="21" s="1"/>
  <c r="AS35" i="21" a="1"/>
  <c r="AS35" i="21" s="1"/>
  <c r="AS27" i="21" a="1"/>
  <c r="AS27" i="21" s="1"/>
  <c r="AS34" i="21" a="1"/>
  <c r="AS34" i="21" s="1"/>
  <c r="AR28" i="21" a="1"/>
  <c r="AR28" i="21" s="1"/>
  <c r="AR27" i="21" a="1"/>
  <c r="AR27" i="21" s="1"/>
  <c r="AQ31" i="21" a="1"/>
  <c r="AQ31" i="21" s="1"/>
  <c r="AQ28" i="21" a="1"/>
  <c r="AQ28" i="21" s="1"/>
  <c r="AS31" i="21" a="1"/>
  <c r="AS31" i="21" s="1"/>
  <c r="AS32" i="21" a="1"/>
  <c r="AS32" i="21" s="1"/>
  <c r="AR34" i="21" a="1"/>
  <c r="AR34" i="21" s="1"/>
  <c r="AR29" i="21" a="1"/>
  <c r="AR29" i="21" s="1"/>
  <c r="AQ35" i="21" a="1"/>
  <c r="AQ35" i="21" s="1"/>
  <c r="AQ29" i="21" a="1"/>
  <c r="AQ29" i="21" s="1"/>
  <c r="AQ32" i="21" a="1"/>
  <c r="AQ32" i="21" s="1"/>
  <c r="AR33" i="21" a="1"/>
  <c r="AR33" i="21" s="1"/>
  <c r="AQ30" i="21" a="1"/>
  <c r="AQ30" i="21" s="1"/>
  <c r="AS29" i="21" a="1"/>
  <c r="AS29" i="21" s="1"/>
  <c r="AS28" i="21" a="1"/>
  <c r="AS28" i="21" s="1"/>
  <c r="AR32" i="21" a="1"/>
  <c r="AR32" i="21" s="1"/>
  <c r="AR35" i="21" a="1"/>
  <c r="AR35" i="21" s="1"/>
  <c r="AQ33" i="21" a="1"/>
  <c r="AQ33" i="21" s="1"/>
  <c r="AQ34" i="21" a="1"/>
  <c r="AQ34" i="21" s="1"/>
  <c r="AS33" i="21" a="1"/>
  <c r="AS33" i="21" s="1"/>
  <c r="AS30" i="21" a="1"/>
  <c r="AS30" i="21" s="1"/>
  <c r="AR30" i="21" a="1"/>
  <c r="AR30" i="21" s="1"/>
  <c r="AR31" i="21" a="1"/>
  <c r="AR31" i="21" s="1"/>
  <c r="AQ27" i="21" a="1"/>
  <c r="AQ27" i="21" s="1"/>
  <c r="AU35" i="21" a="1"/>
  <c r="AU35" i="21" s="1"/>
  <c r="AU30" i="21" a="1"/>
  <c r="AU30" i="21" s="1"/>
  <c r="AT32" i="21" a="1"/>
  <c r="AT32" i="21" s="1"/>
  <c r="AT29" i="21" a="1"/>
  <c r="AT29" i="21" s="1"/>
  <c r="AU31" i="21" a="1"/>
  <c r="AU31" i="21" s="1"/>
  <c r="AT30" i="21" a="1"/>
  <c r="AT30" i="21" s="1"/>
  <c r="AU33" i="21" a="1"/>
  <c r="AU33" i="21" s="1"/>
  <c r="AU29" i="21" a="1"/>
  <c r="AU29" i="21" s="1"/>
  <c r="AU32" i="21" a="1"/>
  <c r="AU32" i="21" s="1"/>
  <c r="AT28" i="21" a="1"/>
  <c r="AT28" i="21" s="1"/>
  <c r="AT35" i="21" a="1"/>
  <c r="AT35" i="21" s="1"/>
  <c r="AU27" i="21" a="1"/>
  <c r="AU27" i="21" s="1"/>
  <c r="AU34" i="21" a="1"/>
  <c r="AU34" i="21" s="1"/>
  <c r="AT34" i="21" a="1"/>
  <c r="AT34" i="21" s="1"/>
  <c r="AT33" i="21" a="1"/>
  <c r="AT33" i="21" s="1"/>
  <c r="AT31" i="21" a="1"/>
  <c r="AT31" i="21" s="1"/>
  <c r="AU28" i="21" a="1"/>
  <c r="AU28" i="21" s="1"/>
  <c r="AT27" i="21" a="1"/>
  <c r="AT27" i="21" s="1"/>
  <c r="Q18" i="11"/>
  <c r="Q19" i="11"/>
  <c r="G16" i="11"/>
  <c r="G17" i="11"/>
  <c r="AL87" i="11"/>
  <c r="AK87" i="11" s="1"/>
  <c r="AK88" i="11" s="1"/>
  <c r="P21" i="11"/>
  <c r="P19" i="11"/>
  <c r="P22" i="11"/>
  <c r="D21" i="10"/>
  <c r="D17" i="10"/>
  <c r="AE65" i="11"/>
  <c r="AE67" i="11"/>
  <c r="AE64" i="11"/>
  <c r="AE66" i="11"/>
  <c r="AE63" i="11"/>
  <c r="H39" i="11"/>
  <c r="P13" i="30"/>
  <c r="G101" i="11"/>
  <c r="H82" i="11"/>
  <c r="H31" i="11" s="1"/>
  <c r="H81" i="11"/>
  <c r="H30" i="11" s="1"/>
  <c r="H98" i="11"/>
  <c r="H33" i="11" s="1"/>
  <c r="H97" i="11"/>
  <c r="H32" i="11" s="1"/>
  <c r="B138" i="25"/>
  <c r="C138" i="25" s="1"/>
  <c r="D14" i="10"/>
  <c r="D19" i="10"/>
  <c r="D15" i="10"/>
  <c r="D18" i="10"/>
  <c r="D20" i="10"/>
  <c r="D13" i="10"/>
  <c r="B12" i="10"/>
  <c r="H99" i="11"/>
  <c r="H37" i="11" s="1"/>
  <c r="F101" i="11"/>
  <c r="H87" i="11"/>
  <c r="H46" i="11" s="1"/>
  <c r="AL12" i="7" s="1"/>
  <c r="GM10" i="4" l="1"/>
  <c r="GM11" i="4"/>
  <c r="H33" i="21"/>
  <c r="H35" i="21"/>
  <c r="H32" i="21"/>
  <c r="H30" i="21"/>
  <c r="H34" i="21"/>
  <c r="H10" i="21"/>
  <c r="H7" i="21"/>
  <c r="H31" i="21"/>
  <c r="H11" i="21"/>
  <c r="H12" i="21"/>
  <c r="H29" i="21"/>
  <c r="H27" i="21"/>
  <c r="H6" i="21"/>
  <c r="H28" i="21"/>
  <c r="H8" i="21"/>
  <c r="H5" i="21"/>
  <c r="H13" i="21"/>
  <c r="H9" i="21"/>
  <c r="I27" i="21"/>
  <c r="I12" i="21"/>
  <c r="I33" i="21"/>
  <c r="I7" i="21"/>
  <c r="I11" i="21"/>
  <c r="I31" i="21"/>
  <c r="I8" i="21"/>
  <c r="I32" i="21"/>
  <c r="I29" i="21"/>
  <c r="I9" i="21"/>
  <c r="I13" i="21"/>
  <c r="I34" i="21"/>
  <c r="I5" i="21"/>
  <c r="I30" i="21"/>
  <c r="I35" i="21"/>
  <c r="I6" i="21"/>
  <c r="I28" i="21"/>
  <c r="I10" i="21"/>
  <c r="J10" i="21"/>
  <c r="J5" i="21"/>
  <c r="J7" i="21"/>
  <c r="J12" i="21"/>
  <c r="J33" i="21"/>
  <c r="J29" i="21"/>
  <c r="J13" i="21"/>
  <c r="J8" i="21"/>
  <c r="J31" i="21"/>
  <c r="J35" i="21"/>
  <c r="J34" i="21"/>
  <c r="J27" i="21"/>
  <c r="J6" i="21"/>
  <c r="J30" i="21"/>
  <c r="J32" i="21"/>
  <c r="J28" i="21"/>
  <c r="J11" i="21"/>
  <c r="J9" i="21"/>
  <c r="L9" i="21"/>
  <c r="M9" i="21"/>
  <c r="L34" i="21"/>
  <c r="M34" i="21"/>
  <c r="L32" i="21"/>
  <c r="M32" i="21"/>
  <c r="K5" i="21"/>
  <c r="K11" i="21"/>
  <c r="L35" i="21"/>
  <c r="M35" i="21"/>
  <c r="L13" i="21"/>
  <c r="M13" i="21"/>
  <c r="L10" i="21"/>
  <c r="M10" i="21"/>
  <c r="L5" i="21"/>
  <c r="M5" i="21"/>
  <c r="L27" i="21"/>
  <c r="M27" i="21"/>
  <c r="L29" i="21"/>
  <c r="M29" i="21"/>
  <c r="K9" i="21"/>
  <c r="K7" i="21"/>
  <c r="K30" i="21"/>
  <c r="K28" i="21"/>
  <c r="K32" i="21"/>
  <c r="K34" i="21"/>
  <c r="L11" i="21"/>
  <c r="M11" i="21"/>
  <c r="L8" i="21"/>
  <c r="M8" i="21"/>
  <c r="L12" i="21"/>
  <c r="M12" i="21"/>
  <c r="L6" i="21"/>
  <c r="M6" i="21"/>
  <c r="L28" i="21"/>
  <c r="M28" i="21"/>
  <c r="K12" i="21"/>
  <c r="L33" i="21"/>
  <c r="M33" i="21"/>
  <c r="K6" i="21"/>
  <c r="K33" i="21"/>
  <c r="K29" i="21"/>
  <c r="K31" i="21"/>
  <c r="K27" i="21"/>
  <c r="L7" i="21"/>
  <c r="M7" i="21"/>
  <c r="K10" i="21"/>
  <c r="K8" i="21"/>
  <c r="L31" i="21"/>
  <c r="M31" i="21"/>
  <c r="L30" i="21"/>
  <c r="M30" i="21"/>
  <c r="K13" i="21"/>
  <c r="K35" i="21"/>
  <c r="AQ20" i="21"/>
  <c r="AU20" i="21"/>
  <c r="AQ42" i="21"/>
  <c r="AU42" i="21"/>
  <c r="GM57" i="4"/>
  <c r="GM51" i="4"/>
  <c r="GM46" i="4"/>
  <c r="GM42" i="4"/>
  <c r="GM38" i="4"/>
  <c r="GM34" i="4"/>
  <c r="GM30" i="4"/>
  <c r="GM23" i="4"/>
  <c r="GM19" i="4"/>
  <c r="GM15" i="4"/>
  <c r="GM9" i="4"/>
  <c r="GM5" i="4"/>
  <c r="GL57" i="4"/>
  <c r="GM56" i="4"/>
  <c r="GM50" i="4"/>
  <c r="GM45" i="4"/>
  <c r="GM41" i="4"/>
  <c r="GM37" i="4"/>
  <c r="GM33" i="4"/>
  <c r="GM29" i="4"/>
  <c r="GM22" i="4"/>
  <c r="GM18" i="4"/>
  <c r="GM14" i="4"/>
  <c r="GM8" i="4"/>
  <c r="GM53" i="4"/>
  <c r="GM48" i="4"/>
  <c r="GM44" i="4"/>
  <c r="GM40" i="4"/>
  <c r="GM36" i="4"/>
  <c r="GM32" i="4"/>
  <c r="GM25" i="4"/>
  <c r="GM21" i="4"/>
  <c r="GM17" i="4"/>
  <c r="GM13" i="4"/>
  <c r="GM7" i="4"/>
  <c r="GM52" i="4"/>
  <c r="GM47" i="4"/>
  <c r="GM43" i="4"/>
  <c r="GM39" i="4"/>
  <c r="GM31" i="4"/>
  <c r="GM24" i="4"/>
  <c r="GM20" i="4"/>
  <c r="GM16" i="4"/>
  <c r="GM12" i="4"/>
  <c r="GM6" i="4"/>
  <c r="GM35" i="4"/>
  <c r="B121" i="25"/>
  <c r="G18" i="48"/>
  <c r="N56" i="7"/>
  <c r="O56" i="7"/>
  <c r="G22" i="42"/>
  <c r="B132" i="25"/>
  <c r="C132" i="25" s="1"/>
  <c r="G19" i="42"/>
  <c r="Y55" i="7"/>
  <c r="DV55" i="7"/>
  <c r="AK122" i="7"/>
  <c r="D99" i="38"/>
  <c r="FM26" i="4" s="1"/>
  <c r="D98" i="38"/>
  <c r="G55" i="7"/>
  <c r="D21" i="38"/>
  <c r="B133" i="25"/>
  <c r="K60" i="7"/>
  <c r="K59" i="7"/>
  <c r="Y58" i="7"/>
  <c r="AA56" i="7"/>
  <c r="AC55" i="7"/>
  <c r="K55" i="7"/>
  <c r="E58" i="7"/>
  <c r="AH60" i="7"/>
  <c r="AH58" i="7"/>
  <c r="AE60" i="7"/>
  <c r="AE59" i="7"/>
  <c r="AF58" i="7"/>
  <c r="L58" i="7"/>
  <c r="AF55" i="7"/>
  <c r="Q55" i="7"/>
  <c r="E60" i="7"/>
  <c r="E55" i="7"/>
  <c r="Y60" i="7"/>
  <c r="Y59" i="7"/>
  <c r="AE58" i="7"/>
  <c r="K58" i="7"/>
  <c r="AE55" i="7"/>
  <c r="L55" i="7"/>
  <c r="E59" i="7"/>
  <c r="AH59" i="7"/>
  <c r="Q58" i="7"/>
  <c r="AH55" i="7"/>
  <c r="B134" i="25"/>
  <c r="C134" i="25" s="1"/>
  <c r="BF57" i="7"/>
  <c r="BE57" i="7"/>
  <c r="BE15" i="7"/>
  <c r="BF15" i="7"/>
  <c r="B120" i="25"/>
  <c r="C120" i="25" s="1"/>
  <c r="B152" i="25"/>
  <c r="C152" i="25" s="1"/>
  <c r="B156" i="25"/>
  <c r="C156" i="25" s="1"/>
  <c r="B148" i="25"/>
  <c r="C148" i="25" s="1"/>
  <c r="B159" i="25"/>
  <c r="C159" i="25" s="1"/>
  <c r="B155" i="25"/>
  <c r="C155" i="25" s="1"/>
  <c r="B147" i="25"/>
  <c r="C147" i="25" s="1"/>
  <c r="B162" i="25"/>
  <c r="C162" i="25" s="1"/>
  <c r="B158" i="25"/>
  <c r="C158" i="25" s="1"/>
  <c r="B154" i="25"/>
  <c r="C154" i="25" s="1"/>
  <c r="B150" i="25"/>
  <c r="C150" i="25" s="1"/>
  <c r="B157" i="25"/>
  <c r="C157" i="25" s="1"/>
  <c r="B153" i="25"/>
  <c r="C153" i="25" s="1"/>
  <c r="B149" i="25"/>
  <c r="C149" i="25" s="1"/>
  <c r="B164" i="25"/>
  <c r="C164" i="25" s="1"/>
  <c r="D25" i="23"/>
  <c r="C22" i="42"/>
  <c r="AO72" i="11"/>
  <c r="AN72" i="11"/>
  <c r="AO71" i="11"/>
  <c r="AN71" i="11"/>
  <c r="AF64" i="11"/>
  <c r="Z73" i="11"/>
  <c r="AA73" i="11"/>
  <c r="Y73" i="11"/>
  <c r="X51" i="11"/>
  <c r="AF63" i="11"/>
  <c r="AG64" i="11"/>
  <c r="AG66" i="11"/>
  <c r="Z72" i="11"/>
  <c r="AE77" i="11" s="1"/>
  <c r="Y72" i="11"/>
  <c r="X58" i="11"/>
  <c r="AA72" i="11"/>
  <c r="AG67" i="11"/>
  <c r="O66" i="11"/>
  <c r="D53" i="23" s="1"/>
  <c r="X57" i="11"/>
  <c r="AG65" i="11"/>
  <c r="I16" i="30"/>
  <c r="I60" i="38"/>
  <c r="H102" i="11"/>
  <c r="AF128" i="7"/>
  <c r="AE128" i="7"/>
  <c r="L128" i="7"/>
  <c r="B36" i="10"/>
  <c r="AI14" i="11"/>
  <c r="BE250" i="3" s="1"/>
  <c r="B69" i="33"/>
  <c r="AH128" i="7"/>
  <c r="F22" i="42"/>
  <c r="B34" i="10"/>
  <c r="Q45" i="33"/>
  <c r="F44" i="33" s="1"/>
  <c r="F23" i="42"/>
  <c r="H57" i="38"/>
  <c r="P12" i="30"/>
  <c r="H101" i="11"/>
  <c r="I17" i="30"/>
  <c r="D26" i="23"/>
  <c r="F19" i="42"/>
  <c r="C33" i="38"/>
  <c r="C68" i="11" l="1"/>
  <c r="F68" i="11"/>
  <c r="N33" i="11" s="1"/>
  <c r="AD4" i="21"/>
  <c r="AD5" i="21" s="1"/>
  <c r="AD6" i="21" s="1"/>
  <c r="AD7" i="21" s="1"/>
  <c r="AC4" i="21"/>
  <c r="AC5" i="21" s="1"/>
  <c r="AC6" i="21" s="1"/>
  <c r="AC7" i="21" s="1"/>
  <c r="AC8" i="21" s="1"/>
  <c r="M20" i="21"/>
  <c r="I20" i="21"/>
  <c r="I42" i="21"/>
  <c r="M42" i="21"/>
  <c r="H66" i="38"/>
  <c r="BD216" i="3"/>
  <c r="C67" i="11" s="1"/>
  <c r="H69" i="38"/>
  <c r="H65" i="38"/>
  <c r="H68" i="38"/>
  <c r="H67" i="38"/>
  <c r="AN76" i="11"/>
  <c r="AO76" i="11"/>
  <c r="Y77" i="11"/>
  <c r="G54" i="11" s="1"/>
  <c r="Q17" i="30" s="1"/>
  <c r="AD77" i="11"/>
  <c r="X54" i="11" s="1"/>
  <c r="Z77" i="11"/>
  <c r="H54" i="11" s="1"/>
  <c r="O71" i="11" s="1"/>
  <c r="O78" i="11" s="1"/>
  <c r="AF68" i="11"/>
  <c r="AG74" i="11" s="1"/>
  <c r="AA77" i="11"/>
  <c r="I54" i="11" s="1"/>
  <c r="S17" i="30" s="1"/>
  <c r="C133" i="25"/>
  <c r="F20" i="42"/>
  <c r="I18" i="30"/>
  <c r="C121" i="25"/>
  <c r="N30" i="11" l="1"/>
  <c r="AC9" i="21"/>
  <c r="AC10" i="21" s="1"/>
  <c r="AD8" i="21"/>
  <c r="F54" i="11"/>
  <c r="AH74" i="11"/>
  <c r="AF73" i="11"/>
  <c r="R17" i="30"/>
  <c r="AH72" i="11"/>
  <c r="AG75" i="11"/>
  <c r="AF72" i="11"/>
  <c r="AG73" i="11"/>
  <c r="AF74" i="11"/>
  <c r="AH76" i="11"/>
  <c r="AH73" i="11"/>
  <c r="AF76" i="11"/>
  <c r="AF75" i="11"/>
  <c r="AG76" i="11"/>
  <c r="AG72" i="11"/>
  <c r="AH75" i="11"/>
  <c r="D68" i="11"/>
  <c r="E68" i="11"/>
  <c r="D67" i="11"/>
  <c r="E67" i="11"/>
  <c r="B140" i="25" s="1"/>
  <c r="AD9" i="21" l="1"/>
  <c r="AD10" i="21" s="1"/>
  <c r="X53" i="11"/>
  <c r="B139" i="25"/>
  <c r="C139" i="25" s="1"/>
  <c r="N31" i="11"/>
  <c r="P17" i="30"/>
  <c r="AF77" i="11"/>
  <c r="AH77" i="11"/>
  <c r="AG77" i="11"/>
  <c r="C140" i="25"/>
  <c r="N32" i="11"/>
  <c r="X56" i="11" l="1"/>
  <c r="AE34" i="11" l="1"/>
  <c r="BM60" i="42" l="1"/>
  <c r="O15" i="36" l="1"/>
  <c r="Q15" i="36" s="1"/>
  <c r="E16" i="36" s="1"/>
  <c r="O16" i="36"/>
  <c r="Q16" i="36" s="1"/>
  <c r="P16" i="36" s="1"/>
  <c r="E17" i="36" s="1"/>
  <c r="P15" i="36" l="1"/>
  <c r="E15" i="36" s="1"/>
  <c r="E18" i="36"/>
  <c r="E54" i="11" l="1"/>
  <c r="AO10" i="1" s="1"/>
  <c r="AO11" i="1" s="1"/>
  <c r="S38" i="33"/>
  <c r="AO27" i="1" a="1"/>
  <c r="AO33" i="1" l="1"/>
  <c r="AO35" i="1"/>
  <c r="AY100" i="42" s="1"/>
  <c r="AO28" i="1"/>
  <c r="AO27" i="1"/>
  <c r="AO30" i="1"/>
  <c r="AO31" i="1"/>
  <c r="AO29" i="1"/>
  <c r="AO32" i="1"/>
  <c r="AO34" i="1"/>
  <c r="C60" i="38"/>
  <c r="AO5" i="1"/>
  <c r="N35" i="4"/>
  <c r="C35" i="38"/>
  <c r="R40" i="33"/>
  <c r="Q40" i="33"/>
  <c r="Q41" i="33" s="1"/>
  <c r="P40" i="33"/>
  <c r="O17" i="30"/>
  <c r="N17" i="30"/>
  <c r="D44" i="5"/>
  <c r="C61" i="38" l="1"/>
  <c r="AO393" i="1" s="1"/>
  <c r="AO394" i="1" s="1"/>
  <c r="FO27" i="4"/>
  <c r="C37" i="38"/>
  <c r="F31" i="33" l="1"/>
  <c r="Q14" i="7" l="1"/>
  <c r="G49" i="33"/>
  <c r="E14" i="7"/>
  <c r="AH14" i="7"/>
  <c r="AE14" i="7"/>
  <c r="AF14" i="7"/>
  <c r="X24" i="10"/>
  <c r="K14" i="7"/>
  <c r="Y14" i="7"/>
  <c r="BG5" i="10" l="1"/>
  <c r="BI51" i="10"/>
  <c r="BM5" i="10"/>
  <c r="BT5" i="10"/>
  <c r="BA51" i="10"/>
  <c r="BP5" i="10"/>
  <c r="BQ5" i="10"/>
  <c r="BF5" i="10"/>
  <c r="BN5" i="10"/>
  <c r="BS5" i="10"/>
  <c r="O55" i="4"/>
  <c r="BL8" i="42"/>
  <c r="AX439" i="1" l="1"/>
  <c r="BS22" i="42"/>
  <c r="AZ439" i="1" l="1"/>
  <c r="BB439" i="1"/>
  <c r="DM57" i="4"/>
  <c r="DJ57" i="4" l="1"/>
  <c r="DJ38" i="4"/>
  <c r="BD439" i="1"/>
  <c r="BS89" i="42" s="1"/>
  <c r="DX51" i="7" l="1"/>
  <c r="BO60" i="42" l="1"/>
  <c r="BR60" i="42"/>
  <c r="BL11" i="42" l="1"/>
  <c r="T48" i="4" l="1"/>
  <c r="R28" i="33" l="1"/>
  <c r="R83" i="19" l="1"/>
  <c r="U48" i="4" l="1"/>
  <c r="Q48" i="33" l="1"/>
  <c r="BS66" i="42" l="1"/>
  <c r="DX33" i="7" l="1"/>
  <c r="DX31" i="7" l="1"/>
  <c r="O50" i="19" l="1"/>
  <c r="AY16" i="42" l="1"/>
  <c r="BN11" i="1" l="1"/>
  <c r="AV11" i="1"/>
  <c r="AZ11" i="1"/>
  <c r="AX11" i="1"/>
  <c r="BL11" i="1"/>
  <c r="BJ11" i="1" l="1"/>
  <c r="BF11" i="1" l="1"/>
  <c r="BD11" i="1" l="1"/>
  <c r="BB11" i="1"/>
  <c r="BH11" i="1" l="1"/>
  <c r="DY25" i="7" l="1"/>
  <c r="DZ25" i="7" s="1"/>
  <c r="D16" i="10" l="1"/>
  <c r="B151" i="25" s="1"/>
  <c r="C151" i="25" s="1"/>
  <c r="GR49" i="4" l="1"/>
  <c r="DM51" i="7"/>
  <c r="DY48" i="7" l="1"/>
  <c r="DZ48" i="7" s="1"/>
  <c r="DY24" i="7"/>
  <c r="DZ24" i="7" s="1"/>
  <c r="DY54" i="7"/>
  <c r="T106" i="19"/>
  <c r="B6" i="25" l="1"/>
  <c r="C6" i="25" s="1"/>
  <c r="EB24" i="7"/>
  <c r="EB48" i="7"/>
  <c r="EB25" i="7"/>
  <c r="EB61" i="7"/>
  <c r="EB63" i="7"/>
  <c r="AO47" i="1" l="1"/>
  <c r="DX54" i="7" l="1"/>
  <c r="DZ54" i="7" s="1"/>
  <c r="EB54" i="7" s="1"/>
  <c r="Q23" i="11" l="1"/>
  <c r="R18" i="11" l="1"/>
  <c r="P2" i="11" s="1"/>
  <c r="R22" i="11"/>
  <c r="Q24" i="11"/>
  <c r="R20" i="11"/>
  <c r="R19" i="11"/>
  <c r="P3" i="11" s="1"/>
  <c r="R21" i="11"/>
  <c r="AB18" i="11" l="1"/>
  <c r="AE18" i="11"/>
  <c r="AF30" i="11"/>
  <c r="AC18" i="11"/>
  <c r="R15" i="10"/>
  <c r="AD18" i="11"/>
  <c r="R19" i="10"/>
  <c r="R17" i="10"/>
  <c r="R16" i="10"/>
  <c r="R14" i="10"/>
  <c r="R11" i="10"/>
  <c r="R10" i="10"/>
  <c r="R13" i="10"/>
  <c r="S18" i="11"/>
  <c r="U18" i="11" s="1"/>
  <c r="R18" i="10"/>
  <c r="R20" i="10"/>
  <c r="R22" i="10"/>
  <c r="R8" i="10"/>
  <c r="R9" i="10"/>
  <c r="R12" i="10"/>
  <c r="R21" i="10"/>
  <c r="P4" i="11"/>
  <c r="AD20" i="11"/>
  <c r="P6" i="11"/>
  <c r="F50" i="1" s="1"/>
  <c r="AE22" i="11"/>
  <c r="AB22" i="11"/>
  <c r="AD22" i="11"/>
  <c r="AF34" i="11"/>
  <c r="AC22" i="11"/>
  <c r="P5" i="11"/>
  <c r="AE21" i="11"/>
  <c r="AD21" i="11"/>
  <c r="AF33" i="11"/>
  <c r="AB21" i="11"/>
  <c r="AC21" i="11"/>
  <c r="S21" i="11"/>
  <c r="U21" i="11" s="1"/>
  <c r="S22" i="11"/>
  <c r="U22" i="11" s="1"/>
  <c r="I30" i="23"/>
  <c r="BN7" i="1"/>
  <c r="AB19" i="11"/>
  <c r="AC19" i="11"/>
  <c r="AE19" i="11"/>
  <c r="AF31" i="11"/>
  <c r="AD19" i="11"/>
  <c r="S19" i="11"/>
  <c r="U19" i="11" s="1"/>
  <c r="AE20" i="11"/>
  <c r="AC20" i="11"/>
  <c r="AF32" i="11"/>
  <c r="AB20" i="11"/>
  <c r="S20" i="11"/>
  <c r="U20" i="11" s="1"/>
  <c r="L50" i="1" l="1"/>
  <c r="H50" i="1"/>
  <c r="AD23" i="11"/>
  <c r="F15" i="42" s="1"/>
  <c r="AB23" i="11"/>
  <c r="F17" i="42" s="1"/>
  <c r="AF35" i="11"/>
  <c r="AE23" i="11"/>
  <c r="V26" i="11" s="1"/>
  <c r="U23" i="11"/>
  <c r="V18" i="11" s="1"/>
  <c r="AC23" i="11"/>
  <c r="F18" i="42" s="1"/>
  <c r="S23" i="11"/>
  <c r="AP20" i="30"/>
  <c r="BN53" i="1"/>
  <c r="V34" i="11" l="1"/>
  <c r="X34" i="11"/>
  <c r="P34" i="11"/>
  <c r="X33" i="11"/>
  <c r="V33" i="11"/>
  <c r="P33" i="11"/>
  <c r="V31" i="11"/>
  <c r="X31" i="11"/>
  <c r="T26" i="11"/>
  <c r="V30" i="11"/>
  <c r="X30" i="11"/>
  <c r="X32" i="11"/>
  <c r="V32" i="11"/>
  <c r="V20" i="11"/>
  <c r="V19" i="11"/>
  <c r="V21" i="11"/>
  <c r="V22" i="11"/>
  <c r="P30" i="11"/>
  <c r="P32" i="11"/>
  <c r="P31" i="11"/>
  <c r="T20" i="11"/>
  <c r="T18" i="11"/>
  <c r="AI41" i="11" s="1"/>
  <c r="T21" i="11"/>
  <c r="T19" i="11"/>
  <c r="T22" i="11"/>
  <c r="AG34" i="11" s="1"/>
  <c r="V6" i="11" s="1"/>
  <c r="AG33" i="11" l="1"/>
  <c r="V5" i="11" s="1"/>
  <c r="U34" i="11"/>
  <c r="W34" i="11"/>
  <c r="O34" i="11"/>
  <c r="X22" i="11" s="1"/>
  <c r="U33" i="11"/>
  <c r="W33" i="11"/>
  <c r="O33" i="11"/>
  <c r="X21" i="11" s="1"/>
  <c r="AG31" i="11"/>
  <c r="V3" i="11" s="1"/>
  <c r="O32" i="11"/>
  <c r="U31" i="11"/>
  <c r="W31" i="11"/>
  <c r="AK41" i="11"/>
  <c r="Y18" i="11"/>
  <c r="O31" i="11"/>
  <c r="X19" i="11" s="1"/>
  <c r="AA43" i="11"/>
  <c r="AI43" i="11"/>
  <c r="AK43" i="11" s="1"/>
  <c r="W18" i="11"/>
  <c r="AF18" i="11" s="1"/>
  <c r="O30" i="11"/>
  <c r="X18" i="11" s="1"/>
  <c r="U30" i="11"/>
  <c r="W30" i="11"/>
  <c r="W32" i="11"/>
  <c r="U32" i="11"/>
  <c r="Y21" i="11"/>
  <c r="V23" i="11"/>
  <c r="W21" i="11"/>
  <c r="AF21" i="11" s="1"/>
  <c r="Y22" i="11"/>
  <c r="W19" i="11"/>
  <c r="AF19" i="11" s="1"/>
  <c r="AI42" i="11"/>
  <c r="AK42" i="11" s="1"/>
  <c r="AI44" i="11"/>
  <c r="W20" i="11"/>
  <c r="AF20" i="11" s="1"/>
  <c r="Y19" i="11"/>
  <c r="AG30" i="11"/>
  <c r="V2" i="11" s="1"/>
  <c r="T23" i="11"/>
  <c r="W22" i="11"/>
  <c r="AF22" i="11" s="1"/>
  <c r="AI45" i="11"/>
  <c r="AG32" i="11"/>
  <c r="V4" i="11" s="1"/>
  <c r="Y20" i="11"/>
  <c r="AJ44" i="11" l="1"/>
  <c r="AJ43" i="11"/>
  <c r="X20" i="11"/>
  <c r="X23" i="11" s="1"/>
  <c r="AJ41" i="11"/>
  <c r="AJ42" i="11"/>
  <c r="AK44" i="11"/>
  <c r="W23" i="11"/>
  <c r="Z21" i="11" s="1"/>
  <c r="Y23" i="11"/>
  <c r="AH22" i="11" s="1"/>
  <c r="AJ45" i="11"/>
  <c r="AK45" i="11"/>
  <c r="AF23" i="11"/>
  <c r="R23" i="11" s="1"/>
  <c r="AA21" i="11" l="1"/>
  <c r="AR33" i="11"/>
  <c r="AQ33" i="11"/>
  <c r="AA33" i="11"/>
  <c r="AE33" i="11"/>
  <c r="AC33" i="11"/>
  <c r="AB33" i="11"/>
  <c r="AD33" i="11"/>
  <c r="Z18" i="11"/>
  <c r="AB30" i="11" s="1"/>
  <c r="AJ46" i="11"/>
  <c r="Z20" i="11"/>
  <c r="AE32" i="11" s="1"/>
  <c r="AK46" i="11"/>
  <c r="Z22" i="11"/>
  <c r="Z19" i="11"/>
  <c r="AA19" i="11" s="1"/>
  <c r="AH20" i="11"/>
  <c r="AH21" i="11"/>
  <c r="AH18" i="11"/>
  <c r="AH19" i="11"/>
  <c r="AG21" i="11"/>
  <c r="AG19" i="11"/>
  <c r="AG20" i="11"/>
  <c r="AG18" i="11"/>
  <c r="AG22" i="11"/>
  <c r="AH34" i="11"/>
  <c r="AI34" i="11"/>
  <c r="AJ34" i="11"/>
  <c r="AH31" i="11"/>
  <c r="AH32" i="11"/>
  <c r="AI31" i="11"/>
  <c r="AJ33" i="11"/>
  <c r="AJ31" i="11"/>
  <c r="AH33" i="11"/>
  <c r="AI32" i="11"/>
  <c r="AI33" i="11"/>
  <c r="AJ32" i="11"/>
  <c r="AI30" i="11"/>
  <c r="AG35" i="11"/>
  <c r="Z3" i="11" s="1"/>
  <c r="O35" i="11"/>
  <c r="P35" i="11"/>
  <c r="AJ30" i="11"/>
  <c r="N35" i="11"/>
  <c r="AH30" i="11"/>
  <c r="AA32" i="11"/>
  <c r="AA20" i="11" l="1"/>
  <c r="AD32" i="11"/>
  <c r="AA22" i="11"/>
  <c r="AR34" i="11"/>
  <c r="AQ34" i="11"/>
  <c r="AD34" i="11"/>
  <c r="AC34" i="11"/>
  <c r="AA34" i="11"/>
  <c r="AB34" i="11"/>
  <c r="AD30" i="11"/>
  <c r="AA18" i="11"/>
  <c r="AE30" i="11"/>
  <c r="AH23" i="11"/>
  <c r="AK21" i="11" s="1"/>
  <c r="AG23" i="11"/>
  <c r="AJ19" i="11" s="1"/>
  <c r="AA30" i="11"/>
  <c r="AR30" i="11"/>
  <c r="AC30" i="11"/>
  <c r="AQ30" i="11"/>
  <c r="AJ47" i="11"/>
  <c r="AQ32" i="11"/>
  <c r="AQ31" i="11"/>
  <c r="AB32" i="11"/>
  <c r="AR31" i="11"/>
  <c r="Z23" i="11"/>
  <c r="AR32" i="11"/>
  <c r="AC32" i="11"/>
  <c r="AC31" i="11"/>
  <c r="AH35" i="11"/>
  <c r="H67" i="11" s="1"/>
  <c r="AD31" i="11"/>
  <c r="AA31" i="11"/>
  <c r="AB31" i="11"/>
  <c r="AE31" i="11"/>
  <c r="AJ35" i="11"/>
  <c r="AI35" i="11"/>
  <c r="H68" i="11" s="1"/>
  <c r="Q32" i="11"/>
  <c r="T4" i="11" s="1"/>
  <c r="Q31" i="11"/>
  <c r="T3" i="11" s="1"/>
  <c r="Q33" i="11"/>
  <c r="T5" i="11" s="1"/>
  <c r="Q30" i="11"/>
  <c r="T2" i="11" s="1"/>
  <c r="Q34" i="11"/>
  <c r="T6" i="11" s="1"/>
  <c r="R32" i="11"/>
  <c r="R31" i="11"/>
  <c r="R30" i="11"/>
  <c r="R34" i="11"/>
  <c r="R33" i="11"/>
  <c r="S30" i="11"/>
  <c r="S31" i="11"/>
  <c r="S32" i="11"/>
  <c r="S34" i="11"/>
  <c r="S33" i="11"/>
  <c r="AI20" i="11" l="1"/>
  <c r="F18" i="11" s="1"/>
  <c r="AE35" i="11"/>
  <c r="H79" i="11" s="1"/>
  <c r="AJ22" i="11"/>
  <c r="AD35" i="11"/>
  <c r="H78" i="11" s="1"/>
  <c r="AK20" i="11"/>
  <c r="AK22" i="11"/>
  <c r="AK18" i="11"/>
  <c r="AK19" i="11"/>
  <c r="AL19" i="11" s="1"/>
  <c r="AJ21" i="11"/>
  <c r="AL21" i="11" s="1"/>
  <c r="AJ20" i="11"/>
  <c r="AA35" i="11"/>
  <c r="H88" i="11" s="1"/>
  <c r="AJ18" i="11"/>
  <c r="AQ35" i="11"/>
  <c r="AI22" i="11"/>
  <c r="R6" i="11" s="1"/>
  <c r="AB35" i="11"/>
  <c r="H89" i="11" s="1"/>
  <c r="AC35" i="11"/>
  <c r="H90" i="11" s="1"/>
  <c r="AI21" i="11"/>
  <c r="F19" i="11" s="1"/>
  <c r="Z5" i="11"/>
  <c r="B109" i="25" s="1"/>
  <c r="C109" i="25" s="1"/>
  <c r="H69" i="11"/>
  <c r="Z6" i="11"/>
  <c r="AI18" i="11"/>
  <c r="R2" i="11" s="1"/>
  <c r="AI47" i="11"/>
  <c r="Z4" i="11" s="1"/>
  <c r="AR35" i="11"/>
  <c r="AI19" i="11"/>
  <c r="T30" i="11"/>
  <c r="T31" i="11"/>
  <c r="T34" i="11"/>
  <c r="T32" i="11"/>
  <c r="T33" i="11"/>
  <c r="R4" i="11" l="1"/>
  <c r="AL22" i="11"/>
  <c r="F20" i="11"/>
  <c r="H93" i="11"/>
  <c r="I49" i="11"/>
  <c r="CJ24" i="1" s="1"/>
  <c r="E49" i="11"/>
  <c r="CJ25" i="1" s="1"/>
  <c r="H92" i="11"/>
  <c r="AL18" i="11"/>
  <c r="AL20" i="11"/>
  <c r="H21" i="11"/>
  <c r="I24" i="23" s="1"/>
  <c r="AI48" i="11"/>
  <c r="I21" i="11"/>
  <c r="F16" i="11"/>
  <c r="R5" i="11"/>
  <c r="B108" i="25"/>
  <c r="C108" i="25" s="1"/>
  <c r="D56" i="10"/>
  <c r="F17" i="11"/>
  <c r="R3" i="11"/>
  <c r="B110" i="25"/>
  <c r="C110" i="25" s="1"/>
  <c r="AG24" i="11"/>
  <c r="BS95" i="42" l="1"/>
  <c r="CJ190" i="1"/>
  <c r="CJ191" i="1" s="1"/>
  <c r="CJ195" i="1"/>
  <c r="CJ198" i="1" s="1"/>
  <c r="CJ206" i="1"/>
  <c r="CJ201" i="1"/>
  <c r="CJ204" i="1" s="1"/>
  <c r="I25" i="23"/>
  <c r="CJ23" i="1"/>
  <c r="I15" i="30"/>
  <c r="R23" i="33"/>
  <c r="B127" i="25"/>
  <c r="C127" i="25" s="1"/>
  <c r="CJ21" i="1"/>
  <c r="CJ22" i="1"/>
  <c r="BS97" i="42" s="1"/>
  <c r="B128" i="25"/>
  <c r="C128" i="25" s="1"/>
  <c r="AH24" i="11"/>
  <c r="O44" i="11" l="1"/>
  <c r="O46" i="11"/>
  <c r="BS96" i="42"/>
  <c r="CJ229" i="1"/>
  <c r="CJ230" i="1" s="1"/>
  <c r="BS32" i="42"/>
  <c r="CJ196" i="1"/>
  <c r="CJ202" i="1"/>
  <c r="CJ193" i="1"/>
  <c r="CJ209" i="1"/>
  <c r="CJ207" i="1"/>
  <c r="BS31" i="42"/>
  <c r="CJ159" i="1"/>
  <c r="T43" i="11"/>
  <c r="F33" i="42" s="1"/>
  <c r="O45" i="11"/>
  <c r="T42" i="11"/>
  <c r="H32" i="42" s="1"/>
  <c r="F32" i="42" s="1"/>
  <c r="T41" i="11"/>
  <c r="I7" i="11" s="1"/>
  <c r="T40" i="11"/>
  <c r="T44" i="11"/>
  <c r="O43" i="11"/>
  <c r="O42" i="11"/>
  <c r="AB57" i="4"/>
  <c r="AC57" i="4"/>
  <c r="Y57" i="4"/>
  <c r="Z57" i="4"/>
  <c r="AA57" i="4"/>
  <c r="F46" i="42" l="1"/>
  <c r="F13" i="42"/>
  <c r="H433" i="1"/>
  <c r="AI447" i="1"/>
  <c r="AI457" i="1" s="1"/>
  <c r="AB47" i="11"/>
  <c r="AE447" i="1"/>
  <c r="AG447" i="1"/>
  <c r="AG457" i="1" s="1"/>
  <c r="D433" i="1"/>
  <c r="N433" i="1"/>
  <c r="X433" i="1"/>
  <c r="P433" i="1"/>
  <c r="L433" i="1"/>
  <c r="T433" i="1"/>
  <c r="F433" i="1"/>
  <c r="V433" i="1"/>
  <c r="J433" i="1"/>
  <c r="R433" i="1"/>
  <c r="CJ221" i="1"/>
  <c r="CJ224" i="1" s="1"/>
  <c r="CJ225" i="1" s="1"/>
  <c r="BY15" i="1"/>
  <c r="BR9" i="42"/>
  <c r="BO9" i="42"/>
  <c r="AB46" i="11"/>
  <c r="G38" i="38"/>
  <c r="G39" i="38" s="1"/>
  <c r="AF24" i="30" s="1"/>
  <c r="G27" i="38"/>
  <c r="D30" i="31"/>
  <c r="C47" i="11"/>
  <c r="CD57" i="4"/>
  <c r="BS68" i="42"/>
  <c r="AM21" i="30"/>
  <c r="AM23" i="30" s="1"/>
  <c r="G23" i="38"/>
  <c r="AX9" i="1"/>
  <c r="AG21" i="30"/>
  <c r="AG23" i="30" s="1"/>
  <c r="BJ9" i="42"/>
  <c r="AZ9" i="1"/>
  <c r="AI21" i="30"/>
  <c r="AI23" i="30" s="1"/>
  <c r="C139" i="38"/>
  <c r="AL21" i="30"/>
  <c r="AL23" i="30" s="1"/>
  <c r="E61" i="10"/>
  <c r="BH9" i="42"/>
  <c r="BI9" i="42"/>
  <c r="BC9" i="42"/>
  <c r="AV9" i="1"/>
  <c r="BK9" i="42"/>
  <c r="F40" i="33"/>
  <c r="B54" i="33" s="1"/>
  <c r="S23" i="10"/>
  <c r="AX23" i="10" s="1"/>
  <c r="Q42" i="33"/>
  <c r="BN9" i="1"/>
  <c r="BL9" i="42"/>
  <c r="AH21" i="30"/>
  <c r="AH23" i="30" s="1"/>
  <c r="D29" i="31"/>
  <c r="D64" i="33"/>
  <c r="AP21" i="30"/>
  <c r="AP23" i="30" s="1"/>
  <c r="BD9" i="42"/>
  <c r="Q10" i="42" s="1"/>
  <c r="AN21" i="30"/>
  <c r="AN23" i="30" s="1"/>
  <c r="BG9" i="42"/>
  <c r="C46" i="11"/>
  <c r="AJ21" i="30"/>
  <c r="AJ23" i="30" s="1"/>
  <c r="AO21" i="30"/>
  <c r="AO23" i="30" s="1"/>
  <c r="AX6" i="1"/>
  <c r="BD12" i="42" s="1"/>
  <c r="Q13" i="42" s="1"/>
  <c r="BE9" i="42"/>
  <c r="BF9" i="42"/>
  <c r="AK21" i="30"/>
  <c r="AK23" i="30" s="1"/>
  <c r="H13" i="43"/>
  <c r="C39" i="11"/>
  <c r="X55" i="11"/>
  <c r="I31" i="23"/>
  <c r="J51" i="23" s="1"/>
  <c r="K51" i="23" s="1"/>
  <c r="B107" i="25"/>
  <c r="C107" i="25" s="1"/>
  <c r="S50" i="11"/>
  <c r="D18" i="38"/>
  <c r="H66" i="11"/>
  <c r="AM89" i="7"/>
  <c r="C40" i="11"/>
  <c r="I32" i="23"/>
  <c r="O48" i="11"/>
  <c r="I8" i="11"/>
  <c r="I29" i="43"/>
  <c r="CC15" i="1"/>
  <c r="BQ9" i="42"/>
  <c r="AS6" i="30" l="1"/>
  <c r="B28" i="30" s="1"/>
  <c r="AE457" i="1"/>
  <c r="AE487" i="1" s="1"/>
  <c r="CJ133" i="1"/>
  <c r="CJ81" i="1"/>
  <c r="AK12" i="1"/>
  <c r="AC11" i="42"/>
  <c r="BO16" i="7"/>
  <c r="N11" i="4"/>
  <c r="N10" i="4"/>
  <c r="AB28" i="7"/>
  <c r="Q29" i="7"/>
  <c r="AH29" i="7"/>
  <c r="AF29" i="7"/>
  <c r="BM12" i="7"/>
  <c r="AC29" i="7"/>
  <c r="BM9" i="7"/>
  <c r="AB29" i="7"/>
  <c r="Y29" i="7"/>
  <c r="L416" i="1"/>
  <c r="O15" i="4" s="1"/>
  <c r="O8" i="19"/>
  <c r="Y47" i="11"/>
  <c r="Z47" i="11" s="1"/>
  <c r="T46" i="11" s="1"/>
  <c r="N47" i="11" s="1"/>
  <c r="G44" i="42"/>
  <c r="H44" i="42" s="1"/>
  <c r="O54" i="4"/>
  <c r="O48" i="4"/>
  <c r="O40" i="4"/>
  <c r="O41" i="4"/>
  <c r="O39" i="4"/>
  <c r="AI477" i="1"/>
  <c r="AI487" i="1"/>
  <c r="AG477" i="1"/>
  <c r="AG487" i="1"/>
  <c r="AE38" i="7"/>
  <c r="CK38" i="7"/>
  <c r="AV38" i="7"/>
  <c r="CJ222" i="1"/>
  <c r="Y46" i="11"/>
  <c r="Z46" i="11" s="1"/>
  <c r="T45" i="11" s="1"/>
  <c r="O56" i="4"/>
  <c r="O52" i="4"/>
  <c r="DB62" i="7"/>
  <c r="DY62" i="7" s="1"/>
  <c r="BZ62" i="7"/>
  <c r="G147" i="38"/>
  <c r="CC57" i="4"/>
  <c r="DB57" i="4" s="1"/>
  <c r="BS62" i="42"/>
  <c r="G45" i="42"/>
  <c r="H45" i="42" s="1"/>
  <c r="DC57" i="4"/>
  <c r="CQ57" i="4"/>
  <c r="N114" i="19"/>
  <c r="C12" i="25"/>
  <c r="F49" i="33"/>
  <c r="Y84" i="7"/>
  <c r="J11" i="7"/>
  <c r="N50" i="4"/>
  <c r="B102" i="25"/>
  <c r="C102" i="25" s="1"/>
  <c r="DD49" i="7"/>
  <c r="DY49" i="7" s="1"/>
  <c r="N52" i="4"/>
  <c r="D57" i="10"/>
  <c r="AD9" i="7"/>
  <c r="N33" i="4"/>
  <c r="Y18" i="7"/>
  <c r="N39" i="4"/>
  <c r="K39" i="7"/>
  <c r="G49" i="7"/>
  <c r="E99" i="7"/>
  <c r="AX11" i="42"/>
  <c r="Y74" i="7"/>
  <c r="N31" i="4"/>
  <c r="AE16" i="7"/>
  <c r="BS11" i="42"/>
  <c r="AH18" i="7"/>
  <c r="U8" i="10"/>
  <c r="BA8" i="10" s="1"/>
  <c r="N20" i="4"/>
  <c r="Q37" i="7"/>
  <c r="N22" i="4"/>
  <c r="I49" i="7"/>
  <c r="N53" i="4"/>
  <c r="AH83" i="7"/>
  <c r="N19" i="4"/>
  <c r="N13" i="4"/>
  <c r="N46" i="4"/>
  <c r="N54" i="4"/>
  <c r="N51" i="4"/>
  <c r="CL32" i="7"/>
  <c r="FL35" i="4"/>
  <c r="N28" i="4"/>
  <c r="E86" i="7"/>
  <c r="Y16" i="7"/>
  <c r="P79" i="7"/>
  <c r="AB7" i="7"/>
  <c r="AL76" i="7"/>
  <c r="AF16" i="7"/>
  <c r="D7" i="10"/>
  <c r="AD11" i="7"/>
  <c r="I79" i="7"/>
  <c r="AN11" i="42"/>
  <c r="BZ43" i="7"/>
  <c r="N18" i="4"/>
  <c r="H58" i="38"/>
  <c r="AF15" i="30"/>
  <c r="AC7" i="7"/>
  <c r="G15" i="38"/>
  <c r="N55" i="4"/>
  <c r="N29" i="4"/>
  <c r="CJ23" i="7"/>
  <c r="N23" i="4"/>
  <c r="DH14" i="7"/>
  <c r="F50" i="11"/>
  <c r="Y37" i="7"/>
  <c r="P9" i="7"/>
  <c r="N37" i="4"/>
  <c r="AZ120" i="7"/>
  <c r="Y17" i="7"/>
  <c r="N56" i="4"/>
  <c r="P50" i="7"/>
  <c r="AA11" i="42"/>
  <c r="Z49" i="7"/>
  <c r="F49" i="7"/>
  <c r="BN11" i="42"/>
  <c r="B17" i="23"/>
  <c r="G52" i="7"/>
  <c r="N36" i="4"/>
  <c r="AF17" i="7"/>
  <c r="AA79" i="7"/>
  <c r="AE11" i="42"/>
  <c r="X7" i="7"/>
  <c r="U37" i="7"/>
  <c r="E57" i="10"/>
  <c r="I50" i="7"/>
  <c r="AC28" i="7"/>
  <c r="J49" i="7"/>
  <c r="AD49" i="7"/>
  <c r="N6" i="4"/>
  <c r="AW11" i="42"/>
  <c r="Y12" i="7"/>
  <c r="AH16" i="7"/>
  <c r="N14" i="4"/>
  <c r="N47" i="4"/>
  <c r="CL23" i="7"/>
  <c r="AU11" i="42"/>
  <c r="AG11" i="42"/>
  <c r="N8" i="4"/>
  <c r="Z9" i="7"/>
  <c r="AF18" i="7"/>
  <c r="G11" i="7"/>
  <c r="FJ35" i="4"/>
  <c r="AE84" i="7"/>
  <c r="AF84" i="7"/>
  <c r="AY120" i="7"/>
  <c r="N7" i="4"/>
  <c r="CI45" i="7"/>
  <c r="H102" i="38"/>
  <c r="I16" i="23"/>
  <c r="BQ11" i="42"/>
  <c r="B123" i="25"/>
  <c r="C123" i="25" s="1"/>
  <c r="CJ34" i="7"/>
  <c r="R37" i="7"/>
  <c r="W99" i="7"/>
  <c r="O9" i="7"/>
  <c r="L74" i="7"/>
  <c r="N16" i="4"/>
  <c r="BO11" i="42"/>
  <c r="AA50" i="7"/>
  <c r="P11" i="7"/>
  <c r="L17" i="7"/>
  <c r="AH17" i="7"/>
  <c r="EB17" i="7" s="1"/>
  <c r="J50" i="7"/>
  <c r="AA11" i="7"/>
  <c r="Y7" i="7"/>
  <c r="AE83" i="7"/>
  <c r="AE17" i="7"/>
  <c r="CH45" i="7"/>
  <c r="BM11" i="42"/>
  <c r="AL11" i="42"/>
  <c r="N25" i="4"/>
  <c r="C170" i="38"/>
  <c r="N12" i="4"/>
  <c r="CL35" i="7"/>
  <c r="B80" i="25"/>
  <c r="C80" i="25" s="1"/>
  <c r="AK11" i="42"/>
  <c r="G126" i="38"/>
  <c r="AZ6" i="1" s="1"/>
  <c r="BE12" i="42" s="1"/>
  <c r="O49" i="7"/>
  <c r="I11" i="7"/>
  <c r="Z11" i="7"/>
  <c r="B126" i="25"/>
  <c r="C126" i="25" s="1"/>
  <c r="N49" i="7"/>
  <c r="J21" i="11"/>
  <c r="H60" i="38"/>
  <c r="G97" i="7"/>
  <c r="CE9" i="7"/>
  <c r="AE18" i="7"/>
  <c r="N26" i="4"/>
  <c r="N24" i="4"/>
  <c r="G119" i="7"/>
  <c r="AF83" i="7"/>
  <c r="O50" i="7"/>
  <c r="N44" i="4"/>
  <c r="N41" i="4"/>
  <c r="N79" i="7"/>
  <c r="CL6" i="7"/>
  <c r="AO12" i="1"/>
  <c r="N15" i="4"/>
  <c r="CE49" i="7"/>
  <c r="N34" i="4"/>
  <c r="B35" i="25"/>
  <c r="C35" i="25" s="1"/>
  <c r="Y11" i="42"/>
  <c r="FH35" i="4"/>
  <c r="AR11" i="42"/>
  <c r="AV11" i="42"/>
  <c r="AT11" i="42"/>
  <c r="AY11" i="42"/>
  <c r="B122" i="25"/>
  <c r="C122" i="25" s="1"/>
  <c r="G30" i="7"/>
  <c r="O11" i="7"/>
  <c r="AA49" i="7"/>
  <c r="N9" i="7"/>
  <c r="N43" i="4"/>
  <c r="CJ6" i="7"/>
  <c r="N27" i="4"/>
  <c r="N11" i="7"/>
  <c r="C7" i="42"/>
  <c r="N30" i="4"/>
  <c r="AC74" i="7"/>
  <c r="N5" i="4"/>
  <c r="S30" i="23"/>
  <c r="N38" i="4"/>
  <c r="F79" i="7"/>
  <c r="L18" i="7"/>
  <c r="L16" i="7"/>
  <c r="E39" i="7"/>
  <c r="N40" i="4"/>
  <c r="N21" i="4"/>
  <c r="D95" i="38"/>
  <c r="AX120" i="7"/>
  <c r="N48" i="4"/>
  <c r="N9" i="4"/>
  <c r="AA97" i="7"/>
  <c r="B125" i="25"/>
  <c r="C125" i="25" s="1"/>
  <c r="C32" i="38"/>
  <c r="C34" i="38" s="1"/>
  <c r="AA30" i="7"/>
  <c r="W86" i="7"/>
  <c r="C16" i="23"/>
  <c r="O79" i="7"/>
  <c r="X38" i="7"/>
  <c r="AA52" i="7"/>
  <c r="AK10" i="1"/>
  <c r="AQ20" i="30" s="1"/>
  <c r="CL34" i="7"/>
  <c r="AI11" i="42"/>
  <c r="H12" i="43"/>
  <c r="Z79" i="7"/>
  <c r="AE15" i="30"/>
  <c r="G79" i="7"/>
  <c r="G50" i="7"/>
  <c r="M74" i="7"/>
  <c r="Z50" i="7"/>
  <c r="AP11" i="42"/>
  <c r="BR11" i="42"/>
  <c r="AB74" i="7"/>
  <c r="DB37" i="7"/>
  <c r="W39" i="7"/>
  <c r="X74" i="7"/>
  <c r="P49" i="7"/>
  <c r="N50" i="7"/>
  <c r="AE37" i="7"/>
  <c r="B124" i="25"/>
  <c r="C124" i="25" s="1"/>
  <c r="N42" i="4"/>
  <c r="CJ35" i="7"/>
  <c r="FI35" i="4"/>
  <c r="CL19" i="7"/>
  <c r="J79" i="7"/>
  <c r="AA119" i="7"/>
  <c r="N17" i="4"/>
  <c r="N45" i="4"/>
  <c r="BP11" i="42"/>
  <c r="N32" i="4"/>
  <c r="AD15" i="30"/>
  <c r="CE40" i="7"/>
  <c r="L84" i="7"/>
  <c r="AD79" i="7"/>
  <c r="H98" i="38"/>
  <c r="F50" i="7"/>
  <c r="AD50" i="7"/>
  <c r="DH79" i="7"/>
  <c r="AN14" i="7"/>
  <c r="AH84" i="7"/>
  <c r="AA9" i="7"/>
  <c r="L83" i="7"/>
  <c r="F11" i="7"/>
  <c r="G43" i="42"/>
  <c r="H43" i="42" s="1"/>
  <c r="C164" i="38"/>
  <c r="G40" i="42"/>
  <c r="H40" i="42" s="1"/>
  <c r="AC36" i="7"/>
  <c r="AB36" i="7"/>
  <c r="R36" i="7"/>
  <c r="K36" i="7"/>
  <c r="BY36" i="7"/>
  <c r="L36" i="7"/>
  <c r="E36" i="7"/>
  <c r="AF36" i="7"/>
  <c r="AE36" i="7"/>
  <c r="D45" i="23"/>
  <c r="Q36" i="7"/>
  <c r="AH36" i="7"/>
  <c r="Y36" i="7"/>
  <c r="AE477" i="1" l="1"/>
  <c r="AD3" i="30"/>
  <c r="W21" i="30" s="1"/>
  <c r="EX57" i="4"/>
  <c r="BS70" i="42"/>
  <c r="BN381" i="1"/>
  <c r="BN382" i="1"/>
  <c r="G16" i="38"/>
  <c r="O28" i="10" s="1"/>
  <c r="C91" i="38"/>
  <c r="CE26" i="4" s="1"/>
  <c r="DD26" i="4" s="1"/>
  <c r="GM27" i="4"/>
  <c r="H103" i="38"/>
  <c r="CA15" i="1"/>
  <c r="G153" i="38"/>
  <c r="BP9" i="42"/>
  <c r="G26" i="38"/>
  <c r="AO23" i="1"/>
  <c r="AO398" i="1" s="1"/>
  <c r="O47" i="11"/>
  <c r="M114" i="19"/>
  <c r="CP57" i="4"/>
  <c r="DC13" i="7"/>
  <c r="G47" i="42"/>
  <c r="H47" i="42" s="1"/>
  <c r="G158" i="38"/>
  <c r="G159" i="38"/>
  <c r="EB49" i="7"/>
  <c r="DB12" i="7"/>
  <c r="D96" i="38"/>
  <c r="DN57" i="4"/>
  <c r="BS57" i="42"/>
  <c r="H104" i="38"/>
  <c r="AK23" i="1"/>
  <c r="G133" i="38"/>
  <c r="F53" i="42" s="1"/>
  <c r="F30" i="33"/>
  <c r="Q66" i="33" s="1"/>
  <c r="P12" i="7"/>
  <c r="P20" i="7"/>
  <c r="DH52" i="7"/>
  <c r="F20" i="7"/>
  <c r="F16" i="42"/>
  <c r="G12" i="7"/>
  <c r="F12" i="7"/>
  <c r="O12" i="7"/>
  <c r="N20" i="7"/>
  <c r="J20" i="7"/>
  <c r="DB52" i="7"/>
  <c r="O20" i="7"/>
  <c r="Z12" i="7"/>
  <c r="AA12" i="7"/>
  <c r="AD20" i="7"/>
  <c r="I20" i="7"/>
  <c r="AD12" i="7"/>
  <c r="N12" i="7"/>
  <c r="AA20" i="7"/>
  <c r="I12" i="7"/>
  <c r="J12" i="7"/>
  <c r="D42" i="23"/>
  <c r="Z20" i="7"/>
  <c r="DH12" i="7"/>
  <c r="C85" i="38"/>
  <c r="BW471" i="1" s="1"/>
  <c r="BW472" i="1" s="1"/>
  <c r="BW473" i="1" s="1"/>
  <c r="G20" i="7"/>
  <c r="H91" i="38"/>
  <c r="H94" i="38"/>
  <c r="G97" i="38" s="1"/>
  <c r="H92" i="38"/>
  <c r="G95" i="38" s="1"/>
  <c r="BW341" i="1" s="1"/>
  <c r="H93" i="38"/>
  <c r="G96" i="38" s="1"/>
  <c r="BW342" i="1" s="1"/>
  <c r="C165" i="38"/>
  <c r="G25" i="42"/>
  <c r="F51" i="42"/>
  <c r="F43" i="33"/>
  <c r="B56" i="33" s="1"/>
  <c r="H100" i="38"/>
  <c r="H99" i="38"/>
  <c r="BW345" i="1" s="1"/>
  <c r="S47" i="11"/>
  <c r="R24" i="33"/>
  <c r="CJ26" i="1"/>
  <c r="J22" i="11"/>
  <c r="T47" i="11"/>
  <c r="B119" i="25"/>
  <c r="C119" i="25" s="1"/>
  <c r="H26" i="11"/>
  <c r="F14" i="42" s="1"/>
  <c r="L26" i="40"/>
  <c r="H76" i="38"/>
  <c r="H75" i="38"/>
  <c r="H74" i="38"/>
  <c r="R38" i="4"/>
  <c r="F32" i="33" l="1"/>
  <c r="Q67" i="33"/>
  <c r="P29" i="30"/>
  <c r="P26" i="30"/>
  <c r="AZ307" i="1"/>
  <c r="FO41" i="4" s="1"/>
  <c r="AX307" i="1"/>
  <c r="FO40" i="4" s="1"/>
  <c r="BN307" i="1"/>
  <c r="BL307" i="1"/>
  <c r="FO47" i="4" s="1"/>
  <c r="BJ307" i="1"/>
  <c r="FO46" i="4" s="1"/>
  <c r="BH307" i="1"/>
  <c r="FO45" i="4" s="1"/>
  <c r="BD307" i="1"/>
  <c r="FO43" i="4" s="1"/>
  <c r="BB307" i="1"/>
  <c r="FO42" i="4" s="1"/>
  <c r="BF307" i="1"/>
  <c r="FO44" i="4" s="1"/>
  <c r="AO323" i="1"/>
  <c r="FO35" i="4" s="1"/>
  <c r="AI720" i="1"/>
  <c r="FO30" i="4" s="1"/>
  <c r="AG720" i="1"/>
  <c r="FO37" i="4" s="1"/>
  <c r="AM323" i="1"/>
  <c r="FO34" i="4" s="1"/>
  <c r="AG323" i="1"/>
  <c r="FO32" i="4" s="1"/>
  <c r="AI323" i="1"/>
  <c r="FO29" i="4" s="1"/>
  <c r="AK323" i="1"/>
  <c r="FO38" i="4" s="1"/>
  <c r="D692" i="1"/>
  <c r="FO7" i="4" s="1"/>
  <c r="H692" i="1"/>
  <c r="FO11" i="4" s="1"/>
  <c r="GL54" i="4"/>
  <c r="CJ237" i="1"/>
  <c r="CJ134" i="1"/>
  <c r="BW476" i="1"/>
  <c r="BN71" i="42"/>
  <c r="CJ169" i="1"/>
  <c r="CJ257" i="1" s="1"/>
  <c r="O53" i="4"/>
  <c r="BW475" i="1"/>
  <c r="T692" i="1"/>
  <c r="FO19" i="4" s="1"/>
  <c r="L692" i="1"/>
  <c r="FO15" i="4" s="1"/>
  <c r="R692" i="1"/>
  <c r="FO17" i="4" s="1"/>
  <c r="J692" i="1"/>
  <c r="FO13" i="4" s="1"/>
  <c r="P692" i="1"/>
  <c r="V692" i="1"/>
  <c r="FO23" i="4" s="1"/>
  <c r="X692" i="1"/>
  <c r="FO25" i="4" s="1"/>
  <c r="F692" i="1"/>
  <c r="FO9" i="4" s="1"/>
  <c r="N692" i="1"/>
  <c r="FO21" i="4" s="1"/>
  <c r="BW343" i="1"/>
  <c r="BW347" i="1"/>
  <c r="BO55" i="4" s="1"/>
  <c r="AV307" i="1"/>
  <c r="FO39" i="4" s="1"/>
  <c r="AO397" i="1"/>
  <c r="AE720" i="1"/>
  <c r="FO36" i="4" s="1"/>
  <c r="AE323" i="1"/>
  <c r="CJ240" i="1"/>
  <c r="O83" i="19"/>
  <c r="DQ55" i="4"/>
  <c r="CJ173" i="1"/>
  <c r="CR26" i="4"/>
  <c r="GM55" i="4"/>
  <c r="GN55" i="4"/>
  <c r="GK26" i="4"/>
  <c r="CJ172" i="1"/>
  <c r="GI55" i="4"/>
  <c r="GF55" i="4"/>
  <c r="GJ55" i="4"/>
  <c r="GH55" i="4"/>
  <c r="GG55" i="4"/>
  <c r="GK55" i="4"/>
  <c r="GL55" i="4"/>
  <c r="AW14" i="42"/>
  <c r="AK13" i="1"/>
  <c r="T38" i="4" s="1"/>
  <c r="CJ161" i="1"/>
  <c r="CJ248" i="1" s="1"/>
  <c r="AO24" i="1"/>
  <c r="AO16" i="1" s="1"/>
  <c r="AY14" i="42"/>
  <c r="BN54" i="42"/>
  <c r="Q63" i="42" s="1"/>
  <c r="O82" i="42" s="1"/>
  <c r="D105" i="38"/>
  <c r="G73" i="38" s="1"/>
  <c r="F42" i="33"/>
  <c r="B55" i="33" s="1"/>
  <c r="C166" i="38"/>
  <c r="C168" i="38" s="1"/>
  <c r="G53" i="42" s="1"/>
  <c r="H53" i="42" s="1"/>
  <c r="G8" i="31"/>
  <c r="BN50" i="42"/>
  <c r="K79" i="7"/>
  <c r="B118" i="25"/>
  <c r="C118" i="25" s="1"/>
  <c r="C159" i="38"/>
  <c r="D55" i="42"/>
  <c r="D38" i="23"/>
  <c r="D39" i="23" s="1"/>
  <c r="D29" i="23"/>
  <c r="B84" i="25"/>
  <c r="C84" i="25" s="1"/>
  <c r="L79" i="7"/>
  <c r="C155" i="38"/>
  <c r="AH79" i="7"/>
  <c r="FO55" i="4"/>
  <c r="C157" i="38"/>
  <c r="I14" i="30"/>
  <c r="CJ162" i="1"/>
  <c r="Y79" i="7"/>
  <c r="FP55" i="4"/>
  <c r="B71" i="25"/>
  <c r="C71" i="25" s="1"/>
  <c r="R79" i="7"/>
  <c r="GJ34" i="4"/>
  <c r="C156" i="38"/>
  <c r="GH35" i="4"/>
  <c r="FH55" i="4"/>
  <c r="G16" i="42"/>
  <c r="G41" i="42" s="1"/>
  <c r="H41" i="42" s="1"/>
  <c r="S79" i="7"/>
  <c r="AE79" i="7"/>
  <c r="GG35" i="4"/>
  <c r="C154" i="38"/>
  <c r="FK55" i="4"/>
  <c r="GG34" i="4"/>
  <c r="FI55" i="4"/>
  <c r="GF34" i="4"/>
  <c r="GH34" i="4"/>
  <c r="GF35" i="4"/>
  <c r="FN55" i="4"/>
  <c r="AF79" i="7"/>
  <c r="FM55" i="4"/>
  <c r="C42" i="10"/>
  <c r="E42" i="10" s="1"/>
  <c r="S31" i="23"/>
  <c r="S33" i="23" s="1"/>
  <c r="E79" i="7"/>
  <c r="FJ55" i="4"/>
  <c r="C158" i="38"/>
  <c r="FL55" i="4"/>
  <c r="D52" i="23"/>
  <c r="M79" i="7"/>
  <c r="AD57" i="4"/>
  <c r="BS33" i="42"/>
  <c r="G140" i="38"/>
  <c r="G141" i="38"/>
  <c r="BY337" i="1" s="1"/>
  <c r="C171" i="38"/>
  <c r="C167" i="38"/>
  <c r="DC14" i="7" s="1"/>
  <c r="G22" i="38"/>
  <c r="G148" i="38"/>
  <c r="BN55" i="4"/>
  <c r="F60" i="42"/>
  <c r="H60" i="42" s="1"/>
  <c r="BN77" i="42"/>
  <c r="C86" i="38"/>
  <c r="C88" i="38" s="1"/>
  <c r="J27" i="11"/>
  <c r="H27" i="11"/>
  <c r="B144" i="25" s="1"/>
  <c r="C144" i="25" s="1"/>
  <c r="BF26" i="4"/>
  <c r="R35" i="4"/>
  <c r="BJ55" i="4"/>
  <c r="BF55" i="4"/>
  <c r="BW450" i="1" l="1"/>
  <c r="BW449" i="1"/>
  <c r="AY99" i="42"/>
  <c r="BW348" i="1"/>
  <c r="CJ238" i="1"/>
  <c r="CJ255" i="1" s="1"/>
  <c r="DP38" i="4"/>
  <c r="DP32" i="4"/>
  <c r="AO17" i="1"/>
  <c r="AO18" i="1"/>
  <c r="AO21" i="1"/>
  <c r="AO20" i="1"/>
  <c r="AO19" i="1"/>
  <c r="CE35" i="4"/>
  <c r="AY65" i="42"/>
  <c r="G142" i="38"/>
  <c r="G143" i="38"/>
  <c r="BY338" i="1" s="1"/>
  <c r="C89" i="38"/>
  <c r="C90" i="38"/>
  <c r="CF26" i="4" s="1"/>
  <c r="BS55" i="42"/>
  <c r="Z78" i="7"/>
  <c r="AD78" i="7"/>
  <c r="I78" i="7"/>
  <c r="C109" i="38"/>
  <c r="AA78" i="7"/>
  <c r="G78" i="7"/>
  <c r="N78" i="7"/>
  <c r="P78" i="7"/>
  <c r="F78" i="7"/>
  <c r="CF11" i="7"/>
  <c r="J78" i="7"/>
  <c r="O78" i="7"/>
  <c r="G51" i="42"/>
  <c r="H51" i="42" s="1"/>
  <c r="C160" i="38"/>
  <c r="AK79" i="7" s="1"/>
  <c r="FM33" i="4"/>
  <c r="FO31" i="4"/>
  <c r="FO33" i="4"/>
  <c r="BQ60" i="42"/>
  <c r="D43" i="23"/>
  <c r="B41" i="23"/>
  <c r="BP60" i="42"/>
  <c r="CF55" i="4"/>
  <c r="BN67" i="42"/>
  <c r="S82" i="42" s="1"/>
  <c r="FM57" i="4"/>
  <c r="BS49" i="42"/>
  <c r="BN60" i="42"/>
  <c r="S18" i="42" s="1"/>
  <c r="C17" i="23"/>
  <c r="AF20" i="7"/>
  <c r="E20" i="7"/>
  <c r="K20" i="7"/>
  <c r="C161" i="38"/>
  <c r="C153" i="38"/>
  <c r="Y20" i="7"/>
  <c r="L20" i="7"/>
  <c r="AE20" i="7"/>
  <c r="AH20" i="7"/>
  <c r="Q20" i="7"/>
  <c r="R20" i="7"/>
  <c r="CJ168" i="1"/>
  <c r="CJ163" i="1"/>
  <c r="Z8" i="31"/>
  <c r="J16" i="31"/>
  <c r="BR27" i="4"/>
  <c r="L35" i="4"/>
  <c r="EB20" i="7" l="1"/>
  <c r="BW451" i="1"/>
  <c r="BN107" i="42" s="1"/>
  <c r="BW447" i="1"/>
  <c r="BW448" i="1" s="1"/>
  <c r="CJ241" i="1"/>
  <c r="CF57" i="4" s="1"/>
  <c r="CJ256" i="1"/>
  <c r="FA57" i="4"/>
  <c r="BS71" i="42"/>
  <c r="DE26" i="4"/>
  <c r="CS26" i="4"/>
  <c r="AW59" i="42"/>
  <c r="AU59" i="42"/>
  <c r="CR35" i="4"/>
  <c r="O92" i="19"/>
  <c r="DD35" i="4"/>
  <c r="P83" i="19"/>
  <c r="G77" i="38"/>
  <c r="G78" i="38"/>
  <c r="H79" i="38"/>
  <c r="I77" i="38"/>
  <c r="H83" i="38"/>
  <c r="I78" i="38"/>
  <c r="C111" i="38"/>
  <c r="C110" i="38"/>
  <c r="CS55" i="4"/>
  <c r="P112" i="19"/>
  <c r="J23" i="31"/>
  <c r="I24" i="31" s="1"/>
  <c r="B64" i="25"/>
  <c r="C64" i="25" s="1"/>
  <c r="K15" i="7"/>
  <c r="X57" i="7"/>
  <c r="C75" i="42"/>
  <c r="F74" i="42"/>
  <c r="Y47" i="23"/>
  <c r="Q15" i="7"/>
  <c r="E57" i="7"/>
  <c r="Y57" i="7"/>
  <c r="AF15" i="7"/>
  <c r="DH40" i="7"/>
  <c r="Q57" i="7"/>
  <c r="J14" i="31"/>
  <c r="DH7" i="7"/>
  <c r="Y15" i="7"/>
  <c r="R15" i="7"/>
  <c r="AF57" i="7"/>
  <c r="H11" i="31"/>
  <c r="AE15" i="7"/>
  <c r="E15" i="7"/>
  <c r="AH57" i="7"/>
  <c r="AH15" i="7"/>
  <c r="AE57" i="7"/>
  <c r="H10" i="31"/>
  <c r="K57" i="7"/>
  <c r="AH12" i="7"/>
  <c r="R12" i="7"/>
  <c r="L12" i="7"/>
  <c r="AF12" i="7"/>
  <c r="AE12" i="7"/>
  <c r="M12" i="7"/>
  <c r="E12" i="7"/>
  <c r="K12" i="7"/>
  <c r="DQ57" i="4"/>
  <c r="BS58" i="42"/>
  <c r="CJ243" i="1"/>
  <c r="BS81" i="42" s="1"/>
  <c r="CJ242" i="1"/>
  <c r="J11" i="31" l="1"/>
  <c r="F80" i="42" s="1"/>
  <c r="CJ247" i="1"/>
  <c r="CJ249" i="1" s="1"/>
  <c r="R18" i="31"/>
  <c r="R20" i="31"/>
  <c r="CJ258" i="1"/>
  <c r="CG57" i="4" s="1"/>
  <c r="BS64" i="42"/>
  <c r="BS80" i="42"/>
  <c r="H80" i="38"/>
  <c r="H101" i="38" s="1"/>
  <c r="BW344" i="1" s="1"/>
  <c r="BW445" i="1" s="1"/>
  <c r="BW446" i="1" s="1"/>
  <c r="BW452" i="1" s="1"/>
  <c r="I80" i="38"/>
  <c r="I84" i="38"/>
  <c r="H84" i="38"/>
  <c r="H105" i="38" s="1"/>
  <c r="BW346" i="1" s="1"/>
  <c r="H85" i="38"/>
  <c r="H81" i="38"/>
  <c r="H13" i="31"/>
  <c r="C80" i="42" s="1"/>
  <c r="L28" i="40"/>
  <c r="DE57" i="4"/>
  <c r="P114" i="19"/>
  <c r="CS57" i="4"/>
  <c r="R19" i="31" l="1"/>
  <c r="BC12" i="42"/>
  <c r="Y48" i="23"/>
  <c r="H49" i="33"/>
  <c r="AE8" i="10"/>
  <c r="AG8" i="10" s="1"/>
  <c r="AV6" i="1"/>
  <c r="BW454" i="1"/>
  <c r="BW453" i="1"/>
  <c r="FN57" i="4"/>
  <c r="CT57" i="4"/>
  <c r="Q114" i="19"/>
  <c r="BN83" i="42"/>
  <c r="BN75" i="42"/>
  <c r="BN74" i="42"/>
  <c r="H82" i="38"/>
  <c r="C112" i="38" s="1"/>
  <c r="BT27" i="4" s="1"/>
  <c r="H86" i="38"/>
  <c r="C113" i="38" s="1"/>
  <c r="CH57" i="4"/>
  <c r="R114" i="19" s="1"/>
  <c r="BS69" i="42"/>
  <c r="I86" i="38"/>
  <c r="I82" i="38"/>
  <c r="BI8" i="10" l="1"/>
  <c r="BN82" i="42"/>
  <c r="C114" i="38"/>
  <c r="C115" i="38" s="1"/>
  <c r="C116" i="38" s="1"/>
  <c r="CH27" i="4" s="1"/>
  <c r="DG27" i="4" s="1"/>
  <c r="CU57" i="4"/>
  <c r="FO57" i="4"/>
  <c r="CU27" i="4" l="1"/>
  <c r="R84" i="19"/>
  <c r="GR27" i="4"/>
  <c r="DX11" i="7" s="1"/>
  <c r="DZ11" i="7" s="1"/>
  <c r="EB11" i="7" s="1"/>
  <c r="AA23" i="11"/>
  <c r="N52" i="11" l="1"/>
  <c r="F12" i="1"/>
  <c r="H12" i="1"/>
  <c r="L12" i="1"/>
  <c r="E20" i="11"/>
  <c r="Y34" i="11" s="1"/>
  <c r="P12" i="1"/>
  <c r="E19" i="11"/>
  <c r="Z33" i="11" s="1"/>
  <c r="J12" i="1"/>
  <c r="BN76" i="42"/>
  <c r="Y12" i="23"/>
  <c r="J45" i="23" s="1"/>
  <c r="AI12" i="1"/>
  <c r="AM12" i="1"/>
  <c r="N12" i="1"/>
  <c r="V12" i="1"/>
  <c r="X12" i="1"/>
  <c r="T12" i="1"/>
  <c r="R12" i="1"/>
  <c r="D12" i="1"/>
  <c r="E17" i="11"/>
  <c r="E16" i="11"/>
  <c r="Y30" i="11" s="1"/>
  <c r="E18" i="11"/>
  <c r="CJ20" i="1"/>
  <c r="Y39" i="23"/>
  <c r="G21" i="11"/>
  <c r="H64" i="11"/>
  <c r="S52" i="11"/>
  <c r="N57" i="11"/>
  <c r="B104" i="25"/>
  <c r="C104" i="25" s="1"/>
  <c r="G33" i="38"/>
  <c r="G34" i="38" s="1"/>
  <c r="G41" i="38"/>
  <c r="AI432" i="1" s="1"/>
  <c r="X2" i="11"/>
  <c r="CJ136" i="1" l="1"/>
  <c r="CJ135" i="1"/>
  <c r="EK57" i="4" s="1"/>
  <c r="H417" i="1"/>
  <c r="H418" i="1" s="1"/>
  <c r="CJ28" i="1"/>
  <c r="CJ29" i="1" s="1"/>
  <c r="Z34" i="11"/>
  <c r="AE431" i="1"/>
  <c r="AG431" i="1"/>
  <c r="AI431" i="1"/>
  <c r="D417" i="1"/>
  <c r="D418" i="1" s="1"/>
  <c r="V417" i="1"/>
  <c r="V418" i="1" s="1"/>
  <c r="P417" i="1"/>
  <c r="P418" i="1" s="1"/>
  <c r="N417" i="1"/>
  <c r="N418" i="1" s="1"/>
  <c r="X417" i="1"/>
  <c r="X418" i="1" s="1"/>
  <c r="T417" i="1"/>
  <c r="T418" i="1" s="1"/>
  <c r="F417" i="1"/>
  <c r="F418" i="1" s="1"/>
  <c r="R417" i="1"/>
  <c r="R418" i="1" s="1"/>
  <c r="L417" i="1"/>
  <c r="L418" i="1" s="1"/>
  <c r="J417" i="1"/>
  <c r="J418" i="1" s="1"/>
  <c r="Y33" i="11"/>
  <c r="Y32" i="11"/>
  <c r="Z32" i="11"/>
  <c r="BN8" i="1"/>
  <c r="AP19" i="30"/>
  <c r="AP24" i="30" s="1"/>
  <c r="Y31" i="11"/>
  <c r="Z31" i="11"/>
  <c r="P11" i="30"/>
  <c r="BD10" i="1"/>
  <c r="AZ10" i="1"/>
  <c r="BF10" i="1"/>
  <c r="AV10" i="1"/>
  <c r="BH10" i="1"/>
  <c r="AX10" i="1"/>
  <c r="C59" i="38"/>
  <c r="BJ10" i="1"/>
  <c r="BL10" i="1"/>
  <c r="BB10" i="1"/>
  <c r="BN10" i="1"/>
  <c r="AB20" i="30"/>
  <c r="G42" i="38"/>
  <c r="R23" i="4"/>
  <c r="R19" i="4"/>
  <c r="R21" i="4"/>
  <c r="R7" i="4"/>
  <c r="R9" i="4"/>
  <c r="R17" i="4"/>
  <c r="R25" i="4"/>
  <c r="R11" i="4"/>
  <c r="R13" i="4"/>
  <c r="CJ55" i="1" l="1"/>
  <c r="CJ56" i="1" s="1"/>
  <c r="CJ107" i="1"/>
  <c r="CJ108" i="1" s="1"/>
  <c r="CJ82" i="1"/>
  <c r="CJ83" i="1" s="1"/>
  <c r="CJ30" i="1"/>
  <c r="CJ31" i="1" s="1"/>
  <c r="G43" i="38"/>
  <c r="AE432" i="1"/>
  <c r="BL65" i="42"/>
  <c r="AP26" i="30"/>
  <c r="Z30" i="11"/>
  <c r="AB19" i="30"/>
  <c r="R15" i="4"/>
  <c r="R30" i="4"/>
  <c r="CJ33" i="1" l="1"/>
  <c r="CJ32" i="1"/>
  <c r="CJ88" i="1"/>
  <c r="CJ85" i="1"/>
  <c r="CJ84" i="1"/>
  <c r="CJ87" i="1"/>
  <c r="CJ86" i="1"/>
  <c r="CJ89" i="1"/>
  <c r="CJ112" i="1"/>
  <c r="CJ110" i="1"/>
  <c r="CJ118" i="1"/>
  <c r="CJ119" i="1" s="1"/>
  <c r="CJ115" i="1"/>
  <c r="CJ113" i="1"/>
  <c r="CJ109" i="1"/>
  <c r="CJ114" i="1"/>
  <c r="CJ111" i="1"/>
  <c r="CJ34" i="1"/>
  <c r="CJ37" i="1"/>
  <c r="CJ36" i="1"/>
  <c r="CJ35" i="1"/>
  <c r="CJ57" i="1"/>
  <c r="CJ63" i="1"/>
  <c r="CJ62" i="1"/>
  <c r="CJ59" i="1"/>
  <c r="CJ66" i="1"/>
  <c r="CJ67" i="1" s="1"/>
  <c r="CJ58" i="1"/>
  <c r="CJ61" i="1"/>
  <c r="CJ60" i="1"/>
  <c r="AB24" i="30"/>
  <c r="AB26" i="30" s="1"/>
  <c r="CJ38" i="1" l="1"/>
  <c r="CJ40" i="1" s="1"/>
  <c r="CJ90" i="1"/>
  <c r="CJ92" i="1" s="1"/>
  <c r="CJ116" i="1"/>
  <c r="CJ64" i="1"/>
  <c r="CJ65" i="1"/>
  <c r="CJ39" i="1"/>
  <c r="CJ91" i="1"/>
  <c r="CJ117" i="1"/>
  <c r="CJ93" i="1" l="1"/>
  <c r="CJ98" i="1"/>
  <c r="CJ96" i="1"/>
  <c r="CJ99" i="1"/>
  <c r="CJ100" i="1"/>
  <c r="CJ101" i="1"/>
  <c r="CJ95" i="1"/>
  <c r="CJ102" i="1"/>
  <c r="CJ103" i="1"/>
  <c r="CJ97" i="1"/>
  <c r="CJ94" i="1"/>
  <c r="CJ41" i="1"/>
  <c r="CJ49" i="1" s="1"/>
  <c r="CJ42" i="1"/>
  <c r="CJ46" i="1"/>
  <c r="CJ43" i="1"/>
  <c r="CJ47" i="1"/>
  <c r="CJ45" i="1"/>
  <c r="CJ48" i="1"/>
  <c r="CJ44" i="1"/>
  <c r="CJ51" i="1"/>
  <c r="BL59" i="42"/>
  <c r="CJ50" i="1" l="1"/>
  <c r="CJ53" i="1"/>
  <c r="CJ137" i="1" s="1"/>
  <c r="CJ105" i="1"/>
  <c r="CJ141" i="1" s="1"/>
  <c r="DN48" i="4"/>
  <c r="CJ52" i="1" l="1"/>
  <c r="CJ54" i="1" s="1"/>
  <c r="CJ104" i="1"/>
  <c r="CJ106" i="1" s="1"/>
  <c r="CJ142" i="1"/>
  <c r="CJ138" i="1"/>
  <c r="CJ139" i="1"/>
  <c r="CJ140" i="1" s="1"/>
  <c r="CJ226" i="1"/>
  <c r="CJ227" i="1"/>
  <c r="BS79" i="42" s="1"/>
  <c r="BL58" i="42"/>
  <c r="DQ48" i="4"/>
  <c r="CJ143" i="1" l="1"/>
  <c r="BS78" i="42"/>
  <c r="CJ228" i="1"/>
  <c r="CJ192" i="1"/>
  <c r="CJ205" i="1"/>
  <c r="CJ208" i="1"/>
  <c r="CJ210" i="1"/>
  <c r="CJ203" i="1"/>
  <c r="CJ199" i="1"/>
  <c r="CJ197" i="1"/>
  <c r="CJ194" i="1"/>
  <c r="AK4" i="7"/>
  <c r="CJ211" i="1" l="1"/>
  <c r="CJ200" i="1"/>
  <c r="DM48" i="4"/>
  <c r="BL57" i="42"/>
  <c r="CJ212" i="1" l="1"/>
  <c r="CJ214" i="1" s="1"/>
  <c r="CJ189" i="1" s="1"/>
  <c r="CA57" i="4" s="1"/>
  <c r="CN57" i="4" s="1"/>
  <c r="AV17" i="1"/>
  <c r="BS108" i="42" l="1"/>
  <c r="CZ57" i="4"/>
  <c r="K114" i="19"/>
  <c r="BS61" i="42"/>
  <c r="DP34" i="4"/>
  <c r="AX59" i="42"/>
  <c r="DN35" i="4" l="1"/>
  <c r="DM35" i="4"/>
  <c r="AY57" i="42"/>
  <c r="DQ35" i="4" l="1"/>
  <c r="AY58" i="42"/>
  <c r="DN34" i="4" l="1"/>
  <c r="DM34" i="4"/>
  <c r="AX57" i="42"/>
  <c r="DQ34" i="4" l="1"/>
  <c r="AX58" i="42"/>
  <c r="BJ58" i="42" l="1"/>
  <c r="DN42" i="4"/>
  <c r="BF58" i="42"/>
  <c r="DQ46" i="4" l="1"/>
  <c r="BK57" i="42"/>
  <c r="DM47" i="4"/>
  <c r="BF57" i="42"/>
  <c r="DM42" i="4"/>
  <c r="DQ42" i="4"/>
  <c r="BK58" i="42" l="1"/>
  <c r="DQ47" i="4"/>
  <c r="DN46" i="4"/>
  <c r="DQ44" i="4" l="1"/>
  <c r="BH58" i="42" l="1"/>
  <c r="BJ57" i="42" l="1"/>
  <c r="DM46" i="4"/>
  <c r="DN44" i="4" l="1"/>
  <c r="DM43" i="4" l="1"/>
  <c r="BG57" i="42"/>
  <c r="BF59" i="42"/>
  <c r="DN43" i="4" l="1"/>
  <c r="BG58" i="42" l="1"/>
  <c r="DM44" i="4"/>
  <c r="BH57" i="42"/>
  <c r="BI57" i="42" l="1"/>
  <c r="DM45" i="4"/>
  <c r="AN57" i="42" l="1"/>
  <c r="BI58" i="42" l="1"/>
  <c r="DQ45" i="4"/>
  <c r="DN22" i="4" l="1"/>
  <c r="DN50" i="4"/>
  <c r="DN20" i="4"/>
  <c r="BP57" i="42" l="1"/>
  <c r="DM53" i="4"/>
  <c r="DM50" i="4" l="1"/>
  <c r="DM20" i="4"/>
  <c r="AI57" i="42"/>
  <c r="DQ53" i="4" l="1"/>
  <c r="AR58" i="42"/>
  <c r="BP58" i="42" l="1"/>
  <c r="DN16" i="4"/>
  <c r="DM54" i="4"/>
  <c r="BQ57" i="42"/>
  <c r="DQ24" i="4"/>
  <c r="DQ12" i="4"/>
  <c r="DQ16" i="4"/>
  <c r="AL58" i="42"/>
  <c r="AL57" i="42" l="1"/>
  <c r="DM16" i="4"/>
  <c r="DN45" i="4"/>
  <c r="AE58" i="42"/>
  <c r="AE57" i="42" l="1"/>
  <c r="DM12" i="4"/>
  <c r="DM29" i="4" l="1"/>
  <c r="AV57" i="42"/>
  <c r="Y58" i="42" l="1"/>
  <c r="DQ29" i="4"/>
  <c r="DQ6" i="4" l="1"/>
  <c r="Y57" i="42"/>
  <c r="DM6" i="4"/>
  <c r="AV58" i="42"/>
  <c r="AN58" i="42"/>
  <c r="BK59" i="42" l="1"/>
  <c r="AP58" i="42" l="1"/>
  <c r="DQ22" i="4" l="1"/>
  <c r="DN21" i="4" l="1"/>
  <c r="DM18" i="4" l="1"/>
  <c r="DM55" i="4" l="1"/>
  <c r="BN57" i="42"/>
  <c r="DQ51" i="4" l="1"/>
  <c r="DQ18" i="4"/>
  <c r="BD58" i="42"/>
  <c r="DQ40" i="4" l="1"/>
  <c r="BM58" i="42"/>
  <c r="DN18" i="4"/>
  <c r="DN54" i="4"/>
  <c r="DQ19" i="4" l="1"/>
  <c r="AO58" i="42" l="1"/>
  <c r="DN55" i="4"/>
  <c r="DQ50" i="4"/>
  <c r="DQ20" i="4" l="1"/>
  <c r="AI58" i="42"/>
  <c r="AR57" i="42"/>
  <c r="DM24" i="4"/>
  <c r="DM22" i="4"/>
  <c r="AP57" i="42"/>
  <c r="AA57" i="42"/>
  <c r="DM33" i="4" l="1"/>
  <c r="AT57" i="42"/>
  <c r="DM31" i="4"/>
  <c r="DN17" i="4" l="1"/>
  <c r="DN13" i="4" l="1"/>
  <c r="DM51" i="4"/>
  <c r="BM57" i="42"/>
  <c r="BA58" i="42" l="1"/>
  <c r="BC58" i="42"/>
  <c r="DN7" i="4" l="1"/>
  <c r="DQ37" i="4"/>
  <c r="DQ39" i="4"/>
  <c r="BC57" i="42"/>
  <c r="DM39" i="4"/>
  <c r="DN53" i="4" l="1"/>
  <c r="AM58" i="42" l="1"/>
  <c r="DN12" i="4"/>
  <c r="DN24" i="4"/>
  <c r="DM40" i="4" l="1"/>
  <c r="DQ17" i="4"/>
  <c r="BD57" i="42"/>
  <c r="DM13" i="4"/>
  <c r="AJ58" i="42"/>
  <c r="DQ21" i="4" l="1"/>
  <c r="DQ52" i="4"/>
  <c r="DN6" i="4"/>
  <c r="BO58" i="42" l="1"/>
  <c r="BR58" i="42"/>
  <c r="DQ56" i="4"/>
  <c r="DN56" i="4" l="1"/>
  <c r="DN52" i="4"/>
  <c r="BO57" i="42"/>
  <c r="DM52" i="4"/>
  <c r="BR57" i="42"/>
  <c r="DM56" i="4"/>
  <c r="BE58" i="42" l="1"/>
  <c r="DQ41" i="4" l="1"/>
  <c r="DM41" i="4" l="1"/>
  <c r="BE57" i="42"/>
  <c r="DQ33" i="4"/>
  <c r="DQ31" i="4" l="1"/>
  <c r="AT58" i="42"/>
  <c r="S14" i="42" s="1"/>
  <c r="DN29" i="4" l="1"/>
  <c r="AG58" i="42" l="1"/>
  <c r="DQ14" i="4" l="1"/>
  <c r="AW58" i="42"/>
  <c r="DQ38" i="4" l="1"/>
  <c r="DN25" i="4" l="1"/>
  <c r="DN51" i="4" l="1"/>
  <c r="BB58" i="42" l="1"/>
  <c r="DQ30" i="4" l="1"/>
  <c r="DM21" i="4" l="1"/>
  <c r="DQ13" i="4" l="1"/>
  <c r="AF58" i="42" l="1"/>
  <c r="DM19" i="4"/>
  <c r="DQ32" i="4"/>
  <c r="AU58" i="42" l="1"/>
  <c r="DM25" i="4"/>
  <c r="DN39" i="4" l="1"/>
  <c r="DN33" i="4"/>
  <c r="DN31" i="4"/>
  <c r="DN40" i="4" l="1"/>
  <c r="DM15" i="4" l="1"/>
  <c r="AH58" i="42" l="1"/>
  <c r="AW57" i="42" l="1"/>
  <c r="DM38" i="4"/>
  <c r="DQ7" i="4"/>
  <c r="DM7" i="4" l="1"/>
  <c r="Z58" i="42"/>
  <c r="DN38" i="4" l="1"/>
  <c r="DQ54" i="4" l="1"/>
  <c r="DN14" i="4"/>
  <c r="DN41" i="4"/>
  <c r="AQ58" i="42" l="1"/>
  <c r="DQ23" i="4" l="1"/>
  <c r="DM17" i="4"/>
  <c r="DN37" i="4" l="1"/>
  <c r="DN32" i="4" l="1"/>
  <c r="DN15" i="4" l="1"/>
  <c r="DN19" i="4" l="1"/>
  <c r="DN23" i="4" l="1"/>
  <c r="DM23" i="4" l="1"/>
  <c r="DM30" i="4"/>
  <c r="DM37" i="4" l="1"/>
  <c r="DM32" i="4" l="1"/>
  <c r="AU57" i="42" l="1"/>
  <c r="BI59" i="42" l="1"/>
  <c r="DM14" i="4" l="1"/>
  <c r="AG57" i="42"/>
  <c r="BE59" i="42" l="1"/>
  <c r="DN30" i="4" l="1"/>
  <c r="AZ58" i="42" l="1"/>
  <c r="DQ36" i="4" l="1"/>
  <c r="DN36" i="4"/>
  <c r="DM36" i="4" l="1"/>
  <c r="BN59" i="42" l="1"/>
  <c r="DP55" i="4"/>
  <c r="BP59" i="42"/>
  <c r="DP53" i="4"/>
  <c r="DP56" i="4"/>
  <c r="BO59" i="42"/>
  <c r="DP52" i="4"/>
  <c r="BR59" i="42"/>
  <c r="BQ59" i="42"/>
  <c r="DP54" i="4"/>
  <c r="BM59" i="42" l="1"/>
  <c r="DP51" i="4"/>
  <c r="BD59" i="42" l="1"/>
  <c r="DP18" i="4"/>
  <c r="BS59" i="42" l="1"/>
  <c r="AL59" i="42"/>
  <c r="DP16" i="4"/>
  <c r="Y59" i="42"/>
  <c r="DP6" i="4"/>
  <c r="DP20" i="4"/>
  <c r="AI59" i="42"/>
  <c r="DP50" i="4"/>
  <c r="DP22" i="4"/>
  <c r="AP59" i="42"/>
  <c r="AR59" i="42"/>
  <c r="DP24" i="4"/>
  <c r="DP57" i="4" l="1"/>
  <c r="DP12" i="4"/>
  <c r="AE59" i="42"/>
  <c r="DP14" i="4"/>
  <c r="AG59" i="42"/>
  <c r="S16" i="42" l="1"/>
  <c r="DP31" i="4"/>
  <c r="DP33" i="4"/>
  <c r="AT59" i="42"/>
  <c r="DP29" i="4"/>
  <c r="AV59" i="42" l="1"/>
  <c r="AN59" i="42" l="1"/>
  <c r="BC59" i="42" l="1"/>
  <c r="BH59" i="42" l="1"/>
  <c r="BG59" i="42" l="1"/>
  <c r="BJ59" i="42" l="1"/>
  <c r="AK13" i="42" l="1"/>
  <c r="I5" i="4"/>
  <c r="DM5" i="4" l="1"/>
  <c r="AK57" i="42"/>
  <c r="DN5" i="4"/>
  <c r="DQ5" i="4" l="1"/>
  <c r="AK58" i="42"/>
  <c r="AK59" i="42"/>
  <c r="DP5" i="4"/>
  <c r="O5" i="4"/>
  <c r="BB428" i="1" l="1"/>
  <c r="BB437" i="1" l="1"/>
  <c r="BB436" i="1"/>
  <c r="BN88" i="42"/>
  <c r="BH55" i="4"/>
  <c r="BN66" i="42" l="1"/>
  <c r="DT55" i="4"/>
  <c r="CI55" i="4"/>
  <c r="BB431" i="1"/>
  <c r="BB430" i="1"/>
  <c r="BN73" i="42"/>
  <c r="FD55" i="4" l="1"/>
  <c r="EB55" i="4"/>
  <c r="S112" i="19"/>
  <c r="CV55" i="4"/>
  <c r="BB438" i="1"/>
  <c r="BB424" i="1"/>
  <c r="BB418" i="1"/>
  <c r="BB417" i="1"/>
  <c r="BB426" i="1"/>
  <c r="BB421" i="1"/>
  <c r="BB432" i="1"/>
  <c r="BB435" i="1"/>
  <c r="BB425" i="1"/>
  <c r="BB427" i="1"/>
  <c r="BB423" i="1"/>
  <c r="BB422" i="1"/>
  <c r="AZ434" i="1"/>
  <c r="BB434" i="1"/>
  <c r="BB420" i="1"/>
  <c r="BB429" i="1" l="1"/>
  <c r="BD434" i="1"/>
  <c r="DJ34" i="4"/>
  <c r="CK33" i="4" l="1"/>
  <c r="U90" i="19" s="1"/>
  <c r="CK38" i="4"/>
  <c r="AW89" i="42"/>
  <c r="CX38" i="4" l="1"/>
  <c r="U95" i="19"/>
  <c r="DQ25" i="4" l="1"/>
  <c r="AS58" i="42"/>
  <c r="N292" i="1" l="1"/>
  <c r="EL57" i="4"/>
  <c r="ER55" i="4"/>
  <c r="EO57" i="4"/>
  <c r="ER57" i="4"/>
  <c r="P292" i="1"/>
  <c r="X292" i="1"/>
  <c r="R292" i="1"/>
  <c r="T292" i="1"/>
  <c r="J292" i="1"/>
  <c r="AE305" i="1"/>
  <c r="F292" i="1"/>
  <c r="L292" i="1"/>
  <c r="AV289" i="1"/>
  <c r="V292" i="1"/>
  <c r="D292" i="1"/>
  <c r="AO395" i="1" l="1"/>
  <c r="EZ35" i="4" l="1"/>
  <c r="AY72" i="42"/>
  <c r="AO396" i="1"/>
  <c r="DP35" i="4" l="1"/>
  <c r="AY59" i="42"/>
  <c r="AR9" i="19" l="1"/>
  <c r="BL239" i="1" l="1"/>
  <c r="AX239" i="1"/>
  <c r="AZ239" i="1"/>
  <c r="AG50" i="1" l="1"/>
  <c r="AK50" i="1"/>
  <c r="BW362" i="1" l="1"/>
  <c r="BW50" i="1"/>
  <c r="P50" i="1"/>
  <c r="CC362" i="1"/>
  <c r="CC50" i="1"/>
  <c r="J50" i="1" l="1"/>
  <c r="V50" i="1"/>
  <c r="AI50" i="1"/>
  <c r="AI648" i="1"/>
  <c r="AE648" i="1"/>
  <c r="AG648" i="1"/>
  <c r="AG255" i="1" l="1"/>
  <c r="BH239" i="1" l="1"/>
  <c r="BB239" i="1"/>
  <c r="L242" i="1"/>
  <c r="BD239" i="1"/>
  <c r="AK255" i="1"/>
  <c r="BJ239" i="1"/>
  <c r="V621" i="1" l="1"/>
  <c r="L621" i="1"/>
  <c r="F621" i="1"/>
  <c r="T621" i="1"/>
  <c r="X621" i="1"/>
  <c r="AV239" i="1"/>
  <c r="P621" i="1"/>
  <c r="D621" i="1" l="1"/>
  <c r="J621" i="1"/>
  <c r="R621" i="1"/>
  <c r="AM255" i="1"/>
  <c r="N621" i="1"/>
  <c r="AE255" i="1" l="1"/>
  <c r="F242" i="1" l="1"/>
  <c r="P242" i="1"/>
  <c r="J242" i="1" l="1"/>
  <c r="T242" i="1"/>
  <c r="R242" i="1"/>
  <c r="D242" i="1"/>
  <c r="V242" i="1"/>
  <c r="X242" i="1"/>
  <c r="AI255" i="1"/>
  <c r="N242" i="1"/>
  <c r="BW242" i="1"/>
  <c r="BU242" i="1" l="1"/>
  <c r="CC242" i="1"/>
  <c r="BY242" i="1"/>
  <c r="CA242" i="1"/>
  <c r="BF239" i="1" l="1"/>
  <c r="BF81" i="1" l="1"/>
  <c r="CC97" i="1"/>
  <c r="BY50" i="1"/>
  <c r="BY97" i="1"/>
  <c r="CA50" i="1"/>
  <c r="CA97" i="1"/>
  <c r="X50" i="1"/>
  <c r="X97" i="1"/>
  <c r="N472" i="1"/>
  <c r="BU50" i="1"/>
  <c r="BU97" i="1"/>
  <c r="J472" i="1"/>
  <c r="D472" i="1"/>
  <c r="F97" i="1"/>
  <c r="V97" i="1"/>
  <c r="X472" i="1"/>
  <c r="BW97" i="1"/>
  <c r="D50" i="1"/>
  <c r="D97" i="1"/>
  <c r="AI97" i="1"/>
  <c r="R97" i="1"/>
  <c r="R50" i="1"/>
  <c r="J97" i="1"/>
  <c r="V472" i="1"/>
  <c r="N50" i="1"/>
  <c r="N97" i="1"/>
  <c r="T50" i="1"/>
  <c r="T97" i="1"/>
  <c r="AE50" i="1"/>
  <c r="AE97" i="1"/>
  <c r="AV81" i="1"/>
  <c r="AZ81" i="1"/>
  <c r="R472" i="1"/>
  <c r="T472" i="1"/>
  <c r="P97" i="1"/>
  <c r="P472" i="1"/>
  <c r="F472" i="1"/>
  <c r="L472" i="1"/>
  <c r="AX81" i="1"/>
  <c r="AG97" i="1"/>
  <c r="AE486" i="1"/>
  <c r="BD81" i="1"/>
  <c r="BJ81" i="1"/>
  <c r="AK97" i="1"/>
  <c r="AG486" i="1"/>
  <c r="L97" i="1"/>
  <c r="BH81" i="1"/>
  <c r="AI486" i="1"/>
  <c r="BB81" i="1"/>
  <c r="BL81" i="1"/>
  <c r="Q12" i="42"/>
  <c r="O12" i="42" l="1"/>
  <c r="BB433" i="1" l="1"/>
  <c r="AZ433" i="1"/>
  <c r="BN52" i="1" l="1"/>
  <c r="DJ35" i="4"/>
  <c r="BD433" i="1"/>
  <c r="BL238" i="1" l="1"/>
  <c r="CK35" i="4"/>
  <c r="AY89" i="42"/>
  <c r="BW361" i="1" l="1"/>
  <c r="CC361" i="1"/>
  <c r="U92" i="19"/>
  <c r="CX35" i="4"/>
  <c r="AI16" i="10" l="1"/>
  <c r="AI17" i="10"/>
  <c r="AI11" i="10"/>
  <c r="AI12" i="10"/>
  <c r="AI10" i="10"/>
  <c r="AI14" i="10"/>
  <c r="AI19" i="10"/>
  <c r="AI22" i="10"/>
  <c r="AI20" i="10"/>
  <c r="AI21" i="10"/>
  <c r="AI13" i="10"/>
  <c r="AI18" i="10"/>
  <c r="AI15" i="10"/>
  <c r="BN239" i="1"/>
  <c r="AI647" i="1" l="1"/>
  <c r="BL21" i="10"/>
  <c r="AK21" i="10"/>
  <c r="AK14" i="10"/>
  <c r="BL14" i="10"/>
  <c r="BL10" i="10"/>
  <c r="AK10" i="10"/>
  <c r="AK18" i="10"/>
  <c r="BL18" i="10"/>
  <c r="BL19" i="10"/>
  <c r="AK19" i="10"/>
  <c r="AJ19" i="10"/>
  <c r="BM19" i="10" s="1"/>
  <c r="AK17" i="10"/>
  <c r="BL17" i="10"/>
  <c r="BL13" i="10"/>
  <c r="AK13" i="10"/>
  <c r="BL16" i="10"/>
  <c r="AK16" i="10"/>
  <c r="AK20" i="10"/>
  <c r="BL20" i="10"/>
  <c r="AJ20" i="10"/>
  <c r="BM20" i="10" s="1"/>
  <c r="BL12" i="10"/>
  <c r="AK12" i="10"/>
  <c r="AJ12" i="10"/>
  <c r="BM12" i="10" s="1"/>
  <c r="BL15" i="10"/>
  <c r="AK15" i="10"/>
  <c r="AJ15" i="10"/>
  <c r="BM15" i="10" s="1"/>
  <c r="AS60" i="10"/>
  <c r="BL22" i="10"/>
  <c r="AK22" i="10"/>
  <c r="AJ22" i="10"/>
  <c r="BM22" i="10" s="1"/>
  <c r="BL11" i="10"/>
  <c r="AK11" i="10"/>
  <c r="AJ11" i="10"/>
  <c r="BM11" i="10" s="1"/>
  <c r="AM254" i="1"/>
  <c r="BN238" i="1" l="1"/>
  <c r="AJ21" i="10"/>
  <c r="BM21" i="10" s="1"/>
  <c r="AJ13" i="10"/>
  <c r="BM13" i="10" s="1"/>
  <c r="AJ16" i="10"/>
  <c r="BM16" i="10" s="1"/>
  <c r="AJ14" i="10"/>
  <c r="BM14" i="10" s="1"/>
  <c r="AJ17" i="10"/>
  <c r="BM17" i="10" s="1"/>
  <c r="AJ10" i="10"/>
  <c r="BM10" i="10" s="1"/>
  <c r="AJ18" i="10"/>
  <c r="BM18" i="10" s="1"/>
  <c r="AY55" i="10" l="1"/>
  <c r="AY59" i="10"/>
  <c r="AY58" i="10"/>
  <c r="G68" i="33" s="1"/>
  <c r="G65" i="33" s="1"/>
  <c r="AY56" i="10"/>
  <c r="AY57" i="10"/>
  <c r="AY54" i="10"/>
  <c r="AI254" i="1"/>
  <c r="DS58" i="7" l="1"/>
  <c r="AV72" i="10"/>
  <c r="BW45" i="4" s="1"/>
  <c r="AU72" i="10"/>
  <c r="BV45" i="4" s="1"/>
  <c r="BU241" i="1"/>
  <c r="DQ58" i="7" l="1"/>
  <c r="BY241" i="1"/>
  <c r="CC241" i="1"/>
  <c r="CA241" i="1"/>
  <c r="DM58" i="7" l="1"/>
  <c r="BF238" i="1" l="1"/>
  <c r="BD238" i="1" l="1"/>
  <c r="BH238" i="1" l="1"/>
  <c r="BB238" i="1" l="1"/>
  <c r="BJ238" i="1" l="1"/>
  <c r="Q59" i="10" l="1"/>
  <c r="DE58" i="7" s="1"/>
  <c r="DY58" i="7" s="1"/>
  <c r="EB58" i="7"/>
  <c r="BW241" i="1"/>
  <c r="AZ435" i="1"/>
  <c r="BD435" i="1" s="1"/>
  <c r="BN89" i="42" s="1"/>
  <c r="AE254" i="1"/>
  <c r="AZ430" i="1"/>
  <c r="BD430" i="1" s="1"/>
  <c r="CK31" i="4" s="1"/>
  <c r="CX31" i="4" s="1"/>
  <c r="AE647" i="1"/>
  <c r="D241" i="1"/>
  <c r="AZ418" i="1"/>
  <c r="BD418" i="1" s="1"/>
  <c r="CK6" i="4" s="1"/>
  <c r="U63" i="19" s="1"/>
  <c r="N241" i="1"/>
  <c r="AZ425" i="1"/>
  <c r="BD425" i="1" s="1"/>
  <c r="CK20" i="4" s="1"/>
  <c r="U77" i="19" s="1"/>
  <c r="AZ436" i="1"/>
  <c r="BD436" i="1" s="1"/>
  <c r="BR89" i="42" s="1"/>
  <c r="F241" i="1"/>
  <c r="AZ420" i="1"/>
  <c r="T241" i="1"/>
  <c r="AZ424" i="1"/>
  <c r="BD424" i="1" s="1"/>
  <c r="R241" i="1"/>
  <c r="AZ423" i="1"/>
  <c r="BD423" i="1" s="1"/>
  <c r="CK16" i="4" s="1"/>
  <c r="CX16" i="4" s="1"/>
  <c r="J241" i="1"/>
  <c r="AZ421" i="1"/>
  <c r="BD421" i="1" s="1"/>
  <c r="CK12" i="4" s="1"/>
  <c r="U69" i="19" s="1"/>
  <c r="V241" i="1"/>
  <c r="AZ426" i="1"/>
  <c r="BD426" i="1" s="1"/>
  <c r="CK22" i="4" s="1"/>
  <c r="CX22" i="4" s="1"/>
  <c r="AZ429" i="1"/>
  <c r="AZ437" i="1"/>
  <c r="BD437" i="1" s="1"/>
  <c r="CK53" i="4" s="1"/>
  <c r="CX53" i="4" s="1"/>
  <c r="AZ238" i="1"/>
  <c r="X241" i="1"/>
  <c r="AZ427" i="1"/>
  <c r="BD427" i="1" s="1"/>
  <c r="CK24" i="4" s="1"/>
  <c r="U81" i="19" s="1"/>
  <c r="AK254" i="1"/>
  <c r="AV238" i="1"/>
  <c r="AX238" i="1"/>
  <c r="J620" i="1"/>
  <c r="AG647" i="1"/>
  <c r="V620" i="1"/>
  <c r="R620" i="1"/>
  <c r="T620" i="1"/>
  <c r="N620" i="1"/>
  <c r="D620" i="1"/>
  <c r="F620" i="1"/>
  <c r="X620" i="1"/>
  <c r="P241" i="1"/>
  <c r="P620" i="1"/>
  <c r="AZ417" i="1"/>
  <c r="BD417" i="1" s="1"/>
  <c r="CK5" i="4" s="1"/>
  <c r="CX5" i="4" s="1"/>
  <c r="L620" i="1"/>
  <c r="L241" i="1"/>
  <c r="AZ422" i="1"/>
  <c r="AG254" i="1"/>
  <c r="AZ431" i="1"/>
  <c r="BD431" i="1" s="1"/>
  <c r="CK32" i="4" s="1"/>
  <c r="U89" i="19" s="1"/>
  <c r="BH6" i="1"/>
  <c r="BI12" i="42" s="1"/>
  <c r="AU64" i="10"/>
  <c r="AZ428" i="1"/>
  <c r="BD428" i="1" s="1"/>
  <c r="CK26" i="4" s="1"/>
  <c r="DJ55" i="4" l="1"/>
  <c r="DJ51" i="4"/>
  <c r="AE125" i="7"/>
  <c r="Q125" i="7"/>
  <c r="L125" i="7"/>
  <c r="BP89" i="42"/>
  <c r="DJ50" i="4"/>
  <c r="DJ20" i="4"/>
  <c r="AR89" i="42"/>
  <c r="DJ24" i="4"/>
  <c r="DJ22" i="4"/>
  <c r="DJ53" i="4"/>
  <c r="CX24" i="4"/>
  <c r="AI89" i="42"/>
  <c r="U110" i="19"/>
  <c r="Y125" i="7"/>
  <c r="AF125" i="7"/>
  <c r="K125" i="7"/>
  <c r="AH125" i="7"/>
  <c r="BM89" i="42"/>
  <c r="AP89" i="42"/>
  <c r="U79" i="19"/>
  <c r="BD420" i="1"/>
  <c r="Y89" i="42" s="1"/>
  <c r="DJ10" i="4"/>
  <c r="BD422" i="1"/>
  <c r="AG89" i="42" s="1"/>
  <c r="BD429" i="1"/>
  <c r="AV89" i="42" s="1"/>
  <c r="AL89" i="42"/>
  <c r="DJ32" i="4"/>
  <c r="AU89" i="42"/>
  <c r="U65" i="19"/>
  <c r="DJ29" i="4"/>
  <c r="U73" i="19"/>
  <c r="DJ56" i="4"/>
  <c r="DJ52" i="4"/>
  <c r="DJ18" i="4"/>
  <c r="BO89" i="42"/>
  <c r="DJ14" i="4"/>
  <c r="DJ16" i="4"/>
  <c r="CX32" i="4"/>
  <c r="U88" i="19"/>
  <c r="DJ31" i="4"/>
  <c r="CK50" i="4"/>
  <c r="CX50" i="4" s="1"/>
  <c r="AK89" i="42"/>
  <c r="AT89" i="42"/>
  <c r="DJ5" i="4"/>
  <c r="CX20" i="4"/>
  <c r="U62" i="19"/>
  <c r="CK18" i="4"/>
  <c r="AN89" i="42"/>
  <c r="AA89" i="42"/>
  <c r="S97" i="42" s="1"/>
  <c r="CX12" i="4"/>
  <c r="DJ6" i="4"/>
  <c r="CX6" i="4"/>
  <c r="DJ12" i="4"/>
  <c r="AE89" i="42"/>
  <c r="DJ26" i="4"/>
  <c r="CK55" i="4"/>
  <c r="CK51" i="4"/>
  <c r="CX58" i="7"/>
  <c r="DX58" i="7" s="1"/>
  <c r="DZ58" i="7" s="1"/>
  <c r="GR26" i="4"/>
  <c r="U83" i="19"/>
  <c r="CK52" i="4"/>
  <c r="CK56" i="4"/>
  <c r="CX8" i="4" l="1"/>
  <c r="CK10" i="4"/>
  <c r="U67" i="19" s="1"/>
  <c r="CK14" i="4"/>
  <c r="CK29" i="4"/>
  <c r="U107" i="19"/>
  <c r="DX49" i="7"/>
  <c r="DZ49" i="7" s="1"/>
  <c r="CX18" i="4"/>
  <c r="U75" i="19"/>
  <c r="CX51" i="4"/>
  <c r="U108" i="19"/>
  <c r="CX55" i="4"/>
  <c r="U112" i="19"/>
  <c r="U109" i="19"/>
  <c r="CX52" i="4"/>
  <c r="CX56" i="4"/>
  <c r="U113" i="19"/>
  <c r="CX10" i="4" l="1"/>
  <c r="U71" i="19"/>
  <c r="CX14" i="4"/>
  <c r="CX29" i="4"/>
  <c r="U86" i="19"/>
  <c r="DQ59" i="7" l="1"/>
  <c r="DM59" i="7"/>
  <c r="AZ438" i="1" l="1"/>
  <c r="BD438" i="1" s="1"/>
  <c r="AM97" i="1"/>
  <c r="AZ432" i="1"/>
  <c r="BD432" i="1" s="1"/>
  <c r="CK34" i="4" s="1"/>
  <c r="U91" i="19" s="1"/>
  <c r="DJ54" i="4" l="1"/>
  <c r="CK54" i="4"/>
  <c r="BQ89" i="42"/>
  <c r="AX89" i="42"/>
  <c r="CX34" i="4"/>
  <c r="CX54" i="4" l="1"/>
  <c r="U111" i="19"/>
  <c r="DQ60" i="7"/>
  <c r="DM60" i="7"/>
  <c r="Z15" i="31" l="1"/>
  <c r="AB15" i="31" l="1"/>
  <c r="Z24" i="31"/>
  <c r="AC15" i="31"/>
  <c r="AO51" i="1" l="1" a="1"/>
  <c r="AO52" i="1" l="1"/>
  <c r="AY20" i="42" s="1"/>
  <c r="AO62" i="1"/>
  <c r="AO54" i="1"/>
  <c r="AO60" i="1"/>
  <c r="AO67" i="1" s="1"/>
  <c r="AO59" i="1"/>
  <c r="AO66" i="1" s="1"/>
  <c r="AO55" i="1"/>
  <c r="AO53" i="1"/>
  <c r="AO56" i="1"/>
  <c r="AO61" i="1"/>
  <c r="AO68" i="1" s="1"/>
  <c r="AO51" i="1"/>
  <c r="AY19" i="42" s="1"/>
  <c r="AO58" i="1"/>
  <c r="AO65" i="1" s="1"/>
  <c r="AO57" i="1"/>
  <c r="V35" i="4"/>
  <c r="AY18" i="42" l="1"/>
  <c r="R54" i="4"/>
  <c r="R51" i="4"/>
  <c r="R55" i="4"/>
  <c r="R52" i="4"/>
  <c r="R56" i="4"/>
  <c r="R53" i="4"/>
  <c r="Z16" i="31" l="1"/>
  <c r="AO69" i="1"/>
  <c r="AO332" i="1" s="1"/>
  <c r="AO336" i="1" l="1"/>
  <c r="AO339" i="1"/>
  <c r="AO340" i="1" s="1"/>
  <c r="C79" i="42"/>
  <c r="AO418" i="1" l="1"/>
  <c r="AO419" i="1"/>
  <c r="AO341" i="1"/>
  <c r="AO345" i="1"/>
  <c r="AO343" i="1"/>
  <c r="AO344" i="1" s="1"/>
  <c r="AO347" i="1"/>
  <c r="AO348" i="1" s="1"/>
  <c r="AO420" i="1" l="1"/>
  <c r="AO349" i="1"/>
  <c r="AO346" i="1"/>
  <c r="AO342" i="1"/>
  <c r="AO414" i="1" l="1"/>
  <c r="AO415" i="1" s="1"/>
  <c r="AO416" i="1"/>
  <c r="AO417" i="1" s="1"/>
  <c r="AO251" i="1"/>
  <c r="AO256" i="1" s="1"/>
  <c r="AY97" i="42" l="1"/>
  <c r="AO422" i="1" l="1"/>
  <c r="AY92" i="42" l="1"/>
  <c r="BB100" i="42" l="1"/>
  <c r="L434" i="1" l="1"/>
  <c r="D51" i="10"/>
  <c r="T15" i="4" l="1"/>
  <c r="L435" i="1"/>
  <c r="AH15" i="42"/>
  <c r="U15" i="4" l="1"/>
  <c r="DQ51" i="7"/>
  <c r="DM56" i="7" l="1"/>
  <c r="DM55" i="7"/>
  <c r="DQ56" i="7"/>
  <c r="DQ55" i="7"/>
  <c r="O94" i="42" l="1"/>
  <c r="DQ57" i="7" l="1"/>
  <c r="DO57" i="7" l="1"/>
  <c r="FO48" i="4" l="1"/>
  <c r="AP40" i="30" l="1"/>
  <c r="F52" i="30" s="1"/>
  <c r="AQ40" i="30" l="1"/>
  <c r="F54" i="30" s="1"/>
  <c r="S81" i="42" l="1"/>
  <c r="DX36" i="7" l="1"/>
  <c r="DZ36" i="7" s="1"/>
  <c r="EB36" i="7" s="1"/>
  <c r="BN379" i="1" l="1"/>
  <c r="BL72" i="42" s="1"/>
  <c r="S12" i="42" l="1"/>
  <c r="Q33" i="42"/>
  <c r="O16" i="30"/>
  <c r="P16" i="30" s="1"/>
  <c r="Q48" i="42" l="1"/>
  <c r="Q14" i="42"/>
  <c r="B79" i="25" l="1"/>
  <c r="C79" i="25" s="1"/>
  <c r="L27" i="40" s="1"/>
  <c r="BN24" i="1" l="1"/>
  <c r="BL15" i="42" l="1"/>
  <c r="BN51" i="1"/>
  <c r="BN50" i="1"/>
  <c r="BN49" i="1"/>
  <c r="BN66" i="1" l="1"/>
  <c r="BN316" i="1" s="1"/>
  <c r="BN323" i="1" s="1"/>
  <c r="BN56" i="1"/>
  <c r="BN55" i="1"/>
  <c r="BN58" i="1"/>
  <c r="BN54" i="1"/>
  <c r="BN57" i="1"/>
  <c r="BN48" i="1"/>
  <c r="AE48" i="4"/>
  <c r="BN406" i="1" l="1"/>
  <c r="BN320" i="1"/>
  <c r="BN325" i="1" s="1"/>
  <c r="BN324" i="1"/>
  <c r="BL22" i="42"/>
  <c r="BL99" i="42" s="1"/>
  <c r="L48" i="4"/>
  <c r="BL92" i="42" l="1"/>
  <c r="BN331" i="1"/>
  <c r="BN332" i="1" s="1"/>
  <c r="BN329" i="1"/>
  <c r="BN327" i="1"/>
  <c r="BN328" i="1" s="1"/>
  <c r="BN326" i="1" s="1"/>
  <c r="BN403" i="1"/>
  <c r="BN402" i="1"/>
  <c r="BN330" i="1" l="1"/>
  <c r="BN333" i="1"/>
  <c r="BN398" i="1" s="1"/>
  <c r="BN404" i="1"/>
  <c r="BN400" i="1" l="1"/>
  <c r="BN401" i="1" s="1"/>
  <c r="BN399" i="1"/>
  <c r="BL78" i="42"/>
  <c r="BL79" i="42" l="1"/>
  <c r="BN59" i="1" l="1" a="1"/>
  <c r="BN63" i="1" l="1"/>
  <c r="BN71" i="1" s="1"/>
  <c r="BN80" i="1" s="1"/>
  <c r="BN61" i="1"/>
  <c r="BN69" i="1" s="1"/>
  <c r="BN78" i="1" s="1"/>
  <c r="BN60" i="1"/>
  <c r="BN68" i="1" s="1"/>
  <c r="BN65" i="1"/>
  <c r="BL103" i="42" s="1"/>
  <c r="BL104" i="42" s="1"/>
  <c r="BN59" i="1"/>
  <c r="BN64" i="1"/>
  <c r="BN72" i="1" s="1"/>
  <c r="BN81" i="1" s="1"/>
  <c r="BN62" i="1"/>
  <c r="BN70" i="1" s="1"/>
  <c r="BN79" i="1" s="1"/>
  <c r="BN77" i="1" l="1"/>
  <c r="BN67" i="1"/>
  <c r="AP6" i="30" l="1"/>
  <c r="AP7" i="30"/>
  <c r="AP5" i="30"/>
  <c r="AP8" i="30"/>
  <c r="AP4" i="30"/>
  <c r="BN215" i="1"/>
  <c r="BN211" i="1"/>
  <c r="BN212" i="1"/>
  <c r="BN82" i="1"/>
  <c r="BN214" i="1"/>
  <c r="BN213" i="1"/>
  <c r="BN256" i="1" l="1"/>
  <c r="BN220" i="1"/>
  <c r="BN268" i="1"/>
  <c r="BN250" i="1"/>
  <c r="BN262" i="1"/>
  <c r="BN244" i="1"/>
  <c r="BN232" i="1"/>
  <c r="BN226" i="1"/>
  <c r="BL28" i="42"/>
  <c r="AP11" i="30"/>
  <c r="AP22" i="30" s="1"/>
  <c r="BN73" i="1"/>
  <c r="BN236" i="1"/>
  <c r="BN254" i="1"/>
  <c r="BN248" i="1"/>
  <c r="BL26" i="42"/>
  <c r="BN242" i="1"/>
  <c r="X48" i="4"/>
  <c r="BL25" i="42"/>
  <c r="BN216" i="1"/>
  <c r="BN247" i="1"/>
  <c r="BN253" i="1"/>
  <c r="BN241" i="1"/>
  <c r="BN235" i="1"/>
  <c r="BN221" i="1"/>
  <c r="BN263" i="1"/>
  <c r="BN251" i="1"/>
  <c r="BN233" i="1"/>
  <c r="BN245" i="1"/>
  <c r="BN269" i="1"/>
  <c r="BN257" i="1"/>
  <c r="BN227" i="1"/>
  <c r="BN237" i="1"/>
  <c r="BN219" i="1"/>
  <c r="BN249" i="1"/>
  <c r="BN261" i="1"/>
  <c r="BL27" i="42"/>
  <c r="BN255" i="1"/>
  <c r="BN243" i="1"/>
  <c r="BN225" i="1"/>
  <c r="BN267" i="1"/>
  <c r="BN231" i="1"/>
  <c r="R48" i="4"/>
  <c r="BN240" i="1" l="1"/>
  <c r="BL97" i="42" s="1"/>
  <c r="BN293" i="1"/>
  <c r="BN298" i="1"/>
  <c r="BN291" i="1"/>
  <c r="BN290" i="1"/>
  <c r="BL43" i="42" s="1"/>
  <c r="BN299" i="1"/>
  <c r="BL21" i="42"/>
  <c r="BL14" i="42"/>
  <c r="BN207" i="1"/>
  <c r="BN208" i="1"/>
  <c r="BN74" i="1"/>
  <c r="BN252" i="1"/>
  <c r="AP25" i="30"/>
  <c r="AP28" i="30" s="1"/>
  <c r="AP27" i="30"/>
  <c r="AP29" i="30" s="1"/>
  <c r="BA48" i="4"/>
  <c r="AZ48" i="4"/>
  <c r="BP48" i="4"/>
  <c r="AG48" i="4"/>
  <c r="BN295" i="1" l="1"/>
  <c r="BL45" i="42" s="1"/>
  <c r="BL96" i="42"/>
  <c r="BN266" i="1"/>
  <c r="BN265" i="1"/>
  <c r="BL63" i="42"/>
  <c r="AP18" i="30"/>
  <c r="BN246" i="1"/>
  <c r="BN206" i="1" s="1"/>
  <c r="BN258" i="1"/>
  <c r="BN217" i="1"/>
  <c r="BN224" i="1"/>
  <c r="BN259" i="1"/>
  <c r="BN260" i="1"/>
  <c r="BN223" i="1"/>
  <c r="BN218" i="1"/>
  <c r="BN230" i="1"/>
  <c r="BN229" i="1"/>
  <c r="BL47" i="42"/>
  <c r="BN303" i="1"/>
  <c r="BL46" i="42"/>
  <c r="AA48" i="4"/>
  <c r="AW48" i="4"/>
  <c r="BN264" i="1" l="1"/>
  <c r="BN286" i="1" s="1"/>
  <c r="BN234" i="1"/>
  <c r="BL95" i="42" s="1"/>
  <c r="BN270" i="1"/>
  <c r="BN288" i="1" s="1"/>
  <c r="BN222" i="1"/>
  <c r="BN297" i="1"/>
  <c r="BN300" i="1"/>
  <c r="BN301" i="1"/>
  <c r="BN228" i="1"/>
  <c r="BN317" i="1"/>
  <c r="BN386" i="1" s="1"/>
  <c r="AD48" i="4"/>
  <c r="BN305" i="1"/>
  <c r="BL33" i="42"/>
  <c r="BN383" i="1"/>
  <c r="AP14" i="30"/>
  <c r="AP38" i="30" s="1"/>
  <c r="BN318" i="1"/>
  <c r="BN304" i="1"/>
  <c r="BN319" i="1"/>
  <c r="AB48" i="4"/>
  <c r="BB48" i="4"/>
  <c r="AY48" i="4"/>
  <c r="BC48" i="4"/>
  <c r="BD48" i="4"/>
  <c r="GK48" i="4" l="1"/>
  <c r="AC48" i="4"/>
  <c r="BN284" i="1"/>
  <c r="BN365" i="1" s="1"/>
  <c r="BN287" i="1"/>
  <c r="BL41" i="42" s="1"/>
  <c r="GL48" i="4"/>
  <c r="BN321" i="1"/>
  <c r="BN322" i="1"/>
  <c r="BN285" i="1"/>
  <c r="BN384" i="1"/>
  <c r="FA48" i="4" s="1"/>
  <c r="BL85" i="42"/>
  <c r="BN396" i="1"/>
  <c r="BN312" i="1"/>
  <c r="BT48" i="4" s="1"/>
  <c r="BN309" i="1"/>
  <c r="BN311" i="1"/>
  <c r="BL52" i="42" s="1"/>
  <c r="BN308" i="1"/>
  <c r="BN314" i="1"/>
  <c r="BU48" i="4" s="1"/>
  <c r="BN306" i="1"/>
  <c r="BL93" i="42" s="1"/>
  <c r="BN313" i="1"/>
  <c r="BL53" i="42" s="1"/>
  <c r="AP32" i="30"/>
  <c r="AP36" i="30" s="1"/>
  <c r="BL38" i="42"/>
  <c r="BN279" i="1"/>
  <c r="BL31" i="42"/>
  <c r="AP12" i="30"/>
  <c r="AP13" i="30"/>
  <c r="BL32" i="42"/>
  <c r="BN282" i="1"/>
  <c r="BN302" i="1"/>
  <c r="BL87" i="42"/>
  <c r="BL91" i="42"/>
  <c r="BL86" i="42"/>
  <c r="Y48" i="4"/>
  <c r="Z48" i="4"/>
  <c r="AK48" i="4"/>
  <c r="BR48" i="4"/>
  <c r="BF48" i="4"/>
  <c r="AO48" i="4"/>
  <c r="AI48" i="4"/>
  <c r="BL51" i="42" l="1"/>
  <c r="BL49" i="42"/>
  <c r="FM48" i="4"/>
  <c r="BL37" i="42"/>
  <c r="BN362" i="1"/>
  <c r="BN363" i="1" s="1"/>
  <c r="EW48" i="4" s="1"/>
  <c r="BL71" i="42"/>
  <c r="BN387" i="1"/>
  <c r="BL64" i="42" s="1"/>
  <c r="FN48" i="4"/>
  <c r="BL55" i="42"/>
  <c r="EO48" i="4"/>
  <c r="BN405" i="1"/>
  <c r="BN407" i="1" s="1"/>
  <c r="BN367" i="1"/>
  <c r="BN371" i="1"/>
  <c r="CC48" i="4" s="1"/>
  <c r="BN283" i="1"/>
  <c r="BL40" i="42"/>
  <c r="AP31" i="30"/>
  <c r="BN281" i="1"/>
  <c r="AP30" i="30"/>
  <c r="BL36" i="42"/>
  <c r="BN310" i="1"/>
  <c r="BN315" i="1"/>
  <c r="AP37" i="30"/>
  <c r="AM48" i="4"/>
  <c r="AQ48" i="4"/>
  <c r="EK48" i="4" l="1"/>
  <c r="BL70" i="42"/>
  <c r="CF48" i="4"/>
  <c r="P105" i="19" s="1"/>
  <c r="CG48" i="4"/>
  <c r="Q105" i="19" s="1"/>
  <c r="BN195" i="1"/>
  <c r="BN196" i="1"/>
  <c r="BN200" i="1"/>
  <c r="BN198" i="1"/>
  <c r="BN199" i="1"/>
  <c r="BN201" i="1"/>
  <c r="BN197" i="1"/>
  <c r="BN194" i="1"/>
  <c r="BN192" i="1"/>
  <c r="BN193" i="1"/>
  <c r="M105" i="19"/>
  <c r="DB48" i="4"/>
  <c r="CP48" i="4"/>
  <c r="BN390" i="1"/>
  <c r="BN391" i="1" s="1"/>
  <c r="BL81" i="42" s="1"/>
  <c r="BN388" i="1"/>
  <c r="BN389" i="1" s="1"/>
  <c r="BL80" i="42" s="1"/>
  <c r="BN370" i="1"/>
  <c r="BN368" i="1"/>
  <c r="BN393" i="1"/>
  <c r="BN392" i="1"/>
  <c r="BN336" i="1"/>
  <c r="BN360" i="1"/>
  <c r="BN167" i="1"/>
  <c r="BN168" i="1"/>
  <c r="BN166" i="1"/>
  <c r="BN173" i="1"/>
  <c r="DE48" i="4" l="1"/>
  <c r="CS48" i="4"/>
  <c r="DF48" i="4"/>
  <c r="CT48" i="4"/>
  <c r="EX48" i="4"/>
  <c r="EL48" i="4"/>
  <c r="BN169" i="1"/>
  <c r="BN143" i="1"/>
  <c r="BN140" i="1"/>
  <c r="BN141" i="1"/>
  <c r="BN148" i="1"/>
  <c r="BN142" i="1"/>
  <c r="BN203" i="1"/>
  <c r="BN202" i="1" s="1"/>
  <c r="BN171" i="1"/>
  <c r="BN175" i="1"/>
  <c r="BN394" i="1"/>
  <c r="BN172" i="1"/>
  <c r="BN170" i="1"/>
  <c r="BL61" i="42"/>
  <c r="CA48" i="4"/>
  <c r="BN114" i="1"/>
  <c r="BN120" i="1"/>
  <c r="BN117" i="1"/>
  <c r="BN116" i="1"/>
  <c r="BN395" i="1" l="1"/>
  <c r="BN397" i="1" s="1"/>
  <c r="BL106" i="42"/>
  <c r="BN118" i="1"/>
  <c r="BN147" i="1"/>
  <c r="BN144" i="1"/>
  <c r="BN123" i="1"/>
  <c r="CN48" i="4"/>
  <c r="K105" i="19"/>
  <c r="CZ48" i="4"/>
  <c r="BN115" i="1"/>
  <c r="BN149" i="1"/>
  <c r="BN119" i="1"/>
  <c r="BN145" i="1"/>
  <c r="BN121" i="1"/>
  <c r="BN125" i="1" s="1"/>
  <c r="BN124" i="1" s="1"/>
  <c r="BN177" i="1"/>
  <c r="BN176" i="1" s="1"/>
  <c r="BN151" i="1"/>
  <c r="BN150" i="1" s="1"/>
  <c r="CH48" i="4" l="1"/>
  <c r="BL69" i="42"/>
  <c r="BN153" i="1"/>
  <c r="BN205" i="1"/>
  <c r="DG48" i="4" l="1"/>
  <c r="CU48" i="4"/>
  <c r="R105" i="19"/>
  <c r="BN292" i="1"/>
  <c r="BN294" i="1" s="1"/>
  <c r="BN280" i="1"/>
  <c r="BN271" i="1"/>
  <c r="BN275" i="1"/>
  <c r="BN276" i="1" s="1"/>
  <c r="BN274" i="1" l="1"/>
  <c r="BN272" i="1"/>
  <c r="BN373" i="1" s="1"/>
  <c r="BN273" i="1"/>
  <c r="BN277" i="1"/>
  <c r="BL42" i="42"/>
  <c r="AP35" i="30"/>
  <c r="AP41" i="30" s="1"/>
  <c r="AP43" i="30" s="1"/>
  <c r="AP39" i="30"/>
  <c r="AP42" i="30" s="1"/>
  <c r="AV48" i="4"/>
  <c r="BN348" i="1" l="1"/>
  <c r="BN353" i="1"/>
  <c r="BN341" i="1"/>
  <c r="BL44" i="42"/>
  <c r="BN375" i="1"/>
  <c r="BN296" i="1"/>
  <c r="BN372" i="1"/>
  <c r="BN374" i="1" s="1"/>
  <c r="BN376" i="1" s="1"/>
  <c r="BN337" i="1"/>
  <c r="BN339" i="1" s="1"/>
  <c r="BN342" i="1"/>
  <c r="BN346" i="1" s="1"/>
  <c r="AX48" i="4"/>
  <c r="BL84" i="42" l="1"/>
  <c r="BL68" i="42"/>
  <c r="CD48" i="4"/>
  <c r="BN355" i="1"/>
  <c r="BN357" i="1"/>
  <c r="BN352" i="1"/>
  <c r="BN350" i="1"/>
  <c r="BN344" i="1"/>
  <c r="CQ48" i="4" l="1"/>
  <c r="N105" i="19"/>
  <c r="DC48" i="4"/>
  <c r="P622" i="1" l="1"/>
  <c r="AE649" i="1"/>
  <c r="R622" i="1"/>
  <c r="X622" i="1"/>
  <c r="D622" i="1"/>
  <c r="F622" i="1"/>
  <c r="V622" i="1"/>
  <c r="J622" i="1"/>
  <c r="N622" i="1"/>
  <c r="H622" i="1"/>
  <c r="AG649" i="1"/>
  <c r="T622" i="1"/>
  <c r="AI649" i="1"/>
  <c r="L622" i="1"/>
  <c r="BN122" i="1"/>
  <c r="BN146" i="1"/>
  <c r="BN174" i="1"/>
  <c r="CC360" i="1" l="1"/>
  <c r="BW360" i="1" l="1"/>
  <c r="O42" i="19" l="1"/>
  <c r="O41" i="19"/>
  <c r="O43" i="19"/>
  <c r="AM49" i="1" l="1"/>
  <c r="P49" i="1" l="1"/>
  <c r="D49" i="1"/>
  <c r="R49" i="1"/>
  <c r="CA49" i="1"/>
  <c r="V49" i="1"/>
  <c r="AI49" i="1"/>
  <c r="L49" i="1"/>
  <c r="O38" i="19" l="1"/>
  <c r="BD80" i="1" l="1"/>
  <c r="BF80" i="1" l="1"/>
  <c r="AX80" i="1" l="1"/>
  <c r="AZ80" i="1" l="1"/>
  <c r="AV80" i="1" l="1"/>
  <c r="BB80" i="1" l="1"/>
  <c r="BJ80" i="1"/>
  <c r="CA96" i="1"/>
  <c r="AE96" i="1" l="1"/>
  <c r="BW49" i="1"/>
  <c r="BW96" i="1"/>
  <c r="BU49" i="1"/>
  <c r="BU96" i="1"/>
  <c r="AM96" i="1"/>
  <c r="AK96" i="1" l="1"/>
  <c r="V96" i="1"/>
  <c r="R471" i="1"/>
  <c r="AI96" i="1"/>
  <c r="P96" i="1"/>
  <c r="R96" i="1"/>
  <c r="X96" i="1"/>
  <c r="J96" i="1"/>
  <c r="F96" i="1"/>
  <c r="D96" i="1"/>
  <c r="BY96" i="1"/>
  <c r="BY49" i="1"/>
  <c r="N96" i="1"/>
  <c r="X471" i="1"/>
  <c r="CC49" i="1"/>
  <c r="CC96" i="1"/>
  <c r="D471" i="1"/>
  <c r="BH80" i="1"/>
  <c r="V471" i="1"/>
  <c r="T96" i="1"/>
  <c r="H96" i="1"/>
  <c r="J471" i="1" l="1"/>
  <c r="N471" i="1"/>
  <c r="F471" i="1"/>
  <c r="BL80" i="1"/>
  <c r="T471" i="1"/>
  <c r="AI485" i="1"/>
  <c r="P471" i="1"/>
  <c r="H471" i="1"/>
  <c r="AE485" i="1" l="1"/>
  <c r="L96" i="1" l="1"/>
  <c r="AG485" i="1" l="1"/>
  <c r="AG96" i="1" l="1"/>
  <c r="L471" i="1"/>
  <c r="X49" i="1" l="1"/>
  <c r="N49" i="1" l="1"/>
  <c r="H49" i="1"/>
  <c r="AK49" i="1"/>
  <c r="F49" i="1"/>
  <c r="T49" i="1"/>
  <c r="J49" i="1"/>
  <c r="AE49" i="1"/>
  <c r="AM50" i="1" l="1"/>
  <c r="AG49" i="1"/>
  <c r="D38" i="19"/>
  <c r="AD24" i="30"/>
  <c r="AE24" i="30"/>
  <c r="O44" i="19"/>
  <c r="O45" i="19"/>
  <c r="G36" i="38" l="1"/>
  <c r="BB16" i="1" l="1"/>
  <c r="AX16" i="1"/>
  <c r="BL16" i="1"/>
  <c r="BJ16" i="1"/>
  <c r="AV16" i="1"/>
  <c r="BD16" i="1"/>
  <c r="BF16" i="1"/>
  <c r="BH16" i="1"/>
  <c r="AZ16" i="1"/>
  <c r="G35" i="38"/>
  <c r="AC16" i="30" l="1"/>
  <c r="AJ16" i="30"/>
  <c r="AD16" i="30"/>
  <c r="AH16" i="30"/>
  <c r="AE16" i="30"/>
  <c r="AN16" i="30"/>
  <c r="AG16" i="30"/>
  <c r="P22" i="30" s="1"/>
  <c r="AM16" i="30"/>
  <c r="AL16" i="30"/>
  <c r="AK16" i="30"/>
  <c r="AB16" i="30"/>
  <c r="AO16" i="30"/>
  <c r="AI16" i="30"/>
  <c r="C70" i="12" l="1"/>
  <c r="AG12" i="1" s="1"/>
  <c r="X8" i="10"/>
  <c r="BC8" i="10" s="1"/>
  <c r="G17" i="33" l="1"/>
  <c r="G19" i="33" s="1"/>
  <c r="AG10" i="1"/>
  <c r="C130" i="38"/>
  <c r="AE20" i="30"/>
  <c r="AG23" i="1" l="1"/>
  <c r="AU14" i="42" s="1"/>
  <c r="D131" i="38"/>
  <c r="BW32" i="4" s="1"/>
  <c r="C131" i="38"/>
  <c r="BV32" i="4" s="1"/>
  <c r="AE40" i="30"/>
  <c r="F30" i="30" s="1"/>
  <c r="AM393" i="1" l="1"/>
  <c r="AK393" i="1"/>
  <c r="AG393" i="1"/>
  <c r="AE393" i="1"/>
  <c r="AI393" i="1"/>
  <c r="R32" i="4"/>
  <c r="AV16" i="42" l="1"/>
  <c r="AI394" i="1"/>
  <c r="AE394" i="1"/>
  <c r="AT16" i="42"/>
  <c r="AG394" i="1"/>
  <c r="AG397" i="1"/>
  <c r="AU16" i="42"/>
  <c r="AG398" i="1"/>
  <c r="AG395" i="1"/>
  <c r="AM394" i="1"/>
  <c r="AX16" i="42"/>
  <c r="AK394" i="1"/>
  <c r="AK395" i="1" s="1"/>
  <c r="AK398" i="1"/>
  <c r="AW16" i="42"/>
  <c r="AK397" i="1"/>
  <c r="AW72" i="42" l="1"/>
  <c r="EZ38" i="4"/>
  <c r="EZ32" i="4"/>
  <c r="AU72" i="42"/>
  <c r="AU65" i="42"/>
  <c r="CE32" i="4"/>
  <c r="CE38" i="4"/>
  <c r="AW65" i="42"/>
  <c r="O89" i="19" l="1"/>
  <c r="CR32" i="4"/>
  <c r="DD32" i="4"/>
  <c r="O95" i="19"/>
  <c r="DD38" i="4"/>
  <c r="BN84" i="1" l="1"/>
  <c r="BN178" i="1" l="1"/>
  <c r="BN204" i="1"/>
  <c r="BN152" i="1"/>
  <c r="BN126" i="1"/>
  <c r="DX12" i="7" l="1"/>
  <c r="EB45" i="7" l="1"/>
  <c r="H73" i="11" l="1"/>
  <c r="B114" i="25" s="1"/>
  <c r="C114" i="25" s="1"/>
  <c r="H75" i="11"/>
  <c r="B116" i="25" s="1"/>
  <c r="C116" i="25" s="1"/>
  <c r="H71" i="11"/>
  <c r="B112" i="25" s="1"/>
  <c r="C112" i="25" s="1"/>
  <c r="G156" i="38" l="1"/>
  <c r="H157" i="38" s="1"/>
  <c r="G151" i="38"/>
  <c r="G157" i="38" l="1"/>
  <c r="O10" i="19"/>
  <c r="AM23" i="1"/>
  <c r="AF20" i="30" s="1"/>
  <c r="AF40" i="30" s="1"/>
  <c r="F32" i="30" s="1"/>
  <c r="G152" i="38"/>
  <c r="G48" i="42"/>
  <c r="H152" i="38"/>
  <c r="AE12" i="1"/>
  <c r="C77" i="38"/>
  <c r="AO36" i="1" a="1"/>
  <c r="R26" i="4"/>
  <c r="AO38" i="1" l="1"/>
  <c r="AO46" i="1" s="1"/>
  <c r="AO37" i="1"/>
  <c r="AO42" i="1"/>
  <c r="AO40" i="1"/>
  <c r="AO36" i="1"/>
  <c r="AO44" i="1" s="1"/>
  <c r="AO41" i="1"/>
  <c r="AO43" i="1"/>
  <c r="AY101" i="42" s="1"/>
  <c r="AO39" i="1"/>
  <c r="AX14" i="42"/>
  <c r="AM13" i="1"/>
  <c r="T34" i="4" s="1"/>
  <c r="AM397" i="1"/>
  <c r="AM398" i="1"/>
  <c r="AM395" i="1"/>
  <c r="AG26" i="4"/>
  <c r="R34" i="4"/>
  <c r="AY17" i="42" l="1"/>
  <c r="AO105" i="1"/>
  <c r="EZ34" i="4"/>
  <c r="AX72" i="42"/>
  <c r="CE34" i="4"/>
  <c r="AX65" i="42"/>
  <c r="AO64" i="1"/>
  <c r="AO63" i="1" s="1"/>
  <c r="AO45" i="1"/>
  <c r="AX433" i="1" s="1"/>
  <c r="D27" i="23"/>
  <c r="AO73" i="1" l="1"/>
  <c r="AO75" i="1"/>
  <c r="AO70" i="1"/>
  <c r="AO71" i="1"/>
  <c r="AO72" i="1"/>
  <c r="AO74" i="1"/>
  <c r="CR34" i="4"/>
  <c r="O91" i="19"/>
  <c r="DD34" i="4"/>
  <c r="G149" i="38"/>
  <c r="AX237" i="1"/>
  <c r="AM48" i="1"/>
  <c r="C80" i="38"/>
  <c r="AX236" i="1"/>
  <c r="AE35" i="4"/>
  <c r="Q57" i="33" l="1"/>
  <c r="H150" i="38"/>
  <c r="BW40" i="4" s="1"/>
  <c r="G150" i="38"/>
  <c r="G49" i="42"/>
  <c r="AO76" i="1" a="1"/>
  <c r="AY22" i="42"/>
  <c r="AY102" i="42" s="1"/>
  <c r="BL236" i="1"/>
  <c r="W8" i="10"/>
  <c r="BB8" i="10" s="1"/>
  <c r="BV40" i="4"/>
  <c r="DM13" i="7"/>
  <c r="O6" i="19" l="1"/>
  <c r="AO78" i="1"/>
  <c r="AO85" i="1" s="1"/>
  <c r="AO80" i="1"/>
  <c r="AO87" i="1" s="1"/>
  <c r="AO76" i="1"/>
  <c r="AO81" i="1"/>
  <c r="AO88" i="1" s="1"/>
  <c r="AO79" i="1"/>
  <c r="AO86" i="1" s="1"/>
  <c r="AO77" i="1"/>
  <c r="AO84" i="1" s="1"/>
  <c r="AO82" i="1"/>
  <c r="BL84" i="1"/>
  <c r="O13" i="19" l="1"/>
  <c r="E35" i="4"/>
  <c r="AY103" i="42"/>
  <c r="AY104" i="42" s="1"/>
  <c r="AO93" i="1"/>
  <c r="AO83" i="1"/>
  <c r="CC47" i="1"/>
  <c r="CC359" i="1"/>
  <c r="BW47" i="1"/>
  <c r="BW359" i="1"/>
  <c r="AO158" i="1" l="1"/>
  <c r="AO213" i="1"/>
  <c r="AO156" i="1"/>
  <c r="AO209" i="1"/>
  <c r="AO212" i="1"/>
  <c r="AO163" i="1"/>
  <c r="AO161" i="1"/>
  <c r="AO167" i="1"/>
  <c r="AO166" i="1" s="1"/>
  <c r="AO211" i="1"/>
  <c r="AO214" i="1"/>
  <c r="AO216" i="1"/>
  <c r="AO208" i="1"/>
  <c r="AO89" i="1"/>
  <c r="AO90" i="1"/>
  <c r="AO219" i="1"/>
  <c r="AO218" i="1" s="1"/>
  <c r="AO159" i="1"/>
  <c r="AO210" i="1"/>
  <c r="AO160" i="1"/>
  <c r="AO215" i="1"/>
  <c r="AO157" i="1"/>
  <c r="AO165" i="1"/>
  <c r="AO162" i="1"/>
  <c r="AO229" i="1"/>
  <c r="AO228" i="1"/>
  <c r="AO227" i="1"/>
  <c r="AO230" i="1"/>
  <c r="AO98" i="1"/>
  <c r="AO106" i="1" s="1"/>
  <c r="AO107" i="1" s="1"/>
  <c r="AO231" i="1"/>
  <c r="H47" i="1"/>
  <c r="BP35" i="4"/>
  <c r="AG35" i="4"/>
  <c r="AO221" i="1" l="1"/>
  <c r="AO91" i="1"/>
  <c r="AM22" i="10"/>
  <c r="AM10" i="10"/>
  <c r="AM20" i="10"/>
  <c r="AM17" i="10"/>
  <c r="AM16" i="10"/>
  <c r="AM18" i="10"/>
  <c r="AM15" i="10"/>
  <c r="AM19" i="10"/>
  <c r="AM21" i="10"/>
  <c r="AM13" i="10"/>
  <c r="AM12" i="10"/>
  <c r="AM14" i="10"/>
  <c r="AM11" i="10"/>
  <c r="AQ22" i="10"/>
  <c r="AQ15" i="10"/>
  <c r="AQ11" i="10"/>
  <c r="AQ16" i="10"/>
  <c r="AQ19" i="10"/>
  <c r="AQ14" i="10"/>
  <c r="AQ12" i="10"/>
  <c r="AQ18" i="10"/>
  <c r="AQ10" i="10"/>
  <c r="AQ13" i="10"/>
  <c r="AQ20" i="10"/>
  <c r="AQ21" i="10"/>
  <c r="AQ17" i="10"/>
  <c r="O21" i="19"/>
  <c r="AO108" i="1"/>
  <c r="AO314" i="1"/>
  <c r="AO232" i="1"/>
  <c r="AO319" i="1"/>
  <c r="AO102" i="1"/>
  <c r="AO103" i="1"/>
  <c r="AO169" i="1"/>
  <c r="AO260" i="1"/>
  <c r="AO266" i="1"/>
  <c r="AO242" i="1"/>
  <c r="AO261" i="1" s="1"/>
  <c r="AO248" i="1"/>
  <c r="AO278" i="1"/>
  <c r="AO236" i="1"/>
  <c r="AO284" i="1"/>
  <c r="AY28" i="42"/>
  <c r="AO272" i="1"/>
  <c r="AO224" i="1"/>
  <c r="AO245" i="1"/>
  <c r="X35" i="4"/>
  <c r="AY25" i="42"/>
  <c r="AO263" i="1"/>
  <c r="AO239" i="1"/>
  <c r="AO257" i="1"/>
  <c r="AO269" i="1"/>
  <c r="AO275" i="1"/>
  <c r="AO233" i="1"/>
  <c r="AO281" i="1"/>
  <c r="AO223" i="1"/>
  <c r="AO282" i="1"/>
  <c r="AO240" i="1"/>
  <c r="AY26" i="42"/>
  <c r="AO258" i="1"/>
  <c r="AO234" i="1"/>
  <c r="AO276" i="1"/>
  <c r="AO270" i="1"/>
  <c r="AO264" i="1"/>
  <c r="AO246" i="1"/>
  <c r="AO235" i="1"/>
  <c r="AO277" i="1"/>
  <c r="AO259" i="1"/>
  <c r="AO247" i="1"/>
  <c r="AY27" i="42"/>
  <c r="AO265" i="1"/>
  <c r="AO241" i="1"/>
  <c r="AO271" i="1"/>
  <c r="AO283" i="1"/>
  <c r="AO182" i="1"/>
  <c r="AO306" i="1"/>
  <c r="AY43" i="42" s="1"/>
  <c r="AO137" i="1"/>
  <c r="AO133" i="1"/>
  <c r="AO193" i="1"/>
  <c r="AO190" i="1"/>
  <c r="AO141" i="1"/>
  <c r="AO184" i="1"/>
  <c r="AO185" i="1"/>
  <c r="AO135" i="1"/>
  <c r="AO189" i="1"/>
  <c r="AO132" i="1"/>
  <c r="AO191" i="1"/>
  <c r="AO186" i="1"/>
  <c r="AO183" i="1"/>
  <c r="AO138" i="1"/>
  <c r="AO136" i="1"/>
  <c r="AO192" i="1"/>
  <c r="AY21" i="42"/>
  <c r="AO308" i="1"/>
  <c r="AO188" i="1"/>
  <c r="AO307" i="1"/>
  <c r="AO309" i="1"/>
  <c r="AO187" i="1"/>
  <c r="AO130" i="1"/>
  <c r="AO131" i="1"/>
  <c r="AO134" i="1"/>
  <c r="AO140" i="1"/>
  <c r="AO296" i="1"/>
  <c r="AY42" i="42" s="1"/>
  <c r="AO249" i="1"/>
  <c r="AO273" i="1"/>
  <c r="AO267" i="1"/>
  <c r="AO285" i="1"/>
  <c r="AY29" i="42"/>
  <c r="AO279" i="1"/>
  <c r="AO237" i="1"/>
  <c r="AO243" i="1"/>
  <c r="BL9" i="1"/>
  <c r="BF9" i="1"/>
  <c r="O44" i="4" s="1"/>
  <c r="BJ9" i="1"/>
  <c r="O46" i="4" s="1"/>
  <c r="BB9" i="1"/>
  <c r="O42" i="4" s="1"/>
  <c r="BD9" i="1"/>
  <c r="O43" i="4" s="1"/>
  <c r="BH9" i="1"/>
  <c r="O45" i="4" s="1"/>
  <c r="X20" i="10"/>
  <c r="BC20" i="10" s="1"/>
  <c r="AZ35" i="4"/>
  <c r="X12" i="10" l="1"/>
  <c r="BC12" i="10" s="1"/>
  <c r="AS17" i="10"/>
  <c r="BR17" i="10"/>
  <c r="BR19" i="10"/>
  <c r="AS19" i="10"/>
  <c r="BO13" i="10"/>
  <c r="AO13" i="10"/>
  <c r="AO10" i="10"/>
  <c r="BO10" i="10"/>
  <c r="X15" i="10"/>
  <c r="BC15" i="10" s="1"/>
  <c r="BR21" i="10"/>
  <c r="AS21" i="10"/>
  <c r="BR16" i="10"/>
  <c r="AS16" i="10"/>
  <c r="BO21" i="10"/>
  <c r="AO21" i="10"/>
  <c r="BO22" i="10"/>
  <c r="BA60" i="10"/>
  <c r="AO22" i="10"/>
  <c r="X10" i="10"/>
  <c r="BC10" i="10" s="1"/>
  <c r="X13" i="10"/>
  <c r="BC13" i="10" s="1"/>
  <c r="AS20" i="10"/>
  <c r="BR20" i="10"/>
  <c r="AS11" i="10"/>
  <c r="BR11" i="10"/>
  <c r="AO19" i="10"/>
  <c r="BO19" i="10"/>
  <c r="X22" i="10"/>
  <c r="BC22" i="10" s="1"/>
  <c r="BR13" i="10"/>
  <c r="AS13" i="10"/>
  <c r="BR15" i="10"/>
  <c r="AS15" i="10"/>
  <c r="BO15" i="10"/>
  <c r="AO15" i="10"/>
  <c r="X18" i="10"/>
  <c r="BC18" i="10" s="1"/>
  <c r="AS10" i="10"/>
  <c r="BR10" i="10"/>
  <c r="BI60" i="10"/>
  <c r="AS22" i="10"/>
  <c r="BR22" i="10"/>
  <c r="BO18" i="10"/>
  <c r="AO18" i="10"/>
  <c r="X16" i="10"/>
  <c r="BC16" i="10" s="1"/>
  <c r="X21" i="10"/>
  <c r="BC21" i="10" s="1"/>
  <c r="AS18" i="10"/>
  <c r="BR18" i="10"/>
  <c r="AO11" i="10"/>
  <c r="BO11" i="10"/>
  <c r="BO16" i="10"/>
  <c r="AO16" i="10"/>
  <c r="X11" i="10"/>
  <c r="BC11" i="10" s="1"/>
  <c r="BR12" i="10"/>
  <c r="AS12" i="10"/>
  <c r="BO14" i="10"/>
  <c r="AO14" i="10"/>
  <c r="BO17" i="10"/>
  <c r="AO17" i="10"/>
  <c r="BR14" i="10"/>
  <c r="AS14" i="10"/>
  <c r="AO12" i="10"/>
  <c r="BO12" i="10"/>
  <c r="BO20" i="10"/>
  <c r="AO20" i="10"/>
  <c r="AO262" i="1"/>
  <c r="AO311" i="1"/>
  <c r="AO268" i="1"/>
  <c r="AY63" i="42"/>
  <c r="AO280" i="1"/>
  <c r="AO274" i="1"/>
  <c r="AO250" i="1"/>
  <c r="AO238" i="1"/>
  <c r="AO244" i="1"/>
  <c r="AO318" i="1" s="1"/>
  <c r="AO286" i="1"/>
  <c r="AO392" i="1"/>
  <c r="AO310" i="1"/>
  <c r="AO315" i="1"/>
  <c r="AY46" i="42"/>
  <c r="O47" i="4"/>
  <c r="V67" i="10"/>
  <c r="BA35" i="4"/>
  <c r="AW35" i="4"/>
  <c r="AV35" i="4"/>
  <c r="BG57" i="10" l="1"/>
  <c r="BO59" i="10"/>
  <c r="DS60" i="7" s="1"/>
  <c r="AR15" i="10"/>
  <c r="BS15" i="10" s="1"/>
  <c r="BO55" i="10"/>
  <c r="BG55" i="10"/>
  <c r="AR12" i="10"/>
  <c r="BS12" i="10" s="1"/>
  <c r="AR14" i="10"/>
  <c r="BS14" i="10" s="1"/>
  <c r="AR19" i="10"/>
  <c r="BS19" i="10" s="1"/>
  <c r="BO54" i="10"/>
  <c r="AR18" i="10"/>
  <c r="BS18" i="10" s="1"/>
  <c r="AR21" i="10"/>
  <c r="BS21" i="10" s="1"/>
  <c r="AR10" i="10"/>
  <c r="BS10" i="10" s="1"/>
  <c r="AN18" i="10"/>
  <c r="BP18" i="10" s="1"/>
  <c r="BO57" i="10"/>
  <c r="AN10" i="10"/>
  <c r="BP10" i="10" s="1"/>
  <c r="BG56" i="10"/>
  <c r="AN12" i="10"/>
  <c r="BP12" i="10" s="1"/>
  <c r="AR22" i="10"/>
  <c r="BS22" i="10" s="1"/>
  <c r="BG58" i="10"/>
  <c r="H68" i="33" s="1"/>
  <c r="H65" i="33" s="1"/>
  <c r="AR16" i="10"/>
  <c r="BS16" i="10" s="1"/>
  <c r="AR20" i="10"/>
  <c r="BS20" i="10" s="1"/>
  <c r="AN14" i="10"/>
  <c r="BP14" i="10" s="1"/>
  <c r="AR17" i="10"/>
  <c r="BS17" i="10" s="1"/>
  <c r="AN19" i="10"/>
  <c r="BP19" i="10" s="1"/>
  <c r="AN22" i="10"/>
  <c r="BP22" i="10" s="1"/>
  <c r="BO58" i="10"/>
  <c r="I68" i="33" s="1"/>
  <c r="I65" i="33" s="1"/>
  <c r="AN16" i="10"/>
  <c r="BP16" i="10" s="1"/>
  <c r="AN21" i="10"/>
  <c r="BP21" i="10" s="1"/>
  <c r="BG59" i="10"/>
  <c r="DS59" i="7" s="1"/>
  <c r="AR11" i="10"/>
  <c r="BS11" i="10" s="1"/>
  <c r="AR13" i="10"/>
  <c r="BS13" i="10" s="1"/>
  <c r="AN15" i="10"/>
  <c r="BP15" i="10" s="1"/>
  <c r="AO99" i="1"/>
  <c r="AO101" i="1" s="1"/>
  <c r="AO104" i="1" s="1"/>
  <c r="AO100" i="1"/>
  <c r="AY44" i="42"/>
  <c r="AO298" i="1"/>
  <c r="Z35" i="4"/>
  <c r="AY32" i="42"/>
  <c r="CD35" i="4"/>
  <c r="AY68" i="42"/>
  <c r="AO295" i="1"/>
  <c r="Y35" i="4"/>
  <c r="AY31" i="42"/>
  <c r="AO300" i="1"/>
  <c r="AY95" i="42"/>
  <c r="AO287" i="1"/>
  <c r="AB35" i="4"/>
  <c r="AO291" i="1"/>
  <c r="AO293" i="1" s="1"/>
  <c r="AO301" i="1"/>
  <c r="AC35" i="4"/>
  <c r="AO292" i="1"/>
  <c r="AO289" i="1"/>
  <c r="AO302" i="1"/>
  <c r="AO387" i="1"/>
  <c r="CC35" i="4" s="1"/>
  <c r="AO383" i="1"/>
  <c r="AO313" i="1"/>
  <c r="AO391" i="1"/>
  <c r="AO312" i="1"/>
  <c r="AO288" i="1"/>
  <c r="AA35" i="4"/>
  <c r="AY96" i="42"/>
  <c r="AO222" i="1"/>
  <c r="AO317" i="1"/>
  <c r="AO316" i="1"/>
  <c r="AY47" i="42"/>
  <c r="AO303" i="1"/>
  <c r="AO304" i="1"/>
  <c r="AY45" i="42"/>
  <c r="AO320" i="1"/>
  <c r="AY33" i="42"/>
  <c r="AO334" i="1"/>
  <c r="AO335" i="1"/>
  <c r="AO399" i="1"/>
  <c r="AD35" i="4"/>
  <c r="AO333" i="1"/>
  <c r="AO321" i="1"/>
  <c r="AU67" i="10"/>
  <c r="BK67" i="10"/>
  <c r="AM67" i="10"/>
  <c r="AE67" i="10"/>
  <c r="BC67" i="10"/>
  <c r="AM252" i="1"/>
  <c r="AI35" i="4"/>
  <c r="BC35" i="4"/>
  <c r="AX35" i="4"/>
  <c r="AY35" i="4"/>
  <c r="BD35" i="4"/>
  <c r="BB35" i="4"/>
  <c r="AK35" i="4"/>
  <c r="AQ35" i="4"/>
  <c r="AO35" i="4"/>
  <c r="AM35" i="4"/>
  <c r="BF35" i="4"/>
  <c r="BK72" i="10" l="1"/>
  <c r="BL72" i="10"/>
  <c r="BW47" i="4" s="1"/>
  <c r="BC72" i="10"/>
  <c r="BV46" i="4" s="1"/>
  <c r="BD72" i="10"/>
  <c r="BW46" i="4" s="1"/>
  <c r="AO168" i="1"/>
  <c r="AO220" i="1"/>
  <c r="AO142" i="1"/>
  <c r="AO194" i="1"/>
  <c r="AO170" i="1"/>
  <c r="AO171" i="1" s="1"/>
  <c r="AO195" i="1"/>
  <c r="AO196" i="1" s="1"/>
  <c r="AO143" i="1"/>
  <c r="AO144" i="1" s="1"/>
  <c r="AO118" i="1"/>
  <c r="AO119" i="1" s="1"/>
  <c r="GL35" i="4"/>
  <c r="GK35" i="4"/>
  <c r="AY84" i="42"/>
  <c r="AO388" i="1"/>
  <c r="AO290" i="1"/>
  <c r="AO389" i="1"/>
  <c r="AY79" i="42" s="1"/>
  <c r="AO400" i="1"/>
  <c r="EO35" i="4" s="1"/>
  <c r="N92" i="19"/>
  <c r="DC35" i="4"/>
  <c r="CQ35" i="4"/>
  <c r="AY86" i="42"/>
  <c r="AY85" i="42"/>
  <c r="AO386" i="1"/>
  <c r="AO384" i="1"/>
  <c r="AY91" i="42"/>
  <c r="AO338" i="1"/>
  <c r="AO337" i="1"/>
  <c r="AY87" i="42"/>
  <c r="CP35" i="4"/>
  <c r="M92" i="19"/>
  <c r="DB35" i="4"/>
  <c r="AO360" i="1"/>
  <c r="AO362" i="1"/>
  <c r="AO355" i="1"/>
  <c r="AO357" i="1"/>
  <c r="AY37" i="42"/>
  <c r="AO378" i="1"/>
  <c r="AO379" i="1" s="1"/>
  <c r="EW35" i="4" s="1"/>
  <c r="AO381" i="1"/>
  <c r="AO371" i="1"/>
  <c r="AO366" i="1"/>
  <c r="AO368" i="1"/>
  <c r="AO373" i="1"/>
  <c r="AY40" i="42"/>
  <c r="AO299" i="1"/>
  <c r="AO322" i="1"/>
  <c r="AY93" i="42" s="1"/>
  <c r="AO330" i="1"/>
  <c r="BU35" i="4" s="1"/>
  <c r="AO325" i="1"/>
  <c r="AO328" i="1"/>
  <c r="BT35" i="4" s="1"/>
  <c r="AO329" i="1"/>
  <c r="AY53" i="42" s="1"/>
  <c r="AO412" i="1"/>
  <c r="AO327" i="1"/>
  <c r="AY52" i="42" s="1"/>
  <c r="AO324" i="1"/>
  <c r="AO364" i="1"/>
  <c r="AO369" i="1"/>
  <c r="AO402" i="1"/>
  <c r="AY38" i="42"/>
  <c r="AO297" i="1"/>
  <c r="AY36" i="42"/>
  <c r="T476" i="1"/>
  <c r="V476" i="1"/>
  <c r="BV47" i="4"/>
  <c r="BR35" i="4"/>
  <c r="O46" i="19" l="1"/>
  <c r="O22" i="19"/>
  <c r="AO124" i="1"/>
  <c r="AO125" i="1"/>
  <c r="AO120" i="1"/>
  <c r="AO121" i="1"/>
  <c r="AO123" i="1"/>
  <c r="AO122" i="1"/>
  <c r="AO128" i="1"/>
  <c r="AO129" i="1" s="1"/>
  <c r="AO139" i="1" s="1"/>
  <c r="AO151" i="1"/>
  <c r="AO145" i="1"/>
  <c r="AO150" i="1"/>
  <c r="AO149" i="1"/>
  <c r="AO148" i="1"/>
  <c r="AO154" i="1"/>
  <c r="AO155" i="1" s="1"/>
  <c r="AO164" i="1" s="1"/>
  <c r="AO146" i="1"/>
  <c r="AO147" i="1"/>
  <c r="AY51" i="42"/>
  <c r="AO197" i="1"/>
  <c r="AO200" i="1"/>
  <c r="AO206" i="1"/>
  <c r="AO207" i="1" s="1"/>
  <c r="AO217" i="1" s="1"/>
  <c r="AO202" i="1"/>
  <c r="AO201" i="1"/>
  <c r="AO198" i="1"/>
  <c r="AO199" i="1"/>
  <c r="AO203" i="1"/>
  <c r="AO180" i="1"/>
  <c r="AO181" i="1" s="1"/>
  <c r="AO173" i="1"/>
  <c r="AO175" i="1"/>
  <c r="AO176" i="1"/>
  <c r="AO172" i="1"/>
  <c r="AO177" i="1"/>
  <c r="AO174" i="1"/>
  <c r="AO326" i="1"/>
  <c r="AO331" i="1"/>
  <c r="AY55" i="42"/>
  <c r="FN35" i="4"/>
  <c r="EX35" i="4"/>
  <c r="EL35" i="4"/>
  <c r="AO403" i="1"/>
  <c r="AO421" i="1"/>
  <c r="AO423" i="1" s="1"/>
  <c r="FA35" i="4"/>
  <c r="AY71" i="42"/>
  <c r="AO353" i="1"/>
  <c r="AO358" i="1"/>
  <c r="AY78" i="42"/>
  <c r="AO390" i="1"/>
  <c r="AM253" i="1"/>
  <c r="EK35" i="4"/>
  <c r="AY70" i="42"/>
  <c r="AO352" i="1"/>
  <c r="AO376" i="1"/>
  <c r="AY49" i="42"/>
  <c r="FM35" i="4"/>
  <c r="X476" i="1"/>
  <c r="P476" i="1"/>
  <c r="L476" i="1"/>
  <c r="J476" i="1"/>
  <c r="AK252" i="1"/>
  <c r="L239" i="1"/>
  <c r="AK106" i="1"/>
  <c r="AO178" i="1" l="1"/>
  <c r="AO179" i="1"/>
  <c r="AO126" i="1"/>
  <c r="AO127" i="1"/>
  <c r="AO204" i="1"/>
  <c r="AO205" i="1"/>
  <c r="AO153" i="1"/>
  <c r="AO152" i="1"/>
  <c r="AY61" i="42"/>
  <c r="CA35" i="4"/>
  <c r="CG35" i="4"/>
  <c r="CF35" i="4"/>
  <c r="AY64" i="42"/>
  <c r="AO404" i="1"/>
  <c r="AO405" i="1" s="1"/>
  <c r="AY80" i="42" s="1"/>
  <c r="AO406" i="1"/>
  <c r="AO407" i="1" s="1"/>
  <c r="AY81" i="42" s="1"/>
  <c r="AO409" i="1"/>
  <c r="AO408" i="1"/>
  <c r="AM100" i="1"/>
  <c r="CA100" i="1"/>
  <c r="N100" i="1"/>
  <c r="F476" i="1"/>
  <c r="AG106" i="1"/>
  <c r="AG252" i="1"/>
  <c r="O36" i="19" l="1"/>
  <c r="O35" i="19"/>
  <c r="AO410" i="1"/>
  <c r="AY106" i="42" s="1"/>
  <c r="DE35" i="4"/>
  <c r="CS35" i="4"/>
  <c r="P92" i="19"/>
  <c r="DF35" i="4"/>
  <c r="Q92" i="19"/>
  <c r="CT35" i="4"/>
  <c r="CZ35" i="4"/>
  <c r="K92" i="19"/>
  <c r="CN35" i="4"/>
  <c r="AO411" i="1"/>
  <c r="AO413" i="1" s="1"/>
  <c r="CC239" i="1"/>
  <c r="Y80" i="7"/>
  <c r="K80" i="7"/>
  <c r="AF80" i="7"/>
  <c r="E80" i="7"/>
  <c r="Q80" i="7"/>
  <c r="L80" i="7"/>
  <c r="AH80" i="7"/>
  <c r="X80" i="7"/>
  <c r="AE80" i="7"/>
  <c r="BW239" i="1"/>
  <c r="BY100" i="1"/>
  <c r="P100" i="1"/>
  <c r="D100" i="1"/>
  <c r="V100" i="1"/>
  <c r="AK100" i="1"/>
  <c r="R100" i="1"/>
  <c r="H100" i="1"/>
  <c r="L100" i="1"/>
  <c r="T100" i="1"/>
  <c r="O37" i="19" l="1"/>
  <c r="O34" i="19"/>
  <c r="O17" i="19"/>
  <c r="CH35" i="4"/>
  <c r="DG35" i="4" s="1"/>
  <c r="AY69" i="42"/>
  <c r="CC100" i="1"/>
  <c r="BW100" i="1"/>
  <c r="F100" i="1"/>
  <c r="X100" i="1"/>
  <c r="J100" i="1"/>
  <c r="R92" i="19" l="1"/>
  <c r="CU35" i="4"/>
  <c r="BH236" i="1" l="1"/>
  <c r="BH84" i="1" l="1"/>
  <c r="BD236" i="1" l="1"/>
  <c r="BD237" i="1"/>
  <c r="BJ236" i="1" l="1"/>
  <c r="BD84" i="1" l="1"/>
  <c r="BF236" i="1"/>
  <c r="BJ84" i="1"/>
  <c r="BL237" i="1" l="1"/>
  <c r="O31" i="19"/>
  <c r="O40" i="19"/>
  <c r="O39" i="19"/>
  <c r="BF84" i="1"/>
  <c r="BJ237" i="1" l="1"/>
  <c r="O33" i="19"/>
  <c r="O32" i="19"/>
  <c r="O47" i="19" l="1"/>
  <c r="O15" i="19"/>
  <c r="O26" i="19"/>
  <c r="O25" i="19"/>
  <c r="O27" i="19"/>
  <c r="O24" i="19"/>
  <c r="O19" i="19"/>
  <c r="O23" i="19"/>
  <c r="O18" i="19"/>
  <c r="O16" i="19"/>
  <c r="BB236" i="1" l="1"/>
  <c r="BB237" i="1"/>
  <c r="AR1" i="19"/>
  <c r="D35" i="19" s="1"/>
  <c r="BB84" i="1" l="1"/>
  <c r="B33" i="19"/>
  <c r="DY40" i="7" l="1"/>
  <c r="DY7" i="7"/>
  <c r="DX40" i="7"/>
  <c r="DX46" i="7"/>
  <c r="DZ46" i="7" s="1"/>
  <c r="EB46" i="7" s="1"/>
  <c r="DZ40" i="7" l="1"/>
  <c r="EB40" i="7" s="1"/>
  <c r="DX19" i="7" l="1"/>
  <c r="DZ19" i="7" s="1"/>
  <c r="EB19" i="7" s="1"/>
  <c r="DX32" i="7"/>
  <c r="DZ32" i="7" s="1"/>
  <c r="EB32" i="7" s="1"/>
  <c r="DY31" i="7" l="1"/>
  <c r="DZ31" i="7" s="1"/>
  <c r="EB31" i="7" s="1"/>
  <c r="DY52" i="7"/>
  <c r="DZ52" i="7" s="1"/>
  <c r="EB52" i="7" s="1"/>
  <c r="DX7" i="7"/>
  <c r="DZ7" i="7" s="1"/>
  <c r="EB7" i="7" s="1"/>
  <c r="H74" i="11" l="1"/>
  <c r="Y35" i="11"/>
  <c r="Z35" i="11"/>
  <c r="BB78" i="1"/>
  <c r="BB79" i="1"/>
  <c r="BF78" i="1"/>
  <c r="BF79" i="1"/>
  <c r="Y44" i="11" l="1"/>
  <c r="H70" i="11"/>
  <c r="N51" i="11" l="1"/>
  <c r="Y45" i="11"/>
  <c r="G9" i="38"/>
  <c r="I52" i="12"/>
  <c r="C67" i="12" s="1"/>
  <c r="V8" i="10"/>
  <c r="H72" i="11"/>
  <c r="N53" i="11" s="1"/>
  <c r="BF237" i="1"/>
  <c r="C136" i="38" l="1"/>
  <c r="G7" i="38"/>
  <c r="C64" i="12" s="1"/>
  <c r="G8" i="38" l="1"/>
  <c r="BF12" i="1" s="1"/>
  <c r="C78" i="42"/>
  <c r="BB12" i="1" l="1"/>
  <c r="BJ78" i="1"/>
  <c r="BJ79" i="1"/>
  <c r="BL7" i="1"/>
  <c r="BL78" i="1"/>
  <c r="BL79" i="1"/>
  <c r="BL12" i="1"/>
  <c r="BJ12" i="1"/>
  <c r="BL50" i="1" l="1"/>
  <c r="BL53" i="1"/>
  <c r="BL49" i="1"/>
  <c r="BL66" i="1" s="1"/>
  <c r="BL316" i="1" s="1"/>
  <c r="BL51" i="1"/>
  <c r="BL52" i="1"/>
  <c r="BL320" i="1" l="1"/>
  <c r="BL323" i="1"/>
  <c r="BL406" i="1"/>
  <c r="BL48" i="1"/>
  <c r="C146" i="38"/>
  <c r="Q60" i="10"/>
  <c r="EB59" i="7"/>
  <c r="C147" i="38"/>
  <c r="Q61" i="10"/>
  <c r="EB60" i="7"/>
  <c r="BD78" i="1"/>
  <c r="BD79" i="1"/>
  <c r="G17" i="38"/>
  <c r="BW48" i="1"/>
  <c r="BW94" i="1"/>
  <c r="BW95" i="1"/>
  <c r="BW240" i="1"/>
  <c r="C68" i="38"/>
  <c r="EB30" i="7"/>
  <c r="EB50" i="7"/>
  <c r="EB21" i="7"/>
  <c r="AE10" i="1"/>
  <c r="AE23" i="1" s="1"/>
  <c r="AE398" i="1" s="1"/>
  <c r="CE31" i="4" s="1"/>
  <c r="AE47" i="1"/>
  <c r="AE48" i="1"/>
  <c r="AE94" i="1"/>
  <c r="AE95" i="1"/>
  <c r="AE106" i="1"/>
  <c r="AV78" i="1"/>
  <c r="AV79" i="1"/>
  <c r="AE252" i="1"/>
  <c r="AE253" i="1"/>
  <c r="EB23" i="7"/>
  <c r="EB22" i="7"/>
  <c r="BR47" i="4"/>
  <c r="BL324" i="1" l="1"/>
  <c r="BK51" i="42"/>
  <c r="BL329" i="1"/>
  <c r="BK92" i="42"/>
  <c r="BL325" i="1"/>
  <c r="BL331" i="1"/>
  <c r="BL332" i="1" s="1"/>
  <c r="BL327" i="1"/>
  <c r="BL328" i="1" s="1"/>
  <c r="BW16" i="1"/>
  <c r="BW20" i="1" s="1"/>
  <c r="AD22" i="10"/>
  <c r="BH22" i="10" s="1"/>
  <c r="AD19" i="10"/>
  <c r="BH19" i="10" s="1"/>
  <c r="Q71" i="10"/>
  <c r="AD8" i="10"/>
  <c r="BH8" i="10" s="1"/>
  <c r="AD17" i="10"/>
  <c r="BH17" i="10" s="1"/>
  <c r="AD18" i="10"/>
  <c r="BH18" i="10" s="1"/>
  <c r="AD12" i="10"/>
  <c r="BH12" i="10" s="1"/>
  <c r="Y8" i="10"/>
  <c r="BD8" i="10" s="1"/>
  <c r="AD15" i="10"/>
  <c r="BH15" i="10" s="1"/>
  <c r="AD28" i="10"/>
  <c r="AM65" i="10" s="1"/>
  <c r="AD21" i="10"/>
  <c r="BH21" i="10" s="1"/>
  <c r="AD14" i="10"/>
  <c r="BH14" i="10" s="1"/>
  <c r="AD11" i="10"/>
  <c r="BH11" i="10" s="1"/>
  <c r="AD13" i="10"/>
  <c r="BH13" i="10" s="1"/>
  <c r="AD20" i="10"/>
  <c r="BH20" i="10" s="1"/>
  <c r="AD10" i="10"/>
  <c r="BH10" i="10" s="1"/>
  <c r="AD9" i="10"/>
  <c r="BH9" i="10" s="1"/>
  <c r="AD16" i="10"/>
  <c r="BH16" i="10" s="1"/>
  <c r="DE59" i="7"/>
  <c r="DY59" i="7" s="1"/>
  <c r="AE13" i="1"/>
  <c r="AE16" i="1" s="1"/>
  <c r="CZ60" i="7"/>
  <c r="DX60" i="7" s="1"/>
  <c r="CY59" i="7"/>
  <c r="DX59" i="7" s="1"/>
  <c r="DZ59" i="7" s="1"/>
  <c r="DE60" i="7"/>
  <c r="BW18" i="1"/>
  <c r="BL59" i="1" a="1"/>
  <c r="BL73" i="1"/>
  <c r="BL333" i="1" l="1"/>
  <c r="BL398" i="1" s="1"/>
  <c r="BL330" i="1"/>
  <c r="BK53" i="42" s="1"/>
  <c r="BW19" i="1"/>
  <c r="BW17" i="1"/>
  <c r="BW21" i="1"/>
  <c r="BU47" i="4"/>
  <c r="BL403" i="1"/>
  <c r="BL402" i="1"/>
  <c r="BL400" i="1"/>
  <c r="BL401" i="1" s="1"/>
  <c r="BK81" i="42" s="1"/>
  <c r="BL326" i="1"/>
  <c r="AE17" i="1"/>
  <c r="AE19" i="1"/>
  <c r="AE20" i="1"/>
  <c r="AE18" i="1"/>
  <c r="AE21" i="1"/>
  <c r="BL290" i="1"/>
  <c r="BL292" i="1"/>
  <c r="BL291" i="1"/>
  <c r="BL293" i="1"/>
  <c r="BL63" i="1"/>
  <c r="BL71" i="1" s="1"/>
  <c r="BL60" i="1"/>
  <c r="BL68" i="1" s="1"/>
  <c r="BL77" i="1" s="1"/>
  <c r="BL64" i="1"/>
  <c r="BL72" i="1" s="1"/>
  <c r="BL61" i="1"/>
  <c r="BL69" i="1" s="1"/>
  <c r="BL62" i="1"/>
  <c r="BL70" i="1" s="1"/>
  <c r="BL404" i="1" l="1"/>
  <c r="BK106" i="42" s="1"/>
  <c r="BK52" i="42"/>
  <c r="BT47" i="4"/>
  <c r="BL215" i="1"/>
  <c r="BL211" i="1"/>
  <c r="BL212" i="1"/>
  <c r="BL82" i="1"/>
  <c r="BL214" i="1"/>
  <c r="BL213" i="1"/>
  <c r="BK78" i="42"/>
  <c r="BL399" i="1"/>
  <c r="BL67" i="1"/>
  <c r="BL298" i="1" l="1"/>
  <c r="BL260" i="1"/>
  <c r="BL230" i="1"/>
  <c r="BL254" i="1"/>
  <c r="BL224" i="1"/>
  <c r="BL218" i="1"/>
  <c r="BL242" i="1"/>
  <c r="BL266" i="1"/>
  <c r="BL235" i="1"/>
  <c r="BL240" i="1" s="1"/>
  <c r="BK97" i="42" s="1"/>
  <c r="BL241" i="1"/>
  <c r="BL265" i="1"/>
  <c r="BL259" i="1"/>
  <c r="BL253" i="1"/>
  <c r="BL223" i="1"/>
  <c r="BL217" i="1"/>
  <c r="BL216" i="1"/>
  <c r="BL229" i="1"/>
  <c r="BL268" i="1"/>
  <c r="BL232" i="1"/>
  <c r="BL244" i="1"/>
  <c r="BL226" i="1"/>
  <c r="BL220" i="1"/>
  <c r="BL262" i="1"/>
  <c r="BL256" i="1"/>
  <c r="BK79" i="42"/>
  <c r="BK80" i="42"/>
  <c r="BL269" i="1"/>
  <c r="BL245" i="1"/>
  <c r="BL233" i="1"/>
  <c r="BL263" i="1"/>
  <c r="BL257" i="1"/>
  <c r="BL227" i="1"/>
  <c r="BL221" i="1"/>
  <c r="BL243" i="1"/>
  <c r="BL231" i="1"/>
  <c r="BL261" i="1"/>
  <c r="BL225" i="1"/>
  <c r="BL219" i="1"/>
  <c r="BL255" i="1"/>
  <c r="BL267" i="1"/>
  <c r="BL74" i="1"/>
  <c r="BL207" i="1"/>
  <c r="BL153" i="1"/>
  <c r="BL205" i="1"/>
  <c r="AZ47" i="4"/>
  <c r="BL303" i="1" l="1"/>
  <c r="BL264" i="1"/>
  <c r="BL270" i="1"/>
  <c r="BL246" i="1"/>
  <c r="BL258" i="1"/>
  <c r="BL234" i="1"/>
  <c r="BL222" i="1"/>
  <c r="BL279" i="1" s="1"/>
  <c r="BL228" i="1"/>
  <c r="BL294" i="1"/>
  <c r="BL295" i="1"/>
  <c r="BK36" i="42" l="1"/>
  <c r="BL281" i="1"/>
  <c r="BL336" i="1" s="1"/>
  <c r="BL376" i="1"/>
  <c r="CD47" i="4" s="1"/>
  <c r="BL271" i="1"/>
  <c r="BL300" i="1"/>
  <c r="BL275" i="1"/>
  <c r="BL277" i="1" s="1"/>
  <c r="BL317" i="1"/>
  <c r="BL383" i="1"/>
  <c r="BL305" i="1"/>
  <c r="AO14" i="30"/>
  <c r="AO38" i="30" s="1"/>
  <c r="BL273" i="1"/>
  <c r="BL276" i="1"/>
  <c r="BL297" i="1"/>
  <c r="BL302" i="1"/>
  <c r="AO13" i="30"/>
  <c r="BL284" i="1"/>
  <c r="BL296" i="1"/>
  <c r="BK84" i="42" s="1"/>
  <c r="AX47" i="4"/>
  <c r="AY47" i="4"/>
  <c r="BB47" i="4"/>
  <c r="BF47" i="4"/>
  <c r="BK68" i="42" l="1"/>
  <c r="BK61" i="42"/>
  <c r="CA47" i="4"/>
  <c r="BL384" i="1"/>
  <c r="BL274" i="1"/>
  <c r="BL337" i="1" s="1"/>
  <c r="BL372" i="1"/>
  <c r="BL373" i="1"/>
  <c r="CQ47" i="4"/>
  <c r="DC47" i="4"/>
  <c r="N104" i="19"/>
  <c r="BL309" i="1"/>
  <c r="BL314" i="1"/>
  <c r="BL312" i="1"/>
  <c r="BL306" i="1"/>
  <c r="BK93" i="42" s="1"/>
  <c r="BL311" i="1"/>
  <c r="BL308" i="1"/>
  <c r="BL313" i="1"/>
  <c r="BL396" i="1"/>
  <c r="AO37" i="30"/>
  <c r="AO39" i="30"/>
  <c r="BK85" i="42"/>
  <c r="BL355" i="1"/>
  <c r="BL357" i="1"/>
  <c r="BL350" i="1"/>
  <c r="BL352" i="1"/>
  <c r="BL367" i="1"/>
  <c r="BL371" i="1"/>
  <c r="CC47" i="4" s="1"/>
  <c r="BL362" i="1"/>
  <c r="BL363" i="1" s="1"/>
  <c r="BL346" i="1"/>
  <c r="BL339" i="1"/>
  <c r="BL341" i="1"/>
  <c r="BL344" i="1"/>
  <c r="BK86" i="42"/>
  <c r="BL301" i="1"/>
  <c r="BK87" i="42" s="1"/>
  <c r="AM47" i="4"/>
  <c r="BC47" i="4"/>
  <c r="CZ47" i="4" l="1"/>
  <c r="CN47" i="4"/>
  <c r="K104" i="19"/>
  <c r="EK47" i="4"/>
  <c r="EW47" i="4"/>
  <c r="BK70" i="42"/>
  <c r="BL405" i="1"/>
  <c r="BL407" i="1" s="1"/>
  <c r="BL387" i="1"/>
  <c r="FA47" i="4"/>
  <c r="BK71" i="42"/>
  <c r="BL310" i="1"/>
  <c r="BL315" i="1"/>
  <c r="CP47" i="4"/>
  <c r="M104" i="19"/>
  <c r="DB47" i="4"/>
  <c r="BL368" i="1"/>
  <c r="BL370" i="1"/>
  <c r="BL374" i="1"/>
  <c r="EO47" i="4"/>
  <c r="BK69" i="42" l="1"/>
  <c r="CG47" i="4"/>
  <c r="EX47" i="4"/>
  <c r="EL47" i="4"/>
  <c r="BL390" i="1"/>
  <c r="BL391" i="1" s="1"/>
  <c r="BL388" i="1"/>
  <c r="BL389" i="1" s="1"/>
  <c r="CF47" i="4"/>
  <c r="BK64" i="42"/>
  <c r="BL393" i="1"/>
  <c r="BL392" i="1"/>
  <c r="C137" i="38"/>
  <c r="BL282" i="1"/>
  <c r="AO41" i="30"/>
  <c r="AO43" i="30" s="1"/>
  <c r="N10" i="1"/>
  <c r="N47" i="1"/>
  <c r="N48" i="1"/>
  <c r="N94" i="1"/>
  <c r="N95" i="1"/>
  <c r="N239" i="1"/>
  <c r="N240" i="1"/>
  <c r="C41" i="38"/>
  <c r="EB33" i="7"/>
  <c r="BL394" i="1" l="1"/>
  <c r="AO31" i="30"/>
  <c r="BL283" i="1"/>
  <c r="DF47" i="4"/>
  <c r="CT47" i="4"/>
  <c r="Q104" i="19"/>
  <c r="BK40" i="42"/>
  <c r="P104" i="19"/>
  <c r="DE47" i="4"/>
  <c r="CS47" i="4"/>
  <c r="BL395" i="1"/>
  <c r="BL397" i="1" s="1"/>
  <c r="CH47" i="4" s="1"/>
  <c r="BL365" i="1"/>
  <c r="BK32" i="42"/>
  <c r="Z47" i="4"/>
  <c r="AO30" i="30"/>
  <c r="AO32" i="30"/>
  <c r="AO36" i="30" s="1"/>
  <c r="BK38" i="42"/>
  <c r="AO12" i="30"/>
  <c r="AO35" i="30" s="1"/>
  <c r="BK31" i="42"/>
  <c r="Y47" i="4"/>
  <c r="DX38" i="7"/>
  <c r="DD38" i="7"/>
  <c r="DY38" i="7" s="1"/>
  <c r="BL287" i="1"/>
  <c r="BK41" i="42" s="1"/>
  <c r="X10" i="1"/>
  <c r="X23" i="1" s="1"/>
  <c r="X47" i="1"/>
  <c r="X48" i="1"/>
  <c r="X94" i="1"/>
  <c r="X95" i="1"/>
  <c r="X239" i="1"/>
  <c r="X240" i="1"/>
  <c r="EB41" i="7"/>
  <c r="BD12" i="1"/>
  <c r="CJ39" i="7"/>
  <c r="DD39" i="7"/>
  <c r="EB39" i="7"/>
  <c r="BK37" i="42"/>
  <c r="AC47" i="4"/>
  <c r="AB47" i="4"/>
  <c r="BK95" i="42"/>
  <c r="BL318" i="1"/>
  <c r="BL285" i="1"/>
  <c r="F10" i="1"/>
  <c r="F23" i="1" s="1"/>
  <c r="F47" i="1"/>
  <c r="F48" i="1"/>
  <c r="F94" i="1"/>
  <c r="F95" i="1"/>
  <c r="F239" i="1"/>
  <c r="F240" i="1"/>
  <c r="EB9" i="7"/>
  <c r="J10" i="1"/>
  <c r="J23" i="1" s="1"/>
  <c r="J47" i="1"/>
  <c r="J48" i="1"/>
  <c r="J94" i="1"/>
  <c r="J95" i="1"/>
  <c r="J239" i="1"/>
  <c r="J240" i="1"/>
  <c r="N469" i="1"/>
  <c r="N470" i="1"/>
  <c r="N618" i="1"/>
  <c r="N619" i="1"/>
  <c r="C49" i="38"/>
  <c r="BM28" i="7" s="1"/>
  <c r="DX28" i="7" s="1"/>
  <c r="DZ28" i="7" s="1"/>
  <c r="EB28" i="7" s="1"/>
  <c r="BL319" i="1"/>
  <c r="BL386" i="1"/>
  <c r="AD47" i="4"/>
  <c r="BK33" i="42"/>
  <c r="BL304" i="1"/>
  <c r="BL247" i="1"/>
  <c r="BL248" i="1"/>
  <c r="BL249" i="1"/>
  <c r="BL250" i="1"/>
  <c r="BL251" i="1"/>
  <c r="AI47" i="4"/>
  <c r="AV47" i="4"/>
  <c r="AK47" i="4"/>
  <c r="AO47" i="4"/>
  <c r="BK91" i="42" l="1"/>
  <c r="BL322" i="1"/>
  <c r="BL321" i="1"/>
  <c r="X13" i="1"/>
  <c r="X24" i="1"/>
  <c r="BL360" i="1"/>
  <c r="DZ38" i="7"/>
  <c r="EB38" i="7" s="1"/>
  <c r="J13" i="1"/>
  <c r="J24" i="1"/>
  <c r="F24" i="1"/>
  <c r="F13" i="1"/>
  <c r="BL252" i="1"/>
  <c r="BL206" i="1" s="1"/>
  <c r="DG47" i="4"/>
  <c r="CU47" i="4"/>
  <c r="R104" i="19"/>
  <c r="BK44" i="42"/>
  <c r="BK45" i="42"/>
  <c r="AQ47" i="4"/>
  <c r="BD47" i="4"/>
  <c r="AW47" i="4"/>
  <c r="X14" i="1" l="1"/>
  <c r="X16" i="1" s="1"/>
  <c r="J14" i="1"/>
  <c r="F14" i="1"/>
  <c r="F16" i="1" s="1"/>
  <c r="BK49" i="42"/>
  <c r="FM47" i="4"/>
  <c r="FN47" i="4"/>
  <c r="BK55" i="42"/>
  <c r="J16" i="1"/>
  <c r="CJ37" i="7"/>
  <c r="DD37" i="7"/>
  <c r="DY37" i="7" s="1"/>
  <c r="AZ7" i="1"/>
  <c r="AZ78" i="1"/>
  <c r="AZ79" i="1"/>
  <c r="X469" i="1"/>
  <c r="X470" i="1"/>
  <c r="BU14" i="1"/>
  <c r="BU16" i="1" s="1"/>
  <c r="BU47" i="1"/>
  <c r="BU48" i="1"/>
  <c r="BU94" i="1"/>
  <c r="BU95" i="1"/>
  <c r="BU239" i="1"/>
  <c r="BU240" i="1"/>
  <c r="EB35" i="7"/>
  <c r="EB34" i="7"/>
  <c r="EB6" i="7"/>
  <c r="AO18" i="30"/>
  <c r="BK63" i="42"/>
  <c r="AI94" i="1"/>
  <c r="AI95" i="1"/>
  <c r="AI10" i="1"/>
  <c r="AI47" i="1"/>
  <c r="AI48" i="1"/>
  <c r="P94" i="1"/>
  <c r="P95" i="1"/>
  <c r="P10" i="1"/>
  <c r="P23" i="1" s="1"/>
  <c r="P47" i="1"/>
  <c r="P48" i="1"/>
  <c r="H10" i="1"/>
  <c r="H23" i="1" s="1"/>
  <c r="H48" i="1"/>
  <c r="H94" i="1"/>
  <c r="H95" i="1"/>
  <c r="H239" i="1"/>
  <c r="H240" i="1"/>
  <c r="H26" i="1"/>
  <c r="T10" i="1"/>
  <c r="T23" i="1" s="1"/>
  <c r="T47" i="1"/>
  <c r="T48" i="1"/>
  <c r="T94" i="1"/>
  <c r="T95" i="1"/>
  <c r="T239" i="1"/>
  <c r="T240" i="1"/>
  <c r="EB44" i="7"/>
  <c r="X20" i="1" l="1"/>
  <c r="X18" i="1"/>
  <c r="X17" i="1"/>
  <c r="X19" i="1"/>
  <c r="X21" i="1"/>
  <c r="AZ52" i="1"/>
  <c r="AZ51" i="1"/>
  <c r="AZ50" i="1"/>
  <c r="BU20" i="1"/>
  <c r="BU17" i="1"/>
  <c r="BU21" i="1"/>
  <c r="BU19" i="1"/>
  <c r="BU18" i="1"/>
  <c r="P13" i="1"/>
  <c r="P24" i="1"/>
  <c r="T13" i="1"/>
  <c r="T24" i="1"/>
  <c r="H13" i="1"/>
  <c r="H24" i="1"/>
  <c r="H14" i="1" s="1"/>
  <c r="J17" i="1"/>
  <c r="J19" i="1"/>
  <c r="J20" i="1"/>
  <c r="J21" i="1"/>
  <c r="J18" i="1"/>
  <c r="F17" i="1"/>
  <c r="F20" i="1"/>
  <c r="F19" i="1"/>
  <c r="F21" i="1"/>
  <c r="F18" i="1"/>
  <c r="AZ53" i="1"/>
  <c r="CE33" i="4"/>
  <c r="V10" i="1"/>
  <c r="V23" i="1" s="1"/>
  <c r="V47" i="1"/>
  <c r="V48" i="1"/>
  <c r="V94" i="1"/>
  <c r="V95" i="1"/>
  <c r="V239" i="1"/>
  <c r="V240" i="1"/>
  <c r="EB42" i="7"/>
  <c r="AI106" i="1"/>
  <c r="AI252" i="1"/>
  <c r="AI253" i="1"/>
  <c r="V469" i="1"/>
  <c r="V470" i="1"/>
  <c r="V618" i="1"/>
  <c r="V619" i="1"/>
  <c r="DB56" i="7"/>
  <c r="R10" i="1"/>
  <c r="R23" i="1" s="1"/>
  <c r="R47" i="1"/>
  <c r="R48" i="1"/>
  <c r="R94" i="1"/>
  <c r="R95" i="1"/>
  <c r="R239" i="1"/>
  <c r="R240" i="1"/>
  <c r="CA16" i="1"/>
  <c r="CA18" i="1" s="1"/>
  <c r="CA47" i="1"/>
  <c r="CA48" i="1"/>
  <c r="CA94" i="1"/>
  <c r="CA95" i="1"/>
  <c r="CA239" i="1"/>
  <c r="CA240" i="1"/>
  <c r="D10" i="1"/>
  <c r="D47" i="1"/>
  <c r="D48" i="1"/>
  <c r="D94" i="1"/>
  <c r="D95" i="1"/>
  <c r="D239" i="1"/>
  <c r="D240" i="1"/>
  <c r="X618" i="1"/>
  <c r="X619" i="1"/>
  <c r="CC16" i="1"/>
  <c r="CC20" i="1" s="1"/>
  <c r="CC48" i="1"/>
  <c r="CC94" i="1"/>
  <c r="CC95" i="1"/>
  <c r="CC240" i="1"/>
  <c r="T14" i="1" l="1"/>
  <c r="T16" i="1" s="1"/>
  <c r="P14" i="1"/>
  <c r="P16" i="1" s="1"/>
  <c r="CA20" i="1"/>
  <c r="H16" i="1"/>
  <c r="V24" i="1"/>
  <c r="V13" i="1"/>
  <c r="R13" i="1"/>
  <c r="CC17" i="1"/>
  <c r="CC19" i="1"/>
  <c r="CC18" i="1"/>
  <c r="R24" i="1"/>
  <c r="CC21" i="1"/>
  <c r="CA19" i="1"/>
  <c r="CA21" i="1"/>
  <c r="CA17" i="1"/>
  <c r="J469" i="1"/>
  <c r="J470" i="1"/>
  <c r="T469" i="1"/>
  <c r="T470" i="1"/>
  <c r="AX7" i="1"/>
  <c r="AX78" i="1"/>
  <c r="AX79" i="1"/>
  <c r="AX12" i="1"/>
  <c r="P239" i="1"/>
  <c r="P240" i="1"/>
  <c r="EB47" i="7"/>
  <c r="F469" i="1"/>
  <c r="F470" i="1"/>
  <c r="R469" i="1"/>
  <c r="R470" i="1"/>
  <c r="AZ12" i="1"/>
  <c r="AV7" i="1"/>
  <c r="AV12" i="1"/>
  <c r="AV236" i="1"/>
  <c r="AV237" i="1"/>
  <c r="L94" i="1"/>
  <c r="L95" i="1"/>
  <c r="L10" i="1"/>
  <c r="L23" i="1" s="1"/>
  <c r="L47" i="1"/>
  <c r="L48" i="1"/>
  <c r="AK24" i="1"/>
  <c r="AK14" i="1" s="1"/>
  <c r="AK16" i="1" s="1"/>
  <c r="AK17" i="1" s="1"/>
  <c r="AK47" i="1"/>
  <c r="AK48" i="1"/>
  <c r="AK94" i="1"/>
  <c r="AK95" i="1"/>
  <c r="AK253" i="1"/>
  <c r="R14" i="1" l="1"/>
  <c r="T20" i="1"/>
  <c r="T19" i="1"/>
  <c r="T21" i="1"/>
  <c r="T18" i="1"/>
  <c r="T17" i="1"/>
  <c r="V14" i="1"/>
  <c r="V16" i="1" s="1"/>
  <c r="H17" i="1"/>
  <c r="H19" i="1"/>
  <c r="H21" i="1"/>
  <c r="H18" i="1"/>
  <c r="H20" i="1"/>
  <c r="AV52" i="1"/>
  <c r="AV50" i="1"/>
  <c r="AX53" i="1"/>
  <c r="AX51" i="1"/>
  <c r="L24" i="1"/>
  <c r="L14" i="1" s="1"/>
  <c r="L13" i="1"/>
  <c r="AK21" i="1"/>
  <c r="AK20" i="1"/>
  <c r="P20" i="1"/>
  <c r="P19" i="1"/>
  <c r="P21" i="1"/>
  <c r="P18" i="1"/>
  <c r="P17" i="1"/>
  <c r="AX50" i="1"/>
  <c r="R16" i="1"/>
  <c r="AV53" i="1"/>
  <c r="AV51" i="1"/>
  <c r="AK18" i="1"/>
  <c r="AK19" i="1"/>
  <c r="AX52" i="1"/>
  <c r="AX49" i="1"/>
  <c r="AX66" i="1" s="1"/>
  <c r="AX316" i="1" s="1"/>
  <c r="V17" i="1" l="1"/>
  <c r="V20" i="1"/>
  <c r="V18" i="1"/>
  <c r="V21" i="1"/>
  <c r="V19" i="1"/>
  <c r="AX320" i="1"/>
  <c r="AX406" i="1"/>
  <c r="L16" i="1"/>
  <c r="L17" i="1" s="1"/>
  <c r="R20" i="1"/>
  <c r="R18" i="1"/>
  <c r="R17" i="1"/>
  <c r="R21" i="1"/>
  <c r="R19" i="1"/>
  <c r="AX48" i="1"/>
  <c r="AX323" i="1" l="1"/>
  <c r="AX331" i="1"/>
  <c r="AX332" i="1" s="1"/>
  <c r="AX325" i="1"/>
  <c r="BD92" i="42"/>
  <c r="AX329" i="1"/>
  <c r="AX327" i="1"/>
  <c r="AX328" i="1" s="1"/>
  <c r="L20" i="1"/>
  <c r="L21" i="1"/>
  <c r="L18" i="1"/>
  <c r="L19" i="1"/>
  <c r="L89" i="1"/>
  <c r="AX59" i="1" a="1"/>
  <c r="AX73" i="1"/>
  <c r="BR40" i="4"/>
  <c r="AX333" i="1" l="1"/>
  <c r="AX330" i="1"/>
  <c r="AX326" i="1"/>
  <c r="AX324" i="1"/>
  <c r="BD51" i="42"/>
  <c r="AX290" i="1"/>
  <c r="AX293" i="1"/>
  <c r="AX291" i="1"/>
  <c r="AX292" i="1"/>
  <c r="AX63" i="1"/>
  <c r="AX71" i="1" s="1"/>
  <c r="AX60" i="1"/>
  <c r="AX68" i="1" s="1"/>
  <c r="AX77" i="1" s="1"/>
  <c r="AX64" i="1"/>
  <c r="AX72" i="1" s="1"/>
  <c r="AX62" i="1"/>
  <c r="AX70" i="1" s="1"/>
  <c r="AX61" i="1"/>
  <c r="AX69" i="1" s="1"/>
  <c r="BD52" i="42" l="1"/>
  <c r="BT40" i="4"/>
  <c r="AX403" i="1"/>
  <c r="AX402" i="1"/>
  <c r="BU40" i="4"/>
  <c r="BD53" i="42"/>
  <c r="AX215" i="1"/>
  <c r="AX213" i="1"/>
  <c r="AX82" i="1"/>
  <c r="AX212" i="1"/>
  <c r="AX214" i="1"/>
  <c r="AX211" i="1"/>
  <c r="AX400" i="1"/>
  <c r="AX401" i="1" s="1"/>
  <c r="BD81" i="42" s="1"/>
  <c r="AX398" i="1"/>
  <c r="AX67" i="1"/>
  <c r="AX404" i="1" l="1"/>
  <c r="BD106" i="42" s="1"/>
  <c r="BD78" i="42"/>
  <c r="AX399" i="1"/>
  <c r="AX225" i="1"/>
  <c r="AX243" i="1"/>
  <c r="AX231" i="1"/>
  <c r="AX227" i="1"/>
  <c r="AX233" i="1"/>
  <c r="AX245" i="1"/>
  <c r="AX235" i="1"/>
  <c r="AX240" i="1" s="1"/>
  <c r="BD97" i="42" s="1"/>
  <c r="AX241" i="1"/>
  <c r="AX229" i="1"/>
  <c r="AX216" i="1"/>
  <c r="AX223" i="1"/>
  <c r="AX232" i="1"/>
  <c r="AX226" i="1"/>
  <c r="AX244" i="1"/>
  <c r="AX224" i="1"/>
  <c r="AX230" i="1"/>
  <c r="AX242" i="1"/>
  <c r="AX298" i="1"/>
  <c r="AX303" i="1" s="1"/>
  <c r="AX207" i="1"/>
  <c r="AX74" i="1"/>
  <c r="BD79" i="42" l="1"/>
  <c r="BD80" i="42"/>
  <c r="AX234" i="1"/>
  <c r="AX228" i="1"/>
  <c r="AX302" i="1" s="1"/>
  <c r="AX371" i="1" s="1"/>
  <c r="CC40" i="4" s="1"/>
  <c r="AX246" i="1"/>
  <c r="AX294" i="1"/>
  <c r="AX295" i="1"/>
  <c r="L469" i="1"/>
  <c r="L470" i="1"/>
  <c r="J618" i="1"/>
  <c r="J619" i="1"/>
  <c r="BY16" i="1"/>
  <c r="BY47" i="1"/>
  <c r="BY48" i="1"/>
  <c r="BY94" i="1"/>
  <c r="BY95" i="1"/>
  <c r="F618" i="1"/>
  <c r="F619" i="1"/>
  <c r="BY21" i="1" l="1"/>
  <c r="BY20" i="1"/>
  <c r="BY18" i="1"/>
  <c r="AX284" i="1"/>
  <c r="BY17" i="1"/>
  <c r="BY19" i="1"/>
  <c r="AX383" i="1"/>
  <c r="AX305" i="1"/>
  <c r="AX317" i="1"/>
  <c r="AX376" i="1"/>
  <c r="CD40" i="4" s="1"/>
  <c r="P469" i="1"/>
  <c r="P470" i="1"/>
  <c r="AX309" i="1" l="1"/>
  <c r="AX312" i="1"/>
  <c r="AX314" i="1"/>
  <c r="AX384" i="1"/>
  <c r="T618" i="1"/>
  <c r="T619" i="1"/>
  <c r="R618" i="1"/>
  <c r="R619" i="1"/>
  <c r="H469" i="1"/>
  <c r="H470" i="1"/>
  <c r="AX310" i="1" l="1"/>
  <c r="AX315" i="1"/>
  <c r="AX387" i="1"/>
  <c r="CF40" i="4" s="1"/>
  <c r="AX405" i="1"/>
  <c r="AX407" i="1" s="1"/>
  <c r="AX390" i="1" l="1"/>
  <c r="AX391" i="1" s="1"/>
  <c r="AX388" i="1"/>
  <c r="AX389" i="1" s="1"/>
  <c r="CG40" i="4"/>
  <c r="BD69" i="42"/>
  <c r="AX392" i="1"/>
  <c r="AX393" i="1"/>
  <c r="AX394" i="1" l="1"/>
  <c r="AX395" i="1" s="1"/>
  <c r="AX397" i="1" s="1"/>
  <c r="CH40" i="4" s="1"/>
  <c r="Q97" i="19"/>
  <c r="DF40" i="4"/>
  <c r="CT40" i="4"/>
  <c r="BL169" i="1"/>
  <c r="BL121" i="1"/>
  <c r="AE483" i="1"/>
  <c r="AE484" i="1"/>
  <c r="AE645" i="1"/>
  <c r="AE646" i="1"/>
  <c r="DX18" i="7"/>
  <c r="L618" i="1" l="1"/>
  <c r="L619" i="1"/>
  <c r="AX153" i="1"/>
  <c r="AX259" i="1"/>
  <c r="AX260" i="1"/>
  <c r="AX261" i="1"/>
  <c r="AX262" i="1"/>
  <c r="AX263" i="1"/>
  <c r="AX253" i="1"/>
  <c r="AX254" i="1"/>
  <c r="AX255" i="1"/>
  <c r="AX256" i="1"/>
  <c r="AX257" i="1"/>
  <c r="AX205" i="1"/>
  <c r="AX265" i="1"/>
  <c r="AX266" i="1"/>
  <c r="AX267" i="1"/>
  <c r="AX268" i="1"/>
  <c r="AX269" i="1"/>
  <c r="BL196" i="1"/>
  <c r="AX264" i="1" l="1"/>
  <c r="AX276" i="1" s="1"/>
  <c r="AX270" i="1"/>
  <c r="AX258" i="1"/>
  <c r="AX271" i="1" s="1"/>
  <c r="AX274" i="1" s="1"/>
  <c r="AX337" i="1" s="1"/>
  <c r="AX273" i="1" l="1"/>
  <c r="AX355" i="1"/>
  <c r="AX357" i="1"/>
  <c r="AX350" i="1"/>
  <c r="AX352" i="1"/>
  <c r="AX346" i="1"/>
  <c r="AX339" i="1"/>
  <c r="AX344" i="1"/>
  <c r="AX341" i="1"/>
  <c r="D469" i="1" l="1"/>
  <c r="D470" i="1"/>
  <c r="L240" i="1" l="1"/>
  <c r="L295" i="1"/>
  <c r="R97" i="19" l="1"/>
  <c r="CU40" i="4"/>
  <c r="DG40" i="4"/>
  <c r="AG483" i="1"/>
  <c r="AG484" i="1"/>
  <c r="AZ236" i="1"/>
  <c r="AZ237" i="1"/>
  <c r="BY239" i="1"/>
  <c r="BY240" i="1"/>
  <c r="H618" i="1" l="1"/>
  <c r="H619" i="1"/>
  <c r="C25" i="19" l="1"/>
  <c r="C22" i="19"/>
  <c r="P618" i="1" l="1"/>
  <c r="P619" i="1"/>
  <c r="D618" i="1" l="1"/>
  <c r="D619" i="1"/>
  <c r="AG20" i="30"/>
  <c r="AG19" i="30" s="1"/>
  <c r="AG24" i="30" s="1"/>
  <c r="P30" i="30" s="1"/>
  <c r="BH7" i="1"/>
  <c r="BH78" i="1"/>
  <c r="BH79" i="1"/>
  <c r="DC40" i="4"/>
  <c r="CQ40" i="4"/>
  <c r="N97" i="19"/>
  <c r="AZ40" i="4"/>
  <c r="BH50" i="1" l="1"/>
  <c r="AG26" i="30"/>
  <c r="BH53" i="1"/>
  <c r="BH49" i="1"/>
  <c r="BH66" i="1" s="1"/>
  <c r="BH316" i="1" s="1"/>
  <c r="BH52" i="1"/>
  <c r="BH51" i="1"/>
  <c r="AX367" i="1"/>
  <c r="AX368" i="1" s="1"/>
  <c r="DE40" i="4"/>
  <c r="CS40" i="4"/>
  <c r="P97" i="19"/>
  <c r="BD68" i="42"/>
  <c r="BH323" i="1" l="1"/>
  <c r="BH320" i="1"/>
  <c r="BH406" i="1"/>
  <c r="EX40" i="4"/>
  <c r="EL40" i="4"/>
  <c r="BH48" i="1"/>
  <c r="BL272" i="1"/>
  <c r="BL375" i="1"/>
  <c r="BK96" i="42"/>
  <c r="AA47" i="4"/>
  <c r="BR45" i="4"/>
  <c r="BH329" i="1" l="1"/>
  <c r="BI92" i="42"/>
  <c r="BH327" i="1"/>
  <c r="BH328" i="1" s="1"/>
  <c r="BH325" i="1"/>
  <c r="BH331" i="1"/>
  <c r="BH332" i="1" s="1"/>
  <c r="BH324" i="1"/>
  <c r="BI51" i="42"/>
  <c r="BH59" i="1" a="1"/>
  <c r="BH73" i="1"/>
  <c r="BH326" i="1" l="1"/>
  <c r="BH402" i="1"/>
  <c r="BH403" i="1"/>
  <c r="BH333" i="1"/>
  <c r="BH330" i="1"/>
  <c r="BH63" i="1"/>
  <c r="BH71" i="1" s="1"/>
  <c r="BH60" i="1"/>
  <c r="BH68" i="1" s="1"/>
  <c r="BH77" i="1" s="1"/>
  <c r="BH64" i="1"/>
  <c r="BH72" i="1" s="1"/>
  <c r="BH61" i="1"/>
  <c r="BH69" i="1" s="1"/>
  <c r="BH62" i="1"/>
  <c r="BH70" i="1" s="1"/>
  <c r="BH212" i="1" l="1"/>
  <c r="BH242" i="1" s="1"/>
  <c r="BH82" i="1"/>
  <c r="BH211" i="1"/>
  <c r="BH214" i="1"/>
  <c r="BH244" i="1" s="1"/>
  <c r="BH213" i="1"/>
  <c r="BH243" i="1" s="1"/>
  <c r="BH215" i="1"/>
  <c r="BH245" i="1" s="1"/>
  <c r="BH398" i="1"/>
  <c r="BH400" i="1"/>
  <c r="BH401" i="1" s="1"/>
  <c r="BH404" i="1"/>
  <c r="BH67" i="1"/>
  <c r="BH207" i="1" l="1"/>
  <c r="BI78" i="42"/>
  <c r="BH399" i="1"/>
  <c r="BH241" i="1"/>
  <c r="BH246" i="1" s="1"/>
  <c r="BH235" i="1"/>
  <c r="BH74" i="1"/>
  <c r="BH305" i="1" l="1"/>
  <c r="BH317" i="1"/>
  <c r="BH383" i="1"/>
  <c r="BI79" i="42"/>
  <c r="BI80" i="42"/>
  <c r="BH314" i="1"/>
  <c r="BH312" i="1"/>
  <c r="BH309" i="1"/>
  <c r="BH384" i="1" l="1"/>
  <c r="BH315" i="1"/>
  <c r="BH310" i="1"/>
  <c r="BH392" i="1" l="1"/>
  <c r="BH393" i="1"/>
  <c r="BH390" i="1"/>
  <c r="BH391" i="1" s="1"/>
  <c r="BH388" i="1"/>
  <c r="BH389" i="1" s="1"/>
  <c r="BH394" i="1" l="1"/>
  <c r="BH395" i="1" s="1"/>
  <c r="BH397" i="1" s="1"/>
  <c r="CH45" i="4" s="1"/>
  <c r="BK46" i="42"/>
  <c r="R102" i="19" l="1"/>
  <c r="DG45" i="4"/>
  <c r="CU45" i="4"/>
  <c r="BL299" i="1" l="1"/>
  <c r="BK47" i="42" s="1"/>
  <c r="BA47" i="4"/>
  <c r="AX362" i="1" l="1"/>
  <c r="AX363" i="1" s="1"/>
  <c r="AX217" i="1"/>
  <c r="AX218" i="1"/>
  <c r="AX219" i="1"/>
  <c r="AX220" i="1"/>
  <c r="AX221" i="1"/>
  <c r="AG645" i="1"/>
  <c r="AG646" i="1"/>
  <c r="BP47" i="4"/>
  <c r="AM40" i="4"/>
  <c r="GL47" i="4" l="1"/>
  <c r="GK47" i="4"/>
  <c r="AX222" i="1"/>
  <c r="AX279" i="1" s="1"/>
  <c r="EK40" i="4"/>
  <c r="AM94" i="1"/>
  <c r="AM95" i="1"/>
  <c r="AM16" i="1"/>
  <c r="AM106" i="1"/>
  <c r="AX372" i="1"/>
  <c r="AX373" i="1"/>
  <c r="EW40" i="4"/>
  <c r="AO20" i="30"/>
  <c r="AO11" i="30"/>
  <c r="AO22" i="30" s="1"/>
  <c r="AR10" i="19"/>
  <c r="AI483" i="1"/>
  <c r="AI484" i="1"/>
  <c r="AX370" i="1"/>
  <c r="M97" i="19"/>
  <c r="CP40" i="4"/>
  <c r="DB40" i="4"/>
  <c r="AI645" i="1"/>
  <c r="AI646" i="1"/>
  <c r="BF40" i="4"/>
  <c r="AO19" i="30" l="1"/>
  <c r="AO24" i="30" s="1"/>
  <c r="BD36" i="42"/>
  <c r="BD70" i="42" s="1"/>
  <c r="AX281" i="1"/>
  <c r="AX336" i="1" s="1"/>
  <c r="AX374" i="1"/>
  <c r="EO40" i="4"/>
  <c r="AO25" i="30"/>
  <c r="AO28" i="30" s="1"/>
  <c r="BD64" i="42"/>
  <c r="BD71" i="42"/>
  <c r="FA40" i="4"/>
  <c r="AM17" i="1"/>
  <c r="AM18" i="1"/>
  <c r="AM47" i="1"/>
  <c r="AM19" i="1"/>
  <c r="AM20" i="1"/>
  <c r="AM21" i="1"/>
  <c r="BH153" i="1"/>
  <c r="BH12" i="1"/>
  <c r="BH259" i="1"/>
  <c r="BH260" i="1"/>
  <c r="BH261" i="1"/>
  <c r="BH262" i="1"/>
  <c r="BH263" i="1"/>
  <c r="BH253" i="1"/>
  <c r="BH254" i="1"/>
  <c r="BH255" i="1"/>
  <c r="BH256" i="1"/>
  <c r="BH257" i="1"/>
  <c r="BH205" i="1"/>
  <c r="BH265" i="1"/>
  <c r="BH266" i="1"/>
  <c r="BH267" i="1"/>
  <c r="BH268" i="1"/>
  <c r="BH269" i="1"/>
  <c r="BH405" i="1"/>
  <c r="BH407" i="1" s="1"/>
  <c r="CA40" i="4" l="1"/>
  <c r="BD61" i="42"/>
  <c r="AO26" i="30"/>
  <c r="AO27" i="30" s="1"/>
  <c r="AO29" i="30" s="1"/>
  <c r="BH270" i="1"/>
  <c r="BH258" i="1"/>
  <c r="BH271" i="1" s="1"/>
  <c r="BH274" i="1" s="1"/>
  <c r="BH337" i="1" s="1"/>
  <c r="BH264" i="1"/>
  <c r="BH276" i="1" s="1"/>
  <c r="BI69" i="42"/>
  <c r="CG45" i="4"/>
  <c r="CN40" i="4" l="1"/>
  <c r="CZ40" i="4"/>
  <c r="K97" i="19"/>
  <c r="BH273" i="1"/>
  <c r="BH341" i="1" s="1"/>
  <c r="BH352" i="1"/>
  <c r="BH350" i="1"/>
  <c r="BH355" i="1"/>
  <c r="BH357" i="1"/>
  <c r="BH339" i="1" l="1"/>
  <c r="BH346" i="1"/>
  <c r="BH344" i="1"/>
  <c r="AH13" i="30" l="1"/>
  <c r="AH14" i="30"/>
  <c r="AH38" i="30" s="1"/>
  <c r="AH41" i="30" l="1"/>
  <c r="AH43" i="30" s="1"/>
  <c r="AH37" i="30"/>
  <c r="AH39" i="30"/>
  <c r="AX275" i="1"/>
  <c r="AX277" i="1" s="1"/>
  <c r="BI106" i="42"/>
  <c r="AC20" i="30"/>
  <c r="BL348" i="1"/>
  <c r="BL353" i="1"/>
  <c r="BL342" i="1"/>
  <c r="BL288" i="1"/>
  <c r="BL286" i="1"/>
  <c r="BH387" i="1"/>
  <c r="CF45" i="4" s="1"/>
  <c r="BL280" i="1"/>
  <c r="BK42" i="42" s="1"/>
  <c r="BL126" i="1"/>
  <c r="BL124" i="1"/>
  <c r="BL176" i="1"/>
  <c r="BL178" i="1"/>
  <c r="BL177" i="1"/>
  <c r="BL125" i="1"/>
  <c r="BL118" i="1"/>
  <c r="BL120" i="1"/>
  <c r="BL122" i="1"/>
  <c r="BL166" i="1"/>
  <c r="BL173" i="1"/>
  <c r="BL119" i="1"/>
  <c r="BL114" i="1"/>
  <c r="BL170" i="1"/>
  <c r="BL115" i="1"/>
  <c r="BL174" i="1"/>
  <c r="BL175" i="1"/>
  <c r="BL116" i="1"/>
  <c r="BL171" i="1"/>
  <c r="BL168" i="1"/>
  <c r="BL123" i="1"/>
  <c r="BL167" i="1"/>
  <c r="BL117" i="1"/>
  <c r="BL172" i="1"/>
  <c r="BK21" i="42"/>
  <c r="BK14" i="42"/>
  <c r="BK43" i="42"/>
  <c r="AX396" i="1"/>
  <c r="AX311" i="1"/>
  <c r="AX308" i="1"/>
  <c r="AX313" i="1"/>
  <c r="AX306" i="1"/>
  <c r="BD93" i="42" s="1"/>
  <c r="BK28" i="42"/>
  <c r="X47" i="4"/>
  <c r="BK25" i="42"/>
  <c r="BK26" i="42"/>
  <c r="BK27" i="42"/>
  <c r="AG47" i="4"/>
  <c r="R47" i="4"/>
  <c r="AC19" i="30" l="1"/>
  <c r="AC24" i="30" s="1"/>
  <c r="CS45" i="4"/>
  <c r="DE45" i="4"/>
  <c r="P102" i="19"/>
  <c r="AC26" i="30" l="1"/>
  <c r="AX300" i="1"/>
  <c r="BD86" i="42" s="1"/>
  <c r="BB40" i="4"/>
  <c r="AX296" i="1" l="1"/>
  <c r="BD84" i="42" s="1"/>
  <c r="AX297" i="1"/>
  <c r="BD85" i="42" s="1"/>
  <c r="AX301" i="1"/>
  <c r="BD87" i="42" s="1"/>
  <c r="AX40" i="4"/>
  <c r="BC40" i="4"/>
  <c r="AY40" i="4"/>
  <c r="BD37" i="42" l="1"/>
  <c r="AX365" i="1"/>
  <c r="BI81" i="42"/>
  <c r="BI64" i="42"/>
  <c r="BU100" i="1"/>
  <c r="AC40" i="4"/>
  <c r="AB40" i="4"/>
  <c r="BD38" i="42"/>
  <c r="AH32" i="30"/>
  <c r="AH36" i="30" s="1"/>
  <c r="AX386" i="1"/>
  <c r="AX285" i="1"/>
  <c r="AO40" i="4"/>
  <c r="AX282" i="1" l="1"/>
  <c r="AH30" i="30"/>
  <c r="BH298" i="1"/>
  <c r="AZ45" i="4"/>
  <c r="AI40" i="4"/>
  <c r="AK40" i="4"/>
  <c r="BD40" i="42" l="1"/>
  <c r="AX283" i="1"/>
  <c r="AH31" i="30"/>
  <c r="BH223" i="1"/>
  <c r="BH224" i="1"/>
  <c r="BH225" i="1"/>
  <c r="BH226" i="1"/>
  <c r="BH227" i="1"/>
  <c r="BH303" i="1"/>
  <c r="Y40" i="4"/>
  <c r="AH12" i="30"/>
  <c r="AH35" i="30" s="1"/>
  <c r="BD31" i="42"/>
  <c r="AX318" i="1"/>
  <c r="AX319" i="1"/>
  <c r="AX287" i="1"/>
  <c r="AX360" i="1" s="1"/>
  <c r="DF45" i="4"/>
  <c r="Q102" i="19"/>
  <c r="CT45" i="4"/>
  <c r="BH237" i="1"/>
  <c r="BH240" i="1" s="1"/>
  <c r="AX304" i="1"/>
  <c r="AD40" i="4"/>
  <c r="BD33" i="42"/>
  <c r="AX247" i="1"/>
  <c r="AX248" i="1"/>
  <c r="AX249" i="1"/>
  <c r="AX250" i="1"/>
  <c r="AX251" i="1"/>
  <c r="Z40" i="4"/>
  <c r="BD32" i="42"/>
  <c r="BD95" i="42"/>
  <c r="BL208" i="1"/>
  <c r="BL204" i="1"/>
  <c r="BL152" i="1"/>
  <c r="BL203" i="1"/>
  <c r="BL202" i="1"/>
  <c r="BL198" i="1"/>
  <c r="BL195" i="1"/>
  <c r="BL150" i="1"/>
  <c r="BL151" i="1"/>
  <c r="BL197" i="1"/>
  <c r="BL192" i="1"/>
  <c r="BL199" i="1"/>
  <c r="BL194" i="1"/>
  <c r="BL193" i="1"/>
  <c r="BL146" i="1"/>
  <c r="BL149" i="1"/>
  <c r="BL148" i="1"/>
  <c r="BL145" i="1"/>
  <c r="BL143" i="1"/>
  <c r="BL142" i="1"/>
  <c r="BL144" i="1"/>
  <c r="BL201" i="1"/>
  <c r="BL147" i="1"/>
  <c r="BL200" i="1"/>
  <c r="BL140" i="1"/>
  <c r="BL141" i="1"/>
  <c r="AO4" i="30"/>
  <c r="AO5" i="30"/>
  <c r="AO7" i="30"/>
  <c r="AO8" i="30"/>
  <c r="AO6" i="30"/>
  <c r="BD40" i="4"/>
  <c r="AQ40" i="4"/>
  <c r="BD91" i="42" l="1"/>
  <c r="AX321" i="1"/>
  <c r="AX322" i="1"/>
  <c r="BD41" i="42"/>
  <c r="BH228" i="1"/>
  <c r="BH302" i="1" s="1"/>
  <c r="BH367" i="1" s="1"/>
  <c r="BH368" i="1" s="1"/>
  <c r="EX45" i="4" s="1"/>
  <c r="AX252" i="1"/>
  <c r="AX206" i="1" s="1"/>
  <c r="BH371" i="1" l="1"/>
  <c r="CC45" i="4" s="1"/>
  <c r="DB45" i="4" s="1"/>
  <c r="BD55" i="42"/>
  <c r="FN40" i="4"/>
  <c r="BD49" i="42"/>
  <c r="FM40" i="4"/>
  <c r="EL45" i="4"/>
  <c r="BD44" i="42"/>
  <c r="BD45" i="42"/>
  <c r="AD20" i="30"/>
  <c r="BH229" i="1"/>
  <c r="BH230" i="1"/>
  <c r="BH231" i="1"/>
  <c r="BH232" i="1"/>
  <c r="BH233" i="1"/>
  <c r="AW40" i="4"/>
  <c r="AV40" i="4"/>
  <c r="CP45" i="4" l="1"/>
  <c r="M102" i="19"/>
  <c r="BH234" i="1"/>
  <c r="BH284" i="1" s="1"/>
  <c r="BH362" i="1" s="1"/>
  <c r="BH363" i="1" s="1"/>
  <c r="BH292" i="1"/>
  <c r="BH216" i="1"/>
  <c r="BH293" i="1"/>
  <c r="BH217" i="1"/>
  <c r="BH218" i="1"/>
  <c r="BH219" i="1"/>
  <c r="BH220" i="1"/>
  <c r="BH221" i="1"/>
  <c r="BF45" i="4"/>
  <c r="BH294" i="1" l="1"/>
  <c r="BH222" i="1"/>
  <c r="BH279" i="1" s="1"/>
  <c r="EO45" i="4"/>
  <c r="BH295" i="1"/>
  <c r="BH376" i="1" s="1"/>
  <c r="CD45" i="4" s="1"/>
  <c r="AM45" i="4"/>
  <c r="EK45" i="4" l="1"/>
  <c r="BI36" i="42"/>
  <c r="BI70" i="42" s="1"/>
  <c r="BH281" i="1"/>
  <c r="BH336" i="1" s="1"/>
  <c r="N102" i="19"/>
  <c r="DC45" i="4"/>
  <c r="CQ45" i="4"/>
  <c r="BH372" i="1"/>
  <c r="BH373" i="1"/>
  <c r="EW45" i="4"/>
  <c r="AH18" i="30"/>
  <c r="BH370" i="1"/>
  <c r="BH290" i="1"/>
  <c r="BH291" i="1"/>
  <c r="FA45" i="4"/>
  <c r="BI71" i="42"/>
  <c r="BL65" i="1"/>
  <c r="BK103" i="42" s="1"/>
  <c r="CA45" i="4" l="1"/>
  <c r="BI61" i="42"/>
  <c r="BH374" i="1"/>
  <c r="CN45" i="4" l="1"/>
  <c r="CZ45" i="4"/>
  <c r="K102" i="19"/>
  <c r="AG13" i="1" l="1"/>
  <c r="AG16" i="1" s="1"/>
  <c r="AG47" i="1"/>
  <c r="AG48" i="1"/>
  <c r="AG94" i="1"/>
  <c r="AG95" i="1"/>
  <c r="BI97" i="42"/>
  <c r="AG253" i="1"/>
  <c r="BI68" i="42"/>
  <c r="AM13" i="30"/>
  <c r="AM39" i="30" s="1"/>
  <c r="AM14" i="30"/>
  <c r="AM38" i="30" s="1"/>
  <c r="BH308" i="1"/>
  <c r="BH396" i="1"/>
  <c r="BU45" i="4"/>
  <c r="BI53" i="42"/>
  <c r="BH313" i="1"/>
  <c r="BI52" i="42"/>
  <c r="BH311" i="1"/>
  <c r="BT45" i="4"/>
  <c r="BH306" i="1"/>
  <c r="BI93" i="42" s="1"/>
  <c r="BL59" i="1"/>
  <c r="BH296" i="1"/>
  <c r="BI84" i="42" s="1"/>
  <c r="AX45" i="4"/>
  <c r="AM41" i="30" l="1"/>
  <c r="AM43" i="30" s="1"/>
  <c r="AG18" i="1"/>
  <c r="AG21" i="1"/>
  <c r="AG20" i="1"/>
  <c r="AG17" i="1"/>
  <c r="AG19" i="1"/>
  <c r="AM37" i="30"/>
  <c r="BH301" i="1"/>
  <c r="BI87" i="42" s="1"/>
  <c r="BC45" i="4"/>
  <c r="BH297" i="1" l="1"/>
  <c r="BI85" i="42" s="1"/>
  <c r="AY45" i="4"/>
  <c r="BH300" i="1" l="1"/>
  <c r="BI86" i="42" s="1"/>
  <c r="BB45" i="4"/>
  <c r="AC45" i="4" l="1"/>
  <c r="BH365" i="1"/>
  <c r="Z45" i="4"/>
  <c r="BI32" i="42"/>
  <c r="AM30" i="30"/>
  <c r="BI31" i="42"/>
  <c r="AM12" i="30"/>
  <c r="AM35" i="30" s="1"/>
  <c r="Y45" i="4"/>
  <c r="BI37" i="42"/>
  <c r="BH285" i="1"/>
  <c r="BH282" i="1"/>
  <c r="BH318" i="1"/>
  <c r="AI20" i="30"/>
  <c r="BI95" i="42"/>
  <c r="BH275" i="1"/>
  <c r="BH277" i="1" s="1"/>
  <c r="AB45" i="4"/>
  <c r="BI38" i="42"/>
  <c r="AM32" i="30"/>
  <c r="AM36" i="30" s="1"/>
  <c r="BH247" i="1"/>
  <c r="BH248" i="1"/>
  <c r="BH249" i="1"/>
  <c r="BH250" i="1"/>
  <c r="BH251" i="1"/>
  <c r="BH287" i="1"/>
  <c r="BH360" i="1" s="1"/>
  <c r="BH386" i="1"/>
  <c r="BH319" i="1"/>
  <c r="BH304" i="1"/>
  <c r="BI33" i="42"/>
  <c r="AD45" i="4"/>
  <c r="BI44" i="42"/>
  <c r="AV45" i="4"/>
  <c r="AO45" i="4"/>
  <c r="AI45" i="4"/>
  <c r="BD45" i="4"/>
  <c r="AI19" i="30" l="1"/>
  <c r="BI91" i="42"/>
  <c r="BH322" i="1"/>
  <c r="BH321" i="1"/>
  <c r="AM31" i="30"/>
  <c r="BH283" i="1"/>
  <c r="BI41" i="42"/>
  <c r="BI40" i="42"/>
  <c r="BH252" i="1"/>
  <c r="BH206" i="1" s="1"/>
  <c r="AK45" i="4"/>
  <c r="AQ45" i="4"/>
  <c r="FM45" i="4" l="1"/>
  <c r="BI49" i="42"/>
  <c r="BI55" i="42"/>
  <c r="FN45" i="4"/>
  <c r="BI96" i="42"/>
  <c r="AA45" i="4"/>
  <c r="BH272" i="1"/>
  <c r="BH375" i="1"/>
  <c r="D476" i="1" l="1"/>
  <c r="BK22" i="42"/>
  <c r="BK99" i="42" s="1"/>
  <c r="J17" i="31"/>
  <c r="L47" i="4"/>
  <c r="AE47" i="4"/>
  <c r="N476" i="1" l="1"/>
  <c r="AM18" i="30"/>
  <c r="BI63" i="42"/>
  <c r="AM20" i="30"/>
  <c r="AM11" i="30"/>
  <c r="AM22" i="30" s="1"/>
  <c r="BL58" i="1"/>
  <c r="BL54" i="1"/>
  <c r="BL57" i="1"/>
  <c r="BL56" i="1"/>
  <c r="BL55" i="1"/>
  <c r="BI45" i="42"/>
  <c r="AW45" i="4"/>
  <c r="AM19" i="30" l="1"/>
  <c r="AM24" i="30" s="1"/>
  <c r="BI46" i="42"/>
  <c r="BH299" i="1"/>
  <c r="BI47" i="42" s="1"/>
  <c r="BA45" i="4"/>
  <c r="AM26" i="30" l="1"/>
  <c r="AM27" i="30" s="1"/>
  <c r="AM29" i="30" s="1"/>
  <c r="AM25" i="30"/>
  <c r="AM28" i="30" s="1"/>
  <c r="AX123" i="1"/>
  <c r="BH342" i="1" l="1"/>
  <c r="BH348" i="1"/>
  <c r="BH353" i="1"/>
  <c r="BH288" i="1"/>
  <c r="BH286" i="1"/>
  <c r="X45" i="4"/>
  <c r="BI25" i="42"/>
  <c r="BI27" i="42"/>
  <c r="BI26" i="42"/>
  <c r="BI28" i="42"/>
  <c r="AX146" i="1"/>
  <c r="AO40" i="30" l="1"/>
  <c r="F50" i="30" s="1"/>
  <c r="AE490" i="1"/>
  <c r="BH152" i="1"/>
  <c r="BH204" i="1"/>
  <c r="BH208" i="1"/>
  <c r="BH145" i="1"/>
  <c r="BH201" i="1"/>
  <c r="AM6" i="30"/>
  <c r="BH140" i="1"/>
  <c r="BH202" i="1"/>
  <c r="BH142" i="1"/>
  <c r="BH149" i="1"/>
  <c r="BH200" i="1"/>
  <c r="AM5" i="30"/>
  <c r="BH150" i="1"/>
  <c r="BH146" i="1"/>
  <c r="AM8" i="30"/>
  <c r="BH192" i="1"/>
  <c r="BH143" i="1"/>
  <c r="AM7" i="30"/>
  <c r="BH197" i="1"/>
  <c r="BH195" i="1"/>
  <c r="AM4" i="30"/>
  <c r="BH141" i="1"/>
  <c r="BH148" i="1"/>
  <c r="BH147" i="1"/>
  <c r="BH151" i="1"/>
  <c r="BH203" i="1"/>
  <c r="BH196" i="1"/>
  <c r="BH198" i="1"/>
  <c r="BH193" i="1"/>
  <c r="BH144" i="1"/>
  <c r="BH199" i="1"/>
  <c r="BH194" i="1"/>
  <c r="BL8" i="1"/>
  <c r="BL21" i="1"/>
  <c r="BP45" i="4"/>
  <c r="BL20" i="1" l="1"/>
  <c r="BL13" i="1"/>
  <c r="BL14" i="1" s="1"/>
  <c r="GL45" i="4"/>
  <c r="GK45" i="4"/>
  <c r="U47" i="4"/>
  <c r="T47" i="4" s="1"/>
  <c r="BL22" i="1" l="1"/>
  <c r="BK8" i="42"/>
  <c r="BL15" i="1"/>
  <c r="BL17" i="1" s="1"/>
  <c r="BL89" i="1" l="1"/>
  <c r="AO15" i="30"/>
  <c r="AO42" i="30" s="1"/>
  <c r="BL377" i="1"/>
  <c r="BK11" i="42"/>
  <c r="BL378" i="1" l="1"/>
  <c r="BL379" i="1" s="1"/>
  <c r="BK72" i="42" s="1"/>
  <c r="BL381" i="1"/>
  <c r="BL382" i="1"/>
  <c r="BK65" i="42" s="1"/>
  <c r="BL90" i="1"/>
  <c r="BL91" i="1" s="1"/>
  <c r="BL83" i="1" s="1"/>
  <c r="BL92" i="1"/>
  <c r="BH65" i="1"/>
  <c r="BL85" i="1" l="1"/>
  <c r="BL88" i="1" s="1"/>
  <c r="BL86" i="1"/>
  <c r="BL87" i="1"/>
  <c r="BI103" i="42"/>
  <c r="BL154" i="1" l="1"/>
  <c r="BL155" i="1" s="1"/>
  <c r="BL102" i="1"/>
  <c r="BL103" i="1" s="1"/>
  <c r="BL179" i="1"/>
  <c r="BL180" i="1" s="1"/>
  <c r="BL127" i="1"/>
  <c r="BL128" i="1" s="1"/>
  <c r="BL23" i="1"/>
  <c r="BL24" i="1" s="1"/>
  <c r="BK15" i="42" s="1"/>
  <c r="C79" i="12"/>
  <c r="F79" i="12" s="1"/>
  <c r="D49" i="23" s="1"/>
  <c r="S40" i="23"/>
  <c r="BL138" i="1" l="1"/>
  <c r="BL139" i="1" s="1"/>
  <c r="BL129" i="1"/>
  <c r="BL132" i="1"/>
  <c r="BL133" i="1"/>
  <c r="BL134" i="1"/>
  <c r="BL135" i="1"/>
  <c r="BL130" i="1"/>
  <c r="BL131" i="1"/>
  <c r="BL186" i="1"/>
  <c r="BL181" i="1"/>
  <c r="BL190" i="1"/>
  <c r="BL191" i="1" s="1"/>
  <c r="BL184" i="1"/>
  <c r="BL185" i="1"/>
  <c r="BL182" i="1"/>
  <c r="BL187" i="1"/>
  <c r="BL183" i="1"/>
  <c r="BL106" i="1"/>
  <c r="BL109" i="1"/>
  <c r="BL105" i="1"/>
  <c r="BL104" i="1"/>
  <c r="BL108" i="1"/>
  <c r="BL112" i="1"/>
  <c r="BL113" i="1" s="1"/>
  <c r="BL107" i="1"/>
  <c r="BL161" i="1"/>
  <c r="BL157" i="1"/>
  <c r="BL164" i="1"/>
  <c r="BL165" i="1" s="1"/>
  <c r="BL158" i="1"/>
  <c r="BL156" i="1"/>
  <c r="BL160" i="1"/>
  <c r="BL159" i="1"/>
  <c r="AG100" i="1"/>
  <c r="BL110" i="1" l="1"/>
  <c r="BL111" i="1"/>
  <c r="BL189" i="1"/>
  <c r="BL188" i="1"/>
  <c r="BL137" i="1"/>
  <c r="BL136" i="1"/>
  <c r="BL162" i="1"/>
  <c r="BL163" i="1"/>
  <c r="O20" i="19"/>
  <c r="BH59" i="1"/>
  <c r="AI100" i="1" l="1"/>
  <c r="BH178" i="1"/>
  <c r="BH126" i="1"/>
  <c r="BH280" i="1"/>
  <c r="BI42" i="42" s="1"/>
  <c r="BH174" i="1"/>
  <c r="BH169" i="1"/>
  <c r="BH175" i="1"/>
  <c r="BH171" i="1"/>
  <c r="BH176" i="1"/>
  <c r="BH168" i="1"/>
  <c r="BH120" i="1"/>
  <c r="BH166" i="1"/>
  <c r="BH114" i="1"/>
  <c r="BH125" i="1"/>
  <c r="BH118" i="1"/>
  <c r="BH172" i="1"/>
  <c r="BI21" i="42"/>
  <c r="BH170" i="1"/>
  <c r="BH124" i="1"/>
  <c r="BI43" i="42"/>
  <c r="BH122" i="1"/>
  <c r="BH173" i="1"/>
  <c r="BH177" i="1"/>
  <c r="BH117" i="1"/>
  <c r="BH116" i="1"/>
  <c r="BH121" i="1"/>
  <c r="BI14" i="42"/>
  <c r="BH167" i="1"/>
  <c r="BH115" i="1"/>
  <c r="BH123" i="1"/>
  <c r="BH119" i="1"/>
  <c r="AX272" i="1"/>
  <c r="AX375" i="1"/>
  <c r="AA40" i="4"/>
  <c r="BD96" i="42"/>
  <c r="AG45" i="4"/>
  <c r="R45" i="4"/>
  <c r="BQ99" i="42" l="1"/>
  <c r="BN99" i="42"/>
  <c r="BH8" i="1"/>
  <c r="BH21" i="1"/>
  <c r="AG490" i="1"/>
  <c r="BH20" i="1" l="1"/>
  <c r="BH13" i="1"/>
  <c r="BH14" i="1" s="1"/>
  <c r="BH22" i="1" s="1"/>
  <c r="BH23" i="1"/>
  <c r="BH24" i="1" s="1"/>
  <c r="BI15" i="42" s="1"/>
  <c r="U45" i="4"/>
  <c r="T45" i="4" s="1"/>
  <c r="BH89" i="1" l="1"/>
  <c r="AM15" i="30"/>
  <c r="AM42" i="30" s="1"/>
  <c r="BH377" i="1"/>
  <c r="BI11" i="42"/>
  <c r="BD46" i="42"/>
  <c r="H476" i="1"/>
  <c r="AE100" i="1"/>
  <c r="AX299" i="1"/>
  <c r="BD47" i="42" s="1"/>
  <c r="AX84" i="1"/>
  <c r="BI22" i="42"/>
  <c r="BI99" i="42" s="1"/>
  <c r="BI8" i="42"/>
  <c r="BH15" i="1"/>
  <c r="BH17" i="1" s="1"/>
  <c r="BM99" i="42"/>
  <c r="BR99" i="42"/>
  <c r="BO99" i="42"/>
  <c r="AM40" i="30"/>
  <c r="F46" i="30" s="1"/>
  <c r="AZ8" i="10"/>
  <c r="AA99" i="42"/>
  <c r="O14" i="19"/>
  <c r="BH54" i="1"/>
  <c r="BH58" i="1"/>
  <c r="BH55" i="1"/>
  <c r="BH56" i="1"/>
  <c r="BH57" i="1"/>
  <c r="AE45" i="4"/>
  <c r="BP40" i="4"/>
  <c r="BA40" i="4"/>
  <c r="L45" i="4"/>
  <c r="BH378" i="1" l="1"/>
  <c r="BH379" i="1" s="1"/>
  <c r="BI72" i="42" s="1"/>
  <c r="BH381" i="1"/>
  <c r="BH382" i="1"/>
  <c r="BI65" i="42" s="1"/>
  <c r="BH90" i="1"/>
  <c r="BH91" i="1" s="1"/>
  <c r="BH83" i="1" s="1"/>
  <c r="BH92" i="1"/>
  <c r="GK40" i="4"/>
  <c r="GL40" i="4"/>
  <c r="BH85" i="1" l="1"/>
  <c r="BH88" i="1" s="1"/>
  <c r="BH87" i="1"/>
  <c r="BH86" i="1"/>
  <c r="AG610" i="1"/>
  <c r="AZ84" i="1"/>
  <c r="AV84" i="1"/>
  <c r="AM91" i="1"/>
  <c r="AC99" i="42"/>
  <c r="L293" i="1"/>
  <c r="AG43" i="42" s="1"/>
  <c r="AG21" i="42"/>
  <c r="R476" i="1"/>
  <c r="AR99" i="42"/>
  <c r="AT28" i="10"/>
  <c r="BB28" i="10"/>
  <c r="AX348" i="1"/>
  <c r="AX353" i="1"/>
  <c r="AX342" i="1"/>
  <c r="AX288" i="1"/>
  <c r="AX286" i="1"/>
  <c r="AH11" i="30"/>
  <c r="AH22" i="30" s="1"/>
  <c r="AL99" i="42"/>
  <c r="BP99" i="42"/>
  <c r="AX280" i="1"/>
  <c r="BD42" i="42" s="1"/>
  <c r="AX114" i="1"/>
  <c r="AX120" i="1"/>
  <c r="AX121" i="1"/>
  <c r="AX118" i="1"/>
  <c r="AX115" i="1"/>
  <c r="AX125" i="1"/>
  <c r="AX124" i="1"/>
  <c r="AX126" i="1"/>
  <c r="AX117" i="1"/>
  <c r="AX178" i="1"/>
  <c r="AX176" i="1"/>
  <c r="AX177" i="1"/>
  <c r="AX122" i="1"/>
  <c r="AX175" i="1"/>
  <c r="AX166" i="1"/>
  <c r="AX119" i="1"/>
  <c r="AX169" i="1"/>
  <c r="AX171" i="1"/>
  <c r="AX172" i="1"/>
  <c r="AX170" i="1"/>
  <c r="AX168" i="1"/>
  <c r="AX173" i="1"/>
  <c r="AX116" i="1"/>
  <c r="AX167" i="1"/>
  <c r="AX174" i="1"/>
  <c r="BD21" i="42"/>
  <c r="BD14" i="42"/>
  <c r="BD43" i="42"/>
  <c r="AE99" i="42"/>
  <c r="AN99" i="42"/>
  <c r="AU99" i="42"/>
  <c r="AU102" i="42" s="1"/>
  <c r="AK99" i="42"/>
  <c r="BD26" i="42"/>
  <c r="X40" i="4"/>
  <c r="BD25" i="42"/>
  <c r="BD27" i="42"/>
  <c r="BD28" i="42"/>
  <c r="R40" i="4"/>
  <c r="AG40" i="4"/>
  <c r="AG14" i="4"/>
  <c r="BH179" i="1" l="1"/>
  <c r="BH180" i="1" s="1"/>
  <c r="BH127" i="1"/>
  <c r="BH128" i="1" s="1"/>
  <c r="BH102" i="1"/>
  <c r="BH103" i="1" s="1"/>
  <c r="BH154" i="1"/>
  <c r="BH155" i="1" s="1"/>
  <c r="AE610" i="1"/>
  <c r="AP99" i="42"/>
  <c r="AI490" i="1"/>
  <c r="BK64" i="10"/>
  <c r="BK65" i="10"/>
  <c r="AG99" i="42"/>
  <c r="AG102" i="42" s="1"/>
  <c r="BH164" i="1" l="1"/>
  <c r="BH165" i="1" s="1"/>
  <c r="BH159" i="1"/>
  <c r="BH158" i="1"/>
  <c r="BH161" i="1"/>
  <c r="BH156" i="1"/>
  <c r="BH160" i="1"/>
  <c r="BH157" i="1"/>
  <c r="BH105" i="1"/>
  <c r="BH106" i="1"/>
  <c r="BH112" i="1"/>
  <c r="BH113" i="1" s="1"/>
  <c r="BH109" i="1"/>
  <c r="BH104" i="1"/>
  <c r="BH108" i="1"/>
  <c r="BH107" i="1"/>
  <c r="BH132" i="1"/>
  <c r="BH131" i="1"/>
  <c r="BH135" i="1"/>
  <c r="BH134" i="1"/>
  <c r="BH138" i="1"/>
  <c r="BH139" i="1" s="1"/>
  <c r="BH129" i="1"/>
  <c r="BH130" i="1"/>
  <c r="BH133" i="1"/>
  <c r="BH182" i="1"/>
  <c r="BH183" i="1"/>
  <c r="BH185" i="1"/>
  <c r="BH186" i="1"/>
  <c r="BH181" i="1"/>
  <c r="BH187" i="1"/>
  <c r="BH184" i="1"/>
  <c r="BH190" i="1"/>
  <c r="BH191" i="1" s="1"/>
  <c r="BK66" i="10"/>
  <c r="AW99" i="42"/>
  <c r="AW102" i="42" s="1"/>
  <c r="AL28" i="10"/>
  <c r="AL29" i="10" s="1"/>
  <c r="AL30" i="10" s="1"/>
  <c r="AL31" i="10" s="1"/>
  <c r="AL32" i="10" s="1"/>
  <c r="AL33" i="10" s="1"/>
  <c r="AL34" i="10" s="1"/>
  <c r="AL35" i="10" s="1"/>
  <c r="AL36" i="10" s="1"/>
  <c r="AL37" i="10" s="1"/>
  <c r="AL38" i="10" s="1"/>
  <c r="AL39" i="10" s="1"/>
  <c r="AL40" i="10" s="1"/>
  <c r="BC64" i="10"/>
  <c r="BC65" i="10"/>
  <c r="AX99" i="42"/>
  <c r="AX102" i="42" s="1"/>
  <c r="AX208" i="1"/>
  <c r="AX152" i="1"/>
  <c r="AX204" i="1"/>
  <c r="AX150" i="1"/>
  <c r="AX151" i="1"/>
  <c r="AX202" i="1"/>
  <c r="AX203" i="1"/>
  <c r="AX195" i="1"/>
  <c r="AX145" i="1"/>
  <c r="AX199" i="1"/>
  <c r="AX194" i="1"/>
  <c r="AX193" i="1"/>
  <c r="AX200" i="1"/>
  <c r="AX197" i="1"/>
  <c r="AX198" i="1"/>
  <c r="AX148" i="1"/>
  <c r="AX192" i="1"/>
  <c r="AX149" i="1"/>
  <c r="AX196" i="1"/>
  <c r="AX147" i="1"/>
  <c r="AX201" i="1"/>
  <c r="AX144" i="1"/>
  <c r="AX143" i="1"/>
  <c r="AX140" i="1"/>
  <c r="AX141" i="1"/>
  <c r="AX142" i="1"/>
  <c r="AH4" i="30"/>
  <c r="AH7" i="30"/>
  <c r="AH6" i="30"/>
  <c r="AH8" i="30"/>
  <c r="AH5" i="30"/>
  <c r="BH163" i="1" l="1"/>
  <c r="BH162" i="1"/>
  <c r="BH136" i="1"/>
  <c r="BH137" i="1"/>
  <c r="BH110" i="1"/>
  <c r="BH111" i="1"/>
  <c r="BH189" i="1"/>
  <c r="BH188" i="1"/>
  <c r="BC66" i="10"/>
  <c r="AI610" i="1"/>
  <c r="Y6" i="23"/>
  <c r="Y7" i="23" s="1"/>
  <c r="N55" i="11"/>
  <c r="Y27" i="23" s="1"/>
  <c r="Y28" i="23" s="1"/>
  <c r="AT99" i="42"/>
  <c r="AX65" i="1"/>
  <c r="Y14" i="23" l="1"/>
  <c r="Y15" i="23" s="1"/>
  <c r="Y25" i="23"/>
  <c r="Y26" i="23" s="1"/>
  <c r="Y11" i="23"/>
  <c r="Y13" i="23" s="1"/>
  <c r="Y29" i="23"/>
  <c r="Y30" i="23" s="1"/>
  <c r="Y31" i="23" s="1"/>
  <c r="BD103" i="42"/>
  <c r="BN12" i="1"/>
  <c r="BN89" i="1" s="1"/>
  <c r="BN90" i="1" s="1"/>
  <c r="AX59" i="1"/>
  <c r="AU70" i="10"/>
  <c r="AV58" i="10" s="1"/>
  <c r="V22" i="1"/>
  <c r="AP15" i="42" s="1"/>
  <c r="S55" i="11"/>
  <c r="K46" i="23"/>
  <c r="AX57" i="1"/>
  <c r="AX58" i="1"/>
  <c r="AX56" i="1"/>
  <c r="AX54" i="1"/>
  <c r="AX55" i="1"/>
  <c r="BD22" i="42"/>
  <c r="BD99" i="42" s="1"/>
  <c r="AV8" i="1"/>
  <c r="AX8" i="1"/>
  <c r="AX21" i="1"/>
  <c r="J49" i="23"/>
  <c r="J44" i="23"/>
  <c r="AB57" i="23" s="1"/>
  <c r="AS55" i="10"/>
  <c r="AS59" i="10"/>
  <c r="AS54" i="10"/>
  <c r="AS56" i="10"/>
  <c r="AS57" i="10"/>
  <c r="C128" i="38"/>
  <c r="D129" i="38" s="1"/>
  <c r="BW31" i="4" s="1"/>
  <c r="K49" i="23"/>
  <c r="K44" i="23"/>
  <c r="AB58" i="23" s="1"/>
  <c r="K45" i="23"/>
  <c r="AG432" i="1"/>
  <c r="H15" i="1"/>
  <c r="AZ8" i="1"/>
  <c r="AZ13" i="1" s="1"/>
  <c r="AZ14" i="1" s="1"/>
  <c r="U5" i="4"/>
  <c r="P22" i="1"/>
  <c r="AK15" i="42" s="1"/>
  <c r="T5" i="4"/>
  <c r="L15" i="1"/>
  <c r="O12" i="19"/>
  <c r="U14" i="4"/>
  <c r="AZ18" i="1"/>
  <c r="L22" i="1"/>
  <c r="AG15" i="42" s="1"/>
  <c r="O11" i="19"/>
  <c r="T14" i="4"/>
  <c r="U24" i="4"/>
  <c r="X22" i="1"/>
  <c r="AR15" i="42" s="1"/>
  <c r="T24" i="4"/>
  <c r="U12" i="4"/>
  <c r="J22" i="1"/>
  <c r="AE15" i="42" s="1"/>
  <c r="T12" i="4"/>
  <c r="AX18" i="1"/>
  <c r="AM24" i="1"/>
  <c r="AM14" i="1" s="1"/>
  <c r="U10" i="4"/>
  <c r="H22" i="1"/>
  <c r="AC15" i="42" s="1"/>
  <c r="T10" i="4"/>
  <c r="AV18" i="1"/>
  <c r="U16" i="4"/>
  <c r="R22" i="1"/>
  <c r="AL15" i="42" s="1"/>
  <c r="T16" i="4"/>
  <c r="U8" i="4"/>
  <c r="F22" i="1"/>
  <c r="AA15" i="42" s="1"/>
  <c r="Q16" i="42" s="1"/>
  <c r="T8" i="4"/>
  <c r="U40" i="23"/>
  <c r="T22" i="1"/>
  <c r="AN15" i="42" s="1"/>
  <c r="U18" i="4"/>
  <c r="T18" i="4"/>
  <c r="U22" i="4"/>
  <c r="T22" i="4"/>
  <c r="L91" i="1"/>
  <c r="H14" i="43"/>
  <c r="I18" i="23" s="1"/>
  <c r="I17" i="23" s="1"/>
  <c r="B48" i="23"/>
  <c r="C19" i="23"/>
  <c r="B49" i="23"/>
  <c r="CR33" i="4"/>
  <c r="DD33" i="4"/>
  <c r="O90" i="19"/>
  <c r="AG91" i="1"/>
  <c r="AT65" i="42"/>
  <c r="U38" i="4"/>
  <c r="AK22" i="1"/>
  <c r="AW15" i="42" s="1"/>
  <c r="AK15" i="1"/>
  <c r="AK91" i="1"/>
  <c r="T28" i="4"/>
  <c r="U28" i="4"/>
  <c r="U31" i="4"/>
  <c r="AE15" i="1"/>
  <c r="T31" i="4"/>
  <c r="AE22" i="1"/>
  <c r="AT15" i="42" s="1"/>
  <c r="O88" i="19"/>
  <c r="DD31" i="4"/>
  <c r="CR31" i="4"/>
  <c r="C81" i="38"/>
  <c r="C84" i="38" s="1"/>
  <c r="S53" i="11"/>
  <c r="Q55" i="33" s="1"/>
  <c r="BF18" i="1"/>
  <c r="BD18" i="1"/>
  <c r="F47" i="33"/>
  <c r="BJ18" i="1"/>
  <c r="C78" i="38"/>
  <c r="BH18" i="1"/>
  <c r="BL18" i="1"/>
  <c r="Q54" i="33"/>
  <c r="BB18" i="1"/>
  <c r="G154" i="38"/>
  <c r="H155" i="38" s="1"/>
  <c r="AG22" i="1"/>
  <c r="AU15" i="42" s="1"/>
  <c r="AG15" i="1"/>
  <c r="U32" i="4"/>
  <c r="T32" i="4"/>
  <c r="AE7" i="1"/>
  <c r="AZ13" i="42" s="1"/>
  <c r="C83" i="38"/>
  <c r="AX428" i="1" s="1"/>
  <c r="AE395" i="1"/>
  <c r="EZ29" i="4" s="1"/>
  <c r="X15" i="1"/>
  <c r="BY24" i="1"/>
  <c r="BW24" i="1"/>
  <c r="CA24" i="1"/>
  <c r="J15" i="1"/>
  <c r="CC24" i="1"/>
  <c r="F15" i="1"/>
  <c r="BU24" i="1"/>
  <c r="R15" i="1"/>
  <c r="T15" i="1"/>
  <c r="V15" i="1"/>
  <c r="P15" i="1"/>
  <c r="G17" i="43"/>
  <c r="E106" i="7"/>
  <c r="AH104" i="7"/>
  <c r="K106" i="7"/>
  <c r="L104" i="7"/>
  <c r="K104" i="7"/>
  <c r="E104" i="7"/>
  <c r="AE104" i="7"/>
  <c r="AF104" i="7"/>
  <c r="R104" i="7"/>
  <c r="Q104" i="7"/>
  <c r="Y104" i="7"/>
  <c r="C79" i="38"/>
  <c r="Q106" i="7"/>
  <c r="G17" i="30"/>
  <c r="AE105" i="7"/>
  <c r="AF105" i="7"/>
  <c r="AH105" i="7"/>
  <c r="U104" i="7"/>
  <c r="AB95" i="7"/>
  <c r="AC95" i="7"/>
  <c r="H42" i="42"/>
  <c r="G42" i="42"/>
  <c r="AT14" i="42"/>
  <c r="AE397" i="1"/>
  <c r="C77" i="12"/>
  <c r="F77" i="12" s="1"/>
  <c r="H16" i="43" s="1"/>
  <c r="F15" i="33"/>
  <c r="F18" i="33" s="1"/>
  <c r="F17" i="33"/>
  <c r="F19" i="33" s="1"/>
  <c r="F51" i="33"/>
  <c r="F48" i="33"/>
  <c r="F53" i="33"/>
  <c r="C53" i="38"/>
  <c r="C55" i="38"/>
  <c r="AG7" i="1"/>
  <c r="BA13" i="42" s="1"/>
  <c r="C69" i="38"/>
  <c r="J47" i="23"/>
  <c r="J48" i="23"/>
  <c r="AM10" i="1"/>
  <c r="AM11" i="1" s="1"/>
  <c r="K47" i="23"/>
  <c r="K48" i="23"/>
  <c r="R12" i="31"/>
  <c r="F26" i="1"/>
  <c r="AK7" i="1"/>
  <c r="AW13" i="42" s="1"/>
  <c r="CE105" i="1"/>
  <c r="C78" i="12"/>
  <c r="F78" i="12" s="1"/>
  <c r="H15" i="43" s="1"/>
  <c r="R68" i="33"/>
  <c r="Q68" i="33"/>
  <c r="U51" i="4"/>
  <c r="BU13" i="1"/>
  <c r="AM12" i="7"/>
  <c r="R13" i="31"/>
  <c r="AE14" i="42"/>
  <c r="AN14" i="42"/>
  <c r="AG14" i="42"/>
  <c r="AA14" i="42"/>
  <c r="Q15" i="42" s="1"/>
  <c r="AC14" i="42"/>
  <c r="AI24" i="30"/>
  <c r="AH20" i="30"/>
  <c r="P25" i="30"/>
  <c r="AP14" i="42"/>
  <c r="BG54" i="10"/>
  <c r="BO56" i="10"/>
  <c r="I34" i="23"/>
  <c r="C42" i="11"/>
  <c r="P32" i="30"/>
  <c r="S43" i="30" s="1"/>
  <c r="P24" i="30"/>
  <c r="AR14" i="42"/>
  <c r="AK14" i="42"/>
  <c r="AL14" i="42"/>
  <c r="R8" i="31"/>
  <c r="AT18" i="10"/>
  <c r="BT18" i="10" s="1"/>
  <c r="AT10" i="10"/>
  <c r="BT10" i="10" s="1"/>
  <c r="AT11" i="10"/>
  <c r="BT11" i="10" s="1"/>
  <c r="AP12" i="10"/>
  <c r="BQ12" i="10" s="1"/>
  <c r="AP10" i="10"/>
  <c r="BQ10" i="10" s="1"/>
  <c r="AP15" i="10"/>
  <c r="BQ15" i="10" s="1"/>
  <c r="AP14" i="10"/>
  <c r="BQ14" i="10" s="1"/>
  <c r="AT17" i="10"/>
  <c r="BT17" i="10" s="1"/>
  <c r="AT12" i="10"/>
  <c r="BT12" i="10" s="1"/>
  <c r="AP20" i="10"/>
  <c r="BQ20" i="10" s="1"/>
  <c r="AT13" i="10"/>
  <c r="BT13" i="10" s="1"/>
  <c r="AP22" i="10"/>
  <c r="BQ22" i="10" s="1"/>
  <c r="AP13" i="10"/>
  <c r="BQ13" i="10" s="1"/>
  <c r="AP16" i="10"/>
  <c r="BQ16" i="10" s="1"/>
  <c r="AT15" i="10"/>
  <c r="BT15" i="10" s="1"/>
  <c r="AT19" i="10"/>
  <c r="BT19" i="10" s="1"/>
  <c r="AT16" i="10"/>
  <c r="BT16" i="10" s="1"/>
  <c r="AP17" i="10"/>
  <c r="BQ17" i="10" s="1"/>
  <c r="AT22" i="10"/>
  <c r="BT22" i="10" s="1"/>
  <c r="AT21" i="10"/>
  <c r="BT21" i="10" s="1"/>
  <c r="AP18" i="10"/>
  <c r="BQ18" i="10" s="1"/>
  <c r="AP21" i="10"/>
  <c r="BQ21" i="10" s="1"/>
  <c r="AT14" i="10"/>
  <c r="BT14" i="10" s="1"/>
  <c r="AP19" i="10"/>
  <c r="BQ19" i="10" s="1"/>
  <c r="AP11" i="10"/>
  <c r="BQ11" i="10" s="1"/>
  <c r="AT20" i="10"/>
  <c r="BT20" i="10" s="1"/>
  <c r="R28" i="10"/>
  <c r="R29" i="10" s="1"/>
  <c r="R30" i="10" s="1"/>
  <c r="R31" i="10" s="1"/>
  <c r="R32" i="10" s="1"/>
  <c r="R33" i="10" s="1"/>
  <c r="R34" i="10" s="1"/>
  <c r="R35" i="10" s="1"/>
  <c r="R36" i="10" s="1"/>
  <c r="V28" i="10"/>
  <c r="V29" i="10" s="1"/>
  <c r="V30" i="10" s="1"/>
  <c r="V31" i="10" s="1"/>
  <c r="V32" i="10" s="1"/>
  <c r="V33" i="10" s="1"/>
  <c r="V34" i="10" s="1"/>
  <c r="V35" i="10" s="1"/>
  <c r="V36" i="10" s="1"/>
  <c r="V37" i="10" s="1"/>
  <c r="H62" i="10" s="1"/>
  <c r="AH8" i="10"/>
  <c r="BK8" i="10" s="1"/>
  <c r="C41" i="11"/>
  <c r="AL17" i="10"/>
  <c r="BN17" i="10" s="1"/>
  <c r="AL19" i="10"/>
  <c r="BN19" i="10" s="1"/>
  <c r="AL11" i="10"/>
  <c r="BN11" i="10" s="1"/>
  <c r="I33" i="23"/>
  <c r="AL12" i="10"/>
  <c r="BN12" i="10" s="1"/>
  <c r="AL21" i="10"/>
  <c r="BN21" i="10" s="1"/>
  <c r="AL15" i="10"/>
  <c r="BN15" i="10" s="1"/>
  <c r="AL10" i="10"/>
  <c r="BN10" i="10" s="1"/>
  <c r="AL18" i="10"/>
  <c r="BN18" i="10" s="1"/>
  <c r="C70" i="38"/>
  <c r="AL16" i="10"/>
  <c r="BN16" i="10" s="1"/>
  <c r="AL13" i="10"/>
  <c r="BN13" i="10" s="1"/>
  <c r="L26" i="1"/>
  <c r="AL20" i="10"/>
  <c r="BN20" i="10" s="1"/>
  <c r="AL14" i="10"/>
  <c r="BN14" i="10" s="1"/>
  <c r="AL22" i="10"/>
  <c r="BN22" i="10" s="1"/>
  <c r="I35" i="23"/>
  <c r="C44" i="11"/>
  <c r="H78" i="42"/>
  <c r="B111" i="25"/>
  <c r="C111" i="25" s="1"/>
  <c r="B113" i="25"/>
  <c r="C113" i="25" s="1"/>
  <c r="B115" i="25"/>
  <c r="C115" i="25" s="1"/>
  <c r="U11" i="11"/>
  <c r="AA40" i="11"/>
  <c r="AA39" i="11" s="1"/>
  <c r="W35" i="11"/>
  <c r="X35" i="11"/>
  <c r="U35" i="11"/>
  <c r="V35" i="11"/>
  <c r="Y43" i="11"/>
  <c r="U12" i="11" s="1"/>
  <c r="N54" i="11"/>
  <c r="S54" i="11"/>
  <c r="S51" i="11"/>
  <c r="G31" i="38" s="1"/>
  <c r="N58" i="11"/>
  <c r="N60" i="11"/>
  <c r="N59" i="11"/>
  <c r="L51" i="4"/>
  <c r="R33" i="4"/>
  <c r="R24" i="4"/>
  <c r="L33" i="4"/>
  <c r="L28" i="4"/>
  <c r="L55" i="4"/>
  <c r="AE40" i="4"/>
  <c r="AE26" i="4"/>
  <c r="L52" i="4"/>
  <c r="R22" i="4"/>
  <c r="R10" i="4"/>
  <c r="L5" i="4"/>
  <c r="R37" i="4"/>
  <c r="L10" i="4"/>
  <c r="L24" i="4"/>
  <c r="L38" i="4"/>
  <c r="L34" i="4"/>
  <c r="R18" i="4"/>
  <c r="R31" i="4"/>
  <c r="L31" i="4"/>
  <c r="L16" i="4"/>
  <c r="L12" i="4"/>
  <c r="L32" i="4"/>
  <c r="L54" i="4"/>
  <c r="R5" i="4"/>
  <c r="L22" i="4"/>
  <c r="L53" i="4"/>
  <c r="R12" i="4"/>
  <c r="R8" i="4"/>
  <c r="L18" i="4"/>
  <c r="L40" i="4"/>
  <c r="L8" i="4"/>
  <c r="R28" i="4"/>
  <c r="L14" i="4"/>
  <c r="R14" i="4"/>
  <c r="R16" i="4"/>
  <c r="L26" i="4"/>
  <c r="L56" i="4"/>
  <c r="AX20" i="1" l="1"/>
  <c r="AX13" i="1"/>
  <c r="AX14" i="1" s="1"/>
  <c r="AV20" i="1"/>
  <c r="AV13" i="1"/>
  <c r="AV14" i="1" s="1"/>
  <c r="AZ15" i="1"/>
  <c r="AZ17" i="1" s="1"/>
  <c r="BE8" i="42"/>
  <c r="AZ22" i="1"/>
  <c r="AI26" i="30"/>
  <c r="AZ20" i="1"/>
  <c r="K50" i="23"/>
  <c r="Y49" i="23"/>
  <c r="C45" i="11"/>
  <c r="AH40" i="30"/>
  <c r="F36" i="30" s="1"/>
  <c r="AH19" i="30"/>
  <c r="AH24" i="30" s="1"/>
  <c r="K53" i="23"/>
  <c r="Y34" i="23"/>
  <c r="Y32" i="23"/>
  <c r="Y33" i="23"/>
  <c r="K52" i="23"/>
  <c r="BL19" i="1"/>
  <c r="BL42" i="1" s="1" a="1"/>
  <c r="AW58" i="10"/>
  <c r="AX58" i="10" s="1"/>
  <c r="G66" i="33"/>
  <c r="G67" i="33" s="1"/>
  <c r="BH19" i="1"/>
  <c r="BH42" i="1" s="1" a="1"/>
  <c r="Y16" i="23"/>
  <c r="Y17" i="23" s="1"/>
  <c r="Y18" i="23" s="1"/>
  <c r="R37" i="10"/>
  <c r="R38" i="10" s="1"/>
  <c r="H61" i="10" s="1"/>
  <c r="Y42" i="11"/>
  <c r="J46" i="23"/>
  <c r="W40" i="11"/>
  <c r="W39" i="11" s="1"/>
  <c r="Y40" i="11"/>
  <c r="Y39" i="11" s="1"/>
  <c r="C82" i="38"/>
  <c r="AU13" i="42"/>
  <c r="AV56" i="10"/>
  <c r="AW56" i="10" s="1"/>
  <c r="AX56" i="10" s="1"/>
  <c r="AV59" i="10"/>
  <c r="AW59" i="10" s="1"/>
  <c r="AX59" i="10" s="1"/>
  <c r="AU71" i="10"/>
  <c r="AT13" i="42"/>
  <c r="G155" i="38"/>
  <c r="B42" i="40"/>
  <c r="L25" i="40"/>
  <c r="U34" i="4"/>
  <c r="AM22" i="1"/>
  <c r="AX15" i="42" s="1"/>
  <c r="AM15" i="1"/>
  <c r="Q56" i="33"/>
  <c r="Q60" i="33" s="1"/>
  <c r="Q58" i="33"/>
  <c r="Q14" i="31"/>
  <c r="Z12" i="31" s="1"/>
  <c r="Z14" i="31" s="1"/>
  <c r="C43" i="11"/>
  <c r="G128" i="38"/>
  <c r="G127" i="38"/>
  <c r="F46" i="33"/>
  <c r="H52" i="33" s="1"/>
  <c r="H53" i="33" s="1"/>
  <c r="U40" i="4"/>
  <c r="T40" i="4" s="1"/>
  <c r="G135" i="38"/>
  <c r="EZ31" i="4"/>
  <c r="G134" i="38"/>
  <c r="AT72" i="42"/>
  <c r="C129" i="38"/>
  <c r="T39" i="4"/>
  <c r="G18" i="33"/>
  <c r="AV57" i="10"/>
  <c r="AW57" i="10" s="1"/>
  <c r="AX57" i="10" s="1"/>
  <c r="AV54" i="10"/>
  <c r="AW54" i="10" s="1"/>
  <c r="AX54" i="10" s="1"/>
  <c r="AV55" i="10"/>
  <c r="AW55" i="10" s="1"/>
  <c r="AX55" i="10" s="1"/>
  <c r="AX23" i="1"/>
  <c r="AX24" i="1" s="1"/>
  <c r="BD15" i="42" s="1"/>
  <c r="BN93" i="1"/>
  <c r="BN92" i="1"/>
  <c r="BN91" i="1"/>
  <c r="BN83" i="1" s="1"/>
  <c r="BV31" i="4"/>
  <c r="AE436" i="1" a="1"/>
  <c r="D27" i="1" a="1"/>
  <c r="AG436" i="1" a="1"/>
  <c r="L27" i="1" a="1"/>
  <c r="F419" i="1" a="1"/>
  <c r="H419" i="1" a="1"/>
  <c r="L419" i="1" a="1"/>
  <c r="AK27" i="1" a="1"/>
  <c r="CA27" i="1" a="1"/>
  <c r="AV25" i="1" a="1"/>
  <c r="J419" i="1" a="1"/>
  <c r="V419" i="1" a="1"/>
  <c r="X419" i="1" a="1"/>
  <c r="T419" i="1" a="1"/>
  <c r="P419" i="1" a="1"/>
  <c r="CC27" i="1" a="1"/>
  <c r="D419" i="1" a="1"/>
  <c r="N419" i="1" a="1"/>
  <c r="BY27" i="1" a="1"/>
  <c r="R419" i="1" a="1"/>
  <c r="AH26" i="30" l="1"/>
  <c r="AH27" i="30" s="1"/>
  <c r="AH29" i="30" s="1"/>
  <c r="AH25" i="30"/>
  <c r="AH28" i="30" s="1"/>
  <c r="J52" i="23"/>
  <c r="J50" i="23"/>
  <c r="AZ21" i="1"/>
  <c r="AZ23" i="1" s="1"/>
  <c r="AZ24" i="1" s="1"/>
  <c r="BE15" i="42" s="1"/>
  <c r="AZ19" i="1"/>
  <c r="AI15" i="30"/>
  <c r="BE11" i="42"/>
  <c r="AZ377" i="1"/>
  <c r="AV22" i="1"/>
  <c r="AV21" i="1" s="1"/>
  <c r="BC8" i="42"/>
  <c r="C32" i="31"/>
  <c r="AX22" i="1"/>
  <c r="AX15" i="1"/>
  <c r="AX17" i="1" s="1"/>
  <c r="BD8" i="42"/>
  <c r="G136" i="38"/>
  <c r="G138" i="38"/>
  <c r="G131" i="38"/>
  <c r="CA33" i="1"/>
  <c r="CA31" i="1"/>
  <c r="CA32" i="1"/>
  <c r="CA27" i="1"/>
  <c r="CA34" i="1"/>
  <c r="CA30" i="1"/>
  <c r="CA28" i="1"/>
  <c r="CA35" i="1"/>
  <c r="BP100" i="42" s="1"/>
  <c r="CA29" i="1"/>
  <c r="CC32" i="1"/>
  <c r="CC35" i="1"/>
  <c r="BQ100" i="42" s="1"/>
  <c r="CC34" i="1"/>
  <c r="CC28" i="1"/>
  <c r="CC29" i="1"/>
  <c r="CC27" i="1"/>
  <c r="CC33" i="1"/>
  <c r="CC31" i="1"/>
  <c r="CC30" i="1"/>
  <c r="D34" i="1"/>
  <c r="D30" i="1"/>
  <c r="D31" i="1"/>
  <c r="D35" i="1"/>
  <c r="D29" i="1"/>
  <c r="D27" i="1"/>
  <c r="C56" i="38" s="1"/>
  <c r="D33" i="1"/>
  <c r="D28" i="1"/>
  <c r="D32" i="1"/>
  <c r="BY33" i="1"/>
  <c r="BY27" i="1"/>
  <c r="BY32" i="1"/>
  <c r="BY28" i="1"/>
  <c r="BY34" i="1"/>
  <c r="BY35" i="1"/>
  <c r="BY31" i="1"/>
  <c r="BY29" i="1"/>
  <c r="BY30" i="1"/>
  <c r="AV29" i="1"/>
  <c r="AV28" i="1"/>
  <c r="AV31" i="1"/>
  <c r="AV32" i="1"/>
  <c r="AV30" i="1"/>
  <c r="AV26" i="1"/>
  <c r="AV27" i="1"/>
  <c r="AV25" i="1"/>
  <c r="AV33" i="1"/>
  <c r="L34" i="1"/>
  <c r="L29" i="1"/>
  <c r="L32" i="1"/>
  <c r="L28" i="1"/>
  <c r="L30" i="1"/>
  <c r="L35" i="1"/>
  <c r="AG100" i="42" s="1"/>
  <c r="L27" i="1"/>
  <c r="L31" i="1"/>
  <c r="L33" i="1"/>
  <c r="AK30" i="1"/>
  <c r="AK29" i="1"/>
  <c r="AK32" i="1"/>
  <c r="AK31" i="1"/>
  <c r="AK28" i="1"/>
  <c r="AK33" i="1"/>
  <c r="AK34" i="1"/>
  <c r="AK35" i="1"/>
  <c r="AW100" i="42" s="1"/>
  <c r="AK27" i="1"/>
  <c r="T419" i="1"/>
  <c r="T423" i="1"/>
  <c r="T420" i="1"/>
  <c r="T421" i="1"/>
  <c r="T422" i="1"/>
  <c r="T426" i="1"/>
  <c r="T425" i="1"/>
  <c r="T424" i="1"/>
  <c r="L422" i="1"/>
  <c r="L419" i="1"/>
  <c r="L421" i="1"/>
  <c r="L424" i="1"/>
  <c r="L423" i="1"/>
  <c r="L425" i="1"/>
  <c r="L426" i="1"/>
  <c r="L420" i="1"/>
  <c r="R420" i="1"/>
  <c r="R424" i="1"/>
  <c r="R425" i="1"/>
  <c r="R419" i="1"/>
  <c r="R423" i="1"/>
  <c r="R421" i="1"/>
  <c r="R422" i="1"/>
  <c r="R426" i="1"/>
  <c r="J420" i="1"/>
  <c r="J424" i="1"/>
  <c r="J423" i="1"/>
  <c r="J425" i="1"/>
  <c r="J422" i="1"/>
  <c r="J426" i="1"/>
  <c r="J421" i="1"/>
  <c r="J419" i="1"/>
  <c r="D419" i="1"/>
  <c r="D421" i="1"/>
  <c r="D426" i="1"/>
  <c r="D423" i="1"/>
  <c r="D420" i="1"/>
  <c r="D424" i="1"/>
  <c r="D425" i="1"/>
  <c r="D422" i="1"/>
  <c r="X421" i="1"/>
  <c r="X424" i="1"/>
  <c r="X423" i="1"/>
  <c r="X419" i="1"/>
  <c r="X420" i="1"/>
  <c r="X426" i="1"/>
  <c r="X425" i="1"/>
  <c r="X422" i="1"/>
  <c r="H424" i="1"/>
  <c r="H420" i="1"/>
  <c r="H422" i="1"/>
  <c r="H423" i="1"/>
  <c r="H426" i="1"/>
  <c r="H425" i="1"/>
  <c r="H421" i="1"/>
  <c r="H419" i="1"/>
  <c r="N420" i="1"/>
  <c r="N423" i="1"/>
  <c r="N426" i="1"/>
  <c r="N424" i="1"/>
  <c r="N425" i="1"/>
  <c r="N419" i="1"/>
  <c r="N421" i="1"/>
  <c r="N422" i="1"/>
  <c r="P425" i="1"/>
  <c r="P421" i="1"/>
  <c r="P426" i="1"/>
  <c r="P422" i="1"/>
  <c r="P424" i="1"/>
  <c r="P419" i="1"/>
  <c r="P420" i="1"/>
  <c r="P423" i="1"/>
  <c r="F421" i="1"/>
  <c r="F424" i="1"/>
  <c r="F420" i="1"/>
  <c r="F419" i="1"/>
  <c r="F422" i="1"/>
  <c r="F426" i="1"/>
  <c r="F425" i="1"/>
  <c r="F423" i="1"/>
  <c r="V425" i="1"/>
  <c r="V421" i="1"/>
  <c r="V426" i="1"/>
  <c r="V419" i="1"/>
  <c r="V423" i="1"/>
  <c r="V420" i="1"/>
  <c r="V422" i="1"/>
  <c r="V424" i="1"/>
  <c r="AG440" i="1"/>
  <c r="AG446" i="1" s="1"/>
  <c r="AG456" i="1" s="1"/>
  <c r="AG436" i="1"/>
  <c r="AG442" i="1" s="1"/>
  <c r="AG441" i="1"/>
  <c r="BA100" i="42" s="1"/>
  <c r="AG437" i="1"/>
  <c r="AG443" i="1" s="1"/>
  <c r="AG453" i="1" s="1"/>
  <c r="AG439" i="1"/>
  <c r="AG445" i="1" s="1"/>
  <c r="AG455" i="1" s="1"/>
  <c r="AG438" i="1"/>
  <c r="AG444" i="1" s="1"/>
  <c r="AG454" i="1" s="1"/>
  <c r="AE440" i="1"/>
  <c r="AE441" i="1"/>
  <c r="AZ100" i="42" s="1"/>
  <c r="AE437" i="1"/>
  <c r="AE436" i="1"/>
  <c r="AE439" i="1"/>
  <c r="AE438" i="1"/>
  <c r="BN95" i="1"/>
  <c r="BN366" i="1" s="1"/>
  <c r="BN340" i="1"/>
  <c r="AC14" i="31"/>
  <c r="AB14" i="31"/>
  <c r="Q65" i="10"/>
  <c r="AC61" i="10" s="1"/>
  <c r="AE65" i="10" s="1"/>
  <c r="D28" i="31"/>
  <c r="D63" i="33"/>
  <c r="C140" i="38"/>
  <c r="C135" i="38"/>
  <c r="C134" i="38"/>
  <c r="C138" i="38"/>
  <c r="U32" i="23"/>
  <c r="U33" i="23" s="1"/>
  <c r="G67" i="42"/>
  <c r="Q46" i="33"/>
  <c r="B133" i="38"/>
  <c r="Q59" i="33"/>
  <c r="F66" i="42"/>
  <c r="C68" i="42" s="1"/>
  <c r="K60" i="23"/>
  <c r="Y58" i="23"/>
  <c r="J53" i="23"/>
  <c r="Y21" i="23"/>
  <c r="Y19" i="23"/>
  <c r="Y20" i="23"/>
  <c r="BH43" i="1"/>
  <c r="BH45" i="1"/>
  <c r="BH44" i="1"/>
  <c r="BH46" i="1"/>
  <c r="BH47" i="1"/>
  <c r="BI102" i="42" s="1"/>
  <c r="BH42" i="1"/>
  <c r="K58" i="23"/>
  <c r="AA58" i="23"/>
  <c r="BL46" i="1"/>
  <c r="BL44" i="1"/>
  <c r="BL42" i="1"/>
  <c r="BL43" i="1"/>
  <c r="BL47" i="1"/>
  <c r="BK102" i="42" s="1"/>
  <c r="BL45" i="1"/>
  <c r="G129" i="38"/>
  <c r="U10" i="11"/>
  <c r="Z58" i="23"/>
  <c r="K57" i="23"/>
  <c r="M45" i="23"/>
  <c r="Y51" i="23"/>
  <c r="Y52" i="23"/>
  <c r="Y50" i="23"/>
  <c r="Z10" i="31"/>
  <c r="Z13" i="31" s="1"/>
  <c r="F50" i="33"/>
  <c r="G52" i="33"/>
  <c r="G53" i="33" s="1"/>
  <c r="H50" i="33"/>
  <c r="H51" i="33" s="1"/>
  <c r="F52" i="33"/>
  <c r="G50" i="33"/>
  <c r="G51" i="33" s="1"/>
  <c r="BN351" i="1"/>
  <c r="BN349" i="1"/>
  <c r="BN354" i="1"/>
  <c r="BN99" i="1"/>
  <c r="BN356" i="1"/>
  <c r="BN101" i="1"/>
  <c r="BN338" i="1"/>
  <c r="BN94" i="1"/>
  <c r="BN343" i="1"/>
  <c r="BN97" i="1"/>
  <c r="BN345" i="1"/>
  <c r="BN100" i="1"/>
  <c r="BN98" i="1"/>
  <c r="BN87" i="1"/>
  <c r="BN86" i="1"/>
  <c r="BN85" i="1"/>
  <c r="BN88" i="1" s="1"/>
  <c r="BN96" i="1"/>
  <c r="AP34" i="30" s="1"/>
  <c r="AZ42" i="1" a="1"/>
  <c r="AD29" i="10" l="1"/>
  <c r="U41" i="4"/>
  <c r="T41" i="4" s="1"/>
  <c r="AP33" i="30"/>
  <c r="BL39" i="42"/>
  <c r="AV23" i="1"/>
  <c r="AV24" i="1" s="1"/>
  <c r="BC15" i="42" s="1"/>
  <c r="U39" i="4"/>
  <c r="AX19" i="1"/>
  <c r="AX42" i="1" s="1" a="1"/>
  <c r="AX89" i="1"/>
  <c r="AH15" i="30"/>
  <c r="AH42" i="30" s="1"/>
  <c r="AX377" i="1"/>
  <c r="BD11" i="42"/>
  <c r="AV19" i="1"/>
  <c r="AG15" i="30"/>
  <c r="P21" i="30" s="1"/>
  <c r="AV377" i="1"/>
  <c r="BC11" i="42"/>
  <c r="AZ382" i="1"/>
  <c r="AZ381" i="1"/>
  <c r="AZ378" i="1"/>
  <c r="AZ379" i="1" s="1"/>
  <c r="BE72" i="42" s="1"/>
  <c r="AZ47" i="1"/>
  <c r="BE102" i="42" s="1"/>
  <c r="AZ46" i="1"/>
  <c r="AZ45" i="1"/>
  <c r="AZ43" i="1"/>
  <c r="AZ42" i="1"/>
  <c r="AZ44" i="1"/>
  <c r="G132" i="38"/>
  <c r="H132" i="38"/>
  <c r="H139" i="38"/>
  <c r="G139" i="38"/>
  <c r="G137" i="38"/>
  <c r="H137" i="38"/>
  <c r="G54" i="42"/>
  <c r="AM100" i="42"/>
  <c r="AH100" i="42"/>
  <c r="AK123" i="7"/>
  <c r="Q69" i="10"/>
  <c r="W57" i="10" s="1"/>
  <c r="X57" i="10" s="1"/>
  <c r="Y57" i="10" s="1"/>
  <c r="BQ57" i="10" s="1"/>
  <c r="AD100" i="42"/>
  <c r="T61" i="10"/>
  <c r="AQ100" i="42"/>
  <c r="AJ100" i="42"/>
  <c r="Z100" i="42"/>
  <c r="Q75" i="10"/>
  <c r="BB29" i="10"/>
  <c r="BB30" i="10" s="1"/>
  <c r="BB31" i="10" s="1"/>
  <c r="BB32" i="10" s="1"/>
  <c r="BB33" i="10" s="1"/>
  <c r="BB34" i="10" s="1"/>
  <c r="BB35" i="10" s="1"/>
  <c r="BB36" i="10" s="1"/>
  <c r="BB37" i="10" s="1"/>
  <c r="BB38" i="10" s="1"/>
  <c r="BB39" i="10" s="1"/>
  <c r="BB40" i="10" s="1"/>
  <c r="H58" i="10"/>
  <c r="AT29" i="10"/>
  <c r="AT30" i="10" s="1"/>
  <c r="AT31" i="10" s="1"/>
  <c r="AT32" i="10" s="1"/>
  <c r="AT33" i="10" s="1"/>
  <c r="AT34" i="10" s="1"/>
  <c r="AT35" i="10" s="1"/>
  <c r="AT36" i="10" s="1"/>
  <c r="AT37" i="10" s="1"/>
  <c r="AT38" i="10" s="1"/>
  <c r="AT39" i="10" s="1"/>
  <c r="BA57" i="10" s="1"/>
  <c r="Z28" i="10"/>
  <c r="Z29" i="10" s="1"/>
  <c r="Z30" i="10" s="1"/>
  <c r="Z31" i="10" s="1"/>
  <c r="Z32" i="10" s="1"/>
  <c r="Z33" i="10" s="1"/>
  <c r="Z34" i="10" s="1"/>
  <c r="Z35" i="10" s="1"/>
  <c r="Z36" i="10" s="1"/>
  <c r="Z37" i="10" s="1"/>
  <c r="Z38" i="10" s="1"/>
  <c r="AD57" i="10" s="1"/>
  <c r="Q67" i="10"/>
  <c r="F69" i="42" s="1"/>
  <c r="C143" i="38"/>
  <c r="AA60" i="23"/>
  <c r="M58" i="23"/>
  <c r="D20" i="23"/>
  <c r="C18" i="23"/>
  <c r="AE443" i="1"/>
  <c r="AE453" i="1" s="1"/>
  <c r="AI443" i="1"/>
  <c r="AI453" i="1" s="1"/>
  <c r="AI433" i="1"/>
  <c r="AE433" i="1"/>
  <c r="AG433" i="1"/>
  <c r="BF32" i="1"/>
  <c r="AZ32" i="1"/>
  <c r="BJ32" i="1"/>
  <c r="BD32" i="1"/>
  <c r="BL32" i="1"/>
  <c r="BH32" i="1"/>
  <c r="BB32" i="1"/>
  <c r="AX32" i="1"/>
  <c r="F27" i="1"/>
  <c r="J27" i="1"/>
  <c r="R27" i="1"/>
  <c r="X27" i="1"/>
  <c r="BW27" i="1"/>
  <c r="T27" i="1"/>
  <c r="AI27" i="1"/>
  <c r="V27" i="1"/>
  <c r="BU27" i="1"/>
  <c r="AG27" i="1"/>
  <c r="AE27" i="1"/>
  <c r="AM27" i="1"/>
  <c r="AM51" i="1" s="1" a="1"/>
  <c r="N27" i="1"/>
  <c r="P27" i="1"/>
  <c r="H27" i="1"/>
  <c r="N99" i="1"/>
  <c r="P99" i="1"/>
  <c r="R99" i="1"/>
  <c r="D99" i="1"/>
  <c r="H99" i="1"/>
  <c r="T99" i="1"/>
  <c r="V99" i="1"/>
  <c r="L99" i="1"/>
  <c r="J99" i="1"/>
  <c r="X99" i="1"/>
  <c r="F99" i="1"/>
  <c r="C73" i="38"/>
  <c r="C43" i="38"/>
  <c r="N23" i="1"/>
  <c r="H379" i="1"/>
  <c r="AI23" i="1"/>
  <c r="D23" i="1"/>
  <c r="R25" i="33"/>
  <c r="AI11" i="1"/>
  <c r="D11" i="1"/>
  <c r="C45" i="38"/>
  <c r="C71" i="38"/>
  <c r="D26" i="1"/>
  <c r="N11" i="1"/>
  <c r="C42" i="38"/>
  <c r="C54" i="38"/>
  <c r="C57" i="38"/>
  <c r="C58" i="38"/>
  <c r="M57" i="23"/>
  <c r="Z60" i="23"/>
  <c r="N429" i="1"/>
  <c r="X429" i="1"/>
  <c r="V429" i="1"/>
  <c r="R429" i="1"/>
  <c r="J429" i="1"/>
  <c r="T429" i="1"/>
  <c r="F429" i="1"/>
  <c r="L429" i="1"/>
  <c r="P429" i="1"/>
  <c r="H429" i="1"/>
  <c r="D429" i="1"/>
  <c r="AK51" i="1" a="1"/>
  <c r="BL31" i="1"/>
  <c r="BD31" i="1"/>
  <c r="BJ31" i="1"/>
  <c r="BF31" i="1"/>
  <c r="BH31" i="1"/>
  <c r="AX31" i="1"/>
  <c r="AZ31" i="1"/>
  <c r="BB31" i="1"/>
  <c r="J29" i="1"/>
  <c r="AM29" i="1"/>
  <c r="AG29" i="1"/>
  <c r="AE29" i="1"/>
  <c r="V29" i="1"/>
  <c r="P29" i="1"/>
  <c r="T29" i="1"/>
  <c r="AI29" i="1"/>
  <c r="BU29" i="1"/>
  <c r="N29" i="1"/>
  <c r="R29" i="1"/>
  <c r="X29" i="1"/>
  <c r="BW29" i="1"/>
  <c r="F29" i="1"/>
  <c r="H29" i="1"/>
  <c r="CC99" i="1"/>
  <c r="CC336" i="1"/>
  <c r="CC339" i="1" s="1"/>
  <c r="AE446" i="1"/>
  <c r="AE456" i="1" s="1"/>
  <c r="AI446" i="1"/>
  <c r="AI456" i="1" s="1"/>
  <c r="N432" i="1"/>
  <c r="X432" i="1"/>
  <c r="V432" i="1"/>
  <c r="R432" i="1"/>
  <c r="J432" i="1"/>
  <c r="T432" i="1"/>
  <c r="F432" i="1"/>
  <c r="L432" i="1"/>
  <c r="P432" i="1"/>
  <c r="H432" i="1"/>
  <c r="D432" i="1"/>
  <c r="BL28" i="1"/>
  <c r="BF28" i="1"/>
  <c r="AX28" i="1"/>
  <c r="BD28" i="1"/>
  <c r="AZ28" i="1"/>
  <c r="BJ28" i="1"/>
  <c r="BB28" i="1"/>
  <c r="BH28" i="1"/>
  <c r="BU35" i="1"/>
  <c r="BM100" i="42" s="1"/>
  <c r="R35" i="1"/>
  <c r="AL100" i="42" s="1"/>
  <c r="F35" i="1"/>
  <c r="AA100" i="42" s="1"/>
  <c r="H35" i="1"/>
  <c r="AC100" i="42" s="1"/>
  <c r="V35" i="1"/>
  <c r="AP100" i="42" s="1"/>
  <c r="AM35" i="1"/>
  <c r="AX100" i="42" s="1"/>
  <c r="X35" i="1"/>
  <c r="AR100" i="42" s="1"/>
  <c r="AI35" i="1"/>
  <c r="AV100" i="42" s="1"/>
  <c r="T35" i="1"/>
  <c r="AN100" i="42" s="1"/>
  <c r="J35" i="1"/>
  <c r="AE100" i="42" s="1"/>
  <c r="N35" i="1"/>
  <c r="AI100" i="42" s="1"/>
  <c r="AE35" i="1"/>
  <c r="AT100" i="42" s="1"/>
  <c r="BW35" i="1"/>
  <c r="BN100" i="42" s="1"/>
  <c r="P35" i="1"/>
  <c r="AK100" i="42" s="1"/>
  <c r="Y100" i="42"/>
  <c r="AG35" i="1"/>
  <c r="AU100" i="42" s="1"/>
  <c r="AB60" i="23"/>
  <c r="M53" i="23"/>
  <c r="G56" i="7"/>
  <c r="Q56" i="7"/>
  <c r="K56" i="7"/>
  <c r="Y56" i="7"/>
  <c r="L56" i="7"/>
  <c r="M56" i="7"/>
  <c r="AH56" i="7"/>
  <c r="AF56" i="7"/>
  <c r="E56" i="7"/>
  <c r="AE56" i="7"/>
  <c r="AC56" i="7"/>
  <c r="AB100" i="42"/>
  <c r="AS100" i="42"/>
  <c r="N431" i="1"/>
  <c r="X431" i="1"/>
  <c r="V431" i="1"/>
  <c r="R431" i="1"/>
  <c r="J431" i="1"/>
  <c r="T431" i="1"/>
  <c r="F431" i="1"/>
  <c r="L431" i="1"/>
  <c r="P431" i="1"/>
  <c r="H431" i="1"/>
  <c r="D431" i="1"/>
  <c r="AF100" i="42"/>
  <c r="AO100" i="42"/>
  <c r="AX33" i="1"/>
  <c r="BL33" i="1"/>
  <c r="BC100" i="42"/>
  <c r="BH33" i="1"/>
  <c r="BB33" i="1"/>
  <c r="BF100" i="42" s="1"/>
  <c r="AZ33" i="1"/>
  <c r="BJ33" i="1"/>
  <c r="BJ100" i="42" s="1"/>
  <c r="BF33" i="1"/>
  <c r="BH100" i="42" s="1"/>
  <c r="BD33" i="1"/>
  <c r="BG100" i="42" s="1"/>
  <c r="BD29" i="1"/>
  <c r="BL29" i="1"/>
  <c r="AX29" i="1"/>
  <c r="BB29" i="1"/>
  <c r="AZ29" i="1"/>
  <c r="BF29" i="1"/>
  <c r="BJ29" i="1"/>
  <c r="BH29" i="1"/>
  <c r="BY336" i="1"/>
  <c r="BY339" i="1" s="1"/>
  <c r="BY99" i="1"/>
  <c r="C72" i="38"/>
  <c r="T31" i="1"/>
  <c r="BW31" i="1"/>
  <c r="H31" i="1"/>
  <c r="AG31" i="1"/>
  <c r="P31" i="1"/>
  <c r="BU31" i="1"/>
  <c r="AM31" i="1"/>
  <c r="AI31" i="1"/>
  <c r="AE31" i="1"/>
  <c r="X31" i="1"/>
  <c r="F31" i="1"/>
  <c r="N31" i="1"/>
  <c r="V31" i="1"/>
  <c r="R31" i="1"/>
  <c r="J31" i="1"/>
  <c r="AN17" i="10"/>
  <c r="BP17" i="10" s="1"/>
  <c r="C142" i="38"/>
  <c r="C64" i="42"/>
  <c r="AI434" i="1"/>
  <c r="AG434" i="1"/>
  <c r="AE434" i="1"/>
  <c r="L51" i="1" a="1"/>
  <c r="BB25" i="1"/>
  <c r="BH25" i="1"/>
  <c r="BD25" i="1"/>
  <c r="BF25" i="1"/>
  <c r="BJ25" i="1"/>
  <c r="AZ25" i="1"/>
  <c r="AX25" i="1"/>
  <c r="BL25" i="1"/>
  <c r="T30" i="1"/>
  <c r="AM30" i="1"/>
  <c r="AI30" i="1"/>
  <c r="BW30" i="1"/>
  <c r="R30" i="1"/>
  <c r="H30" i="1"/>
  <c r="AG30" i="1"/>
  <c r="N30" i="1"/>
  <c r="BU30" i="1"/>
  <c r="J30" i="1"/>
  <c r="AE30" i="1"/>
  <c r="P30" i="1"/>
  <c r="V30" i="1"/>
  <c r="F30" i="1"/>
  <c r="X30" i="1"/>
  <c r="CA336" i="1"/>
  <c r="CA339" i="1" s="1"/>
  <c r="CA99" i="1"/>
  <c r="J57" i="23"/>
  <c r="Z57" i="23"/>
  <c r="AE444" i="1"/>
  <c r="AE454" i="1" s="1"/>
  <c r="AI444" i="1"/>
  <c r="AI454" i="1" s="1"/>
  <c r="N430" i="1"/>
  <c r="X430" i="1"/>
  <c r="V430" i="1"/>
  <c r="R430" i="1"/>
  <c r="J430" i="1"/>
  <c r="T430" i="1"/>
  <c r="F430" i="1"/>
  <c r="L430" i="1"/>
  <c r="P430" i="1"/>
  <c r="H430" i="1"/>
  <c r="D430" i="1"/>
  <c r="BL27" i="1"/>
  <c r="BF27" i="1"/>
  <c r="AZ27" i="1"/>
  <c r="AX27" i="1"/>
  <c r="BH27" i="1"/>
  <c r="BJ27" i="1"/>
  <c r="BB27" i="1"/>
  <c r="BD27" i="1"/>
  <c r="T32" i="1"/>
  <c r="BW32" i="1"/>
  <c r="AI32" i="1"/>
  <c r="BU32" i="1"/>
  <c r="F32" i="1"/>
  <c r="N32" i="1"/>
  <c r="J32" i="1"/>
  <c r="R32" i="1"/>
  <c r="AM32" i="1"/>
  <c r="H32" i="1"/>
  <c r="AG32" i="1"/>
  <c r="P32" i="1"/>
  <c r="V32" i="1"/>
  <c r="AE32" i="1"/>
  <c r="X32" i="1"/>
  <c r="AM34" i="1"/>
  <c r="X34" i="1"/>
  <c r="AG34" i="1"/>
  <c r="BU34" i="1"/>
  <c r="F34" i="1"/>
  <c r="AI34" i="1"/>
  <c r="V34" i="1"/>
  <c r="N34" i="1"/>
  <c r="J34" i="1"/>
  <c r="H34" i="1"/>
  <c r="P34" i="1"/>
  <c r="BW34" i="1"/>
  <c r="R34" i="1"/>
  <c r="AE34" i="1"/>
  <c r="T34" i="1"/>
  <c r="H130" i="38"/>
  <c r="BW41" i="4" s="1"/>
  <c r="G130" i="38"/>
  <c r="G52" i="42"/>
  <c r="J60" i="23"/>
  <c r="Y57" i="23"/>
  <c r="AA14" i="31"/>
  <c r="AA13" i="31"/>
  <c r="AA15" i="31"/>
  <c r="AE445" i="1"/>
  <c r="AE455" i="1" s="1"/>
  <c r="AI445" i="1"/>
  <c r="AI455" i="1" s="1"/>
  <c r="AX26" i="1"/>
  <c r="BB26" i="1"/>
  <c r="AZ26" i="1"/>
  <c r="BH26" i="1"/>
  <c r="BL26" i="1"/>
  <c r="BF26" i="1"/>
  <c r="BJ26" i="1"/>
  <c r="BD26" i="1"/>
  <c r="BW28" i="1"/>
  <c r="AG28" i="1"/>
  <c r="P28" i="1"/>
  <c r="H28" i="1"/>
  <c r="AM28" i="1"/>
  <c r="R28" i="1"/>
  <c r="V28" i="1"/>
  <c r="BU28" i="1"/>
  <c r="T28" i="1"/>
  <c r="G110" i="38"/>
  <c r="AI28" i="1"/>
  <c r="AE28" i="1"/>
  <c r="F28" i="1"/>
  <c r="J28" i="1"/>
  <c r="X28" i="1"/>
  <c r="N28" i="1"/>
  <c r="G111" i="38"/>
  <c r="AB13" i="31"/>
  <c r="AC13" i="31"/>
  <c r="M60" i="23"/>
  <c r="Y60" i="23"/>
  <c r="AA57" i="23"/>
  <c r="J58" i="23"/>
  <c r="AE442" i="1"/>
  <c r="AI442" i="1"/>
  <c r="AG452" i="1"/>
  <c r="AG435" i="1"/>
  <c r="AG448" i="1" s="1"/>
  <c r="N428" i="1"/>
  <c r="X428" i="1"/>
  <c r="V428" i="1"/>
  <c r="R428" i="1"/>
  <c r="J428" i="1"/>
  <c r="T428" i="1"/>
  <c r="F428" i="1"/>
  <c r="L428" i="1"/>
  <c r="P428" i="1"/>
  <c r="H428" i="1"/>
  <c r="D428" i="1"/>
  <c r="BH30" i="1"/>
  <c r="BF30" i="1"/>
  <c r="BD30" i="1"/>
  <c r="BL30" i="1"/>
  <c r="AZ30" i="1"/>
  <c r="AX30" i="1"/>
  <c r="BB30" i="1"/>
  <c r="BJ30" i="1"/>
  <c r="BR100" i="42"/>
  <c r="BO100" i="42"/>
  <c r="AG33" i="1"/>
  <c r="AE33" i="1"/>
  <c r="P33" i="1"/>
  <c r="BW33" i="1"/>
  <c r="N33" i="1"/>
  <c r="R33" i="1"/>
  <c r="J33" i="1"/>
  <c r="F33" i="1"/>
  <c r="AM33" i="1"/>
  <c r="BU33" i="1"/>
  <c r="H33" i="1"/>
  <c r="V33" i="1"/>
  <c r="X33" i="1"/>
  <c r="T33" i="1"/>
  <c r="AI33" i="1"/>
  <c r="X17" i="10"/>
  <c r="BC17" i="10" s="1"/>
  <c r="X14" i="10"/>
  <c r="BC14" i="10" s="1"/>
  <c r="X19" i="10"/>
  <c r="BC19" i="10" s="1"/>
  <c r="AS61" i="10"/>
  <c r="BI61" i="10"/>
  <c r="AK61" i="10"/>
  <c r="BA61" i="10"/>
  <c r="BG63" i="10" s="1"/>
  <c r="AK54" i="10"/>
  <c r="AK57" i="10"/>
  <c r="AK55" i="10"/>
  <c r="AK56" i="10"/>
  <c r="AK59" i="10"/>
  <c r="AK58" i="10"/>
  <c r="BN358" i="1"/>
  <c r="BL62" i="42"/>
  <c r="CB48" i="4"/>
  <c r="BN347" i="1"/>
  <c r="BN179" i="1"/>
  <c r="BN180" i="1" s="1"/>
  <c r="BN102" i="1"/>
  <c r="BN103" i="1" s="1"/>
  <c r="BN127" i="1"/>
  <c r="BN128" i="1" s="1"/>
  <c r="BN154" i="1"/>
  <c r="BN155" i="1" s="1"/>
  <c r="BV41" i="4"/>
  <c r="R20" i="4"/>
  <c r="AI36" i="1" a="1"/>
  <c r="R6" i="4"/>
  <c r="R29" i="4"/>
  <c r="DM14" i="7"/>
  <c r="L36" i="1" a="1"/>
  <c r="R50" i="4"/>
  <c r="AK36" i="1" a="1"/>
  <c r="D36" i="1" a="1"/>
  <c r="CA36" i="1" a="1"/>
  <c r="CC36" i="1" a="1"/>
  <c r="AV34" i="1" a="1"/>
  <c r="AV42" i="1" a="1"/>
  <c r="BY36" i="1" a="1"/>
  <c r="AD59" i="10" l="1"/>
  <c r="Z39" i="10"/>
  <c r="Z40" i="10" s="1"/>
  <c r="AF61" i="10" s="1"/>
  <c r="AG61" i="10" s="1"/>
  <c r="BA15" i="42"/>
  <c r="AG449" i="1"/>
  <c r="U37" i="4" s="1"/>
  <c r="T37" i="4"/>
  <c r="S15" i="10"/>
  <c r="Y15" i="10" s="1"/>
  <c r="BD15" i="10" s="1"/>
  <c r="S11" i="10"/>
  <c r="Y11" i="10" s="1"/>
  <c r="F427" i="1"/>
  <c r="F434" i="1" s="1"/>
  <c r="F435" i="1" s="1"/>
  <c r="U9" i="4" s="1"/>
  <c r="J427" i="1"/>
  <c r="J434" i="1" s="1"/>
  <c r="J435" i="1" s="1"/>
  <c r="U13" i="4" s="1"/>
  <c r="R23" i="31"/>
  <c r="S27" i="31" s="1"/>
  <c r="Z18" i="31" s="1"/>
  <c r="BT54" i="10"/>
  <c r="BS54" i="10" s="1"/>
  <c r="W55" i="10"/>
  <c r="X55" i="10" s="1"/>
  <c r="Y55" i="10" s="1"/>
  <c r="BQ55" i="10" s="1"/>
  <c r="C63" i="10" s="1"/>
  <c r="AN57" i="10"/>
  <c r="AO57" i="10" s="1"/>
  <c r="BL58" i="10"/>
  <c r="AV45" i="1"/>
  <c r="AV42" i="1"/>
  <c r="AV47" i="1"/>
  <c r="BC102" i="42" s="1"/>
  <c r="AV44" i="1"/>
  <c r="AV43" i="1"/>
  <c r="AV46" i="1"/>
  <c r="L427" i="1"/>
  <c r="AX378" i="1"/>
  <c r="AX379" i="1" s="1"/>
  <c r="BD72" i="42" s="1"/>
  <c r="AX382" i="1"/>
  <c r="BD65" i="42" s="1"/>
  <c r="AX381" i="1"/>
  <c r="AX90" i="1"/>
  <c r="AX91" i="1" s="1"/>
  <c r="AX83" i="1" s="1"/>
  <c r="AX92" i="1"/>
  <c r="AX44" i="1"/>
  <c r="AX47" i="1"/>
  <c r="BD102" i="42" s="1"/>
  <c r="AX46" i="1"/>
  <c r="AX42" i="1"/>
  <c r="AX43" i="1"/>
  <c r="AX45" i="1"/>
  <c r="AV382" i="1"/>
  <c r="BC65" i="42" s="1"/>
  <c r="AV381" i="1"/>
  <c r="AV378" i="1"/>
  <c r="AV379" i="1" s="1"/>
  <c r="BC72" i="42" s="1"/>
  <c r="AE19" i="30"/>
  <c r="AD19" i="30"/>
  <c r="AD26" i="30" s="1"/>
  <c r="AF19" i="30"/>
  <c r="AF26" i="30" s="1"/>
  <c r="AQ19" i="30"/>
  <c r="M51" i="30"/>
  <c r="M48" i="30"/>
  <c r="M49" i="30"/>
  <c r="M50" i="30"/>
  <c r="AE17" i="10"/>
  <c r="AF17" i="10" s="1"/>
  <c r="BJ17" i="10" s="1"/>
  <c r="BD57" i="10"/>
  <c r="BE57" i="10" s="1"/>
  <c r="BF57" i="10" s="1"/>
  <c r="BL60" i="10"/>
  <c r="BM60" i="10" s="1"/>
  <c r="BN60" i="10" s="1"/>
  <c r="BT55" i="10"/>
  <c r="BS55" i="10" s="1"/>
  <c r="AN58" i="10"/>
  <c r="BT59" i="10"/>
  <c r="AD55" i="10"/>
  <c r="W56" i="10"/>
  <c r="X56" i="10" s="1"/>
  <c r="Y56" i="10" s="1"/>
  <c r="BQ56" i="10" s="1"/>
  <c r="C64" i="10" s="1"/>
  <c r="W54" i="10"/>
  <c r="X54" i="10" s="1"/>
  <c r="Y54" i="10" s="1"/>
  <c r="BQ54" i="10" s="1"/>
  <c r="C62" i="10" s="1"/>
  <c r="W58" i="10"/>
  <c r="X58" i="10" s="1"/>
  <c r="Y58" i="10" s="1"/>
  <c r="AD58" i="10"/>
  <c r="AE18" i="10"/>
  <c r="AF18" i="10" s="1"/>
  <c r="BJ18" i="10" s="1"/>
  <c r="T8" i="10"/>
  <c r="AY8" i="10" s="1"/>
  <c r="AF8" i="10"/>
  <c r="BJ8" i="10" s="1"/>
  <c r="BT56" i="10"/>
  <c r="BS56" i="10" s="1"/>
  <c r="AD56" i="10"/>
  <c r="AV60" i="10"/>
  <c r="AW60" i="10" s="1"/>
  <c r="AX60" i="10" s="1"/>
  <c r="AN55" i="10"/>
  <c r="AO55" i="10" s="1"/>
  <c r="W59" i="10"/>
  <c r="X59" i="10" s="1"/>
  <c r="Y59" i="10" s="1"/>
  <c r="BQ59" i="10" s="1"/>
  <c r="AD54" i="10"/>
  <c r="AE70" i="10"/>
  <c r="AD61" i="10"/>
  <c r="AE61" i="10" s="1"/>
  <c r="BT57" i="10"/>
  <c r="BS57" i="10" s="1"/>
  <c r="AM70" i="10"/>
  <c r="BT61" i="10"/>
  <c r="BS61" i="10" s="1"/>
  <c r="D46" i="10" s="1"/>
  <c r="V70" i="10"/>
  <c r="K58" i="10" s="1"/>
  <c r="BD60" i="10"/>
  <c r="BE60" i="10" s="1"/>
  <c r="BF60" i="10" s="1"/>
  <c r="BK70" i="10"/>
  <c r="BK71" i="10" s="1"/>
  <c r="Q73" i="10"/>
  <c r="Q52" i="10"/>
  <c r="D52" i="10" s="1"/>
  <c r="T427" i="1"/>
  <c r="T434" i="1" s="1"/>
  <c r="BN359" i="1"/>
  <c r="C46" i="38"/>
  <c r="R427" i="1"/>
  <c r="R434" i="1" s="1"/>
  <c r="V427" i="1"/>
  <c r="BD6" i="1"/>
  <c r="BG12" i="42" s="1"/>
  <c r="H427" i="1"/>
  <c r="H440" i="1" s="1"/>
  <c r="X427" i="1"/>
  <c r="X441" i="1" s="1"/>
  <c r="C148" i="38"/>
  <c r="D427" i="1"/>
  <c r="D434" i="1" s="1"/>
  <c r="T15" i="10"/>
  <c r="AY15" i="10" s="1"/>
  <c r="P427" i="1"/>
  <c r="P434" i="1" s="1"/>
  <c r="P435" i="1" s="1"/>
  <c r="P443" i="1" s="1"/>
  <c r="P463" i="1" s="1"/>
  <c r="P473" i="1" s="1"/>
  <c r="N427" i="1"/>
  <c r="N441" i="1" s="1"/>
  <c r="AE15" i="10"/>
  <c r="AF15" i="10" s="1"/>
  <c r="BJ15" i="10" s="1"/>
  <c r="BA55" i="10"/>
  <c r="BD55" i="10" s="1"/>
  <c r="BE55" i="10" s="1"/>
  <c r="BF55" i="10" s="1"/>
  <c r="S10" i="10"/>
  <c r="Z10" i="10" s="1"/>
  <c r="S14" i="10"/>
  <c r="BA59" i="10"/>
  <c r="BD59" i="10" s="1"/>
  <c r="BE59" i="10" s="1"/>
  <c r="BF59" i="10" s="1"/>
  <c r="AE16" i="10"/>
  <c r="AF16" i="10" s="1"/>
  <c r="BJ16" i="10" s="1"/>
  <c r="AE22" i="10"/>
  <c r="AF22" i="10" s="1"/>
  <c r="BJ22" i="10" s="1"/>
  <c r="BC70" i="10"/>
  <c r="AE14" i="10"/>
  <c r="AF14" i="10" s="1"/>
  <c r="BJ14" i="10" s="1"/>
  <c r="AE20" i="10"/>
  <c r="AF20" i="10" s="1"/>
  <c r="BJ20" i="10" s="1"/>
  <c r="S18" i="10"/>
  <c r="Z18" i="10" s="1"/>
  <c r="S16" i="10"/>
  <c r="Y16" i="10" s="1"/>
  <c r="BD16" i="10" s="1"/>
  <c r="S21" i="10"/>
  <c r="Y21" i="10" s="1"/>
  <c r="BD21" i="10" s="1"/>
  <c r="AX15" i="10"/>
  <c r="V62" i="10"/>
  <c r="V63" i="10" s="1"/>
  <c r="V64" i="10" s="1"/>
  <c r="V66" i="10" s="1"/>
  <c r="BR63" i="10" s="1"/>
  <c r="BI59" i="10"/>
  <c r="BL59" i="10" s="1"/>
  <c r="BM59" i="10" s="1"/>
  <c r="BN59" i="10" s="1"/>
  <c r="BA54" i="10"/>
  <c r="BD54" i="10" s="1"/>
  <c r="BE54" i="10" s="1"/>
  <c r="BF54" i="10" s="1"/>
  <c r="S20" i="10"/>
  <c r="AX20" i="10" s="1"/>
  <c r="AE21" i="10"/>
  <c r="AF21" i="10" s="1"/>
  <c r="BJ21" i="10" s="1"/>
  <c r="AE12" i="10"/>
  <c r="AF12" i="10" s="1"/>
  <c r="BJ12" i="10" s="1"/>
  <c r="BI57" i="10"/>
  <c r="BL57" i="10" s="1"/>
  <c r="BM57" i="10" s="1"/>
  <c r="BN57" i="10" s="1"/>
  <c r="BA58" i="10"/>
  <c r="BD58" i="10" s="1"/>
  <c r="H66" i="33" s="1"/>
  <c r="H67" i="33" s="1"/>
  <c r="W15" i="10"/>
  <c r="BB15" i="10" s="1"/>
  <c r="BI55" i="10"/>
  <c r="BL55" i="10" s="1"/>
  <c r="BM55" i="10" s="1"/>
  <c r="BN55" i="10" s="1"/>
  <c r="BC62" i="10"/>
  <c r="BC63" i="10" s="1"/>
  <c r="AE11" i="10"/>
  <c r="AF11" i="10" s="1"/>
  <c r="BJ11" i="10" s="1"/>
  <c r="U15" i="10"/>
  <c r="BA15" i="10" s="1"/>
  <c r="AE62" i="10"/>
  <c r="S22" i="10"/>
  <c r="V68" i="10" s="1"/>
  <c r="H59" i="10" s="1"/>
  <c r="BI56" i="10"/>
  <c r="BL56" i="10" s="1"/>
  <c r="BM56" i="10" s="1"/>
  <c r="BN56" i="10" s="1"/>
  <c r="BA56" i="10"/>
  <c r="BD56" i="10" s="1"/>
  <c r="BE56" i="10" s="1"/>
  <c r="BF56" i="10" s="1"/>
  <c r="AE13" i="10"/>
  <c r="AF13" i="10" s="1"/>
  <c r="BJ13" i="10" s="1"/>
  <c r="S12" i="10"/>
  <c r="Z12" i="10" s="1"/>
  <c r="S19" i="10"/>
  <c r="T11" i="10"/>
  <c r="AY11" i="10" s="1"/>
  <c r="AE19" i="10"/>
  <c r="AF19" i="10" s="1"/>
  <c r="BJ19" i="10" s="1"/>
  <c r="S13" i="10"/>
  <c r="Y13" i="10" s="1"/>
  <c r="BD13" i="10" s="1"/>
  <c r="BI54" i="10"/>
  <c r="BL54" i="10" s="1"/>
  <c r="BM54" i="10" s="1"/>
  <c r="BN54" i="10" s="1"/>
  <c r="Q53" i="10"/>
  <c r="E51" i="10" s="1"/>
  <c r="AE10" i="10"/>
  <c r="AF10" i="10" s="1"/>
  <c r="BJ10" i="10" s="1"/>
  <c r="S17" i="10"/>
  <c r="Z17" i="10" s="1"/>
  <c r="D43" i="1"/>
  <c r="D38" i="1"/>
  <c r="D37" i="1"/>
  <c r="N37" i="1" s="1"/>
  <c r="D36" i="1"/>
  <c r="D39" i="1"/>
  <c r="N39" i="1" s="1"/>
  <c r="D42" i="1"/>
  <c r="N42" i="1" s="1"/>
  <c r="D41" i="1"/>
  <c r="N41" i="1" s="1"/>
  <c r="D40" i="1"/>
  <c r="N40" i="1" s="1"/>
  <c r="CA43" i="1"/>
  <c r="BP101" i="42" s="1"/>
  <c r="CA40" i="1"/>
  <c r="CA42" i="1"/>
  <c r="CA39" i="1"/>
  <c r="CA36" i="1"/>
  <c r="CA44" i="1" s="1"/>
  <c r="BP17" i="42" s="1"/>
  <c r="CA41" i="1"/>
  <c r="CA38" i="1"/>
  <c r="CA37" i="1"/>
  <c r="L40" i="1"/>
  <c r="L37" i="1"/>
  <c r="L36" i="1"/>
  <c r="L44" i="1" s="1"/>
  <c r="L43" i="1"/>
  <c r="AG101" i="42" s="1"/>
  <c r="L41" i="1"/>
  <c r="L38" i="1"/>
  <c r="L42" i="1"/>
  <c r="L39" i="1"/>
  <c r="AV41" i="1"/>
  <c r="AV40" i="1"/>
  <c r="AV36" i="1"/>
  <c r="AV34" i="1"/>
  <c r="AV39" i="1"/>
  <c r="AV35" i="1"/>
  <c r="AV37" i="1"/>
  <c r="AV38" i="1"/>
  <c r="CC41" i="1"/>
  <c r="CC37" i="1"/>
  <c r="CC43" i="1"/>
  <c r="BQ101" i="42" s="1"/>
  <c r="CC36" i="1"/>
  <c r="CC40" i="1"/>
  <c r="CC38" i="1"/>
  <c r="CC39" i="1"/>
  <c r="CC42" i="1"/>
  <c r="BY43" i="1"/>
  <c r="BY39" i="1"/>
  <c r="BY37" i="1"/>
  <c r="BY41" i="1"/>
  <c r="BY36" i="1"/>
  <c r="BY44" i="1" s="1"/>
  <c r="BY40" i="1"/>
  <c r="BY42" i="1"/>
  <c r="BY38" i="1"/>
  <c r="AK41" i="1"/>
  <c r="AK42" i="1"/>
  <c r="AK43" i="1"/>
  <c r="AW101" i="42" s="1"/>
  <c r="AK36" i="1"/>
  <c r="AK44" i="1" s="1"/>
  <c r="AK37" i="1"/>
  <c r="AK38" i="1"/>
  <c r="AK40" i="1"/>
  <c r="AK39" i="1"/>
  <c r="AI36" i="1"/>
  <c r="AI39" i="1"/>
  <c r="AM39" i="1" s="1"/>
  <c r="AI42" i="1"/>
  <c r="AM42" i="1" s="1"/>
  <c r="AI41" i="1"/>
  <c r="AM41" i="1" s="1"/>
  <c r="AI37" i="1"/>
  <c r="AM37" i="1" s="1"/>
  <c r="AI38" i="1"/>
  <c r="AI43" i="1"/>
  <c r="AI40" i="1"/>
  <c r="AM40" i="1" s="1"/>
  <c r="AN11" i="10"/>
  <c r="BP11" i="10" s="1"/>
  <c r="BD11" i="10"/>
  <c r="BE100" i="42"/>
  <c r="BW99" i="1"/>
  <c r="N434" i="1"/>
  <c r="AJ15" i="42" s="1"/>
  <c r="N438" i="1"/>
  <c r="N439" i="1"/>
  <c r="N440" i="1"/>
  <c r="N442" i="1"/>
  <c r="L61" i="1"/>
  <c r="L68" i="1" s="1"/>
  <c r="L88" i="1" s="1"/>
  <c r="L59" i="1"/>
  <c r="L66" i="1" s="1"/>
  <c r="L86" i="1" s="1"/>
  <c r="L58" i="1"/>
  <c r="L65" i="1" s="1"/>
  <c r="L85" i="1" s="1"/>
  <c r="L57" i="1"/>
  <c r="L55" i="1"/>
  <c r="L60" i="1"/>
  <c r="L67" i="1" s="1"/>
  <c r="L87" i="1" s="1"/>
  <c r="L62" i="1"/>
  <c r="L51" i="1"/>
  <c r="AG19" i="42" s="1"/>
  <c r="L53" i="1"/>
  <c r="L56" i="1"/>
  <c r="L52" i="1"/>
  <c r="AG20" i="42" s="1"/>
  <c r="L54" i="1"/>
  <c r="CC438" i="1"/>
  <c r="CC345" i="1"/>
  <c r="CC344" i="1" s="1"/>
  <c r="BQ74" i="42" s="1"/>
  <c r="CC347" i="1"/>
  <c r="BO54" i="4" s="1"/>
  <c r="CC439" i="1"/>
  <c r="CC342" i="1"/>
  <c r="CC341" i="1"/>
  <c r="BQ94" i="42"/>
  <c r="C152" i="38"/>
  <c r="Q20" i="42"/>
  <c r="D13" i="1"/>
  <c r="D24" i="1"/>
  <c r="Y14" i="42"/>
  <c r="AM55" i="1"/>
  <c r="AM61" i="1"/>
  <c r="AM68" i="1" s="1"/>
  <c r="AM88" i="1" s="1"/>
  <c r="AM58" i="1"/>
  <c r="AM65" i="1" s="1"/>
  <c r="AM85" i="1" s="1"/>
  <c r="AM59" i="1"/>
  <c r="AM66" i="1" s="1"/>
  <c r="AM86" i="1" s="1"/>
  <c r="AM57" i="1"/>
  <c r="AM60" i="1"/>
  <c r="AM67" i="1" s="1"/>
  <c r="AM87" i="1" s="1"/>
  <c r="AM62" i="1"/>
  <c r="AM54" i="1"/>
  <c r="AM51" i="1"/>
  <c r="AX19" i="42" s="1"/>
  <c r="AM53" i="1"/>
  <c r="AM52" i="1"/>
  <c r="AX20" i="42" s="1"/>
  <c r="AM56" i="1"/>
  <c r="AN13" i="10"/>
  <c r="BP13" i="10" s="1"/>
  <c r="BE58" i="10"/>
  <c r="BF58" i="10" s="1"/>
  <c r="L442" i="1"/>
  <c r="L443" i="1"/>
  <c r="L463" i="1" s="1"/>
  <c r="L473" i="1" s="1"/>
  <c r="L438" i="1"/>
  <c r="L439" i="1"/>
  <c r="L440" i="1"/>
  <c r="L441" i="1"/>
  <c r="BI17" i="10"/>
  <c r="AG17" i="10"/>
  <c r="AH17" i="10" s="1"/>
  <c r="BK17" i="10" s="1"/>
  <c r="BI100" i="42"/>
  <c r="AI398" i="1"/>
  <c r="AI13" i="1"/>
  <c r="AI24" i="1"/>
  <c r="AI395" i="1"/>
  <c r="AV72" i="42" s="1"/>
  <c r="AI397" i="1"/>
  <c r="AV14" i="42"/>
  <c r="AG470" i="1"/>
  <c r="AG450" i="1"/>
  <c r="AG482" i="1"/>
  <c r="AG451" i="1"/>
  <c r="AG462" i="1"/>
  <c r="AG459" i="1"/>
  <c r="AG458" i="1"/>
  <c r="AG461" i="1"/>
  <c r="AG460" i="1"/>
  <c r="BY345" i="1"/>
  <c r="BN52" i="4" s="1"/>
  <c r="BY438" i="1"/>
  <c r="BY347" i="1"/>
  <c r="BY439" i="1"/>
  <c r="BY342" i="1"/>
  <c r="BY341" i="1"/>
  <c r="CA342" i="1"/>
  <c r="CA341" i="1"/>
  <c r="BO94" i="42"/>
  <c r="AK58" i="1"/>
  <c r="AK65" i="1" s="1"/>
  <c r="AK85" i="1" s="1"/>
  <c r="AK59" i="1"/>
  <c r="AK66" i="1" s="1"/>
  <c r="AK86" i="1" s="1"/>
  <c r="AK57" i="1"/>
  <c r="AK60" i="1"/>
  <c r="AK67" i="1" s="1"/>
  <c r="AK87" i="1" s="1"/>
  <c r="AK61" i="1"/>
  <c r="AK68" i="1" s="1"/>
  <c r="AK88" i="1" s="1"/>
  <c r="AK55" i="1"/>
  <c r="AK62" i="1"/>
  <c r="AK56" i="1"/>
  <c r="AK53" i="1"/>
  <c r="AK52" i="1"/>
  <c r="AW20" i="42" s="1"/>
  <c r="AK51" i="1"/>
  <c r="AW19" i="42" s="1"/>
  <c r="AK54" i="1"/>
  <c r="H383" i="1"/>
  <c r="AC16" i="42"/>
  <c r="H380" i="1"/>
  <c r="H381" i="1" s="1"/>
  <c r="EN10" i="4" s="1"/>
  <c r="AG51" i="1" a="1"/>
  <c r="T439" i="1"/>
  <c r="T442" i="1"/>
  <c r="T441" i="1"/>
  <c r="T440" i="1"/>
  <c r="T438" i="1"/>
  <c r="AI452" i="1"/>
  <c r="AI435" i="1"/>
  <c r="AI448" i="1" s="1"/>
  <c r="BK100" i="42"/>
  <c r="N24" i="1"/>
  <c r="N13" i="1"/>
  <c r="S41" i="23"/>
  <c r="B47" i="23" s="1"/>
  <c r="AI14" i="42"/>
  <c r="BU336" i="1"/>
  <c r="BU339" i="1" s="1"/>
  <c r="BU99" i="1"/>
  <c r="BM58" i="10"/>
  <c r="BN58" i="10" s="1"/>
  <c r="I66" i="33"/>
  <c r="I67" i="33" s="1"/>
  <c r="AN20" i="10"/>
  <c r="BP20" i="10" s="1"/>
  <c r="J438" i="1"/>
  <c r="J441" i="1"/>
  <c r="J440" i="1"/>
  <c r="J442" i="1"/>
  <c r="J439" i="1"/>
  <c r="J443" i="1"/>
  <c r="J463" i="1" s="1"/>
  <c r="J473" i="1" s="1"/>
  <c r="AE452" i="1"/>
  <c r="AE435" i="1"/>
  <c r="AE448" i="1" s="1"/>
  <c r="BD100" i="42"/>
  <c r="N379" i="1"/>
  <c r="J379" i="1"/>
  <c r="X379" i="1"/>
  <c r="F379" i="1"/>
  <c r="T379" i="1"/>
  <c r="D379" i="1"/>
  <c r="R379" i="1"/>
  <c r="V379" i="1"/>
  <c r="P379" i="1"/>
  <c r="L379" i="1"/>
  <c r="C44" i="38"/>
  <c r="CJ231" i="1"/>
  <c r="EN32" i="4"/>
  <c r="EN34" i="4"/>
  <c r="EN35" i="4"/>
  <c r="EN38" i="4"/>
  <c r="EN31" i="4"/>
  <c r="AO58" i="10"/>
  <c r="F66" i="33"/>
  <c r="F67" i="33" s="1"/>
  <c r="R442" i="1"/>
  <c r="BI20" i="10"/>
  <c r="BN16" i="42"/>
  <c r="C74" i="38"/>
  <c r="BU411" i="1"/>
  <c r="BM16" i="42"/>
  <c r="BW411" i="1"/>
  <c r="BO16" i="42"/>
  <c r="CA411" i="1"/>
  <c r="BR16" i="42"/>
  <c r="BY411" i="1"/>
  <c r="BP16" i="42"/>
  <c r="CC411" i="1"/>
  <c r="BQ16" i="42"/>
  <c r="D66" i="33"/>
  <c r="D67" i="33" s="1"/>
  <c r="D439" i="1"/>
  <c r="D441" i="1"/>
  <c r="D438" i="1"/>
  <c r="D440" i="1"/>
  <c r="D442" i="1"/>
  <c r="V441" i="1"/>
  <c r="V442" i="1"/>
  <c r="V434" i="1"/>
  <c r="AQ15" i="42" s="1"/>
  <c r="V440" i="1"/>
  <c r="V438" i="1"/>
  <c r="V439" i="1"/>
  <c r="CA438" i="1"/>
  <c r="CA345" i="1"/>
  <c r="CA344" i="1" s="1"/>
  <c r="BP74" i="42" s="1"/>
  <c r="CA347" i="1"/>
  <c r="BO53" i="4" s="1"/>
  <c r="CA439" i="1"/>
  <c r="BP94" i="42"/>
  <c r="AE26" i="30"/>
  <c r="AL59" i="10"/>
  <c r="AM59" i="10" s="1"/>
  <c r="AE63" i="10"/>
  <c r="AE64" i="10" s="1"/>
  <c r="AE66" i="10" s="1"/>
  <c r="BK62" i="10"/>
  <c r="BK63" i="10" s="1"/>
  <c r="BO63" i="10"/>
  <c r="Z22" i="10"/>
  <c r="Z13" i="10"/>
  <c r="Z19" i="10"/>
  <c r="Z21" i="10"/>
  <c r="Z15" i="10"/>
  <c r="Z20" i="10"/>
  <c r="Z14" i="10"/>
  <c r="Z11" i="10"/>
  <c r="Z16" i="10"/>
  <c r="Z8" i="10"/>
  <c r="AL54" i="10"/>
  <c r="AM54" i="10" s="1"/>
  <c r="AT61" i="10"/>
  <c r="AU62" i="10"/>
  <c r="AU63" i="10" s="1"/>
  <c r="AU65" i="10"/>
  <c r="AU66" i="10" s="1"/>
  <c r="AV61" i="10"/>
  <c r="AW61" i="10" s="1"/>
  <c r="AX61" i="10" s="1"/>
  <c r="BL61" i="10"/>
  <c r="BM61" i="10" s="1"/>
  <c r="BN61" i="10" s="1"/>
  <c r="AC56" i="10"/>
  <c r="AF56" i="10" s="1"/>
  <c r="AG56" i="10" s="1"/>
  <c r="T16" i="10"/>
  <c r="AY16" i="10" s="1"/>
  <c r="AX16" i="10"/>
  <c r="U16" i="10"/>
  <c r="W16" i="10"/>
  <c r="BB16" i="10" s="1"/>
  <c r="U21" i="10"/>
  <c r="AN59" i="10"/>
  <c r="AO59" i="10" s="1"/>
  <c r="AN54" i="10"/>
  <c r="AO54" i="10" s="1"/>
  <c r="AC58" i="10"/>
  <c r="AF58" i="10" s="1"/>
  <c r="W61" i="10"/>
  <c r="X61" i="10" s="1"/>
  <c r="Y61" i="10" s="1"/>
  <c r="W11" i="10"/>
  <c r="BB11" i="10" s="1"/>
  <c r="U11" i="10"/>
  <c r="AX11" i="10"/>
  <c r="AL56" i="10"/>
  <c r="AM56" i="10" s="1"/>
  <c r="AL55" i="10"/>
  <c r="AM55" i="10" s="1"/>
  <c r="AL57" i="10"/>
  <c r="AM57" i="10" s="1"/>
  <c r="AP57" i="10" s="1"/>
  <c r="X9" i="10"/>
  <c r="BC9" i="10" s="1"/>
  <c r="BD61" i="10"/>
  <c r="BE61" i="10" s="1"/>
  <c r="BF61" i="10" s="1"/>
  <c r="C65" i="10"/>
  <c r="E65" i="10"/>
  <c r="AC54" i="10"/>
  <c r="AX13" i="10"/>
  <c r="E63" i="10"/>
  <c r="T13" i="10"/>
  <c r="AY13" i="10" s="1"/>
  <c r="AC55" i="10"/>
  <c r="AF55" i="10" s="1"/>
  <c r="AG55" i="10" s="1"/>
  <c r="AC57" i="10"/>
  <c r="AE57" i="10" s="1"/>
  <c r="AL58" i="10"/>
  <c r="AM58" i="10" s="1"/>
  <c r="AM62" i="10"/>
  <c r="AM63" i="10" s="1"/>
  <c r="AM64" i="10" s="1"/>
  <c r="AM66" i="10" s="1"/>
  <c r="AL61" i="10"/>
  <c r="AN61" i="10"/>
  <c r="AO61" i="10" s="1"/>
  <c r="AN56" i="10"/>
  <c r="AO56" i="10" s="1"/>
  <c r="E64" i="10"/>
  <c r="T22" i="10"/>
  <c r="AY22" i="10" s="1"/>
  <c r="AC59" i="10"/>
  <c r="AF59" i="10" s="1"/>
  <c r="AG59" i="10" s="1"/>
  <c r="W20" i="10"/>
  <c r="BB20" i="10" s="1"/>
  <c r="BN133" i="1"/>
  <c r="BN132" i="1"/>
  <c r="BN129" i="1"/>
  <c r="BN134" i="1"/>
  <c r="BN135" i="1"/>
  <c r="BN131" i="1"/>
  <c r="BN138" i="1"/>
  <c r="BN139" i="1" s="1"/>
  <c r="BN130" i="1"/>
  <c r="BN105" i="1"/>
  <c r="BN106" i="1"/>
  <c r="BN112" i="1"/>
  <c r="BN113" i="1" s="1"/>
  <c r="BN104" i="1"/>
  <c r="BN107" i="1"/>
  <c r="BN108" i="1"/>
  <c r="BN109" i="1"/>
  <c r="BL108" i="42"/>
  <c r="BN361" i="1"/>
  <c r="GR48" i="4"/>
  <c r="DA48" i="4"/>
  <c r="CO48" i="4"/>
  <c r="L105" i="19"/>
  <c r="BN190" i="1"/>
  <c r="BN191" i="1" s="1"/>
  <c r="BN185" i="1"/>
  <c r="BN187" i="1"/>
  <c r="BN186" i="1"/>
  <c r="BN181" i="1"/>
  <c r="BN183" i="1"/>
  <c r="BN182" i="1"/>
  <c r="BN184" i="1"/>
  <c r="BN164" i="1"/>
  <c r="BN165" i="1" s="1"/>
  <c r="BN158" i="1"/>
  <c r="BN159" i="1"/>
  <c r="BN161" i="1"/>
  <c r="BN160" i="1"/>
  <c r="BN156" i="1"/>
  <c r="BN157" i="1"/>
  <c r="BL53" i="4"/>
  <c r="V34" i="4"/>
  <c r="BU36" i="1" a="1"/>
  <c r="BL52" i="4"/>
  <c r="AG36" i="1" a="1"/>
  <c r="V14" i="4"/>
  <c r="BH54" i="4"/>
  <c r="AE36" i="1" a="1"/>
  <c r="L37" i="4"/>
  <c r="BJ52" i="4"/>
  <c r="BJ54" i="4"/>
  <c r="V38" i="4"/>
  <c r="AE37" i="4"/>
  <c r="F36" i="1" a="1"/>
  <c r="H36" i="1" a="1"/>
  <c r="BL54" i="4"/>
  <c r="BJ53" i="4"/>
  <c r="BL56" i="4"/>
  <c r="BH53" i="4"/>
  <c r="BH52" i="4"/>
  <c r="BW36" i="1" a="1"/>
  <c r="H438" i="1" l="1"/>
  <c r="AH61" i="10"/>
  <c r="EN29" i="4"/>
  <c r="E82" i="42"/>
  <c r="F441" i="1"/>
  <c r="F439" i="1"/>
  <c r="R440" i="1"/>
  <c r="F440" i="1"/>
  <c r="P438" i="1"/>
  <c r="R439" i="1"/>
  <c r="F442" i="1"/>
  <c r="AB15" i="42"/>
  <c r="R441" i="1"/>
  <c r="AP55" i="10"/>
  <c r="R438" i="1"/>
  <c r="F443" i="1"/>
  <c r="F463" i="1" s="1"/>
  <c r="F473" i="1" s="1"/>
  <c r="F438" i="1"/>
  <c r="AF15" i="42"/>
  <c r="P441" i="1"/>
  <c r="P440" i="1"/>
  <c r="T13" i="4"/>
  <c r="AD15" i="42"/>
  <c r="P442" i="1"/>
  <c r="T9" i="4"/>
  <c r="BY46" i="1"/>
  <c r="BY45" i="1" s="1"/>
  <c r="CA46" i="1"/>
  <c r="CA45" i="1" s="1"/>
  <c r="P439" i="1"/>
  <c r="H434" i="1"/>
  <c r="AX85" i="1"/>
  <c r="AX88" i="1" s="1"/>
  <c r="AX86" i="1"/>
  <c r="AX87" i="1"/>
  <c r="R435" i="1"/>
  <c r="R443" i="1" s="1"/>
  <c r="R463" i="1" s="1"/>
  <c r="R473" i="1" s="1"/>
  <c r="AM15" i="42"/>
  <c r="T17" i="4"/>
  <c r="D435" i="1"/>
  <c r="D443" i="1" s="1"/>
  <c r="D463" i="1" s="1"/>
  <c r="D473" i="1" s="1"/>
  <c r="Z15" i="42"/>
  <c r="T7" i="4"/>
  <c r="T435" i="1"/>
  <c r="T443" i="1" s="1"/>
  <c r="T463" i="1" s="1"/>
  <c r="T473" i="1" s="1"/>
  <c r="T19" i="4"/>
  <c r="AO15" i="42"/>
  <c r="AG18" i="10"/>
  <c r="AH18" i="10" s="1"/>
  <c r="BK18" i="10" s="1"/>
  <c r="V15" i="10"/>
  <c r="AZ15" i="10" s="1"/>
  <c r="E62" i="10"/>
  <c r="BI11" i="10"/>
  <c r="AG22" i="10"/>
  <c r="AH22" i="10" s="1"/>
  <c r="BK22" i="10" s="1"/>
  <c r="AE54" i="10"/>
  <c r="AG14" i="10"/>
  <c r="AH14" i="10" s="1"/>
  <c r="BK14" i="10" s="1"/>
  <c r="U20" i="10"/>
  <c r="BA20" i="10" s="1"/>
  <c r="T60" i="10"/>
  <c r="BD7" i="1"/>
  <c r="BD52" i="1" s="1"/>
  <c r="BI18" i="10"/>
  <c r="AG16" i="10"/>
  <c r="AH16" i="10" s="1"/>
  <c r="BK16" i="10" s="1"/>
  <c r="AX22" i="10"/>
  <c r="AG20" i="10"/>
  <c r="AH20" i="10" s="1"/>
  <c r="BK20" i="10" s="1"/>
  <c r="T21" i="10"/>
  <c r="AY21" i="10" s="1"/>
  <c r="BI15" i="10"/>
  <c r="W21" i="10"/>
  <c r="BB21" i="10" s="1"/>
  <c r="AG15" i="10"/>
  <c r="AH15" i="10" s="1"/>
  <c r="BK15" i="10" s="1"/>
  <c r="U22" i="10"/>
  <c r="V22" i="10" s="1"/>
  <c r="AZ22" i="10" s="1"/>
  <c r="BI12" i="10"/>
  <c r="Y22" i="10"/>
  <c r="BD22" i="10" s="1"/>
  <c r="AG19" i="10"/>
  <c r="AH19" i="10" s="1"/>
  <c r="BK19" i="10" s="1"/>
  <c r="AX21" i="10"/>
  <c r="AG12" i="10"/>
  <c r="AH12" i="10" s="1"/>
  <c r="BK12" i="10" s="1"/>
  <c r="BI19" i="10"/>
  <c r="W22" i="10"/>
  <c r="BB22" i="10" s="1"/>
  <c r="AG21" i="10"/>
  <c r="AH21" i="10" s="1"/>
  <c r="BK21" i="10" s="1"/>
  <c r="N14" i="1"/>
  <c r="N15" i="1" s="1"/>
  <c r="X434" i="1"/>
  <c r="AS15" i="42" s="1"/>
  <c r="BI21" i="10"/>
  <c r="X439" i="1"/>
  <c r="X445" i="1" s="1"/>
  <c r="H441" i="1"/>
  <c r="X440" i="1"/>
  <c r="H439" i="1"/>
  <c r="X438" i="1"/>
  <c r="X456" i="1" s="1"/>
  <c r="H442" i="1"/>
  <c r="AP58" i="10"/>
  <c r="AG11" i="10"/>
  <c r="AH11" i="10" s="1"/>
  <c r="BK11" i="10" s="1"/>
  <c r="X442" i="1"/>
  <c r="Y12" i="10"/>
  <c r="BD12" i="10" s="1"/>
  <c r="T12" i="10"/>
  <c r="AY12" i="10" s="1"/>
  <c r="AX12" i="10"/>
  <c r="W12" i="10"/>
  <c r="BB12" i="10" s="1"/>
  <c r="U12" i="10"/>
  <c r="BI14" i="10"/>
  <c r="BI16" i="10"/>
  <c r="AG10" i="10"/>
  <c r="AH10" i="10" s="1"/>
  <c r="BK10" i="10" s="1"/>
  <c r="BI13" i="10"/>
  <c r="Y14" i="10"/>
  <c r="BD14" i="10" s="1"/>
  <c r="W14" i="10"/>
  <c r="BB14" i="10" s="1"/>
  <c r="T14" i="10"/>
  <c r="AY14" i="10" s="1"/>
  <c r="U14" i="10"/>
  <c r="AX14" i="10"/>
  <c r="BI10" i="10"/>
  <c r="W13" i="10"/>
  <c r="BB13" i="10" s="1"/>
  <c r="BI22" i="10"/>
  <c r="AG13" i="10"/>
  <c r="AH13" i="10" s="1"/>
  <c r="BK13" i="10" s="1"/>
  <c r="Y18" i="10"/>
  <c r="BD18" i="10" s="1"/>
  <c r="AX18" i="10"/>
  <c r="U18" i="10"/>
  <c r="T18" i="10"/>
  <c r="AY18" i="10" s="1"/>
  <c r="W18" i="10"/>
  <c r="BB18" i="10" s="1"/>
  <c r="Y10" i="10"/>
  <c r="BD10" i="10" s="1"/>
  <c r="T10" i="10"/>
  <c r="AY10" i="10" s="1"/>
  <c r="U10" i="10"/>
  <c r="S9" i="10"/>
  <c r="AX10" i="10"/>
  <c r="W10" i="10"/>
  <c r="BB10" i="10" s="1"/>
  <c r="AE9" i="10"/>
  <c r="BI9" i="10" s="1"/>
  <c r="U13" i="10"/>
  <c r="V13" i="10" s="1"/>
  <c r="AZ13" i="10" s="1"/>
  <c r="Z9" i="10"/>
  <c r="BE9" i="10" s="1"/>
  <c r="AK60" i="10"/>
  <c r="AL60" i="10" s="1"/>
  <c r="AQ63" i="10" s="1"/>
  <c r="Y17" i="10"/>
  <c r="BD17" i="10" s="1"/>
  <c r="W17" i="10"/>
  <c r="BB17" i="10" s="1"/>
  <c r="AX17" i="10"/>
  <c r="T17" i="10"/>
  <c r="AY17" i="10" s="1"/>
  <c r="U17" i="10"/>
  <c r="Y19" i="10"/>
  <c r="BD19" i="10" s="1"/>
  <c r="W19" i="10"/>
  <c r="BB19" i="10" s="1"/>
  <c r="U19" i="10"/>
  <c r="AX19" i="10"/>
  <c r="T19" i="10"/>
  <c r="AY19" i="10" s="1"/>
  <c r="Y20" i="10"/>
  <c r="BD20" i="10" s="1"/>
  <c r="T20" i="10"/>
  <c r="AY20" i="10" s="1"/>
  <c r="AG38" i="1"/>
  <c r="AG42" i="1"/>
  <c r="AG37" i="1"/>
  <c r="AG40" i="1"/>
  <c r="AG43" i="1"/>
  <c r="AU101" i="42" s="1"/>
  <c r="AG39" i="1"/>
  <c r="AG36" i="1"/>
  <c r="AG44" i="1" s="1"/>
  <c r="AG41" i="1"/>
  <c r="H40" i="1"/>
  <c r="H39" i="1"/>
  <c r="H42" i="1"/>
  <c r="H38" i="1"/>
  <c r="H41" i="1"/>
  <c r="H43" i="1"/>
  <c r="AC101" i="42" s="1"/>
  <c r="H36" i="1"/>
  <c r="H44" i="1" s="1"/>
  <c r="AC17" i="42" s="1"/>
  <c r="H37" i="1"/>
  <c r="BW40" i="1"/>
  <c r="BW43" i="1"/>
  <c r="BN101" i="42" s="1"/>
  <c r="BW36" i="1"/>
  <c r="BW37" i="1"/>
  <c r="BW41" i="1"/>
  <c r="BW38" i="1"/>
  <c r="BW39" i="1"/>
  <c r="BW42" i="1"/>
  <c r="F39" i="1"/>
  <c r="F41" i="1"/>
  <c r="F40" i="1"/>
  <c r="F43" i="1"/>
  <c r="F42" i="1"/>
  <c r="F36" i="1"/>
  <c r="F37" i="1"/>
  <c r="F38" i="1"/>
  <c r="AE39" i="1"/>
  <c r="AE38" i="1"/>
  <c r="AE43" i="1"/>
  <c r="AT101" i="42" s="1"/>
  <c r="AE37" i="1"/>
  <c r="AE42" i="1"/>
  <c r="AE36" i="1"/>
  <c r="AE44" i="1" s="1"/>
  <c r="AE40" i="1"/>
  <c r="AE41" i="1"/>
  <c r="BU40" i="1"/>
  <c r="BU36" i="1"/>
  <c r="BU44" i="1" s="1"/>
  <c r="BM17" i="42" s="1"/>
  <c r="BU39" i="1"/>
  <c r="BU43" i="1"/>
  <c r="BM101" i="42" s="1"/>
  <c r="BU38" i="1"/>
  <c r="BU42" i="1"/>
  <c r="BU37" i="1"/>
  <c r="BU41" i="1"/>
  <c r="AG58" i="10"/>
  <c r="E66" i="33"/>
  <c r="E67" i="33" s="1"/>
  <c r="R383" i="1"/>
  <c r="AL16" i="42"/>
  <c r="R380" i="1"/>
  <c r="R381" i="1" s="1"/>
  <c r="R384" i="1" s="1"/>
  <c r="AG59" i="1"/>
  <c r="AG66" i="1" s="1"/>
  <c r="AG86" i="1" s="1"/>
  <c r="AG55" i="1"/>
  <c r="AG60" i="1"/>
  <c r="AG67" i="1" s="1"/>
  <c r="AG87" i="1" s="1"/>
  <c r="AG61" i="1"/>
  <c r="AG68" i="1" s="1"/>
  <c r="AG88" i="1" s="1"/>
  <c r="AG58" i="1"/>
  <c r="AG65" i="1" s="1"/>
  <c r="AG85" i="1" s="1"/>
  <c r="AG57" i="1"/>
  <c r="AG62" i="1"/>
  <c r="AG52" i="1"/>
  <c r="AU20" i="42" s="1"/>
  <c r="AG53" i="1"/>
  <c r="AG54" i="1"/>
  <c r="AG56" i="1"/>
  <c r="AG51" i="1"/>
  <c r="AU19" i="42" s="1"/>
  <c r="AC6" i="30"/>
  <c r="BA22" i="42"/>
  <c r="BA99" i="42" s="1"/>
  <c r="AC7" i="30"/>
  <c r="AC4" i="30"/>
  <c r="AC5" i="30"/>
  <c r="AC8" i="30"/>
  <c r="AC9" i="30"/>
  <c r="L436" i="1"/>
  <c r="L437" i="1"/>
  <c r="L456" i="1"/>
  <c r="L701" i="1" s="1"/>
  <c r="L445" i="1"/>
  <c r="L444" i="1"/>
  <c r="L448" i="1"/>
  <c r="L446" i="1"/>
  <c r="L447" i="1"/>
  <c r="AG18" i="42"/>
  <c r="N435" i="1"/>
  <c r="N443" i="1" s="1"/>
  <c r="N463" i="1" s="1"/>
  <c r="N473" i="1" s="1"/>
  <c r="T21" i="4"/>
  <c r="X436" i="1"/>
  <c r="AX436" i="1"/>
  <c r="BB38" i="1"/>
  <c r="BH38" i="1"/>
  <c r="AZ38" i="1"/>
  <c r="BF38" i="1"/>
  <c r="BJ38" i="1"/>
  <c r="AX38" i="1"/>
  <c r="BL38" i="1"/>
  <c r="BD38" i="1"/>
  <c r="R436" i="1"/>
  <c r="R456" i="1"/>
  <c r="R445" i="1"/>
  <c r="R447" i="1"/>
  <c r="Y16" i="42"/>
  <c r="D380" i="1"/>
  <c r="D381" i="1" s="1"/>
  <c r="D384" i="1" s="1"/>
  <c r="D383" i="1"/>
  <c r="T436" i="1"/>
  <c r="T456" i="1"/>
  <c r="T448" i="1"/>
  <c r="T444" i="1"/>
  <c r="T446" i="1"/>
  <c r="T445" i="1"/>
  <c r="T447" i="1"/>
  <c r="BY343" i="1"/>
  <c r="BO77" i="42"/>
  <c r="AG619" i="1"/>
  <c r="AG617" i="1"/>
  <c r="AG620" i="1"/>
  <c r="AG618" i="1"/>
  <c r="AG616" i="1"/>
  <c r="AG621" i="1"/>
  <c r="CC346" i="1"/>
  <c r="BQ75" i="42" s="1"/>
  <c r="AV101" i="42"/>
  <c r="AM43" i="1"/>
  <c r="AX101" i="42" s="1"/>
  <c r="BB37" i="1"/>
  <c r="AX37" i="1"/>
  <c r="BL37" i="1"/>
  <c r="BF37" i="1"/>
  <c r="BJ37" i="1"/>
  <c r="BH37" i="1"/>
  <c r="AZ37" i="1"/>
  <c r="BD37" i="1"/>
  <c r="AX437" i="1"/>
  <c r="V71" i="10"/>
  <c r="K59" i="10" s="1"/>
  <c r="H61" i="38" s="1"/>
  <c r="CA346" i="1"/>
  <c r="BP75" i="42" s="1"/>
  <c r="AE55" i="10"/>
  <c r="AH55" i="10" s="1"/>
  <c r="CJ232" i="1"/>
  <c r="CJ233" i="1" s="1"/>
  <c r="CJ235" i="1"/>
  <c r="BS16" i="42"/>
  <c r="T380" i="1"/>
  <c r="T381" i="1" s="1"/>
  <c r="AN16" i="42"/>
  <c r="T383" i="1"/>
  <c r="BY440" i="1"/>
  <c r="BY441" i="1" s="1"/>
  <c r="BO73" i="42" s="1"/>
  <c r="BO88" i="42"/>
  <c r="AE59" i="10"/>
  <c r="AH59" i="10" s="1"/>
  <c r="AM38" i="1"/>
  <c r="AK46" i="1"/>
  <c r="AK45" i="1" s="1"/>
  <c r="AX434" i="1" s="1"/>
  <c r="BJ35" i="1"/>
  <c r="BF35" i="1"/>
  <c r="AZ35" i="1"/>
  <c r="BD35" i="1"/>
  <c r="BL35" i="1"/>
  <c r="BB35" i="1"/>
  <c r="AX35" i="1"/>
  <c r="BH35" i="1"/>
  <c r="L46" i="1"/>
  <c r="L45" i="1" s="1"/>
  <c r="AX422" i="1" s="1"/>
  <c r="CA440" i="1"/>
  <c r="CA441" i="1" s="1"/>
  <c r="BP73" i="42" s="1"/>
  <c r="BP88" i="42"/>
  <c r="F383" i="1"/>
  <c r="AA16" i="42"/>
  <c r="Q18" i="42" s="1"/>
  <c r="O80" i="42" s="1"/>
  <c r="F380" i="1"/>
  <c r="F381" i="1" s="1"/>
  <c r="F384" i="1" s="1"/>
  <c r="D48" i="23"/>
  <c r="D47" i="23"/>
  <c r="U41" i="23"/>
  <c r="EZ10" i="4"/>
  <c r="AC72" i="42"/>
  <c r="BY348" i="1"/>
  <c r="BO52" i="4"/>
  <c r="AI14" i="1"/>
  <c r="AI15" i="1" s="1"/>
  <c r="D14" i="1"/>
  <c r="D15" i="1" s="1"/>
  <c r="CC343" i="1"/>
  <c r="BQ77" i="42"/>
  <c r="AE56" i="10"/>
  <c r="AH56" i="10" s="1"/>
  <c r="BO17" i="42"/>
  <c r="BR17" i="42"/>
  <c r="AZ39" i="1"/>
  <c r="AX39" i="1"/>
  <c r="AX93" i="1" s="1"/>
  <c r="BF39" i="1"/>
  <c r="BB39" i="1"/>
  <c r="BJ39" i="1"/>
  <c r="BL39" i="1"/>
  <c r="BL93" i="1" s="1"/>
  <c r="BH39" i="1"/>
  <c r="BH93" i="1" s="1"/>
  <c r="BD39" i="1"/>
  <c r="V456" i="1"/>
  <c r="V436" i="1"/>
  <c r="V446" i="1"/>
  <c r="V448" i="1"/>
  <c r="V445" i="1"/>
  <c r="V444" i="1"/>
  <c r="V447" i="1"/>
  <c r="D456" i="1"/>
  <c r="D436" i="1"/>
  <c r="D437" i="1"/>
  <c r="D448" i="1"/>
  <c r="D444" i="1"/>
  <c r="D445" i="1"/>
  <c r="D447" i="1"/>
  <c r="D446" i="1"/>
  <c r="X383" i="1"/>
  <c r="X380" i="1"/>
  <c r="X381" i="1" s="1"/>
  <c r="X384" i="1" s="1"/>
  <c r="AR16" i="42"/>
  <c r="J456" i="1"/>
  <c r="J436" i="1"/>
  <c r="J437" i="1"/>
  <c r="J444" i="1"/>
  <c r="J448" i="1"/>
  <c r="J445" i="1"/>
  <c r="J447" i="1"/>
  <c r="J446" i="1"/>
  <c r="T20" i="4"/>
  <c r="T50" i="4"/>
  <c r="BY444" i="1"/>
  <c r="BY443" i="1"/>
  <c r="BO50" i="42"/>
  <c r="T29" i="4"/>
  <c r="T6" i="4"/>
  <c r="CC440" i="1"/>
  <c r="CC441" i="1" s="1"/>
  <c r="BQ73" i="42" s="1"/>
  <c r="BQ88" i="42"/>
  <c r="H436" i="1"/>
  <c r="H456" i="1"/>
  <c r="AK105" i="1"/>
  <c r="AK107" i="1" s="1"/>
  <c r="AK99" i="1" s="1"/>
  <c r="AW17" i="42"/>
  <c r="CC44" i="1"/>
  <c r="BQ17" i="42" s="1"/>
  <c r="CC358" i="1"/>
  <c r="CC363" i="1" s="1"/>
  <c r="BH34" i="1"/>
  <c r="BF34" i="1"/>
  <c r="BJ34" i="1"/>
  <c r="AZ34" i="1"/>
  <c r="BL34" i="1"/>
  <c r="BD34" i="1"/>
  <c r="BB34" i="1"/>
  <c r="AX34" i="1"/>
  <c r="N36" i="1"/>
  <c r="D44" i="1"/>
  <c r="G123" i="7"/>
  <c r="AC123" i="7"/>
  <c r="N123" i="7"/>
  <c r="L123" i="7"/>
  <c r="AF123" i="7"/>
  <c r="AH123" i="7"/>
  <c r="AA123" i="7"/>
  <c r="O123" i="7"/>
  <c r="AE123" i="7"/>
  <c r="K123" i="7"/>
  <c r="E123" i="7"/>
  <c r="M123" i="7"/>
  <c r="Y123" i="7"/>
  <c r="Q123" i="7"/>
  <c r="CA348" i="1"/>
  <c r="BN53" i="4"/>
  <c r="L384" i="1"/>
  <c r="L383" i="1"/>
  <c r="L380" i="1"/>
  <c r="L381" i="1"/>
  <c r="AG16" i="42"/>
  <c r="J380" i="1"/>
  <c r="J381" i="1" s="1"/>
  <c r="AE16" i="42"/>
  <c r="J383" i="1"/>
  <c r="AZ15" i="42"/>
  <c r="AE449" i="1"/>
  <c r="U36" i="4" s="1"/>
  <c r="T36" i="4"/>
  <c r="T33" i="4"/>
  <c r="AW18" i="42"/>
  <c r="CA343" i="1"/>
  <c r="BP77" i="42"/>
  <c r="CA453" i="1"/>
  <c r="F436" i="1"/>
  <c r="F456" i="1"/>
  <c r="F444" i="1"/>
  <c r="CE29" i="4"/>
  <c r="AV65" i="42"/>
  <c r="AX18" i="42"/>
  <c r="X435" i="1"/>
  <c r="X443" i="1" s="1"/>
  <c r="X463" i="1" s="1"/>
  <c r="X473" i="1" s="1"/>
  <c r="T25" i="4"/>
  <c r="BH36" i="1"/>
  <c r="AX36" i="1"/>
  <c r="BL36" i="1"/>
  <c r="AZ36" i="1"/>
  <c r="AZ49" i="1" s="1"/>
  <c r="BF36" i="1"/>
  <c r="BD36" i="1"/>
  <c r="BB36" i="1"/>
  <c r="BJ36" i="1"/>
  <c r="AV49" i="1"/>
  <c r="CA444" i="1"/>
  <c r="BP50" i="42"/>
  <c r="CA443" i="1"/>
  <c r="V435" i="1"/>
  <c r="V443" i="1" s="1"/>
  <c r="V463" i="1" s="1"/>
  <c r="V473" i="1" s="1"/>
  <c r="T23" i="4"/>
  <c r="P384" i="1"/>
  <c r="P383" i="1"/>
  <c r="P380" i="1"/>
  <c r="P381" i="1"/>
  <c r="AK16" i="42"/>
  <c r="N380" i="1"/>
  <c r="N381" i="1" s="1"/>
  <c r="N383" i="1"/>
  <c r="AI16" i="42"/>
  <c r="AE482" i="1"/>
  <c r="AE450" i="1"/>
  <c r="AE470" i="1"/>
  <c r="AE451" i="1"/>
  <c r="AE460" i="1"/>
  <c r="AE459" i="1"/>
  <c r="AE462" i="1"/>
  <c r="AE458" i="1"/>
  <c r="AE461" i="1"/>
  <c r="BB15" i="42"/>
  <c r="T30" i="4"/>
  <c r="AI449" i="1"/>
  <c r="U30" i="4" s="1"/>
  <c r="H384" i="1"/>
  <c r="BY346" i="1"/>
  <c r="BO75" i="42" s="1"/>
  <c r="BY309" i="1"/>
  <c r="T309" i="1"/>
  <c r="FO18" i="4" s="1"/>
  <c r="BU309" i="1"/>
  <c r="FO51" i="4" s="1"/>
  <c r="F309" i="1"/>
  <c r="FO8" i="4" s="1"/>
  <c r="R309" i="1"/>
  <c r="FO16" i="4" s="1"/>
  <c r="P309" i="1"/>
  <c r="FO5" i="4" s="1"/>
  <c r="J309" i="1"/>
  <c r="FO12" i="4" s="1"/>
  <c r="L309" i="1"/>
  <c r="FO14" i="4" s="1"/>
  <c r="X309" i="1"/>
  <c r="FO24" i="4" s="1"/>
  <c r="N309" i="1"/>
  <c r="H309" i="1"/>
  <c r="FO10" i="4" s="1"/>
  <c r="D309" i="1"/>
  <c r="FO6" i="4" s="1"/>
  <c r="V309" i="1"/>
  <c r="FO22" i="4" s="1"/>
  <c r="CA309" i="1"/>
  <c r="FO53" i="4" s="1"/>
  <c r="GK57" i="4"/>
  <c r="CC348" i="1"/>
  <c r="BN54" i="4"/>
  <c r="N436" i="1"/>
  <c r="N456" i="1"/>
  <c r="N447" i="1"/>
  <c r="N445" i="1"/>
  <c r="N444" i="1"/>
  <c r="N448" i="1"/>
  <c r="N446" i="1"/>
  <c r="P456" i="1"/>
  <c r="P436" i="1"/>
  <c r="P444" i="1"/>
  <c r="BB40" i="1"/>
  <c r="BF40" i="1"/>
  <c r="BD40" i="1"/>
  <c r="BH40" i="1"/>
  <c r="BL40" i="1"/>
  <c r="AZ40" i="1"/>
  <c r="BJ40" i="1"/>
  <c r="AX40" i="1"/>
  <c r="N38" i="1"/>
  <c r="BF6" i="1"/>
  <c r="BU409" i="1"/>
  <c r="BY409" i="1"/>
  <c r="BW409" i="1"/>
  <c r="CA409" i="1"/>
  <c r="CC409" i="1"/>
  <c r="V380" i="1"/>
  <c r="V381" i="1" s="1"/>
  <c r="V383" i="1"/>
  <c r="AP16" i="42"/>
  <c r="BM94" i="42"/>
  <c r="BU439" i="1"/>
  <c r="BU342" i="1"/>
  <c r="BU347" i="1"/>
  <c r="BO51" i="4" s="1"/>
  <c r="BU341" i="1"/>
  <c r="BU345" i="1"/>
  <c r="BU438" i="1"/>
  <c r="AI482" i="1"/>
  <c r="AI450" i="1"/>
  <c r="AI470" i="1"/>
  <c r="AI451" i="1"/>
  <c r="AI460" i="1"/>
  <c r="AI462" i="1"/>
  <c r="AI458" i="1"/>
  <c r="AI461" i="1"/>
  <c r="AI459" i="1"/>
  <c r="BY344" i="1"/>
  <c r="BO74" i="42" s="1"/>
  <c r="CC444" i="1"/>
  <c r="CC443" i="1"/>
  <c r="BQ50" i="42"/>
  <c r="AE58" i="10"/>
  <c r="AM36" i="1"/>
  <c r="AM44" i="1" s="1"/>
  <c r="AI44" i="1"/>
  <c r="BR101" i="42"/>
  <c r="BO101" i="42"/>
  <c r="BB41" i="1"/>
  <c r="BF101" i="42" s="1"/>
  <c r="AX41" i="1"/>
  <c r="BF41" i="1"/>
  <c r="BH101" i="42" s="1"/>
  <c r="BH41" i="1"/>
  <c r="AZ41" i="1"/>
  <c r="BC101" i="42"/>
  <c r="BD41" i="1"/>
  <c r="BG101" i="42" s="1"/>
  <c r="BL41" i="1"/>
  <c r="BJ41" i="1"/>
  <c r="BJ101" i="42" s="1"/>
  <c r="N43" i="1"/>
  <c r="AI101" i="42" s="1"/>
  <c r="Y101" i="42"/>
  <c r="AF57" i="10"/>
  <c r="AG57" i="10" s="1"/>
  <c r="AH57" i="10" s="1"/>
  <c r="BE12" i="10"/>
  <c r="AB12" i="10"/>
  <c r="AC12" i="10" s="1"/>
  <c r="BG12" i="10" s="1"/>
  <c r="BE21" i="10"/>
  <c r="AB21" i="10"/>
  <c r="AC21" i="10" s="1"/>
  <c r="BG21" i="10" s="1"/>
  <c r="AA21" i="10"/>
  <c r="BF21" i="10" s="1"/>
  <c r="W60" i="10"/>
  <c r="X60" i="10" s="1"/>
  <c r="Y60" i="10" s="1"/>
  <c r="Z59" i="10" s="1"/>
  <c r="BE8" i="10"/>
  <c r="AB8" i="10"/>
  <c r="AC8" i="10" s="1"/>
  <c r="BG8" i="10" s="1"/>
  <c r="AA8" i="10"/>
  <c r="BF8" i="10" s="1"/>
  <c r="BE17" i="10"/>
  <c r="AB17" i="10"/>
  <c r="AC17" i="10" s="1"/>
  <c r="BG17" i="10" s="1"/>
  <c r="AF54" i="10"/>
  <c r="AG54" i="10" s="1"/>
  <c r="BE16" i="10"/>
  <c r="AB16" i="10"/>
  <c r="AC16" i="10" s="1"/>
  <c r="BG16" i="10" s="1"/>
  <c r="AA16" i="10"/>
  <c r="BF16" i="10" s="1"/>
  <c r="AB19" i="10"/>
  <c r="AC19" i="10" s="1"/>
  <c r="BG19" i="10" s="1"/>
  <c r="BE19" i="10"/>
  <c r="AM61" i="10"/>
  <c r="AP61" i="10" s="1"/>
  <c r="BA16" i="10"/>
  <c r="V16" i="10"/>
  <c r="AZ16" i="10" s="1"/>
  <c r="AY63" i="10"/>
  <c r="AU61" i="10"/>
  <c r="BE11" i="10"/>
  <c r="AB11" i="10"/>
  <c r="AC11" i="10" s="1"/>
  <c r="BG11" i="10" s="1"/>
  <c r="AA11" i="10"/>
  <c r="BF11" i="10" s="1"/>
  <c r="AB13" i="10"/>
  <c r="AC13" i="10" s="1"/>
  <c r="BG13" i="10" s="1"/>
  <c r="BE13" i="10"/>
  <c r="AA13" i="10"/>
  <c r="BF13" i="10" s="1"/>
  <c r="BA11" i="10"/>
  <c r="V11" i="10"/>
  <c r="AZ11" i="10" s="1"/>
  <c r="AP54" i="10"/>
  <c r="AB14" i="10"/>
  <c r="AC14" i="10" s="1"/>
  <c r="BG14" i="10" s="1"/>
  <c r="BE14" i="10"/>
  <c r="AB9" i="10"/>
  <c r="AC9" i="10" s="1"/>
  <c r="BG9" i="10" s="1"/>
  <c r="BE20" i="10"/>
  <c r="AB20" i="10"/>
  <c r="AC20" i="10" s="1"/>
  <c r="BG20" i="10" s="1"/>
  <c r="AC60" i="10"/>
  <c r="AE68" i="10"/>
  <c r="AE71" i="10" s="1"/>
  <c r="AB22" i="10"/>
  <c r="AC22" i="10" s="1"/>
  <c r="BG22" i="10" s="1"/>
  <c r="BE22" i="10"/>
  <c r="BA21" i="10"/>
  <c r="V21" i="10"/>
  <c r="AZ21" i="10" s="1"/>
  <c r="AB18" i="10"/>
  <c r="AC18" i="10" s="1"/>
  <c r="BG18" i="10" s="1"/>
  <c r="BE18" i="10"/>
  <c r="AA18" i="10"/>
  <c r="BF18" i="10" s="1"/>
  <c r="AB10" i="10"/>
  <c r="AC10" i="10" s="1"/>
  <c r="BE10" i="10"/>
  <c r="AA10" i="10"/>
  <c r="BF10" i="10" s="1"/>
  <c r="AP59" i="10"/>
  <c r="AP56" i="10"/>
  <c r="BE15" i="10"/>
  <c r="AB15" i="10"/>
  <c r="AC15" i="10" s="1"/>
  <c r="BG15" i="10" s="1"/>
  <c r="AA15" i="10"/>
  <c r="BF15" i="10" s="1"/>
  <c r="BN110" i="1"/>
  <c r="BN111" i="1"/>
  <c r="BN137" i="1"/>
  <c r="BN136" i="1"/>
  <c r="BN162" i="1"/>
  <c r="BN163" i="1"/>
  <c r="BN189" i="1"/>
  <c r="BN188" i="1"/>
  <c r="AE51" i="1" a="1"/>
  <c r="AG463" i="1" a="1"/>
  <c r="AE36" i="4"/>
  <c r="AE13" i="4"/>
  <c r="L13" i="4"/>
  <c r="L36" i="4"/>
  <c r="BY51" i="1" a="1"/>
  <c r="L7" i="4"/>
  <c r="CA51" i="1" a="1"/>
  <c r="BJ51" i="4"/>
  <c r="L15" i="4"/>
  <c r="V32" i="4"/>
  <c r="AE30" i="4"/>
  <c r="AE15" i="4"/>
  <c r="H51" i="1" a="1"/>
  <c r="BH51" i="4"/>
  <c r="L30" i="4"/>
  <c r="BL51" i="4"/>
  <c r="H444" i="1" l="1"/>
  <c r="F448" i="1"/>
  <c r="R437" i="1"/>
  <c r="F437" i="1"/>
  <c r="R444" i="1"/>
  <c r="AN60" i="10"/>
  <c r="AO60" i="10" s="1"/>
  <c r="AP60" i="10" s="1"/>
  <c r="R446" i="1"/>
  <c r="F447" i="1"/>
  <c r="R448" i="1"/>
  <c r="V20" i="10"/>
  <c r="AZ20" i="10" s="1"/>
  <c r="F445" i="1"/>
  <c r="BD21" i="1"/>
  <c r="F446" i="1"/>
  <c r="P437" i="1"/>
  <c r="P448" i="1"/>
  <c r="P446" i="1"/>
  <c r="P447" i="1"/>
  <c r="U20" i="4"/>
  <c r="P445" i="1"/>
  <c r="N22" i="1"/>
  <c r="AI15" i="42" s="1"/>
  <c r="BA13" i="10"/>
  <c r="N437" i="1"/>
  <c r="AJ22" i="42" s="1"/>
  <c r="AJ99" i="42" s="1"/>
  <c r="U50" i="4"/>
  <c r="T437" i="1"/>
  <c r="N16" i="1"/>
  <c r="N20" i="1" s="1"/>
  <c r="U6" i="4"/>
  <c r="U23" i="4"/>
  <c r="AZ48" i="1"/>
  <c r="AZ57" i="1"/>
  <c r="AZ58" i="1"/>
  <c r="AZ54" i="1"/>
  <c r="AZ56" i="1"/>
  <c r="AZ55" i="1"/>
  <c r="AZ66" i="1"/>
  <c r="X447" i="1"/>
  <c r="BU346" i="1"/>
  <c r="BM75" i="42" s="1"/>
  <c r="U33" i="4"/>
  <c r="CC453" i="1"/>
  <c r="U29" i="4"/>
  <c r="AI22" i="1"/>
  <c r="AV15" i="42" s="1"/>
  <c r="U7" i="4"/>
  <c r="H447" i="1"/>
  <c r="AX102" i="1"/>
  <c r="AX103" i="1" s="1"/>
  <c r="AX154" i="1"/>
  <c r="AX155" i="1" s="1"/>
  <c r="AX179" i="1"/>
  <c r="AX180" i="1" s="1"/>
  <c r="AX127" i="1"/>
  <c r="AX128" i="1" s="1"/>
  <c r="Z56" i="10"/>
  <c r="BR56" i="10" s="1"/>
  <c r="D64" i="10" s="1"/>
  <c r="H435" i="1"/>
  <c r="H443" i="1" s="1"/>
  <c r="T11" i="4"/>
  <c r="X446" i="1"/>
  <c r="U21" i="4"/>
  <c r="U19" i="4"/>
  <c r="U17" i="4"/>
  <c r="AG46" i="1"/>
  <c r="AG45" i="1" s="1"/>
  <c r="AX431" i="1" s="1"/>
  <c r="BD8" i="1"/>
  <c r="BD20" i="1" s="1"/>
  <c r="BD51" i="1"/>
  <c r="AH54" i="10"/>
  <c r="AA22" i="10"/>
  <c r="BF22" i="10" s="1"/>
  <c r="Z57" i="10"/>
  <c r="BR57" i="10" s="1"/>
  <c r="D65" i="10" s="1"/>
  <c r="BD50" i="1"/>
  <c r="AA17" i="10"/>
  <c r="BF17" i="10" s="1"/>
  <c r="BD49" i="1"/>
  <c r="AK20" i="30"/>
  <c r="AK19" i="30" s="1"/>
  <c r="AA14" i="10"/>
  <c r="BF14" i="10" s="1"/>
  <c r="BD53" i="1"/>
  <c r="AA12" i="10"/>
  <c r="BF12" i="10" s="1"/>
  <c r="BA22" i="10"/>
  <c r="G63" i="10"/>
  <c r="AF9" i="10"/>
  <c r="BJ9" i="10" s="1"/>
  <c r="AA19" i="10"/>
  <c r="BF19" i="10" s="1"/>
  <c r="AG9" i="10"/>
  <c r="AH9" i="10" s="1"/>
  <c r="BK9" i="10" s="1"/>
  <c r="AH58" i="10"/>
  <c r="AA20" i="10"/>
  <c r="BF20" i="10" s="1"/>
  <c r="X448" i="1"/>
  <c r="H445" i="1"/>
  <c r="H446" i="1"/>
  <c r="X444" i="1"/>
  <c r="H448" i="1"/>
  <c r="U25" i="4"/>
  <c r="V17" i="10"/>
  <c r="AZ17" i="10" s="1"/>
  <c r="BA17" i="10"/>
  <c r="BA18" i="10"/>
  <c r="V18" i="10"/>
  <c r="AZ18" i="10" s="1"/>
  <c r="V14" i="10"/>
  <c r="AZ14" i="10" s="1"/>
  <c r="BA14" i="10"/>
  <c r="BA12" i="10"/>
  <c r="V12" i="10"/>
  <c r="AZ12" i="10" s="1"/>
  <c r="U9" i="10"/>
  <c r="AX9" i="10"/>
  <c r="W9" i="10"/>
  <c r="BB9" i="10" s="1"/>
  <c r="T9" i="10"/>
  <c r="AY9" i="10" s="1"/>
  <c r="Y9" i="10"/>
  <c r="BD9" i="10" s="1"/>
  <c r="BA10" i="10"/>
  <c r="V10" i="10"/>
  <c r="AZ10" i="10" s="1"/>
  <c r="BA19" i="10"/>
  <c r="V19" i="10"/>
  <c r="AZ19" i="10" s="1"/>
  <c r="AQ56" i="10"/>
  <c r="AQ57" i="10"/>
  <c r="AQ54" i="10"/>
  <c r="AG464" i="1"/>
  <c r="AG472" i="1" s="1"/>
  <c r="AG466" i="1"/>
  <c r="AG474" i="1" s="1"/>
  <c r="AG468" i="1"/>
  <c r="AG476" i="1" s="1"/>
  <c r="AG467" i="1"/>
  <c r="AG475" i="1" s="1"/>
  <c r="AG465" i="1"/>
  <c r="AG473" i="1" s="1"/>
  <c r="AG469" i="1"/>
  <c r="AG463" i="1"/>
  <c r="AE60" i="1"/>
  <c r="AE67" i="1" s="1"/>
  <c r="AE87" i="1" s="1"/>
  <c r="AE61" i="1"/>
  <c r="AE68" i="1" s="1"/>
  <c r="AE88" i="1" s="1"/>
  <c r="AE55" i="1"/>
  <c r="AE57" i="1"/>
  <c r="AE59" i="1"/>
  <c r="AE66" i="1" s="1"/>
  <c r="AE86" i="1" s="1"/>
  <c r="AE58" i="1"/>
  <c r="AE65" i="1" s="1"/>
  <c r="AE85" i="1" s="1"/>
  <c r="AE62" i="1"/>
  <c r="AE53" i="1"/>
  <c r="AE51" i="1"/>
  <c r="AT19" i="42" s="1"/>
  <c r="AE52" i="1"/>
  <c r="AT20" i="42" s="1"/>
  <c r="AE56" i="1"/>
  <c r="AE54" i="1"/>
  <c r="H61" i="1"/>
  <c r="H68" i="1" s="1"/>
  <c r="H88" i="1" s="1"/>
  <c r="H58" i="1"/>
  <c r="H65" i="1" s="1"/>
  <c r="H85" i="1" s="1"/>
  <c r="H55" i="1"/>
  <c r="H60" i="1"/>
  <c r="H67" i="1" s="1"/>
  <c r="H87" i="1" s="1"/>
  <c r="H57" i="1"/>
  <c r="H59" i="1"/>
  <c r="H66" i="1" s="1"/>
  <c r="H86" i="1" s="1"/>
  <c r="H62" i="1"/>
  <c r="H53" i="1"/>
  <c r="H56" i="1"/>
  <c r="H51" i="1"/>
  <c r="AC19" i="42" s="1"/>
  <c r="H54" i="1"/>
  <c r="H52" i="1"/>
  <c r="AC20" i="42" s="1"/>
  <c r="CA58" i="1"/>
  <c r="CA65" i="1" s="1"/>
  <c r="CA85" i="1" s="1"/>
  <c r="CA61" i="1"/>
  <c r="CA68" i="1" s="1"/>
  <c r="CA88" i="1" s="1"/>
  <c r="CA57" i="1"/>
  <c r="CA64" i="1" s="1"/>
  <c r="CA59" i="1"/>
  <c r="CA66" i="1" s="1"/>
  <c r="CA86" i="1" s="1"/>
  <c r="CA60" i="1"/>
  <c r="CA67" i="1" s="1"/>
  <c r="CA87" i="1" s="1"/>
  <c r="CA55" i="1"/>
  <c r="CA62" i="1"/>
  <c r="CA56" i="1"/>
  <c r="CA51" i="1"/>
  <c r="CA53" i="1"/>
  <c r="BP19" i="42" s="1"/>
  <c r="CA52" i="1"/>
  <c r="CA54" i="1"/>
  <c r="BP20" i="42" s="1"/>
  <c r="BY60" i="1"/>
  <c r="BY67" i="1" s="1"/>
  <c r="BY87" i="1" s="1"/>
  <c r="BY58" i="1"/>
  <c r="BY65" i="1" s="1"/>
  <c r="BY85" i="1" s="1" a="1"/>
  <c r="BY85" i="1" s="1"/>
  <c r="BY57" i="1"/>
  <c r="BY64" i="1" s="1"/>
  <c r="BY59" i="1"/>
  <c r="BY66" i="1" s="1"/>
  <c r="BY86" i="1" s="1" a="1"/>
  <c r="BY86" i="1" s="1"/>
  <c r="BY61" i="1"/>
  <c r="BY68" i="1" s="1"/>
  <c r="BY88" i="1" s="1"/>
  <c r="BY55" i="1"/>
  <c r="BY62" i="1"/>
  <c r="BY56" i="1"/>
  <c r="BY53" i="1"/>
  <c r="BY54" i="1"/>
  <c r="BY51" i="1"/>
  <c r="BY52" i="1"/>
  <c r="DS55" i="7"/>
  <c r="V72" i="10"/>
  <c r="W72" i="10"/>
  <c r="BW42" i="4" s="1"/>
  <c r="BR59" i="10"/>
  <c r="DS51" i="7"/>
  <c r="AQ59" i="10"/>
  <c r="AQ58" i="10"/>
  <c r="F68" i="33" s="1"/>
  <c r="F65" i="33" s="1"/>
  <c r="BU443" i="1"/>
  <c r="BU440" i="1"/>
  <c r="BU441" i="1" s="1"/>
  <c r="BM73" i="42" s="1"/>
  <c r="BM50" i="42"/>
  <c r="BM72" i="42"/>
  <c r="EZ51" i="4"/>
  <c r="BU412" i="1"/>
  <c r="EN51" i="4"/>
  <c r="CC454" i="1"/>
  <c r="DT54" i="4" s="1"/>
  <c r="CC445" i="1"/>
  <c r="CC446" i="1" s="1"/>
  <c r="CC447" i="1"/>
  <c r="CC448" i="1" s="1"/>
  <c r="BQ83" i="42" s="1"/>
  <c r="FO52" i="4"/>
  <c r="FO56" i="4"/>
  <c r="CE5" i="4"/>
  <c r="AK65" i="42"/>
  <c r="CC364" i="1"/>
  <c r="CC365" i="1" s="1"/>
  <c r="CC471" i="1"/>
  <c r="Z58" i="10"/>
  <c r="D68" i="33" s="1"/>
  <c r="D65" i="33" s="1"/>
  <c r="CC46" i="1"/>
  <c r="CC45" i="1" s="1"/>
  <c r="EZ57" i="4"/>
  <c r="BS72" i="42"/>
  <c r="CJ236" i="1"/>
  <c r="EN57" i="4"/>
  <c r="AG681" i="1"/>
  <c r="AG674" i="1"/>
  <c r="AG667" i="1"/>
  <c r="AG632" i="1"/>
  <c r="AG653" i="1"/>
  <c r="AG660" i="1"/>
  <c r="AG639" i="1"/>
  <c r="AG625" i="1"/>
  <c r="BA27" i="42"/>
  <c r="L708" i="1"/>
  <c r="L705" i="1"/>
  <c r="L785" i="1"/>
  <c r="AU18" i="42"/>
  <c r="X38" i="1"/>
  <c r="J38" i="1"/>
  <c r="R38" i="1"/>
  <c r="V38" i="1"/>
  <c r="P38" i="1"/>
  <c r="T38" i="1"/>
  <c r="BK101" i="42"/>
  <c r="BK104" i="42" s="1"/>
  <c r="E47" i="4"/>
  <c r="BU344" i="1"/>
  <c r="BM74" i="42" s="1"/>
  <c r="BU348" i="1"/>
  <c r="BN51" i="4"/>
  <c r="BH12" i="42"/>
  <c r="BF7" i="1"/>
  <c r="C145" i="38"/>
  <c r="EZ14" i="4"/>
  <c r="AG72" i="42"/>
  <c r="EN14" i="4"/>
  <c r="AF22" i="42"/>
  <c r="AF99" i="42" s="1"/>
  <c r="AA72" i="42"/>
  <c r="T18" i="42" s="1"/>
  <c r="EZ8" i="4"/>
  <c r="EN8" i="4"/>
  <c r="L64" i="1"/>
  <c r="EZ6" i="4"/>
  <c r="Y72" i="42"/>
  <c r="EN6" i="4"/>
  <c r="AM22" i="42"/>
  <c r="AM99" i="42" s="1"/>
  <c r="L449" i="1" a="1"/>
  <c r="L464" i="1"/>
  <c r="AH22" i="42"/>
  <c r="AH99" i="42" s="1"/>
  <c r="J37" i="1"/>
  <c r="X37" i="1"/>
  <c r="V37" i="1"/>
  <c r="T37" i="1"/>
  <c r="P37" i="1"/>
  <c r="R37" i="1"/>
  <c r="AG105" i="1"/>
  <c r="AG107" i="1" s="1"/>
  <c r="AG99" i="1" s="1"/>
  <c r="AU17" i="42"/>
  <c r="AP72" i="42"/>
  <c r="EZ22" i="4"/>
  <c r="EN22" i="4"/>
  <c r="CE10" i="4"/>
  <c r="AC65" i="42"/>
  <c r="EZ50" i="4"/>
  <c r="EZ20" i="4"/>
  <c r="AI72" i="42"/>
  <c r="EN20" i="4"/>
  <c r="EN50" i="4"/>
  <c r="CA449" i="1"/>
  <c r="CA450" i="1"/>
  <c r="BH356" i="1"/>
  <c r="BH338" i="1"/>
  <c r="BH354" i="1"/>
  <c r="BH343" i="1"/>
  <c r="BH351" i="1"/>
  <c r="BH349" i="1"/>
  <c r="BH340" i="1"/>
  <c r="BH345" i="1"/>
  <c r="BH95" i="1"/>
  <c r="BH94" i="1"/>
  <c r="BH97" i="1"/>
  <c r="BH100" i="1"/>
  <c r="BH101" i="1"/>
  <c r="BH98" i="1"/>
  <c r="BH99" i="1"/>
  <c r="BH96" i="1"/>
  <c r="AM34" i="30" s="1"/>
  <c r="AG683" i="1"/>
  <c r="AG676" i="1"/>
  <c r="AG669" i="1"/>
  <c r="AG634" i="1"/>
  <c r="AG655" i="1"/>
  <c r="AG662" i="1"/>
  <c r="AG641" i="1"/>
  <c r="AG627" i="1"/>
  <c r="BA29" i="42"/>
  <c r="AE105" i="1"/>
  <c r="AE107" i="1" s="1"/>
  <c r="AE99" i="1" s="1"/>
  <c r="AT17" i="42"/>
  <c r="V36" i="1"/>
  <c r="P36" i="1"/>
  <c r="J36" i="1"/>
  <c r="T36" i="1"/>
  <c r="R36" i="1"/>
  <c r="X36" i="1"/>
  <c r="F44" i="1"/>
  <c r="F46" i="1" s="1"/>
  <c r="F45" i="1" s="1"/>
  <c r="AI105" i="1"/>
  <c r="AI107" i="1" s="1"/>
  <c r="AI99" i="1" s="1"/>
  <c r="AV17" i="42"/>
  <c r="BQ66" i="42"/>
  <c r="V384" i="1"/>
  <c r="N384" i="1"/>
  <c r="BL356" i="1"/>
  <c r="BL351" i="1"/>
  <c r="BL345" i="1"/>
  <c r="BL95" i="1"/>
  <c r="BL349" i="1"/>
  <c r="BL354" i="1"/>
  <c r="BL338" i="1"/>
  <c r="BL343" i="1"/>
  <c r="BL340" i="1"/>
  <c r="BL94" i="1"/>
  <c r="BL100" i="1"/>
  <c r="BL97" i="1"/>
  <c r="BL101" i="1"/>
  <c r="BL98" i="1"/>
  <c r="BL99" i="1"/>
  <c r="BL96" i="1"/>
  <c r="AO34" i="30" s="1"/>
  <c r="BY454" i="1"/>
  <c r="FD52" i="4" s="1"/>
  <c r="BY445" i="1"/>
  <c r="BY446" i="1" s="1"/>
  <c r="BO82" i="42" s="1"/>
  <c r="BY447" i="1"/>
  <c r="BY448" i="1" s="1"/>
  <c r="BO83" i="42" s="1"/>
  <c r="AM46" i="1"/>
  <c r="AG666" i="1"/>
  <c r="AG680" i="1"/>
  <c r="AG673" i="1"/>
  <c r="AG631" i="1"/>
  <c r="AG652" i="1"/>
  <c r="AG659" i="1"/>
  <c r="AG638" i="1"/>
  <c r="AG624" i="1"/>
  <c r="BA26" i="42"/>
  <c r="CE6" i="4"/>
  <c r="Y65" i="42"/>
  <c r="BU46" i="1"/>
  <c r="BU45" i="1" s="1"/>
  <c r="P42" i="1"/>
  <c r="T42" i="1"/>
  <c r="X42" i="1"/>
  <c r="V42" i="1"/>
  <c r="R42" i="1"/>
  <c r="J42" i="1"/>
  <c r="DI55" i="7"/>
  <c r="DI56" i="7"/>
  <c r="DI51" i="7"/>
  <c r="Z55" i="10"/>
  <c r="BR55" i="10" s="1"/>
  <c r="D63" i="10" s="1"/>
  <c r="BE101" i="42"/>
  <c r="AM105" i="1"/>
  <c r="AX17" i="42"/>
  <c r="BB22" i="42"/>
  <c r="BB99" i="42" s="1"/>
  <c r="EZ54" i="4"/>
  <c r="BQ72" i="42"/>
  <c r="CC412" i="1"/>
  <c r="EN54" i="4"/>
  <c r="AB5" i="30"/>
  <c r="AB9" i="30"/>
  <c r="AB7" i="30"/>
  <c r="AB8" i="30"/>
  <c r="AZ22" i="42"/>
  <c r="AZ99" i="42" s="1"/>
  <c r="AB4" i="30"/>
  <c r="AB6" i="30"/>
  <c r="CE14" i="4"/>
  <c r="AG65" i="42"/>
  <c r="CE8" i="4"/>
  <c r="AA65" i="42"/>
  <c r="S80" i="42" s="1"/>
  <c r="AN72" i="42"/>
  <c r="EZ18" i="4"/>
  <c r="EN18" i="4"/>
  <c r="Z54" i="10"/>
  <c r="BR54" i="10" s="1"/>
  <c r="D62" i="10" s="1"/>
  <c r="AG668" i="1"/>
  <c r="AG675" i="1"/>
  <c r="AG682" i="1"/>
  <c r="AG633" i="1"/>
  <c r="AG654" i="1"/>
  <c r="AG661" i="1"/>
  <c r="AG640" i="1"/>
  <c r="AG626" i="1"/>
  <c r="BA28" i="42"/>
  <c r="X437" i="1"/>
  <c r="EZ16" i="4"/>
  <c r="AL72" i="42"/>
  <c r="EN16" i="4"/>
  <c r="AI16" i="1"/>
  <c r="T43" i="1"/>
  <c r="AN101" i="42" s="1"/>
  <c r="R43" i="1"/>
  <c r="AL101" i="42" s="1"/>
  <c r="J43" i="1"/>
  <c r="AE101" i="42" s="1"/>
  <c r="P43" i="1"/>
  <c r="AK101" i="42" s="1"/>
  <c r="V43" i="1"/>
  <c r="AP101" i="42" s="1"/>
  <c r="X43" i="1"/>
  <c r="AR101" i="42" s="1"/>
  <c r="AA101" i="42"/>
  <c r="H46" i="1"/>
  <c r="H45" i="1" s="1"/>
  <c r="BW349" i="1"/>
  <c r="BI101" i="42"/>
  <c r="BI104" i="42" s="1"/>
  <c r="E45" i="4"/>
  <c r="BU343" i="1"/>
  <c r="BM77" i="42"/>
  <c r="BU453" i="1"/>
  <c r="BP72" i="42"/>
  <c r="EZ53" i="4"/>
  <c r="EN53" i="4"/>
  <c r="CA412" i="1"/>
  <c r="AK72" i="42"/>
  <c r="EZ5" i="4"/>
  <c r="EN5" i="4"/>
  <c r="AB22" i="42"/>
  <c r="AB99" i="42" s="1"/>
  <c r="D22" i="1"/>
  <c r="Y15" i="42" s="1"/>
  <c r="AR72" i="42"/>
  <c r="EZ24" i="4"/>
  <c r="EN24" i="4"/>
  <c r="T384" i="1"/>
  <c r="AO22" i="42"/>
  <c r="AO99" i="42" s="1"/>
  <c r="AK64" i="1"/>
  <c r="AQ55" i="10"/>
  <c r="T40" i="1"/>
  <c r="R40" i="1"/>
  <c r="P40" i="1"/>
  <c r="V40" i="1"/>
  <c r="X40" i="1"/>
  <c r="J40" i="1"/>
  <c r="BW44" i="1"/>
  <c r="BN17" i="42" s="1"/>
  <c r="BW358" i="1"/>
  <c r="BW363" i="1" s="1"/>
  <c r="BW364" i="1" s="1"/>
  <c r="BW365" i="1" s="1"/>
  <c r="DE55" i="4" s="1"/>
  <c r="U43" i="4"/>
  <c r="T43" i="4" s="1"/>
  <c r="BD23" i="1"/>
  <c r="BD24" i="1" s="1"/>
  <c r="BG15" i="42" s="1"/>
  <c r="BM88" i="42"/>
  <c r="EZ55" i="4"/>
  <c r="BN72" i="42"/>
  <c r="BW412" i="1"/>
  <c r="EN55" i="4"/>
  <c r="N18" i="1"/>
  <c r="BP66" i="42"/>
  <c r="EZ12" i="4"/>
  <c r="AE72" i="42"/>
  <c r="EN12" i="4"/>
  <c r="CA454" i="1"/>
  <c r="FD53" i="4" s="1"/>
  <c r="CA445" i="1"/>
  <c r="CA446" i="1" s="1"/>
  <c r="CA447" i="1"/>
  <c r="CA448" i="1" s="1"/>
  <c r="BP83" i="42" s="1"/>
  <c r="BO66" i="42"/>
  <c r="Z22" i="42"/>
  <c r="Z99" i="42" s="1"/>
  <c r="V437" i="1"/>
  <c r="CC450" i="1"/>
  <c r="CC449" i="1"/>
  <c r="AG677" i="1"/>
  <c r="AG670" i="1"/>
  <c r="AG684" i="1"/>
  <c r="AG635" i="1"/>
  <c r="AG656" i="1"/>
  <c r="AG663" i="1"/>
  <c r="AG642" i="1"/>
  <c r="AG628" i="1"/>
  <c r="BA30" i="42"/>
  <c r="BY453" i="1"/>
  <c r="D16" i="1"/>
  <c r="AE46" i="1"/>
  <c r="AE45" i="1" s="1"/>
  <c r="T41" i="1"/>
  <c r="V41" i="1"/>
  <c r="R41" i="1"/>
  <c r="P41" i="1"/>
  <c r="J41" i="1"/>
  <c r="X41" i="1"/>
  <c r="BD101" i="42"/>
  <c r="BD104" i="42" s="1"/>
  <c r="E40" i="4"/>
  <c r="AI620" i="1"/>
  <c r="AI619" i="1"/>
  <c r="AI616" i="1"/>
  <c r="AI618" i="1"/>
  <c r="AI617" i="1"/>
  <c r="AI621" i="1"/>
  <c r="BO72" i="42"/>
  <c r="BR72" i="42"/>
  <c r="EZ52" i="4"/>
  <c r="EZ56" i="4"/>
  <c r="EN56" i="4"/>
  <c r="EN52" i="4"/>
  <c r="BY412" i="1"/>
  <c r="FO20" i="4"/>
  <c r="FO50" i="4"/>
  <c r="AE618" i="1"/>
  <c r="AE619" i="1"/>
  <c r="AE620" i="1"/>
  <c r="AE616" i="1"/>
  <c r="AE621" i="1"/>
  <c r="AE617" i="1"/>
  <c r="AV66" i="1"/>
  <c r="AV48" i="1"/>
  <c r="AV57" i="1"/>
  <c r="AV55" i="1"/>
  <c r="AV54" i="1"/>
  <c r="AV58" i="1"/>
  <c r="AV56" i="1"/>
  <c r="CR29" i="4"/>
  <c r="DD29" i="4"/>
  <c r="O86" i="19"/>
  <c r="J384" i="1"/>
  <c r="CE24" i="4"/>
  <c r="AR65" i="42"/>
  <c r="AX95" i="1"/>
  <c r="AX356" i="1"/>
  <c r="AX345" i="1"/>
  <c r="AX351" i="1"/>
  <c r="AX338" i="1"/>
  <c r="AX349" i="1"/>
  <c r="AX343" i="1"/>
  <c r="AX354" i="1"/>
  <c r="AX340" i="1"/>
  <c r="AX94" i="1"/>
  <c r="AX97" i="1"/>
  <c r="AX101" i="1"/>
  <c r="AX98" i="1"/>
  <c r="AX99" i="1"/>
  <c r="AX100" i="1"/>
  <c r="AX96" i="1"/>
  <c r="AH34" i="30" s="1"/>
  <c r="AG665" i="1"/>
  <c r="AG651" i="1"/>
  <c r="AG644" i="1"/>
  <c r="AG650" i="1" s="1"/>
  <c r="AG658" i="1"/>
  <c r="AG622" i="1"/>
  <c r="BA25" i="42"/>
  <c r="X37" i="4"/>
  <c r="BY449" i="1"/>
  <c r="BY450" i="1"/>
  <c r="CE16" i="4"/>
  <c r="AL65" i="42"/>
  <c r="P39" i="1"/>
  <c r="J39" i="1"/>
  <c r="R39" i="1"/>
  <c r="X39" i="1"/>
  <c r="T39" i="1"/>
  <c r="V39" i="1"/>
  <c r="AU68" i="10"/>
  <c r="AM68" i="10"/>
  <c r="AM71" i="10" s="1"/>
  <c r="CC349" i="1" s="1"/>
  <c r="BK68" i="10"/>
  <c r="BC68" i="10"/>
  <c r="BC71" i="10" s="1"/>
  <c r="AE69" i="10"/>
  <c r="BG10" i="10"/>
  <c r="AD60" i="10"/>
  <c r="AI63" i="10" s="1"/>
  <c r="AI56" i="10" s="1"/>
  <c r="AF60" i="10"/>
  <c r="AG60" i="10" s="1"/>
  <c r="AH60" i="10" s="1"/>
  <c r="AE17" i="4"/>
  <c r="L17" i="4"/>
  <c r="AE9" i="4"/>
  <c r="L9" i="4"/>
  <c r="AE19" i="4"/>
  <c r="L19" i="4"/>
  <c r="AE21" i="4"/>
  <c r="L21" i="4"/>
  <c r="L20" i="4"/>
  <c r="L50" i="4"/>
  <c r="L41" i="4"/>
  <c r="AE41" i="4"/>
  <c r="AZ59" i="1" a="1"/>
  <c r="AE463" i="1" a="1"/>
  <c r="AI463" i="1" a="1"/>
  <c r="V53" i="4"/>
  <c r="D449" i="1" a="1"/>
  <c r="L23" i="4"/>
  <c r="AG15" i="4"/>
  <c r="R36" i="4"/>
  <c r="V31" i="4"/>
  <c r="R449" i="1" a="1"/>
  <c r="N449" i="1" a="1"/>
  <c r="BF54" i="4"/>
  <c r="F449" i="1" a="1"/>
  <c r="V52" i="4"/>
  <c r="J449" i="1" a="1"/>
  <c r="AE25" i="4"/>
  <c r="L25" i="4"/>
  <c r="BV42" i="4"/>
  <c r="V28" i="4"/>
  <c r="V56" i="4"/>
  <c r="AE23" i="4"/>
  <c r="BR15" i="4"/>
  <c r="L29" i="4"/>
  <c r="L6" i="4"/>
  <c r="V10" i="4"/>
  <c r="P449" i="1" a="1"/>
  <c r="T449" i="1" a="1"/>
  <c r="F51" i="1" a="1"/>
  <c r="AE39" i="4"/>
  <c r="DT52" i="4" l="1"/>
  <c r="FD56" i="4"/>
  <c r="FD54" i="4"/>
  <c r="AI99" i="42"/>
  <c r="N19" i="1"/>
  <c r="N17" i="1"/>
  <c r="N46" i="1" s="1"/>
  <c r="N45" i="1" s="1"/>
  <c r="BD56" i="1"/>
  <c r="N21" i="1"/>
  <c r="AG664" i="1"/>
  <c r="AZ59" i="1"/>
  <c r="AZ64" i="1"/>
  <c r="AZ72" i="1" s="1"/>
  <c r="AZ62" i="1"/>
  <c r="AZ70" i="1" s="1"/>
  <c r="AZ60" i="1"/>
  <c r="AZ68" i="1" s="1"/>
  <c r="AZ61" i="1"/>
  <c r="AZ69" i="1" s="1"/>
  <c r="AZ63" i="1"/>
  <c r="AZ71" i="1" s="1"/>
  <c r="AZ65" i="1"/>
  <c r="BE22" i="42"/>
  <c r="BE99" i="42" s="1"/>
  <c r="AI57" i="10"/>
  <c r="BD55" i="1"/>
  <c r="AG64" i="1"/>
  <c r="BY451" i="1"/>
  <c r="BU444" i="1"/>
  <c r="BM66" i="42" s="1"/>
  <c r="BD48" i="1"/>
  <c r="U11" i="4"/>
  <c r="H463" i="1"/>
  <c r="H473" i="1" s="1"/>
  <c r="H437" i="1"/>
  <c r="BD58" i="1"/>
  <c r="AZ77" i="1"/>
  <c r="AX138" i="1"/>
  <c r="AX139" i="1" s="1"/>
  <c r="AX129" i="1"/>
  <c r="AX132" i="1"/>
  <c r="AX133" i="1"/>
  <c r="AX134" i="1"/>
  <c r="AX131" i="1"/>
  <c r="AX130" i="1"/>
  <c r="AX135" i="1"/>
  <c r="AX190" i="1"/>
  <c r="AX191" i="1" s="1"/>
  <c r="AX181" i="1"/>
  <c r="AX186" i="1"/>
  <c r="AX184" i="1"/>
  <c r="AX183" i="1"/>
  <c r="AX185" i="1"/>
  <c r="AX187" i="1"/>
  <c r="AX182" i="1"/>
  <c r="AX156" i="1"/>
  <c r="AX164" i="1"/>
  <c r="AX165" i="1" s="1"/>
  <c r="AX161" i="1"/>
  <c r="AX159" i="1"/>
  <c r="AX158" i="1"/>
  <c r="AX160" i="1"/>
  <c r="AX157" i="1"/>
  <c r="BD13" i="1"/>
  <c r="BD14" i="1" s="1"/>
  <c r="BD22" i="1" s="1"/>
  <c r="AX104" i="1"/>
  <c r="AX105" i="1"/>
  <c r="AX109" i="1"/>
  <c r="AX106" i="1"/>
  <c r="AX107" i="1"/>
  <c r="AX108" i="1"/>
  <c r="AX112" i="1"/>
  <c r="AX113" i="1" s="1"/>
  <c r="BG8" i="42"/>
  <c r="BD54" i="1"/>
  <c r="AK40" i="30"/>
  <c r="F42" i="30" s="1"/>
  <c r="BD57" i="1"/>
  <c r="BD66" i="1"/>
  <c r="BD316" i="1" s="1"/>
  <c r="BD320" i="1" s="1"/>
  <c r="DT53" i="4"/>
  <c r="CA451" i="1"/>
  <c r="BP107" i="42" s="1"/>
  <c r="AG657" i="1"/>
  <c r="CC451" i="1"/>
  <c r="BQ107" i="42" s="1"/>
  <c r="BA9" i="10"/>
  <c r="V9" i="10"/>
  <c r="AA9" i="10"/>
  <c r="BF9" i="10" s="1"/>
  <c r="BH358" i="1"/>
  <c r="AG109" i="1"/>
  <c r="AG110" i="1" s="1"/>
  <c r="BL347" i="1"/>
  <c r="F55" i="1"/>
  <c r="F58" i="1"/>
  <c r="F65" i="1" s="1"/>
  <c r="F85" i="1" s="1"/>
  <c r="F57" i="1"/>
  <c r="F64" i="1" s="1"/>
  <c r="F59" i="1"/>
  <c r="F66" i="1" s="1"/>
  <c r="F86" i="1" s="1"/>
  <c r="F60" i="1"/>
  <c r="F67" i="1" s="1"/>
  <c r="F87" i="1" s="1"/>
  <c r="F61" i="1"/>
  <c r="F68" i="1" s="1"/>
  <c r="F88" i="1" s="1"/>
  <c r="F62" i="1"/>
  <c r="F56" i="1"/>
  <c r="F52" i="1"/>
  <c r="AA20" i="42" s="1"/>
  <c r="F53" i="1"/>
  <c r="F51" i="1"/>
  <c r="AA19" i="42" s="1"/>
  <c r="Q22" i="42" s="1"/>
  <c r="F54" i="1"/>
  <c r="F450" i="1"/>
  <c r="F458" i="1" s="1"/>
  <c r="F454" i="1"/>
  <c r="F462" i="1" s="1"/>
  <c r="F451" i="1"/>
  <c r="F459" i="1" s="1"/>
  <c r="F453" i="1"/>
  <c r="F461" i="1" s="1"/>
  <c r="F452" i="1"/>
  <c r="F460" i="1" s="1"/>
  <c r="F455" i="1"/>
  <c r="F449" i="1"/>
  <c r="J454" i="1"/>
  <c r="J462" i="1" s="1"/>
  <c r="J452" i="1"/>
  <c r="J460" i="1" s="1"/>
  <c r="J453" i="1"/>
  <c r="J461" i="1" s="1"/>
  <c r="J450" i="1"/>
  <c r="J458" i="1" s="1"/>
  <c r="J451" i="1"/>
  <c r="J459" i="1" s="1"/>
  <c r="J455" i="1"/>
  <c r="J449" i="1"/>
  <c r="N452" i="1"/>
  <c r="N460" i="1" s="1"/>
  <c r="N453" i="1"/>
  <c r="N461" i="1" s="1"/>
  <c r="N450" i="1"/>
  <c r="N458" i="1" s="1"/>
  <c r="N454" i="1"/>
  <c r="N462" i="1" s="1"/>
  <c r="N451" i="1"/>
  <c r="N459" i="1" s="1"/>
  <c r="N455" i="1"/>
  <c r="N449" i="1"/>
  <c r="D450" i="1"/>
  <c r="D458" i="1" s="1"/>
  <c r="D454" i="1"/>
  <c r="D462" i="1" s="1"/>
  <c r="D451" i="1"/>
  <c r="D459" i="1" s="1"/>
  <c r="D452" i="1"/>
  <c r="D460" i="1" s="1"/>
  <c r="D453" i="1"/>
  <c r="D461" i="1" s="1"/>
  <c r="D455" i="1"/>
  <c r="D449" i="1"/>
  <c r="AE467" i="1"/>
  <c r="AE475" i="1" s="1"/>
  <c r="AE464" i="1"/>
  <c r="AE472" i="1" s="1"/>
  <c r="AE468" i="1"/>
  <c r="AE476" i="1" s="1"/>
  <c r="AE465" i="1"/>
  <c r="AE473" i="1" s="1"/>
  <c r="AE466" i="1"/>
  <c r="AE474" i="1" s="1"/>
  <c r="AE469" i="1"/>
  <c r="AE463" i="1"/>
  <c r="AI466" i="1"/>
  <c r="AI474" i="1" s="1"/>
  <c r="AI468" i="1"/>
  <c r="AI476" i="1" s="1"/>
  <c r="AI467" i="1"/>
  <c r="AI475" i="1" s="1"/>
  <c r="AI465" i="1"/>
  <c r="AI473" i="1" s="1"/>
  <c r="AI464" i="1"/>
  <c r="AI472" i="1" s="1"/>
  <c r="AI469" i="1"/>
  <c r="AI463" i="1"/>
  <c r="P452" i="1"/>
  <c r="P460" i="1" s="1"/>
  <c r="P453" i="1"/>
  <c r="P461" i="1" s="1"/>
  <c r="P450" i="1"/>
  <c r="P458" i="1" s="1"/>
  <c r="P454" i="1"/>
  <c r="P462" i="1" s="1"/>
  <c r="P451" i="1"/>
  <c r="P459" i="1" s="1"/>
  <c r="P455" i="1"/>
  <c r="P449" i="1"/>
  <c r="T453" i="1"/>
  <c r="T461" i="1" s="1"/>
  <c r="T451" i="1"/>
  <c r="T459" i="1" s="1"/>
  <c r="T450" i="1"/>
  <c r="T458" i="1" s="1"/>
  <c r="T454" i="1"/>
  <c r="T462" i="1" s="1"/>
  <c r="T452" i="1"/>
  <c r="T460" i="1" s="1"/>
  <c r="T449" i="1"/>
  <c r="T455" i="1"/>
  <c r="R452" i="1"/>
  <c r="R460" i="1" s="1"/>
  <c r="R451" i="1"/>
  <c r="R459" i="1" s="1"/>
  <c r="R450" i="1"/>
  <c r="R458" i="1" s="1"/>
  <c r="R454" i="1"/>
  <c r="R462" i="1" s="1"/>
  <c r="R453" i="1"/>
  <c r="R461" i="1" s="1"/>
  <c r="R455" i="1"/>
  <c r="R449" i="1"/>
  <c r="AX425" i="1"/>
  <c r="BP82" i="42"/>
  <c r="DD16" i="4"/>
  <c r="CR16" i="4"/>
  <c r="O73" i="19"/>
  <c r="CC354" i="1"/>
  <c r="CC356" i="1"/>
  <c r="CC355" i="1" s="1"/>
  <c r="CC350" i="1"/>
  <c r="AE661" i="1"/>
  <c r="AE633" i="1"/>
  <c r="AE640" i="1"/>
  <c r="AE675" i="1"/>
  <c r="AE654" i="1"/>
  <c r="AE668" i="1"/>
  <c r="AE682" i="1"/>
  <c r="AE626" i="1"/>
  <c r="AZ28" i="42"/>
  <c r="AX347" i="1"/>
  <c r="BC22" i="42"/>
  <c r="BC99" i="42" s="1"/>
  <c r="AX430" i="1"/>
  <c r="AQ22" i="42"/>
  <c r="AQ99" i="42" s="1"/>
  <c r="AX420" i="1"/>
  <c r="AS22" i="42"/>
  <c r="AS99" i="42" s="1"/>
  <c r="AR17" i="42"/>
  <c r="V44" i="1"/>
  <c r="AA17" i="42"/>
  <c r="Q19" i="42" s="1"/>
  <c r="N44" i="1"/>
  <c r="T44" i="1"/>
  <c r="AG17" i="42"/>
  <c r="AE17" i="42"/>
  <c r="AI17" i="42"/>
  <c r="Y17" i="42"/>
  <c r="AP17" i="42"/>
  <c r="AK17" i="42"/>
  <c r="R44" i="1"/>
  <c r="J44" i="1"/>
  <c r="X44" i="1"/>
  <c r="AL17" i="42"/>
  <c r="P44" i="1"/>
  <c r="AN17" i="42"/>
  <c r="V46" i="1"/>
  <c r="V45" i="1" s="1"/>
  <c r="AX438" i="1"/>
  <c r="AI55" i="10"/>
  <c r="AI54" i="10"/>
  <c r="AE652" i="1"/>
  <c r="AE673" i="1"/>
  <c r="AE638" i="1"/>
  <c r="AE631" i="1"/>
  <c r="AE659" i="1"/>
  <c r="AE666" i="1"/>
  <c r="AE680" i="1"/>
  <c r="AE624" i="1"/>
  <c r="AZ26" i="42"/>
  <c r="AI656" i="1"/>
  <c r="AI670" i="1"/>
  <c r="AI677" i="1"/>
  <c r="AI663" i="1"/>
  <c r="AI642" i="1"/>
  <c r="AI635" i="1"/>
  <c r="AI684" i="1"/>
  <c r="AI628" i="1"/>
  <c r="BB30" i="42"/>
  <c r="D18" i="1"/>
  <c r="D19" i="1"/>
  <c r="D17" i="1"/>
  <c r="D20" i="1"/>
  <c r="D21" i="1"/>
  <c r="Y99" i="42"/>
  <c r="CE18" i="4"/>
  <c r="AN65" i="42"/>
  <c r="AI17" i="1"/>
  <c r="AI18" i="1"/>
  <c r="AI20" i="1"/>
  <c r="AI21" i="1"/>
  <c r="AI19" i="1"/>
  <c r="AV99" i="42"/>
  <c r="CR14" i="4"/>
  <c r="DD14" i="4"/>
  <c r="O71" i="19"/>
  <c r="CE22" i="4"/>
  <c r="AP65" i="42"/>
  <c r="BH347" i="1"/>
  <c r="L677" i="1"/>
  <c r="L678" i="1"/>
  <c r="L497" i="1"/>
  <c r="L475" i="1"/>
  <c r="L503" i="1"/>
  <c r="L550" i="1"/>
  <c r="L546" i="1"/>
  <c r="AH14" i="42"/>
  <c r="L504" i="1"/>
  <c r="L495" i="1"/>
  <c r="L502" i="1"/>
  <c r="AH21" i="42"/>
  <c r="L555" i="1"/>
  <c r="L499" i="1"/>
  <c r="L553" i="1"/>
  <c r="L676" i="1"/>
  <c r="AH43" i="42" s="1"/>
  <c r="L557" i="1"/>
  <c r="L549" i="1"/>
  <c r="L545" i="1"/>
  <c r="L556" i="1"/>
  <c r="L500" i="1"/>
  <c r="L496" i="1"/>
  <c r="L498" i="1"/>
  <c r="L552" i="1"/>
  <c r="L547" i="1"/>
  <c r="L667" i="1"/>
  <c r="AH42" i="42" s="1"/>
  <c r="L554" i="1"/>
  <c r="L494" i="1"/>
  <c r="L493" i="1"/>
  <c r="L505" i="1"/>
  <c r="L501" i="1"/>
  <c r="L551" i="1"/>
  <c r="L548" i="1"/>
  <c r="BU445" i="1"/>
  <c r="BU446" i="1" s="1"/>
  <c r="BU447" i="1"/>
  <c r="BU448" i="1" s="1"/>
  <c r="BM83" i="42" s="1"/>
  <c r="BU454" i="1"/>
  <c r="BM76" i="42" s="1"/>
  <c r="R46" i="1"/>
  <c r="R45" i="1" s="1"/>
  <c r="L712" i="1"/>
  <c r="L713" i="1" s="1"/>
  <c r="L716" i="1"/>
  <c r="L717" i="1" s="1"/>
  <c r="BU15" i="4" s="1"/>
  <c r="AH92" i="42"/>
  <c r="L710" i="1"/>
  <c r="L714" i="1"/>
  <c r="BY44" i="4"/>
  <c r="AM72" i="10"/>
  <c r="AN72" i="10"/>
  <c r="BY69" i="1"/>
  <c r="BY63" i="1"/>
  <c r="AC18" i="42"/>
  <c r="E37" i="4"/>
  <c r="BA103" i="42"/>
  <c r="BA104" i="42" s="1"/>
  <c r="BD59" i="1" a="1"/>
  <c r="BD73" i="1"/>
  <c r="BG22" i="42"/>
  <c r="BG99" i="42" s="1"/>
  <c r="CI52" i="4"/>
  <c r="BO76" i="42"/>
  <c r="BH366" i="1"/>
  <c r="AM33" i="30"/>
  <c r="BI39" i="42"/>
  <c r="L452" i="1"/>
  <c r="L460" i="1" s="1"/>
  <c r="L451" i="1"/>
  <c r="L459" i="1" s="1"/>
  <c r="L454" i="1"/>
  <c r="L462" i="1" s="1"/>
  <c r="L453" i="1"/>
  <c r="L461" i="1" s="1"/>
  <c r="L450" i="1"/>
  <c r="L458" i="1" s="1"/>
  <c r="L449" i="1"/>
  <c r="L455" i="1"/>
  <c r="J46" i="1"/>
  <c r="J45" i="1" s="1"/>
  <c r="L709" i="1"/>
  <c r="AH51" i="42"/>
  <c r="AI59" i="10"/>
  <c r="BR20" i="42"/>
  <c r="BO20" i="42"/>
  <c r="BP18" i="42"/>
  <c r="AE642" i="1"/>
  <c r="AE635" i="1"/>
  <c r="AE677" i="1"/>
  <c r="AE656" i="1"/>
  <c r="AE663" i="1"/>
  <c r="AE684" i="1"/>
  <c r="AE670" i="1"/>
  <c r="AE628" i="1"/>
  <c r="AZ30" i="42"/>
  <c r="AI659" i="1"/>
  <c r="AI673" i="1"/>
  <c r="AI680" i="1"/>
  <c r="AI638" i="1"/>
  <c r="AI631" i="1"/>
  <c r="AI652" i="1"/>
  <c r="AI666" i="1"/>
  <c r="AI624" i="1"/>
  <c r="BB26" i="42"/>
  <c r="AX366" i="1"/>
  <c r="AH33" i="30"/>
  <c r="BD39" i="42"/>
  <c r="AE644" i="1"/>
  <c r="AE650" i="1" s="1"/>
  <c r="AZ97" i="42" s="1"/>
  <c r="AE658" i="1"/>
  <c r="AE651" i="1"/>
  <c r="AE622" i="1"/>
  <c r="AE665" i="1"/>
  <c r="AZ25" i="42"/>
  <c r="X36" i="4"/>
  <c r="AI653" i="1"/>
  <c r="AI681" i="1"/>
  <c r="AI632" i="1"/>
  <c r="AI639" i="1"/>
  <c r="AI674" i="1"/>
  <c r="AI667" i="1"/>
  <c r="AI660" i="1"/>
  <c r="AI625" i="1"/>
  <c r="BB27" i="42"/>
  <c r="CI53" i="4"/>
  <c r="BP76" i="42"/>
  <c r="BU450" i="1"/>
  <c r="BU449" i="1"/>
  <c r="AX435" i="1"/>
  <c r="CR10" i="4"/>
  <c r="O67" i="19"/>
  <c r="DD10" i="4"/>
  <c r="L84" i="1"/>
  <c r="L69" i="1"/>
  <c r="L318" i="1" s="1"/>
  <c r="L63" i="1"/>
  <c r="X46" i="1"/>
  <c r="X45" i="1" s="1"/>
  <c r="BQ82" i="42"/>
  <c r="CC452" i="1"/>
  <c r="ER54" i="4" s="1"/>
  <c r="BO19" i="42"/>
  <c r="BR19" i="42"/>
  <c r="AK84" i="1"/>
  <c r="AK69" i="1"/>
  <c r="AK332" i="1" s="1"/>
  <c r="AK63" i="1"/>
  <c r="AI58" i="10"/>
  <c r="E68" i="33" s="1"/>
  <c r="E65" i="33" s="1"/>
  <c r="BQ54" i="42"/>
  <c r="CC475" i="1"/>
  <c r="CI54" i="4"/>
  <c r="BQ76" i="42"/>
  <c r="AE64" i="1"/>
  <c r="DD24" i="4"/>
  <c r="CR24" i="4"/>
  <c r="O81" i="19"/>
  <c r="AI668" i="1"/>
  <c r="AI682" i="1"/>
  <c r="AI675" i="1"/>
  <c r="AI661" i="1"/>
  <c r="AI640" i="1"/>
  <c r="AI654" i="1"/>
  <c r="AI633" i="1"/>
  <c r="AI626" i="1"/>
  <c r="BB28" i="42"/>
  <c r="AK24" i="30"/>
  <c r="CE55" i="4"/>
  <c r="BN65" i="42"/>
  <c r="CE53" i="4"/>
  <c r="BP65" i="42"/>
  <c r="AM107" i="1"/>
  <c r="AM99" i="1" s="1"/>
  <c r="O63" i="19"/>
  <c r="CR6" i="4"/>
  <c r="DD6" i="4"/>
  <c r="AH124" i="7"/>
  <c r="E124" i="7"/>
  <c r="Y124" i="7"/>
  <c r="AF124" i="7"/>
  <c r="AE124" i="7"/>
  <c r="K124" i="7"/>
  <c r="Q124" i="7"/>
  <c r="X124" i="7"/>
  <c r="AX419" i="1"/>
  <c r="BS65" i="42"/>
  <c r="CE57" i="4"/>
  <c r="CA69" i="1"/>
  <c r="CA63" i="1"/>
  <c r="AT18" i="42"/>
  <c r="CE52" i="4"/>
  <c r="CE56" i="4"/>
  <c r="BO65" i="42"/>
  <c r="BR65" i="42"/>
  <c r="AE634" i="1"/>
  <c r="AE662" i="1"/>
  <c r="AE676" i="1"/>
  <c r="AE641" i="1"/>
  <c r="AE655" i="1"/>
  <c r="AE669" i="1"/>
  <c r="AE683" i="1"/>
  <c r="AE627" i="1"/>
  <c r="AZ29" i="42"/>
  <c r="BY452" i="1"/>
  <c r="BO107" i="42"/>
  <c r="AC14" i="30"/>
  <c r="AD37" i="4"/>
  <c r="AG717" i="1"/>
  <c r="BA33" i="42"/>
  <c r="AG718" i="1"/>
  <c r="CE12" i="4"/>
  <c r="AE65" i="42"/>
  <c r="AI634" i="1"/>
  <c r="AI669" i="1"/>
  <c r="AI676" i="1"/>
  <c r="AI662" i="1"/>
  <c r="AI683" i="1"/>
  <c r="AI641" i="1"/>
  <c r="AI655" i="1"/>
  <c r="AI627" i="1"/>
  <c r="BB29" i="42"/>
  <c r="AK26" i="30"/>
  <c r="BY349" i="1"/>
  <c r="CE54" i="4"/>
  <c r="BQ65" i="42"/>
  <c r="BL358" i="1"/>
  <c r="CE20" i="4"/>
  <c r="CE50" i="4"/>
  <c r="AI65" i="42"/>
  <c r="BF52" i="1"/>
  <c r="BF13" i="1"/>
  <c r="BF14" i="1" s="1"/>
  <c r="BF53" i="1"/>
  <c r="BF51" i="1"/>
  <c r="BF50" i="1"/>
  <c r="AL20" i="30"/>
  <c r="BF8" i="1"/>
  <c r="BF20" i="1" s="1"/>
  <c r="T46" i="1"/>
  <c r="T45" i="1" s="1"/>
  <c r="CE51" i="4"/>
  <c r="BM65" i="42"/>
  <c r="BO18" i="42"/>
  <c r="BR18" i="42"/>
  <c r="AG471" i="1"/>
  <c r="AG612" i="1"/>
  <c r="BA96" i="42"/>
  <c r="AG710" i="1"/>
  <c r="AI665" i="1"/>
  <c r="AI644" i="1"/>
  <c r="AI650" i="1" s="1"/>
  <c r="BB97" i="42" s="1"/>
  <c r="AI658" i="1"/>
  <c r="AI622" i="1"/>
  <c r="AI651" i="1"/>
  <c r="BB25" i="42"/>
  <c r="X30" i="4"/>
  <c r="BA97" i="42"/>
  <c r="AX358" i="1"/>
  <c r="AE674" i="1"/>
  <c r="AE653" i="1"/>
  <c r="AE639" i="1"/>
  <c r="AE632" i="1"/>
  <c r="AE660" i="1"/>
  <c r="AE667" i="1"/>
  <c r="AE681" i="1"/>
  <c r="AE625" i="1"/>
  <c r="AZ27" i="42"/>
  <c r="BW356" i="1"/>
  <c r="BW355" i="1" s="1"/>
  <c r="BW351" i="1"/>
  <c r="BW352" i="1" s="1"/>
  <c r="BW350" i="1"/>
  <c r="BW354" i="1"/>
  <c r="BW353" i="1" s="1"/>
  <c r="DD8" i="4"/>
  <c r="O65" i="19"/>
  <c r="CR8" i="4"/>
  <c r="AM45" i="1"/>
  <c r="AX432" i="1" s="1"/>
  <c r="AM64" i="1"/>
  <c r="BL366" i="1"/>
  <c r="BK39" i="42"/>
  <c r="AO33" i="30"/>
  <c r="BW46" i="1"/>
  <c r="BW45" i="1" s="1"/>
  <c r="P46" i="1"/>
  <c r="P45" i="1" s="1"/>
  <c r="DD5" i="4"/>
  <c r="O62" i="19"/>
  <c r="CR5" i="4"/>
  <c r="AK15" i="30"/>
  <c r="BD377" i="1"/>
  <c r="BG11" i="42"/>
  <c r="BD19" i="1"/>
  <c r="BD42" i="1" s="1" a="1"/>
  <c r="H64" i="1"/>
  <c r="Q57" i="10"/>
  <c r="AU69" i="10"/>
  <c r="AM69" i="10"/>
  <c r="Q58" i="10" s="1"/>
  <c r="BC69" i="10"/>
  <c r="BK69" i="10"/>
  <c r="AA37" i="4"/>
  <c r="L39" i="4"/>
  <c r="X449" i="1" a="1"/>
  <c r="J51" i="1" a="1"/>
  <c r="CC51" i="1" a="1"/>
  <c r="X51" i="1" a="1"/>
  <c r="R51" i="1" a="1"/>
  <c r="V8" i="4"/>
  <c r="R43" i="4"/>
  <c r="P51" i="1" a="1"/>
  <c r="BU51" i="1" a="1"/>
  <c r="V449" i="1" a="1"/>
  <c r="T51" i="1" a="1"/>
  <c r="V51" i="1" a="1"/>
  <c r="N51" i="1" a="1"/>
  <c r="AI51" i="1" a="1"/>
  <c r="AY37" i="4"/>
  <c r="D51" i="1" a="1"/>
  <c r="AG43" i="4"/>
  <c r="AV59" i="1" a="1"/>
  <c r="BW51" i="1" a="1"/>
  <c r="AZ67" i="1" l="1"/>
  <c r="BD406" i="1"/>
  <c r="BD323" i="1"/>
  <c r="DT51" i="4"/>
  <c r="L711" i="1"/>
  <c r="AH52" i="42" s="1"/>
  <c r="BE103" i="42"/>
  <c r="BE104" i="42" s="1"/>
  <c r="E41" i="4"/>
  <c r="AG84" i="1"/>
  <c r="AG69" i="1"/>
  <c r="AG332" i="1" s="1"/>
  <c r="AG63" i="1"/>
  <c r="BD15" i="1"/>
  <c r="BD17" i="1" s="1"/>
  <c r="BU451" i="1"/>
  <c r="BM107" i="42" s="1"/>
  <c r="AI7" i="30"/>
  <c r="AI8" i="30"/>
  <c r="AI6" i="30"/>
  <c r="AI5" i="30"/>
  <c r="AI4" i="30"/>
  <c r="AZ211" i="1"/>
  <c r="AZ215" i="1"/>
  <c r="AZ212" i="1"/>
  <c r="AZ214" i="1"/>
  <c r="AZ213" i="1"/>
  <c r="AZ82" i="1"/>
  <c r="AZ73" i="1" s="1"/>
  <c r="AZ74" i="1" s="1"/>
  <c r="AD22" i="42"/>
  <c r="AD99" i="42" s="1"/>
  <c r="CA452" i="1"/>
  <c r="ER53" i="4" s="1"/>
  <c r="AX188" i="1"/>
  <c r="AX189" i="1"/>
  <c r="AX111" i="1"/>
  <c r="AX110" i="1"/>
  <c r="AX163" i="1"/>
  <c r="AX162" i="1"/>
  <c r="AX136" i="1"/>
  <c r="AX137" i="1"/>
  <c r="BL359" i="1"/>
  <c r="BK108" i="42" s="1"/>
  <c r="CC357" i="1"/>
  <c r="BH359" i="1"/>
  <c r="BI108" i="42" s="1"/>
  <c r="AI664" i="1"/>
  <c r="V69" i="10"/>
  <c r="AZ9" i="10"/>
  <c r="AE471" i="1"/>
  <c r="AI657" i="1"/>
  <c r="AI57" i="1"/>
  <c r="AI60" i="1"/>
  <c r="AI67" i="1" s="1"/>
  <c r="AI87" i="1" s="1"/>
  <c r="AI59" i="1"/>
  <c r="AI66" i="1" s="1"/>
  <c r="AI86" i="1" s="1"/>
  <c r="AI55" i="1"/>
  <c r="AI61" i="1"/>
  <c r="AI68" i="1" s="1"/>
  <c r="AI88" i="1" s="1"/>
  <c r="AI58" i="1"/>
  <c r="AI65" i="1" s="1"/>
  <c r="AI85" i="1" s="1"/>
  <c r="AI62" i="1"/>
  <c r="AI51" i="1"/>
  <c r="AV19" i="42" s="1"/>
  <c r="AI54" i="1"/>
  <c r="AI52" i="1"/>
  <c r="AV20" i="42" s="1"/>
  <c r="AI56" i="1"/>
  <c r="AI53" i="1"/>
  <c r="X58" i="1"/>
  <c r="X65" i="1" s="1"/>
  <c r="X85" i="1" s="1"/>
  <c r="X60" i="1"/>
  <c r="X67" i="1" s="1"/>
  <c r="X87" i="1" s="1"/>
  <c r="X55" i="1"/>
  <c r="X57" i="1"/>
  <c r="X64" i="1" s="1"/>
  <c r="X59" i="1"/>
  <c r="X66" i="1" s="1"/>
  <c r="X86" i="1" s="1"/>
  <c r="X61" i="1"/>
  <c r="X68" i="1" s="1"/>
  <c r="X88" i="1" s="1"/>
  <c r="X62" i="1"/>
  <c r="X51" i="1"/>
  <c r="AR19" i="42" s="1"/>
  <c r="X54" i="1"/>
  <c r="X56" i="1"/>
  <c r="X52" i="1"/>
  <c r="AR20" i="42" s="1"/>
  <c r="X53" i="1"/>
  <c r="X454" i="1"/>
  <c r="X462" i="1" s="1"/>
  <c r="X453" i="1"/>
  <c r="X461" i="1" s="1"/>
  <c r="X451" i="1"/>
  <c r="X459" i="1" s="1"/>
  <c r="X452" i="1"/>
  <c r="X460" i="1" s="1"/>
  <c r="X450" i="1"/>
  <c r="X458" i="1" s="1"/>
  <c r="X449" i="1"/>
  <c r="X455" i="1"/>
  <c r="J55" i="1"/>
  <c r="J57" i="1"/>
  <c r="J64" i="1" s="1"/>
  <c r="J59" i="1"/>
  <c r="J66" i="1" s="1"/>
  <c r="J86" i="1" s="1"/>
  <c r="J61" i="1"/>
  <c r="J68" i="1" s="1"/>
  <c r="J88" i="1" s="1"/>
  <c r="J58" i="1"/>
  <c r="J65" i="1" s="1"/>
  <c r="J85" i="1" s="1"/>
  <c r="J60" i="1"/>
  <c r="J67" i="1" s="1"/>
  <c r="J87" i="1" s="1"/>
  <c r="J62" i="1"/>
  <c r="J56" i="1"/>
  <c r="J53" i="1"/>
  <c r="J51" i="1"/>
  <c r="AE19" i="42" s="1"/>
  <c r="J54" i="1"/>
  <c r="J52" i="1"/>
  <c r="AE20" i="42" s="1"/>
  <c r="T59" i="1"/>
  <c r="T66" i="1" s="1"/>
  <c r="T86" i="1" s="1"/>
  <c r="T57" i="1"/>
  <c r="T64" i="1" s="1"/>
  <c r="T60" i="1"/>
  <c r="T67" i="1" s="1"/>
  <c r="T87" i="1" s="1"/>
  <c r="T58" i="1"/>
  <c r="T65" i="1" s="1"/>
  <c r="T85" i="1" s="1"/>
  <c r="T61" i="1"/>
  <c r="T68" i="1" s="1"/>
  <c r="T88" i="1" s="1"/>
  <c r="T55" i="1"/>
  <c r="T62" i="1"/>
  <c r="T53" i="1"/>
  <c r="T52" i="1"/>
  <c r="AN20" i="42" s="1"/>
  <c r="T54" i="1"/>
  <c r="T56" i="1"/>
  <c r="T51" i="1"/>
  <c r="AN19" i="42" s="1"/>
  <c r="BU58" i="1"/>
  <c r="BU65" i="1" s="1"/>
  <c r="BU85" i="1" s="1"/>
  <c r="BU60" i="1"/>
  <c r="BU67" i="1" s="1"/>
  <c r="BU87" i="1" s="1"/>
  <c r="BU57" i="1"/>
  <c r="BU64" i="1" s="1"/>
  <c r="BU59" i="1"/>
  <c r="BU66" i="1" s="1"/>
  <c r="BU86" i="1" s="1"/>
  <c r="BU61" i="1"/>
  <c r="BU68" i="1" s="1"/>
  <c r="BU88" i="1" s="1"/>
  <c r="BU55" i="1"/>
  <c r="BU62" i="1"/>
  <c r="BU53" i="1"/>
  <c r="BM19" i="42" s="1"/>
  <c r="BU52" i="1"/>
  <c r="BU51" i="1"/>
  <c r="BU54" i="1"/>
  <c r="BM20" i="42" s="1"/>
  <c r="BU56" i="1"/>
  <c r="CC57" i="1"/>
  <c r="CC64" i="1" s="1"/>
  <c r="CC59" i="1"/>
  <c r="CC66" i="1" s="1"/>
  <c r="CC86" i="1" s="1"/>
  <c r="CC61" i="1"/>
  <c r="CC68" i="1" s="1"/>
  <c r="CC88" i="1" s="1"/>
  <c r="CC58" i="1"/>
  <c r="CC65" i="1" s="1"/>
  <c r="CC85" i="1" s="1"/>
  <c r="CC60" i="1"/>
  <c r="CC67" i="1" s="1"/>
  <c r="CC87" i="1" s="1"/>
  <c r="CC55" i="1"/>
  <c r="CC62" i="1"/>
  <c r="CC54" i="1"/>
  <c r="BQ20" i="42" s="1"/>
  <c r="CC51" i="1"/>
  <c r="CC56" i="1"/>
  <c r="CC53" i="1"/>
  <c r="BQ19" i="42" s="1"/>
  <c r="CC52" i="1"/>
  <c r="R59" i="1"/>
  <c r="R66" i="1" s="1"/>
  <c r="R86" i="1" s="1"/>
  <c r="R61" i="1"/>
  <c r="R68" i="1" s="1"/>
  <c r="R88" i="1" s="1"/>
  <c r="R55" i="1"/>
  <c r="R58" i="1"/>
  <c r="R65" i="1" s="1"/>
  <c r="R85" i="1" s="1"/>
  <c r="R60" i="1"/>
  <c r="R67" i="1" s="1"/>
  <c r="R87" i="1" s="1"/>
  <c r="R57" i="1"/>
  <c r="R64" i="1" s="1"/>
  <c r="R62" i="1"/>
  <c r="R51" i="1"/>
  <c r="AL19" i="42" s="1"/>
  <c r="R52" i="1"/>
  <c r="AL20" i="42" s="1"/>
  <c r="R56" i="1"/>
  <c r="R54" i="1"/>
  <c r="R53" i="1"/>
  <c r="N59" i="1"/>
  <c r="N66" i="1" s="1"/>
  <c r="N86" i="1" s="1"/>
  <c r="N57" i="1"/>
  <c r="N64" i="1" s="1"/>
  <c r="N58" i="1"/>
  <c r="N65" i="1" s="1"/>
  <c r="N85" i="1" s="1"/>
  <c r="N61" i="1"/>
  <c r="N68" i="1" s="1"/>
  <c r="N88" i="1" s="1"/>
  <c r="N60" i="1"/>
  <c r="N67" i="1" s="1"/>
  <c r="N87" i="1" s="1"/>
  <c r="N55" i="1"/>
  <c r="N62" i="1"/>
  <c r="N54" i="1"/>
  <c r="N56" i="1"/>
  <c r="N51" i="1"/>
  <c r="AI19" i="42" s="1"/>
  <c r="N53" i="1"/>
  <c r="N52" i="1"/>
  <c r="AI20" i="42" s="1"/>
  <c r="V60" i="1"/>
  <c r="V67" i="1" s="1"/>
  <c r="V87" i="1" s="1"/>
  <c r="V59" i="1"/>
  <c r="V66" i="1" s="1"/>
  <c r="V86" i="1" s="1"/>
  <c r="V55" i="1"/>
  <c r="V61" i="1"/>
  <c r="V68" i="1" s="1"/>
  <c r="V88" i="1" s="1"/>
  <c r="V57" i="1"/>
  <c r="V64" i="1" s="1"/>
  <c r="V58" i="1"/>
  <c r="V65" i="1" s="1"/>
  <c r="V85" i="1" s="1"/>
  <c r="V62" i="1"/>
  <c r="V54" i="1"/>
  <c r="V51" i="1"/>
  <c r="AP19" i="42" s="1"/>
  <c r="V53" i="1"/>
  <c r="V56" i="1"/>
  <c r="V52" i="1"/>
  <c r="AP20" i="42" s="1"/>
  <c r="BW60" i="1"/>
  <c r="BW67" i="1" s="1"/>
  <c r="BW87" i="1" s="1"/>
  <c r="BW57" i="1"/>
  <c r="BW64" i="1" s="1"/>
  <c r="BW59" i="1"/>
  <c r="BW66" i="1" s="1"/>
  <c r="BW86" i="1" s="1"/>
  <c r="BW61" i="1"/>
  <c r="BW68" i="1" s="1"/>
  <c r="BW88" i="1" s="1"/>
  <c r="BW58" i="1"/>
  <c r="BW65" i="1" s="1"/>
  <c r="BW85" i="1" s="1"/>
  <c r="BW55" i="1"/>
  <c r="BW62" i="1"/>
  <c r="BW52" i="1"/>
  <c r="BW51" i="1"/>
  <c r="BW53" i="1"/>
  <c r="BN19" i="42" s="1"/>
  <c r="BW54" i="1"/>
  <c r="BN20" i="42" s="1"/>
  <c r="BW56" i="1"/>
  <c r="D61" i="1"/>
  <c r="D68" i="1" s="1"/>
  <c r="D88" i="1" s="1"/>
  <c r="D59" i="1"/>
  <c r="D66" i="1" s="1"/>
  <c r="D86" i="1" s="1"/>
  <c r="D58" i="1"/>
  <c r="D65" i="1" s="1"/>
  <c r="D85" i="1" s="1"/>
  <c r="D60" i="1"/>
  <c r="D67" i="1" s="1"/>
  <c r="D87" i="1" s="1"/>
  <c r="D57" i="1"/>
  <c r="D55" i="1"/>
  <c r="D62" i="1"/>
  <c r="D54" i="1"/>
  <c r="D56" i="1"/>
  <c r="D53" i="1"/>
  <c r="D51" i="1"/>
  <c r="Y19" i="42" s="1"/>
  <c r="D52" i="1"/>
  <c r="Y20" i="42" s="1"/>
  <c r="P60" i="1"/>
  <c r="P67" i="1" s="1"/>
  <c r="P87" i="1" s="1"/>
  <c r="P57" i="1"/>
  <c r="P64" i="1" s="1"/>
  <c r="P59" i="1"/>
  <c r="P66" i="1" s="1"/>
  <c r="P86" i="1" s="1"/>
  <c r="P61" i="1"/>
  <c r="P68" i="1" s="1"/>
  <c r="P88" i="1" s="1"/>
  <c r="P58" i="1"/>
  <c r="P65" i="1" s="1"/>
  <c r="P85" i="1" s="1"/>
  <c r="P55" i="1"/>
  <c r="P62" i="1"/>
  <c r="P56" i="1"/>
  <c r="P53" i="1"/>
  <c r="P52" i="1"/>
  <c r="AK20" i="42" s="1"/>
  <c r="P51" i="1"/>
  <c r="AK19" i="42" s="1"/>
  <c r="P54" i="1"/>
  <c r="AV62" i="1"/>
  <c r="AV70" i="1" s="1"/>
  <c r="AV64" i="1"/>
  <c r="AV72" i="1" s="1"/>
  <c r="AV60" i="1"/>
  <c r="AV68" i="1" s="1"/>
  <c r="AV63" i="1"/>
  <c r="AV71" i="1" s="1"/>
  <c r="AV61" i="1"/>
  <c r="AV69" i="1" s="1"/>
  <c r="AV59" i="1"/>
  <c r="AV65" i="1"/>
  <c r="V453" i="1"/>
  <c r="V461" i="1" s="1"/>
  <c r="V451" i="1"/>
  <c r="V459" i="1" s="1"/>
  <c r="V452" i="1"/>
  <c r="V460" i="1" s="1"/>
  <c r="V450" i="1"/>
  <c r="V458" i="1" s="1"/>
  <c r="V454" i="1"/>
  <c r="V462" i="1" s="1"/>
  <c r="V455" i="1"/>
  <c r="V449" i="1"/>
  <c r="BK62" i="42"/>
  <c r="CB47" i="4"/>
  <c r="O107" i="19"/>
  <c r="DD50" i="4"/>
  <c r="CR50" i="4"/>
  <c r="CR12" i="4"/>
  <c r="O69" i="19"/>
  <c r="DD12" i="4"/>
  <c r="CR52" i="4"/>
  <c r="O109" i="19"/>
  <c r="DD52" i="4"/>
  <c r="DD57" i="4"/>
  <c r="O114" i="19"/>
  <c r="GR57" i="4"/>
  <c r="CR57" i="4"/>
  <c r="DS56" i="7"/>
  <c r="AE72" i="10"/>
  <c r="AF72" i="10"/>
  <c r="BW43" i="4" s="1"/>
  <c r="CR18" i="4"/>
  <c r="DD18" i="4"/>
  <c r="O75" i="19"/>
  <c r="P468" i="1"/>
  <c r="P457" i="1"/>
  <c r="E21" i="4"/>
  <c r="AJ103" i="42"/>
  <c r="AJ104" i="42" s="1"/>
  <c r="H69" i="1"/>
  <c r="H63" i="1"/>
  <c r="AM84" i="1"/>
  <c r="AM69" i="1"/>
  <c r="AM332" i="1" s="1"/>
  <c r="AM63" i="1"/>
  <c r="BW357" i="1"/>
  <c r="DH55" i="4" s="1"/>
  <c r="O108" i="19"/>
  <c r="DD51" i="4"/>
  <c r="CR51" i="4"/>
  <c r="CR20" i="4"/>
  <c r="DD20" i="4"/>
  <c r="O77" i="19"/>
  <c r="AG722" i="1"/>
  <c r="AG725" i="1"/>
  <c r="AG727" i="1"/>
  <c r="AG724" i="1"/>
  <c r="AG803" i="1"/>
  <c r="AG719" i="1"/>
  <c r="BA93" i="42" s="1"/>
  <c r="AG726" i="1"/>
  <c r="AG721" i="1"/>
  <c r="DD55" i="4"/>
  <c r="CR55" i="4"/>
  <c r="O112" i="19"/>
  <c r="AE69" i="1"/>
  <c r="AE63" i="1"/>
  <c r="EB53" i="4"/>
  <c r="S110" i="19"/>
  <c r="EF53" i="4"/>
  <c r="CV53" i="4"/>
  <c r="DH53" i="4"/>
  <c r="CB40" i="4"/>
  <c r="BD62" i="42"/>
  <c r="BD290" i="1"/>
  <c r="BG43" i="42" s="1"/>
  <c r="BD291" i="1"/>
  <c r="BD292" i="1"/>
  <c r="BD293" i="1"/>
  <c r="BD170" i="1"/>
  <c r="BD123" i="1"/>
  <c r="BD124" i="1"/>
  <c r="BD172" i="1"/>
  <c r="BD166" i="1"/>
  <c r="BG14" i="42"/>
  <c r="BD126" i="1"/>
  <c r="BD169" i="1"/>
  <c r="BD119" i="1"/>
  <c r="BG21" i="42"/>
  <c r="BD125" i="1"/>
  <c r="BD115" i="1"/>
  <c r="BD117" i="1"/>
  <c r="BD121" i="1"/>
  <c r="BD167" i="1"/>
  <c r="BD118" i="1"/>
  <c r="BD176" i="1"/>
  <c r="BD116" i="1"/>
  <c r="BD122" i="1"/>
  <c r="BD171" i="1"/>
  <c r="BD173" i="1"/>
  <c r="BD177" i="1"/>
  <c r="BD114" i="1"/>
  <c r="BD280" i="1"/>
  <c r="BG42" i="42" s="1"/>
  <c r="BD168" i="1"/>
  <c r="BD120" i="1"/>
  <c r="BD175" i="1"/>
  <c r="BD178" i="1"/>
  <c r="BD174" i="1"/>
  <c r="CR22" i="4"/>
  <c r="DD22" i="4"/>
  <c r="O79" i="19"/>
  <c r="T468" i="1"/>
  <c r="T457" i="1"/>
  <c r="J468" i="1"/>
  <c r="J457" i="1"/>
  <c r="AX424" i="1"/>
  <c r="BY350" i="1"/>
  <c r="BY351" i="1"/>
  <c r="BY354" i="1"/>
  <c r="CC351" i="1"/>
  <c r="CC352" i="1" s="1"/>
  <c r="DH54" i="4" s="1"/>
  <c r="BY455" i="1"/>
  <c r="BY456" i="1"/>
  <c r="BR88" i="42" s="1"/>
  <c r="Q66" i="42" s="1"/>
  <c r="BY356" i="1"/>
  <c r="BO56" i="4" s="1"/>
  <c r="BR94" i="42"/>
  <c r="Q64" i="42" s="1"/>
  <c r="AK70" i="1"/>
  <c r="AK72" i="1"/>
  <c r="AK71" i="1"/>
  <c r="AK74" i="1"/>
  <c r="AK73" i="1"/>
  <c r="AK75" i="1"/>
  <c r="AX427" i="1"/>
  <c r="L781" i="1"/>
  <c r="L782" i="1"/>
  <c r="BD61" i="1"/>
  <c r="BD69" i="1" s="1"/>
  <c r="BD63" i="1"/>
  <c r="BD71" i="1" s="1"/>
  <c r="BD60" i="1"/>
  <c r="BD68" i="1" s="1"/>
  <c r="BD64" i="1"/>
  <c r="BD72" i="1" s="1"/>
  <c r="BD62" i="1"/>
  <c r="BD70" i="1" s="1"/>
  <c r="BD65" i="1"/>
  <c r="BD59" i="1"/>
  <c r="L715" i="1"/>
  <c r="AH53" i="42" s="1"/>
  <c r="BM82" i="42"/>
  <c r="BU452" i="1"/>
  <c r="ER51" i="4" s="1"/>
  <c r="CC353" i="1"/>
  <c r="R468" i="1"/>
  <c r="R457" i="1"/>
  <c r="Z103" i="42"/>
  <c r="Z104" i="42" s="1"/>
  <c r="E7" i="4"/>
  <c r="BD44" i="1"/>
  <c r="BD47" i="1"/>
  <c r="BG102" i="42" s="1"/>
  <c r="BD45" i="1"/>
  <c r="BD42" i="1"/>
  <c r="BD46" i="1"/>
  <c r="BD43" i="1"/>
  <c r="AI612" i="1"/>
  <c r="BB96" i="42"/>
  <c r="AI710" i="1"/>
  <c r="CV54" i="4"/>
  <c r="S111" i="19"/>
  <c r="AK339" i="1"/>
  <c r="AK422" i="1"/>
  <c r="AK336" i="1"/>
  <c r="L70" i="1"/>
  <c r="L71" i="1"/>
  <c r="L75" i="1"/>
  <c r="L72" i="1"/>
  <c r="L73" i="1"/>
  <c r="L74" i="1"/>
  <c r="AE657" i="1"/>
  <c r="AX421" i="1"/>
  <c r="AX426" i="1"/>
  <c r="E36" i="4"/>
  <c r="E33" i="4"/>
  <c r="AZ103" i="42"/>
  <c r="AZ104" i="42" s="1"/>
  <c r="N468" i="1"/>
  <c r="N457" i="1"/>
  <c r="F468" i="1"/>
  <c r="F457" i="1"/>
  <c r="AX417" i="1"/>
  <c r="AG478" i="1"/>
  <c r="AG479" i="1" s="1"/>
  <c r="AG488" i="1"/>
  <c r="BF15" i="1"/>
  <c r="BF17" i="1" s="1"/>
  <c r="BH8" i="42"/>
  <c r="CR54" i="4"/>
  <c r="DD54" i="4"/>
  <c r="O111" i="19"/>
  <c r="CA89" i="1"/>
  <c r="CA70" i="1"/>
  <c r="CA75" i="1"/>
  <c r="CA72" i="1"/>
  <c r="CA71" i="1"/>
  <c r="CA73" i="1"/>
  <c r="CA74" i="1"/>
  <c r="AK93" i="1"/>
  <c r="AK83" i="1"/>
  <c r="L408" i="1"/>
  <c r="L325" i="1"/>
  <c r="L322" i="1"/>
  <c r="BD324" i="1"/>
  <c r="BG51" i="42"/>
  <c r="AE664" i="1"/>
  <c r="AH103" i="42"/>
  <c r="AH104" i="42" s="1"/>
  <c r="E15" i="4"/>
  <c r="E30" i="4"/>
  <c r="BB103" i="42"/>
  <c r="BB104" i="42" s="1"/>
  <c r="BB33" i="42"/>
  <c r="AD30" i="4"/>
  <c r="AI718" i="1"/>
  <c r="AL19" i="30"/>
  <c r="L93" i="1"/>
  <c r="L83" i="1"/>
  <c r="BD327" i="1"/>
  <c r="BD328" i="1" s="1"/>
  <c r="BD331" i="1"/>
  <c r="BD332" i="1" s="1"/>
  <c r="BD325" i="1"/>
  <c r="BD329" i="1"/>
  <c r="BG92" i="42"/>
  <c r="BI62" i="42"/>
  <c r="CB45" i="4"/>
  <c r="AI46" i="1"/>
  <c r="AI45" i="1" s="1"/>
  <c r="E19" i="4"/>
  <c r="AO103" i="42"/>
  <c r="AO104" i="42" s="1"/>
  <c r="AI471" i="1"/>
  <c r="F69" i="1"/>
  <c r="F63" i="1"/>
  <c r="BD381" i="1"/>
  <c r="BD378" i="1"/>
  <c r="BD379" i="1" s="1"/>
  <c r="BG72" i="42" s="1"/>
  <c r="BD382" i="1"/>
  <c r="BG65" i="42" s="1"/>
  <c r="DH56" i="7"/>
  <c r="BY56" i="7"/>
  <c r="BM56" i="7"/>
  <c r="L468" i="1"/>
  <c r="L457" i="1"/>
  <c r="FD51" i="4"/>
  <c r="L718" i="1"/>
  <c r="BT15" i="4"/>
  <c r="D46" i="1"/>
  <c r="D45" i="1" s="1"/>
  <c r="E9" i="4"/>
  <c r="AB103" i="42"/>
  <c r="AB104" i="42" s="1"/>
  <c r="BA85" i="42"/>
  <c r="BF22" i="1"/>
  <c r="CR56" i="4"/>
  <c r="O113" i="19"/>
  <c r="DD56" i="4"/>
  <c r="CR53" i="4"/>
  <c r="DD53" i="4"/>
  <c r="O110" i="19"/>
  <c r="CV52" i="4"/>
  <c r="S109" i="19"/>
  <c r="EF52" i="4"/>
  <c r="EB52" i="4"/>
  <c r="ER52" i="4"/>
  <c r="BY89" i="1"/>
  <c r="BY70" i="1"/>
  <c r="BY71" i="1"/>
  <c r="BY74" i="1"/>
  <c r="BY75" i="1"/>
  <c r="BY73" i="1"/>
  <c r="BY72" i="1"/>
  <c r="CI51" i="4"/>
  <c r="AX423" i="1"/>
  <c r="AX359" i="1"/>
  <c r="AM103" i="42"/>
  <c r="AM104" i="42" s="1"/>
  <c r="E17" i="4"/>
  <c r="AE488" i="1"/>
  <c r="AE478" i="1"/>
  <c r="D468" i="1"/>
  <c r="D457" i="1"/>
  <c r="E13" i="4"/>
  <c r="AF103" i="42"/>
  <c r="AF104" i="42" s="1"/>
  <c r="AA18" i="42"/>
  <c r="Q21" i="42" s="1"/>
  <c r="S22" i="42" s="1"/>
  <c r="BR43" i="4"/>
  <c r="R41" i="4"/>
  <c r="AG41" i="4"/>
  <c r="AA30" i="4"/>
  <c r="H449" i="1" a="1"/>
  <c r="AG36" i="4"/>
  <c r="AE52" i="4"/>
  <c r="V16" i="4"/>
  <c r="V22" i="4"/>
  <c r="V51" i="4"/>
  <c r="BH56" i="4"/>
  <c r="AE14" i="4"/>
  <c r="V18" i="4"/>
  <c r="BR38" i="4"/>
  <c r="AG52" i="4"/>
  <c r="V29" i="4"/>
  <c r="AE53" i="4"/>
  <c r="AE38" i="4"/>
  <c r="AG53" i="4"/>
  <c r="BJ56" i="4"/>
  <c r="L43" i="4"/>
  <c r="BV43" i="4"/>
  <c r="AE43" i="4"/>
  <c r="V5" i="4"/>
  <c r="AY30" i="4"/>
  <c r="BP37" i="4"/>
  <c r="V54" i="4"/>
  <c r="V20" i="4"/>
  <c r="BP41" i="4"/>
  <c r="L11" i="4"/>
  <c r="AG37" i="4"/>
  <c r="AG56" i="4"/>
  <c r="V6" i="4"/>
  <c r="V12" i="4"/>
  <c r="V24" i="4"/>
  <c r="AE11" i="4"/>
  <c r="BR14" i="4"/>
  <c r="AE56" i="4"/>
  <c r="V55" i="4"/>
  <c r="V50" i="4"/>
  <c r="AG70" i="1" l="1"/>
  <c r="AG74" i="1"/>
  <c r="AG73" i="1"/>
  <c r="AG72" i="1"/>
  <c r="AG75" i="1"/>
  <c r="AG71" i="1"/>
  <c r="AG422" i="1"/>
  <c r="AG336" i="1"/>
  <c r="AG339" i="1"/>
  <c r="AG93" i="1"/>
  <c r="AG83" i="1"/>
  <c r="AZ290" i="1"/>
  <c r="BE43" i="42" s="1"/>
  <c r="AZ291" i="1"/>
  <c r="AZ293" i="1"/>
  <c r="BE14" i="42"/>
  <c r="BE21" i="42"/>
  <c r="AZ89" i="1"/>
  <c r="AZ90" i="1" s="1"/>
  <c r="H453" i="1"/>
  <c r="H461" i="1" s="1"/>
  <c r="H452" i="1"/>
  <c r="H460" i="1" s="1"/>
  <c r="H450" i="1"/>
  <c r="H458" i="1" s="1"/>
  <c r="H454" i="1"/>
  <c r="H462" i="1" s="1"/>
  <c r="H451" i="1"/>
  <c r="H459" i="1" s="1"/>
  <c r="H455" i="1"/>
  <c r="H449" i="1"/>
  <c r="AI11" i="30"/>
  <c r="AI22" i="30" s="1"/>
  <c r="AZ298" i="1"/>
  <c r="AZ303" i="1" s="1"/>
  <c r="AZ299" i="1"/>
  <c r="AZ255" i="1"/>
  <c r="BE27" i="42"/>
  <c r="AZ267" i="1"/>
  <c r="AZ261" i="1"/>
  <c r="AZ243" i="1"/>
  <c r="AZ225" i="1"/>
  <c r="AZ231" i="1"/>
  <c r="AZ219" i="1"/>
  <c r="AZ249" i="1"/>
  <c r="AZ250" i="1"/>
  <c r="AZ244" i="1"/>
  <c r="BE28" i="42"/>
  <c r="AZ262" i="1"/>
  <c r="AZ256" i="1"/>
  <c r="AZ268" i="1"/>
  <c r="AZ226" i="1"/>
  <c r="AZ232" i="1"/>
  <c r="AZ220" i="1"/>
  <c r="AZ218" i="1"/>
  <c r="AZ248" i="1"/>
  <c r="AZ242" i="1"/>
  <c r="BE26" i="42"/>
  <c r="AZ266" i="1"/>
  <c r="AZ254" i="1"/>
  <c r="AZ260" i="1"/>
  <c r="AZ224" i="1"/>
  <c r="AZ230" i="1"/>
  <c r="AZ263" i="1"/>
  <c r="AZ227" i="1"/>
  <c r="AZ233" i="1"/>
  <c r="AZ221" i="1"/>
  <c r="AZ251" i="1"/>
  <c r="AZ245" i="1"/>
  <c r="AZ269" i="1"/>
  <c r="AZ257" i="1"/>
  <c r="AZ253" i="1"/>
  <c r="AZ235" i="1"/>
  <c r="AZ240" i="1" s="1"/>
  <c r="AZ216" i="1"/>
  <c r="AZ247" i="1"/>
  <c r="BE25" i="42"/>
  <c r="X41" i="4"/>
  <c r="AZ241" i="1"/>
  <c r="BH361" i="1"/>
  <c r="BD326" i="1"/>
  <c r="BT43" i="4" s="1"/>
  <c r="BL361" i="1"/>
  <c r="BY355" i="1"/>
  <c r="BR75" i="42" s="1"/>
  <c r="Q69" i="42" s="1"/>
  <c r="Q56" i="10"/>
  <c r="H60" i="10"/>
  <c r="BD330" i="1"/>
  <c r="BG53" i="42" s="1"/>
  <c r="AH56" i="4"/>
  <c r="AH52" i="4"/>
  <c r="AH53" i="4"/>
  <c r="ER56" i="4"/>
  <c r="AG92" i="42"/>
  <c r="L333" i="1"/>
  <c r="L334" i="1" s="1"/>
  <c r="BU14" i="4" s="1"/>
  <c r="O49" i="19" s="1"/>
  <c r="L329" i="1"/>
  <c r="L330" i="1" s="1"/>
  <c r="L331" i="1"/>
  <c r="L327" i="1"/>
  <c r="AE18" i="42"/>
  <c r="X69" i="1"/>
  <c r="X63" i="1"/>
  <c r="AL24" i="30"/>
  <c r="AL26" i="30" s="1"/>
  <c r="L326" i="1"/>
  <c r="AG51" i="42"/>
  <c r="AG711" i="1"/>
  <c r="AG716" i="1" s="1"/>
  <c r="AC11" i="30"/>
  <c r="AC22" i="30" s="1"/>
  <c r="AB14" i="30"/>
  <c r="AZ33" i="42"/>
  <c r="AD36" i="4"/>
  <c r="AD33" i="4"/>
  <c r="AE718" i="1"/>
  <c r="T464" i="1"/>
  <c r="T465" i="1" s="1"/>
  <c r="AG723" i="1"/>
  <c r="AG728" i="1"/>
  <c r="AS103" i="42"/>
  <c r="AS104" i="42" s="1"/>
  <c r="E25" i="4"/>
  <c r="AR18" i="42"/>
  <c r="AE706" i="1"/>
  <c r="AE708" i="1" s="1"/>
  <c r="AE703" i="1"/>
  <c r="AZ43" i="42" s="1"/>
  <c r="AE704" i="1"/>
  <c r="AE495" i="1"/>
  <c r="AE714" i="1"/>
  <c r="AE713" i="1"/>
  <c r="AZ21" i="42"/>
  <c r="AZ14" i="42"/>
  <c r="BY295" i="1"/>
  <c r="BY156" i="1"/>
  <c r="BY208" i="1"/>
  <c r="BY90" i="1"/>
  <c r="BY293" i="1"/>
  <c r="BR21" i="42"/>
  <c r="BO21" i="42"/>
  <c r="AX429" i="1"/>
  <c r="AG495" i="1"/>
  <c r="AG704" i="1"/>
  <c r="AG706" i="1"/>
  <c r="AG708" i="1" s="1"/>
  <c r="AG703" i="1"/>
  <c r="BA43" i="42" s="1"/>
  <c r="AG714" i="1"/>
  <c r="AG713" i="1"/>
  <c r="BA21" i="42"/>
  <c r="BA14" i="42"/>
  <c r="AK347" i="1"/>
  <c r="AK348" i="1" s="1"/>
  <c r="AW92" i="42"/>
  <c r="AK345" i="1"/>
  <c r="AK343" i="1"/>
  <c r="AK344" i="1" s="1"/>
  <c r="AK341" i="1"/>
  <c r="R464" i="1"/>
  <c r="R465" i="1" s="1"/>
  <c r="T593" i="1"/>
  <c r="T590" i="1"/>
  <c r="T591" i="1"/>
  <c r="T594" i="1"/>
  <c r="T589" i="1"/>
  <c r="T474" i="1"/>
  <c r="T592" i="1"/>
  <c r="AM70" i="1"/>
  <c r="AM73" i="1"/>
  <c r="AM74" i="1"/>
  <c r="AM71" i="1"/>
  <c r="AM72" i="1"/>
  <c r="AM75" i="1"/>
  <c r="P464" i="1"/>
  <c r="E39" i="4"/>
  <c r="BC103" i="42"/>
  <c r="BC104" i="42" s="1"/>
  <c r="Q23" i="42"/>
  <c r="L777" i="1"/>
  <c r="L778" i="1" s="1"/>
  <c r="AH80" i="42" s="1"/>
  <c r="L779" i="1"/>
  <c r="L780" i="1" s="1"/>
  <c r="AH81" i="42" s="1"/>
  <c r="BD333" i="1"/>
  <c r="AI722" i="1"/>
  <c r="AI725" i="1"/>
  <c r="AI727" i="1"/>
  <c r="AI719" i="1"/>
  <c r="BB93" i="42" s="1"/>
  <c r="AI726" i="1"/>
  <c r="AI721" i="1"/>
  <c r="AI803" i="1"/>
  <c r="AI724" i="1"/>
  <c r="AE710" i="1"/>
  <c r="AZ96" i="42"/>
  <c r="AE612" i="1"/>
  <c r="AK90" i="1"/>
  <c r="AK89" i="1"/>
  <c r="AK169" i="1" s="1"/>
  <c r="AK156" i="1"/>
  <c r="AK166" i="1"/>
  <c r="AK216" i="1"/>
  <c r="AK162" i="1"/>
  <c r="AQ6" i="30"/>
  <c r="AK218" i="1"/>
  <c r="AK211" i="1"/>
  <c r="AK208" i="1"/>
  <c r="AK157" i="1"/>
  <c r="AK212" i="1"/>
  <c r="AQ7" i="30"/>
  <c r="AQ5" i="30"/>
  <c r="AK164" i="1"/>
  <c r="AK168" i="1"/>
  <c r="AK217" i="1"/>
  <c r="AQ8" i="30"/>
  <c r="AK214" i="1"/>
  <c r="AK220" i="1"/>
  <c r="AK161" i="1"/>
  <c r="AK160" i="1"/>
  <c r="AK158" i="1"/>
  <c r="AK159" i="1"/>
  <c r="AK210" i="1"/>
  <c r="AK167" i="1"/>
  <c r="AK213" i="1"/>
  <c r="AK215" i="1"/>
  <c r="AK163" i="1"/>
  <c r="AQ4" i="30"/>
  <c r="AK165" i="1"/>
  <c r="AK219" i="1"/>
  <c r="AK209" i="1"/>
  <c r="CA295" i="1"/>
  <c r="CA156" i="1"/>
  <c r="CA208" i="1"/>
  <c r="CA90" i="1"/>
  <c r="CA293" i="1"/>
  <c r="BP43" i="42" s="1"/>
  <c r="BP21" i="42"/>
  <c r="R589" i="1"/>
  <c r="R590" i="1"/>
  <c r="R594" i="1"/>
  <c r="R592" i="1"/>
  <c r="R591" i="1"/>
  <c r="R593" i="1"/>
  <c r="R474" i="1"/>
  <c r="L783" i="1"/>
  <c r="AH106" i="42" s="1"/>
  <c r="AM339" i="1"/>
  <c r="AM422" i="1"/>
  <c r="AM336" i="1"/>
  <c r="P594" i="1"/>
  <c r="P592" i="1"/>
  <c r="P590" i="1"/>
  <c r="P474" i="1"/>
  <c r="P593" i="1"/>
  <c r="P591" i="1"/>
  <c r="P589" i="1"/>
  <c r="P69" i="1"/>
  <c r="P63" i="1"/>
  <c r="Y18" i="42"/>
  <c r="BW69" i="1"/>
  <c r="BW63" i="1"/>
  <c r="N63" i="1"/>
  <c r="N69" i="1"/>
  <c r="R69" i="1"/>
  <c r="R63" i="1"/>
  <c r="BM18" i="42"/>
  <c r="T69" i="1"/>
  <c r="T63" i="1"/>
  <c r="X468" i="1"/>
  <c r="X457" i="1"/>
  <c r="AE479" i="1"/>
  <c r="AE711" i="1"/>
  <c r="AB11" i="30"/>
  <c r="AB22" i="30" s="1"/>
  <c r="AE613" i="1"/>
  <c r="S108" i="19"/>
  <c r="DH51" i="4"/>
  <c r="CV51" i="4"/>
  <c r="AE614" i="1"/>
  <c r="AE679" i="1" s="1"/>
  <c r="AX361" i="1"/>
  <c r="BD108" i="42"/>
  <c r="AL15" i="30"/>
  <c r="BF377" i="1"/>
  <c r="BH11" i="42"/>
  <c r="BF21" i="1"/>
  <c r="BF19" i="1"/>
  <c r="F70" i="1"/>
  <c r="F72" i="1"/>
  <c r="F71" i="1"/>
  <c r="F73" i="1"/>
  <c r="F74" i="1"/>
  <c r="F75" i="1"/>
  <c r="L156" i="1"/>
  <c r="L90" i="1"/>
  <c r="L208" i="1"/>
  <c r="L151" i="1"/>
  <c r="L203" i="1"/>
  <c r="L200" i="1"/>
  <c r="L147" i="1"/>
  <c r="L153" i="1"/>
  <c r="L202" i="1"/>
  <c r="L149" i="1"/>
  <c r="L198" i="1"/>
  <c r="L204" i="1"/>
  <c r="L146" i="1"/>
  <c r="L154" i="1"/>
  <c r="L196" i="1"/>
  <c r="L152" i="1"/>
  <c r="L207" i="1"/>
  <c r="L195" i="1"/>
  <c r="L143" i="1"/>
  <c r="L144" i="1"/>
  <c r="L155" i="1"/>
  <c r="L201" i="1"/>
  <c r="L145" i="1"/>
  <c r="L206" i="1"/>
  <c r="L197" i="1"/>
  <c r="L148" i="1"/>
  <c r="L205" i="1"/>
  <c r="L199" i="1"/>
  <c r="L150" i="1"/>
  <c r="AK228" i="1"/>
  <c r="AK229" i="1"/>
  <c r="AK98" i="1"/>
  <c r="AK103" i="1" s="1"/>
  <c r="AK230" i="1"/>
  <c r="AK227" i="1"/>
  <c r="AK231" i="1"/>
  <c r="F464" i="1"/>
  <c r="F465" i="1" s="1"/>
  <c r="AK340" i="1"/>
  <c r="AW51" i="42"/>
  <c r="BB85" i="42"/>
  <c r="E43" i="4"/>
  <c r="BG103" i="42"/>
  <c r="BG104" i="42" s="1"/>
  <c r="AK76" i="1" a="1"/>
  <c r="AW22" i="42"/>
  <c r="BY460" i="1"/>
  <c r="BR66" i="42" s="1"/>
  <c r="BR50" i="42"/>
  <c r="Q65" i="42" s="1"/>
  <c r="BY457" i="1"/>
  <c r="AE70" i="1"/>
  <c r="AE75" i="1"/>
  <c r="AE74" i="1"/>
  <c r="AE73" i="1"/>
  <c r="AE72" i="1"/>
  <c r="AE71" i="1"/>
  <c r="AM93" i="1"/>
  <c r="AM83" i="1"/>
  <c r="E23" i="4"/>
  <c r="AQ103" i="42"/>
  <c r="AQ104" i="42" s="1"/>
  <c r="D64" i="1"/>
  <c r="V69" i="1"/>
  <c r="V63" i="1"/>
  <c r="CC63" i="1"/>
  <c r="CC69" i="1"/>
  <c r="AI109" i="1"/>
  <c r="AV18" i="42"/>
  <c r="L584" i="1"/>
  <c r="L465" i="1"/>
  <c r="L532" i="1"/>
  <c r="L571" i="1"/>
  <c r="L525" i="1"/>
  <c r="L582" i="1"/>
  <c r="L530" i="1"/>
  <c r="L526" i="1"/>
  <c r="L574" i="1"/>
  <c r="L523" i="1"/>
  <c r="L577" i="1"/>
  <c r="L531" i="1"/>
  <c r="L579" i="1"/>
  <c r="L521" i="1"/>
  <c r="L524" i="1"/>
  <c r="L573" i="1"/>
  <c r="L527" i="1"/>
  <c r="L520" i="1"/>
  <c r="L578" i="1"/>
  <c r="L576" i="1"/>
  <c r="L528" i="1"/>
  <c r="L572" i="1"/>
  <c r="L580" i="1"/>
  <c r="L519" i="1"/>
  <c r="L583" i="1"/>
  <c r="L575" i="1"/>
  <c r="L522" i="1"/>
  <c r="L581" i="1"/>
  <c r="L529" i="1"/>
  <c r="GR45" i="4"/>
  <c r="L102" i="19"/>
  <c r="CO45" i="4"/>
  <c r="DA45" i="4"/>
  <c r="L217" i="1"/>
  <c r="L218" i="1"/>
  <c r="L214" i="1"/>
  <c r="L215" i="1"/>
  <c r="L216" i="1"/>
  <c r="L98" i="1"/>
  <c r="L211" i="1" s="1"/>
  <c r="BD403" i="1"/>
  <c r="BD402" i="1"/>
  <c r="F591" i="1"/>
  <c r="F594" i="1"/>
  <c r="F590" i="1"/>
  <c r="F593" i="1"/>
  <c r="F592" i="1"/>
  <c r="F474" i="1"/>
  <c r="F589" i="1"/>
  <c r="J464" i="1"/>
  <c r="H70" i="1"/>
  <c r="H71" i="1"/>
  <c r="H73" i="1"/>
  <c r="H72" i="1"/>
  <c r="H75" i="1"/>
  <c r="H74" i="1"/>
  <c r="D464" i="1"/>
  <c r="D465" i="1" s="1"/>
  <c r="AX418" i="1"/>
  <c r="L593" i="1"/>
  <c r="L594" i="1"/>
  <c r="L474" i="1"/>
  <c r="L587" i="1" s="1"/>
  <c r="L592" i="1"/>
  <c r="L590" i="1"/>
  <c r="L591" i="1"/>
  <c r="L589" i="1"/>
  <c r="N464" i="1"/>
  <c r="BN56" i="4"/>
  <c r="BY357" i="1"/>
  <c r="J592" i="1"/>
  <c r="J474" i="1"/>
  <c r="J591" i="1"/>
  <c r="J589" i="1"/>
  <c r="J593" i="1"/>
  <c r="J594" i="1"/>
  <c r="J590" i="1"/>
  <c r="DA40" i="4"/>
  <c r="L97" i="19"/>
  <c r="CO40" i="4"/>
  <c r="GR40" i="4"/>
  <c r="L104" i="19"/>
  <c r="CO47" i="4"/>
  <c r="DA47" i="4"/>
  <c r="GR47" i="4"/>
  <c r="V468" i="1"/>
  <c r="V457" i="1"/>
  <c r="AV77" i="1"/>
  <c r="AV67" i="1"/>
  <c r="AP18" i="42"/>
  <c r="AL18" i="42"/>
  <c r="BU69" i="1"/>
  <c r="BU63" i="1"/>
  <c r="D590" i="1"/>
  <c r="D592" i="1"/>
  <c r="D589" i="1"/>
  <c r="D591" i="1"/>
  <c r="D593" i="1"/>
  <c r="D474" i="1"/>
  <c r="D594" i="1"/>
  <c r="AI478" i="1"/>
  <c r="AI488" i="1"/>
  <c r="N590" i="1"/>
  <c r="N592" i="1"/>
  <c r="N594" i="1"/>
  <c r="N474" i="1"/>
  <c r="N589" i="1"/>
  <c r="N591" i="1"/>
  <c r="N593" i="1"/>
  <c r="L76" i="1" a="1"/>
  <c r="AG22" i="42"/>
  <c r="BD77" i="1"/>
  <c r="BD67" i="1"/>
  <c r="BY353" i="1"/>
  <c r="BR74" i="42" s="1"/>
  <c r="Q68" i="42" s="1"/>
  <c r="BR77" i="42"/>
  <c r="Q67" i="42" s="1"/>
  <c r="O96" i="42" s="1"/>
  <c r="BY459" i="1"/>
  <c r="BY470" i="1"/>
  <c r="BY352" i="1"/>
  <c r="BY469" i="1"/>
  <c r="AK18" i="42"/>
  <c r="BN18" i="42"/>
  <c r="AI18" i="42"/>
  <c r="BQ18" i="42"/>
  <c r="AN18" i="42"/>
  <c r="J69" i="1"/>
  <c r="J63" i="1"/>
  <c r="AI64" i="1"/>
  <c r="AE32" i="4"/>
  <c r="BR32" i="4"/>
  <c r="AA33" i="4"/>
  <c r="AA36" i="4"/>
  <c r="AZ41" i="4"/>
  <c r="AW37" i="4"/>
  <c r="CA76" i="1" a="1"/>
  <c r="BA41" i="4"/>
  <c r="BR34" i="4"/>
  <c r="BB36" i="4"/>
  <c r="BP15" i="4"/>
  <c r="BB37" i="4"/>
  <c r="AG21" i="4"/>
  <c r="AG13" i="4"/>
  <c r="BF42" i="1" a="1"/>
  <c r="AY36" i="4"/>
  <c r="BP56" i="4"/>
  <c r="BP52" i="4"/>
  <c r="BP7" i="4"/>
  <c r="BC36" i="4"/>
  <c r="AE33" i="4"/>
  <c r="BP36" i="4"/>
  <c r="AZ36" i="4"/>
  <c r="AE31" i="4"/>
  <c r="AZ37" i="4"/>
  <c r="AW36" i="4"/>
  <c r="AE8" i="4"/>
  <c r="BP53" i="4"/>
  <c r="AG7" i="4"/>
  <c r="AE10" i="4"/>
  <c r="AG38" i="4"/>
  <c r="AE28" i="4"/>
  <c r="BP9" i="4"/>
  <c r="BC37" i="4"/>
  <c r="BP38" i="4"/>
  <c r="AG19" i="4"/>
  <c r="BP14" i="4"/>
  <c r="AG17" i="4"/>
  <c r="AE34" i="4"/>
  <c r="BY76" i="1" a="1"/>
  <c r="BP19" i="4"/>
  <c r="BP17" i="4"/>
  <c r="BG52" i="42" l="1"/>
  <c r="AU92" i="42"/>
  <c r="AG343" i="1"/>
  <c r="AG344" i="1" s="1"/>
  <c r="AG341" i="1"/>
  <c r="AG347" i="1"/>
  <c r="AG348" i="1" s="1"/>
  <c r="AG345" i="1"/>
  <c r="AE6" i="30"/>
  <c r="AE5" i="30"/>
  <c r="AG167" i="1"/>
  <c r="AG156" i="1"/>
  <c r="AG220" i="1"/>
  <c r="AG210" i="1"/>
  <c r="AG215" i="1"/>
  <c r="AG208" i="1"/>
  <c r="AG90" i="1"/>
  <c r="AG219" i="1"/>
  <c r="AG160" i="1"/>
  <c r="AG216" i="1"/>
  <c r="AE7" i="30"/>
  <c r="AG161" i="1"/>
  <c r="AG212" i="1"/>
  <c r="AG168" i="1"/>
  <c r="AG214" i="1"/>
  <c r="AG158" i="1"/>
  <c r="AG166" i="1"/>
  <c r="AG213" i="1"/>
  <c r="AG164" i="1"/>
  <c r="AG159" i="1"/>
  <c r="AG165" i="1"/>
  <c r="AG89" i="1"/>
  <c r="AE8" i="30"/>
  <c r="AG209" i="1"/>
  <c r="AG211" i="1"/>
  <c r="AE4" i="30"/>
  <c r="AG162" i="1"/>
  <c r="AG163" i="1"/>
  <c r="AG157" i="1"/>
  <c r="AG218" i="1"/>
  <c r="AG217" i="1"/>
  <c r="AG227" i="1"/>
  <c r="AG229" i="1"/>
  <c r="AG228" i="1"/>
  <c r="AG98" i="1"/>
  <c r="AG231" i="1"/>
  <c r="AG230" i="1"/>
  <c r="AG340" i="1"/>
  <c r="AU51" i="42"/>
  <c r="AG76" i="1" a="1"/>
  <c r="AU22" i="42"/>
  <c r="AZ252" i="1"/>
  <c r="AI25" i="30"/>
  <c r="AI28" i="30" s="1"/>
  <c r="AI27" i="30"/>
  <c r="AI29" i="30" s="1"/>
  <c r="BE97" i="42"/>
  <c r="AD103" i="42"/>
  <c r="AD104" i="42" s="1"/>
  <c r="E11" i="4"/>
  <c r="AZ92" i="1"/>
  <c r="AZ91" i="1"/>
  <c r="AZ83" i="1" s="1"/>
  <c r="AZ93" i="1"/>
  <c r="H468" i="1"/>
  <c r="H457" i="1"/>
  <c r="BE47" i="42"/>
  <c r="BE46" i="42"/>
  <c r="BU43" i="4"/>
  <c r="BD404" i="1"/>
  <c r="BG106" i="42" s="1"/>
  <c r="J465" i="1"/>
  <c r="L332" i="1"/>
  <c r="AG53" i="42" s="1"/>
  <c r="L479" i="1"/>
  <c r="G69" i="42"/>
  <c r="D54" i="23"/>
  <c r="D56" i="23" s="1"/>
  <c r="C141" i="38"/>
  <c r="AK221" i="1"/>
  <c r="AK342" i="1"/>
  <c r="AW52" i="42" s="1"/>
  <c r="AK349" i="1"/>
  <c r="AK416" i="1" s="1"/>
  <c r="AK417" i="1" s="1"/>
  <c r="AW81" i="42" s="1"/>
  <c r="AK346" i="1"/>
  <c r="BF42" i="1"/>
  <c r="BF49" i="1" s="1"/>
  <c r="BF43" i="1"/>
  <c r="BF45" i="1"/>
  <c r="BF44" i="1"/>
  <c r="BF46" i="1"/>
  <c r="BF47" i="1"/>
  <c r="BH102" i="42" s="1"/>
  <c r="BY82" i="1"/>
  <c r="BY81" i="1"/>
  <c r="BY80" i="1"/>
  <c r="BY76" i="1"/>
  <c r="BY77" i="1"/>
  <c r="BY84" i="1" s="1"/>
  <c r="BY78" i="1"/>
  <c r="BY79" i="1"/>
  <c r="BQ53" i="4"/>
  <c r="CA82" i="1"/>
  <c r="CA76" i="1"/>
  <c r="CA78" i="1"/>
  <c r="CA81" i="1"/>
  <c r="CA79" i="1"/>
  <c r="CA77" i="1"/>
  <c r="CA84" i="1" s="1"/>
  <c r="CA80" i="1"/>
  <c r="BQ52" i="4"/>
  <c r="BQ56" i="4"/>
  <c r="AI672" i="1"/>
  <c r="AI623" i="1"/>
  <c r="AI637" i="1"/>
  <c r="AI630" i="1"/>
  <c r="BD74" i="1"/>
  <c r="BD205" i="1"/>
  <c r="BD153" i="1"/>
  <c r="BD148" i="1"/>
  <c r="BD193" i="1"/>
  <c r="BD152" i="1"/>
  <c r="BD144" i="1"/>
  <c r="AK7" i="30"/>
  <c r="BD197" i="1"/>
  <c r="BD195" i="1"/>
  <c r="BD201" i="1"/>
  <c r="BD140" i="1"/>
  <c r="BD204" i="1"/>
  <c r="BD194" i="1"/>
  <c r="AK6" i="30"/>
  <c r="BD203" i="1"/>
  <c r="BD146" i="1"/>
  <c r="BD199" i="1"/>
  <c r="AK5" i="30"/>
  <c r="BD145" i="1"/>
  <c r="AK8" i="30"/>
  <c r="BD192" i="1"/>
  <c r="BD142" i="1"/>
  <c r="BD147" i="1"/>
  <c r="AK4" i="30"/>
  <c r="BD143" i="1"/>
  <c r="BD196" i="1"/>
  <c r="BD149" i="1"/>
  <c r="BD141" i="1"/>
  <c r="BD150" i="1"/>
  <c r="BD151" i="1"/>
  <c r="BD200" i="1"/>
  <c r="BD202" i="1"/>
  <c r="BD198" i="1"/>
  <c r="BD215" i="1"/>
  <c r="BD212" i="1"/>
  <c r="BD82" i="1"/>
  <c r="BD207" i="1" s="1"/>
  <c r="BD213" i="1"/>
  <c r="BD211" i="1"/>
  <c r="BD214" i="1"/>
  <c r="BY463" i="1"/>
  <c r="BY464" i="1" s="1"/>
  <c r="BR83" i="42" s="1"/>
  <c r="BY461" i="1"/>
  <c r="BY462" i="1" s="1"/>
  <c r="BR82" i="42" s="1"/>
  <c r="N646" i="1"/>
  <c r="N611" i="1"/>
  <c r="N625" i="1"/>
  <c r="N604" i="1"/>
  <c r="N639" i="1"/>
  <c r="N653" i="1"/>
  <c r="N597" i="1"/>
  <c r="N632" i="1"/>
  <c r="AJ26" i="42"/>
  <c r="AI711" i="1"/>
  <c r="AI716" i="1" s="1"/>
  <c r="D617" i="1"/>
  <c r="D623" i="1" s="1"/>
  <c r="D624" i="1"/>
  <c r="D638" i="1"/>
  <c r="D595" i="1"/>
  <c r="D631" i="1"/>
  <c r="Z25" i="42"/>
  <c r="X7" i="4"/>
  <c r="J625" i="1"/>
  <c r="J653" i="1"/>
  <c r="J646" i="1"/>
  <c r="J639" i="1"/>
  <c r="J604" i="1"/>
  <c r="J611" i="1"/>
  <c r="J597" i="1"/>
  <c r="J632" i="1"/>
  <c r="AF26" i="42"/>
  <c r="L643" i="1"/>
  <c r="L657" i="1"/>
  <c r="L650" i="1"/>
  <c r="L629" i="1"/>
  <c r="L615" i="1"/>
  <c r="L608" i="1"/>
  <c r="L601" i="1"/>
  <c r="L636" i="1"/>
  <c r="AH30" i="42"/>
  <c r="F628" i="1"/>
  <c r="F656" i="1"/>
  <c r="F649" i="1"/>
  <c r="F642" i="1"/>
  <c r="F614" i="1"/>
  <c r="F607" i="1"/>
  <c r="F600" i="1"/>
  <c r="F635" i="1"/>
  <c r="AB29" i="42"/>
  <c r="L246" i="1"/>
  <c r="L264" i="1"/>
  <c r="L258" i="1"/>
  <c r="L270" i="1"/>
  <c r="L234" i="1"/>
  <c r="L228" i="1"/>
  <c r="L222" i="1"/>
  <c r="L252" i="1"/>
  <c r="AG27" i="42"/>
  <c r="L586" i="1"/>
  <c r="AK251" i="1"/>
  <c r="AK256" i="1" s="1"/>
  <c r="AW97" i="42" s="1"/>
  <c r="AK257" i="1"/>
  <c r="AK232" i="1"/>
  <c r="AK245" i="1"/>
  <c r="AK239" i="1"/>
  <c r="AK275" i="1"/>
  <c r="AK269" i="1"/>
  <c r="AK281" i="1"/>
  <c r="AK233" i="1"/>
  <c r="AK263" i="1"/>
  <c r="AW25" i="42"/>
  <c r="AB27" i="30"/>
  <c r="AB29" i="30" s="1"/>
  <c r="AB25" i="30"/>
  <c r="AB28" i="30" s="1"/>
  <c r="X464" i="1"/>
  <c r="P683" i="1"/>
  <c r="P688" i="1" s="1"/>
  <c r="AM340" i="1"/>
  <c r="AX51" i="42"/>
  <c r="R638" i="1"/>
  <c r="R624" i="1"/>
  <c r="R617" i="1"/>
  <c r="R623" i="1" s="1"/>
  <c r="R595" i="1"/>
  <c r="R631" i="1"/>
  <c r="X17" i="4"/>
  <c r="AM25" i="42"/>
  <c r="T643" i="1"/>
  <c r="T650" i="1"/>
  <c r="T657" i="1"/>
  <c r="T629" i="1"/>
  <c r="T615" i="1"/>
  <c r="T608" i="1"/>
  <c r="T601" i="1"/>
  <c r="T636" i="1"/>
  <c r="AO30" i="42"/>
  <c r="AE496" i="1"/>
  <c r="AE499" i="1" s="1"/>
  <c r="AC27" i="30"/>
  <c r="AC29" i="30" s="1"/>
  <c r="AC25" i="30"/>
  <c r="AC28" i="30" s="1"/>
  <c r="J70" i="1"/>
  <c r="J74" i="1"/>
  <c r="J72" i="1"/>
  <c r="J73" i="1"/>
  <c r="J75" i="1"/>
  <c r="J71" i="1"/>
  <c r="AI706" i="1"/>
  <c r="AI708" i="1" s="1"/>
  <c r="AI704" i="1"/>
  <c r="AI495" i="1"/>
  <c r="AI703" i="1"/>
  <c r="BB43" i="42" s="1"/>
  <c r="AI713" i="1"/>
  <c r="AI714" i="1"/>
  <c r="BB21" i="42"/>
  <c r="BB14" i="42"/>
  <c r="N678" i="1"/>
  <c r="N475" i="1"/>
  <c r="N477" i="1" s="1"/>
  <c r="N480" i="1" s="1"/>
  <c r="N676" i="1"/>
  <c r="AJ43" i="42" s="1"/>
  <c r="AJ14" i="42"/>
  <c r="AJ21" i="42"/>
  <c r="N465" i="1"/>
  <c r="L656" i="1"/>
  <c r="L649" i="1"/>
  <c r="L642" i="1"/>
  <c r="L628" i="1"/>
  <c r="L614" i="1"/>
  <c r="L607" i="1"/>
  <c r="L600" i="1"/>
  <c r="L635" i="1"/>
  <c r="AH29" i="42"/>
  <c r="F625" i="1"/>
  <c r="F646" i="1"/>
  <c r="F639" i="1"/>
  <c r="F653" i="1"/>
  <c r="F611" i="1"/>
  <c r="F604" i="1"/>
  <c r="F597" i="1"/>
  <c r="F632" i="1"/>
  <c r="AB26" i="42"/>
  <c r="L269" i="1"/>
  <c r="L257" i="1"/>
  <c r="L245" i="1"/>
  <c r="L263" i="1"/>
  <c r="L227" i="1"/>
  <c r="L233" i="1"/>
  <c r="L221" i="1"/>
  <c r="L251" i="1"/>
  <c r="AG26" i="42"/>
  <c r="AK82" i="1"/>
  <c r="AK80" i="1"/>
  <c r="AK76" i="1"/>
  <c r="AK81" i="1"/>
  <c r="AK77" i="1"/>
  <c r="AK78" i="1"/>
  <c r="AK79" i="1"/>
  <c r="AK248" i="1"/>
  <c r="AK260" i="1"/>
  <c r="AK242" i="1"/>
  <c r="AK261" i="1" s="1"/>
  <c r="AK278" i="1"/>
  <c r="AK284" i="1"/>
  <c r="AK272" i="1"/>
  <c r="AK236" i="1"/>
  <c r="AK266" i="1"/>
  <c r="AW28" i="42"/>
  <c r="BF23" i="1"/>
  <c r="BF24" i="1" s="1"/>
  <c r="BH15" i="42" s="1"/>
  <c r="U44" i="4"/>
  <c r="T44" i="4" s="1"/>
  <c r="X593" i="1"/>
  <c r="X474" i="1"/>
  <c r="X590" i="1"/>
  <c r="X592" i="1"/>
  <c r="X594" i="1"/>
  <c r="X591" i="1"/>
  <c r="X589" i="1"/>
  <c r="P70" i="1"/>
  <c r="P74" i="1"/>
  <c r="P72" i="1"/>
  <c r="P75" i="1"/>
  <c r="P73" i="1"/>
  <c r="P71" i="1"/>
  <c r="P653" i="1"/>
  <c r="P646" i="1"/>
  <c r="P639" i="1"/>
  <c r="P604" i="1"/>
  <c r="P611" i="1"/>
  <c r="P632" i="1"/>
  <c r="P625" i="1"/>
  <c r="P597" i="1"/>
  <c r="AK223" i="1"/>
  <c r="AK307" i="1"/>
  <c r="AK306" i="1"/>
  <c r="AW43" i="42" s="1"/>
  <c r="AK308" i="1"/>
  <c r="AK309" i="1"/>
  <c r="AK139" i="1"/>
  <c r="AK190" i="1"/>
  <c r="AK193" i="1"/>
  <c r="AK135" i="1"/>
  <c r="AW21" i="42"/>
  <c r="AK102" i="1"/>
  <c r="AK189" i="1"/>
  <c r="AK141" i="1"/>
  <c r="AK133" i="1"/>
  <c r="AK142" i="1"/>
  <c r="AK134" i="1"/>
  <c r="AK132" i="1"/>
  <c r="AK188" i="1"/>
  <c r="AK194" i="1"/>
  <c r="AK182" i="1"/>
  <c r="AK138" i="1"/>
  <c r="AK140" i="1"/>
  <c r="AK137" i="1"/>
  <c r="AK185" i="1"/>
  <c r="AK184" i="1"/>
  <c r="AK191" i="1"/>
  <c r="AK183" i="1"/>
  <c r="AK296" i="1"/>
  <c r="AW42" i="42" s="1"/>
  <c r="AK192" i="1"/>
  <c r="AK136" i="1"/>
  <c r="AK186" i="1"/>
  <c r="AK131" i="1"/>
  <c r="AK130" i="1"/>
  <c r="AK187" i="1"/>
  <c r="T654" i="1"/>
  <c r="T647" i="1"/>
  <c r="T640" i="1"/>
  <c r="T626" i="1"/>
  <c r="T612" i="1"/>
  <c r="T605" i="1"/>
  <c r="T598" i="1"/>
  <c r="T633" i="1"/>
  <c r="AO27" i="42"/>
  <c r="AG797" i="1"/>
  <c r="AG798" i="1" s="1"/>
  <c r="BA80" i="42" s="1"/>
  <c r="AG795" i="1"/>
  <c r="AG796" i="1" s="1"/>
  <c r="AG712" i="1"/>
  <c r="D627" i="1"/>
  <c r="D641" i="1"/>
  <c r="D648" i="1"/>
  <c r="D655" i="1"/>
  <c r="D613" i="1"/>
  <c r="D606" i="1"/>
  <c r="D599" i="1"/>
  <c r="D634" i="1"/>
  <c r="Z28" i="42"/>
  <c r="J643" i="1"/>
  <c r="J650" i="1"/>
  <c r="J629" i="1"/>
  <c r="J657" i="1"/>
  <c r="J615" i="1"/>
  <c r="J608" i="1"/>
  <c r="J601" i="1"/>
  <c r="J636" i="1"/>
  <c r="AF30" i="42"/>
  <c r="CI56" i="4"/>
  <c r="BR76" i="42"/>
  <c r="S93" i="42" s="1"/>
  <c r="N614" i="1"/>
  <c r="N628" i="1"/>
  <c r="N607" i="1"/>
  <c r="N649" i="1"/>
  <c r="N642" i="1"/>
  <c r="N656" i="1"/>
  <c r="N600" i="1"/>
  <c r="N635" i="1"/>
  <c r="AJ29" i="42"/>
  <c r="D653" i="1"/>
  <c r="D646" i="1"/>
  <c r="D639" i="1"/>
  <c r="D625" i="1"/>
  <c r="D611" i="1"/>
  <c r="D604" i="1"/>
  <c r="D597" i="1"/>
  <c r="D632" i="1"/>
  <c r="Z26" i="42"/>
  <c r="AG8" i="30"/>
  <c r="O15" i="30" s="1"/>
  <c r="AG4" i="30"/>
  <c r="O11" i="30" s="1"/>
  <c r="AG5" i="30"/>
  <c r="O12" i="30" s="1"/>
  <c r="AG7" i="30"/>
  <c r="O14" i="30" s="1"/>
  <c r="AG6" i="30"/>
  <c r="O13" i="30" s="1"/>
  <c r="J628" i="1"/>
  <c r="J649" i="1"/>
  <c r="J642" i="1"/>
  <c r="J656" i="1"/>
  <c r="J614" i="1"/>
  <c r="J607" i="1"/>
  <c r="J600" i="1"/>
  <c r="J635" i="1"/>
  <c r="AF29" i="42"/>
  <c r="AG630" i="1"/>
  <c r="AG637" i="1"/>
  <c r="AG672" i="1"/>
  <c r="AG623" i="1"/>
  <c r="AC22" i="42"/>
  <c r="AC102" i="42" s="1"/>
  <c r="F629" i="1"/>
  <c r="F643" i="1"/>
  <c r="F657" i="1"/>
  <c r="F650" i="1"/>
  <c r="F615" i="1"/>
  <c r="F608" i="1"/>
  <c r="F601" i="1"/>
  <c r="F636" i="1"/>
  <c r="AB30" i="42"/>
  <c r="L268" i="1"/>
  <c r="L238" i="1"/>
  <c r="L243" i="1" s="1"/>
  <c r="L256" i="1"/>
  <c r="L244" i="1"/>
  <c r="L262" i="1"/>
  <c r="L226" i="1"/>
  <c r="L219" i="1"/>
  <c r="L232" i="1"/>
  <c r="L220" i="1"/>
  <c r="L250" i="1"/>
  <c r="X14" i="4"/>
  <c r="AG25" i="42"/>
  <c r="D63" i="1"/>
  <c r="D69" i="1"/>
  <c r="AK314" i="1"/>
  <c r="AK319" i="1" s="1"/>
  <c r="AK108" i="1"/>
  <c r="AQ11" i="30"/>
  <c r="AK101" i="1"/>
  <c r="L103" i="1"/>
  <c r="AA22" i="42"/>
  <c r="T70" i="1"/>
  <c r="T73" i="1"/>
  <c r="T72" i="1"/>
  <c r="T75" i="1"/>
  <c r="T71" i="1"/>
  <c r="T74" i="1"/>
  <c r="P655" i="1"/>
  <c r="P648" i="1"/>
  <c r="P641" i="1"/>
  <c r="P613" i="1"/>
  <c r="P634" i="1"/>
  <c r="P606" i="1"/>
  <c r="P627" i="1"/>
  <c r="P599" i="1"/>
  <c r="R683" i="1"/>
  <c r="R688" i="1" s="1"/>
  <c r="CA318" i="1"/>
  <c r="AI728" i="1"/>
  <c r="AI723" i="1"/>
  <c r="P465" i="1"/>
  <c r="T653" i="1"/>
  <c r="T646" i="1"/>
  <c r="T639" i="1"/>
  <c r="T625" i="1"/>
  <c r="T611" i="1"/>
  <c r="T604" i="1"/>
  <c r="T597" i="1"/>
  <c r="T632" i="1"/>
  <c r="AO26" i="42"/>
  <c r="BA45" i="42"/>
  <c r="BY318" i="1"/>
  <c r="AG799" i="1"/>
  <c r="AG800" i="1"/>
  <c r="L82" i="1"/>
  <c r="L79" i="1"/>
  <c r="L76" i="1"/>
  <c r="L78" i="1"/>
  <c r="L77" i="1"/>
  <c r="L81" i="1"/>
  <c r="L80" i="1"/>
  <c r="AI479" i="1"/>
  <c r="L645" i="1"/>
  <c r="L652" i="1"/>
  <c r="L638" i="1"/>
  <c r="L624" i="1"/>
  <c r="L595" i="1"/>
  <c r="L610" i="1"/>
  <c r="L603" i="1"/>
  <c r="L617" i="1"/>
  <c r="L623" i="1" s="1"/>
  <c r="L596" i="1"/>
  <c r="L631" i="1"/>
  <c r="X15" i="4"/>
  <c r="AH25" i="42"/>
  <c r="F626" i="1"/>
  <c r="F654" i="1"/>
  <c r="F647" i="1"/>
  <c r="F640" i="1"/>
  <c r="F612" i="1"/>
  <c r="F605" i="1"/>
  <c r="F598" i="1"/>
  <c r="F633" i="1"/>
  <c r="AB27" i="42"/>
  <c r="AK241" i="1"/>
  <c r="AK259" i="1"/>
  <c r="AK247" i="1"/>
  <c r="AK283" i="1"/>
  <c r="AK277" i="1"/>
  <c r="AK271" i="1"/>
  <c r="AK235" i="1"/>
  <c r="AK265" i="1"/>
  <c r="AW27" i="42"/>
  <c r="P643" i="1"/>
  <c r="P650" i="1"/>
  <c r="P657" i="1"/>
  <c r="P615" i="1"/>
  <c r="P636" i="1"/>
  <c r="P608" i="1"/>
  <c r="P629" i="1"/>
  <c r="P601" i="1"/>
  <c r="R628" i="1"/>
  <c r="R649" i="1"/>
  <c r="R642" i="1"/>
  <c r="R656" i="1"/>
  <c r="R614" i="1"/>
  <c r="R607" i="1"/>
  <c r="R600" i="1"/>
  <c r="R635" i="1"/>
  <c r="AM29" i="42"/>
  <c r="BD398" i="1"/>
  <c r="BD400" i="1"/>
  <c r="BD401" i="1" s="1"/>
  <c r="BG81" i="42" s="1"/>
  <c r="T642" i="1"/>
  <c r="T656" i="1"/>
  <c r="T649" i="1"/>
  <c r="T628" i="1"/>
  <c r="T614" i="1"/>
  <c r="T607" i="1"/>
  <c r="T600" i="1"/>
  <c r="T635" i="1"/>
  <c r="AO29" i="42"/>
  <c r="BA46" i="42"/>
  <c r="BY466" i="1"/>
  <c r="BY465" i="1"/>
  <c r="DH52" i="4"/>
  <c r="N605" i="1"/>
  <c r="N647" i="1"/>
  <c r="N612" i="1"/>
  <c r="N626" i="1"/>
  <c r="N654" i="1"/>
  <c r="N640" i="1"/>
  <c r="N598" i="1"/>
  <c r="N633" i="1"/>
  <c r="AJ27" i="42"/>
  <c r="BU89" i="1"/>
  <c r="BU70" i="1"/>
  <c r="BU72" i="1"/>
  <c r="BU71" i="1"/>
  <c r="BU74" i="1"/>
  <c r="BU73" i="1"/>
  <c r="BU75" i="1"/>
  <c r="AV82" i="1"/>
  <c r="AE109" i="1" s="1"/>
  <c r="AV213" i="1"/>
  <c r="AV214" i="1"/>
  <c r="AV215" i="1"/>
  <c r="AV211" i="1"/>
  <c r="AV212" i="1"/>
  <c r="J624" i="1"/>
  <c r="J638" i="1"/>
  <c r="J617" i="1"/>
  <c r="J623" i="1" s="1"/>
  <c r="J595" i="1"/>
  <c r="J631" i="1"/>
  <c r="X13" i="4"/>
  <c r="AF25" i="42"/>
  <c r="L260" i="1"/>
  <c r="L272" i="1"/>
  <c r="L266" i="1"/>
  <c r="L236" i="1"/>
  <c r="L230" i="1"/>
  <c r="L224" i="1"/>
  <c r="L254" i="1"/>
  <c r="AG29" i="42"/>
  <c r="AI110" i="1"/>
  <c r="AI63" i="1"/>
  <c r="AI69" i="1"/>
  <c r="N624" i="1"/>
  <c r="N617" i="1"/>
  <c r="N623" i="1" s="1"/>
  <c r="AJ97" i="42" s="1"/>
  <c r="N595" i="1"/>
  <c r="N638" i="1"/>
  <c r="N631" i="1"/>
  <c r="AJ25" i="42"/>
  <c r="X21" i="4"/>
  <c r="D650" i="1"/>
  <c r="D643" i="1"/>
  <c r="D629" i="1"/>
  <c r="D657" i="1"/>
  <c r="D615" i="1"/>
  <c r="D608" i="1"/>
  <c r="D601" i="1"/>
  <c r="D636" i="1"/>
  <c r="Z30" i="42"/>
  <c r="V464" i="1"/>
  <c r="J626" i="1"/>
  <c r="J640" i="1"/>
  <c r="J654" i="1"/>
  <c r="J647" i="1"/>
  <c r="J605" i="1"/>
  <c r="J612" i="1"/>
  <c r="J598" i="1"/>
  <c r="J633" i="1"/>
  <c r="AF27" i="42"/>
  <c r="L640" i="1"/>
  <c r="L654" i="1"/>
  <c r="L647" i="1"/>
  <c r="L626" i="1"/>
  <c r="L612" i="1"/>
  <c r="L605" i="1"/>
  <c r="L598" i="1"/>
  <c r="L633" i="1"/>
  <c r="AH27" i="42"/>
  <c r="J678" i="1"/>
  <c r="J475" i="1"/>
  <c r="J477" i="1" s="1"/>
  <c r="J480" i="1" s="1"/>
  <c r="J676" i="1"/>
  <c r="AF43" i="42" s="1"/>
  <c r="AF14" i="42"/>
  <c r="AF21" i="42"/>
  <c r="L247" i="1"/>
  <c r="L229" i="1"/>
  <c r="L248" i="1" s="1"/>
  <c r="L271" i="1"/>
  <c r="L265" i="1"/>
  <c r="L259" i="1"/>
  <c r="L235" i="1"/>
  <c r="L223" i="1"/>
  <c r="L253" i="1"/>
  <c r="AG28" i="42"/>
  <c r="AT22" i="42"/>
  <c r="AT102" i="42" s="1"/>
  <c r="AK240" i="1"/>
  <c r="AK258" i="1"/>
  <c r="AK246" i="1"/>
  <c r="AK282" i="1"/>
  <c r="AK276" i="1"/>
  <c r="AK270" i="1"/>
  <c r="AK234" i="1"/>
  <c r="AK264" i="1"/>
  <c r="AW26" i="42"/>
  <c r="L210" i="1"/>
  <c r="BF381" i="1"/>
  <c r="BF382" i="1"/>
  <c r="BH65" i="42" s="1"/>
  <c r="BF378" i="1"/>
  <c r="BF379" i="1" s="1"/>
  <c r="BH72" i="42" s="1"/>
  <c r="N70" i="1"/>
  <c r="N72" i="1"/>
  <c r="N75" i="1"/>
  <c r="N71" i="1"/>
  <c r="N73" i="1"/>
  <c r="N74" i="1"/>
  <c r="R640" i="1"/>
  <c r="R654" i="1"/>
  <c r="R626" i="1"/>
  <c r="R647" i="1"/>
  <c r="R605" i="1"/>
  <c r="R612" i="1"/>
  <c r="R598" i="1"/>
  <c r="R633" i="1"/>
  <c r="AM27" i="42"/>
  <c r="AK224" i="1"/>
  <c r="AM76" i="1" a="1"/>
  <c r="AX22" i="42"/>
  <c r="R678" i="1"/>
  <c r="R475" i="1"/>
  <c r="R477" i="1" s="1"/>
  <c r="R480" i="1" s="1"/>
  <c r="AM21" i="42"/>
  <c r="AM14" i="42"/>
  <c r="R676" i="1"/>
  <c r="AM43" i="42" s="1"/>
  <c r="BA86" i="42"/>
  <c r="AZ45" i="42"/>
  <c r="T678" i="1"/>
  <c r="T475" i="1"/>
  <c r="T477" i="1" s="1"/>
  <c r="T480" i="1" s="1"/>
  <c r="AO21" i="42"/>
  <c r="T676" i="1"/>
  <c r="AO43" i="42" s="1"/>
  <c r="AO14" i="42"/>
  <c r="L328" i="1"/>
  <c r="AG52" i="42" s="1"/>
  <c r="V474" i="1"/>
  <c r="V592" i="1"/>
  <c r="V589" i="1"/>
  <c r="V594" i="1"/>
  <c r="V593" i="1"/>
  <c r="V591" i="1"/>
  <c r="V590" i="1"/>
  <c r="J683" i="1"/>
  <c r="L653" i="1"/>
  <c r="L646" i="1"/>
  <c r="L639" i="1"/>
  <c r="L625" i="1"/>
  <c r="L611" i="1"/>
  <c r="L604" i="1"/>
  <c r="L597" i="1"/>
  <c r="L632" i="1"/>
  <c r="AH26" i="42"/>
  <c r="F624" i="1"/>
  <c r="F638" i="1"/>
  <c r="F617" i="1"/>
  <c r="F623" i="1" s="1"/>
  <c r="AB97" i="42" s="1"/>
  <c r="F595" i="1"/>
  <c r="F631" i="1"/>
  <c r="AB25" i="42"/>
  <c r="AM90" i="1"/>
  <c r="AM89" i="1"/>
  <c r="AM212" i="1"/>
  <c r="AM213" i="1"/>
  <c r="AF5" i="30"/>
  <c r="AM157" i="1"/>
  <c r="AM167" i="1"/>
  <c r="AM156" i="1"/>
  <c r="AM211" i="1"/>
  <c r="AF8" i="30"/>
  <c r="AM216" i="1"/>
  <c r="AM161" i="1"/>
  <c r="AF7" i="30"/>
  <c r="AM209" i="1"/>
  <c r="AM218" i="1"/>
  <c r="AM160" i="1"/>
  <c r="AM158" i="1"/>
  <c r="AF6" i="30"/>
  <c r="AM168" i="1"/>
  <c r="AM215" i="1"/>
  <c r="AM208" i="1"/>
  <c r="AM163" i="1"/>
  <c r="AM165" i="1"/>
  <c r="AM220" i="1"/>
  <c r="AM219" i="1"/>
  <c r="AM217" i="1"/>
  <c r="AM162" i="1"/>
  <c r="AF4" i="30"/>
  <c r="AM214" i="1"/>
  <c r="AM210" i="1"/>
  <c r="AM164" i="1"/>
  <c r="AM166" i="1"/>
  <c r="AM159" i="1"/>
  <c r="BY458" i="1"/>
  <c r="BW89" i="1"/>
  <c r="BW70" i="1"/>
  <c r="BW74" i="1"/>
  <c r="BW75" i="1"/>
  <c r="BW72" i="1"/>
  <c r="BW71" i="1"/>
  <c r="BW73" i="1"/>
  <c r="P638" i="1"/>
  <c r="P595" i="1"/>
  <c r="P617" i="1"/>
  <c r="P623" i="1" s="1"/>
  <c r="P631" i="1"/>
  <c r="P624" i="1"/>
  <c r="R627" i="1"/>
  <c r="R655" i="1"/>
  <c r="R648" i="1"/>
  <c r="R641" i="1"/>
  <c r="R613" i="1"/>
  <c r="R606" i="1"/>
  <c r="R599" i="1"/>
  <c r="R634" i="1"/>
  <c r="AM28" i="42"/>
  <c r="T655" i="1"/>
  <c r="T648" i="1"/>
  <c r="T641" i="1"/>
  <c r="T627" i="1"/>
  <c r="T613" i="1"/>
  <c r="T606" i="1"/>
  <c r="T599" i="1"/>
  <c r="T634" i="1"/>
  <c r="AO28" i="42"/>
  <c r="BA87" i="42"/>
  <c r="AG496" i="1"/>
  <c r="AG499" i="1" s="1"/>
  <c r="BO43" i="42"/>
  <c r="BR43" i="42"/>
  <c r="AZ86" i="42"/>
  <c r="AE722" i="1"/>
  <c r="AE725" i="1"/>
  <c r="AE727" i="1"/>
  <c r="AE726" i="1"/>
  <c r="AE719" i="1"/>
  <c r="AZ93" i="42" s="1"/>
  <c r="AE803" i="1"/>
  <c r="AE721" i="1"/>
  <c r="AE724" i="1"/>
  <c r="N683" i="1"/>
  <c r="N684" i="1" s="1"/>
  <c r="N608" i="1"/>
  <c r="N650" i="1"/>
  <c r="N615" i="1"/>
  <c r="N629" i="1"/>
  <c r="N643" i="1"/>
  <c r="N657" i="1"/>
  <c r="N601" i="1"/>
  <c r="N636" i="1"/>
  <c r="AJ30" i="42"/>
  <c r="D649" i="1"/>
  <c r="D642" i="1"/>
  <c r="D628" i="1"/>
  <c r="D656" i="1"/>
  <c r="D614" i="1"/>
  <c r="D607" i="1"/>
  <c r="D600" i="1"/>
  <c r="D635" i="1"/>
  <c r="Z29" i="42"/>
  <c r="J627" i="1"/>
  <c r="J655" i="1"/>
  <c r="J648" i="1"/>
  <c r="J641" i="1"/>
  <c r="J613" i="1"/>
  <c r="J606" i="1"/>
  <c r="J599" i="1"/>
  <c r="J634" i="1"/>
  <c r="AF28" i="42"/>
  <c r="L641" i="1"/>
  <c r="L648" i="1"/>
  <c r="L655" i="1"/>
  <c r="L627" i="1"/>
  <c r="L613" i="1"/>
  <c r="L606" i="1"/>
  <c r="L599" i="1"/>
  <c r="L634" i="1"/>
  <c r="AH28" i="42"/>
  <c r="F683" i="1"/>
  <c r="F688" i="1" s="1"/>
  <c r="CC89" i="1"/>
  <c r="CC70" i="1"/>
  <c r="CC72" i="1"/>
  <c r="CC74" i="1"/>
  <c r="CC71" i="1"/>
  <c r="CC75" i="1"/>
  <c r="CC73" i="1"/>
  <c r="AM227" i="1"/>
  <c r="AM228" i="1"/>
  <c r="AM229" i="1"/>
  <c r="AM230" i="1"/>
  <c r="AM98" i="1"/>
  <c r="AM231" i="1"/>
  <c r="Q81" i="42"/>
  <c r="O81" i="42"/>
  <c r="AK418" i="1"/>
  <c r="AK419" i="1"/>
  <c r="AE671" i="1"/>
  <c r="AE685" i="1"/>
  <c r="AZ63" i="42"/>
  <c r="AB18" i="30"/>
  <c r="AE630" i="1"/>
  <c r="AE636" i="1" s="1"/>
  <c r="AE623" i="1"/>
  <c r="AE629" i="1" s="1"/>
  <c r="AE672" i="1"/>
  <c r="AE678" i="1" s="1"/>
  <c r="AE637" i="1"/>
  <c r="AE643" i="1" s="1"/>
  <c r="AE716" i="1"/>
  <c r="AZ46" i="42"/>
  <c r="P647" i="1"/>
  <c r="P654" i="1"/>
  <c r="P640" i="1"/>
  <c r="P612" i="1"/>
  <c r="P633" i="1"/>
  <c r="P605" i="1"/>
  <c r="P626" i="1"/>
  <c r="P598" i="1"/>
  <c r="AX92" i="42"/>
  <c r="AM347" i="1"/>
  <c r="AM348" i="1" s="1"/>
  <c r="AM343" i="1"/>
  <c r="AM344" i="1" s="1"/>
  <c r="AM345" i="1"/>
  <c r="AM341" i="1"/>
  <c r="R629" i="1"/>
  <c r="R657" i="1"/>
  <c r="R650" i="1"/>
  <c r="R643" i="1"/>
  <c r="R615" i="1"/>
  <c r="R608" i="1"/>
  <c r="R601" i="1"/>
  <c r="R636" i="1"/>
  <c r="AM30" i="42"/>
  <c r="P678" i="1"/>
  <c r="P475" i="1"/>
  <c r="P477" i="1" s="1"/>
  <c r="P480" i="1" s="1"/>
  <c r="P676" i="1"/>
  <c r="T683" i="1"/>
  <c r="T688" i="1" s="1"/>
  <c r="AK414" i="1"/>
  <c r="AK415" i="1" s="1"/>
  <c r="AW80" i="42" s="1"/>
  <c r="AZ87" i="42"/>
  <c r="X70" i="1"/>
  <c r="X74" i="1"/>
  <c r="X75" i="1"/>
  <c r="X72" i="1"/>
  <c r="X71" i="1"/>
  <c r="X73" i="1"/>
  <c r="BT14" i="4"/>
  <c r="O48" i="19" s="1"/>
  <c r="L335" i="1"/>
  <c r="Q93" i="42"/>
  <c r="S66" i="42"/>
  <c r="D683" i="1"/>
  <c r="D688" i="1" s="1"/>
  <c r="N648" i="1"/>
  <c r="N613" i="1"/>
  <c r="N627" i="1"/>
  <c r="N606" i="1"/>
  <c r="N655" i="1"/>
  <c r="N641" i="1"/>
  <c r="N599" i="1"/>
  <c r="N634" i="1"/>
  <c r="AJ28" i="42"/>
  <c r="D626" i="1"/>
  <c r="D654" i="1"/>
  <c r="D647" i="1"/>
  <c r="D640" i="1"/>
  <c r="D612" i="1"/>
  <c r="D605" i="1"/>
  <c r="D598" i="1"/>
  <c r="D633" i="1"/>
  <c r="Z27" i="42"/>
  <c r="L683" i="1"/>
  <c r="L688" i="1" s="1"/>
  <c r="L478" i="1"/>
  <c r="L477" i="1"/>
  <c r="L480" i="1" s="1"/>
  <c r="D678" i="1"/>
  <c r="D475" i="1"/>
  <c r="D478" i="1" s="1"/>
  <c r="Z14" i="42"/>
  <c r="Z21" i="42"/>
  <c r="D676" i="1"/>
  <c r="Z43" i="42" s="1"/>
  <c r="F627" i="1"/>
  <c r="F655" i="1"/>
  <c r="F648" i="1"/>
  <c r="F641" i="1"/>
  <c r="F606" i="1"/>
  <c r="F613" i="1"/>
  <c r="F599" i="1"/>
  <c r="F634" i="1"/>
  <c r="AB28" i="42"/>
  <c r="L300" i="1"/>
  <c r="L301" i="1" s="1"/>
  <c r="L102" i="1"/>
  <c r="L101" i="1"/>
  <c r="L104" i="1" s="1"/>
  <c r="V70" i="1"/>
  <c r="V72" i="1"/>
  <c r="V71" i="1"/>
  <c r="V74" i="1"/>
  <c r="V73" i="1"/>
  <c r="V75" i="1"/>
  <c r="F678" i="1"/>
  <c r="F475" i="1"/>
  <c r="F478" i="1" s="1"/>
  <c r="AB14" i="42"/>
  <c r="F676" i="1"/>
  <c r="AB43" i="42" s="1"/>
  <c r="AB21" i="42"/>
  <c r="AK249" i="1"/>
  <c r="AK243" i="1"/>
  <c r="AK279" i="1"/>
  <c r="AK285" i="1"/>
  <c r="AK273" i="1"/>
  <c r="AK237" i="1"/>
  <c r="AK267" i="1"/>
  <c r="AW29" i="42"/>
  <c r="AE712" i="1"/>
  <c r="R70" i="1"/>
  <c r="R72" i="1"/>
  <c r="R73" i="1"/>
  <c r="R75" i="1"/>
  <c r="R74" i="1"/>
  <c r="R71" i="1"/>
  <c r="P649" i="1"/>
  <c r="P656" i="1"/>
  <c r="P642" i="1"/>
  <c r="P614" i="1"/>
  <c r="P635" i="1"/>
  <c r="P607" i="1"/>
  <c r="P628" i="1"/>
  <c r="P600" i="1"/>
  <c r="R653" i="1"/>
  <c r="R646" i="1"/>
  <c r="R639" i="1"/>
  <c r="R625" i="1"/>
  <c r="R604" i="1"/>
  <c r="R611" i="1"/>
  <c r="R597" i="1"/>
  <c r="R632" i="1"/>
  <c r="AM26" i="42"/>
  <c r="AZ85" i="42"/>
  <c r="T638" i="1"/>
  <c r="T624" i="1"/>
  <c r="T595" i="1"/>
  <c r="T617" i="1"/>
  <c r="T623" i="1" s="1"/>
  <c r="T631" i="1"/>
  <c r="AO25" i="42"/>
  <c r="X19" i="4"/>
  <c r="BU38" i="4"/>
  <c r="AW53" i="42"/>
  <c r="L404" i="1"/>
  <c r="L405" i="1"/>
  <c r="AG32" i="4"/>
  <c r="BP32" i="4"/>
  <c r="AE76" i="1" a="1"/>
  <c r="AG23" i="4"/>
  <c r="AZ30" i="4"/>
  <c r="AZ13" i="4"/>
  <c r="AG25" i="4"/>
  <c r="F76" i="1" a="1"/>
  <c r="AZ9" i="4"/>
  <c r="AE55" i="4"/>
  <c r="AG30" i="4"/>
  <c r="AG34" i="4"/>
  <c r="BP13" i="4"/>
  <c r="BA14" i="4"/>
  <c r="BP30" i="4"/>
  <c r="AZ17" i="4"/>
  <c r="BA36" i="4"/>
  <c r="AG51" i="4"/>
  <c r="AZ14" i="4"/>
  <c r="AE20" i="4"/>
  <c r="BP43" i="4"/>
  <c r="BC30" i="4"/>
  <c r="BB30" i="4"/>
  <c r="AZ38" i="4"/>
  <c r="BA21" i="4"/>
  <c r="AZ15" i="4"/>
  <c r="AE12" i="4"/>
  <c r="AZ19" i="4"/>
  <c r="AE51" i="4"/>
  <c r="AE5" i="4"/>
  <c r="AZ21" i="4"/>
  <c r="BA37" i="4"/>
  <c r="AE18" i="4"/>
  <c r="AZ7" i="4"/>
  <c r="AW30" i="4"/>
  <c r="AE50" i="4"/>
  <c r="BP21" i="4"/>
  <c r="BP34" i="4"/>
  <c r="AE22" i="4"/>
  <c r="AG55" i="4"/>
  <c r="H76" i="1" a="1"/>
  <c r="AE24" i="4"/>
  <c r="AE54" i="4"/>
  <c r="AE16" i="4"/>
  <c r="BT38" i="4" l="1"/>
  <c r="T637" i="1"/>
  <c r="D680" i="1"/>
  <c r="AG346" i="1"/>
  <c r="BU32" i="4" s="1"/>
  <c r="AK311" i="1"/>
  <c r="AG349" i="1"/>
  <c r="J680" i="1"/>
  <c r="AF45" i="42" s="1"/>
  <c r="AG419" i="1"/>
  <c r="AG418" i="1"/>
  <c r="AG184" i="1"/>
  <c r="AG193" i="1"/>
  <c r="AG102" i="1"/>
  <c r="AG187" i="1"/>
  <c r="AG223" i="1"/>
  <c r="AG169" i="1"/>
  <c r="AG132" i="1"/>
  <c r="AG192" i="1"/>
  <c r="AG131" i="1"/>
  <c r="AG136" i="1"/>
  <c r="AG309" i="1"/>
  <c r="AG134" i="1"/>
  <c r="AG137" i="1"/>
  <c r="AG182" i="1"/>
  <c r="AG140" i="1"/>
  <c r="AG306" i="1"/>
  <c r="AU43" i="42" s="1"/>
  <c r="AG135" i="1"/>
  <c r="AG130" i="1"/>
  <c r="AG142" i="1"/>
  <c r="AG308" i="1"/>
  <c r="AG185" i="1"/>
  <c r="AG138" i="1"/>
  <c r="AG190" i="1"/>
  <c r="AG307" i="1"/>
  <c r="AG183" i="1"/>
  <c r="AG141" i="1"/>
  <c r="AG191" i="1"/>
  <c r="AU21" i="42"/>
  <c r="AG139" i="1"/>
  <c r="AG186" i="1"/>
  <c r="AG296" i="1"/>
  <c r="AU42" i="42" s="1"/>
  <c r="AG133" i="1"/>
  <c r="AG189" i="1"/>
  <c r="AG188" i="1"/>
  <c r="AG194" i="1"/>
  <c r="AG221" i="1"/>
  <c r="AG278" i="1"/>
  <c r="AG260" i="1"/>
  <c r="AG272" i="1"/>
  <c r="AG242" i="1"/>
  <c r="AG261" i="1" s="1"/>
  <c r="AG284" i="1"/>
  <c r="AG236" i="1"/>
  <c r="AG266" i="1"/>
  <c r="AG248" i="1"/>
  <c r="AU28" i="42"/>
  <c r="AU29" i="42"/>
  <c r="AG249" i="1"/>
  <c r="AG243" i="1"/>
  <c r="AG273" i="1"/>
  <c r="AG285" i="1"/>
  <c r="AG279" i="1"/>
  <c r="AG237" i="1"/>
  <c r="AG267" i="1"/>
  <c r="F680" i="1"/>
  <c r="AB45" i="42" s="1"/>
  <c r="AG103" i="1"/>
  <c r="AG108" i="1"/>
  <c r="AG112" i="1"/>
  <c r="AE34" i="30" s="1"/>
  <c r="AE11" i="30"/>
  <c r="AG101" i="1"/>
  <c r="AG314" i="1"/>
  <c r="AG111" i="1"/>
  <c r="AG342" i="1"/>
  <c r="AG246" i="1"/>
  <c r="AG282" i="1"/>
  <c r="AG258" i="1"/>
  <c r="AG270" i="1"/>
  <c r="AG276" i="1"/>
  <c r="AG234" i="1"/>
  <c r="AG264" i="1"/>
  <c r="AG240" i="1"/>
  <c r="AU26" i="42"/>
  <c r="AG283" i="1"/>
  <c r="AU27" i="42"/>
  <c r="AG235" i="1"/>
  <c r="AG265" i="1"/>
  <c r="AG247" i="1"/>
  <c r="AG277" i="1"/>
  <c r="AG271" i="1"/>
  <c r="AG259" i="1"/>
  <c r="AG241" i="1"/>
  <c r="AG81" i="1"/>
  <c r="AG79" i="1"/>
  <c r="AG77" i="1"/>
  <c r="AG78" i="1"/>
  <c r="AG76" i="1"/>
  <c r="AG82" i="1"/>
  <c r="AG80" i="1"/>
  <c r="AG269" i="1"/>
  <c r="AG251" i="1"/>
  <c r="AG256" i="1" s="1"/>
  <c r="AU97" i="42" s="1"/>
  <c r="AG233" i="1"/>
  <c r="AG245" i="1"/>
  <c r="AG263" i="1"/>
  <c r="AG281" i="1"/>
  <c r="X32" i="4"/>
  <c r="AG232" i="1"/>
  <c r="AU25" i="42"/>
  <c r="AG239" i="1"/>
  <c r="AG275" i="1"/>
  <c r="AG257" i="1"/>
  <c r="AG224" i="1"/>
  <c r="L684" i="1"/>
  <c r="H464" i="1"/>
  <c r="H592" i="1"/>
  <c r="H589" i="1"/>
  <c r="H593" i="1"/>
  <c r="H474" i="1"/>
  <c r="H683" i="1" s="1"/>
  <c r="H594" i="1"/>
  <c r="H590" i="1"/>
  <c r="H591" i="1"/>
  <c r="T684" i="1"/>
  <c r="AO47" i="42" s="1"/>
  <c r="AZ98" i="1"/>
  <c r="AZ101" i="1"/>
  <c r="AZ99" i="1"/>
  <c r="AZ94" i="1"/>
  <c r="AZ95" i="1" s="1"/>
  <c r="AZ100" i="1"/>
  <c r="AZ96" i="1"/>
  <c r="AI34" i="30" s="1"/>
  <c r="AZ97" i="1"/>
  <c r="AZ85" i="1"/>
  <c r="AZ88" i="1" s="1"/>
  <c r="AZ86" i="1"/>
  <c r="AZ87" i="1"/>
  <c r="AE113" i="1"/>
  <c r="AE114" i="1"/>
  <c r="AE110" i="1"/>
  <c r="AE115" i="1"/>
  <c r="AE117" i="1"/>
  <c r="AE116" i="1"/>
  <c r="R684" i="1"/>
  <c r="AM47" i="42" s="1"/>
  <c r="N478" i="1"/>
  <c r="N481" i="1" s="1"/>
  <c r="N482" i="1" s="1"/>
  <c r="N488" i="1" s="1"/>
  <c r="BE96" i="42"/>
  <c r="L406" i="1"/>
  <c r="AG106" i="42" s="1"/>
  <c r="T630" i="1"/>
  <c r="R479" i="1"/>
  <c r="R558" i="1" s="1"/>
  <c r="R559" i="1" s="1"/>
  <c r="R564" i="1" s="1"/>
  <c r="T479" i="1"/>
  <c r="P680" i="1"/>
  <c r="J479" i="1"/>
  <c r="J558" i="1" s="1"/>
  <c r="J559" i="1" s="1"/>
  <c r="J565" i="1" s="1"/>
  <c r="BY467" i="1"/>
  <c r="BD208" i="1"/>
  <c r="F63" i="42"/>
  <c r="Y126" i="7"/>
  <c r="Y127" i="7"/>
  <c r="BB6" i="1"/>
  <c r="E127" i="7"/>
  <c r="DC56" i="7"/>
  <c r="DC55" i="7"/>
  <c r="BJ6" i="1"/>
  <c r="BL6" i="1"/>
  <c r="BK12" i="42" s="1"/>
  <c r="C144" i="38"/>
  <c r="DE55" i="7"/>
  <c r="AE127" i="7"/>
  <c r="AH126" i="7"/>
  <c r="DF55" i="7"/>
  <c r="D24" i="23"/>
  <c r="D32" i="23" s="1"/>
  <c r="D57" i="23" s="1"/>
  <c r="D59" i="23" s="1"/>
  <c r="C60" i="23" s="1"/>
  <c r="K126" i="7"/>
  <c r="CU55" i="7"/>
  <c r="DX55" i="7" s="1"/>
  <c r="AH127" i="7"/>
  <c r="E126" i="7"/>
  <c r="DC60" i="7"/>
  <c r="DY60" i="7" s="1"/>
  <c r="DZ60" i="7" s="1"/>
  <c r="K127" i="7"/>
  <c r="AE126" i="7"/>
  <c r="T478" i="1"/>
  <c r="T533" i="1" s="1"/>
  <c r="T534" i="1" s="1"/>
  <c r="T536" i="1" s="1"/>
  <c r="R478" i="1"/>
  <c r="R481" i="1" s="1"/>
  <c r="R482" i="1" s="1"/>
  <c r="AM349" i="1"/>
  <c r="AM416" i="1" s="1"/>
  <c r="AM417" i="1" s="1"/>
  <c r="AX81" i="42" s="1"/>
  <c r="AK315" i="1"/>
  <c r="H82" i="1"/>
  <c r="H76" i="1"/>
  <c r="H78" i="1"/>
  <c r="H79" i="1"/>
  <c r="H80" i="1"/>
  <c r="H81" i="1"/>
  <c r="H77" i="1"/>
  <c r="H84" i="1" s="1"/>
  <c r="AE82" i="1"/>
  <c r="AE80" i="1"/>
  <c r="AE81" i="1"/>
  <c r="AE77" i="1"/>
  <c r="AE84" i="1" s="1"/>
  <c r="AE79" i="1"/>
  <c r="AE78" i="1"/>
  <c r="AE76" i="1"/>
  <c r="F82" i="1"/>
  <c r="F80" i="1"/>
  <c r="F78" i="1"/>
  <c r="F77" i="1"/>
  <c r="F84" i="1" s="1"/>
  <c r="F76" i="1"/>
  <c r="F81" i="1"/>
  <c r="F79" i="1"/>
  <c r="AH55" i="4"/>
  <c r="AH51" i="4"/>
  <c r="AG47" i="42"/>
  <c r="AL22" i="42"/>
  <c r="AL102" i="42" s="1"/>
  <c r="L400" i="1"/>
  <c r="L401" i="1" s="1"/>
  <c r="AG80" i="42" s="1"/>
  <c r="L402" i="1"/>
  <c r="L403" i="1" s="1"/>
  <c r="AG81" i="42" s="1"/>
  <c r="AM223" i="1"/>
  <c r="AE506" i="1"/>
  <c r="AE503" i="1"/>
  <c r="AE507" i="1"/>
  <c r="AE500" i="1"/>
  <c r="R563" i="1"/>
  <c r="AH46" i="42"/>
  <c r="AJ47" i="42"/>
  <c r="Z46" i="42"/>
  <c r="AZ95" i="42"/>
  <c r="AB13" i="30"/>
  <c r="AZ32" i="42"/>
  <c r="AE715" i="1"/>
  <c r="F477" i="1"/>
  <c r="F480" i="1" s="1"/>
  <c r="F481" i="1" s="1"/>
  <c r="F482" i="1" s="1"/>
  <c r="F479" i="1"/>
  <c r="AP22" i="42"/>
  <c r="AP102" i="42" s="1"/>
  <c r="D477" i="1"/>
  <c r="D480" i="1" s="1"/>
  <c r="D481" i="1" s="1"/>
  <c r="D482" i="1" s="1"/>
  <c r="D479" i="1"/>
  <c r="AM342" i="1"/>
  <c r="AM314" i="1"/>
  <c r="AM319" i="1" s="1"/>
  <c r="AM108" i="1"/>
  <c r="AF11" i="30"/>
  <c r="AM101" i="1"/>
  <c r="AM103" i="1"/>
  <c r="AZ47" i="42"/>
  <c r="L182" i="1"/>
  <c r="L183" i="1" s="1"/>
  <c r="L105" i="1"/>
  <c r="L106" i="1" s="1"/>
  <c r="L130" i="1"/>
  <c r="L131" i="1" s="1"/>
  <c r="L157" i="1"/>
  <c r="L158" i="1" s="1"/>
  <c r="Z45" i="42"/>
  <c r="AH47" i="42"/>
  <c r="AZ31" i="42"/>
  <c r="AB12" i="30"/>
  <c r="T682" i="1"/>
  <c r="T585" i="1"/>
  <c r="AO96" i="42"/>
  <c r="T685" i="1"/>
  <c r="T686" i="1"/>
  <c r="AG46" i="42"/>
  <c r="L305" i="1"/>
  <c r="AM247" i="1"/>
  <c r="AM241" i="1"/>
  <c r="AM259" i="1"/>
  <c r="AM271" i="1"/>
  <c r="AM283" i="1"/>
  <c r="AM277" i="1"/>
  <c r="AM235" i="1"/>
  <c r="AM265" i="1"/>
  <c r="AX27" i="42"/>
  <c r="AO33" i="42"/>
  <c r="AD19" i="4"/>
  <c r="T690" i="1"/>
  <c r="AO97" i="42"/>
  <c r="L533" i="1"/>
  <c r="L534" i="1" s="1"/>
  <c r="L481" i="1"/>
  <c r="L482" i="1" s="1"/>
  <c r="L558" i="1"/>
  <c r="L559" i="1" s="1"/>
  <c r="L506" i="1"/>
  <c r="L507" i="1" s="1"/>
  <c r="D684" i="1"/>
  <c r="AG500" i="1"/>
  <c r="AE728" i="1"/>
  <c r="AE723" i="1"/>
  <c r="AM169" i="1"/>
  <c r="V657" i="1"/>
  <c r="V643" i="1"/>
  <c r="V650" i="1"/>
  <c r="V629" i="1"/>
  <c r="V615" i="1"/>
  <c r="V608" i="1"/>
  <c r="V601" i="1"/>
  <c r="V636" i="1"/>
  <c r="AQ30" i="42"/>
  <c r="L273" i="1"/>
  <c r="L261" i="1"/>
  <c r="L267" i="1"/>
  <c r="L237" i="1"/>
  <c r="L297" i="1"/>
  <c r="L231" i="1"/>
  <c r="L225" i="1"/>
  <c r="AG63" i="42"/>
  <c r="V678" i="1"/>
  <c r="V475" i="1"/>
  <c r="V477" i="1" s="1"/>
  <c r="V480" i="1" s="1"/>
  <c r="AQ21" i="42"/>
  <c r="V676" i="1"/>
  <c r="AQ43" i="42" s="1"/>
  <c r="AQ14" i="42"/>
  <c r="V465" i="1"/>
  <c r="AG11" i="30"/>
  <c r="AV73" i="1"/>
  <c r="AH97" i="42"/>
  <c r="AG801" i="1"/>
  <c r="X641" i="1"/>
  <c r="X627" i="1"/>
  <c r="X648" i="1"/>
  <c r="X655" i="1"/>
  <c r="X613" i="1"/>
  <c r="X606" i="1"/>
  <c r="X599" i="1"/>
  <c r="X634" i="1"/>
  <c r="AS28" i="42"/>
  <c r="AE22" i="42"/>
  <c r="AE102" i="42" s="1"/>
  <c r="R630" i="1"/>
  <c r="D630" i="1"/>
  <c r="CA83" i="1"/>
  <c r="CA93" i="1"/>
  <c r="P637" i="1"/>
  <c r="AM224" i="1"/>
  <c r="V617" i="1"/>
  <c r="V623" i="1" s="1"/>
  <c r="AQ97" i="42" s="1"/>
  <c r="V638" i="1"/>
  <c r="V624" i="1"/>
  <c r="V595" i="1"/>
  <c r="V631" i="1"/>
  <c r="AQ25" i="42"/>
  <c r="X23" i="4"/>
  <c r="J478" i="1"/>
  <c r="J533" i="1" s="1"/>
  <c r="J534" i="1" s="1"/>
  <c r="J637" i="1"/>
  <c r="AK104" i="1"/>
  <c r="AQ22" i="30"/>
  <c r="X653" i="1"/>
  <c r="X646" i="1"/>
  <c r="X639" i="1"/>
  <c r="X625" i="1"/>
  <c r="X611" i="1"/>
  <c r="X604" i="1"/>
  <c r="X597" i="1"/>
  <c r="X632" i="1"/>
  <c r="AS26" i="42"/>
  <c r="N680" i="1"/>
  <c r="D637" i="1"/>
  <c r="BD244" i="1"/>
  <c r="BD262" i="1"/>
  <c r="BD268" i="1"/>
  <c r="BD256" i="1"/>
  <c r="BD226" i="1"/>
  <c r="BD220" i="1"/>
  <c r="BD232" i="1"/>
  <c r="BD250" i="1"/>
  <c r="BG28" i="42"/>
  <c r="N479" i="1"/>
  <c r="N558" i="1" s="1"/>
  <c r="N559" i="1" s="1"/>
  <c r="AM243" i="1"/>
  <c r="AM249" i="1"/>
  <c r="AM285" i="1"/>
  <c r="AM279" i="1"/>
  <c r="AM273" i="1"/>
  <c r="AM237" i="1"/>
  <c r="AM267" i="1"/>
  <c r="AX29" i="42"/>
  <c r="AM306" i="1"/>
  <c r="AX43" i="42" s="1"/>
  <c r="AM309" i="1"/>
  <c r="AM307" i="1"/>
  <c r="AM308" i="1"/>
  <c r="AM189" i="1"/>
  <c r="AM138" i="1"/>
  <c r="AM185" i="1"/>
  <c r="AM142" i="1"/>
  <c r="AX21" i="42"/>
  <c r="AM140" i="1"/>
  <c r="AM186" i="1"/>
  <c r="AM102" i="1"/>
  <c r="AM135" i="1"/>
  <c r="AM182" i="1"/>
  <c r="AM296" i="1"/>
  <c r="AX42" i="42" s="1"/>
  <c r="AM194" i="1"/>
  <c r="AM137" i="1"/>
  <c r="AM191" i="1"/>
  <c r="AM132" i="1"/>
  <c r="AM190" i="1"/>
  <c r="AM188" i="1"/>
  <c r="AM134" i="1"/>
  <c r="AM130" i="1"/>
  <c r="AM136" i="1"/>
  <c r="AM183" i="1"/>
  <c r="AM192" i="1"/>
  <c r="AM133" i="1"/>
  <c r="AM141" i="1"/>
  <c r="AM131" i="1"/>
  <c r="AM184" i="1"/>
  <c r="AM139" i="1"/>
  <c r="AM187" i="1"/>
  <c r="AM193" i="1"/>
  <c r="V641" i="1"/>
  <c r="V606" i="1"/>
  <c r="V648" i="1"/>
  <c r="V627" i="1"/>
  <c r="V613" i="1"/>
  <c r="V655" i="1"/>
  <c r="V599" i="1"/>
  <c r="V634" i="1"/>
  <c r="AQ28" i="42"/>
  <c r="AM82" i="1"/>
  <c r="AM78" i="1"/>
  <c r="AM77" i="1"/>
  <c r="AM76" i="1"/>
  <c r="AM79" i="1"/>
  <c r="AM80" i="1"/>
  <c r="AM81" i="1"/>
  <c r="J630" i="1"/>
  <c r="EF56" i="4"/>
  <c r="DH56" i="4"/>
  <c r="EB56" i="4"/>
  <c r="CV56" i="4"/>
  <c r="S113" i="19"/>
  <c r="DT56" i="4"/>
  <c r="AK244" i="1"/>
  <c r="AK250" i="1"/>
  <c r="AK274" i="1"/>
  <c r="AK286" i="1"/>
  <c r="AK280" i="1"/>
  <c r="AK238" i="1"/>
  <c r="AQ18" i="30"/>
  <c r="AW63" i="42"/>
  <c r="X683" i="1"/>
  <c r="X684" i="1" s="1"/>
  <c r="BB45" i="42"/>
  <c r="R637" i="1"/>
  <c r="X678" i="1"/>
  <c r="X475" i="1"/>
  <c r="X477" i="1" s="1"/>
  <c r="X480" i="1" s="1"/>
  <c r="AS21" i="42"/>
  <c r="AS14" i="42"/>
  <c r="X676" i="1"/>
  <c r="AS43" i="42" s="1"/>
  <c r="L658" i="1"/>
  <c r="L651" i="1"/>
  <c r="L687" i="1" s="1"/>
  <c r="L644" i="1"/>
  <c r="L609" i="1"/>
  <c r="L616" i="1"/>
  <c r="L602" i="1"/>
  <c r="AH63" i="42"/>
  <c r="Z97" i="42"/>
  <c r="BB46" i="42"/>
  <c r="BD241" i="1"/>
  <c r="BD235" i="1"/>
  <c r="BD240" i="1" s="1"/>
  <c r="BD265" i="1"/>
  <c r="BD253" i="1"/>
  <c r="BD259" i="1"/>
  <c r="BD223" i="1"/>
  <c r="BD216" i="1"/>
  <c r="BD294" i="1" s="1"/>
  <c r="BD229" i="1"/>
  <c r="BD217" i="1"/>
  <c r="BD247" i="1"/>
  <c r="BG25" i="42"/>
  <c r="X43" i="4"/>
  <c r="BO103" i="42"/>
  <c r="BR103" i="42"/>
  <c r="E56" i="4"/>
  <c r="E52" i="4"/>
  <c r="V683" i="1"/>
  <c r="V684" i="1" s="1"/>
  <c r="T535" i="1"/>
  <c r="AV224" i="1"/>
  <c r="AV230" i="1"/>
  <c r="AV242" i="1"/>
  <c r="AV266" i="1"/>
  <c r="AV254" i="1"/>
  <c r="AV260" i="1"/>
  <c r="AV218" i="1"/>
  <c r="AV248" i="1"/>
  <c r="BC26" i="42"/>
  <c r="L680" i="1"/>
  <c r="L679" i="1"/>
  <c r="AN22" i="42"/>
  <c r="AN102" i="42" s="1"/>
  <c r="D70" i="1"/>
  <c r="D75" i="1"/>
  <c r="D73" i="1"/>
  <c r="D74" i="1"/>
  <c r="D71" i="1"/>
  <c r="D72" i="1"/>
  <c r="X649" i="1"/>
  <c r="X628" i="1"/>
  <c r="X642" i="1"/>
  <c r="X656" i="1"/>
  <c r="X614" i="1"/>
  <c r="X607" i="1"/>
  <c r="X600" i="1"/>
  <c r="X635" i="1"/>
  <c r="AS29" i="42"/>
  <c r="E38" i="4"/>
  <c r="AW103" i="42"/>
  <c r="AW104" i="42" s="1"/>
  <c r="BB86" i="42"/>
  <c r="AI712" i="1"/>
  <c r="BD243" i="1"/>
  <c r="BD261" i="1"/>
  <c r="BD267" i="1"/>
  <c r="BD255" i="1"/>
  <c r="BD225" i="1"/>
  <c r="BD219" i="1"/>
  <c r="BD231" i="1"/>
  <c r="BD249" i="1"/>
  <c r="BG27" i="42"/>
  <c r="AK18" i="30"/>
  <c r="BG63" i="42"/>
  <c r="AR22" i="42"/>
  <c r="AR102" i="42" s="1"/>
  <c r="AO46" i="42"/>
  <c r="AM346" i="1"/>
  <c r="AM248" i="1"/>
  <c r="AM242" i="1"/>
  <c r="AM261" i="1" s="1"/>
  <c r="AM260" i="1"/>
  <c r="AM284" i="1"/>
  <c r="AM278" i="1"/>
  <c r="AM272" i="1"/>
  <c r="AM236" i="1"/>
  <c r="AM266" i="1"/>
  <c r="AX28" i="42"/>
  <c r="J688" i="1"/>
  <c r="AF46" i="42"/>
  <c r="T558" i="1"/>
  <c r="T559" i="1" s="1"/>
  <c r="T506" i="1"/>
  <c r="T507" i="1" s="1"/>
  <c r="AI22" i="42"/>
  <c r="AI102" i="42" s="1"/>
  <c r="N637" i="1"/>
  <c r="AV235" i="1"/>
  <c r="AV240" i="1" s="1"/>
  <c r="BC97" i="42" s="1"/>
  <c r="AV241" i="1"/>
  <c r="AV216" i="1"/>
  <c r="AV253" i="1"/>
  <c r="AV247" i="1"/>
  <c r="BC25" i="42"/>
  <c r="X39" i="4"/>
  <c r="L630" i="1"/>
  <c r="AM46" i="42"/>
  <c r="Q25" i="42"/>
  <c r="AA102" i="42"/>
  <c r="L249" i="1"/>
  <c r="AK22" i="42"/>
  <c r="AK102" i="42" s="1"/>
  <c r="P684" i="1"/>
  <c r="AK11" i="30"/>
  <c r="AK22" i="30" s="1"/>
  <c r="AM109" i="1"/>
  <c r="BD89" i="1"/>
  <c r="BD298" i="1"/>
  <c r="BD303" i="1" s="1"/>
  <c r="BD299" i="1"/>
  <c r="AG497" i="1"/>
  <c r="AG489" i="1" s="1"/>
  <c r="AG498" i="1"/>
  <c r="AG507" i="1" s="1"/>
  <c r="F637" i="1"/>
  <c r="V611" i="1"/>
  <c r="V625" i="1"/>
  <c r="V653" i="1"/>
  <c r="V604" i="1"/>
  <c r="V639" i="1"/>
  <c r="V646" i="1"/>
  <c r="V597" i="1"/>
  <c r="V632" i="1"/>
  <c r="AQ26" i="42"/>
  <c r="T680" i="1"/>
  <c r="R484" i="1"/>
  <c r="R485" i="1"/>
  <c r="R486" i="1"/>
  <c r="R488" i="1"/>
  <c r="R483" i="1"/>
  <c r="R487" i="1"/>
  <c r="N630" i="1"/>
  <c r="AV233" i="1"/>
  <c r="AV227" i="1"/>
  <c r="AV245" i="1"/>
  <c r="AV263" i="1"/>
  <c r="AV269" i="1"/>
  <c r="AV257" i="1"/>
  <c r="AV221" i="1"/>
  <c r="AV251" i="1"/>
  <c r="BD399" i="1"/>
  <c r="BG78" i="42"/>
  <c r="AI799" i="1"/>
  <c r="AI800" i="1"/>
  <c r="BA47" i="42"/>
  <c r="X617" i="1"/>
  <c r="X623" i="1" s="1"/>
  <c r="AS97" i="42" s="1"/>
  <c r="X638" i="1"/>
  <c r="X624" i="1"/>
  <c r="X595" i="1"/>
  <c r="X631" i="1"/>
  <c r="X25" i="4"/>
  <c r="AS25" i="42"/>
  <c r="AE497" i="1"/>
  <c r="AE489" i="1" s="1"/>
  <c r="AE498" i="1"/>
  <c r="AM418" i="1"/>
  <c r="AM419" i="1"/>
  <c r="BD242" i="1"/>
  <c r="BD266" i="1"/>
  <c r="BD254" i="1"/>
  <c r="BD260" i="1"/>
  <c r="BD224" i="1"/>
  <c r="BD218" i="1"/>
  <c r="BD230" i="1"/>
  <c r="BD248" i="1"/>
  <c r="BG26" i="42"/>
  <c r="BP103" i="42"/>
  <c r="E53" i="4"/>
  <c r="P478" i="1"/>
  <c r="P481" i="1" s="1"/>
  <c r="P482" i="1" s="1"/>
  <c r="AM240" i="1"/>
  <c r="AM258" i="1"/>
  <c r="AM246" i="1"/>
  <c r="AM276" i="1"/>
  <c r="AM270" i="1"/>
  <c r="AM282" i="1"/>
  <c r="AM234" i="1"/>
  <c r="AM264" i="1"/>
  <c r="AX26" i="42"/>
  <c r="CC295" i="1"/>
  <c r="CC208" i="1"/>
  <c r="CC156" i="1"/>
  <c r="CC90" i="1"/>
  <c r="CC293" i="1"/>
  <c r="BQ43" i="42" s="1"/>
  <c r="BQ21" i="42"/>
  <c r="AB46" i="42"/>
  <c r="BW295" i="1"/>
  <c r="BW293" i="1"/>
  <c r="BN43" i="42" s="1"/>
  <c r="BN21" i="42"/>
  <c r="F630" i="1"/>
  <c r="V605" i="1"/>
  <c r="V654" i="1"/>
  <c r="V640" i="1"/>
  <c r="V647" i="1"/>
  <c r="V612" i="1"/>
  <c r="V626" i="1"/>
  <c r="V598" i="1"/>
  <c r="V633" i="1"/>
  <c r="AQ27" i="42"/>
  <c r="R533" i="1"/>
  <c r="R534" i="1" s="1"/>
  <c r="R506" i="1"/>
  <c r="R507" i="1" s="1"/>
  <c r="AF97" i="42"/>
  <c r="AV232" i="1"/>
  <c r="AV244" i="1"/>
  <c r="AV226" i="1"/>
  <c r="AV262" i="1"/>
  <c r="AV268" i="1"/>
  <c r="AV256" i="1"/>
  <c r="AV220" i="1"/>
  <c r="AV250" i="1"/>
  <c r="BC28" i="42"/>
  <c r="L637" i="1"/>
  <c r="AI797" i="1"/>
  <c r="AI798" i="1" s="1"/>
  <c r="BB80" i="42" s="1"/>
  <c r="AI795" i="1"/>
  <c r="AI796" i="1" s="1"/>
  <c r="AW47" i="42"/>
  <c r="L255" i="1"/>
  <c r="AG97" i="42"/>
  <c r="AW45" i="42"/>
  <c r="X654" i="1"/>
  <c r="X647" i="1"/>
  <c r="X626" i="1"/>
  <c r="X640" i="1"/>
  <c r="X612" i="1"/>
  <c r="X605" i="1"/>
  <c r="X598" i="1"/>
  <c r="X633" i="1"/>
  <c r="AS27" i="42"/>
  <c r="BD245" i="1"/>
  <c r="BD263" i="1"/>
  <c r="BD269" i="1"/>
  <c r="BD257" i="1"/>
  <c r="BD227" i="1"/>
  <c r="BD221" i="1"/>
  <c r="BD233" i="1"/>
  <c r="BD251" i="1"/>
  <c r="BY93" i="1"/>
  <c r="BY83" i="1"/>
  <c r="AK420" i="1"/>
  <c r="AW106" i="42" s="1"/>
  <c r="AM239" i="1"/>
  <c r="AM251" i="1"/>
  <c r="AM256" i="1" s="1"/>
  <c r="AX97" i="42" s="1"/>
  <c r="AM257" i="1"/>
  <c r="AM232" i="1"/>
  <c r="AM245" i="1"/>
  <c r="AM269" i="1"/>
  <c r="AM281" i="1"/>
  <c r="AM275" i="1"/>
  <c r="AM233" i="1"/>
  <c r="AM263" i="1"/>
  <c r="X34" i="4"/>
  <c r="AX25" i="42"/>
  <c r="F684" i="1"/>
  <c r="N688" i="1"/>
  <c r="AJ46" i="42"/>
  <c r="P630" i="1"/>
  <c r="H688" i="1"/>
  <c r="AD46" i="42"/>
  <c r="AM221" i="1"/>
  <c r="J684" i="1"/>
  <c r="V614" i="1"/>
  <c r="V628" i="1"/>
  <c r="V649" i="1"/>
  <c r="V607" i="1"/>
  <c r="V642" i="1"/>
  <c r="V656" i="1"/>
  <c r="V600" i="1"/>
  <c r="V635" i="1"/>
  <c r="AQ29" i="42"/>
  <c r="R680" i="1"/>
  <c r="AI70" i="1"/>
  <c r="AI73" i="1"/>
  <c r="AI74" i="1"/>
  <c r="AI75" i="1"/>
  <c r="AI71" i="1"/>
  <c r="AI72" i="1"/>
  <c r="AV231" i="1"/>
  <c r="AV225" i="1"/>
  <c r="AV243" i="1"/>
  <c r="AV261" i="1"/>
  <c r="AV267" i="1"/>
  <c r="AV255" i="1"/>
  <c r="AV219" i="1"/>
  <c r="AV249" i="1"/>
  <c r="BC27" i="42"/>
  <c r="BU295" i="1"/>
  <c r="BM21" i="42"/>
  <c r="BU293" i="1"/>
  <c r="BM43" i="42" s="1"/>
  <c r="AG103" i="42"/>
  <c r="AG104" i="42" s="1"/>
  <c r="E14" i="4"/>
  <c r="AK318" i="1"/>
  <c r="AW46" i="42"/>
  <c r="AK392" i="1"/>
  <c r="AK310" i="1"/>
  <c r="X643" i="1"/>
  <c r="X657" i="1"/>
  <c r="X629" i="1"/>
  <c r="X650" i="1"/>
  <c r="X615" i="1"/>
  <c r="X608" i="1"/>
  <c r="X601" i="1"/>
  <c r="X636" i="1"/>
  <c r="AS30" i="42"/>
  <c r="BB87" i="42"/>
  <c r="AI496" i="1"/>
  <c r="AI497" i="1" s="1"/>
  <c r="AI489" i="1" s="1"/>
  <c r="P479" i="1"/>
  <c r="P558" i="1" s="1"/>
  <c r="P559" i="1" s="1"/>
  <c r="AM97" i="42"/>
  <c r="X465" i="1"/>
  <c r="AK268" i="1"/>
  <c r="AK262" i="1"/>
  <c r="BF66" i="1"/>
  <c r="BF48" i="1"/>
  <c r="BF55" i="1"/>
  <c r="BF57" i="1"/>
  <c r="BF56" i="1"/>
  <c r="BF58" i="1"/>
  <c r="BF54" i="1"/>
  <c r="AW7" i="4"/>
  <c r="AW38" i="4"/>
  <c r="AW13" i="4"/>
  <c r="AW9" i="4"/>
  <c r="AZ32" i="4"/>
  <c r="AA41" i="4"/>
  <c r="BA15" i="4"/>
  <c r="Y36" i="4"/>
  <c r="Z36" i="4"/>
  <c r="AC33" i="4"/>
  <c r="AB36" i="4"/>
  <c r="AC36" i="4"/>
  <c r="AB33" i="4"/>
  <c r="BA13" i="4"/>
  <c r="BC19" i="4"/>
  <c r="N76" i="1" a="1"/>
  <c r="R39" i="4"/>
  <c r="BB19" i="4"/>
  <c r="AW21" i="4"/>
  <c r="AE44" i="4"/>
  <c r="BP23" i="4"/>
  <c r="AZ34" i="4"/>
  <c r="BA43" i="4"/>
  <c r="T76" i="1" a="1"/>
  <c r="BA9" i="4"/>
  <c r="BA38" i="4"/>
  <c r="AV15" i="4"/>
  <c r="CC76" i="1" a="1"/>
  <c r="AG54" i="4"/>
  <c r="AZ43" i="4"/>
  <c r="X76" i="1" a="1"/>
  <c r="BA17" i="4"/>
  <c r="AW15" i="4"/>
  <c r="AE6" i="4"/>
  <c r="AZ25" i="4"/>
  <c r="BA30" i="4"/>
  <c r="V76" i="1" a="1"/>
  <c r="AY19" i="4"/>
  <c r="AG39" i="4"/>
  <c r="AA19" i="4"/>
  <c r="P76" i="1" a="1"/>
  <c r="AW14" i="4"/>
  <c r="BP54" i="4"/>
  <c r="R76" i="1" a="1"/>
  <c r="BA7" i="4"/>
  <c r="AW19" i="4"/>
  <c r="AZ11" i="4"/>
  <c r="BA23" i="4"/>
  <c r="BW76" i="1" a="1"/>
  <c r="BU76" i="1" a="1"/>
  <c r="BA19" i="4"/>
  <c r="BA25" i="4"/>
  <c r="AW17" i="4"/>
  <c r="AV38" i="4"/>
  <c r="J76" i="1" a="1"/>
  <c r="AZ23" i="4"/>
  <c r="L44" i="4"/>
  <c r="AV43" i="4"/>
  <c r="BP25" i="4"/>
  <c r="AE29" i="4"/>
  <c r="AM414" i="1" l="1"/>
  <c r="AM415" i="1" s="1"/>
  <c r="AX80" i="42" s="1"/>
  <c r="J563" i="1"/>
  <c r="J562" i="1"/>
  <c r="J506" i="1"/>
  <c r="J507" i="1" s="1"/>
  <c r="J564" i="1"/>
  <c r="J560" i="1"/>
  <c r="J561" i="1"/>
  <c r="J566" i="1"/>
  <c r="N487" i="1"/>
  <c r="T540" i="1"/>
  <c r="T539" i="1"/>
  <c r="N533" i="1"/>
  <c r="N534" i="1" s="1"/>
  <c r="T481" i="1"/>
  <c r="T482" i="1" s="1"/>
  <c r="T538" i="1"/>
  <c r="N486" i="1"/>
  <c r="N484" i="1"/>
  <c r="N483" i="1"/>
  <c r="N485" i="1"/>
  <c r="T537" i="1"/>
  <c r="BD295" i="1"/>
  <c r="AG416" i="1"/>
  <c r="AG417" i="1" s="1"/>
  <c r="AU81" i="42" s="1"/>
  <c r="AG414" i="1"/>
  <c r="AG415" i="1" s="1"/>
  <c r="AU80" i="42" s="1"/>
  <c r="AG262" i="1"/>
  <c r="AE33" i="30"/>
  <c r="AU39" i="42"/>
  <c r="AE18" i="30"/>
  <c r="AU63" i="42"/>
  <c r="AG286" i="1"/>
  <c r="AG250" i="1"/>
  <c r="AG280" i="1"/>
  <c r="AG244" i="1"/>
  <c r="AG238" i="1"/>
  <c r="AG274" i="1"/>
  <c r="AG268" i="1"/>
  <c r="AG315" i="1"/>
  <c r="AU46" i="42"/>
  <c r="AG319" i="1"/>
  <c r="AG392" i="1"/>
  <c r="AG310" i="1"/>
  <c r="AG104" i="1"/>
  <c r="AE22" i="30"/>
  <c r="AG311" i="1"/>
  <c r="R561" i="1"/>
  <c r="R560" i="1"/>
  <c r="R566" i="1"/>
  <c r="AG115" i="1"/>
  <c r="AG114" i="1"/>
  <c r="AG116" i="1"/>
  <c r="AG117" i="1"/>
  <c r="AG113" i="1"/>
  <c r="AG420" i="1"/>
  <c r="AU106" i="42" s="1"/>
  <c r="AU103" i="42"/>
  <c r="AU104" i="42" s="1"/>
  <c r="E32" i="4"/>
  <c r="AU52" i="42"/>
  <c r="BT32" i="4"/>
  <c r="R565" i="1"/>
  <c r="R562" i="1"/>
  <c r="AZ127" i="1"/>
  <c r="AZ128" i="1" s="1"/>
  <c r="AZ179" i="1"/>
  <c r="AZ180" i="1" s="1"/>
  <c r="AZ102" i="1"/>
  <c r="AZ103" i="1" s="1"/>
  <c r="AZ154" i="1"/>
  <c r="AZ155" i="1" s="1"/>
  <c r="H657" i="1"/>
  <c r="H650" i="1"/>
  <c r="H629" i="1"/>
  <c r="H601" i="1"/>
  <c r="H615" i="1"/>
  <c r="H608" i="1"/>
  <c r="H636" i="1"/>
  <c r="H643" i="1"/>
  <c r="AD30" i="42"/>
  <c r="H684" i="1"/>
  <c r="H614" i="1"/>
  <c r="H607" i="1"/>
  <c r="H635" i="1"/>
  <c r="H628" i="1"/>
  <c r="AD29" i="42"/>
  <c r="H656" i="1"/>
  <c r="H649" i="1"/>
  <c r="H642" i="1"/>
  <c r="H600" i="1"/>
  <c r="J481" i="1"/>
  <c r="J482" i="1" s="1"/>
  <c r="J483" i="1" s="1"/>
  <c r="H624" i="1"/>
  <c r="H638" i="1"/>
  <c r="H617" i="1"/>
  <c r="H623" i="1" s="1"/>
  <c r="AD97" i="42" s="1"/>
  <c r="H595" i="1"/>
  <c r="H631" i="1"/>
  <c r="AD25" i="42"/>
  <c r="X11" i="4"/>
  <c r="X9" i="4"/>
  <c r="AI33" i="30"/>
  <c r="BE39" i="42"/>
  <c r="H641" i="1"/>
  <c r="H599" i="1"/>
  <c r="H606" i="1"/>
  <c r="H613" i="1"/>
  <c r="H634" i="1"/>
  <c r="H655" i="1"/>
  <c r="AD28" i="42"/>
  <c r="H627" i="1"/>
  <c r="H648" i="1"/>
  <c r="P506" i="1"/>
  <c r="P507" i="1" s="1"/>
  <c r="H626" i="1"/>
  <c r="AD27" i="42"/>
  <c r="H647" i="1"/>
  <c r="H640" i="1"/>
  <c r="H654" i="1"/>
  <c r="H598" i="1"/>
  <c r="H605" i="1"/>
  <c r="H612" i="1"/>
  <c r="H633" i="1"/>
  <c r="AD21" i="42"/>
  <c r="H678" i="1"/>
  <c r="H475" i="1"/>
  <c r="AD14" i="42"/>
  <c r="H676" i="1"/>
  <c r="AD43" i="42" s="1"/>
  <c r="H639" i="1"/>
  <c r="AD26" i="42"/>
  <c r="H646" i="1"/>
  <c r="H653" i="1"/>
  <c r="H625" i="1"/>
  <c r="H604" i="1"/>
  <c r="H597" i="1"/>
  <c r="H611" i="1"/>
  <c r="H632" i="1"/>
  <c r="H465" i="1"/>
  <c r="BF12" i="42"/>
  <c r="BB7" i="1"/>
  <c r="F558" i="1"/>
  <c r="F559" i="1" s="1"/>
  <c r="F564" i="1" s="1"/>
  <c r="P533" i="1"/>
  <c r="P534" i="1" s="1"/>
  <c r="P540" i="1" s="1"/>
  <c r="V478" i="1"/>
  <c r="V481" i="1" s="1"/>
  <c r="V482" i="1" s="1"/>
  <c r="Q81" i="7"/>
  <c r="DE56" i="7"/>
  <c r="CS13" i="7"/>
  <c r="DX13" i="7" s="1"/>
  <c r="AE81" i="7"/>
  <c r="DF14" i="7"/>
  <c r="DF56" i="7"/>
  <c r="E81" i="7"/>
  <c r="AF81" i="7"/>
  <c r="DE14" i="7"/>
  <c r="AH81" i="7"/>
  <c r="CT14" i="7"/>
  <c r="CV56" i="7"/>
  <c r="DX56" i="7" s="1"/>
  <c r="Y81" i="7"/>
  <c r="DF13" i="7"/>
  <c r="K81" i="7"/>
  <c r="DE13" i="7"/>
  <c r="F57" i="42"/>
  <c r="H69" i="42"/>
  <c r="F71" i="42"/>
  <c r="X479" i="1"/>
  <c r="X558" i="1" s="1"/>
  <c r="X559" i="1" s="1"/>
  <c r="BJ7" i="1"/>
  <c r="BJ12" i="42"/>
  <c r="DY55" i="7"/>
  <c r="DZ55" i="7" s="1"/>
  <c r="EB55" i="7" s="1"/>
  <c r="BR107" i="42"/>
  <c r="O95" i="42" s="1"/>
  <c r="BY468" i="1"/>
  <c r="BR73" i="42" s="1"/>
  <c r="AM262" i="1"/>
  <c r="AM321" i="1" s="1"/>
  <c r="BD264" i="1"/>
  <c r="AC43" i="4" s="1"/>
  <c r="BD258" i="1"/>
  <c r="BD271" i="1" s="1"/>
  <c r="AE502" i="1"/>
  <c r="AB34" i="30" s="1"/>
  <c r="BD270" i="1"/>
  <c r="BD287" i="1" s="1"/>
  <c r="BD234" i="1"/>
  <c r="BD284" i="1" s="1"/>
  <c r="BD222" i="1"/>
  <c r="BD279" i="1" s="1"/>
  <c r="BD246" i="1"/>
  <c r="BD317" i="1" s="1"/>
  <c r="BD386" i="1" s="1"/>
  <c r="BD228" i="1"/>
  <c r="BD302" i="1" s="1"/>
  <c r="AG502" i="1"/>
  <c r="AC34" i="30" s="1"/>
  <c r="AM315" i="1"/>
  <c r="AX47" i="42" s="1"/>
  <c r="N82" i="1"/>
  <c r="N78" i="1"/>
  <c r="N79" i="1"/>
  <c r="N81" i="1"/>
  <c r="N77" i="1"/>
  <c r="N84" i="1" s="1"/>
  <c r="N80" i="1"/>
  <c r="N76" i="1"/>
  <c r="J82" i="1"/>
  <c r="J77" i="1"/>
  <c r="J84" i="1" s="1"/>
  <c r="J76" i="1"/>
  <c r="J78" i="1"/>
  <c r="J79" i="1"/>
  <c r="J80" i="1"/>
  <c r="J81" i="1"/>
  <c r="P82" i="1"/>
  <c r="P77" i="1"/>
  <c r="P84" i="1" s="1"/>
  <c r="P78" i="1"/>
  <c r="P80" i="1"/>
  <c r="P79" i="1"/>
  <c r="P76" i="1"/>
  <c r="P81" i="1"/>
  <c r="X82" i="1"/>
  <c r="X76" i="1"/>
  <c r="X78" i="1"/>
  <c r="X77" i="1"/>
  <c r="X84" i="1" s="1"/>
  <c r="X81" i="1"/>
  <c r="X80" i="1"/>
  <c r="X79" i="1"/>
  <c r="AH54" i="4"/>
  <c r="BQ54" i="4"/>
  <c r="GK54" i="4" s="1"/>
  <c r="CC82" i="1"/>
  <c r="CC76" i="1"/>
  <c r="CC79" i="1"/>
  <c r="CC77" i="1"/>
  <c r="CC84" i="1" s="1"/>
  <c r="CC80" i="1"/>
  <c r="CC81" i="1"/>
  <c r="CC78" i="1"/>
  <c r="BU82" i="1"/>
  <c r="BU79" i="1"/>
  <c r="BU76" i="1"/>
  <c r="BU80" i="1"/>
  <c r="BU77" i="1"/>
  <c r="BU84" i="1" s="1"/>
  <c r="BU78" i="1"/>
  <c r="BU81" i="1"/>
  <c r="T82" i="1"/>
  <c r="T81" i="1"/>
  <c r="T80" i="1"/>
  <c r="T77" i="1"/>
  <c r="T84" i="1" s="1"/>
  <c r="T79" i="1"/>
  <c r="T78" i="1"/>
  <c r="T76" i="1"/>
  <c r="V82" i="1"/>
  <c r="V76" i="1"/>
  <c r="V80" i="1"/>
  <c r="V77" i="1"/>
  <c r="V84" i="1" s="1"/>
  <c r="V81" i="1"/>
  <c r="V79" i="1"/>
  <c r="V78" i="1"/>
  <c r="R82" i="1"/>
  <c r="R80" i="1"/>
  <c r="R76" i="1"/>
  <c r="R77" i="1"/>
  <c r="R84" i="1" s="1"/>
  <c r="R81" i="1"/>
  <c r="R79" i="1"/>
  <c r="R78" i="1"/>
  <c r="BW82" i="1"/>
  <c r="BW76" i="1"/>
  <c r="BW80" i="1"/>
  <c r="BW77" i="1"/>
  <c r="BW84" i="1" s="1"/>
  <c r="BW78" i="1"/>
  <c r="BW79" i="1"/>
  <c r="BW81" i="1"/>
  <c r="D488" i="1"/>
  <c r="D485" i="1"/>
  <c r="D483" i="1"/>
  <c r="D484" i="1"/>
  <c r="D486" i="1"/>
  <c r="D487" i="1"/>
  <c r="L752" i="1"/>
  <c r="L756" i="1"/>
  <c r="CC15" i="4" s="1"/>
  <c r="BD376" i="1"/>
  <c r="BG44" i="42"/>
  <c r="F483" i="1"/>
  <c r="F484" i="1"/>
  <c r="F485" i="1"/>
  <c r="F486" i="1"/>
  <c r="F487" i="1"/>
  <c r="F488" i="1"/>
  <c r="AK317" i="1"/>
  <c r="AK312" i="1"/>
  <c r="AK313" i="1"/>
  <c r="AA38" i="4"/>
  <c r="AK391" i="1"/>
  <c r="AK288" i="1"/>
  <c r="AW96" i="42"/>
  <c r="AK222" i="1"/>
  <c r="AK316" i="1"/>
  <c r="AE491" i="1"/>
  <c r="AE494" i="1" s="1"/>
  <c r="AE493" i="1"/>
  <c r="AE492" i="1"/>
  <c r="BD90" i="1"/>
  <c r="BD93" i="1" s="1"/>
  <c r="BD92" i="1"/>
  <c r="BB47" i="42"/>
  <c r="L674" i="1"/>
  <c r="L675" i="1"/>
  <c r="R682" i="1"/>
  <c r="R585" i="1"/>
  <c r="AM96" i="42"/>
  <c r="R685" i="1"/>
  <c r="R686" i="1"/>
  <c r="AK289" i="1"/>
  <c r="AK292" i="1"/>
  <c r="AC38" i="4"/>
  <c r="AK301" i="1"/>
  <c r="AK302" i="1"/>
  <c r="AJ45" i="42"/>
  <c r="Y14" i="4"/>
  <c r="AG31" i="42"/>
  <c r="L282" i="1"/>
  <c r="AG503" i="1"/>
  <c r="AM104" i="1"/>
  <c r="AF22" i="30"/>
  <c r="AM114" i="1"/>
  <c r="AE505" i="1"/>
  <c r="P563" i="1"/>
  <c r="P564" i="1"/>
  <c r="P565" i="1"/>
  <c r="P566" i="1"/>
  <c r="P560" i="1"/>
  <c r="P561" i="1"/>
  <c r="P562" i="1"/>
  <c r="AK387" i="1"/>
  <c r="CC38" i="4" s="1"/>
  <c r="AK383" i="1"/>
  <c r="AM110" i="1"/>
  <c r="AM116" i="1"/>
  <c r="AM113" i="1"/>
  <c r="AM115" i="1"/>
  <c r="AM117" i="1"/>
  <c r="T512" i="1"/>
  <c r="T513" i="1"/>
  <c r="T509" i="1"/>
  <c r="T514" i="1"/>
  <c r="T508" i="1"/>
  <c r="T510" i="1"/>
  <c r="T511" i="1"/>
  <c r="AQ47" i="42"/>
  <c r="AK304" i="1"/>
  <c r="AK303" i="1"/>
  <c r="AF33" i="42"/>
  <c r="AD13" i="4"/>
  <c r="J690" i="1"/>
  <c r="N561" i="1"/>
  <c r="N562" i="1"/>
  <c r="N563" i="1"/>
  <c r="N564" i="1"/>
  <c r="N565" i="1"/>
  <c r="N566" i="1"/>
  <c r="N560" i="1"/>
  <c r="AV89" i="1"/>
  <c r="AV293" i="1"/>
  <c r="AV290" i="1"/>
  <c r="BC43" i="42" s="1"/>
  <c r="AV291" i="1"/>
  <c r="AV298" i="1"/>
  <c r="AV299" i="1"/>
  <c r="BC14" i="42"/>
  <c r="BC21" i="42"/>
  <c r="AV74" i="1"/>
  <c r="L304" i="1"/>
  <c r="AG32" i="42"/>
  <c r="Z14" i="4"/>
  <c r="L285" i="1"/>
  <c r="AE799" i="1"/>
  <c r="AE800" i="1"/>
  <c r="Z47" i="42"/>
  <c r="AO85" i="42"/>
  <c r="L161" i="1"/>
  <c r="L162" i="1"/>
  <c r="L163" i="1"/>
  <c r="L159" i="1"/>
  <c r="L164" i="1"/>
  <c r="L160" i="1"/>
  <c r="AX52" i="42"/>
  <c r="BT34" i="4"/>
  <c r="AE501" i="1"/>
  <c r="X630" i="1"/>
  <c r="AG491" i="1"/>
  <c r="AG494" i="1" s="1"/>
  <c r="AG493" i="1"/>
  <c r="AG492" i="1"/>
  <c r="AV252" i="1"/>
  <c r="T487" i="1"/>
  <c r="T483" i="1"/>
  <c r="T486" i="1"/>
  <c r="T484" i="1"/>
  <c r="T488" i="1"/>
  <c r="T485" i="1"/>
  <c r="BU34" i="4"/>
  <c r="AX53" i="42"/>
  <c r="L761" i="1"/>
  <c r="AH44" i="42"/>
  <c r="AK287" i="1"/>
  <c r="AK291" i="1"/>
  <c r="AK293" i="1" s="1"/>
  <c r="AB38" i="4"/>
  <c r="J511" i="1"/>
  <c r="J512" i="1"/>
  <c r="J510" i="1"/>
  <c r="J513" i="1"/>
  <c r="J514" i="1"/>
  <c r="J508" i="1"/>
  <c r="J509" i="1"/>
  <c r="AX103" i="42"/>
  <c r="AX104" i="42" s="1"/>
  <c r="E34" i="4"/>
  <c r="J682" i="1"/>
  <c r="AF96" i="42"/>
  <c r="J585" i="1"/>
  <c r="J686" i="1"/>
  <c r="J685" i="1"/>
  <c r="P585" i="1"/>
  <c r="P682" i="1"/>
  <c r="P685" i="1"/>
  <c r="P686" i="1"/>
  <c r="N506" i="1"/>
  <c r="N507" i="1" s="1"/>
  <c r="AG45" i="42"/>
  <c r="AE795" i="1"/>
  <c r="AE796" i="1" s="1"/>
  <c r="AE797" i="1"/>
  <c r="AE798" i="1" s="1"/>
  <c r="AZ80" i="42" s="1"/>
  <c r="L517" i="1"/>
  <c r="L518" i="1" s="1"/>
  <c r="L508" i="1"/>
  <c r="L510" i="1"/>
  <c r="L509" i="1"/>
  <c r="L511" i="1"/>
  <c r="L514" i="1"/>
  <c r="L512" i="1"/>
  <c r="L513" i="1"/>
  <c r="T697" i="1"/>
  <c r="T694" i="1"/>
  <c r="T699" i="1"/>
  <c r="T693" i="1"/>
  <c r="T698" i="1"/>
  <c r="T691" i="1"/>
  <c r="AO93" i="42" s="1"/>
  <c r="T775" i="1"/>
  <c r="T696" i="1"/>
  <c r="AO87" i="42"/>
  <c r="L141" i="1"/>
  <c r="L142" i="1" s="1"/>
  <c r="L136" i="1"/>
  <c r="L137" i="1"/>
  <c r="L138" i="1"/>
  <c r="L132" i="1"/>
  <c r="L133" i="1"/>
  <c r="L134" i="1"/>
  <c r="L135" i="1"/>
  <c r="D558" i="1"/>
  <c r="D559" i="1" s="1"/>
  <c r="E31" i="4"/>
  <c r="AT103" i="42"/>
  <c r="AT104" i="42" s="1"/>
  <c r="AF47" i="42"/>
  <c r="P514" i="1"/>
  <c r="P508" i="1"/>
  <c r="P512" i="1"/>
  <c r="P509" i="1"/>
  <c r="P511" i="1"/>
  <c r="P513" i="1"/>
  <c r="P510" i="1"/>
  <c r="AI499" i="1"/>
  <c r="AI498" i="1"/>
  <c r="R510" i="1"/>
  <c r="R509" i="1"/>
  <c r="R511" i="1"/>
  <c r="R512" i="1"/>
  <c r="R513" i="1"/>
  <c r="R514" i="1"/>
  <c r="R508" i="1"/>
  <c r="X637" i="1"/>
  <c r="T564" i="1"/>
  <c r="T565" i="1"/>
  <c r="T562" i="1"/>
  <c r="T566" i="1"/>
  <c r="T560" i="1"/>
  <c r="T561" i="1"/>
  <c r="T563" i="1"/>
  <c r="Y22" i="42"/>
  <c r="Y102" i="42" s="1"/>
  <c r="AH45" i="42"/>
  <c r="L666" i="1"/>
  <c r="AH31" i="42"/>
  <c r="Y15" i="4"/>
  <c r="AK300" i="1"/>
  <c r="AK381" i="1" s="1"/>
  <c r="AW95" i="42"/>
  <c r="J488" i="1"/>
  <c r="AM392" i="1"/>
  <c r="AM310" i="1"/>
  <c r="J535" i="1"/>
  <c r="J537" i="1"/>
  <c r="J539" i="1"/>
  <c r="J536" i="1"/>
  <c r="J540" i="1"/>
  <c r="J538" i="1"/>
  <c r="V630" i="1"/>
  <c r="CA217" i="1"/>
  <c r="CA218" i="1"/>
  <c r="CA98" i="1"/>
  <c r="CA102" i="1" s="1"/>
  <c r="CA215" i="1"/>
  <c r="CA214" i="1"/>
  <c r="CA216" i="1"/>
  <c r="N539" i="1"/>
  <c r="N536" i="1"/>
  <c r="N538" i="1"/>
  <c r="N537" i="1"/>
  <c r="N535" i="1"/>
  <c r="N540" i="1"/>
  <c r="V483" i="1"/>
  <c r="V486" i="1"/>
  <c r="V484" i="1"/>
  <c r="V485" i="1"/>
  <c r="V488" i="1"/>
  <c r="V487" i="1"/>
  <c r="L287" i="1"/>
  <c r="L367" i="1" s="1"/>
  <c r="AG95" i="42"/>
  <c r="L565" i="1"/>
  <c r="L569" i="1"/>
  <c r="L570" i="1" s="1"/>
  <c r="L564" i="1"/>
  <c r="L566" i="1"/>
  <c r="L561" i="1"/>
  <c r="L560" i="1"/>
  <c r="L562" i="1"/>
  <c r="L563" i="1"/>
  <c r="AO86" i="42"/>
  <c r="L115" i="1"/>
  <c r="L111" i="1"/>
  <c r="L112" i="1"/>
  <c r="L107" i="1"/>
  <c r="L108" i="1"/>
  <c r="L109" i="1"/>
  <c r="L110" i="1"/>
  <c r="D506" i="1"/>
  <c r="D507" i="1" s="1"/>
  <c r="D533" i="1"/>
  <c r="D534" i="1" s="1"/>
  <c r="AC103" i="42"/>
  <c r="AC104" i="42" s="1"/>
  <c r="E10" i="4"/>
  <c r="AM45" i="42"/>
  <c r="AI491" i="1"/>
  <c r="AI494" i="1" s="1"/>
  <c r="AI493" i="1"/>
  <c r="AI492" i="1"/>
  <c r="AB47" i="42"/>
  <c r="BR22" i="42"/>
  <c r="BR102" i="42" s="1"/>
  <c r="BR104" i="42" s="1"/>
  <c r="BO22" i="42"/>
  <c r="BO102" i="42" s="1"/>
  <c r="BO104" i="42" s="1"/>
  <c r="AK333" i="1"/>
  <c r="AK399" i="1"/>
  <c r="AQ14" i="30"/>
  <c r="AQ38" i="30" s="1"/>
  <c r="AK320" i="1"/>
  <c r="AW33" i="42"/>
  <c r="AK335" i="1"/>
  <c r="AK334" i="1"/>
  <c r="AD38" i="4"/>
  <c r="AK321" i="1"/>
  <c r="BY217" i="1"/>
  <c r="BY216" i="1"/>
  <c r="BY214" i="1"/>
  <c r="BY215" i="1"/>
  <c r="BY218" i="1"/>
  <c r="BY98" i="1"/>
  <c r="BY103" i="1" s="1"/>
  <c r="L681" i="1"/>
  <c r="L682" i="1"/>
  <c r="L760" i="1"/>
  <c r="L660" i="1"/>
  <c r="AH96" i="42"/>
  <c r="AA15" i="4"/>
  <c r="L585" i="1"/>
  <c r="L685" i="1"/>
  <c r="L686" i="1"/>
  <c r="R539" i="1"/>
  <c r="R540" i="1"/>
  <c r="R537" i="1"/>
  <c r="R535" i="1"/>
  <c r="R538" i="1"/>
  <c r="R536" i="1"/>
  <c r="AI801" i="1"/>
  <c r="AO45" i="42"/>
  <c r="N682" i="1"/>
  <c r="N585" i="1"/>
  <c r="AJ96" i="42"/>
  <c r="N686" i="1"/>
  <c r="N685" i="1"/>
  <c r="BD252" i="1"/>
  <c r="BG97" i="42"/>
  <c r="L671" i="1"/>
  <c r="L750" i="1" s="1"/>
  <c r="AH95" i="42"/>
  <c r="X478" i="1"/>
  <c r="X481" i="1" s="1"/>
  <c r="X482" i="1" s="1"/>
  <c r="X688" i="1"/>
  <c r="AS46" i="42"/>
  <c r="AQ13" i="30"/>
  <c r="Z38" i="4"/>
  <c r="AW32" i="42"/>
  <c r="AK298" i="1"/>
  <c r="AK170" i="1"/>
  <c r="AK171" i="1" s="1"/>
  <c r="AK195" i="1"/>
  <c r="AK196" i="1" s="1"/>
  <c r="AK143" i="1"/>
  <c r="AK144" i="1" s="1"/>
  <c r="AK118" i="1"/>
  <c r="AK119" i="1" s="1"/>
  <c r="BP22" i="42"/>
  <c r="BP102" i="42" s="1"/>
  <c r="BP104" i="42" s="1"/>
  <c r="AG22" i="30"/>
  <c r="P18" i="30"/>
  <c r="V533" i="1"/>
  <c r="V534" i="1" s="1"/>
  <c r="L276" i="1"/>
  <c r="L279" i="1"/>
  <c r="AC14" i="4"/>
  <c r="L289" i="1"/>
  <c r="L288" i="1"/>
  <c r="L488" i="1"/>
  <c r="L484" i="1"/>
  <c r="L483" i="1"/>
  <c r="L486" i="1"/>
  <c r="L485" i="1"/>
  <c r="L491" i="1"/>
  <c r="L492" i="1" s="1"/>
  <c r="L487" i="1"/>
  <c r="L193" i="1"/>
  <c r="L194" i="1" s="1"/>
  <c r="L184" i="1"/>
  <c r="L185" i="1"/>
  <c r="L186" i="1"/>
  <c r="L187" i="1"/>
  <c r="L188" i="1"/>
  <c r="L189" i="1"/>
  <c r="L190" i="1"/>
  <c r="F93" i="1"/>
  <c r="F83" i="1"/>
  <c r="AK388" i="1"/>
  <c r="AW44" i="42"/>
  <c r="L385" i="1"/>
  <c r="L320" i="1"/>
  <c r="AD14" i="4"/>
  <c r="L321" i="1"/>
  <c r="L306" i="1"/>
  <c r="AG33" i="42"/>
  <c r="L307" i="1"/>
  <c r="L319" i="1"/>
  <c r="L388" i="1" s="1"/>
  <c r="BG45" i="42"/>
  <c r="Z15" i="4"/>
  <c r="AH32" i="42"/>
  <c r="L669" i="1"/>
  <c r="AM311" i="1"/>
  <c r="D682" i="1"/>
  <c r="D585" i="1"/>
  <c r="Z96" i="42"/>
  <c r="D685" i="1"/>
  <c r="D686" i="1"/>
  <c r="V680" i="1"/>
  <c r="L278" i="1"/>
  <c r="L280" i="1" s="1"/>
  <c r="L274" i="1"/>
  <c r="AB14" i="4"/>
  <c r="AG501" i="1"/>
  <c r="L539" i="1"/>
  <c r="L535" i="1"/>
  <c r="L537" i="1"/>
  <c r="L536" i="1"/>
  <c r="L543" i="1"/>
  <c r="L544" i="1" s="1"/>
  <c r="L540" i="1"/>
  <c r="L538" i="1"/>
  <c r="AM112" i="1"/>
  <c r="AF34" i="30" s="1"/>
  <c r="AE504" i="1"/>
  <c r="H93" i="1"/>
  <c r="H83" i="1"/>
  <c r="BH22" i="42"/>
  <c r="BH99" i="42" s="1"/>
  <c r="CD38" i="4"/>
  <c r="AW68" i="42"/>
  <c r="AV22" i="42"/>
  <c r="AV102" i="42" s="1"/>
  <c r="AM268" i="1"/>
  <c r="P491" i="1"/>
  <c r="P483" i="1"/>
  <c r="P486" i="1"/>
  <c r="P487" i="1"/>
  <c r="P488" i="1"/>
  <c r="P484" i="1"/>
  <c r="P485" i="1"/>
  <c r="AM420" i="1"/>
  <c r="AX106" i="42" s="1"/>
  <c r="BG79" i="42"/>
  <c r="BG80" i="42"/>
  <c r="R489" i="1"/>
  <c r="R490" i="1"/>
  <c r="F682" i="1"/>
  <c r="F585" i="1"/>
  <c r="AB96" i="42"/>
  <c r="F686" i="1"/>
  <c r="F685" i="1"/>
  <c r="BG47" i="42"/>
  <c r="V688" i="1"/>
  <c r="AQ46" i="42"/>
  <c r="L659" i="1"/>
  <c r="L663" i="1"/>
  <c r="L665" i="1" s="1"/>
  <c r="AB15" i="4"/>
  <c r="X680" i="1"/>
  <c r="V637" i="1"/>
  <c r="AD7" i="4"/>
  <c r="Z33" i="42"/>
  <c r="D690" i="1"/>
  <c r="L291" i="1"/>
  <c r="L290" i="1"/>
  <c r="AX46" i="42"/>
  <c r="F563" i="1"/>
  <c r="F562" i="1"/>
  <c r="V479" i="1"/>
  <c r="V558" i="1" s="1"/>
  <c r="V559" i="1" s="1"/>
  <c r="P690" i="1"/>
  <c r="J567" i="1"/>
  <c r="J568" i="1"/>
  <c r="L298" i="1"/>
  <c r="L299" i="1"/>
  <c r="L302" i="1"/>
  <c r="L275" i="1"/>
  <c r="AG96" i="42"/>
  <c r="AA14" i="4"/>
  <c r="L209" i="1"/>
  <c r="L303" i="1"/>
  <c r="AG87" i="42" s="1"/>
  <c r="AD9" i="4"/>
  <c r="AB33" i="42"/>
  <c r="F690" i="1"/>
  <c r="AJ33" i="42"/>
  <c r="AD21" i="4"/>
  <c r="N690" i="1"/>
  <c r="BG46" i="42"/>
  <c r="AK27" i="30"/>
  <c r="AK29" i="30" s="1"/>
  <c r="AK25" i="30"/>
  <c r="AK28" i="30" s="1"/>
  <c r="L690" i="1"/>
  <c r="L702" i="1"/>
  <c r="L765" i="1" s="1"/>
  <c r="L762" i="1"/>
  <c r="L703" i="1"/>
  <c r="L704" i="1"/>
  <c r="AD15" i="4"/>
  <c r="AH33" i="42"/>
  <c r="L689" i="1"/>
  <c r="L664" i="1"/>
  <c r="L661" i="1"/>
  <c r="AC15" i="4"/>
  <c r="L673" i="1"/>
  <c r="L672" i="1"/>
  <c r="AS47" i="42"/>
  <c r="AK295" i="1"/>
  <c r="Y38" i="4"/>
  <c r="AQ12" i="30"/>
  <c r="AQ35" i="30" s="1"/>
  <c r="AW31" i="42"/>
  <c r="AM33" i="42"/>
  <c r="AD17" i="4"/>
  <c r="R690" i="1"/>
  <c r="AG506" i="1"/>
  <c r="AM111" i="1"/>
  <c r="F533" i="1"/>
  <c r="F534" i="1" s="1"/>
  <c r="F506" i="1"/>
  <c r="F507" i="1" s="1"/>
  <c r="AE784" i="1"/>
  <c r="CC36" i="4" s="1"/>
  <c r="AE780" i="1"/>
  <c r="AM250" i="1"/>
  <c r="AM244" i="1"/>
  <c r="AM318" i="1" s="1"/>
  <c r="AM274" i="1"/>
  <c r="AM286" i="1"/>
  <c r="AM280" i="1"/>
  <c r="AM238" i="1"/>
  <c r="AF18" i="30"/>
  <c r="AX63" i="42"/>
  <c r="AA103" i="42"/>
  <c r="AA104" i="42" s="1"/>
  <c r="S20" i="42" s="1"/>
  <c r="E8" i="4"/>
  <c r="AE93" i="1"/>
  <c r="AE83" i="1"/>
  <c r="AW43" i="4"/>
  <c r="AW32" i="4"/>
  <c r="BA32" i="4"/>
  <c r="AV32" i="4"/>
  <c r="BA11" i="4"/>
  <c r="BB13" i="4"/>
  <c r="BC7" i="4"/>
  <c r="AO38" i="4"/>
  <c r="BC17" i="4"/>
  <c r="BB21" i="4"/>
  <c r="AW34" i="4"/>
  <c r="BB7" i="4"/>
  <c r="AZ39" i="4"/>
  <c r="AY13" i="4"/>
  <c r="AV34" i="4"/>
  <c r="BD15" i="4"/>
  <c r="AW23" i="4"/>
  <c r="BB9" i="4"/>
  <c r="BC13" i="4"/>
  <c r="BF43" i="4"/>
  <c r="AM43" i="4"/>
  <c r="AK38" i="4"/>
  <c r="AY9" i="4"/>
  <c r="AI14" i="4"/>
  <c r="AI43" i="4"/>
  <c r="BA34" i="4"/>
  <c r="AM38" i="4"/>
  <c r="AQ15" i="4"/>
  <c r="BF14" i="4"/>
  <c r="BC9" i="4"/>
  <c r="AA17" i="4"/>
  <c r="AW25" i="4"/>
  <c r="BA39" i="4"/>
  <c r="AX15" i="4"/>
  <c r="AO15" i="4"/>
  <c r="BD14" i="4"/>
  <c r="AM15" i="4"/>
  <c r="BF38" i="4"/>
  <c r="BP39" i="4"/>
  <c r="AA21" i="4"/>
  <c r="AA7" i="4"/>
  <c r="AQ14" i="4"/>
  <c r="AI76" i="1" a="1"/>
  <c r="AG9" i="4"/>
  <c r="BC38" i="4"/>
  <c r="AK14" i="4"/>
  <c r="AO14" i="4"/>
  <c r="BB15" i="4"/>
  <c r="AA13" i="4"/>
  <c r="AG11" i="4"/>
  <c r="BP11" i="4"/>
  <c r="AY21" i="4"/>
  <c r="BB38" i="4"/>
  <c r="AY7" i="4"/>
  <c r="BC15" i="4"/>
  <c r="AM14" i="4"/>
  <c r="AK15" i="4"/>
  <c r="AY38" i="4"/>
  <c r="BB17" i="4"/>
  <c r="D76" i="1" a="1"/>
  <c r="BC21" i="4"/>
  <c r="AY15" i="4"/>
  <c r="AX14" i="4"/>
  <c r="AA9" i="4"/>
  <c r="AX38" i="4"/>
  <c r="AQ38" i="4"/>
  <c r="AI15" i="4"/>
  <c r="BD38" i="4"/>
  <c r="AQ43" i="4"/>
  <c r="AY14" i="4"/>
  <c r="BF59" i="1" a="1"/>
  <c r="BB14" i="4"/>
  <c r="BF15" i="4"/>
  <c r="AI38" i="4"/>
  <c r="AY17" i="4"/>
  <c r="T542" i="1" l="1"/>
  <c r="R567" i="1"/>
  <c r="N490" i="1"/>
  <c r="J486" i="1"/>
  <c r="R568" i="1"/>
  <c r="N489" i="1"/>
  <c r="J485" i="1"/>
  <c r="J487" i="1"/>
  <c r="J484" i="1"/>
  <c r="P536" i="1"/>
  <c r="F561" i="1"/>
  <c r="X506" i="1"/>
  <c r="X507" i="1" s="1"/>
  <c r="F560" i="1"/>
  <c r="F566" i="1"/>
  <c r="F565" i="1"/>
  <c r="T541" i="1"/>
  <c r="BD301" i="1"/>
  <c r="BG87" i="42" s="1"/>
  <c r="CA103" i="1"/>
  <c r="P535" i="1"/>
  <c r="BD288" i="1"/>
  <c r="P539" i="1"/>
  <c r="P538" i="1"/>
  <c r="L751" i="1"/>
  <c r="AE14" i="30"/>
  <c r="AE38" i="30" s="1"/>
  <c r="AG334" i="1"/>
  <c r="AG335" i="1"/>
  <c r="AD32" i="4"/>
  <c r="AU33" i="42"/>
  <c r="AG320" i="1"/>
  <c r="AG333" i="1"/>
  <c r="AG321" i="1"/>
  <c r="AG399" i="1"/>
  <c r="P537" i="1"/>
  <c r="AU32" i="42"/>
  <c r="AE13" i="30"/>
  <c r="AG298" i="1"/>
  <c r="Z32" i="4"/>
  <c r="AG318" i="1"/>
  <c r="AU68" i="42"/>
  <c r="CD32" i="4"/>
  <c r="AC32" i="4"/>
  <c r="AG292" i="1"/>
  <c r="AG301" i="1"/>
  <c r="AG302" i="1"/>
  <c r="AG289" i="1"/>
  <c r="AG300" i="1"/>
  <c r="AG382" i="1" s="1"/>
  <c r="AU95" i="42"/>
  <c r="AG304" i="1"/>
  <c r="AG303" i="1"/>
  <c r="AU47" i="42"/>
  <c r="AU45" i="42"/>
  <c r="AG391" i="1"/>
  <c r="AA32" i="4"/>
  <c r="AU96" i="42"/>
  <c r="AG222" i="1"/>
  <c r="AG288" i="1"/>
  <c r="AG316" i="1"/>
  <c r="AG312" i="1"/>
  <c r="AG317" i="1"/>
  <c r="AG313" i="1"/>
  <c r="AE27" i="30"/>
  <c r="AE29" i="30" s="1"/>
  <c r="AE25" i="30"/>
  <c r="AE28" i="30" s="1"/>
  <c r="AG291" i="1"/>
  <c r="AG293" i="1" s="1"/>
  <c r="AG287" i="1"/>
  <c r="AB32" i="4"/>
  <c r="AG170" i="1"/>
  <c r="AG171" i="1" s="1"/>
  <c r="AG143" i="1"/>
  <c r="AG144" i="1" s="1"/>
  <c r="AG118" i="1"/>
  <c r="AG119" i="1" s="1"/>
  <c r="AG195" i="1"/>
  <c r="AG196" i="1" s="1"/>
  <c r="AU31" i="42"/>
  <c r="AE12" i="30"/>
  <c r="AE35" i="30" s="1"/>
  <c r="AG295" i="1"/>
  <c r="Y32" i="4"/>
  <c r="Y43" i="4"/>
  <c r="H680" i="1"/>
  <c r="AD43" i="4"/>
  <c r="J569" i="1"/>
  <c r="N491" i="1"/>
  <c r="BG33" i="42"/>
  <c r="BD300" i="1"/>
  <c r="AB43" i="4"/>
  <c r="H477" i="1"/>
  <c r="H480" i="1" s="1"/>
  <c r="H478" i="1"/>
  <c r="H479" i="1"/>
  <c r="H637" i="1"/>
  <c r="AZ156" i="1"/>
  <c r="AZ161" i="1"/>
  <c r="AZ159" i="1"/>
  <c r="AZ157" i="1"/>
  <c r="AZ160" i="1"/>
  <c r="AZ158" i="1"/>
  <c r="AK14" i="30"/>
  <c r="AK38" i="30" s="1"/>
  <c r="AZ105" i="1"/>
  <c r="AZ108" i="1"/>
  <c r="AZ107" i="1"/>
  <c r="AZ109" i="1"/>
  <c r="AZ106" i="1"/>
  <c r="AZ104" i="1"/>
  <c r="BD305" i="1"/>
  <c r="BD313" i="1" s="1"/>
  <c r="H630" i="1"/>
  <c r="AZ187" i="1"/>
  <c r="AZ182" i="1"/>
  <c r="AZ183" i="1"/>
  <c r="AZ185" i="1"/>
  <c r="AZ181" i="1"/>
  <c r="AZ184" i="1"/>
  <c r="AZ186" i="1"/>
  <c r="AZ134" i="1"/>
  <c r="AZ131" i="1"/>
  <c r="AZ132" i="1"/>
  <c r="AZ129" i="1"/>
  <c r="AZ133" i="1"/>
  <c r="AZ130" i="1"/>
  <c r="AZ135" i="1"/>
  <c r="AE801" i="1"/>
  <c r="AD47" i="42"/>
  <c r="BD274" i="1"/>
  <c r="BD342" i="1" s="1"/>
  <c r="BD373" i="1"/>
  <c r="BD296" i="1"/>
  <c r="BG84" i="42" s="1"/>
  <c r="BD275" i="1"/>
  <c r="BD277" i="1" s="1"/>
  <c r="BD297" i="1"/>
  <c r="BG85" i="42" s="1"/>
  <c r="BD319" i="1"/>
  <c r="BG95" i="42"/>
  <c r="BD318" i="1"/>
  <c r="BD273" i="1"/>
  <c r="BD339" i="1" s="1"/>
  <c r="BG31" i="42"/>
  <c r="BD276" i="1"/>
  <c r="BD357" i="1" s="1"/>
  <c r="BD286" i="1"/>
  <c r="BD285" i="1"/>
  <c r="DY56" i="7"/>
  <c r="DZ56" i="7" s="1"/>
  <c r="EB56" i="7" s="1"/>
  <c r="Z43" i="4"/>
  <c r="AD34" i="4"/>
  <c r="AK13" i="30"/>
  <c r="AK39" i="30" s="1"/>
  <c r="J18" i="31"/>
  <c r="I19" i="31" s="1"/>
  <c r="AC92" i="7"/>
  <c r="J27" i="31"/>
  <c r="AH92" i="7"/>
  <c r="W92" i="7"/>
  <c r="E92" i="7"/>
  <c r="AB92" i="7"/>
  <c r="AE92" i="7"/>
  <c r="K92" i="7"/>
  <c r="Y92" i="7"/>
  <c r="H57" i="42"/>
  <c r="Q92" i="7"/>
  <c r="AF92" i="7"/>
  <c r="AM334" i="1"/>
  <c r="AX91" i="42" s="1"/>
  <c r="BD91" i="1"/>
  <c r="BD83" i="1" s="1"/>
  <c r="BD85" i="1" s="1"/>
  <c r="BD88" i="1" s="1"/>
  <c r="AM320" i="1"/>
  <c r="DY13" i="7"/>
  <c r="DZ13" i="7" s="1"/>
  <c r="EB13" i="7" s="1"/>
  <c r="AF14" i="30"/>
  <c r="AF38" i="30" s="1"/>
  <c r="AM399" i="1"/>
  <c r="BJ52" i="1"/>
  <c r="BJ49" i="1"/>
  <c r="AN20" i="30"/>
  <c r="BJ21" i="1"/>
  <c r="BJ53" i="1"/>
  <c r="BJ8" i="1"/>
  <c r="BJ20" i="1" s="1"/>
  <c r="BJ51" i="1"/>
  <c r="BJ50" i="1"/>
  <c r="L763" i="1"/>
  <c r="EO15" i="4" s="1"/>
  <c r="AM335" i="1"/>
  <c r="AM333" i="1"/>
  <c r="BD372" i="1"/>
  <c r="BD282" i="1"/>
  <c r="AK31" i="30" s="1"/>
  <c r="BD365" i="1"/>
  <c r="H63" i="42"/>
  <c r="BB8" i="1"/>
  <c r="BB20" i="1" s="1"/>
  <c r="E58" i="30"/>
  <c r="BB21" i="1"/>
  <c r="BB50" i="1"/>
  <c r="BB49" i="1"/>
  <c r="BB52" i="1"/>
  <c r="BB53" i="1"/>
  <c r="AJ20" i="30"/>
  <c r="BB51" i="1"/>
  <c r="AX33" i="42"/>
  <c r="BG32" i="42"/>
  <c r="M122" i="7"/>
  <c r="AA122" i="7"/>
  <c r="K122" i="7"/>
  <c r="L122" i="7"/>
  <c r="E122" i="7"/>
  <c r="AE122" i="7"/>
  <c r="G122" i="7"/>
  <c r="N122" i="7"/>
  <c r="Y122" i="7"/>
  <c r="Q122" i="7"/>
  <c r="O122" i="7"/>
  <c r="AH122" i="7"/>
  <c r="AC122" i="7"/>
  <c r="AF122" i="7"/>
  <c r="BD367" i="1"/>
  <c r="BD368" i="1" s="1"/>
  <c r="BD371" i="1"/>
  <c r="CC43" i="4" s="1"/>
  <c r="M100" i="19" s="1"/>
  <c r="AK12" i="30"/>
  <c r="AK35" i="30" s="1"/>
  <c r="BD383" i="1"/>
  <c r="AE560" i="1"/>
  <c r="AE561" i="1" s="1"/>
  <c r="AE564" i="1" s="1"/>
  <c r="BD304" i="1"/>
  <c r="GL14" i="4"/>
  <c r="GK14" i="4"/>
  <c r="AR8" i="19" s="1"/>
  <c r="GL38" i="4"/>
  <c r="GK38" i="4"/>
  <c r="AI82" i="1"/>
  <c r="AI79" i="1"/>
  <c r="AI77" i="1"/>
  <c r="AI84" i="1" s="1"/>
  <c r="AI76" i="1"/>
  <c r="AI81" i="1"/>
  <c r="AI78" i="1"/>
  <c r="AI80" i="1"/>
  <c r="D82" i="1"/>
  <c r="D76" i="1"/>
  <c r="D78" i="1"/>
  <c r="D80" i="1"/>
  <c r="D79" i="1"/>
  <c r="D77" i="1"/>
  <c r="D84" i="1" s="1"/>
  <c r="D81" i="1"/>
  <c r="GL15" i="4"/>
  <c r="GK15" i="4"/>
  <c r="BF64" i="1"/>
  <c r="BF72" i="1" s="1"/>
  <c r="BF60" i="1"/>
  <c r="BF68" i="1" s="1"/>
  <c r="BF63" i="1"/>
  <c r="BF71" i="1" s="1"/>
  <c r="BF61" i="1"/>
  <c r="BF69" i="1" s="1"/>
  <c r="BF62" i="1"/>
  <c r="BF70" i="1" s="1"/>
  <c r="BF65" i="1"/>
  <c r="BF59" i="1"/>
  <c r="AM295" i="1"/>
  <c r="Y34" i="4"/>
  <c r="AX31" i="42"/>
  <c r="AF12" i="30"/>
  <c r="AF35" i="30" s="1"/>
  <c r="L731" i="1"/>
  <c r="L724" i="1"/>
  <c r="L726" i="1"/>
  <c r="L729" i="1"/>
  <c r="AM387" i="1"/>
  <c r="CC34" i="4" s="1"/>
  <c r="AM383" i="1"/>
  <c r="AE89" i="1"/>
  <c r="AE90" i="1" s="1"/>
  <c r="AD4" i="30"/>
  <c r="AD5" i="30"/>
  <c r="AD8" i="30"/>
  <c r="AD7" i="30"/>
  <c r="AD6" i="30"/>
  <c r="AE91" i="1"/>
  <c r="L740" i="1"/>
  <c r="L742" i="1"/>
  <c r="L737" i="1"/>
  <c r="L735" i="1"/>
  <c r="AE227" i="1"/>
  <c r="AE229" i="1"/>
  <c r="AE228" i="1"/>
  <c r="AE230" i="1"/>
  <c r="AE231" i="1"/>
  <c r="AE98" i="1"/>
  <c r="AM291" i="1"/>
  <c r="AM293" i="1" s="1"/>
  <c r="AM287" i="1"/>
  <c r="AM290" i="1" s="1"/>
  <c r="AB34" i="4"/>
  <c r="AX32" i="42"/>
  <c r="Z34" i="4"/>
  <c r="AF13" i="30"/>
  <c r="AM298" i="1"/>
  <c r="AW36" i="42"/>
  <c r="AK297" i="1"/>
  <c r="AK352" i="1" s="1"/>
  <c r="AQ30" i="30"/>
  <c r="L694" i="1"/>
  <c r="L697" i="1"/>
  <c r="L699" i="1"/>
  <c r="L691" i="1"/>
  <c r="AH93" i="42" s="1"/>
  <c r="L696" i="1"/>
  <c r="L693" i="1"/>
  <c r="L698" i="1"/>
  <c r="L775" i="1"/>
  <c r="AG85" i="42"/>
  <c r="P490" i="1"/>
  <c r="P489" i="1"/>
  <c r="X565" i="1"/>
  <c r="X566" i="1"/>
  <c r="X560" i="1"/>
  <c r="X561" i="1"/>
  <c r="X562" i="1"/>
  <c r="X563" i="1"/>
  <c r="X564" i="1"/>
  <c r="F215" i="1"/>
  <c r="F218" i="1"/>
  <c r="F217" i="1"/>
  <c r="F98" i="1"/>
  <c r="F216" i="1"/>
  <c r="F214" i="1"/>
  <c r="L357" i="1"/>
  <c r="L354" i="1"/>
  <c r="L359" i="1"/>
  <c r="L352" i="1"/>
  <c r="AJ85" i="42"/>
  <c r="AH85" i="42"/>
  <c r="CA227" i="1"/>
  <c r="CA233" i="1"/>
  <c r="CA245" i="1"/>
  <c r="CA269" i="1"/>
  <c r="CA263" i="1"/>
  <c r="CA257" i="1"/>
  <c r="CA221" i="1"/>
  <c r="CA251" i="1"/>
  <c r="BP26" i="42"/>
  <c r="AK378" i="1"/>
  <c r="AK379" i="1" s="1"/>
  <c r="EW38" i="4" s="1"/>
  <c r="AW37" i="42"/>
  <c r="R569" i="1"/>
  <c r="L165" i="1"/>
  <c r="L166" i="1"/>
  <c r="BC47" i="42"/>
  <c r="AH41" i="42"/>
  <c r="AE533" i="1"/>
  <c r="AE534" i="1" s="1"/>
  <c r="AE585" i="1"/>
  <c r="AE586" i="1" s="1"/>
  <c r="AE508" i="1"/>
  <c r="AE509" i="1" s="1"/>
  <c r="AW84" i="42"/>
  <c r="M72" i="19"/>
  <c r="DB15" i="4"/>
  <c r="CP15" i="4"/>
  <c r="AK32" i="30"/>
  <c r="AK36" i="30" s="1"/>
  <c r="BG38" i="42"/>
  <c r="D489" i="1"/>
  <c r="D490" i="1"/>
  <c r="AL103" i="42"/>
  <c r="AL104" i="42" s="1"/>
  <c r="E16" i="4"/>
  <c r="V93" i="1"/>
  <c r="V83" i="1"/>
  <c r="CC83" i="1"/>
  <c r="CC93" i="1"/>
  <c r="AM289" i="1"/>
  <c r="AM292" i="1"/>
  <c r="AC34" i="4"/>
  <c r="AM301" i="1"/>
  <c r="AM302" i="1"/>
  <c r="AM300" i="1"/>
  <c r="AM382" i="1" s="1"/>
  <c r="AX95" i="42"/>
  <c r="F699" i="1"/>
  <c r="F694" i="1"/>
  <c r="F697" i="1"/>
  <c r="F696" i="1"/>
  <c r="F775" i="1"/>
  <c r="F693" i="1"/>
  <c r="F698" i="1"/>
  <c r="F691" i="1"/>
  <c r="AB93" i="42" s="1"/>
  <c r="AG84" i="42"/>
  <c r="AG41" i="42"/>
  <c r="P492" i="1"/>
  <c r="P500" i="1" s="1"/>
  <c r="H89" i="1"/>
  <c r="H90" i="1" s="1"/>
  <c r="H91" i="1"/>
  <c r="AC33" i="30"/>
  <c r="BA39" i="42"/>
  <c r="AH40" i="42"/>
  <c r="L670" i="1"/>
  <c r="L490" i="1"/>
  <c r="L489" i="1"/>
  <c r="L341" i="1"/>
  <c r="L348" i="1"/>
  <c r="L343" i="1"/>
  <c r="L346" i="1"/>
  <c r="BD272" i="1"/>
  <c r="BD206" i="1"/>
  <c r="BD375" i="1"/>
  <c r="BG96" i="42"/>
  <c r="AA43" i="4"/>
  <c r="AJ86" i="42"/>
  <c r="AH87" i="42"/>
  <c r="AH84" i="42"/>
  <c r="AK328" i="1"/>
  <c r="AK330" i="1"/>
  <c r="AK325" i="1"/>
  <c r="AK324" i="1"/>
  <c r="AK329" i="1"/>
  <c r="AK322" i="1"/>
  <c r="AW93" i="42" s="1"/>
  <c r="AK412" i="1"/>
  <c r="AK327" i="1"/>
  <c r="AK400" i="1"/>
  <c r="EO38" i="4" s="1"/>
  <c r="AI508" i="1"/>
  <c r="AI509" i="1" s="1"/>
  <c r="AI560" i="1"/>
  <c r="AI561" i="1" s="1"/>
  <c r="AI533" i="1"/>
  <c r="AI534" i="1" s="1"/>
  <c r="AI585" i="1"/>
  <c r="AI586" i="1" s="1"/>
  <c r="D540" i="1"/>
  <c r="D538" i="1"/>
  <c r="D535" i="1"/>
  <c r="D536" i="1"/>
  <c r="D537" i="1"/>
  <c r="D539" i="1"/>
  <c r="L116" i="1"/>
  <c r="L122" i="1" s="1"/>
  <c r="N542" i="1"/>
  <c r="N541" i="1"/>
  <c r="CA300" i="1"/>
  <c r="CA301" i="1" s="1"/>
  <c r="CA101" i="1"/>
  <c r="CA104" i="1" s="1"/>
  <c r="T568" i="1"/>
  <c r="T567" i="1"/>
  <c r="X682" i="1"/>
  <c r="AS96" i="42"/>
  <c r="X585" i="1"/>
  <c r="X686" i="1"/>
  <c r="X685" i="1"/>
  <c r="AG504" i="1"/>
  <c r="AG505" i="1"/>
  <c r="P515" i="1"/>
  <c r="P516" i="1"/>
  <c r="AK364" i="1"/>
  <c r="AK369" i="1"/>
  <c r="BC96" i="42"/>
  <c r="T515" i="1"/>
  <c r="T516" i="1"/>
  <c r="AW86" i="42"/>
  <c r="AW87" i="42"/>
  <c r="CD43" i="4"/>
  <c r="BG68" i="42"/>
  <c r="L753" i="1"/>
  <c r="L755" i="1"/>
  <c r="BN103" i="42"/>
  <c r="E55" i="4"/>
  <c r="BM103" i="42"/>
  <c r="E51" i="4"/>
  <c r="P697" i="1"/>
  <c r="P699" i="1"/>
  <c r="P694" i="1"/>
  <c r="P693" i="1"/>
  <c r="P698" i="1"/>
  <c r="P696" i="1"/>
  <c r="P691" i="1"/>
  <c r="P775" i="1"/>
  <c r="AM330" i="1"/>
  <c r="AM325" i="1"/>
  <c r="AM328" i="1"/>
  <c r="AM412" i="1"/>
  <c r="AM324" i="1"/>
  <c r="AM327" i="1"/>
  <c r="AM329" i="1"/>
  <c r="AM322" i="1"/>
  <c r="AX93" i="42" s="1"/>
  <c r="H215" i="1"/>
  <c r="H216" i="1"/>
  <c r="H218" i="1"/>
  <c r="H214" i="1"/>
  <c r="H217" i="1"/>
  <c r="H98" i="1"/>
  <c r="AG91" i="42"/>
  <c r="L324" i="1"/>
  <c r="L323" i="1"/>
  <c r="V540" i="1"/>
  <c r="V536" i="1"/>
  <c r="V535" i="1"/>
  <c r="V537" i="1"/>
  <c r="V538" i="1"/>
  <c r="V539" i="1"/>
  <c r="AJ87" i="42"/>
  <c r="AH86" i="42"/>
  <c r="BY300" i="1"/>
  <c r="BY301" i="1" s="1"/>
  <c r="BY101" i="1"/>
  <c r="BY104" i="1" s="1"/>
  <c r="AQ32" i="30"/>
  <c r="AQ36" i="30" s="1"/>
  <c r="AW38" i="42"/>
  <c r="D508" i="1"/>
  <c r="D512" i="1"/>
  <c r="D514" i="1"/>
  <c r="D509" i="1"/>
  <c r="D510" i="1"/>
  <c r="D511" i="1"/>
  <c r="D513" i="1"/>
  <c r="CA236" i="1"/>
  <c r="CA230" i="1"/>
  <c r="CA260" i="1"/>
  <c r="CA272" i="1"/>
  <c r="CA266" i="1"/>
  <c r="CA224" i="1"/>
  <c r="CA254" i="1"/>
  <c r="BP29" i="42"/>
  <c r="R516" i="1"/>
  <c r="R515" i="1"/>
  <c r="AI505" i="1"/>
  <c r="AI500" i="1"/>
  <c r="AI501" i="1" s="1"/>
  <c r="AI507" i="1"/>
  <c r="AI506" i="1"/>
  <c r="AI503" i="1"/>
  <c r="AI504" i="1"/>
  <c r="J516" i="1"/>
  <c r="J515" i="1"/>
  <c r="AK290" i="1"/>
  <c r="AK389" i="1"/>
  <c r="AW79" i="42" s="1"/>
  <c r="AG40" i="42"/>
  <c r="L286" i="1"/>
  <c r="BG86" i="42"/>
  <c r="BD283" i="1"/>
  <c r="AN103" i="42"/>
  <c r="AN104" i="42" s="1"/>
  <c r="E18" i="4"/>
  <c r="X93" i="1"/>
  <c r="X83" i="1"/>
  <c r="J93" i="1"/>
  <c r="J83" i="1"/>
  <c r="J570" i="1"/>
  <c r="J579" i="1" s="1"/>
  <c r="J571" i="1"/>
  <c r="V566" i="1"/>
  <c r="V561" i="1"/>
  <c r="V563" i="1"/>
  <c r="V565" i="1"/>
  <c r="V560" i="1"/>
  <c r="V562" i="1"/>
  <c r="V564" i="1"/>
  <c r="AS45" i="42"/>
  <c r="AM312" i="1"/>
  <c r="AM313" i="1"/>
  <c r="AM391" i="1"/>
  <c r="AA34" i="4"/>
  <c r="AM288" i="1"/>
  <c r="AX96" i="42"/>
  <c r="AM222" i="1"/>
  <c r="AM316" i="1"/>
  <c r="AM317" i="1"/>
  <c r="DC38" i="4"/>
  <c r="CQ38" i="4"/>
  <c r="N95" i="19"/>
  <c r="L277" i="1"/>
  <c r="L375" i="1"/>
  <c r="AG79" i="42" s="1"/>
  <c r="AG38" i="42"/>
  <c r="L386" i="1"/>
  <c r="L191" i="1"/>
  <c r="L192" i="1"/>
  <c r="V506" i="1"/>
  <c r="V507" i="1" s="1"/>
  <c r="AQ31" i="30"/>
  <c r="AK299" i="1"/>
  <c r="AW40" i="42"/>
  <c r="BY219" i="1"/>
  <c r="BY230" i="1"/>
  <c r="BY236" i="1"/>
  <c r="BY260" i="1"/>
  <c r="BY272" i="1"/>
  <c r="BY266" i="1"/>
  <c r="BY254" i="1"/>
  <c r="BY224" i="1"/>
  <c r="BR29" i="42"/>
  <c r="BO29" i="42"/>
  <c r="AW91" i="42"/>
  <c r="AK337" i="1"/>
  <c r="AK338" i="1"/>
  <c r="BY102" i="1"/>
  <c r="CA229" i="1"/>
  <c r="CA248" i="1" s="1"/>
  <c r="CA235" i="1"/>
  <c r="CA247" i="1"/>
  <c r="CA259" i="1"/>
  <c r="CA271" i="1"/>
  <c r="CA265" i="1"/>
  <c r="CA223" i="1"/>
  <c r="CA253" i="1"/>
  <c r="BP28" i="42"/>
  <c r="J541" i="1"/>
  <c r="J542" i="1"/>
  <c r="AH36" i="42"/>
  <c r="L668" i="1"/>
  <c r="L139" i="1"/>
  <c r="L140" i="1"/>
  <c r="AG533" i="1"/>
  <c r="AG534" i="1" s="1"/>
  <c r="AK384" i="1"/>
  <c r="AK386" i="1"/>
  <c r="AF25" i="30"/>
  <c r="AF28" i="30" s="1"/>
  <c r="AF27" i="30"/>
  <c r="AF29" i="30" s="1"/>
  <c r="L284" i="1"/>
  <c r="L338" i="1" s="1"/>
  <c r="AG36" i="42"/>
  <c r="BD97" i="1"/>
  <c r="E22" i="4"/>
  <c r="AP103" i="42"/>
  <c r="AP104" i="42" s="1"/>
  <c r="BQ103" i="42"/>
  <c r="E54" i="4"/>
  <c r="P93" i="1"/>
  <c r="P83" i="1"/>
  <c r="AE103" i="42"/>
  <c r="AE104" i="42" s="1"/>
  <c r="E12" i="4"/>
  <c r="N93" i="1"/>
  <c r="N83" i="1"/>
  <c r="R699" i="1"/>
  <c r="R694" i="1"/>
  <c r="R697" i="1"/>
  <c r="R696" i="1"/>
  <c r="R693" i="1"/>
  <c r="R775" i="1"/>
  <c r="R691" i="1"/>
  <c r="AM93" i="42" s="1"/>
  <c r="R698" i="1"/>
  <c r="N694" i="1"/>
  <c r="N697" i="1"/>
  <c r="N699" i="1"/>
  <c r="N698" i="1"/>
  <c r="N775" i="1"/>
  <c r="N693" i="1"/>
  <c r="N696" i="1"/>
  <c r="N691" i="1"/>
  <c r="AJ93" i="42" s="1"/>
  <c r="AB85" i="42"/>
  <c r="L355" i="1"/>
  <c r="L350" i="1"/>
  <c r="Z85" i="42"/>
  <c r="L316" i="1"/>
  <c r="L311" i="1"/>
  <c r="L314" i="1"/>
  <c r="L308" i="1"/>
  <c r="AG93" i="42" s="1"/>
  <c r="L310" i="1"/>
  <c r="L313" i="1"/>
  <c r="L315" i="1"/>
  <c r="L398" i="1"/>
  <c r="AK121" i="1"/>
  <c r="AK123" i="1"/>
  <c r="AK124" i="1"/>
  <c r="AK125" i="1"/>
  <c r="AK120" i="1"/>
  <c r="AK122" i="1"/>
  <c r="AK128" i="1"/>
  <c r="AK129" i="1" s="1"/>
  <c r="X487" i="1"/>
  <c r="X488" i="1"/>
  <c r="X485" i="1"/>
  <c r="X484" i="1"/>
  <c r="X486" i="1"/>
  <c r="X483" i="1"/>
  <c r="BY245" i="1"/>
  <c r="BY233" i="1"/>
  <c r="BY227" i="1"/>
  <c r="BY269" i="1"/>
  <c r="BY263" i="1"/>
  <c r="BY257" i="1"/>
  <c r="BY251" i="1"/>
  <c r="BY221" i="1"/>
  <c r="BO26" i="42"/>
  <c r="BR26" i="42"/>
  <c r="AQ33" i="42"/>
  <c r="AD23" i="4"/>
  <c r="V690" i="1"/>
  <c r="AM388" i="1"/>
  <c r="AX44" i="42"/>
  <c r="AF85" i="42"/>
  <c r="AG560" i="1"/>
  <c r="AG561" i="1" s="1"/>
  <c r="AG508" i="1"/>
  <c r="AG509" i="1" s="1"/>
  <c r="AG585" i="1"/>
  <c r="AG586" i="1" s="1"/>
  <c r="AV90" i="1"/>
  <c r="AV93" i="1" s="1"/>
  <c r="CP38" i="4"/>
  <c r="M95" i="19"/>
  <c r="DB38" i="4"/>
  <c r="AM118" i="1"/>
  <c r="AM119" i="1" s="1"/>
  <c r="AM143" i="1"/>
  <c r="AM144" i="1" s="1"/>
  <c r="AM195" i="1"/>
  <c r="AM196" i="1" s="1"/>
  <c r="AM170" i="1"/>
  <c r="AM171" i="1" s="1"/>
  <c r="AK366" i="1"/>
  <c r="AK368" i="1"/>
  <c r="AK373" i="1"/>
  <c r="AK371" i="1"/>
  <c r="BD87" i="1"/>
  <c r="BD86" i="1"/>
  <c r="BD362" i="1"/>
  <c r="BD363" i="1" s="1"/>
  <c r="EW43" i="4" s="1"/>
  <c r="BG37" i="42"/>
  <c r="E5" i="4"/>
  <c r="AK103" i="42"/>
  <c r="AK104" i="42" s="1"/>
  <c r="V682" i="1"/>
  <c r="V585" i="1"/>
  <c r="AQ96" i="42"/>
  <c r="V686" i="1"/>
  <c r="V685" i="1"/>
  <c r="L738" i="1"/>
  <c r="L733" i="1"/>
  <c r="AB86" i="42"/>
  <c r="AQ45" i="42"/>
  <c r="CB15" i="4"/>
  <c r="AH62" i="42"/>
  <c r="AW78" i="42"/>
  <c r="AG27" i="30"/>
  <c r="AG25" i="30"/>
  <c r="P27" i="30"/>
  <c r="AK148" i="1"/>
  <c r="AK151" i="1"/>
  <c r="AK149" i="1"/>
  <c r="AK150" i="1"/>
  <c r="AK146" i="1"/>
  <c r="AK145" i="1"/>
  <c r="AK147" i="1"/>
  <c r="AK154" i="1"/>
  <c r="AK155" i="1" s="1"/>
  <c r="R541" i="1"/>
  <c r="R542" i="1"/>
  <c r="BY244" i="1"/>
  <c r="BY238" i="1"/>
  <c r="BY243" i="1" s="1"/>
  <c r="BY256" i="1"/>
  <c r="BY250" i="1"/>
  <c r="BR25" i="42"/>
  <c r="X52" i="4"/>
  <c r="BO25" i="42"/>
  <c r="X56" i="4"/>
  <c r="N492" i="1"/>
  <c r="N500" i="1" s="1"/>
  <c r="N493" i="1"/>
  <c r="N494" i="1"/>
  <c r="CD34" i="4"/>
  <c r="AX68" i="42"/>
  <c r="N508" i="1"/>
  <c r="N513" i="1"/>
  <c r="N509" i="1"/>
  <c r="N512" i="1"/>
  <c r="N511" i="1"/>
  <c r="N514" i="1"/>
  <c r="N510" i="1"/>
  <c r="AF86" i="42"/>
  <c r="AS33" i="42"/>
  <c r="AD25" i="4"/>
  <c r="X690" i="1"/>
  <c r="N567" i="1"/>
  <c r="N568" i="1"/>
  <c r="AK355" i="1"/>
  <c r="AK357" i="1"/>
  <c r="AK360" i="1"/>
  <c r="AK362" i="1"/>
  <c r="AM85" i="42"/>
  <c r="BD94" i="1"/>
  <c r="BD101" i="1"/>
  <c r="BD99" i="1"/>
  <c r="BD100" i="1"/>
  <c r="BD98" i="1"/>
  <c r="BD95" i="1"/>
  <c r="BD366" i="1" s="1"/>
  <c r="BD96" i="1"/>
  <c r="AK34" i="30" s="1"/>
  <c r="BG91" i="42"/>
  <c r="BD321" i="1"/>
  <c r="BD322" i="1"/>
  <c r="BG36" i="42"/>
  <c r="BD281" i="1"/>
  <c r="BD336" i="1" s="1"/>
  <c r="AK30" i="30"/>
  <c r="R93" i="1"/>
  <c r="R83" i="1"/>
  <c r="BU93" i="1"/>
  <c r="BU83" i="1"/>
  <c r="AR103" i="42"/>
  <c r="AR104" i="42" s="1"/>
  <c r="E24" i="4"/>
  <c r="F539" i="1"/>
  <c r="F536" i="1"/>
  <c r="F537" i="1"/>
  <c r="F538" i="1"/>
  <c r="F540" i="1"/>
  <c r="F535" i="1"/>
  <c r="AM337" i="1"/>
  <c r="AM338" i="1"/>
  <c r="AM303" i="1"/>
  <c r="AM304" i="1"/>
  <c r="L662" i="1"/>
  <c r="L757" i="1"/>
  <c r="AH78" i="42" s="1"/>
  <c r="L758" i="1"/>
  <c r="AB87" i="42"/>
  <c r="Z87" i="42"/>
  <c r="X514" i="1"/>
  <c r="X513" i="1"/>
  <c r="X509" i="1"/>
  <c r="X508" i="1"/>
  <c r="X511" i="1"/>
  <c r="X512" i="1"/>
  <c r="X510" i="1"/>
  <c r="AK198" i="1"/>
  <c r="AK200" i="1"/>
  <c r="AK202" i="1"/>
  <c r="AK203" i="1"/>
  <c r="AK199" i="1"/>
  <c r="AK201" i="1"/>
  <c r="AK197" i="1"/>
  <c r="AK206" i="1"/>
  <c r="AK207" i="1" s="1"/>
  <c r="L747" i="1"/>
  <c r="L748" i="1" s="1"/>
  <c r="AH37" i="42"/>
  <c r="BY246" i="1"/>
  <c r="BY234" i="1"/>
  <c r="BY228" i="1"/>
  <c r="BY270" i="1"/>
  <c r="BY264" i="1"/>
  <c r="BY258" i="1"/>
  <c r="BY252" i="1"/>
  <c r="BY222" i="1"/>
  <c r="BO27" i="42"/>
  <c r="BR27" i="42"/>
  <c r="L114" i="1"/>
  <c r="L113" i="1"/>
  <c r="L568" i="1"/>
  <c r="L567" i="1"/>
  <c r="V490" i="1"/>
  <c r="V489" i="1"/>
  <c r="CA234" i="1"/>
  <c r="CA246" i="1"/>
  <c r="CA228" i="1"/>
  <c r="CA270" i="1"/>
  <c r="CA264" i="1"/>
  <c r="CA258" i="1"/>
  <c r="CA222" i="1"/>
  <c r="CA252" i="1"/>
  <c r="BP27" i="42"/>
  <c r="J489" i="1"/>
  <c r="J490" i="1"/>
  <c r="AF87" i="42"/>
  <c r="T490" i="1"/>
  <c r="T489" i="1"/>
  <c r="L369" i="1"/>
  <c r="L373" i="1"/>
  <c r="CC14" i="4" s="1"/>
  <c r="BC46" i="42"/>
  <c r="AV303" i="1"/>
  <c r="J699" i="1"/>
  <c r="J694" i="1"/>
  <c r="J697" i="1"/>
  <c r="J696" i="1"/>
  <c r="J693" i="1"/>
  <c r="J698" i="1"/>
  <c r="J691" i="1"/>
  <c r="AF93" i="42" s="1"/>
  <c r="J775" i="1"/>
  <c r="AW41" i="42"/>
  <c r="AM87" i="42"/>
  <c r="AE562" i="1"/>
  <c r="AE565" i="1"/>
  <c r="AE563" i="1"/>
  <c r="AE566" i="1"/>
  <c r="AE567" i="1"/>
  <c r="BD348" i="1"/>
  <c r="BD351" i="1" s="1"/>
  <c r="BD353" i="1"/>
  <c r="BD356" i="1" s="1"/>
  <c r="F489" i="1"/>
  <c r="F490" i="1"/>
  <c r="BD346" i="1"/>
  <c r="BD344" i="1"/>
  <c r="BD341" i="1"/>
  <c r="BW93" i="1"/>
  <c r="BW83" i="1"/>
  <c r="AE781" i="1"/>
  <c r="AE783" i="1"/>
  <c r="CP36" i="4"/>
  <c r="DB36" i="4"/>
  <c r="M93" i="19"/>
  <c r="F511" i="1"/>
  <c r="F512" i="1"/>
  <c r="F513" i="1"/>
  <c r="F510" i="1"/>
  <c r="F509" i="1"/>
  <c r="F514" i="1"/>
  <c r="F508" i="1"/>
  <c r="AH91" i="42"/>
  <c r="L706" i="1"/>
  <c r="L707" i="1"/>
  <c r="D694" i="1"/>
  <c r="D699" i="1"/>
  <c r="D697" i="1"/>
  <c r="D691" i="1"/>
  <c r="Z93" i="42" s="1"/>
  <c r="D693" i="1"/>
  <c r="D775" i="1"/>
  <c r="D696" i="1"/>
  <c r="D698" i="1"/>
  <c r="AF33" i="30"/>
  <c r="AX39" i="42"/>
  <c r="L766" i="1"/>
  <c r="AH38" i="42"/>
  <c r="AG86" i="42"/>
  <c r="R491" i="1"/>
  <c r="L542" i="1"/>
  <c r="L541" i="1"/>
  <c r="Z86" i="42"/>
  <c r="AM389" i="1"/>
  <c r="AX79" i="42" s="1"/>
  <c r="AX45" i="42"/>
  <c r="X533" i="1"/>
  <c r="X534" i="1" s="1"/>
  <c r="F103" i="1"/>
  <c r="F91" i="1"/>
  <c r="F89" i="1"/>
  <c r="AK172" i="1"/>
  <c r="AK176" i="1"/>
  <c r="AK180" i="1"/>
  <c r="AK181" i="1" s="1"/>
  <c r="AK177" i="1"/>
  <c r="AK173" i="1"/>
  <c r="AK175" i="1"/>
  <c r="AK174" i="1"/>
  <c r="AQ39" i="30"/>
  <c r="AQ42" i="30" s="1"/>
  <c r="AQ41" i="30"/>
  <c r="AQ43" i="30" s="1"/>
  <c r="AQ37" i="30"/>
  <c r="BY247" i="1"/>
  <c r="BY229" i="1"/>
  <c r="BY248" i="1" s="1"/>
  <c r="BY235" i="1"/>
  <c r="BY271" i="1"/>
  <c r="BY265" i="1"/>
  <c r="BY259" i="1"/>
  <c r="BY253" i="1"/>
  <c r="BY223" i="1"/>
  <c r="BO28" i="42"/>
  <c r="BR28" i="42"/>
  <c r="AK402" i="1"/>
  <c r="L368" i="1"/>
  <c r="L364" i="1"/>
  <c r="L365" i="1" s="1"/>
  <c r="EW14" i="4" s="1"/>
  <c r="AG37" i="42"/>
  <c r="CA238" i="1"/>
  <c r="CA243" i="1" s="1"/>
  <c r="BP97" i="42" s="1"/>
  <c r="CA244" i="1"/>
  <c r="CA219" i="1"/>
  <c r="CA256" i="1"/>
  <c r="CA250" i="1"/>
  <c r="BP25" i="42"/>
  <c r="X53" i="4"/>
  <c r="D560" i="1"/>
  <c r="D564" i="1"/>
  <c r="D561" i="1"/>
  <c r="D562" i="1"/>
  <c r="D563" i="1"/>
  <c r="D566" i="1"/>
  <c r="D565" i="1"/>
  <c r="T700" i="1"/>
  <c r="T695" i="1"/>
  <c r="L515" i="1"/>
  <c r="L516" i="1"/>
  <c r="CD15" i="4"/>
  <c r="AH68" i="42"/>
  <c r="AZ39" i="42"/>
  <c r="AB33" i="30"/>
  <c r="P567" i="1"/>
  <c r="P568" i="1"/>
  <c r="AM86" i="42"/>
  <c r="AW85" i="42"/>
  <c r="BD350" i="1"/>
  <c r="BD352" i="1"/>
  <c r="BD355" i="1"/>
  <c r="BG41" i="42"/>
  <c r="T93" i="1"/>
  <c r="T83" i="1"/>
  <c r="AI103" i="42"/>
  <c r="AI104" i="42" s="1"/>
  <c r="E50" i="4"/>
  <c r="E20" i="4"/>
  <c r="BC43" i="4"/>
  <c r="BF32" i="4"/>
  <c r="BD32" i="4"/>
  <c r="AI32" i="4"/>
  <c r="AQ32" i="4"/>
  <c r="BB32" i="4"/>
  <c r="AK32" i="4"/>
  <c r="AX32" i="4"/>
  <c r="AO32" i="4"/>
  <c r="BC32" i="4"/>
  <c r="AY32" i="4"/>
  <c r="AM32" i="4"/>
  <c r="AW11" i="4"/>
  <c r="BB43" i="4"/>
  <c r="BB23" i="4"/>
  <c r="BC25" i="4"/>
  <c r="AY34" i="4"/>
  <c r="AZ53" i="4"/>
  <c r="AY43" i="4"/>
  <c r="AG8" i="4"/>
  <c r="BA56" i="4"/>
  <c r="AK43" i="4"/>
  <c r="BP10" i="4"/>
  <c r="AY25" i="4"/>
  <c r="AZ52" i="4"/>
  <c r="AI34" i="4"/>
  <c r="BP31" i="4"/>
  <c r="AX34" i="4"/>
  <c r="AY23" i="4"/>
  <c r="BA53" i="4"/>
  <c r="AG28" i="4"/>
  <c r="BB25" i="4"/>
  <c r="AQ34" i="4"/>
  <c r="AG10" i="4"/>
  <c r="AA23" i="4"/>
  <c r="AZ56" i="4"/>
  <c r="AO34" i="4"/>
  <c r="BD34" i="4"/>
  <c r="AO43" i="4"/>
  <c r="BP28" i="4"/>
  <c r="AM34" i="4"/>
  <c r="AK34" i="4"/>
  <c r="BC34" i="4"/>
  <c r="AX43" i="4"/>
  <c r="AG33" i="4"/>
  <c r="AA25" i="4"/>
  <c r="AG31" i="4"/>
  <c r="BA52" i="4"/>
  <c r="BP33" i="4"/>
  <c r="BB34" i="4"/>
  <c r="BD43" i="4"/>
  <c r="BC23" i="4"/>
  <c r="AA39" i="4"/>
  <c r="T543" i="1" l="1"/>
  <c r="T544" i="1" s="1"/>
  <c r="T546" i="1" s="1"/>
  <c r="P541" i="1"/>
  <c r="P543" i="1" s="1"/>
  <c r="F568" i="1"/>
  <c r="BD337" i="1"/>
  <c r="BD340" i="1" s="1"/>
  <c r="BG40" i="42"/>
  <c r="AM400" i="1"/>
  <c r="BD306" i="1"/>
  <c r="BG93" i="42" s="1"/>
  <c r="BD311" i="1"/>
  <c r="AF32" i="30"/>
  <c r="AF36" i="30" s="1"/>
  <c r="BD314" i="1"/>
  <c r="AX38" i="42"/>
  <c r="DB43" i="4"/>
  <c r="T545" i="1"/>
  <c r="BD309" i="1"/>
  <c r="BD310" i="1" s="1"/>
  <c r="BD312" i="1"/>
  <c r="P542" i="1"/>
  <c r="BD308" i="1"/>
  <c r="F567" i="1"/>
  <c r="BD396" i="1"/>
  <c r="BD384" i="1"/>
  <c r="FA15" i="4"/>
  <c r="BD370" i="1"/>
  <c r="AH71" i="42"/>
  <c r="L784" i="1"/>
  <c r="L786" i="1" s="1"/>
  <c r="T547" i="1"/>
  <c r="AG400" i="1"/>
  <c r="P496" i="1"/>
  <c r="P502" i="1"/>
  <c r="H506" i="1"/>
  <c r="H507" i="1" s="1"/>
  <c r="H533" i="1"/>
  <c r="H534" i="1" s="1"/>
  <c r="GK32" i="4"/>
  <c r="GL32" i="4"/>
  <c r="L123" i="1"/>
  <c r="AK42" i="30"/>
  <c r="P498" i="1"/>
  <c r="BB13" i="1"/>
  <c r="BB14" i="1" s="1"/>
  <c r="BF8" i="42" s="1"/>
  <c r="AG337" i="1"/>
  <c r="AG338" i="1"/>
  <c r="AU91" i="42"/>
  <c r="AG325" i="1"/>
  <c r="AG412" i="1"/>
  <c r="AG327" i="1"/>
  <c r="AG324" i="1"/>
  <c r="AG329" i="1"/>
  <c r="AG322" i="1"/>
  <c r="AU93" i="42" s="1"/>
  <c r="AG328" i="1"/>
  <c r="AG330" i="1"/>
  <c r="AG381" i="1"/>
  <c r="AG402" i="1"/>
  <c r="AE32" i="30"/>
  <c r="AE36" i="30" s="1"/>
  <c r="AU38" i="42"/>
  <c r="L121" i="1"/>
  <c r="AG378" i="1"/>
  <c r="AG379" i="1" s="1"/>
  <c r="EW32" i="4" s="1"/>
  <c r="AU37" i="42"/>
  <c r="AG387" i="1"/>
  <c r="CC32" i="4" s="1"/>
  <c r="AG383" i="1"/>
  <c r="AG206" i="1"/>
  <c r="AG207" i="1" s="1"/>
  <c r="AG200" i="1"/>
  <c r="AG203" i="1"/>
  <c r="AG201" i="1"/>
  <c r="AG202" i="1"/>
  <c r="AG197" i="1"/>
  <c r="AG198" i="1"/>
  <c r="AG199" i="1"/>
  <c r="AG357" i="1"/>
  <c r="AG360" i="1"/>
  <c r="AG362" i="1"/>
  <c r="AG355" i="1"/>
  <c r="AG128" i="1"/>
  <c r="AG129" i="1" s="1"/>
  <c r="AG124" i="1"/>
  <c r="AG121" i="1"/>
  <c r="AG125" i="1"/>
  <c r="AG120" i="1"/>
  <c r="AG122" i="1"/>
  <c r="AG123" i="1"/>
  <c r="AU85" i="42"/>
  <c r="AG148" i="1"/>
  <c r="AG149" i="1"/>
  <c r="AG150" i="1"/>
  <c r="AG151" i="1"/>
  <c r="AG154" i="1"/>
  <c r="AG155" i="1" s="1"/>
  <c r="AG145" i="1"/>
  <c r="AG146" i="1"/>
  <c r="AG147" i="1"/>
  <c r="AU87" i="42"/>
  <c r="AU62" i="42"/>
  <c r="CB32" i="4"/>
  <c r="N499" i="1"/>
  <c r="P493" i="1"/>
  <c r="AG173" i="1"/>
  <c r="AG174" i="1"/>
  <c r="AG175" i="1"/>
  <c r="AG176" i="1"/>
  <c r="AG172" i="1"/>
  <c r="AG177" i="1"/>
  <c r="AG180" i="1"/>
  <c r="AG181" i="1" s="1"/>
  <c r="AU84" i="42"/>
  <c r="AG368" i="1"/>
  <c r="AG371" i="1"/>
  <c r="AG373" i="1"/>
  <c r="AG366" i="1"/>
  <c r="AG299" i="1"/>
  <c r="AU40" i="42"/>
  <c r="AE31" i="30"/>
  <c r="AU86" i="42"/>
  <c r="AU41" i="42"/>
  <c r="AE41" i="30"/>
  <c r="AE43" i="30" s="1"/>
  <c r="AE37" i="30"/>
  <c r="AE39" i="30"/>
  <c r="AE42" i="30" s="1"/>
  <c r="AE30" i="30"/>
  <c r="AU36" i="42"/>
  <c r="AG297" i="1"/>
  <c r="AG290" i="1"/>
  <c r="AG389" i="1"/>
  <c r="AU79" i="42" s="1"/>
  <c r="AG388" i="1"/>
  <c r="N89" i="19"/>
  <c r="DC32" i="4"/>
  <c r="CQ32" i="4"/>
  <c r="AG369" i="1"/>
  <c r="AG364" i="1"/>
  <c r="BD343" i="1"/>
  <c r="BD345" i="1"/>
  <c r="F569" i="1"/>
  <c r="N501" i="1"/>
  <c r="V491" i="1"/>
  <c r="V492" i="1" s="1"/>
  <c r="P501" i="1"/>
  <c r="T554" i="1"/>
  <c r="L118" i="1"/>
  <c r="P495" i="1"/>
  <c r="AD45" i="42"/>
  <c r="L124" i="1"/>
  <c r="AZ137" i="1"/>
  <c r="AZ136" i="1"/>
  <c r="AZ138" i="1" s="1"/>
  <c r="N495" i="1"/>
  <c r="P31" i="30"/>
  <c r="AG28" i="30"/>
  <c r="X41" i="30" s="1"/>
  <c r="J577" i="1"/>
  <c r="J572" i="1"/>
  <c r="CA305" i="1"/>
  <c r="J573" i="1"/>
  <c r="N543" i="1"/>
  <c r="P494" i="1"/>
  <c r="BJ13" i="1"/>
  <c r="BJ14" i="1" s="1"/>
  <c r="BJ8" i="42" s="1"/>
  <c r="AD33" i="42"/>
  <c r="AD11" i="4"/>
  <c r="H690" i="1"/>
  <c r="AZ163" i="1"/>
  <c r="AZ162" i="1"/>
  <c r="J576" i="1"/>
  <c r="H585" i="1"/>
  <c r="AD96" i="42"/>
  <c r="H685" i="1"/>
  <c r="H686" i="1"/>
  <c r="H682" i="1"/>
  <c r="BU90" i="1"/>
  <c r="AZ110" i="1"/>
  <c r="AZ112" i="1" s="1"/>
  <c r="AZ111" i="1"/>
  <c r="H512" i="1"/>
  <c r="H510" i="1"/>
  <c r="H511" i="1"/>
  <c r="H513" i="1"/>
  <c r="H509" i="1"/>
  <c r="H514" i="1"/>
  <c r="H508" i="1"/>
  <c r="AZ189" i="1"/>
  <c r="AZ188" i="1"/>
  <c r="H539" i="1"/>
  <c r="H540" i="1"/>
  <c r="H535" i="1"/>
  <c r="H537" i="1"/>
  <c r="H536" i="1"/>
  <c r="H538" i="1"/>
  <c r="BW90" i="1"/>
  <c r="L119" i="1"/>
  <c r="P499" i="1"/>
  <c r="H558" i="1"/>
  <c r="H559" i="1" s="1"/>
  <c r="H481" i="1"/>
  <c r="H482" i="1" s="1"/>
  <c r="GL43" i="4"/>
  <c r="GK43" i="4"/>
  <c r="BD338" i="1"/>
  <c r="AK41" i="30"/>
  <c r="AK43" i="30" s="1"/>
  <c r="AK37" i="30"/>
  <c r="CP43" i="4"/>
  <c r="GL34" i="4"/>
  <c r="GK34" i="4"/>
  <c r="J575" i="1"/>
  <c r="T517" i="1"/>
  <c r="T518" i="1" s="1"/>
  <c r="T525" i="1" s="1"/>
  <c r="L126" i="1"/>
  <c r="J580" i="1"/>
  <c r="L125" i="1"/>
  <c r="BB66" i="1"/>
  <c r="BB316" i="1" s="1"/>
  <c r="BB48" i="1"/>
  <c r="BB57" i="1"/>
  <c r="BB58" i="1"/>
  <c r="BB54" i="1"/>
  <c r="BB55" i="1"/>
  <c r="BB56" i="1"/>
  <c r="J28" i="31"/>
  <c r="I29" i="31" s="1"/>
  <c r="Z17" i="31" s="1"/>
  <c r="F79" i="42" s="1"/>
  <c r="F78" i="42"/>
  <c r="BD360" i="1"/>
  <c r="J517" i="1"/>
  <c r="R517" i="1"/>
  <c r="BY157" i="1"/>
  <c r="BY158" i="1" s="1"/>
  <c r="BY159" i="1" s="1"/>
  <c r="U46" i="4"/>
  <c r="T46" i="4" s="1"/>
  <c r="BJ23" i="1"/>
  <c r="BJ24" i="1" s="1"/>
  <c r="BJ15" i="42" s="1"/>
  <c r="Z23" i="31"/>
  <c r="AK376" i="1"/>
  <c r="R543" i="1"/>
  <c r="R544" i="1" s="1"/>
  <c r="R550" i="1" s="1"/>
  <c r="AM402" i="1"/>
  <c r="CA255" i="1"/>
  <c r="T548" i="1"/>
  <c r="J574" i="1"/>
  <c r="AN40" i="30"/>
  <c r="F48" i="30" s="1"/>
  <c r="AN19" i="30"/>
  <c r="T569" i="1"/>
  <c r="AJ19" i="30"/>
  <c r="AJ40" i="30"/>
  <c r="F40" i="30" s="1"/>
  <c r="U42" i="4"/>
  <c r="T42" i="4" s="1"/>
  <c r="BB23" i="1"/>
  <c r="BB24" i="1" s="1"/>
  <c r="BF15" i="42" s="1"/>
  <c r="BJ66" i="1"/>
  <c r="BJ316" i="1" s="1"/>
  <c r="BJ48" i="1"/>
  <c r="BJ54" i="1"/>
  <c r="BJ56" i="1"/>
  <c r="BJ58" i="1"/>
  <c r="BJ55" i="1"/>
  <c r="BJ57" i="1"/>
  <c r="AK390" i="1"/>
  <c r="AV92" i="1"/>
  <c r="AV91" i="1"/>
  <c r="AV83" i="1" s="1"/>
  <c r="AV85" i="1" s="1"/>
  <c r="AV88" i="1" s="1"/>
  <c r="BG70" i="42"/>
  <c r="BP47" i="42"/>
  <c r="BG62" i="42"/>
  <c r="CB43" i="4"/>
  <c r="CB34" i="4"/>
  <c r="AX62" i="42"/>
  <c r="P544" i="1"/>
  <c r="P545" i="1" s="1"/>
  <c r="DB14" i="4"/>
  <c r="M71" i="19"/>
  <c r="CP14" i="4"/>
  <c r="L722" i="1"/>
  <c r="L727" i="1"/>
  <c r="AX41" i="42"/>
  <c r="R216" i="1"/>
  <c r="R217" i="1"/>
  <c r="R214" i="1"/>
  <c r="R218" i="1"/>
  <c r="R98" i="1"/>
  <c r="R103" i="1" s="1"/>
  <c r="R215" i="1"/>
  <c r="X694" i="1"/>
  <c r="X697" i="1"/>
  <c r="X699" i="1"/>
  <c r="X698" i="1"/>
  <c r="X696" i="1"/>
  <c r="X693" i="1"/>
  <c r="X775" i="1"/>
  <c r="X691" i="1"/>
  <c r="AS93" i="42" s="1"/>
  <c r="N516" i="1"/>
  <c r="N515" i="1"/>
  <c r="BO97" i="42"/>
  <c r="BR97" i="42"/>
  <c r="AK153" i="1"/>
  <c r="AK152" i="1"/>
  <c r="AG29" i="30"/>
  <c r="X42" i="30" s="1"/>
  <c r="P33" i="30"/>
  <c r="L739" i="1"/>
  <c r="L741" i="1"/>
  <c r="AQ85" i="42"/>
  <c r="AM203" i="1"/>
  <c r="AM202" i="1"/>
  <c r="AM200" i="1"/>
  <c r="AM197" i="1"/>
  <c r="AM198" i="1"/>
  <c r="AM199" i="1"/>
  <c r="AM201" i="1"/>
  <c r="AM206" i="1"/>
  <c r="AM207" i="1" s="1"/>
  <c r="N214" i="1"/>
  <c r="N215" i="1"/>
  <c r="N216" i="1"/>
  <c r="N218" i="1"/>
  <c r="N217" i="1"/>
  <c r="N98" i="1"/>
  <c r="EX38" i="4"/>
  <c r="EL38" i="4"/>
  <c r="AW49" i="42"/>
  <c r="FM38" i="4"/>
  <c r="AX86" i="42"/>
  <c r="J89" i="1"/>
  <c r="J91" i="1"/>
  <c r="AK353" i="1"/>
  <c r="AK358" i="1"/>
  <c r="BB39" i="42"/>
  <c r="FN14" i="4"/>
  <c r="AG55" i="42"/>
  <c r="H300" i="1"/>
  <c r="H305" i="1" s="1"/>
  <c r="H101" i="1"/>
  <c r="H104" i="1" s="1"/>
  <c r="L120" i="1"/>
  <c r="CC98" i="1"/>
  <c r="CC103" i="1" s="1"/>
  <c r="CC217" i="1"/>
  <c r="CC214" i="1"/>
  <c r="CC216" i="1"/>
  <c r="CC218" i="1"/>
  <c r="CC215" i="1"/>
  <c r="AE510" i="1"/>
  <c r="AE512" i="1"/>
  <c r="AE511" i="1"/>
  <c r="AE514" i="1"/>
  <c r="AE513" i="1"/>
  <c r="AE515" i="1"/>
  <c r="F233" i="1"/>
  <c r="F227" i="1"/>
  <c r="F245" i="1"/>
  <c r="F257" i="1"/>
  <c r="F269" i="1"/>
  <c r="F263" i="1"/>
  <c r="F221" i="1"/>
  <c r="F251" i="1"/>
  <c r="AA26" i="42"/>
  <c r="Q29" i="42" s="1"/>
  <c r="AE242" i="1"/>
  <c r="AE261" i="1" s="1"/>
  <c r="AE260" i="1"/>
  <c r="AE248" i="1"/>
  <c r="AE272" i="1"/>
  <c r="AE284" i="1"/>
  <c r="AE278" i="1"/>
  <c r="AE236" i="1"/>
  <c r="AE266" i="1"/>
  <c r="AT28" i="42"/>
  <c r="AE306" i="1"/>
  <c r="AT43" i="42" s="1"/>
  <c r="AE309" i="1"/>
  <c r="AE307" i="1"/>
  <c r="AE102" i="1"/>
  <c r="AT21" i="42"/>
  <c r="T89" i="1"/>
  <c r="T91" i="1"/>
  <c r="D568" i="1"/>
  <c r="D567" i="1"/>
  <c r="CB14" i="4"/>
  <c r="AG62" i="42"/>
  <c r="F515" i="1"/>
  <c r="F516" i="1"/>
  <c r="F491" i="1"/>
  <c r="AE568" i="1"/>
  <c r="AE569" i="1"/>
  <c r="L370" i="1"/>
  <c r="L372" i="1"/>
  <c r="EW15" i="4"/>
  <c r="AH57" i="42"/>
  <c r="FN34" i="4"/>
  <c r="AX55" i="42"/>
  <c r="N502" i="1"/>
  <c r="BY249" i="1"/>
  <c r="AQ86" i="42"/>
  <c r="BD154" i="1"/>
  <c r="BD155" i="1" s="1"/>
  <c r="BD102" i="1"/>
  <c r="BD103" i="1" s="1"/>
  <c r="BD179" i="1"/>
  <c r="BD180" i="1" s="1"/>
  <c r="BD127" i="1"/>
  <c r="BD128" i="1" s="1"/>
  <c r="T550" i="1"/>
  <c r="AG537" i="1"/>
  <c r="AG535" i="1"/>
  <c r="AG538" i="1"/>
  <c r="AG539" i="1"/>
  <c r="AG541" i="1"/>
  <c r="AG536" i="1"/>
  <c r="AG540" i="1"/>
  <c r="L721" i="1"/>
  <c r="L745" i="1"/>
  <c r="J98" i="1"/>
  <c r="J218" i="1"/>
  <c r="J215" i="1"/>
  <c r="J214" i="1"/>
  <c r="J217" i="1"/>
  <c r="J216" i="1"/>
  <c r="BD374" i="1"/>
  <c r="J518" i="1"/>
  <c r="J526" i="1" s="1"/>
  <c r="BR46" i="42"/>
  <c r="BO46" i="42"/>
  <c r="H247" i="1"/>
  <c r="H229" i="1"/>
  <c r="H248" i="1" s="1"/>
  <c r="H265" i="1"/>
  <c r="H259" i="1"/>
  <c r="H235" i="1"/>
  <c r="H271" i="1"/>
  <c r="H223" i="1"/>
  <c r="H253" i="1"/>
  <c r="AC28" i="42"/>
  <c r="T519" i="1"/>
  <c r="T520" i="1"/>
  <c r="CA130" i="1"/>
  <c r="CA131" i="1" s="1"/>
  <c r="CA105" i="1"/>
  <c r="CA106" i="1" s="1"/>
  <c r="CA182" i="1"/>
  <c r="CA183" i="1" s="1"/>
  <c r="H103" i="1"/>
  <c r="BQ22" i="42"/>
  <c r="BQ102" i="42" s="1"/>
  <c r="BQ104" i="42" s="1"/>
  <c r="CC102" i="1"/>
  <c r="AE588" i="1"/>
  <c r="AE589" i="1"/>
  <c r="AE590" i="1"/>
  <c r="AE591" i="1"/>
  <c r="AE592" i="1"/>
  <c r="AE593" i="1"/>
  <c r="AE587" i="1"/>
  <c r="CA249" i="1"/>
  <c r="CA38" i="4"/>
  <c r="AW61" i="42"/>
  <c r="AE240" i="1"/>
  <c r="AE258" i="1"/>
  <c r="AE246" i="1"/>
  <c r="AE282" i="1"/>
  <c r="AE276" i="1"/>
  <c r="AE270" i="1"/>
  <c r="AE234" i="1"/>
  <c r="AE264" i="1"/>
  <c r="AT26" i="42"/>
  <c r="AM384" i="1"/>
  <c r="AM386" i="1"/>
  <c r="EK15" i="4"/>
  <c r="AI93" i="1"/>
  <c r="AI83" i="1"/>
  <c r="BD405" i="1"/>
  <c r="BD407" i="1" s="1"/>
  <c r="BD387" i="1"/>
  <c r="BG71" i="42"/>
  <c r="FA43" i="4"/>
  <c r="EX43" i="4"/>
  <c r="EL43" i="4"/>
  <c r="T771" i="1"/>
  <c r="T772" i="1"/>
  <c r="T769" i="1"/>
  <c r="T770" i="1" s="1"/>
  <c r="T767" i="1"/>
  <c r="T768" i="1" s="1"/>
  <c r="AK178" i="1"/>
  <c r="AK179" i="1"/>
  <c r="AH69" i="42"/>
  <c r="CG15" i="4"/>
  <c r="T491" i="1"/>
  <c r="FM34" i="4"/>
  <c r="AX49" i="42"/>
  <c r="BG61" i="42"/>
  <c r="CA43" i="4"/>
  <c r="BD354" i="1"/>
  <c r="DC34" i="4"/>
  <c r="N91" i="19"/>
  <c r="CQ34" i="4"/>
  <c r="N496" i="1"/>
  <c r="BY255" i="1"/>
  <c r="AQ87" i="42"/>
  <c r="AM123" i="1"/>
  <c r="AM120" i="1"/>
  <c r="AM121" i="1"/>
  <c r="AM122" i="1"/>
  <c r="AM124" i="1"/>
  <c r="AM125" i="1"/>
  <c r="AM128" i="1"/>
  <c r="AM129" i="1" s="1"/>
  <c r="AV99" i="1"/>
  <c r="AV98" i="1"/>
  <c r="AV97" i="1"/>
  <c r="AV100" i="1"/>
  <c r="AV94" i="1"/>
  <c r="AV101" i="1"/>
  <c r="T553" i="1"/>
  <c r="L312" i="1"/>
  <c r="L317" i="1"/>
  <c r="AH70" i="42"/>
  <c r="L339" i="1"/>
  <c r="L344" i="1"/>
  <c r="J578" i="1"/>
  <c r="X89" i="1"/>
  <c r="X90" i="1" s="1"/>
  <c r="X91" i="1"/>
  <c r="D515" i="1"/>
  <c r="D516" i="1"/>
  <c r="BY305" i="1"/>
  <c r="H238" i="1"/>
  <c r="H243" i="1" s="1"/>
  <c r="AC97" i="42" s="1"/>
  <c r="H219" i="1"/>
  <c r="H244" i="1"/>
  <c r="H256" i="1"/>
  <c r="H250" i="1"/>
  <c r="X8" i="4"/>
  <c r="X10" i="4"/>
  <c r="AC25" i="42"/>
  <c r="CA157" i="1"/>
  <c r="CA158" i="1" s="1"/>
  <c r="AI593" i="1"/>
  <c r="AI592" i="1"/>
  <c r="AI588" i="1"/>
  <c r="AI590" i="1"/>
  <c r="AI589" i="1"/>
  <c r="AI591" i="1"/>
  <c r="AI587" i="1"/>
  <c r="AM378" i="1"/>
  <c r="AM379" i="1" s="1"/>
  <c r="EW34" i="4" s="1"/>
  <c r="AX37" i="42"/>
  <c r="V89" i="1"/>
  <c r="V90" i="1" s="1"/>
  <c r="V91" i="1"/>
  <c r="AE537" i="1"/>
  <c r="AE538" i="1"/>
  <c r="AE539" i="1"/>
  <c r="AE540" i="1"/>
  <c r="AE541" i="1"/>
  <c r="AE535" i="1"/>
  <c r="AE536" i="1"/>
  <c r="AW70" i="42"/>
  <c r="AE241" i="1"/>
  <c r="AE259" i="1"/>
  <c r="AE247" i="1"/>
  <c r="AE277" i="1"/>
  <c r="AE283" i="1"/>
  <c r="AE271" i="1"/>
  <c r="AE235" i="1"/>
  <c r="AE265" i="1"/>
  <c r="AT27" i="42"/>
  <c r="CP34" i="4"/>
  <c r="DB34" i="4"/>
  <c r="M91" i="19"/>
  <c r="AX36" i="42"/>
  <c r="AM297" i="1"/>
  <c r="AM352" i="1" s="1"/>
  <c r="AF30" i="30"/>
  <c r="F295" i="1"/>
  <c r="F102" i="1"/>
  <c r="AA21" i="42"/>
  <c r="Q24" i="42" s="1"/>
  <c r="F293" i="1"/>
  <c r="AA43" i="42" s="1"/>
  <c r="Q50" i="42" s="1"/>
  <c r="CF15" i="4"/>
  <c r="AH64" i="42"/>
  <c r="AK204" i="1"/>
  <c r="AK205" i="1"/>
  <c r="BD349" i="1"/>
  <c r="AX78" i="42"/>
  <c r="P89" i="1"/>
  <c r="P90" i="1" s="1"/>
  <c r="P91" i="1"/>
  <c r="AG70" i="42"/>
  <c r="L407" i="1"/>
  <c r="L409" i="1" s="1"/>
  <c r="L389" i="1"/>
  <c r="FA14" i="4"/>
  <c r="AG71" i="42"/>
  <c r="V567" i="1"/>
  <c r="V568" i="1"/>
  <c r="X98" i="1"/>
  <c r="X216" i="1"/>
  <c r="X217" i="1"/>
  <c r="X215" i="1"/>
  <c r="X218" i="1"/>
  <c r="X214" i="1"/>
  <c r="AI502" i="1"/>
  <c r="H236" i="1"/>
  <c r="H272" i="1"/>
  <c r="H230" i="1"/>
  <c r="H266" i="1"/>
  <c r="H260" i="1"/>
  <c r="H224" i="1"/>
  <c r="H254" i="1"/>
  <c r="AC29" i="42"/>
  <c r="P695" i="1"/>
  <c r="P700" i="1"/>
  <c r="EX15" i="4"/>
  <c r="EL15" i="4"/>
  <c r="P517" i="1"/>
  <c r="AI540" i="1"/>
  <c r="AI535" i="1"/>
  <c r="AI539" i="1"/>
  <c r="AI536" i="1"/>
  <c r="AI537" i="1"/>
  <c r="AI541" i="1"/>
  <c r="AI538" i="1"/>
  <c r="V215" i="1"/>
  <c r="V216" i="1"/>
  <c r="V217" i="1"/>
  <c r="V98" i="1"/>
  <c r="V103" i="1" s="1"/>
  <c r="V218" i="1"/>
  <c r="V214" i="1"/>
  <c r="L167" i="1"/>
  <c r="F238" i="1"/>
  <c r="F243" i="1" s="1"/>
  <c r="AA97" i="42" s="1"/>
  <c r="Q37" i="42" s="1"/>
  <c r="F219" i="1"/>
  <c r="F244" i="1"/>
  <c r="F256" i="1"/>
  <c r="F250" i="1"/>
  <c r="AA25" i="42"/>
  <c r="Q28" i="42" s="1"/>
  <c r="AM403" i="1"/>
  <c r="AM421" i="1"/>
  <c r="AM423" i="1" s="1"/>
  <c r="AX71" i="42"/>
  <c r="FA34" i="4"/>
  <c r="AX40" i="42"/>
  <c r="AM299" i="1"/>
  <c r="AF31" i="30"/>
  <c r="AE251" i="1"/>
  <c r="AE256" i="1" s="1"/>
  <c r="AT97" i="42" s="1"/>
  <c r="AE257" i="1"/>
  <c r="AE232" i="1"/>
  <c r="AE269" i="1"/>
  <c r="AE263" i="1"/>
  <c r="X31" i="4"/>
  <c r="X33" i="4"/>
  <c r="AT25" i="42"/>
  <c r="BF77" i="1"/>
  <c r="BF67" i="1"/>
  <c r="AV103" i="42"/>
  <c r="AV104" i="42" s="1"/>
  <c r="E29" i="4"/>
  <c r="T216" i="1"/>
  <c r="T214" i="1"/>
  <c r="T215" i="1"/>
  <c r="T98" i="1"/>
  <c r="T103" i="1" s="1"/>
  <c r="T217" i="1"/>
  <c r="T218" i="1"/>
  <c r="F90" i="1"/>
  <c r="R492" i="1"/>
  <c r="R493" i="1" s="1"/>
  <c r="J700" i="1"/>
  <c r="J695" i="1"/>
  <c r="FN43" i="4"/>
  <c r="BG55" i="42"/>
  <c r="DA15" i="4"/>
  <c r="CO15" i="4"/>
  <c r="L72" i="19"/>
  <c r="AG591" i="1"/>
  <c r="AG592" i="1"/>
  <c r="AG588" i="1"/>
  <c r="AG589" i="1"/>
  <c r="AG590" i="1"/>
  <c r="AG593" i="1"/>
  <c r="AG587" i="1"/>
  <c r="T549" i="1"/>
  <c r="V697" i="1"/>
  <c r="V699" i="1"/>
  <c r="V694" i="1"/>
  <c r="V693" i="1"/>
  <c r="V696" i="1"/>
  <c r="V691" i="1"/>
  <c r="AQ93" i="42" s="1"/>
  <c r="V775" i="1"/>
  <c r="V698" i="1"/>
  <c r="P217" i="1"/>
  <c r="P216" i="1"/>
  <c r="P98" i="1"/>
  <c r="P215" i="1"/>
  <c r="P218" i="1"/>
  <c r="P214" i="1"/>
  <c r="AG61" i="42"/>
  <c r="CA14" i="4"/>
  <c r="J543" i="1"/>
  <c r="V541" i="1"/>
  <c r="V542" i="1"/>
  <c r="H246" i="1"/>
  <c r="H264" i="1"/>
  <c r="H258" i="1"/>
  <c r="H228" i="1"/>
  <c r="H270" i="1"/>
  <c r="H234" i="1"/>
  <c r="H222" i="1"/>
  <c r="H252" i="1"/>
  <c r="AC27" i="42"/>
  <c r="AM326" i="1"/>
  <c r="AM331" i="1"/>
  <c r="AI567" i="1"/>
  <c r="AI566" i="1"/>
  <c r="AI565" i="1"/>
  <c r="AI562" i="1"/>
  <c r="AI563" i="1"/>
  <c r="AI564" i="1"/>
  <c r="AK326" i="1"/>
  <c r="AK331" i="1"/>
  <c r="R570" i="1"/>
  <c r="R575" i="1" s="1"/>
  <c r="F228" i="1"/>
  <c r="F246" i="1"/>
  <c r="F234" i="1"/>
  <c r="F258" i="1"/>
  <c r="F270" i="1"/>
  <c r="F264" i="1"/>
  <c r="F222" i="1"/>
  <c r="F252" i="1"/>
  <c r="AA27" i="42"/>
  <c r="Q30" i="42" s="1"/>
  <c r="L695" i="1"/>
  <c r="L700" i="1"/>
  <c r="AF41" i="30"/>
  <c r="AF43" i="30" s="1"/>
  <c r="AF37" i="30"/>
  <c r="AF39" i="30"/>
  <c r="AF42" i="30" s="1"/>
  <c r="AM353" i="1"/>
  <c r="AM358" i="1"/>
  <c r="E6" i="4"/>
  <c r="Y103" i="42"/>
  <c r="Y104" i="42" s="1"/>
  <c r="EK43" i="4"/>
  <c r="CA299" i="1"/>
  <c r="CA209" i="1"/>
  <c r="BP96" i="42"/>
  <c r="CA302" i="1"/>
  <c r="CA303" i="1"/>
  <c r="D695" i="1"/>
  <c r="D700" i="1"/>
  <c r="EL30" i="4"/>
  <c r="EX36" i="4"/>
  <c r="EX30" i="4"/>
  <c r="EX33" i="4"/>
  <c r="EL36" i="4"/>
  <c r="F570" i="1"/>
  <c r="F579" i="1" s="1"/>
  <c r="F541" i="1"/>
  <c r="F542" i="1"/>
  <c r="BM22" i="42"/>
  <c r="BM102" i="42" s="1"/>
  <c r="BM104" i="42" s="1"/>
  <c r="FM43" i="4"/>
  <c r="BG49" i="42"/>
  <c r="AG512" i="1"/>
  <c r="AG513" i="1"/>
  <c r="AG514" i="1"/>
  <c r="AG515" i="1"/>
  <c r="AG510" i="1"/>
  <c r="AG511" i="1"/>
  <c r="L351" i="1"/>
  <c r="L353" i="1"/>
  <c r="R695" i="1"/>
  <c r="R700" i="1"/>
  <c r="BO47" i="42"/>
  <c r="BR47" i="42"/>
  <c r="H245" i="1"/>
  <c r="H227" i="1"/>
  <c r="H263" i="1"/>
  <c r="H233" i="1"/>
  <c r="H257" i="1"/>
  <c r="H269" i="1"/>
  <c r="H221" i="1"/>
  <c r="H251" i="1"/>
  <c r="AC26" i="42"/>
  <c r="CQ43" i="4"/>
  <c r="N100" i="19"/>
  <c r="DC43" i="4"/>
  <c r="AS85" i="42"/>
  <c r="BP46" i="42"/>
  <c r="AI511" i="1"/>
  <c r="AI515" i="1"/>
  <c r="AI512" i="1"/>
  <c r="AI513" i="1"/>
  <c r="AI514" i="1"/>
  <c r="AI510" i="1"/>
  <c r="L362" i="1"/>
  <c r="F300" i="1"/>
  <c r="F305" i="1" s="1"/>
  <c r="F101" i="1"/>
  <c r="F104" i="1" s="1"/>
  <c r="X568" i="1"/>
  <c r="X567" i="1"/>
  <c r="AM369" i="1"/>
  <c r="AM364" i="1"/>
  <c r="EK14" i="4"/>
  <c r="P569" i="1"/>
  <c r="N72" i="19"/>
  <c r="DC15" i="4"/>
  <c r="CQ15" i="4"/>
  <c r="X535" i="1"/>
  <c r="X536" i="1"/>
  <c r="X539" i="1"/>
  <c r="X538" i="1"/>
  <c r="X537" i="1"/>
  <c r="X540" i="1"/>
  <c r="AH55" i="42"/>
  <c r="FN15" i="4"/>
  <c r="BN22" i="42"/>
  <c r="BN102" i="42" s="1"/>
  <c r="BN104" i="42" s="1"/>
  <c r="J491" i="1"/>
  <c r="X516" i="1"/>
  <c r="X515" i="1"/>
  <c r="L759" i="1"/>
  <c r="AH79" i="42"/>
  <c r="BU215" i="1"/>
  <c r="BU98" i="1"/>
  <c r="BU216" i="1"/>
  <c r="BU218" i="1"/>
  <c r="BU217" i="1"/>
  <c r="BU214" i="1"/>
  <c r="N498" i="1"/>
  <c r="AM176" i="1"/>
  <c r="AM177" i="1"/>
  <c r="AM173" i="1"/>
  <c r="AM174" i="1"/>
  <c r="AM175" i="1"/>
  <c r="AM172" i="1"/>
  <c r="AM180" i="1"/>
  <c r="AM181" i="1" s="1"/>
  <c r="AG562" i="1"/>
  <c r="AG563" i="1"/>
  <c r="AG564" i="1"/>
  <c r="AG565" i="1"/>
  <c r="AG566" i="1"/>
  <c r="AG567" i="1"/>
  <c r="T552" i="1"/>
  <c r="L358" i="1"/>
  <c r="L356" i="1"/>
  <c r="AX85" i="42"/>
  <c r="BY130" i="1"/>
  <c r="BY131" i="1" s="1"/>
  <c r="BY105" i="1"/>
  <c r="BY106" i="1" s="1"/>
  <c r="BY182" i="1"/>
  <c r="BY183" i="1" s="1"/>
  <c r="AS86" i="42"/>
  <c r="AK421" i="1"/>
  <c r="AK423" i="1" s="1"/>
  <c r="AK403" i="1"/>
  <c r="AW71" i="42"/>
  <c r="FA38" i="4"/>
  <c r="H295" i="1"/>
  <c r="AC21" i="42"/>
  <c r="H102" i="1"/>
  <c r="H293" i="1"/>
  <c r="AC43" i="42" s="1"/>
  <c r="AM371" i="1"/>
  <c r="AM373" i="1"/>
  <c r="AM366" i="1"/>
  <c r="AM368" i="1"/>
  <c r="F235" i="1"/>
  <c r="F229" i="1"/>
  <c r="F248" i="1" s="1"/>
  <c r="F247" i="1"/>
  <c r="F259" i="1"/>
  <c r="F271" i="1"/>
  <c r="F265" i="1"/>
  <c r="F223" i="1"/>
  <c r="F253" i="1"/>
  <c r="AA28" i="42"/>
  <c r="Q31" i="42" s="1"/>
  <c r="AE314" i="1"/>
  <c r="AE112" i="1"/>
  <c r="AD34" i="30" s="1"/>
  <c r="AE108" i="1"/>
  <c r="AD11" i="30"/>
  <c r="AE101" i="1"/>
  <c r="AE111" i="1"/>
  <c r="EO43" i="4"/>
  <c r="AH49" i="42"/>
  <c r="FM15" i="4"/>
  <c r="BW217" i="1"/>
  <c r="BW218" i="1"/>
  <c r="BW98" i="1"/>
  <c r="BW216" i="1"/>
  <c r="BW214" i="1"/>
  <c r="BW215" i="1"/>
  <c r="R91" i="1"/>
  <c r="R89" i="1"/>
  <c r="R90" i="1" s="1"/>
  <c r="AK33" i="30"/>
  <c r="BG39" i="42"/>
  <c r="N569" i="1"/>
  <c r="L736" i="1"/>
  <c r="L734" i="1"/>
  <c r="AM149" i="1"/>
  <c r="AM147" i="1"/>
  <c r="AM145" i="1"/>
  <c r="AM150" i="1"/>
  <c r="AM146" i="1"/>
  <c r="AM151" i="1"/>
  <c r="AM148" i="1"/>
  <c r="AM154" i="1"/>
  <c r="AM155" i="1" s="1"/>
  <c r="T551" i="1"/>
  <c r="X490" i="1"/>
  <c r="X489" i="1"/>
  <c r="AK127" i="1"/>
  <c r="AK126" i="1"/>
  <c r="N700" i="1"/>
  <c r="N695" i="1"/>
  <c r="N103" i="1"/>
  <c r="N91" i="1"/>
  <c r="N89" i="1"/>
  <c r="N90" i="1" s="1"/>
  <c r="AW55" i="42"/>
  <c r="FN38" i="4"/>
  <c r="V514" i="1"/>
  <c r="V508" i="1"/>
  <c r="V510" i="1"/>
  <c r="V509" i="1"/>
  <c r="V512" i="1"/>
  <c r="V513" i="1"/>
  <c r="V511" i="1"/>
  <c r="AX87" i="42"/>
  <c r="AX84" i="42"/>
  <c r="AG49" i="42"/>
  <c r="FM14" i="4"/>
  <c r="D37" i="19" s="1"/>
  <c r="D40" i="19" s="1"/>
  <c r="AS87" i="42"/>
  <c r="T570" i="1"/>
  <c r="T576" i="1" s="1"/>
  <c r="T574" i="1"/>
  <c r="N544" i="1"/>
  <c r="N553" i="1" s="1"/>
  <c r="N547" i="1"/>
  <c r="N548" i="1"/>
  <c r="N545" i="1"/>
  <c r="N546" i="1"/>
  <c r="L117" i="1"/>
  <c r="D542" i="1"/>
  <c r="D541" i="1"/>
  <c r="F695" i="1"/>
  <c r="F700" i="1"/>
  <c r="AM360" i="1"/>
  <c r="AM355" i="1"/>
  <c r="AM362" i="1"/>
  <c r="AM357" i="1"/>
  <c r="D491" i="1"/>
  <c r="F230" i="1"/>
  <c r="F236" i="1"/>
  <c r="F266" i="1"/>
  <c r="F260" i="1"/>
  <c r="F272" i="1"/>
  <c r="F224" i="1"/>
  <c r="AA29" i="42"/>
  <c r="Q32" i="42" s="1"/>
  <c r="F254" i="1"/>
  <c r="AM381" i="1"/>
  <c r="AE249" i="1"/>
  <c r="AE243" i="1"/>
  <c r="AE285" i="1"/>
  <c r="AE273" i="1"/>
  <c r="AE279" i="1"/>
  <c r="AE237" i="1"/>
  <c r="AE267" i="1"/>
  <c r="AT29" i="42"/>
  <c r="AE103" i="1"/>
  <c r="BH103" i="42"/>
  <c r="BH104" i="42" s="1"/>
  <c r="E44" i="4"/>
  <c r="D93" i="1"/>
  <c r="D83" i="1"/>
  <c r="EO14" i="4"/>
  <c r="EK38" i="4"/>
  <c r="AZ31" i="4"/>
  <c r="AG5" i="4"/>
  <c r="AZ33" i="4"/>
  <c r="AA11" i="4"/>
  <c r="AG50" i="4"/>
  <c r="BB11" i="4"/>
  <c r="AA53" i="4"/>
  <c r="BC11" i="4"/>
  <c r="BP55" i="4"/>
  <c r="AZ8" i="4"/>
  <c r="AG18" i="4"/>
  <c r="BP5" i="4"/>
  <c r="BF34" i="4"/>
  <c r="BP16" i="4"/>
  <c r="BC53" i="4"/>
  <c r="AY11" i="4"/>
  <c r="AG22" i="4"/>
  <c r="AZ10" i="4"/>
  <c r="AY53" i="4"/>
  <c r="AG24" i="4"/>
  <c r="AG16" i="4"/>
  <c r="BB53" i="4"/>
  <c r="BP8" i="4"/>
  <c r="BP51" i="4"/>
  <c r="AG12" i="4"/>
  <c r="AG20" i="4"/>
  <c r="BP24" i="4"/>
  <c r="BP22" i="4"/>
  <c r="BP50" i="4"/>
  <c r="BY163" i="1" l="1"/>
  <c r="BD315" i="1"/>
  <c r="BJ15" i="1"/>
  <c r="BJ17" i="1" s="1"/>
  <c r="BD347" i="1"/>
  <c r="BB22" i="1"/>
  <c r="BB15" i="1"/>
  <c r="BB17" i="1" s="1"/>
  <c r="BJ22" i="1"/>
  <c r="BJ11" i="42" s="1"/>
  <c r="P548" i="1"/>
  <c r="F301" i="1"/>
  <c r="F573" i="1"/>
  <c r="AZ164" i="1"/>
  <c r="AZ165" i="1" s="1"/>
  <c r="AZ173" i="1" s="1"/>
  <c r="EO32" i="4"/>
  <c r="AG403" i="1"/>
  <c r="AG421" i="1"/>
  <c r="AG423" i="1" s="1"/>
  <c r="AU71" i="42"/>
  <c r="FA32" i="4"/>
  <c r="R573" i="1"/>
  <c r="AU55" i="42"/>
  <c r="FN32" i="4"/>
  <c r="AU49" i="42"/>
  <c r="FM32" i="4"/>
  <c r="T572" i="1"/>
  <c r="AE262" i="1"/>
  <c r="T571" i="1"/>
  <c r="J519" i="1"/>
  <c r="AG331" i="1"/>
  <c r="AG326" i="1"/>
  <c r="F571" i="1"/>
  <c r="V501" i="1"/>
  <c r="V494" i="1"/>
  <c r="V499" i="1"/>
  <c r="V502" i="1"/>
  <c r="V493" i="1"/>
  <c r="AG152" i="1"/>
  <c r="AG153" i="1"/>
  <c r="AG358" i="1"/>
  <c r="AG353" i="1"/>
  <c r="AG127" i="1"/>
  <c r="AG126" i="1"/>
  <c r="F543" i="1"/>
  <c r="AG352" i="1"/>
  <c r="AG376" i="1"/>
  <c r="AG384" i="1"/>
  <c r="AG386" i="1"/>
  <c r="R549" i="1"/>
  <c r="AU70" i="42"/>
  <c r="L89" i="19"/>
  <c r="CO32" i="4"/>
  <c r="DA32" i="4"/>
  <c r="CP32" i="4"/>
  <c r="M89" i="19"/>
  <c r="DB32" i="4"/>
  <c r="R547" i="1"/>
  <c r="AG178" i="1"/>
  <c r="AG179" i="1"/>
  <c r="AG204" i="1"/>
  <c r="AG205" i="1"/>
  <c r="AG390" i="1"/>
  <c r="AU78" i="42"/>
  <c r="EK32" i="4"/>
  <c r="AZ113" i="1"/>
  <c r="AZ120" i="1" s="1"/>
  <c r="AZ119" i="1"/>
  <c r="AZ117" i="1"/>
  <c r="AZ122" i="1"/>
  <c r="AZ114" i="1"/>
  <c r="AZ139" i="1"/>
  <c r="AZ146" i="1" s="1"/>
  <c r="AZ140" i="1"/>
  <c r="AZ144" i="1"/>
  <c r="AZ148" i="1"/>
  <c r="AZ143" i="1"/>
  <c r="AZ141" i="1"/>
  <c r="AZ142" i="1"/>
  <c r="AZ172" i="1"/>
  <c r="AZ170" i="1"/>
  <c r="AZ175" i="1"/>
  <c r="AZ168" i="1"/>
  <c r="AZ169" i="1"/>
  <c r="AZ190" i="1"/>
  <c r="N550" i="1"/>
  <c r="V543" i="1"/>
  <c r="V495" i="1"/>
  <c r="BQ51" i="4"/>
  <c r="BQ55" i="4"/>
  <c r="R572" i="1"/>
  <c r="T556" i="1"/>
  <c r="T555" i="1" s="1"/>
  <c r="T557" i="1" s="1"/>
  <c r="R500" i="1"/>
  <c r="R545" i="1"/>
  <c r="T521" i="1"/>
  <c r="J523" i="1"/>
  <c r="V500" i="1"/>
  <c r="P551" i="1"/>
  <c r="J582" i="1"/>
  <c r="H485" i="1"/>
  <c r="H491" i="1"/>
  <c r="H486" i="1"/>
  <c r="H487" i="1"/>
  <c r="H483" i="1"/>
  <c r="H484" i="1"/>
  <c r="H488" i="1"/>
  <c r="H696" i="1"/>
  <c r="H691" i="1"/>
  <c r="AD93" i="42" s="1"/>
  <c r="H693" i="1"/>
  <c r="H699" i="1"/>
  <c r="H694" i="1"/>
  <c r="H697" i="1"/>
  <c r="H698" i="1"/>
  <c r="H775" i="1"/>
  <c r="R496" i="1"/>
  <c r="R548" i="1"/>
  <c r="P553" i="1"/>
  <c r="H562" i="1"/>
  <c r="H561" i="1"/>
  <c r="H563" i="1"/>
  <c r="H564" i="1"/>
  <c r="H566" i="1"/>
  <c r="H565" i="1"/>
  <c r="H560" i="1"/>
  <c r="R495" i="1"/>
  <c r="R551" i="1"/>
  <c r="H541" i="1"/>
  <c r="H542" i="1"/>
  <c r="R498" i="1"/>
  <c r="AM390" i="1"/>
  <c r="R546" i="1"/>
  <c r="H301" i="1"/>
  <c r="AD85" i="42"/>
  <c r="T573" i="1"/>
  <c r="R494" i="1"/>
  <c r="R552" i="1"/>
  <c r="AD87" i="42"/>
  <c r="AD86" i="42"/>
  <c r="N549" i="1"/>
  <c r="T575" i="1"/>
  <c r="F572" i="1"/>
  <c r="R571" i="1"/>
  <c r="R554" i="1"/>
  <c r="H515" i="1"/>
  <c r="H517" i="1" s="1"/>
  <c r="H518" i="1" s="1"/>
  <c r="H522" i="1" s="1"/>
  <c r="H516" i="1"/>
  <c r="EO34" i="4"/>
  <c r="BB406" i="1"/>
  <c r="BB323" i="1"/>
  <c r="BB320" i="1"/>
  <c r="AV95" i="1"/>
  <c r="BC39" i="42" s="1"/>
  <c r="N517" i="1"/>
  <c r="AN26" i="30"/>
  <c r="AN24" i="30"/>
  <c r="AN15" i="30"/>
  <c r="BJ377" i="1"/>
  <c r="BJ19" i="1"/>
  <c r="BJ42" i="1" s="1" a="1"/>
  <c r="R518" i="1"/>
  <c r="R522" i="1" s="1"/>
  <c r="T773" i="1"/>
  <c r="T526" i="1"/>
  <c r="BY164" i="1"/>
  <c r="BJ406" i="1"/>
  <c r="BJ323" i="1"/>
  <c r="BJ320" i="1"/>
  <c r="D543" i="1"/>
  <c r="D544" i="1" s="1"/>
  <c r="D545" i="1" s="1"/>
  <c r="N551" i="1"/>
  <c r="J581" i="1"/>
  <c r="R519" i="1"/>
  <c r="F574" i="1"/>
  <c r="AV86" i="1"/>
  <c r="AV154" i="1" s="1"/>
  <c r="AV155" i="1" s="1"/>
  <c r="V498" i="1"/>
  <c r="P552" i="1"/>
  <c r="BY162" i="1"/>
  <c r="AJ15" i="30"/>
  <c r="BB377" i="1"/>
  <c r="BF11" i="42"/>
  <c r="BB19" i="1"/>
  <c r="BB42" i="1" s="1" a="1"/>
  <c r="AV87" i="1"/>
  <c r="AV127" i="1" s="1"/>
  <c r="AV128" i="1" s="1"/>
  <c r="T528" i="1"/>
  <c r="BY161" i="1"/>
  <c r="L128" i="1"/>
  <c r="L127" i="1" s="1"/>
  <c r="L129" i="1" s="1"/>
  <c r="L283" i="1" s="1"/>
  <c r="AG42" i="42" s="1"/>
  <c r="N552" i="1"/>
  <c r="X517" i="1"/>
  <c r="F576" i="1"/>
  <c r="V569" i="1"/>
  <c r="V570" i="1" s="1"/>
  <c r="V576" i="1" s="1"/>
  <c r="J520" i="1"/>
  <c r="BY160" i="1"/>
  <c r="AA16" i="31"/>
  <c r="T23" i="31" s="1"/>
  <c r="AB16" i="31"/>
  <c r="AC16" i="31"/>
  <c r="Z22" i="31"/>
  <c r="Z25" i="31" s="1"/>
  <c r="BJ22" i="42"/>
  <c r="BJ99" i="42" s="1"/>
  <c r="BJ59" i="1" a="1"/>
  <c r="BJ73" i="1"/>
  <c r="N554" i="1"/>
  <c r="N556" i="1" s="1"/>
  <c r="N555" i="1" s="1"/>
  <c r="N557" i="1" s="1"/>
  <c r="X491" i="1"/>
  <c r="J528" i="1"/>
  <c r="AJ26" i="30"/>
  <c r="AJ24" i="30"/>
  <c r="BB73" i="1"/>
  <c r="BF22" i="42"/>
  <c r="BF99" i="42" s="1"/>
  <c r="BB59" i="1" a="1"/>
  <c r="BD358" i="1"/>
  <c r="BD359" i="1" s="1"/>
  <c r="EL33" i="4"/>
  <c r="V515" i="1"/>
  <c r="V516" i="1"/>
  <c r="AG33" i="30"/>
  <c r="P37" i="30" s="1"/>
  <c r="D492" i="1"/>
  <c r="D494" i="1" s="1"/>
  <c r="T580" i="1"/>
  <c r="AT46" i="42"/>
  <c r="AE319" i="1"/>
  <c r="AE315" i="1"/>
  <c r="D91" i="1"/>
  <c r="D89" i="1"/>
  <c r="N570" i="1"/>
  <c r="N574" i="1" s="1"/>
  <c r="D218" i="1"/>
  <c r="D98" i="1"/>
  <c r="D217" i="1"/>
  <c r="D215" i="1"/>
  <c r="D216" i="1"/>
  <c r="D214" i="1"/>
  <c r="T578" i="1"/>
  <c r="T579" i="1"/>
  <c r="AT39" i="42"/>
  <c r="AD33" i="30"/>
  <c r="AM179" i="1"/>
  <c r="AM178" i="1"/>
  <c r="CG38" i="4"/>
  <c r="AW69" i="42"/>
  <c r="T577" i="1"/>
  <c r="BW234" i="1"/>
  <c r="BW228" i="1"/>
  <c r="BW258" i="1"/>
  <c r="BW270" i="1"/>
  <c r="BW264" i="1"/>
  <c r="BW222" i="1"/>
  <c r="BW252" i="1"/>
  <c r="BW246" i="1"/>
  <c r="BN27" i="42"/>
  <c r="N295" i="1"/>
  <c r="N102" i="1"/>
  <c r="AI21" i="42"/>
  <c r="N293" i="1"/>
  <c r="AI43" i="42" s="1"/>
  <c r="BW236" i="1"/>
  <c r="BW230" i="1"/>
  <c r="BW266" i="1"/>
  <c r="BW260" i="1"/>
  <c r="BW272" i="1"/>
  <c r="BW224" i="1"/>
  <c r="BW254" i="1"/>
  <c r="BN29" i="42"/>
  <c r="BY187" i="1"/>
  <c r="BY188" i="1"/>
  <c r="BY189" i="1"/>
  <c r="BY185" i="1"/>
  <c r="BY190" i="1"/>
  <c r="BY184" i="1"/>
  <c r="BY186" i="1"/>
  <c r="BU236" i="1"/>
  <c r="BU230" i="1"/>
  <c r="BU266" i="1"/>
  <c r="BU272" i="1"/>
  <c r="BU260" i="1"/>
  <c r="BU224" i="1"/>
  <c r="BU254" i="1"/>
  <c r="BM29" i="42"/>
  <c r="J492" i="1"/>
  <c r="J493" i="1" s="1"/>
  <c r="X569" i="1"/>
  <c r="F578" i="1"/>
  <c r="BP87" i="42"/>
  <c r="R576" i="1"/>
  <c r="K71" i="19"/>
  <c r="CN14" i="4"/>
  <c r="CZ14" i="4"/>
  <c r="J769" i="1"/>
  <c r="J770" i="1" s="1"/>
  <c r="J767" i="1"/>
  <c r="J768" i="1" s="1"/>
  <c r="R502" i="1"/>
  <c r="T227" i="1"/>
  <c r="T263" i="1"/>
  <c r="T233" i="1"/>
  <c r="T269" i="1"/>
  <c r="T245" i="1"/>
  <c r="T257" i="1"/>
  <c r="T221" i="1"/>
  <c r="T251" i="1"/>
  <c r="AN26" i="42"/>
  <c r="BF82" i="1"/>
  <c r="BF212" i="1"/>
  <c r="BF211" i="1"/>
  <c r="BF213" i="1"/>
  <c r="BF214" i="1"/>
  <c r="BF215" i="1"/>
  <c r="L168" i="1"/>
  <c r="L171" i="1" s="1"/>
  <c r="P518" i="1"/>
  <c r="P525" i="1" s="1"/>
  <c r="X266" i="1"/>
  <c r="X260" i="1"/>
  <c r="X230" i="1"/>
  <c r="X272" i="1"/>
  <c r="X236" i="1"/>
  <c r="X224" i="1"/>
  <c r="X254" i="1"/>
  <c r="AR29" i="42"/>
  <c r="AX61" i="42"/>
  <c r="CA34" i="4"/>
  <c r="AE543" i="1"/>
  <c r="AE542" i="1"/>
  <c r="V295" i="1"/>
  <c r="V102" i="1"/>
  <c r="V293" i="1"/>
  <c r="AP43" i="42" s="1"/>
  <c r="AP21" i="42"/>
  <c r="H255" i="1"/>
  <c r="L345" i="1"/>
  <c r="L347" i="1"/>
  <c r="AV96" i="1"/>
  <c r="AG34" i="30" s="1"/>
  <c r="P38" i="30" s="1"/>
  <c r="AM126" i="1"/>
  <c r="AM127" i="1"/>
  <c r="Q72" i="19"/>
  <c r="CT15" i="4"/>
  <c r="DF15" i="4"/>
  <c r="AE594" i="1"/>
  <c r="AE595" i="1"/>
  <c r="CA136" i="1"/>
  <c r="CA137" i="1"/>
  <c r="CA138" i="1"/>
  <c r="CA132" i="1"/>
  <c r="CA133" i="1"/>
  <c r="CA134" i="1"/>
  <c r="CA135" i="1"/>
  <c r="T523" i="1"/>
  <c r="J522" i="1"/>
  <c r="J524" i="1"/>
  <c r="J266" i="1"/>
  <c r="J260" i="1"/>
  <c r="J230" i="1"/>
  <c r="J236" i="1"/>
  <c r="J272" i="1"/>
  <c r="J224" i="1"/>
  <c r="J254" i="1"/>
  <c r="AE29" i="42"/>
  <c r="BD164" i="1"/>
  <c r="BD165" i="1" s="1"/>
  <c r="BD156" i="1"/>
  <c r="BD160" i="1"/>
  <c r="BD159" i="1"/>
  <c r="BD157" i="1"/>
  <c r="BD158" i="1"/>
  <c r="BD161" i="1"/>
  <c r="AE570" i="1"/>
  <c r="D569" i="1"/>
  <c r="CC233" i="1"/>
  <c r="CC227" i="1"/>
  <c r="CC269" i="1"/>
  <c r="CC263" i="1"/>
  <c r="CC257" i="1"/>
  <c r="CC251" i="1"/>
  <c r="CC221" i="1"/>
  <c r="CC245" i="1"/>
  <c r="BQ26" i="42"/>
  <c r="BD390" i="1"/>
  <c r="BD391" i="1" s="1"/>
  <c r="BD388" i="1"/>
  <c r="N234" i="1"/>
  <c r="N246" i="1"/>
  <c r="N228" i="1"/>
  <c r="N258" i="1"/>
  <c r="N264" i="1"/>
  <c r="N270" i="1"/>
  <c r="N222" i="1"/>
  <c r="N252" i="1"/>
  <c r="AI27" i="42"/>
  <c r="R259" i="1"/>
  <c r="R247" i="1"/>
  <c r="R229" i="1"/>
  <c r="R248" i="1" s="1"/>
  <c r="R271" i="1"/>
  <c r="R265" i="1"/>
  <c r="R235" i="1"/>
  <c r="R223" i="1"/>
  <c r="R253" i="1"/>
  <c r="AL28" i="42"/>
  <c r="V496" i="1"/>
  <c r="P554" i="1"/>
  <c r="DA34" i="4"/>
  <c r="L91" i="19"/>
  <c r="CO34" i="4"/>
  <c r="AM152" i="1"/>
  <c r="AM153" i="1"/>
  <c r="R295" i="1"/>
  <c r="R102" i="1"/>
  <c r="R293" i="1"/>
  <c r="AL43" i="42" s="1"/>
  <c r="AL21" i="42"/>
  <c r="BW229" i="1"/>
  <c r="BW248" i="1" s="1"/>
  <c r="BW235" i="1"/>
  <c r="BW259" i="1"/>
  <c r="BW271" i="1"/>
  <c r="BW265" i="1"/>
  <c r="BW223" i="1"/>
  <c r="BW253" i="1"/>
  <c r="BW247" i="1"/>
  <c r="BN28" i="42"/>
  <c r="BY111" i="1"/>
  <c r="BY112" i="1"/>
  <c r="BY110" i="1"/>
  <c r="BY107" i="1"/>
  <c r="BY108" i="1"/>
  <c r="BY109" i="1"/>
  <c r="BU246" i="1"/>
  <c r="BU264" i="1"/>
  <c r="BU234" i="1"/>
  <c r="BU228" i="1"/>
  <c r="BU258" i="1"/>
  <c r="BU270" i="1"/>
  <c r="BU222" i="1"/>
  <c r="BU252" i="1"/>
  <c r="BM27" i="42"/>
  <c r="BW102" i="1"/>
  <c r="P570" i="1"/>
  <c r="P575" i="1" s="1"/>
  <c r="L360" i="1"/>
  <c r="F575" i="1"/>
  <c r="BP86" i="42"/>
  <c r="L769" i="1"/>
  <c r="L770" i="1" s="1"/>
  <c r="L767" i="1"/>
  <c r="L768" i="1" s="1"/>
  <c r="R579" i="1"/>
  <c r="AK404" i="1"/>
  <c r="AK405" i="1" s="1"/>
  <c r="AK406" i="1"/>
  <c r="AK407" i="1" s="1"/>
  <c r="R499" i="1"/>
  <c r="T238" i="1"/>
  <c r="T243" i="1" s="1"/>
  <c r="AN97" i="42" s="1"/>
  <c r="T244" i="1"/>
  <c r="T256" i="1"/>
  <c r="T219" i="1"/>
  <c r="T250" i="1"/>
  <c r="AN25" i="42"/>
  <c r="X18" i="4"/>
  <c r="V238" i="1"/>
  <c r="V243" i="1" s="1"/>
  <c r="V219" i="1"/>
  <c r="V244" i="1"/>
  <c r="V256" i="1"/>
  <c r="V250" i="1"/>
  <c r="X22" i="4"/>
  <c r="AP25" i="42"/>
  <c r="X227" i="1"/>
  <c r="X257" i="1"/>
  <c r="X269" i="1"/>
  <c r="X245" i="1"/>
  <c r="X263" i="1"/>
  <c r="X233" i="1"/>
  <c r="X221" i="1"/>
  <c r="X251" i="1"/>
  <c r="AR26" i="42"/>
  <c r="CF14" i="4"/>
  <c r="AG64" i="42"/>
  <c r="AX70" i="42"/>
  <c r="L342" i="1"/>
  <c r="L340" i="1"/>
  <c r="CZ43" i="4"/>
  <c r="CN43" i="4"/>
  <c r="K100" i="19"/>
  <c r="EX34" i="4"/>
  <c r="EL34" i="4"/>
  <c r="T524" i="1"/>
  <c r="J521" i="1"/>
  <c r="J300" i="1"/>
  <c r="J305" i="1" s="1"/>
  <c r="J101" i="1"/>
  <c r="J104" i="1" s="1"/>
  <c r="AG542" i="1"/>
  <c r="AG543" i="1"/>
  <c r="F492" i="1"/>
  <c r="F493" i="1" s="1"/>
  <c r="CC236" i="1"/>
  <c r="CC230" i="1"/>
  <c r="CC260" i="1"/>
  <c r="CC272" i="1"/>
  <c r="CC266" i="1"/>
  <c r="CC254" i="1"/>
  <c r="CC224" i="1"/>
  <c r="BQ29" i="42"/>
  <c r="BD392" i="1"/>
  <c r="BD393" i="1"/>
  <c r="J103" i="1"/>
  <c r="N245" i="1"/>
  <c r="N227" i="1"/>
  <c r="N233" i="1"/>
  <c r="N257" i="1"/>
  <c r="N269" i="1"/>
  <c r="N263" i="1"/>
  <c r="N221" i="1"/>
  <c r="N251" i="1"/>
  <c r="AI26" i="42"/>
  <c r="R270" i="1"/>
  <c r="R258" i="1"/>
  <c r="R264" i="1"/>
  <c r="R246" i="1"/>
  <c r="R234" i="1"/>
  <c r="R228" i="1"/>
  <c r="R222" i="1"/>
  <c r="R252" i="1"/>
  <c r="AL27" i="42"/>
  <c r="P546" i="1"/>
  <c r="BY135" i="1"/>
  <c r="BY136" i="1"/>
  <c r="BY137" i="1"/>
  <c r="BY138" i="1"/>
  <c r="BY132" i="1"/>
  <c r="BY133" i="1"/>
  <c r="BY134" i="1"/>
  <c r="BU300" i="1"/>
  <c r="BU301" i="1" s="1"/>
  <c r="BU101" i="1"/>
  <c r="BU104" i="1" s="1"/>
  <c r="BW103" i="1"/>
  <c r="F105" i="1"/>
  <c r="F106" i="1" s="1"/>
  <c r="F182" i="1"/>
  <c r="F183" i="1" s="1"/>
  <c r="F130" i="1"/>
  <c r="F131" i="1" s="1"/>
  <c r="F157" i="1"/>
  <c r="F158" i="1" s="1"/>
  <c r="AI517" i="1"/>
  <c r="AI516" i="1"/>
  <c r="F544" i="1"/>
  <c r="F549" i="1" s="1"/>
  <c r="L771" i="1"/>
  <c r="L772" i="1"/>
  <c r="R577" i="1"/>
  <c r="AK408" i="1"/>
  <c r="AK409" i="1"/>
  <c r="AM406" i="1"/>
  <c r="AM407" i="1" s="1"/>
  <c r="AM404" i="1"/>
  <c r="AM405" i="1" s="1"/>
  <c r="P238" i="1"/>
  <c r="P243" i="1" s="1"/>
  <c r="AK97" i="42" s="1"/>
  <c r="P219" i="1"/>
  <c r="P244" i="1"/>
  <c r="P256" i="1"/>
  <c r="P250" i="1"/>
  <c r="AK25" i="42"/>
  <c r="X5" i="4"/>
  <c r="AG595" i="1"/>
  <c r="AG594" i="1"/>
  <c r="T270" i="1"/>
  <c r="T228" i="1"/>
  <c r="T258" i="1"/>
  <c r="T234" i="1"/>
  <c r="T246" i="1"/>
  <c r="T264" i="1"/>
  <c r="T222" i="1"/>
  <c r="T252" i="1"/>
  <c r="AN27" i="42"/>
  <c r="V236" i="1"/>
  <c r="V230" i="1"/>
  <c r="V260" i="1"/>
  <c r="V266" i="1"/>
  <c r="V272" i="1"/>
  <c r="V224" i="1"/>
  <c r="V254" i="1"/>
  <c r="AP29" i="42"/>
  <c r="X235" i="1"/>
  <c r="X247" i="1"/>
  <c r="X259" i="1"/>
  <c r="X265" i="1"/>
  <c r="X271" i="1"/>
  <c r="X229" i="1"/>
  <c r="X248" i="1" s="1"/>
  <c r="X223" i="1"/>
  <c r="X253" i="1"/>
  <c r="AR28" i="42"/>
  <c r="CG14" i="4"/>
  <c r="AG69" i="42"/>
  <c r="T527" i="1"/>
  <c r="AD52" i="4"/>
  <c r="BY321" i="1"/>
  <c r="BY322" i="1" s="1"/>
  <c r="BO33" i="42"/>
  <c r="AD56" i="4"/>
  <c r="BR33" i="42"/>
  <c r="BY307" i="1"/>
  <c r="CC234" i="1"/>
  <c r="CC228" i="1"/>
  <c r="CC258" i="1"/>
  <c r="CC270" i="1"/>
  <c r="CC264" i="1"/>
  <c r="CC252" i="1"/>
  <c r="CC222" i="1"/>
  <c r="CC246" i="1"/>
  <c r="BQ27" i="42"/>
  <c r="H130" i="1"/>
  <c r="H131" i="1" s="1"/>
  <c r="H105" i="1"/>
  <c r="H106" i="1" s="1"/>
  <c r="H182" i="1"/>
  <c r="H183" i="1" s="1"/>
  <c r="H157" i="1"/>
  <c r="H158" i="1" s="1"/>
  <c r="N244" i="1"/>
  <c r="N238" i="1"/>
  <c r="N243" i="1" s="1"/>
  <c r="AI97" i="42" s="1"/>
  <c r="N219" i="1"/>
  <c r="N256" i="1"/>
  <c r="N250" i="1"/>
  <c r="X20" i="4"/>
  <c r="AI25" i="42"/>
  <c r="X50" i="4"/>
  <c r="N518" i="1"/>
  <c r="N528" i="1" s="1"/>
  <c r="N772" i="1"/>
  <c r="N771" i="1"/>
  <c r="J583" i="1"/>
  <c r="AG569" i="1"/>
  <c r="AG568" i="1"/>
  <c r="BU245" i="1"/>
  <c r="BU227" i="1"/>
  <c r="BU257" i="1"/>
  <c r="BU263" i="1"/>
  <c r="BU233" i="1"/>
  <c r="BU269" i="1"/>
  <c r="BU221" i="1"/>
  <c r="BU251" i="1"/>
  <c r="BM26" i="42"/>
  <c r="AG516" i="1"/>
  <c r="AG517" i="1"/>
  <c r="BU102" i="1"/>
  <c r="F577" i="1"/>
  <c r="AM408" i="1"/>
  <c r="AM409" i="1"/>
  <c r="P236" i="1"/>
  <c r="P266" i="1"/>
  <c r="P272" i="1"/>
  <c r="P230" i="1"/>
  <c r="P260" i="1"/>
  <c r="P224" i="1"/>
  <c r="P254" i="1"/>
  <c r="AK29" i="42"/>
  <c r="AD14" i="30"/>
  <c r="AD31" i="4"/>
  <c r="AT33" i="42"/>
  <c r="AD28" i="4"/>
  <c r="AE321" i="1"/>
  <c r="CG34" i="4"/>
  <c r="AX69" i="42"/>
  <c r="V300" i="1"/>
  <c r="V305" i="1" s="1"/>
  <c r="V101" i="1"/>
  <c r="V104" i="1" s="1"/>
  <c r="P767" i="1"/>
  <c r="P768" i="1" s="1"/>
  <c r="P769" i="1"/>
  <c r="P770" i="1" s="1"/>
  <c r="X228" i="1"/>
  <c r="X246" i="1"/>
  <c r="X258" i="1"/>
  <c r="X270" i="1"/>
  <c r="X264" i="1"/>
  <c r="X234" i="1"/>
  <c r="X222" i="1"/>
  <c r="X252" i="1"/>
  <c r="AR27" i="42"/>
  <c r="BY299" i="1"/>
  <c r="BO96" i="42"/>
  <c r="BR96" i="42"/>
  <c r="BY209" i="1"/>
  <c r="BY303" i="1"/>
  <c r="BY302" i="1"/>
  <c r="CF43" i="4"/>
  <c r="BG64" i="42"/>
  <c r="AH61" i="42"/>
  <c r="CA15" i="4"/>
  <c r="F517" i="1"/>
  <c r="T295" i="1"/>
  <c r="T102" i="1"/>
  <c r="T293" i="1"/>
  <c r="AN43" i="42" s="1"/>
  <c r="AN21" i="42"/>
  <c r="T90" i="1"/>
  <c r="CC238" i="1"/>
  <c r="CC243" i="1" s="1"/>
  <c r="BQ97" i="42" s="1"/>
  <c r="CC219" i="1"/>
  <c r="CC256" i="1"/>
  <c r="CC250" i="1"/>
  <c r="CC244" i="1"/>
  <c r="X54" i="4"/>
  <c r="BQ25" i="42"/>
  <c r="AC47" i="42"/>
  <c r="X695" i="1"/>
  <c r="X700" i="1"/>
  <c r="AM376" i="1"/>
  <c r="P549" i="1"/>
  <c r="DA43" i="4"/>
  <c r="L100" i="19"/>
  <c r="CO43" i="4"/>
  <c r="F769" i="1"/>
  <c r="F770" i="1" s="1"/>
  <c r="F767" i="1"/>
  <c r="F768" i="1" s="1"/>
  <c r="F772" i="1"/>
  <c r="F771" i="1"/>
  <c r="N767" i="1"/>
  <c r="N768" i="1" s="1"/>
  <c r="N769" i="1"/>
  <c r="N770" i="1" s="1"/>
  <c r="L743" i="1"/>
  <c r="BW233" i="1"/>
  <c r="BW227" i="1"/>
  <c r="BW269" i="1"/>
  <c r="BW257" i="1"/>
  <c r="BW263" i="1"/>
  <c r="BW221" i="1"/>
  <c r="BW251" i="1"/>
  <c r="BW245" i="1"/>
  <c r="BN26" i="42"/>
  <c r="AA47" i="42"/>
  <c r="Q54" i="42" s="1"/>
  <c r="AA46" i="42"/>
  <c r="Q53" i="42" s="1"/>
  <c r="BU103" i="1"/>
  <c r="F580" i="1"/>
  <c r="CA211" i="1"/>
  <c r="CA268" i="1" s="1"/>
  <c r="CA210" i="1"/>
  <c r="AM359" i="1"/>
  <c r="AM361" i="1"/>
  <c r="R580" i="1"/>
  <c r="H249" i="1"/>
  <c r="P245" i="1"/>
  <c r="P257" i="1"/>
  <c r="P227" i="1"/>
  <c r="P269" i="1"/>
  <c r="P233" i="1"/>
  <c r="P263" i="1"/>
  <c r="P221" i="1"/>
  <c r="P251" i="1"/>
  <c r="AK26" i="42"/>
  <c r="R501" i="1"/>
  <c r="AE268" i="1"/>
  <c r="CF34" i="4"/>
  <c r="AX64" i="42"/>
  <c r="F249" i="1"/>
  <c r="V259" i="1"/>
  <c r="V235" i="1"/>
  <c r="V247" i="1"/>
  <c r="V229" i="1"/>
  <c r="V248" i="1" s="1"/>
  <c r="V265" i="1"/>
  <c r="V271" i="1"/>
  <c r="V223" i="1"/>
  <c r="V253" i="1"/>
  <c r="AP28" i="42"/>
  <c r="P772" i="1"/>
  <c r="P771" i="1"/>
  <c r="X300" i="1"/>
  <c r="X305" i="1" s="1"/>
  <c r="X101" i="1"/>
  <c r="X104" i="1" s="1"/>
  <c r="R553" i="1"/>
  <c r="AI595" i="1"/>
  <c r="AI594" i="1"/>
  <c r="CA159" i="1"/>
  <c r="CA160" i="1"/>
  <c r="CA161" i="1"/>
  <c r="CA163" i="1"/>
  <c r="CA162" i="1"/>
  <c r="CA164" i="1"/>
  <c r="D517" i="1"/>
  <c r="CG43" i="4"/>
  <c r="BG69" i="42"/>
  <c r="T522" i="1"/>
  <c r="T530" i="1" s="1"/>
  <c r="J527" i="1"/>
  <c r="J228" i="1"/>
  <c r="J258" i="1"/>
  <c r="J234" i="1"/>
  <c r="J246" i="1"/>
  <c r="J270" i="1"/>
  <c r="J264" i="1"/>
  <c r="J222" i="1"/>
  <c r="J252" i="1"/>
  <c r="AE27" i="42"/>
  <c r="H526" i="1"/>
  <c r="H527" i="1"/>
  <c r="CC235" i="1"/>
  <c r="CC229" i="1"/>
  <c r="CC248" i="1" s="1"/>
  <c r="CC259" i="1"/>
  <c r="CC271" i="1"/>
  <c r="CC265" i="1"/>
  <c r="CC253" i="1"/>
  <c r="CC223" i="1"/>
  <c r="CC247" i="1"/>
  <c r="BQ28" i="42"/>
  <c r="J90" i="1"/>
  <c r="R257" i="1"/>
  <c r="R263" i="1"/>
  <c r="R233" i="1"/>
  <c r="R269" i="1"/>
  <c r="R227" i="1"/>
  <c r="R245" i="1"/>
  <c r="R221" i="1"/>
  <c r="R251" i="1"/>
  <c r="AL26" i="42"/>
  <c r="L728" i="1"/>
  <c r="L730" i="1"/>
  <c r="P550" i="1"/>
  <c r="EK34" i="4"/>
  <c r="BW238" i="1"/>
  <c r="BW243" i="1" s="1"/>
  <c r="BN97" i="42" s="1"/>
  <c r="BW219" i="1"/>
  <c r="BW256" i="1"/>
  <c r="BW250" i="1"/>
  <c r="BW255" i="1" s="1"/>
  <c r="BW244" i="1"/>
  <c r="X55" i="4"/>
  <c r="BN25" i="42"/>
  <c r="CF38" i="4"/>
  <c r="AW64" i="42"/>
  <c r="X542" i="1"/>
  <c r="X541" i="1"/>
  <c r="R767" i="1"/>
  <c r="R768" i="1" s="1"/>
  <c r="R769" i="1"/>
  <c r="R770" i="1" s="1"/>
  <c r="D767" i="1"/>
  <c r="D768" i="1" s="1"/>
  <c r="D769" i="1"/>
  <c r="D770" i="1" s="1"/>
  <c r="AM354" i="1"/>
  <c r="AM356" i="1"/>
  <c r="R574" i="1"/>
  <c r="R578" i="1"/>
  <c r="P300" i="1"/>
  <c r="P305" i="1" s="1"/>
  <c r="P101" i="1"/>
  <c r="P104" i="1" s="1"/>
  <c r="T266" i="1"/>
  <c r="T260" i="1"/>
  <c r="T236" i="1"/>
  <c r="T230" i="1"/>
  <c r="T272" i="1"/>
  <c r="T224" i="1"/>
  <c r="T254" i="1"/>
  <c r="AN29" i="42"/>
  <c r="V228" i="1"/>
  <c r="V246" i="1"/>
  <c r="V264" i="1"/>
  <c r="V258" i="1"/>
  <c r="V234" i="1"/>
  <c r="V270" i="1"/>
  <c r="V222" i="1"/>
  <c r="V252" i="1"/>
  <c r="AP27" i="42"/>
  <c r="AI542" i="1"/>
  <c r="AI543" i="1"/>
  <c r="P295" i="1"/>
  <c r="P102" i="1"/>
  <c r="AK21" i="42"/>
  <c r="P293" i="1"/>
  <c r="AK43" i="42" s="1"/>
  <c r="X295" i="1"/>
  <c r="X293" i="1"/>
  <c r="AR43" i="42" s="1"/>
  <c r="X102" i="1"/>
  <c r="AR21" i="42"/>
  <c r="L390" i="1"/>
  <c r="L391" i="1" s="1"/>
  <c r="L392" i="1"/>
  <c r="L393" i="1" s="1"/>
  <c r="AI89" i="1"/>
  <c r="AI90" i="1" s="1"/>
  <c r="AI91" i="1"/>
  <c r="J525" i="1"/>
  <c r="J247" i="1"/>
  <c r="J259" i="1"/>
  <c r="J229" i="1"/>
  <c r="J248" i="1" s="1"/>
  <c r="J265" i="1"/>
  <c r="J235" i="1"/>
  <c r="J271" i="1"/>
  <c r="J223" i="1"/>
  <c r="J253" i="1"/>
  <c r="AE28" i="42"/>
  <c r="BD129" i="1"/>
  <c r="BD138" i="1"/>
  <c r="BD139" i="1" s="1"/>
  <c r="BD130" i="1"/>
  <c r="BD132" i="1"/>
  <c r="BD131" i="1"/>
  <c r="BD134" i="1"/>
  <c r="BD135" i="1"/>
  <c r="BD133" i="1"/>
  <c r="CC300" i="1"/>
  <c r="CC301" i="1" s="1"/>
  <c r="CC101" i="1"/>
  <c r="CC104" i="1" s="1"/>
  <c r="AC46" i="42"/>
  <c r="N300" i="1"/>
  <c r="N305" i="1" s="1"/>
  <c r="N101" i="1"/>
  <c r="N104" i="1" s="1"/>
  <c r="AM204" i="1"/>
  <c r="AM205" i="1"/>
  <c r="R300" i="1"/>
  <c r="R301" i="1" s="1"/>
  <c r="R101" i="1"/>
  <c r="R104" i="1" s="1"/>
  <c r="L725" i="1"/>
  <c r="L723" i="1"/>
  <c r="BU256" i="1"/>
  <c r="BU238" i="1"/>
  <c r="BU243" i="1" s="1"/>
  <c r="BM97" i="42" s="1"/>
  <c r="BU244" i="1"/>
  <c r="BU219" i="1"/>
  <c r="BU250" i="1"/>
  <c r="X51" i="4"/>
  <c r="BM25" i="42"/>
  <c r="AM365" i="1"/>
  <c r="AM367" i="1"/>
  <c r="R772" i="1"/>
  <c r="R771" i="1"/>
  <c r="D772" i="1"/>
  <c r="D771" i="1"/>
  <c r="AI569" i="1"/>
  <c r="AI568" i="1"/>
  <c r="V544" i="1"/>
  <c r="V549" i="1" s="1"/>
  <c r="V545" i="1"/>
  <c r="P228" i="1"/>
  <c r="P246" i="1"/>
  <c r="P270" i="1"/>
  <c r="P258" i="1"/>
  <c r="P264" i="1"/>
  <c r="P234" i="1"/>
  <c r="P222" i="1"/>
  <c r="P252" i="1"/>
  <c r="AK27" i="42"/>
  <c r="V695" i="1"/>
  <c r="V700" i="1"/>
  <c r="T259" i="1"/>
  <c r="T265" i="1"/>
  <c r="T271" i="1"/>
  <c r="T235" i="1"/>
  <c r="T247" i="1"/>
  <c r="T229" i="1"/>
  <c r="T248" i="1" s="1"/>
  <c r="T223" i="1"/>
  <c r="T253" i="1"/>
  <c r="AN28" i="42"/>
  <c r="F255" i="1"/>
  <c r="V233" i="1"/>
  <c r="V245" i="1"/>
  <c r="V257" i="1"/>
  <c r="V269" i="1"/>
  <c r="V263" i="1"/>
  <c r="V227" i="1"/>
  <c r="V221" i="1"/>
  <c r="V251" i="1"/>
  <c r="AP26" i="42"/>
  <c r="V573" i="1"/>
  <c r="P103" i="1"/>
  <c r="L395" i="1"/>
  <c r="L394" i="1"/>
  <c r="AI228" i="1"/>
  <c r="AI227" i="1"/>
  <c r="AI98" i="1"/>
  <c r="AI230" i="1"/>
  <c r="AI231" i="1"/>
  <c r="AI229" i="1"/>
  <c r="CZ38" i="4"/>
  <c r="CN38" i="4"/>
  <c r="K95" i="19"/>
  <c r="CA184" i="1"/>
  <c r="CA189" i="1"/>
  <c r="CA185" i="1"/>
  <c r="CA190" i="1"/>
  <c r="CA186" i="1"/>
  <c r="CA188" i="1"/>
  <c r="CA187" i="1"/>
  <c r="J238" i="1"/>
  <c r="J243" i="1" s="1"/>
  <c r="AE97" i="42" s="1"/>
  <c r="J244" i="1"/>
  <c r="J256" i="1"/>
  <c r="J219" i="1"/>
  <c r="J250" i="1"/>
  <c r="X12" i="4"/>
  <c r="AE25" i="42"/>
  <c r="BD190" i="1"/>
  <c r="BD191" i="1" s="1"/>
  <c r="BD181" i="1"/>
  <c r="BD184" i="1"/>
  <c r="BD186" i="1"/>
  <c r="BD187" i="1"/>
  <c r="BD185" i="1"/>
  <c r="BD183" i="1"/>
  <c r="BD182" i="1"/>
  <c r="EL14" i="4"/>
  <c r="EX14" i="4"/>
  <c r="J295" i="1"/>
  <c r="J293" i="1"/>
  <c r="AE43" i="42" s="1"/>
  <c r="J102" i="1"/>
  <c r="AE21" i="42"/>
  <c r="N229" i="1"/>
  <c r="N248" i="1" s="1"/>
  <c r="N235" i="1"/>
  <c r="N247" i="1"/>
  <c r="N265" i="1"/>
  <c r="N259" i="1"/>
  <c r="N271" i="1"/>
  <c r="N223" i="1"/>
  <c r="N253" i="1"/>
  <c r="AI28" i="42"/>
  <c r="R266" i="1"/>
  <c r="R272" i="1"/>
  <c r="R236" i="1"/>
  <c r="R230" i="1"/>
  <c r="R260" i="1"/>
  <c r="R224" i="1"/>
  <c r="R254" i="1"/>
  <c r="AL29" i="42"/>
  <c r="X492" i="1"/>
  <c r="X500" i="1" s="1"/>
  <c r="X493" i="1"/>
  <c r="BW300" i="1"/>
  <c r="BW301" i="1" s="1"/>
  <c r="BW101" i="1"/>
  <c r="BW104" i="1" s="1"/>
  <c r="BW157" i="1" s="1"/>
  <c r="BW158" i="1" s="1"/>
  <c r="AE104" i="1"/>
  <c r="AD22" i="30"/>
  <c r="BU265" i="1"/>
  <c r="BU247" i="1"/>
  <c r="BU229" i="1"/>
  <c r="BU248" i="1" s="1"/>
  <c r="BU235" i="1"/>
  <c r="BU271" i="1"/>
  <c r="BU259" i="1"/>
  <c r="BU223" i="1"/>
  <c r="BU253" i="1"/>
  <c r="BM28" i="42"/>
  <c r="AM370" i="1"/>
  <c r="AM372" i="1"/>
  <c r="BP85" i="42"/>
  <c r="J544" i="1"/>
  <c r="J554" i="1" s="1"/>
  <c r="P271" i="1"/>
  <c r="P235" i="1"/>
  <c r="P265" i="1"/>
  <c r="P229" i="1"/>
  <c r="P248" i="1" s="1"/>
  <c r="P247" i="1"/>
  <c r="P259" i="1"/>
  <c r="P223" i="1"/>
  <c r="P253" i="1"/>
  <c r="AK28" i="42"/>
  <c r="J771" i="1"/>
  <c r="J772" i="1"/>
  <c r="T300" i="1"/>
  <c r="T305" i="1" s="1"/>
  <c r="T101" i="1"/>
  <c r="T104" i="1" s="1"/>
  <c r="AL4" i="30"/>
  <c r="AL7" i="30"/>
  <c r="AL5" i="30"/>
  <c r="AL8" i="30"/>
  <c r="AL6" i="30"/>
  <c r="X238" i="1"/>
  <c r="X243" i="1" s="1"/>
  <c r="X244" i="1"/>
  <c r="X219" i="1"/>
  <c r="X256" i="1"/>
  <c r="X250" i="1"/>
  <c r="AR25" i="42"/>
  <c r="X24" i="4"/>
  <c r="CS15" i="4"/>
  <c r="DE15" i="4"/>
  <c r="P72" i="19"/>
  <c r="X103" i="1"/>
  <c r="T492" i="1"/>
  <c r="T499" i="1" s="1"/>
  <c r="CA321" i="1"/>
  <c r="CA322" i="1" s="1"/>
  <c r="BP33" i="42"/>
  <c r="AD53" i="4"/>
  <c r="CA307" i="1"/>
  <c r="CA112" i="1"/>
  <c r="CA109" i="1"/>
  <c r="CA107" i="1"/>
  <c r="CA108" i="1"/>
  <c r="CA110" i="1"/>
  <c r="CA111" i="1"/>
  <c r="J227" i="1"/>
  <c r="J233" i="1"/>
  <c r="J257" i="1"/>
  <c r="J269" i="1"/>
  <c r="J263" i="1"/>
  <c r="J245" i="1"/>
  <c r="J221" i="1"/>
  <c r="J251" i="1"/>
  <c r="AE26" i="42"/>
  <c r="BD112" i="1"/>
  <c r="BD113" i="1" s="1"/>
  <c r="BD104" i="1"/>
  <c r="BD108" i="1"/>
  <c r="BD107" i="1"/>
  <c r="BD105" i="1"/>
  <c r="BD106" i="1"/>
  <c r="BD109" i="1"/>
  <c r="CO14" i="4"/>
  <c r="L71" i="19"/>
  <c r="DA14" i="4"/>
  <c r="AE517" i="1"/>
  <c r="AE516" i="1"/>
  <c r="N230" i="1"/>
  <c r="N236" i="1"/>
  <c r="N266" i="1"/>
  <c r="N272" i="1"/>
  <c r="N260" i="1"/>
  <c r="N224" i="1"/>
  <c r="N254" i="1"/>
  <c r="AI29" i="42"/>
  <c r="R256" i="1"/>
  <c r="R238" i="1"/>
  <c r="R243" i="1" s="1"/>
  <c r="AL97" i="42" s="1"/>
  <c r="R244" i="1"/>
  <c r="R219" i="1"/>
  <c r="R250" i="1"/>
  <c r="AL25" i="42"/>
  <c r="X16" i="4"/>
  <c r="P547" i="1"/>
  <c r="BA8" i="4"/>
  <c r="BA33" i="4"/>
  <c r="AG6" i="4"/>
  <c r="AZ51" i="4"/>
  <c r="AA56" i="4"/>
  <c r="BB56" i="4"/>
  <c r="AA52" i="4"/>
  <c r="AZ22" i="4"/>
  <c r="BA10" i="4"/>
  <c r="BA51" i="4"/>
  <c r="AZ12" i="4"/>
  <c r="BC52" i="4"/>
  <c r="AZ54" i="4"/>
  <c r="BP12" i="4"/>
  <c r="AE46" i="4"/>
  <c r="AY52" i="4"/>
  <c r="AZ50" i="4"/>
  <c r="BP20" i="4"/>
  <c r="BP29" i="4"/>
  <c r="AZ5" i="4"/>
  <c r="BB52" i="4"/>
  <c r="L42" i="4"/>
  <c r="BA55" i="4"/>
  <c r="AZ16" i="4"/>
  <c r="AZ18" i="4"/>
  <c r="BP18" i="4"/>
  <c r="BA54" i="4"/>
  <c r="BC56" i="4"/>
  <c r="BA31" i="4"/>
  <c r="AE42" i="4"/>
  <c r="L46" i="4"/>
  <c r="AY56" i="4"/>
  <c r="BA16" i="4"/>
  <c r="AZ24" i="4"/>
  <c r="AZ55" i="4"/>
  <c r="AZ20" i="4"/>
  <c r="F545" i="1" l="1"/>
  <c r="BY165" i="1"/>
  <c r="R249" i="1"/>
  <c r="X494" i="1"/>
  <c r="BY166" i="1"/>
  <c r="R556" i="1"/>
  <c r="R555" i="1" s="1"/>
  <c r="R557" i="1" s="1"/>
  <c r="P556" i="1"/>
  <c r="P555" i="1" s="1"/>
  <c r="P557" i="1" s="1"/>
  <c r="V547" i="1"/>
  <c r="V546" i="1"/>
  <c r="N572" i="1"/>
  <c r="AZ171" i="1"/>
  <c r="AZ149" i="1"/>
  <c r="AZ116" i="1"/>
  <c r="AZ118" i="1"/>
  <c r="AU69" i="42"/>
  <c r="CG32" i="4"/>
  <c r="V571" i="1"/>
  <c r="AZ167" i="1"/>
  <c r="AZ145" i="1"/>
  <c r="AZ151" i="1" s="1"/>
  <c r="AZ150" i="1" s="1"/>
  <c r="AZ121" i="1"/>
  <c r="CF32" i="4"/>
  <c r="AU64" i="42"/>
  <c r="AZ166" i="1"/>
  <c r="AZ147" i="1"/>
  <c r="AZ115" i="1"/>
  <c r="V572" i="1"/>
  <c r="AZ123" i="1"/>
  <c r="T493" i="1"/>
  <c r="N573" i="1"/>
  <c r="V548" i="1"/>
  <c r="N519" i="1"/>
  <c r="P571" i="1"/>
  <c r="AG409" i="1"/>
  <c r="AG408" i="1"/>
  <c r="AG404" i="1"/>
  <c r="AG405" i="1" s="1"/>
  <c r="AG406" i="1"/>
  <c r="AG407" i="1" s="1"/>
  <c r="T501" i="1"/>
  <c r="N571" i="1"/>
  <c r="D550" i="1"/>
  <c r="EL32" i="4"/>
  <c r="EX32" i="4"/>
  <c r="AG361" i="1"/>
  <c r="AG359" i="1"/>
  <c r="CA32" i="4"/>
  <c r="AU61" i="42"/>
  <c r="D495" i="1"/>
  <c r="J552" i="1"/>
  <c r="F773" i="1"/>
  <c r="D501" i="1"/>
  <c r="T582" i="1"/>
  <c r="T581" i="1" s="1"/>
  <c r="AI544" i="1"/>
  <c r="AI545" i="1" s="1"/>
  <c r="AI550" i="1" s="1"/>
  <c r="N579" i="1"/>
  <c r="N527" i="1"/>
  <c r="D548" i="1"/>
  <c r="AG356" i="1"/>
  <c r="AG354" i="1"/>
  <c r="AZ124" i="1"/>
  <c r="AZ126" i="1" s="1"/>
  <c r="AZ125" i="1"/>
  <c r="AZ191" i="1"/>
  <c r="AZ201" i="1" s="1"/>
  <c r="AZ192" i="1"/>
  <c r="AZ193" i="1"/>
  <c r="AZ194" i="1"/>
  <c r="AZ174" i="1"/>
  <c r="H528" i="1"/>
  <c r="N521" i="1"/>
  <c r="D549" i="1"/>
  <c r="V301" i="1"/>
  <c r="AG570" i="1"/>
  <c r="N524" i="1"/>
  <c r="F553" i="1"/>
  <c r="F498" i="1"/>
  <c r="N522" i="1"/>
  <c r="D553" i="1"/>
  <c r="D498" i="1"/>
  <c r="H524" i="1"/>
  <c r="P773" i="1"/>
  <c r="F582" i="1"/>
  <c r="N773" i="1"/>
  <c r="N525" i="1"/>
  <c r="D554" i="1"/>
  <c r="D493" i="1"/>
  <c r="H525" i="1"/>
  <c r="N520" i="1"/>
  <c r="H543" i="1"/>
  <c r="H520" i="1"/>
  <c r="AG518" i="1"/>
  <c r="N526" i="1"/>
  <c r="F551" i="1"/>
  <c r="J545" i="1"/>
  <c r="X496" i="1"/>
  <c r="L396" i="1"/>
  <c r="H521" i="1"/>
  <c r="F502" i="1"/>
  <c r="H489" i="1"/>
  <c r="H490" i="1"/>
  <c r="H695" i="1"/>
  <c r="H700" i="1"/>
  <c r="T498" i="1"/>
  <c r="J530" i="1"/>
  <c r="H523" i="1"/>
  <c r="F496" i="1"/>
  <c r="D552" i="1"/>
  <c r="D496" i="1"/>
  <c r="R524" i="1"/>
  <c r="T495" i="1"/>
  <c r="J548" i="1"/>
  <c r="X502" i="1"/>
  <c r="V578" i="1"/>
  <c r="BY167" i="1"/>
  <c r="H519" i="1"/>
  <c r="F500" i="1"/>
  <c r="P519" i="1"/>
  <c r="D502" i="1"/>
  <c r="R525" i="1"/>
  <c r="R520" i="1"/>
  <c r="H492" i="1"/>
  <c r="H493" i="1" s="1"/>
  <c r="H502" i="1"/>
  <c r="H495" i="1"/>
  <c r="P301" i="1"/>
  <c r="P520" i="1"/>
  <c r="H567" i="1"/>
  <c r="H568" i="1"/>
  <c r="J550" i="1"/>
  <c r="X495" i="1"/>
  <c r="BU255" i="1"/>
  <c r="P524" i="1"/>
  <c r="J549" i="1"/>
  <c r="J553" i="1"/>
  <c r="X499" i="1"/>
  <c r="R582" i="1"/>
  <c r="R581" i="1" s="1"/>
  <c r="R583" i="1" s="1"/>
  <c r="F499" i="1"/>
  <c r="BD361" i="1"/>
  <c r="BG108" i="42"/>
  <c r="AV179" i="1"/>
  <c r="AV180" i="1" s="1"/>
  <c r="L170" i="1"/>
  <c r="BB290" i="1"/>
  <c r="BF43" i="42" s="1"/>
  <c r="BB175" i="1"/>
  <c r="BB170" i="1"/>
  <c r="BB120" i="1"/>
  <c r="BB280" i="1"/>
  <c r="BF42" i="42" s="1"/>
  <c r="BB291" i="1"/>
  <c r="BB169" i="1"/>
  <c r="BB119" i="1"/>
  <c r="BB176" i="1"/>
  <c r="BB117" i="1"/>
  <c r="BB121" i="1"/>
  <c r="BB116" i="1"/>
  <c r="BB124" i="1"/>
  <c r="BB114" i="1"/>
  <c r="BB166" i="1"/>
  <c r="BF21" i="42"/>
  <c r="BB123" i="1"/>
  <c r="BB118" i="1"/>
  <c r="BB167" i="1"/>
  <c r="BB177" i="1"/>
  <c r="BB172" i="1"/>
  <c r="BB174" i="1"/>
  <c r="BB178" i="1"/>
  <c r="BB122" i="1"/>
  <c r="BB292" i="1"/>
  <c r="BB115" i="1"/>
  <c r="BB171" i="1"/>
  <c r="BB126" i="1"/>
  <c r="BB173" i="1"/>
  <c r="BB293" i="1"/>
  <c r="BF14" i="42"/>
  <c r="BB125" i="1"/>
  <c r="BB168" i="1"/>
  <c r="T24" i="31"/>
  <c r="R24" i="31"/>
  <c r="BJ324" i="1"/>
  <c r="BJ51" i="42"/>
  <c r="BJ43" i="1"/>
  <c r="BJ46" i="1"/>
  <c r="BJ45" i="1"/>
  <c r="BJ44" i="1"/>
  <c r="BJ42" i="1"/>
  <c r="BJ47" i="1"/>
  <c r="BJ102" i="42" s="1"/>
  <c r="T502" i="1"/>
  <c r="X501" i="1"/>
  <c r="V574" i="1"/>
  <c r="V551" i="1"/>
  <c r="R305" i="1"/>
  <c r="BU157" i="1"/>
  <c r="BU158" i="1" s="1"/>
  <c r="BU164" i="1" s="1"/>
  <c r="N523" i="1"/>
  <c r="F552" i="1"/>
  <c r="F547" i="1"/>
  <c r="P573" i="1"/>
  <c r="P523" i="1"/>
  <c r="L173" i="1"/>
  <c r="V517" i="1"/>
  <c r="V518" i="1" s="1"/>
  <c r="BJ177" i="1"/>
  <c r="BJ168" i="1"/>
  <c r="BJ116" i="1"/>
  <c r="BJ120" i="1"/>
  <c r="BJ169" i="1"/>
  <c r="BJ123" i="1"/>
  <c r="BJ178" i="1"/>
  <c r="BJ114" i="1"/>
  <c r="BJ170" i="1"/>
  <c r="BJ115" i="1"/>
  <c r="BJ293" i="1"/>
  <c r="BJ173" i="1"/>
  <c r="BJ125" i="1"/>
  <c r="BJ121" i="1"/>
  <c r="BJ167" i="1"/>
  <c r="BJ292" i="1"/>
  <c r="BJ290" i="1"/>
  <c r="BJ43" i="42" s="1"/>
  <c r="BJ124" i="1"/>
  <c r="BJ118" i="1"/>
  <c r="BJ171" i="1"/>
  <c r="BJ291" i="1"/>
  <c r="BJ166" i="1"/>
  <c r="BJ172" i="1"/>
  <c r="BJ14" i="42"/>
  <c r="BJ21" i="42"/>
  <c r="BJ117" i="1"/>
  <c r="BJ122" i="1"/>
  <c r="BJ119" i="1"/>
  <c r="BJ176" i="1"/>
  <c r="BJ280" i="1"/>
  <c r="BJ42" i="42" s="1"/>
  <c r="BJ126" i="1"/>
  <c r="BJ175" i="1"/>
  <c r="BJ174" i="1"/>
  <c r="BB44" i="1"/>
  <c r="BB42" i="1"/>
  <c r="BB45" i="1"/>
  <c r="BB46" i="1"/>
  <c r="BB47" i="1"/>
  <c r="BF102" i="42" s="1"/>
  <c r="BB43" i="1"/>
  <c r="P577" i="1"/>
  <c r="L175" i="1"/>
  <c r="BJ63" i="1"/>
  <c r="BJ71" i="1" s="1"/>
  <c r="BJ60" i="1"/>
  <c r="BJ68" i="1" s="1"/>
  <c r="BJ62" i="1"/>
  <c r="BJ70" i="1" s="1"/>
  <c r="BJ64" i="1"/>
  <c r="BJ72" i="1" s="1"/>
  <c r="BJ61" i="1"/>
  <c r="BJ69" i="1" s="1"/>
  <c r="BJ65" i="1"/>
  <c r="BJ59" i="1"/>
  <c r="BJ382" i="1"/>
  <c r="BJ65" i="42" s="1"/>
  <c r="BJ381" i="1"/>
  <c r="BJ378" i="1"/>
  <c r="BJ379" i="1" s="1"/>
  <c r="BJ72" i="42" s="1"/>
  <c r="BB329" i="1"/>
  <c r="BB331" i="1"/>
  <c r="BB332" i="1" s="1"/>
  <c r="BB327" i="1"/>
  <c r="BB328" i="1" s="1"/>
  <c r="BB325" i="1"/>
  <c r="BF92" i="42"/>
  <c r="X255" i="1"/>
  <c r="X303" i="1" s="1"/>
  <c r="AR87" i="42" s="1"/>
  <c r="BW305" i="1"/>
  <c r="J255" i="1"/>
  <c r="J299" i="1" s="1"/>
  <c r="F550" i="1"/>
  <c r="BU305" i="1"/>
  <c r="P572" i="1"/>
  <c r="AE544" i="1"/>
  <c r="P521" i="1"/>
  <c r="L172" i="1"/>
  <c r="J502" i="1"/>
  <c r="D500" i="1"/>
  <c r="BB382" i="1"/>
  <c r="BF65" i="42" s="1"/>
  <c r="BB381" i="1"/>
  <c r="BB378" i="1"/>
  <c r="BB379" i="1" s="1"/>
  <c r="BF72" i="42" s="1"/>
  <c r="BF51" i="42"/>
  <c r="BB324" i="1"/>
  <c r="X518" i="1"/>
  <c r="X521" i="1" s="1"/>
  <c r="F546" i="1"/>
  <c r="L169" i="1"/>
  <c r="J494" i="1"/>
  <c r="T494" i="1"/>
  <c r="N301" i="1"/>
  <c r="CC255" i="1"/>
  <c r="F554" i="1"/>
  <c r="AE596" i="1"/>
  <c r="L177" i="1"/>
  <c r="J498" i="1"/>
  <c r="R527" i="1"/>
  <c r="R521" i="1"/>
  <c r="R523" i="1"/>
  <c r="R255" i="1"/>
  <c r="R303" i="1" s="1"/>
  <c r="AL87" i="42" s="1"/>
  <c r="T500" i="1"/>
  <c r="X249" i="1"/>
  <c r="J547" i="1"/>
  <c r="X498" i="1"/>
  <c r="AV102" i="1"/>
  <c r="AV103" i="1" s="1"/>
  <c r="AV106" i="1" s="1"/>
  <c r="V577" i="1"/>
  <c r="F548" i="1"/>
  <c r="J301" i="1"/>
  <c r="P580" i="1"/>
  <c r="L176" i="1"/>
  <c r="L174" i="1"/>
  <c r="J501" i="1"/>
  <c r="D547" i="1"/>
  <c r="D499" i="1"/>
  <c r="BB64" i="1"/>
  <c r="BB72" i="1" s="1"/>
  <c r="BB62" i="1"/>
  <c r="BB70" i="1" s="1"/>
  <c r="BB63" i="1"/>
  <c r="BB71" i="1" s="1"/>
  <c r="BB65" i="1"/>
  <c r="BB59" i="1"/>
  <c r="BB61" i="1"/>
  <c r="BB69" i="1" s="1"/>
  <c r="BB60" i="1"/>
  <c r="BB68" i="1" s="1"/>
  <c r="CW57" i="7"/>
  <c r="DX57" i="7" s="1"/>
  <c r="DG57" i="7"/>
  <c r="DY57" i="7" s="1"/>
  <c r="R528" i="1"/>
  <c r="R526" i="1"/>
  <c r="T496" i="1"/>
  <c r="D773" i="1"/>
  <c r="BW249" i="1"/>
  <c r="BN33" i="42" s="1"/>
  <c r="L773" i="1"/>
  <c r="L774" i="1" s="1"/>
  <c r="L776" i="1" s="1"/>
  <c r="CH15" i="4" s="1"/>
  <c r="L349" i="1"/>
  <c r="L361" i="1" s="1"/>
  <c r="L363" i="1" s="1"/>
  <c r="P579" i="1"/>
  <c r="P522" i="1"/>
  <c r="L178" i="1"/>
  <c r="J495" i="1"/>
  <c r="R25" i="31"/>
  <c r="T25" i="31"/>
  <c r="BJ92" i="42"/>
  <c r="BJ327" i="1"/>
  <c r="BJ328" i="1" s="1"/>
  <c r="BJ329" i="1"/>
  <c r="BJ331" i="1"/>
  <c r="BJ332" i="1" s="1"/>
  <c r="BJ325" i="1"/>
  <c r="AM363" i="1"/>
  <c r="AG596" i="1"/>
  <c r="AI570" i="1"/>
  <c r="AI571" i="1" s="1"/>
  <c r="AI579" i="1" s="1"/>
  <c r="T583" i="1"/>
  <c r="T584" i="1"/>
  <c r="BM47" i="42"/>
  <c r="CH298" i="1"/>
  <c r="R584" i="1"/>
  <c r="J529" i="1"/>
  <c r="BN47" i="42"/>
  <c r="CA311" i="1"/>
  <c r="CA316" i="1"/>
  <c r="CA314" i="1"/>
  <c r="CA308" i="1"/>
  <c r="BP93" i="42" s="1"/>
  <c r="CA313" i="1"/>
  <c r="CA426" i="1"/>
  <c r="CA315" i="1"/>
  <c r="CA310" i="1"/>
  <c r="AR97" i="42"/>
  <c r="T301" i="1"/>
  <c r="AE518" i="1"/>
  <c r="J546" i="1"/>
  <c r="AI259" i="1"/>
  <c r="AI247" i="1"/>
  <c r="AI277" i="1"/>
  <c r="AI271" i="1"/>
  <c r="AI241" i="1"/>
  <c r="AI283" i="1"/>
  <c r="AI235" i="1"/>
  <c r="AI265" i="1"/>
  <c r="AV27" i="42"/>
  <c r="V580" i="1"/>
  <c r="V552" i="1"/>
  <c r="X525" i="1"/>
  <c r="AL46" i="42"/>
  <c r="CA166" i="1"/>
  <c r="CA165" i="1"/>
  <c r="X301" i="1"/>
  <c r="DE34" i="4"/>
  <c r="CS34" i="4"/>
  <c r="P91" i="19"/>
  <c r="BR86" i="42"/>
  <c r="BO86" i="42"/>
  <c r="F581" i="1"/>
  <c r="H109" i="1"/>
  <c r="H110" i="1"/>
  <c r="H111" i="1"/>
  <c r="H112" i="1"/>
  <c r="H107" i="1"/>
  <c r="H108" i="1"/>
  <c r="BY333" i="1"/>
  <c r="BY334" i="1" s="1"/>
  <c r="BY327" i="1"/>
  <c r="BY331" i="1"/>
  <c r="BO92" i="42"/>
  <c r="BR92" i="42"/>
  <c r="BU130" i="1"/>
  <c r="BU131" i="1" s="1"/>
  <c r="BU105" i="1"/>
  <c r="BU106" i="1" s="1"/>
  <c r="BU182" i="1"/>
  <c r="BU183" i="1" s="1"/>
  <c r="BD394" i="1"/>
  <c r="F494" i="1"/>
  <c r="V255" i="1"/>
  <c r="P576" i="1"/>
  <c r="D570" i="1"/>
  <c r="D574" i="1" s="1"/>
  <c r="P526" i="1"/>
  <c r="P528" i="1"/>
  <c r="BF253" i="1"/>
  <c r="BF241" i="1"/>
  <c r="BF216" i="1"/>
  <c r="BF235" i="1"/>
  <c r="BF240" i="1" s="1"/>
  <c r="BF247" i="1"/>
  <c r="BH25" i="42"/>
  <c r="X44" i="4"/>
  <c r="J500" i="1"/>
  <c r="D229" i="1"/>
  <c r="D248" i="1" s="1"/>
  <c r="D247" i="1"/>
  <c r="D235" i="1"/>
  <c r="D265" i="1"/>
  <c r="D259" i="1"/>
  <c r="D271" i="1"/>
  <c r="D223" i="1"/>
  <c r="D253" i="1"/>
  <c r="Y28" i="42"/>
  <c r="N576" i="1"/>
  <c r="D546" i="1"/>
  <c r="AL33" i="42"/>
  <c r="AD16" i="4"/>
  <c r="R307" i="1"/>
  <c r="AN46" i="42"/>
  <c r="AI243" i="1"/>
  <c r="AI285" i="1"/>
  <c r="AI249" i="1"/>
  <c r="AI279" i="1"/>
  <c r="AI273" i="1"/>
  <c r="AI237" i="1"/>
  <c r="AI267" i="1"/>
  <c r="AV29" i="42"/>
  <c r="V767" i="1"/>
  <c r="V768" i="1" s="1"/>
  <c r="V769" i="1"/>
  <c r="V770" i="1" s="1"/>
  <c r="AL47" i="42"/>
  <c r="DF43" i="4"/>
  <c r="CT43" i="4"/>
  <c r="Q100" i="19"/>
  <c r="AR46" i="42"/>
  <c r="AE222" i="1"/>
  <c r="AE313" i="1"/>
  <c r="AT96" i="42"/>
  <c r="AE317" i="1"/>
  <c r="AE316" i="1"/>
  <c r="BO87" i="42"/>
  <c r="BR87" i="42"/>
  <c r="BR85" i="42"/>
  <c r="BO85" i="42"/>
  <c r="AP47" i="42"/>
  <c r="AP46" i="42"/>
  <c r="H136" i="1"/>
  <c r="H137" i="1"/>
  <c r="H138" i="1"/>
  <c r="H132" i="1"/>
  <c r="H133" i="1"/>
  <c r="H134" i="1"/>
  <c r="H135" i="1"/>
  <c r="AI518" i="1"/>
  <c r="F495" i="1"/>
  <c r="AP97" i="42"/>
  <c r="P574" i="1"/>
  <c r="P578" i="1"/>
  <c r="AE571" i="1"/>
  <c r="AE578" i="1" s="1"/>
  <c r="BF224" i="1"/>
  <c r="BF242" i="1"/>
  <c r="BF254" i="1"/>
  <c r="BF218" i="1"/>
  <c r="BF260" i="1"/>
  <c r="BF230" i="1"/>
  <c r="BF266" i="1"/>
  <c r="BF248" i="1"/>
  <c r="BH26" i="42"/>
  <c r="D300" i="1"/>
  <c r="D305" i="1" s="1"/>
  <c r="D101" i="1"/>
  <c r="D104" i="1" s="1"/>
  <c r="N580" i="1"/>
  <c r="D103" i="1"/>
  <c r="J249" i="1"/>
  <c r="AI242" i="1"/>
  <c r="AI261" i="1" s="1"/>
  <c r="AI260" i="1"/>
  <c r="AI284" i="1"/>
  <c r="AI278" i="1"/>
  <c r="AI248" i="1"/>
  <c r="AI272" i="1"/>
  <c r="AI236" i="1"/>
  <c r="AI266" i="1"/>
  <c r="AV28" i="42"/>
  <c r="V771" i="1"/>
  <c r="V772" i="1"/>
  <c r="BU299" i="1"/>
  <c r="BM96" i="42"/>
  <c r="BU303" i="1"/>
  <c r="BU302" i="1"/>
  <c r="CC182" i="1"/>
  <c r="CC183" i="1" s="1"/>
  <c r="CC130" i="1"/>
  <c r="CC131" i="1" s="1"/>
  <c r="CC105" i="1"/>
  <c r="CC106" i="1" s="1"/>
  <c r="L397" i="1"/>
  <c r="L399" i="1" s="1"/>
  <c r="CH14" i="4" s="1"/>
  <c r="X543" i="1"/>
  <c r="D518" i="1"/>
  <c r="D525" i="1" s="1"/>
  <c r="AI596" i="1"/>
  <c r="CA273" i="1"/>
  <c r="CA261" i="1"/>
  <c r="BP63" i="42"/>
  <c r="CA297" i="1"/>
  <c r="CA232" i="1"/>
  <c r="CA237" i="1" s="1"/>
  <c r="CA220" i="1"/>
  <c r="CA225" i="1" s="1"/>
  <c r="CA226" i="1"/>
  <c r="CA231" i="1" s="1"/>
  <c r="CA262" i="1"/>
  <c r="CA267" i="1" s="1"/>
  <c r="F518" i="1"/>
  <c r="F525" i="1" s="1"/>
  <c r="BY210" i="1"/>
  <c r="BY211" i="1"/>
  <c r="BY268" i="1" s="1"/>
  <c r="AG597" i="1"/>
  <c r="AG605" i="1" s="1"/>
  <c r="AE47" i="42"/>
  <c r="AE46" i="42"/>
  <c r="AO109" i="1"/>
  <c r="AL11" i="30"/>
  <c r="AL22" i="30" s="1"/>
  <c r="BF73" i="1"/>
  <c r="BY191" i="1"/>
  <c r="BY192" i="1"/>
  <c r="CT38" i="4"/>
  <c r="DF38" i="4"/>
  <c r="Q95" i="19"/>
  <c r="D236" i="1"/>
  <c r="D230" i="1"/>
  <c r="D266" i="1"/>
  <c r="D260" i="1"/>
  <c r="D272" i="1"/>
  <c r="D224" i="1"/>
  <c r="D254" i="1"/>
  <c r="Y29" i="42"/>
  <c r="AT47" i="42"/>
  <c r="BW164" i="1"/>
  <c r="BW159" i="1"/>
  <c r="BW160" i="1"/>
  <c r="BW162" i="1"/>
  <c r="BW163" i="1"/>
  <c r="BW161" i="1"/>
  <c r="BN46" i="42"/>
  <c r="BQ47" i="42"/>
  <c r="BD137" i="1"/>
  <c r="BD136" i="1"/>
  <c r="BW299" i="1"/>
  <c r="BN96" i="42"/>
  <c r="BW302" i="1"/>
  <c r="BW303" i="1"/>
  <c r="CC249" i="1"/>
  <c r="CC209" i="1" s="1"/>
  <c r="CN15" i="4"/>
  <c r="K72" i="19"/>
  <c r="CZ15" i="4"/>
  <c r="DF34" i="4"/>
  <c r="Q91" i="19"/>
  <c r="CT34" i="4"/>
  <c r="N530" i="1"/>
  <c r="N529" i="1" s="1"/>
  <c r="BY311" i="1"/>
  <c r="BY314" i="1"/>
  <c r="BY316" i="1"/>
  <c r="BY308" i="1"/>
  <c r="BY426" i="1"/>
  <c r="BY310" i="1"/>
  <c r="BY313" i="1"/>
  <c r="BY315" i="1"/>
  <c r="P249" i="1"/>
  <c r="AK410" i="1"/>
  <c r="AK411" i="1" s="1"/>
  <c r="AK413" i="1" s="1"/>
  <c r="CH38" i="4" s="1"/>
  <c r="F159" i="1"/>
  <c r="F161" i="1"/>
  <c r="F164" i="1"/>
  <c r="F162" i="1"/>
  <c r="F160" i="1"/>
  <c r="F163" i="1"/>
  <c r="CS14" i="4"/>
  <c r="DE14" i="4"/>
  <c r="P71" i="19"/>
  <c r="T249" i="1"/>
  <c r="BY114" i="1"/>
  <c r="BY113" i="1"/>
  <c r="AE545" i="1"/>
  <c r="AE551" i="1" s="1"/>
  <c r="AE547" i="1"/>
  <c r="P527" i="1"/>
  <c r="P530" i="1" s="1"/>
  <c r="J496" i="1"/>
  <c r="J773" i="1"/>
  <c r="AI314" i="1"/>
  <c r="AI319" i="1" s="1"/>
  <c r="AI108" i="1"/>
  <c r="AI112" i="1"/>
  <c r="AI101" i="1"/>
  <c r="AI104" i="1" s="1"/>
  <c r="AI111" i="1"/>
  <c r="AV39" i="42" s="1"/>
  <c r="CA113" i="1"/>
  <c r="CA114" i="1"/>
  <c r="BP92" i="42"/>
  <c r="CA327" i="1"/>
  <c r="CA331" i="1"/>
  <c r="CA333" i="1"/>
  <c r="CA334" i="1" s="1"/>
  <c r="BU53" i="4" s="1"/>
  <c r="J551" i="1"/>
  <c r="CA191" i="1"/>
  <c r="CA192" i="1"/>
  <c r="AI251" i="1"/>
  <c r="AI256" i="1" s="1"/>
  <c r="AV97" i="42" s="1"/>
  <c r="AI257" i="1"/>
  <c r="AI269" i="1"/>
  <c r="AI232" i="1"/>
  <c r="AI263" i="1"/>
  <c r="AV25" i="42"/>
  <c r="X29" i="4"/>
  <c r="AV181" i="1"/>
  <c r="AV186" i="1"/>
  <c r="AV187" i="1"/>
  <c r="AV182" i="1"/>
  <c r="AV184" i="1"/>
  <c r="AV185" i="1"/>
  <c r="AV183" i="1"/>
  <c r="V575" i="1"/>
  <c r="V579" i="1"/>
  <c r="V554" i="1"/>
  <c r="AM374" i="1"/>
  <c r="L732" i="1"/>
  <c r="L744" i="1" s="1"/>
  <c r="N157" i="1"/>
  <c r="N158" i="1" s="1"/>
  <c r="N105" i="1"/>
  <c r="N106" i="1" s="1"/>
  <c r="N130" i="1"/>
  <c r="N131" i="1" s="1"/>
  <c r="N182" i="1"/>
  <c r="N183" i="1" s="1"/>
  <c r="P182" i="1"/>
  <c r="P183" i="1" s="1"/>
  <c r="P157" i="1"/>
  <c r="P158" i="1" s="1"/>
  <c r="P105" i="1"/>
  <c r="P106" i="1" s="1"/>
  <c r="P130" i="1"/>
  <c r="P131" i="1" s="1"/>
  <c r="AE325" i="1"/>
  <c r="AE330" i="1"/>
  <c r="AE328" i="1"/>
  <c r="AE327" i="1"/>
  <c r="AE322" i="1"/>
  <c r="AT93" i="42" s="1"/>
  <c r="AE329" i="1"/>
  <c r="AE412" i="1"/>
  <c r="AE324" i="1"/>
  <c r="N255" i="1"/>
  <c r="F132" i="1"/>
  <c r="F137" i="1"/>
  <c r="F134" i="1"/>
  <c r="F136" i="1"/>
  <c r="F135" i="1"/>
  <c r="F138" i="1"/>
  <c r="F133" i="1"/>
  <c r="BY140" i="1"/>
  <c r="BY139" i="1"/>
  <c r="F501" i="1"/>
  <c r="V249" i="1"/>
  <c r="T255" i="1"/>
  <c r="P582" i="1"/>
  <c r="P581" i="1" s="1"/>
  <c r="BD389" i="1"/>
  <c r="DQ43" i="4"/>
  <c r="J499" i="1"/>
  <c r="N577" i="1"/>
  <c r="N578" i="1"/>
  <c r="D551" i="1"/>
  <c r="AI258" i="1"/>
  <c r="AI240" i="1"/>
  <c r="AI246" i="1"/>
  <c r="AI276" i="1"/>
  <c r="AI270" i="1"/>
  <c r="AI282" i="1"/>
  <c r="AI234" i="1"/>
  <c r="AI264" i="1"/>
  <c r="AV26" i="42"/>
  <c r="AV129" i="1"/>
  <c r="AV135" i="1"/>
  <c r="AV132" i="1"/>
  <c r="AV133" i="1"/>
  <c r="AV131" i="1"/>
  <c r="AV130" i="1"/>
  <c r="AV134" i="1"/>
  <c r="AI47" i="42"/>
  <c r="CC157" i="1"/>
  <c r="CC158" i="1" s="1"/>
  <c r="X302" i="1"/>
  <c r="AK47" i="42"/>
  <c r="DE38" i="4"/>
  <c r="CS38" i="4"/>
  <c r="P95" i="19"/>
  <c r="CC299" i="1"/>
  <c r="BQ96" i="42"/>
  <c r="CC303" i="1"/>
  <c r="CC302" i="1"/>
  <c r="AG519" i="1"/>
  <c r="AG526" i="1" s="1"/>
  <c r="N249" i="1"/>
  <c r="F187" i="1"/>
  <c r="F188" i="1"/>
  <c r="F189" i="1"/>
  <c r="F190" i="1"/>
  <c r="F184" i="1"/>
  <c r="F185" i="1"/>
  <c r="F186" i="1"/>
  <c r="BU249" i="1"/>
  <c r="BU209" i="1" s="1"/>
  <c r="AE597" i="1"/>
  <c r="AE604" i="1" s="1"/>
  <c r="AE600" i="1"/>
  <c r="AE599" i="1"/>
  <c r="AE598" i="1"/>
  <c r="CZ34" i="4"/>
  <c r="K91" i="19"/>
  <c r="CN34" i="4"/>
  <c r="BF227" i="1"/>
  <c r="BF257" i="1"/>
  <c r="BF245" i="1"/>
  <c r="BF221" i="1"/>
  <c r="BF263" i="1"/>
  <c r="BF233" i="1"/>
  <c r="BF269" i="1"/>
  <c r="BF251" i="1"/>
  <c r="L294" i="1"/>
  <c r="L296" i="1" s="1"/>
  <c r="D238" i="1"/>
  <c r="D243" i="1" s="1"/>
  <c r="Y97" i="42" s="1"/>
  <c r="D219" i="1"/>
  <c r="D244" i="1"/>
  <c r="D256" i="1"/>
  <c r="D250" i="1"/>
  <c r="X6" i="4"/>
  <c r="Y25" i="42"/>
  <c r="N575" i="1"/>
  <c r="R299" i="1"/>
  <c r="R209" i="1"/>
  <c r="AL96" i="42"/>
  <c r="BD111" i="1"/>
  <c r="BD110" i="1"/>
  <c r="AD25" i="30"/>
  <c r="AD28" i="30" s="1"/>
  <c r="AD27" i="30"/>
  <c r="AD29" i="30" s="1"/>
  <c r="AR33" i="42"/>
  <c r="AD24" i="4"/>
  <c r="X307" i="1"/>
  <c r="T157" i="1"/>
  <c r="T158" i="1" s="1"/>
  <c r="T105" i="1"/>
  <c r="T106" i="1" s="1"/>
  <c r="T130" i="1"/>
  <c r="T131" i="1" s="1"/>
  <c r="T182" i="1"/>
  <c r="T183" i="1" s="1"/>
  <c r="AE170" i="1"/>
  <c r="AE171" i="1" s="1"/>
  <c r="AE118" i="1"/>
  <c r="AE119" i="1" s="1"/>
  <c r="AE195" i="1"/>
  <c r="AE196" i="1" s="1"/>
  <c r="AE143" i="1"/>
  <c r="AE144" i="1" s="1"/>
  <c r="V553" i="1"/>
  <c r="R773" i="1"/>
  <c r="R105" i="1"/>
  <c r="R106" i="1" s="1"/>
  <c r="R182" i="1"/>
  <c r="R183" i="1" s="1"/>
  <c r="R157" i="1"/>
  <c r="R158" i="1" s="1"/>
  <c r="R130" i="1"/>
  <c r="R131" i="1" s="1"/>
  <c r="BQ46" i="42"/>
  <c r="BY168" i="1"/>
  <c r="BY177" i="1" s="1"/>
  <c r="BY174" i="1"/>
  <c r="BY169" i="1"/>
  <c r="BY170" i="1"/>
  <c r="BY175" i="1"/>
  <c r="BY176" i="1"/>
  <c r="BY172" i="1"/>
  <c r="BY173" i="1"/>
  <c r="BY178" i="1"/>
  <c r="X105" i="1"/>
  <c r="X106" i="1" s="1"/>
  <c r="X182" i="1"/>
  <c r="X183" i="1" s="1"/>
  <c r="X130" i="1"/>
  <c r="X131" i="1" s="1"/>
  <c r="X157" i="1"/>
  <c r="X158" i="1" s="1"/>
  <c r="AA33" i="42"/>
  <c r="Q39" i="42" s="1"/>
  <c r="AD8" i="4"/>
  <c r="F307" i="1"/>
  <c r="AD10" i="4"/>
  <c r="AC33" i="42"/>
  <c r="H307" i="1"/>
  <c r="S36" i="42"/>
  <c r="S52" i="42"/>
  <c r="X769" i="1"/>
  <c r="X770" i="1" s="1"/>
  <c r="X767" i="1"/>
  <c r="X768" i="1" s="1"/>
  <c r="CS43" i="4"/>
  <c r="P100" i="19"/>
  <c r="DE43" i="4"/>
  <c r="V105" i="1"/>
  <c r="V106" i="1" s="1"/>
  <c r="V182" i="1"/>
  <c r="V183" i="1" s="1"/>
  <c r="V130" i="1"/>
  <c r="V131" i="1" s="1"/>
  <c r="V157" i="1"/>
  <c r="V158" i="1" s="1"/>
  <c r="H163" i="1"/>
  <c r="H164" i="1"/>
  <c r="H159" i="1"/>
  <c r="H160" i="1"/>
  <c r="H161" i="1"/>
  <c r="H162" i="1"/>
  <c r="T529" i="1"/>
  <c r="P255" i="1"/>
  <c r="F112" i="1"/>
  <c r="F107" i="1"/>
  <c r="F108" i="1"/>
  <c r="F109" i="1"/>
  <c r="F110" i="1"/>
  <c r="F111" i="1"/>
  <c r="BM46" i="42"/>
  <c r="AG544" i="1"/>
  <c r="R302" i="1"/>
  <c r="H299" i="1"/>
  <c r="AC96" i="42"/>
  <c r="H209" i="1"/>
  <c r="H302" i="1"/>
  <c r="H303" i="1"/>
  <c r="BF244" i="1"/>
  <c r="BF256" i="1"/>
  <c r="BF226" i="1"/>
  <c r="BF232" i="1"/>
  <c r="BF220" i="1"/>
  <c r="BF262" i="1"/>
  <c r="BF268" i="1"/>
  <c r="BF250" i="1"/>
  <c r="BH28" i="42"/>
  <c r="X570" i="1"/>
  <c r="X577" i="1" s="1"/>
  <c r="D228" i="1"/>
  <c r="D234" i="1"/>
  <c r="D246" i="1"/>
  <c r="D258" i="1"/>
  <c r="D270" i="1"/>
  <c r="D264" i="1"/>
  <c r="D222" i="1"/>
  <c r="D252" i="1"/>
  <c r="Y27" i="42"/>
  <c r="X299" i="1"/>
  <c r="X209" i="1"/>
  <c r="AR96" i="42"/>
  <c r="BW105" i="1"/>
  <c r="BW106" i="1" s="1"/>
  <c r="BW182" i="1"/>
  <c r="BW183" i="1" s="1"/>
  <c r="BW130" i="1"/>
  <c r="BW131" i="1" s="1"/>
  <c r="BD189" i="1"/>
  <c r="BD188" i="1"/>
  <c r="AV156" i="1"/>
  <c r="AV157" i="1"/>
  <c r="AV158" i="1"/>
  <c r="AV159" i="1"/>
  <c r="AV160" i="1"/>
  <c r="AV161" i="1"/>
  <c r="F299" i="1"/>
  <c r="AA96" i="42"/>
  <c r="Q38" i="42" s="1"/>
  <c r="F209" i="1"/>
  <c r="F302" i="1"/>
  <c r="F303" i="1"/>
  <c r="V550" i="1"/>
  <c r="AI46" i="42"/>
  <c r="CC305" i="1"/>
  <c r="AI103" i="1"/>
  <c r="AI309" i="1"/>
  <c r="AI306" i="1"/>
  <c r="AV43" i="42" s="1"/>
  <c r="AI307" i="1"/>
  <c r="AI102" i="1"/>
  <c r="AV21" i="42"/>
  <c r="AK46" i="42"/>
  <c r="H530" i="1"/>
  <c r="H529" i="1" s="1"/>
  <c r="X772" i="1"/>
  <c r="X771" i="1"/>
  <c r="AM410" i="1"/>
  <c r="AM411" i="1" s="1"/>
  <c r="AM413" i="1" s="1"/>
  <c r="CH34" i="4" s="1"/>
  <c r="AG571" i="1"/>
  <c r="AG572" i="1" s="1"/>
  <c r="H189" i="1"/>
  <c r="H184" i="1"/>
  <c r="H188" i="1"/>
  <c r="H185" i="1"/>
  <c r="H186" i="1"/>
  <c r="H187" i="1"/>
  <c r="H190" i="1"/>
  <c r="Q71" i="19"/>
  <c r="CT14" i="4"/>
  <c r="DF14" i="4"/>
  <c r="J157" i="1"/>
  <c r="J158" i="1" s="1"/>
  <c r="J182" i="1"/>
  <c r="J183" i="1" s="1"/>
  <c r="J130" i="1"/>
  <c r="J131" i="1" s="1"/>
  <c r="J105" i="1"/>
  <c r="J106" i="1" s="1"/>
  <c r="BD163" i="1"/>
  <c r="BD162" i="1"/>
  <c r="CA139" i="1"/>
  <c r="CA140" i="1"/>
  <c r="BF225" i="1"/>
  <c r="BF255" i="1"/>
  <c r="BF243" i="1"/>
  <c r="BF261" i="1"/>
  <c r="BF219" i="1"/>
  <c r="BF231" i="1"/>
  <c r="BF267" i="1"/>
  <c r="BF249" i="1"/>
  <c r="BH27" i="42"/>
  <c r="D233" i="1"/>
  <c r="D227" i="1"/>
  <c r="D245" i="1"/>
  <c r="D257" i="1"/>
  <c r="D269" i="1"/>
  <c r="D263" i="1"/>
  <c r="D221" i="1"/>
  <c r="D251" i="1"/>
  <c r="Y26" i="42"/>
  <c r="D295" i="1"/>
  <c r="D102" i="1"/>
  <c r="D293" i="1"/>
  <c r="Y43" i="42" s="1"/>
  <c r="Y21" i="42"/>
  <c r="D90" i="1"/>
  <c r="BA22" i="4"/>
  <c r="AA31" i="4"/>
  <c r="AA28" i="4"/>
  <c r="BB8" i="4"/>
  <c r="AA54" i="4"/>
  <c r="BC54" i="4"/>
  <c r="AA16" i="4"/>
  <c r="AY16" i="4"/>
  <c r="AV14" i="4"/>
  <c r="BC10" i="4"/>
  <c r="BC55" i="4"/>
  <c r="AA12" i="4"/>
  <c r="AA55" i="4"/>
  <c r="BB24" i="4"/>
  <c r="AY8" i="4"/>
  <c r="BC24" i="4"/>
  <c r="AA51" i="4"/>
  <c r="AY12" i="4"/>
  <c r="BR46" i="4"/>
  <c r="BB51" i="4"/>
  <c r="AA8" i="4"/>
  <c r="AZ29" i="4"/>
  <c r="AY31" i="4"/>
  <c r="AY33" i="4"/>
  <c r="BA24" i="4"/>
  <c r="BB33" i="4"/>
  <c r="BB54" i="4"/>
  <c r="BC51" i="4"/>
  <c r="R46" i="4"/>
  <c r="BB31" i="4"/>
  <c r="BC8" i="4"/>
  <c r="BC33" i="4"/>
  <c r="AY10" i="4"/>
  <c r="AG29" i="4"/>
  <c r="BB10" i="4"/>
  <c r="AY54" i="4"/>
  <c r="BA20" i="4"/>
  <c r="AG46" i="4"/>
  <c r="BC31" i="4"/>
  <c r="BA5" i="4"/>
  <c r="AY55" i="4"/>
  <c r="BC16" i="4"/>
  <c r="BA18" i="4"/>
  <c r="AY24" i="4"/>
  <c r="AW53" i="4"/>
  <c r="BA50" i="4"/>
  <c r="R42" i="4"/>
  <c r="AA10" i="4"/>
  <c r="AA24" i="4"/>
  <c r="AY51" i="4"/>
  <c r="BA12" i="4"/>
  <c r="AZ6" i="4"/>
  <c r="AG42" i="4"/>
  <c r="AG44" i="4"/>
  <c r="BB16" i="4"/>
  <c r="BB55" i="4"/>
  <c r="BR42" i="4"/>
  <c r="BP6" i="4"/>
  <c r="AG108" i="42" l="1"/>
  <c r="AM375" i="1"/>
  <c r="BU163" i="1"/>
  <c r="AE572" i="1"/>
  <c r="BU162" i="1"/>
  <c r="BU161" i="1"/>
  <c r="AE96" i="42"/>
  <c r="J209" i="1"/>
  <c r="BW209" i="1"/>
  <c r="AD55" i="4"/>
  <c r="F556" i="1"/>
  <c r="F555" i="1" s="1"/>
  <c r="F557" i="1" s="1"/>
  <c r="J556" i="1"/>
  <c r="J555" i="1" s="1"/>
  <c r="J557" i="1" s="1"/>
  <c r="AV108" i="1"/>
  <c r="AV107" i="1"/>
  <c r="V556" i="1"/>
  <c r="V555" i="1" s="1"/>
  <c r="V557" i="1" s="1"/>
  <c r="AG410" i="1"/>
  <c r="AG411" i="1" s="1"/>
  <c r="AG413" i="1" s="1"/>
  <c r="CH32" i="4" s="1"/>
  <c r="GR32" i="4" s="1"/>
  <c r="BY171" i="1"/>
  <c r="DF32" i="4"/>
  <c r="Q89" i="19"/>
  <c r="CT32" i="4"/>
  <c r="AZ195" i="1"/>
  <c r="DE32" i="4"/>
  <c r="CS32" i="4"/>
  <c r="P89" i="19"/>
  <c r="D519" i="1"/>
  <c r="AG601" i="1"/>
  <c r="AE573" i="1"/>
  <c r="AI546" i="1"/>
  <c r="D573" i="1"/>
  <c r="AI547" i="1"/>
  <c r="X572" i="1"/>
  <c r="AI548" i="1"/>
  <c r="CZ32" i="4"/>
  <c r="CN32" i="4"/>
  <c r="K89" i="19"/>
  <c r="H569" i="1"/>
  <c r="H570" i="1" s="1"/>
  <c r="H572" i="1" s="1"/>
  <c r="BU159" i="1"/>
  <c r="D301" i="1"/>
  <c r="Y47" i="42" s="1"/>
  <c r="L180" i="1"/>
  <c r="L179" i="1" s="1"/>
  <c r="L181" i="1" s="1"/>
  <c r="AG363" i="1"/>
  <c r="AZ196" i="1"/>
  <c r="AZ200" i="1"/>
  <c r="AZ198" i="1"/>
  <c r="AZ197" i="1"/>
  <c r="AZ152" i="1"/>
  <c r="AZ153" i="1"/>
  <c r="AZ207" i="1" s="1"/>
  <c r="AZ177" i="1"/>
  <c r="AZ176" i="1" s="1"/>
  <c r="AZ178" i="1" s="1"/>
  <c r="AZ199" i="1"/>
  <c r="X579" i="1"/>
  <c r="D521" i="1"/>
  <c r="D526" i="1"/>
  <c r="D576" i="1"/>
  <c r="H545" i="1"/>
  <c r="H544" i="1"/>
  <c r="H553" i="1" s="1"/>
  <c r="H549" i="1"/>
  <c r="H554" i="1"/>
  <c r="H550" i="1"/>
  <c r="BB326" i="1"/>
  <c r="BF52" i="42" s="1"/>
  <c r="X575" i="1"/>
  <c r="X574" i="1"/>
  <c r="AE601" i="1"/>
  <c r="AG521" i="1"/>
  <c r="AE548" i="1"/>
  <c r="AG598" i="1"/>
  <c r="D572" i="1"/>
  <c r="BU160" i="1"/>
  <c r="H771" i="1"/>
  <c r="H772" i="1"/>
  <c r="CA141" i="1"/>
  <c r="X580" i="1"/>
  <c r="AG602" i="1"/>
  <c r="X573" i="1"/>
  <c r="BY115" i="1"/>
  <c r="AG599" i="1"/>
  <c r="D527" i="1"/>
  <c r="X571" i="1"/>
  <c r="X519" i="1"/>
  <c r="H501" i="1"/>
  <c r="H498" i="1"/>
  <c r="H494" i="1"/>
  <c r="H496" i="1"/>
  <c r="H500" i="1"/>
  <c r="H499" i="1"/>
  <c r="AG604" i="1"/>
  <c r="AE602" i="1"/>
  <c r="V582" i="1"/>
  <c r="V581" i="1" s="1"/>
  <c r="V583" i="1" s="1"/>
  <c r="CA193" i="1"/>
  <c r="AE546" i="1"/>
  <c r="AG600" i="1"/>
  <c r="F519" i="1"/>
  <c r="D524" i="1"/>
  <c r="AI551" i="1"/>
  <c r="D571" i="1"/>
  <c r="H767" i="1"/>
  <c r="H768" i="1" s="1"/>
  <c r="H769" i="1"/>
  <c r="H770" i="1" s="1"/>
  <c r="AV105" i="1"/>
  <c r="AV109" i="1"/>
  <c r="AV104" i="1"/>
  <c r="BJ333" i="1"/>
  <c r="BJ398" i="1" s="1"/>
  <c r="DZ57" i="7"/>
  <c r="EB57" i="7" s="1"/>
  <c r="BB330" i="1"/>
  <c r="BU42" i="4" s="1"/>
  <c r="BJ330" i="1"/>
  <c r="BU46" i="4" s="1"/>
  <c r="V520" i="1"/>
  <c r="V528" i="1"/>
  <c r="X527" i="1"/>
  <c r="AI576" i="1"/>
  <c r="V527" i="1"/>
  <c r="CA115" i="1"/>
  <c r="CA116" i="1" s="1"/>
  <c r="F527" i="1"/>
  <c r="D575" i="1"/>
  <c r="S29" i="31"/>
  <c r="DS57" i="7"/>
  <c r="R530" i="1"/>
  <c r="R529" i="1" s="1"/>
  <c r="R531" i="1" s="1"/>
  <c r="BB403" i="1"/>
  <c r="BB402" i="1"/>
  <c r="J303" i="1"/>
  <c r="J302" i="1"/>
  <c r="BJ77" i="1"/>
  <c r="BJ67" i="1"/>
  <c r="AI573" i="1"/>
  <c r="V519" i="1"/>
  <c r="F526" i="1"/>
  <c r="D528" i="1"/>
  <c r="V773" i="1"/>
  <c r="D578" i="1"/>
  <c r="F523" i="1"/>
  <c r="X523" i="1"/>
  <c r="X524" i="1"/>
  <c r="S28" i="31"/>
  <c r="AG576" i="1"/>
  <c r="AI580" i="1"/>
  <c r="AE550" i="1"/>
  <c r="F522" i="1"/>
  <c r="BJ326" i="1"/>
  <c r="E42" i="4"/>
  <c r="BF103" i="42"/>
  <c r="BF104" i="42" s="1"/>
  <c r="BB77" i="1"/>
  <c r="BB67" i="1"/>
  <c r="AG577" i="1"/>
  <c r="X578" i="1"/>
  <c r="AI574" i="1"/>
  <c r="X528" i="1"/>
  <c r="AG606" i="1"/>
  <c r="D520" i="1"/>
  <c r="AG573" i="1"/>
  <c r="X576" i="1"/>
  <c r="AI572" i="1"/>
  <c r="AI262" i="1"/>
  <c r="AD29" i="4" s="1"/>
  <c r="AI315" i="1"/>
  <c r="F520" i="1"/>
  <c r="D522" i="1"/>
  <c r="AE575" i="1"/>
  <c r="D579" i="1"/>
  <c r="BT42" i="4"/>
  <c r="E46" i="4"/>
  <c r="BJ103" i="42"/>
  <c r="BJ104" i="42" s="1"/>
  <c r="AG578" i="1"/>
  <c r="D556" i="1"/>
  <c r="D555" i="1" s="1"/>
  <c r="D557" i="1" s="1"/>
  <c r="F528" i="1"/>
  <c r="X522" i="1"/>
  <c r="BB333" i="1"/>
  <c r="X520" i="1"/>
  <c r="BJ403" i="1"/>
  <c r="BJ402" i="1"/>
  <c r="X526" i="1"/>
  <c r="AG580" i="1"/>
  <c r="F521" i="1"/>
  <c r="AE552" i="1"/>
  <c r="AG603" i="1"/>
  <c r="AE581" i="1"/>
  <c r="AE553" i="1"/>
  <c r="AE605" i="1"/>
  <c r="AE549" i="1"/>
  <c r="AE577" i="1"/>
  <c r="AG607" i="1"/>
  <c r="AE580" i="1"/>
  <c r="AE607" i="1"/>
  <c r="AE554" i="1"/>
  <c r="AE555" i="1"/>
  <c r="AG579" i="1"/>
  <c r="N531" i="1"/>
  <c r="P583" i="1"/>
  <c r="P584" i="1"/>
  <c r="AX108" i="42"/>
  <c r="AM377" i="1"/>
  <c r="V111" i="1"/>
  <c r="V112" i="1"/>
  <c r="V107" i="1"/>
  <c r="V108" i="1"/>
  <c r="V109" i="1"/>
  <c r="V110" i="1"/>
  <c r="J159" i="1"/>
  <c r="J160" i="1"/>
  <c r="J161" i="1"/>
  <c r="J162" i="1"/>
  <c r="J163" i="1"/>
  <c r="J164" i="1"/>
  <c r="BW108" i="1"/>
  <c r="BW109" i="1"/>
  <c r="BW110" i="1"/>
  <c r="BW111" i="1"/>
  <c r="BW112" i="1"/>
  <c r="BW107" i="1"/>
  <c r="AE175" i="1"/>
  <c r="AE176" i="1"/>
  <c r="AE177" i="1"/>
  <c r="AE172" i="1"/>
  <c r="AE173" i="1"/>
  <c r="AE174" i="1"/>
  <c r="BP95" i="42"/>
  <c r="GR34" i="4"/>
  <c r="R91" i="19"/>
  <c r="CU34" i="4"/>
  <c r="DG34" i="4"/>
  <c r="V584" i="1"/>
  <c r="J185" i="1"/>
  <c r="J186" i="1"/>
  <c r="J187" i="1"/>
  <c r="J188" i="1"/>
  <c r="J189" i="1"/>
  <c r="J190" i="1"/>
  <c r="J184" i="1"/>
  <c r="X132" i="1"/>
  <c r="X133" i="1"/>
  <c r="X134" i="1"/>
  <c r="X135" i="1"/>
  <c r="X136" i="1"/>
  <c r="X137" i="1"/>
  <c r="X138" i="1"/>
  <c r="AG574" i="1"/>
  <c r="X773" i="1"/>
  <c r="BW134" i="1"/>
  <c r="BW135" i="1"/>
  <c r="BW138" i="1"/>
  <c r="BW136" i="1"/>
  <c r="BW137" i="1"/>
  <c r="BW132" i="1"/>
  <c r="BW133" i="1"/>
  <c r="P299" i="1"/>
  <c r="P209" i="1"/>
  <c r="AK96" i="42"/>
  <c r="P302" i="1"/>
  <c r="P303" i="1"/>
  <c r="X190" i="1"/>
  <c r="X184" i="1"/>
  <c r="X185" i="1"/>
  <c r="X186" i="1"/>
  <c r="X187" i="1"/>
  <c r="X188" i="1"/>
  <c r="X189" i="1"/>
  <c r="R134" i="1"/>
  <c r="R136" i="1"/>
  <c r="R137" i="1"/>
  <c r="R133" i="1"/>
  <c r="R138" i="1"/>
  <c r="R135" i="1"/>
  <c r="R132" i="1"/>
  <c r="AI578" i="1"/>
  <c r="T109" i="1"/>
  <c r="T110" i="1"/>
  <c r="T111" i="1"/>
  <c r="T107" i="1"/>
  <c r="T108" i="1"/>
  <c r="T112" i="1"/>
  <c r="V525" i="1"/>
  <c r="D249" i="1"/>
  <c r="AG524" i="1"/>
  <c r="BQ85" i="42"/>
  <c r="P133" i="1"/>
  <c r="P138" i="1"/>
  <c r="P134" i="1"/>
  <c r="P135" i="1"/>
  <c r="P136" i="1"/>
  <c r="P137" i="1"/>
  <c r="P132" i="1"/>
  <c r="N160" i="1"/>
  <c r="N161" i="1"/>
  <c r="N162" i="1"/>
  <c r="N164" i="1"/>
  <c r="N159" i="1"/>
  <c r="N163" i="1"/>
  <c r="AI116" i="1"/>
  <c r="AI114" i="1"/>
  <c r="AI115" i="1"/>
  <c r="AI117" i="1"/>
  <c r="AI113" i="1"/>
  <c r="BN86" i="42"/>
  <c r="BY193" i="1"/>
  <c r="F524" i="1"/>
  <c r="BP45" i="42"/>
  <c r="D523" i="1"/>
  <c r="X544" i="1"/>
  <c r="X551" i="1" s="1"/>
  <c r="X547" i="1"/>
  <c r="X548" i="1"/>
  <c r="X545" i="1"/>
  <c r="X546" i="1"/>
  <c r="AI553" i="1"/>
  <c r="BM85" i="42"/>
  <c r="AE576" i="1"/>
  <c r="AT85" i="42"/>
  <c r="D580" i="1"/>
  <c r="D577" i="1"/>
  <c r="BD395" i="1"/>
  <c r="BD397" i="1" s="1"/>
  <c r="CH43" i="4" s="1"/>
  <c r="AE519" i="1"/>
  <c r="AE529" i="1" s="1"/>
  <c r="AG581" i="1"/>
  <c r="AR85" i="42"/>
  <c r="AC85" i="42"/>
  <c r="T531" i="1"/>
  <c r="V159" i="1"/>
  <c r="V163" i="1"/>
  <c r="V160" i="1"/>
  <c r="V162" i="1"/>
  <c r="V161" i="1"/>
  <c r="V164" i="1"/>
  <c r="X107" i="1"/>
  <c r="X108" i="1"/>
  <c r="X109" i="1"/>
  <c r="X110" i="1"/>
  <c r="X111" i="1"/>
  <c r="X112" i="1"/>
  <c r="R160" i="1"/>
  <c r="R161" i="1"/>
  <c r="R162" i="1"/>
  <c r="R163" i="1"/>
  <c r="R164" i="1"/>
  <c r="R159" i="1"/>
  <c r="AI575" i="1"/>
  <c r="AE145" i="1"/>
  <c r="AE147" i="1"/>
  <c r="AE148" i="1"/>
  <c r="AE149" i="1"/>
  <c r="AE146" i="1"/>
  <c r="AE150" i="1"/>
  <c r="AE151" i="1"/>
  <c r="T163" i="1"/>
  <c r="T164" i="1"/>
  <c r="T160" i="1"/>
  <c r="T161" i="1"/>
  <c r="T162" i="1"/>
  <c r="T159" i="1"/>
  <c r="V521" i="1"/>
  <c r="AE603" i="1"/>
  <c r="AE606" i="1"/>
  <c r="F192" i="1"/>
  <c r="F191" i="1"/>
  <c r="AD20" i="4"/>
  <c r="AI33" i="42"/>
  <c r="AD50" i="4"/>
  <c r="N307" i="1"/>
  <c r="AG525" i="1"/>
  <c r="BQ86" i="42"/>
  <c r="AR86" i="42"/>
  <c r="P108" i="1"/>
  <c r="P112" i="1"/>
  <c r="P109" i="1"/>
  <c r="P110" i="1"/>
  <c r="P111" i="1"/>
  <c r="P107" i="1"/>
  <c r="AH108" i="42"/>
  <c r="L746" i="1"/>
  <c r="CA122" i="1"/>
  <c r="AV46" i="42"/>
  <c r="AE557" i="1"/>
  <c r="AE556" i="1" s="1"/>
  <c r="AD18" i="4"/>
  <c r="AN33" i="42"/>
  <c r="T307" i="1"/>
  <c r="BO93" i="42"/>
  <c r="BR93" i="42"/>
  <c r="BF298" i="1"/>
  <c r="BF291" i="1"/>
  <c r="BF293" i="1"/>
  <c r="BF290" i="1"/>
  <c r="BH43" i="42" s="1"/>
  <c r="BF299" i="1"/>
  <c r="BH21" i="42"/>
  <c r="BH14" i="42"/>
  <c r="BF89" i="1"/>
  <c r="BF74" i="1"/>
  <c r="AO370" i="1"/>
  <c r="AO356" i="1"/>
  <c r="AO372" i="1"/>
  <c r="AO361" i="1"/>
  <c r="AO367" i="1"/>
  <c r="AO365" i="1"/>
  <c r="AO359" i="1"/>
  <c r="AO354" i="1"/>
  <c r="AO111" i="1"/>
  <c r="AO113" i="1"/>
  <c r="AO110" i="1"/>
  <c r="AO112" i="1"/>
  <c r="AO117" i="1"/>
  <c r="AO115" i="1"/>
  <c r="AO116" i="1"/>
  <c r="AO114" i="1"/>
  <c r="AI597" i="1"/>
  <c r="AI606" i="1" s="1"/>
  <c r="AI552" i="1"/>
  <c r="AI555" i="1"/>
  <c r="BM86" i="42"/>
  <c r="D182" i="1"/>
  <c r="D183" i="1" s="1"/>
  <c r="D130" i="1"/>
  <c r="D131" i="1" s="1"/>
  <c r="D157" i="1"/>
  <c r="D158" i="1" s="1"/>
  <c r="D105" i="1"/>
  <c r="D106" i="1" s="1"/>
  <c r="AE579" i="1"/>
  <c r="AI519" i="1"/>
  <c r="AI526" i="1" s="1"/>
  <c r="AT86" i="42"/>
  <c r="AG372" i="1"/>
  <c r="AG370" i="1"/>
  <c r="AG367" i="1"/>
  <c r="AG365" i="1"/>
  <c r="BU189" i="1"/>
  <c r="BU184" i="1"/>
  <c r="BU186" i="1"/>
  <c r="BU185" i="1"/>
  <c r="BU188" i="1"/>
  <c r="BU190" i="1"/>
  <c r="BU187" i="1"/>
  <c r="BY332" i="1"/>
  <c r="AN47" i="42"/>
  <c r="BW187" i="1"/>
  <c r="BW188" i="1"/>
  <c r="BW189" i="1"/>
  <c r="BW190" i="1"/>
  <c r="BW184" i="1"/>
  <c r="BW185" i="1"/>
  <c r="BW186" i="1"/>
  <c r="AC87" i="42"/>
  <c r="V135" i="1"/>
  <c r="V136" i="1"/>
  <c r="V137" i="1"/>
  <c r="V138" i="1"/>
  <c r="V132" i="1"/>
  <c r="V133" i="1"/>
  <c r="V134" i="1"/>
  <c r="BY180" i="1"/>
  <c r="BY179" i="1" s="1"/>
  <c r="BY181" i="1" s="1"/>
  <c r="R184" i="1"/>
  <c r="R188" i="1"/>
  <c r="R185" i="1"/>
  <c r="R186" i="1"/>
  <c r="R189" i="1"/>
  <c r="R187" i="1"/>
  <c r="R190" i="1"/>
  <c r="AE201" i="1"/>
  <c r="AE197" i="1"/>
  <c r="AE198" i="1"/>
  <c r="AE203" i="1"/>
  <c r="AE199" i="1"/>
  <c r="AE200" i="1"/>
  <c r="AE202" i="1"/>
  <c r="X311" i="1"/>
  <c r="X314" i="1"/>
  <c r="X316" i="1"/>
  <c r="X308" i="1"/>
  <c r="AR93" i="42" s="1"/>
  <c r="X310" i="1"/>
  <c r="X315" i="1"/>
  <c r="X313" i="1"/>
  <c r="X398" i="1"/>
  <c r="V522" i="1"/>
  <c r="AG529" i="1"/>
  <c r="BQ87" i="42"/>
  <c r="CC161" i="1"/>
  <c r="CC162" i="1"/>
  <c r="CC160" i="1"/>
  <c r="CC164" i="1"/>
  <c r="CC163" i="1"/>
  <c r="CC159" i="1"/>
  <c r="R72" i="19"/>
  <c r="CU15" i="4"/>
  <c r="DG15" i="4"/>
  <c r="P162" i="1"/>
  <c r="P163" i="1"/>
  <c r="P164" i="1"/>
  <c r="P159" i="1"/>
  <c r="P160" i="1"/>
  <c r="P161" i="1"/>
  <c r="AI268" i="1"/>
  <c r="GR15" i="4"/>
  <c r="AE85" i="42"/>
  <c r="N582" i="1"/>
  <c r="N581" i="1" s="1"/>
  <c r="BP31" i="42"/>
  <c r="AI554" i="1"/>
  <c r="BM87" i="42"/>
  <c r="AT87" i="42"/>
  <c r="R314" i="1"/>
  <c r="R316" i="1"/>
  <c r="R311" i="1"/>
  <c r="R313" i="1"/>
  <c r="R315" i="1"/>
  <c r="R308" i="1"/>
  <c r="AL93" i="42" s="1"/>
  <c r="R398" i="1"/>
  <c r="R310" i="1"/>
  <c r="BF252" i="1"/>
  <c r="BU110" i="1"/>
  <c r="BU112" i="1"/>
  <c r="BU107" i="1"/>
  <c r="BU108" i="1"/>
  <c r="BU109" i="1"/>
  <c r="BU111" i="1"/>
  <c r="H191" i="1"/>
  <c r="H192" i="1"/>
  <c r="J584" i="1"/>
  <c r="AC86" i="42"/>
  <c r="AL86" i="42"/>
  <c r="V187" i="1"/>
  <c r="V188" i="1"/>
  <c r="V189" i="1"/>
  <c r="V190" i="1"/>
  <c r="V185" i="1"/>
  <c r="V186" i="1"/>
  <c r="V184" i="1"/>
  <c r="R107" i="1"/>
  <c r="R108" i="1"/>
  <c r="R109" i="1"/>
  <c r="R110" i="1"/>
  <c r="R111" i="1"/>
  <c r="R112" i="1"/>
  <c r="AI581" i="1"/>
  <c r="AE121" i="1"/>
  <c r="AE120" i="1"/>
  <c r="AE124" i="1"/>
  <c r="AE123" i="1"/>
  <c r="AE125" i="1"/>
  <c r="AE122" i="1"/>
  <c r="AL85" i="42"/>
  <c r="V523" i="1"/>
  <c r="D255" i="1"/>
  <c r="AG522" i="1"/>
  <c r="T299" i="1"/>
  <c r="T209" i="1"/>
  <c r="AN96" i="42"/>
  <c r="T302" i="1"/>
  <c r="T303" i="1"/>
  <c r="P184" i="1"/>
  <c r="P185" i="1"/>
  <c r="P186" i="1"/>
  <c r="P187" i="1"/>
  <c r="P188" i="1"/>
  <c r="P189" i="1"/>
  <c r="P190" i="1"/>
  <c r="AI118" i="1"/>
  <c r="AI119" i="1" s="1"/>
  <c r="AI195" i="1"/>
  <c r="AI196" i="1" s="1"/>
  <c r="AI143" i="1"/>
  <c r="AI144" i="1" s="1"/>
  <c r="AI170" i="1"/>
  <c r="AI171" i="1" s="1"/>
  <c r="BW165" i="1"/>
  <c r="BW166" i="1"/>
  <c r="BH97" i="42"/>
  <c r="BU132" i="1"/>
  <c r="BU133" i="1"/>
  <c r="BU134" i="1"/>
  <c r="BU137" i="1"/>
  <c r="BU135" i="1"/>
  <c r="BU136" i="1"/>
  <c r="BU138" i="1"/>
  <c r="BU52" i="4"/>
  <c r="BU56" i="4"/>
  <c r="F583" i="1"/>
  <c r="F584" i="1"/>
  <c r="AR47" i="42"/>
  <c r="H531" i="1"/>
  <c r="AA85" i="42"/>
  <c r="AG575" i="1"/>
  <c r="AA87" i="42"/>
  <c r="AV162" i="1"/>
  <c r="AV163" i="1"/>
  <c r="AI577" i="1"/>
  <c r="V526" i="1"/>
  <c r="BM33" i="42"/>
  <c r="AD51" i="4"/>
  <c r="BU307" i="1"/>
  <c r="AG527" i="1"/>
  <c r="AG520" i="1"/>
  <c r="CC210" i="1"/>
  <c r="CC211" i="1"/>
  <c r="CC268" i="1" s="1"/>
  <c r="AV137" i="1"/>
  <c r="AV136" i="1"/>
  <c r="AP33" i="42"/>
  <c r="AD22" i="4"/>
  <c r="V307" i="1"/>
  <c r="BY312" i="1"/>
  <c r="BY317" i="1"/>
  <c r="DG14" i="4"/>
  <c r="CU14" i="4"/>
  <c r="R71" i="19"/>
  <c r="Y46" i="42"/>
  <c r="CA167" i="1"/>
  <c r="J531" i="1"/>
  <c r="T587" i="1"/>
  <c r="T652" i="1" s="1"/>
  <c r="CA142" i="1"/>
  <c r="CA150" i="1" s="1"/>
  <c r="CA145" i="1"/>
  <c r="CA147" i="1"/>
  <c r="CA149" i="1"/>
  <c r="CA146" i="1"/>
  <c r="CA143" i="1"/>
  <c r="J107" i="1"/>
  <c r="J108" i="1"/>
  <c r="J109" i="1"/>
  <c r="J112" i="1"/>
  <c r="J111" i="1"/>
  <c r="J110" i="1"/>
  <c r="AA86" i="42"/>
  <c r="F114" i="1"/>
  <c r="F113" i="1"/>
  <c r="L378" i="1"/>
  <c r="AG44" i="42"/>
  <c r="L377" i="1"/>
  <c r="L374" i="1"/>
  <c r="N189" i="1"/>
  <c r="N190" i="1"/>
  <c r="N184" i="1"/>
  <c r="N185" i="1"/>
  <c r="N186" i="1"/>
  <c r="N187" i="1"/>
  <c r="N188" i="1"/>
  <c r="CA194" i="1"/>
  <c r="CA204" i="1" s="1"/>
  <c r="CA200" i="1"/>
  <c r="CA196" i="1"/>
  <c r="CA199" i="1"/>
  <c r="CA198" i="1"/>
  <c r="CA195" i="1"/>
  <c r="CA332" i="1"/>
  <c r="BP53" i="42" s="1"/>
  <c r="F166" i="1"/>
  <c r="F165" i="1"/>
  <c r="AI549" i="1"/>
  <c r="CC107" i="1"/>
  <c r="CC108" i="1"/>
  <c r="CC109" i="1"/>
  <c r="CC110" i="1"/>
  <c r="CC111" i="1"/>
  <c r="CC112" i="1"/>
  <c r="AD12" i="4"/>
  <c r="AE33" i="42"/>
  <c r="J307" i="1"/>
  <c r="H140" i="1"/>
  <c r="H139" i="1"/>
  <c r="H114" i="1"/>
  <c r="H113" i="1"/>
  <c r="CA312" i="1"/>
  <c r="CA317" i="1"/>
  <c r="BU165" i="1"/>
  <c r="BU166" i="1"/>
  <c r="R587" i="1"/>
  <c r="R652" i="1" s="1"/>
  <c r="J132" i="1"/>
  <c r="J133" i="1"/>
  <c r="J134" i="1"/>
  <c r="J135" i="1"/>
  <c r="J136" i="1"/>
  <c r="J137" i="1"/>
  <c r="J138" i="1"/>
  <c r="X582" i="1"/>
  <c r="X581" i="1" s="1"/>
  <c r="AG545" i="1"/>
  <c r="AG553" i="1" s="1"/>
  <c r="H166" i="1"/>
  <c r="H165" i="1"/>
  <c r="H316" i="1"/>
  <c r="H311" i="1"/>
  <c r="H314" i="1"/>
  <c r="H308" i="1"/>
  <c r="H313" i="1"/>
  <c r="H315" i="1"/>
  <c r="H310" i="1"/>
  <c r="H398" i="1"/>
  <c r="F311" i="1"/>
  <c r="F314" i="1"/>
  <c r="F316" i="1"/>
  <c r="F310" i="1"/>
  <c r="F315" i="1"/>
  <c r="F308" i="1"/>
  <c r="F313" i="1"/>
  <c r="F398" i="1"/>
  <c r="X161" i="1"/>
  <c r="X160" i="1"/>
  <c r="X162" i="1"/>
  <c r="X163" i="1"/>
  <c r="X159" i="1"/>
  <c r="X164" i="1"/>
  <c r="AV110" i="1"/>
  <c r="T186" i="1"/>
  <c r="T190" i="1"/>
  <c r="T188" i="1"/>
  <c r="T189" i="1"/>
  <c r="T187" i="1"/>
  <c r="T184" i="1"/>
  <c r="T185" i="1"/>
  <c r="V524" i="1"/>
  <c r="AG523" i="1"/>
  <c r="BY141" i="1"/>
  <c r="N209" i="1"/>
  <c r="N299" i="1"/>
  <c r="AI96" i="42"/>
  <c r="N302" i="1"/>
  <c r="N303" i="1"/>
  <c r="N132" i="1"/>
  <c r="N134" i="1"/>
  <c r="N133" i="1"/>
  <c r="N135" i="1"/>
  <c r="N136" i="1"/>
  <c r="N137" i="1"/>
  <c r="N138" i="1"/>
  <c r="R95" i="19"/>
  <c r="CU38" i="4"/>
  <c r="DG38" i="4"/>
  <c r="CC472" i="1"/>
  <c r="CC473" i="1" s="1"/>
  <c r="AD54" i="4"/>
  <c r="BQ33" i="42"/>
  <c r="BN85" i="42"/>
  <c r="BY273" i="1"/>
  <c r="BY261" i="1"/>
  <c r="BO63" i="42"/>
  <c r="BR63" i="42"/>
  <c r="BY297" i="1"/>
  <c r="BY232" i="1"/>
  <c r="BY237" i="1" s="1"/>
  <c r="BY226" i="1"/>
  <c r="BY231" i="1" s="1"/>
  <c r="BY262" i="1"/>
  <c r="BY267" i="1" s="1"/>
  <c r="BY220" i="1"/>
  <c r="BY225" i="1" s="1"/>
  <c r="CC133" i="1"/>
  <c r="CC134" i="1"/>
  <c r="CC135" i="1"/>
  <c r="CC136" i="1"/>
  <c r="CC137" i="1"/>
  <c r="CC138" i="1"/>
  <c r="CC132" i="1"/>
  <c r="P529" i="1"/>
  <c r="AE574" i="1"/>
  <c r="V299" i="1"/>
  <c r="AP96" i="42"/>
  <c r="V209" i="1"/>
  <c r="V303" i="1"/>
  <c r="V302" i="1"/>
  <c r="T133" i="1"/>
  <c r="T137" i="1"/>
  <c r="T132" i="1"/>
  <c r="T138" i="1"/>
  <c r="T134" i="1"/>
  <c r="T135" i="1"/>
  <c r="T136" i="1"/>
  <c r="AG528" i="1"/>
  <c r="F140" i="1"/>
  <c r="F139" i="1"/>
  <c r="AE331" i="1"/>
  <c r="AE326" i="1"/>
  <c r="N111" i="1"/>
  <c r="N112" i="1"/>
  <c r="N107" i="1"/>
  <c r="N108" i="1"/>
  <c r="N109" i="1"/>
  <c r="N110" i="1"/>
  <c r="AV189" i="1"/>
  <c r="AV188" i="1"/>
  <c r="AV33" i="42"/>
  <c r="AV47" i="42"/>
  <c r="BY116" i="1"/>
  <c r="BY125" i="1" s="1"/>
  <c r="BY118" i="1"/>
  <c r="BY123" i="1"/>
  <c r="BY117" i="1"/>
  <c r="AK33" i="42"/>
  <c r="AD5" i="4"/>
  <c r="P307" i="1"/>
  <c r="BN87" i="42"/>
  <c r="AL25" i="30"/>
  <c r="AL28" i="30" s="1"/>
  <c r="AL27" i="30"/>
  <c r="AL29" i="30" s="1"/>
  <c r="CA304" i="1"/>
  <c r="BP32" i="42"/>
  <c r="CC185" i="1"/>
  <c r="CC186" i="1"/>
  <c r="CC187" i="1"/>
  <c r="CC188" i="1"/>
  <c r="CC189" i="1"/>
  <c r="CC184" i="1"/>
  <c r="CC190" i="1"/>
  <c r="D582" i="1"/>
  <c r="D581" i="1" s="1"/>
  <c r="BA6" i="4"/>
  <c r="Y53" i="4"/>
  <c r="AW56" i="4"/>
  <c r="AA20" i="4"/>
  <c r="BB5" i="4"/>
  <c r="AA50" i="4"/>
  <c r="AY18" i="4"/>
  <c r="DO15" i="7"/>
  <c r="AY50" i="4"/>
  <c r="AA5" i="4"/>
  <c r="AW52" i="4"/>
  <c r="AZ44" i="4"/>
  <c r="Z53" i="4"/>
  <c r="BB22" i="4"/>
  <c r="BB12" i="4"/>
  <c r="BC5" i="4"/>
  <c r="AA18" i="4"/>
  <c r="BV44" i="4"/>
  <c r="R44" i="4"/>
  <c r="BB20" i="4"/>
  <c r="BB50" i="4"/>
  <c r="BC18" i="4"/>
  <c r="BB18" i="4"/>
  <c r="AY20" i="4"/>
  <c r="BC12" i="4"/>
  <c r="AC53" i="4"/>
  <c r="BA44" i="4"/>
  <c r="AB53" i="4"/>
  <c r="AY5" i="4"/>
  <c r="AY22" i="4"/>
  <c r="BC50" i="4"/>
  <c r="BP44" i="4"/>
  <c r="AA22" i="4"/>
  <c r="BC20" i="4"/>
  <c r="BA29" i="4"/>
  <c r="BV39" i="4"/>
  <c r="BC22" i="4"/>
  <c r="BJ400" i="1" l="1"/>
  <c r="BJ401" i="1" s="1"/>
  <c r="BJ81" i="42" s="1"/>
  <c r="AG583" i="1"/>
  <c r="AI321" i="1"/>
  <c r="AI412" i="1" s="1"/>
  <c r="BF53" i="42"/>
  <c r="X550" i="1"/>
  <c r="X549" i="1"/>
  <c r="BY122" i="1"/>
  <c r="CA202" i="1"/>
  <c r="CA148" i="1"/>
  <c r="AZ229" i="1"/>
  <c r="AZ234" i="1" s="1"/>
  <c r="AZ217" i="1"/>
  <c r="AZ222" i="1" s="1"/>
  <c r="AZ223" i="1"/>
  <c r="AZ228" i="1" s="1"/>
  <c r="AZ259" i="1"/>
  <c r="AZ264" i="1" s="1"/>
  <c r="AZ295" i="1"/>
  <c r="AZ258" i="1"/>
  <c r="AZ271" i="1" s="1"/>
  <c r="AI18" i="30"/>
  <c r="BE63" i="42"/>
  <c r="AZ246" i="1"/>
  <c r="AZ206" i="1" s="1"/>
  <c r="BY120" i="1"/>
  <c r="CA197" i="1"/>
  <c r="BY121" i="1"/>
  <c r="BY119" i="1"/>
  <c r="CA201" i="1"/>
  <c r="CA144" i="1"/>
  <c r="H546" i="1"/>
  <c r="AI598" i="1"/>
  <c r="AG546" i="1"/>
  <c r="H573" i="1"/>
  <c r="R89" i="19"/>
  <c r="CU32" i="4"/>
  <c r="DG32" i="4"/>
  <c r="H167" i="1"/>
  <c r="AV111" i="1"/>
  <c r="H571" i="1"/>
  <c r="F141" i="1"/>
  <c r="AG609" i="1"/>
  <c r="AG608" i="1" s="1"/>
  <c r="AZ282" i="1"/>
  <c r="AZ280" i="1"/>
  <c r="AZ292" i="1"/>
  <c r="BJ404" i="1"/>
  <c r="BJ106" i="42" s="1"/>
  <c r="AZ203" i="1"/>
  <c r="AZ202" i="1" s="1"/>
  <c r="H577" i="1"/>
  <c r="H580" i="1"/>
  <c r="H575" i="1"/>
  <c r="H578" i="1"/>
  <c r="H579" i="1"/>
  <c r="H574" i="1"/>
  <c r="H576" i="1"/>
  <c r="H547" i="1"/>
  <c r="H548" i="1"/>
  <c r="H551" i="1"/>
  <c r="H552" i="1"/>
  <c r="BY124" i="1"/>
  <c r="AG547" i="1"/>
  <c r="AI600" i="1"/>
  <c r="AE520" i="1"/>
  <c r="AI583" i="1"/>
  <c r="AI582" i="1" s="1"/>
  <c r="AI584" i="1" s="1"/>
  <c r="D530" i="1"/>
  <c r="AI602" i="1"/>
  <c r="CA152" i="1"/>
  <c r="AI599" i="1"/>
  <c r="X552" i="1"/>
  <c r="X530" i="1"/>
  <c r="X529" i="1" s="1"/>
  <c r="X531" i="1" s="1"/>
  <c r="AI529" i="1"/>
  <c r="CA151" i="1"/>
  <c r="AE525" i="1"/>
  <c r="F115" i="1"/>
  <c r="AI601" i="1"/>
  <c r="AE521" i="1"/>
  <c r="H773" i="1"/>
  <c r="AV164" i="1"/>
  <c r="BJ53" i="42"/>
  <c r="CA203" i="1"/>
  <c r="AV138" i="1"/>
  <c r="BW167" i="1"/>
  <c r="CA121" i="1"/>
  <c r="AE609" i="1"/>
  <c r="AE608" i="1" s="1"/>
  <c r="BB400" i="1"/>
  <c r="BB401" i="1" s="1"/>
  <c r="BF81" i="42" s="1"/>
  <c r="BB398" i="1"/>
  <c r="BJ52" i="42"/>
  <c r="BT46" i="4"/>
  <c r="V530" i="1"/>
  <c r="CA126" i="1"/>
  <c r="F530" i="1"/>
  <c r="F529" i="1" s="1"/>
  <c r="F531" i="1" s="1"/>
  <c r="AI603" i="1"/>
  <c r="CA117" i="1"/>
  <c r="X553" i="1"/>
  <c r="BJ399" i="1"/>
  <c r="BJ78" i="42"/>
  <c r="BJ142" i="1"/>
  <c r="BJ192" i="1"/>
  <c r="BJ203" i="1"/>
  <c r="BJ201" i="1"/>
  <c r="BJ200" i="1"/>
  <c r="BJ146" i="1"/>
  <c r="BJ193" i="1"/>
  <c r="BJ150" i="1"/>
  <c r="AN8" i="30"/>
  <c r="BJ74" i="1"/>
  <c r="AN6" i="30"/>
  <c r="BJ152" i="1"/>
  <c r="BJ145" i="1"/>
  <c r="BJ198" i="1"/>
  <c r="BJ199" i="1"/>
  <c r="BJ153" i="1"/>
  <c r="BJ194" i="1"/>
  <c r="BJ197" i="1"/>
  <c r="BJ151" i="1"/>
  <c r="AN4" i="30"/>
  <c r="BJ144" i="1"/>
  <c r="BJ205" i="1"/>
  <c r="BJ202" i="1"/>
  <c r="BJ147" i="1"/>
  <c r="BJ196" i="1"/>
  <c r="BJ149" i="1"/>
  <c r="AN5" i="30"/>
  <c r="BJ148" i="1"/>
  <c r="AN7" i="30"/>
  <c r="BJ195" i="1"/>
  <c r="BJ143" i="1"/>
  <c r="BJ140" i="1"/>
  <c r="BJ204" i="1"/>
  <c r="BJ141" i="1"/>
  <c r="CA119" i="1"/>
  <c r="BJ214" i="1"/>
  <c r="BJ82" i="1"/>
  <c r="BJ213" i="1"/>
  <c r="BJ215" i="1"/>
  <c r="BJ211" i="1"/>
  <c r="BJ212" i="1"/>
  <c r="E84" i="42"/>
  <c r="Z20" i="31"/>
  <c r="BY126" i="1"/>
  <c r="D529" i="1"/>
  <c r="D531" i="1" s="1"/>
  <c r="CA123" i="1"/>
  <c r="CA118" i="1"/>
  <c r="BB141" i="1"/>
  <c r="AJ6" i="30"/>
  <c r="BB143" i="1"/>
  <c r="BB192" i="1"/>
  <c r="BB151" i="1"/>
  <c r="AJ5" i="30"/>
  <c r="BB194" i="1"/>
  <c r="BB149" i="1"/>
  <c r="BB197" i="1"/>
  <c r="BB199" i="1"/>
  <c r="BB203" i="1"/>
  <c r="BB145" i="1"/>
  <c r="BB204" i="1"/>
  <c r="BB195" i="1"/>
  <c r="BB140" i="1"/>
  <c r="BB200" i="1"/>
  <c r="BB152" i="1"/>
  <c r="BB148" i="1"/>
  <c r="BB74" i="1"/>
  <c r="AJ4" i="30"/>
  <c r="BB144" i="1"/>
  <c r="BB193" i="1"/>
  <c r="BB196" i="1"/>
  <c r="BB153" i="1"/>
  <c r="BB202" i="1"/>
  <c r="AJ8" i="30"/>
  <c r="BB198" i="1"/>
  <c r="BB147" i="1"/>
  <c r="BB201" i="1"/>
  <c r="BB205" i="1"/>
  <c r="BB142" i="1"/>
  <c r="BB150" i="1"/>
  <c r="AJ7" i="30"/>
  <c r="BB146" i="1"/>
  <c r="AE86" i="42"/>
  <c r="CA120" i="1"/>
  <c r="CA124" i="1"/>
  <c r="BB212" i="1"/>
  <c r="BB214" i="1"/>
  <c r="BB82" i="1"/>
  <c r="BB215" i="1"/>
  <c r="BB213" i="1"/>
  <c r="BB211" i="1"/>
  <c r="AE87" i="42"/>
  <c r="AE583" i="1"/>
  <c r="AE582" i="1" s="1"/>
  <c r="AE584" i="1" s="1"/>
  <c r="CA125" i="1"/>
  <c r="F193" i="1"/>
  <c r="X554" i="1"/>
  <c r="Z19" i="31"/>
  <c r="E83" i="42"/>
  <c r="BB404" i="1"/>
  <c r="BF106" i="42" s="1"/>
  <c r="AG548" i="1"/>
  <c r="AG552" i="1"/>
  <c r="AI522" i="1"/>
  <c r="AI523" i="1"/>
  <c r="AE522" i="1"/>
  <c r="AV112" i="1"/>
  <c r="AV113" i="1" s="1"/>
  <c r="AV122" i="1" s="1"/>
  <c r="AE524" i="1"/>
  <c r="AE526" i="1"/>
  <c r="AG555" i="1"/>
  <c r="AI527" i="1"/>
  <c r="AE528" i="1"/>
  <c r="BR32" i="42"/>
  <c r="BO32" i="42"/>
  <c r="BY304" i="1"/>
  <c r="N583" i="1"/>
  <c r="N584" i="1"/>
  <c r="AE558" i="1"/>
  <c r="BO95" i="42"/>
  <c r="BR95" i="42"/>
  <c r="T140" i="1"/>
  <c r="T139" i="1"/>
  <c r="H168" i="1"/>
  <c r="H177" i="1" s="1"/>
  <c r="V311" i="1"/>
  <c r="V316" i="1"/>
  <c r="V314" i="1"/>
  <c r="V313" i="1"/>
  <c r="V310" i="1"/>
  <c r="V398" i="1"/>
  <c r="V315" i="1"/>
  <c r="V308" i="1"/>
  <c r="AP93" i="42" s="1"/>
  <c r="F142" i="1"/>
  <c r="F151" i="1" s="1"/>
  <c r="F147" i="1"/>
  <c r="F144" i="1"/>
  <c r="F143" i="1"/>
  <c r="F146" i="1"/>
  <c r="F145" i="1"/>
  <c r="CC139" i="1"/>
  <c r="CC140" i="1"/>
  <c r="BR31" i="42"/>
  <c r="BO31" i="42"/>
  <c r="CC191" i="1"/>
  <c r="CC192" i="1"/>
  <c r="P314" i="1"/>
  <c r="P316" i="1"/>
  <c r="P311" i="1"/>
  <c r="P313" i="1"/>
  <c r="P308" i="1"/>
  <c r="AK93" i="42" s="1"/>
  <c r="P398" i="1"/>
  <c r="P315" i="1"/>
  <c r="P310" i="1"/>
  <c r="BQ71" i="42"/>
  <c r="CC476" i="1"/>
  <c r="AI86" i="42"/>
  <c r="AG549" i="1"/>
  <c r="AG554" i="1"/>
  <c r="CA418" i="1"/>
  <c r="CA419" i="1" s="1"/>
  <c r="CA420" i="1"/>
  <c r="CA421" i="1" s="1"/>
  <c r="N192" i="1"/>
  <c r="N191" i="1"/>
  <c r="CD14" i="4"/>
  <c r="AG68" i="42"/>
  <c r="BY420" i="1"/>
  <c r="BY421" i="1" s="1"/>
  <c r="BY418" i="1"/>
  <c r="BY419" i="1" s="1"/>
  <c r="AN86" i="42"/>
  <c r="H193" i="1"/>
  <c r="AI521" i="1"/>
  <c r="AI605" i="1"/>
  <c r="AO363" i="1"/>
  <c r="T166" i="1"/>
  <c r="T165" i="1"/>
  <c r="AE523" i="1"/>
  <c r="AK87" i="42"/>
  <c r="V113" i="1"/>
  <c r="V114" i="1"/>
  <c r="N113" i="1"/>
  <c r="N114" i="1"/>
  <c r="AP85" i="42"/>
  <c r="BY142" i="1"/>
  <c r="BY152" i="1" s="1"/>
  <c r="BY147" i="1"/>
  <c r="BY149" i="1"/>
  <c r="BY144" i="1"/>
  <c r="X165" i="1"/>
  <c r="X166" i="1"/>
  <c r="AG550" i="1"/>
  <c r="AG551" i="1"/>
  <c r="CA422" i="1"/>
  <c r="CA423" i="1"/>
  <c r="CA206" i="1"/>
  <c r="CA278" i="1" s="1"/>
  <c r="V529" i="1"/>
  <c r="CA168" i="1"/>
  <c r="CA173" i="1" s="1"/>
  <c r="CA169" i="1"/>
  <c r="CA174" i="1"/>
  <c r="CA175" i="1"/>
  <c r="BY423" i="1"/>
  <c r="BY422" i="1"/>
  <c r="CC273" i="1"/>
  <c r="CC261" i="1"/>
  <c r="BQ63" i="42"/>
  <c r="CC297" i="1"/>
  <c r="CC262" i="1"/>
  <c r="CC267" i="1" s="1"/>
  <c r="CC220" i="1"/>
  <c r="CC225" i="1" s="1"/>
  <c r="CC232" i="1"/>
  <c r="CC237" i="1" s="1"/>
  <c r="CC226" i="1"/>
  <c r="CC231" i="1" s="1"/>
  <c r="BW168" i="1"/>
  <c r="BW178" i="1" s="1"/>
  <c r="BW170" i="1"/>
  <c r="BW176" i="1"/>
  <c r="BW172" i="1"/>
  <c r="BW173" i="1"/>
  <c r="BW177" i="1"/>
  <c r="BW171" i="1"/>
  <c r="BW169" i="1"/>
  <c r="BW174" i="1"/>
  <c r="D299" i="1"/>
  <c r="D209" i="1"/>
  <c r="Y96" i="42"/>
  <c r="D303" i="1"/>
  <c r="D302" i="1"/>
  <c r="AE127" i="1"/>
  <c r="AE126" i="1"/>
  <c r="R114" i="1"/>
  <c r="R113" i="1"/>
  <c r="BH96" i="42"/>
  <c r="CC165" i="1"/>
  <c r="CC166" i="1"/>
  <c r="R166" i="1"/>
  <c r="R165" i="1"/>
  <c r="BY194" i="1"/>
  <c r="BY204" i="1" s="1"/>
  <c r="BY200" i="1"/>
  <c r="BY198" i="1"/>
  <c r="BY201" i="1"/>
  <c r="BY199" i="1"/>
  <c r="BY202" i="1"/>
  <c r="P139" i="1"/>
  <c r="P140" i="1"/>
  <c r="R140" i="1"/>
  <c r="R139" i="1"/>
  <c r="AK86" i="42"/>
  <c r="X139" i="1"/>
  <c r="X140" i="1"/>
  <c r="D584" i="1"/>
  <c r="D583" i="1"/>
  <c r="AE404" i="1"/>
  <c r="AE405" i="1" s="1"/>
  <c r="AE406" i="1"/>
  <c r="AE407" i="1" s="1"/>
  <c r="T191" i="1"/>
  <c r="T192" i="1"/>
  <c r="J314" i="1"/>
  <c r="J311" i="1"/>
  <c r="J316" i="1"/>
  <c r="J315" i="1"/>
  <c r="J310" i="1"/>
  <c r="J313" i="1"/>
  <c r="J308" i="1"/>
  <c r="AE93" i="42" s="1"/>
  <c r="J398" i="1"/>
  <c r="J113" i="1"/>
  <c r="J114" i="1"/>
  <c r="AV139" i="1"/>
  <c r="AV149" i="1" s="1"/>
  <c r="AP86" i="42"/>
  <c r="AC93" i="42"/>
  <c r="AA93" i="42"/>
  <c r="H115" i="1"/>
  <c r="AG531" i="1"/>
  <c r="AG530" i="1" s="1"/>
  <c r="AG532" i="1" s="1"/>
  <c r="AV165" i="1"/>
  <c r="AV172" i="1" s="1"/>
  <c r="AV169" i="1"/>
  <c r="AV170" i="1"/>
  <c r="AV168" i="1"/>
  <c r="AV175" i="1"/>
  <c r="AV173" i="1"/>
  <c r="AV167" i="1"/>
  <c r="AV171" i="1"/>
  <c r="AV174" i="1"/>
  <c r="AV166" i="1"/>
  <c r="AI172" i="1"/>
  <c r="AI177" i="1"/>
  <c r="AI176" i="1"/>
  <c r="AI175" i="1"/>
  <c r="AI174" i="1"/>
  <c r="AI173" i="1"/>
  <c r="V140" i="1"/>
  <c r="V139" i="1"/>
  <c r="BU191" i="1"/>
  <c r="BU192" i="1"/>
  <c r="AO374" i="1"/>
  <c r="T314" i="1"/>
  <c r="T316" i="1"/>
  <c r="T311" i="1"/>
  <c r="T310" i="1"/>
  <c r="T308" i="1"/>
  <c r="AN93" i="42" s="1"/>
  <c r="T313" i="1"/>
  <c r="T398" i="1"/>
  <c r="T315" i="1"/>
  <c r="N316" i="1"/>
  <c r="N311" i="1"/>
  <c r="N314" i="1"/>
  <c r="N315" i="1"/>
  <c r="N308" i="1"/>
  <c r="AI93" i="42" s="1"/>
  <c r="N398" i="1"/>
  <c r="N313" i="1"/>
  <c r="N310" i="1"/>
  <c r="N165" i="1"/>
  <c r="N166" i="1"/>
  <c r="T113" i="1"/>
  <c r="T114" i="1"/>
  <c r="AE179" i="1"/>
  <c r="AE178" i="1"/>
  <c r="F116" i="1"/>
  <c r="F117" i="1" s="1"/>
  <c r="F497" i="1"/>
  <c r="AI149" i="1"/>
  <c r="AI148" i="1"/>
  <c r="AI150" i="1"/>
  <c r="AI146" i="1"/>
  <c r="AI151" i="1"/>
  <c r="AI145" i="1"/>
  <c r="AI147" i="1"/>
  <c r="V192" i="1"/>
  <c r="V191" i="1"/>
  <c r="BW191" i="1"/>
  <c r="BW192" i="1"/>
  <c r="BR53" i="42"/>
  <c r="BO53" i="42"/>
  <c r="AI520" i="1"/>
  <c r="F194" i="1"/>
  <c r="F204" i="1" s="1"/>
  <c r="F196" i="1"/>
  <c r="F197" i="1"/>
  <c r="F198" i="1"/>
  <c r="F200" i="1"/>
  <c r="F195" i="1"/>
  <c r="F199" i="1"/>
  <c r="BW139" i="1"/>
  <c r="BW140" i="1"/>
  <c r="J192" i="1"/>
  <c r="J191" i="1"/>
  <c r="V587" i="1"/>
  <c r="V652" i="1" s="1"/>
  <c r="J165" i="1"/>
  <c r="J166" i="1"/>
  <c r="CA403" i="1"/>
  <c r="CC53" i="4" s="1"/>
  <c r="CA399" i="1"/>
  <c r="AP87" i="42"/>
  <c r="AI85" i="42"/>
  <c r="X583" i="1"/>
  <c r="CC114" i="1"/>
  <c r="CC113" i="1"/>
  <c r="BY128" i="1"/>
  <c r="BY127" i="1"/>
  <c r="AI329" i="1"/>
  <c r="AV190" i="1"/>
  <c r="P531" i="1"/>
  <c r="BO45" i="42"/>
  <c r="BR45" i="42"/>
  <c r="H312" i="1"/>
  <c r="H317" i="1"/>
  <c r="H141" i="1"/>
  <c r="BU311" i="1"/>
  <c r="BU314" i="1"/>
  <c r="BU316" i="1"/>
  <c r="BU313" i="1"/>
  <c r="BU308" i="1"/>
  <c r="BM93" i="42" s="1"/>
  <c r="BU426" i="1"/>
  <c r="BU310" i="1"/>
  <c r="BU315" i="1"/>
  <c r="F587" i="1"/>
  <c r="F652" i="1" s="1"/>
  <c r="AI201" i="1"/>
  <c r="AI200" i="1"/>
  <c r="AI197" i="1"/>
  <c r="AI199" i="1"/>
  <c r="AI198" i="1"/>
  <c r="AI203" i="1"/>
  <c r="AI202" i="1"/>
  <c r="P191" i="1"/>
  <c r="P192" i="1"/>
  <c r="AI313" i="1"/>
  <c r="AI222" i="1"/>
  <c r="AV96" i="42"/>
  <c r="AI316" i="1"/>
  <c r="AI317" i="1"/>
  <c r="AE204" i="1"/>
  <c r="AE205" i="1"/>
  <c r="R191" i="1"/>
  <c r="R192" i="1"/>
  <c r="AG374" i="1"/>
  <c r="AG375" i="1" s="1"/>
  <c r="AI525" i="1"/>
  <c r="D107" i="1"/>
  <c r="D109" i="1"/>
  <c r="D108" i="1"/>
  <c r="D110" i="1"/>
  <c r="D112" i="1"/>
  <c r="D111" i="1"/>
  <c r="AI607" i="1"/>
  <c r="AI604" i="1"/>
  <c r="BH47" i="42"/>
  <c r="BH46" i="42"/>
  <c r="BF303" i="1"/>
  <c r="X113" i="1"/>
  <c r="X114" i="1"/>
  <c r="V166" i="1"/>
  <c r="V165" i="1"/>
  <c r="AE527" i="1"/>
  <c r="R100" i="19"/>
  <c r="DG43" i="4"/>
  <c r="CU43" i="4"/>
  <c r="GR43" i="4"/>
  <c r="AE408" i="1"/>
  <c r="AE409" i="1"/>
  <c r="N139" i="1"/>
  <c r="N140" i="1"/>
  <c r="F312" i="1"/>
  <c r="F317" i="1"/>
  <c r="AG582" i="1"/>
  <c r="AG584" i="1" s="1"/>
  <c r="J140" i="1"/>
  <c r="J139" i="1"/>
  <c r="F167" i="1"/>
  <c r="AG78" i="42"/>
  <c r="L376" i="1"/>
  <c r="AI123" i="1"/>
  <c r="AI124" i="1"/>
  <c r="AI125" i="1"/>
  <c r="AI120" i="1"/>
  <c r="AI121" i="1"/>
  <c r="AI122" i="1"/>
  <c r="AN85" i="42"/>
  <c r="J587" i="1"/>
  <c r="J652" i="1" s="1"/>
  <c r="X312" i="1"/>
  <c r="X317" i="1"/>
  <c r="D159" i="1"/>
  <c r="D160" i="1"/>
  <c r="D161" i="1"/>
  <c r="D163" i="1"/>
  <c r="D162" i="1"/>
  <c r="D164" i="1"/>
  <c r="X191" i="1"/>
  <c r="X192" i="1"/>
  <c r="BU114" i="1"/>
  <c r="BU113" i="1"/>
  <c r="AI557" i="1"/>
  <c r="AI556" i="1" s="1"/>
  <c r="AI528" i="1"/>
  <c r="D134" i="1"/>
  <c r="D135" i="1"/>
  <c r="D133" i="1"/>
  <c r="D136" i="1"/>
  <c r="D137" i="1"/>
  <c r="D138" i="1"/>
  <c r="D132" i="1"/>
  <c r="AE152" i="1"/>
  <c r="AE153" i="1"/>
  <c r="Y33" i="42"/>
  <c r="AD6" i="4"/>
  <c r="D307" i="1"/>
  <c r="AI87" i="42"/>
  <c r="BU167" i="1"/>
  <c r="CA154" i="1"/>
  <c r="CA274" i="1" s="1"/>
  <c r="BU140" i="1"/>
  <c r="BU139" i="1"/>
  <c r="AN87" i="42"/>
  <c r="R317" i="1"/>
  <c r="R312" i="1"/>
  <c r="P165" i="1"/>
  <c r="P166" i="1"/>
  <c r="AI524" i="1"/>
  <c r="D187" i="1"/>
  <c r="D185" i="1"/>
  <c r="D184" i="1"/>
  <c r="D188" i="1"/>
  <c r="D189" i="1"/>
  <c r="D190" i="1"/>
  <c r="D186" i="1"/>
  <c r="AO382" i="1"/>
  <c r="AY39" i="42"/>
  <c r="BF90" i="1"/>
  <c r="BF93" i="1" s="1"/>
  <c r="P114" i="1"/>
  <c r="P113" i="1"/>
  <c r="AK85" i="42"/>
  <c r="BW113" i="1"/>
  <c r="BW114" i="1"/>
  <c r="P587" i="1"/>
  <c r="P652" i="1" s="1"/>
  <c r="AW41" i="4"/>
  <c r="AB41" i="4"/>
  <c r="Z41" i="4"/>
  <c r="Y41" i="4"/>
  <c r="AC41" i="4"/>
  <c r="AK41" i="4"/>
  <c r="Z56" i="4"/>
  <c r="AA6" i="4"/>
  <c r="AC56" i="4"/>
  <c r="Y56" i="4"/>
  <c r="AY29" i="4"/>
  <c r="AW54" i="4"/>
  <c r="BB6" i="4"/>
  <c r="Y52" i="4"/>
  <c r="AC52" i="4"/>
  <c r="AB52" i="4"/>
  <c r="AY6" i="4"/>
  <c r="Z52" i="4"/>
  <c r="BP42" i="4"/>
  <c r="AB56" i="4"/>
  <c r="BC29" i="4"/>
  <c r="AA44" i="4"/>
  <c r="BB29" i="4"/>
  <c r="BC6" i="4"/>
  <c r="BP46" i="4"/>
  <c r="AA29" i="4"/>
  <c r="AE531" i="1" l="1"/>
  <c r="AE530" i="1" s="1"/>
  <c r="AI322" i="1"/>
  <c r="AV93" i="42" s="1"/>
  <c r="AI324" i="1"/>
  <c r="AI325" i="1"/>
  <c r="F119" i="1"/>
  <c r="AZ304" i="1"/>
  <c r="AI330" i="1"/>
  <c r="H170" i="1"/>
  <c r="AZ317" i="1"/>
  <c r="BE38" i="42" s="1"/>
  <c r="AI328" i="1"/>
  <c r="AI327" i="1"/>
  <c r="AZ318" i="1"/>
  <c r="BE91" i="42" s="1"/>
  <c r="BE95" i="42"/>
  <c r="AZ284" i="1"/>
  <c r="AZ362" i="1" s="1"/>
  <c r="AZ363" i="1" s="1"/>
  <c r="EW41" i="4" s="1"/>
  <c r="F120" i="1"/>
  <c r="H172" i="1"/>
  <c r="F118" i="1"/>
  <c r="H174" i="1"/>
  <c r="BY129" i="1"/>
  <c r="H171" i="1"/>
  <c r="H176" i="1"/>
  <c r="H173" i="1"/>
  <c r="H169" i="1"/>
  <c r="H175" i="1"/>
  <c r="AZ285" i="1"/>
  <c r="P193" i="1"/>
  <c r="AV117" i="1"/>
  <c r="BY196" i="1"/>
  <c r="BW175" i="1"/>
  <c r="CA170" i="1"/>
  <c r="CA178" i="1"/>
  <c r="BY145" i="1"/>
  <c r="AZ305" i="1"/>
  <c r="AI14" i="30"/>
  <c r="AI38" i="30" s="1"/>
  <c r="BE33" i="42"/>
  <c r="AD41" i="4"/>
  <c r="AV115" i="1"/>
  <c r="BE31" i="42"/>
  <c r="AI12" i="30"/>
  <c r="AI35" i="30" s="1"/>
  <c r="AV120" i="1"/>
  <c r="AZ302" i="1"/>
  <c r="AI13" i="30"/>
  <c r="AI37" i="30" s="1"/>
  <c r="BE32" i="42"/>
  <c r="CA177" i="1"/>
  <c r="BY148" i="1"/>
  <c r="BY195" i="1"/>
  <c r="CA176" i="1"/>
  <c r="BY143" i="1"/>
  <c r="AZ279" i="1"/>
  <c r="BE36" i="42" s="1"/>
  <c r="AZ297" i="1"/>
  <c r="AZ300" i="1"/>
  <c r="AZ301" i="1"/>
  <c r="CA171" i="1"/>
  <c r="BE45" i="42"/>
  <c r="BY197" i="1"/>
  <c r="CA172" i="1"/>
  <c r="BY146" i="1"/>
  <c r="V167" i="1"/>
  <c r="BY150" i="1"/>
  <c r="AV121" i="1"/>
  <c r="BU193" i="1"/>
  <c r="X556" i="1"/>
  <c r="X555" i="1" s="1"/>
  <c r="X557" i="1" s="1"/>
  <c r="H582" i="1"/>
  <c r="H581" i="1" s="1"/>
  <c r="H583" i="1" s="1"/>
  <c r="AE611" i="1"/>
  <c r="F152" i="1"/>
  <c r="BY151" i="1"/>
  <c r="F148" i="1"/>
  <c r="GL41" i="4"/>
  <c r="GK41" i="4"/>
  <c r="AZ204" i="1"/>
  <c r="AZ205" i="1"/>
  <c r="AZ208" i="1" s="1"/>
  <c r="AZ265" i="1" s="1"/>
  <c r="AZ270" i="1" s="1"/>
  <c r="AZ294" i="1"/>
  <c r="BE42" i="42"/>
  <c r="AZ373" i="1"/>
  <c r="AZ272" i="1"/>
  <c r="AZ273" i="1"/>
  <c r="AZ274" i="1" s="1"/>
  <c r="BE37" i="42"/>
  <c r="AZ366" i="1"/>
  <c r="AZ281" i="1"/>
  <c r="AZ322" i="1"/>
  <c r="AZ321" i="1"/>
  <c r="AZ316" i="1"/>
  <c r="BE40" i="42"/>
  <c r="AI31" i="30"/>
  <c r="AZ283" i="1"/>
  <c r="BW193" i="1"/>
  <c r="BW194" i="1" s="1"/>
  <c r="BW204" i="1" s="1"/>
  <c r="H556" i="1"/>
  <c r="H555" i="1" s="1"/>
  <c r="P141" i="1"/>
  <c r="P142" i="1" s="1"/>
  <c r="P152" i="1" s="1"/>
  <c r="R115" i="1"/>
  <c r="J115" i="1"/>
  <c r="P115" i="1"/>
  <c r="P116" i="1" s="1"/>
  <c r="P122" i="1" s="1"/>
  <c r="R193" i="1"/>
  <c r="F123" i="1"/>
  <c r="F150" i="1"/>
  <c r="R167" i="1"/>
  <c r="BY424" i="1"/>
  <c r="H178" i="1"/>
  <c r="BF91" i="1"/>
  <c r="BF83" i="1" s="1"/>
  <c r="J141" i="1"/>
  <c r="J142" i="1" s="1"/>
  <c r="J152" i="1" s="1"/>
  <c r="CC115" i="1"/>
  <c r="R141" i="1"/>
  <c r="J193" i="1"/>
  <c r="J194" i="1" s="1"/>
  <c r="J204" i="1" s="1"/>
  <c r="AV148" i="1"/>
  <c r="AV146" i="1"/>
  <c r="AV143" i="1"/>
  <c r="AV119" i="1"/>
  <c r="AV140" i="1"/>
  <c r="AV116" i="1"/>
  <c r="AV142" i="1"/>
  <c r="AV114" i="1"/>
  <c r="AV141" i="1"/>
  <c r="AV118" i="1"/>
  <c r="AV145" i="1"/>
  <c r="AV144" i="1"/>
  <c r="AV147" i="1"/>
  <c r="AE206" i="1"/>
  <c r="N115" i="1"/>
  <c r="CA128" i="1"/>
  <c r="CA127" i="1" s="1"/>
  <c r="CA129" i="1" s="1"/>
  <c r="CC193" i="1"/>
  <c r="BJ232" i="1"/>
  <c r="BJ268" i="1"/>
  <c r="BJ250" i="1"/>
  <c r="BJ226" i="1"/>
  <c r="BJ28" i="42"/>
  <c r="BJ220" i="1"/>
  <c r="BJ244" i="1"/>
  <c r="BJ262" i="1"/>
  <c r="BJ256" i="1"/>
  <c r="CC338" i="1"/>
  <c r="CC337" i="1"/>
  <c r="DG15" i="7"/>
  <c r="BJ89" i="1"/>
  <c r="BJ90" i="1" s="1"/>
  <c r="BJ93" i="1" s="1"/>
  <c r="BJ207" i="1"/>
  <c r="AN11" i="30"/>
  <c r="AN22" i="30" s="1"/>
  <c r="BJ298" i="1"/>
  <c r="BJ299" i="1"/>
  <c r="BJ208" i="1"/>
  <c r="F122" i="1"/>
  <c r="V115" i="1"/>
  <c r="V116" i="1" s="1"/>
  <c r="V117" i="1" s="1"/>
  <c r="BB259" i="1"/>
  <c r="X42" i="4"/>
  <c r="BB223" i="1"/>
  <c r="BB216" i="1"/>
  <c r="BB253" i="1"/>
  <c r="BB229" i="1"/>
  <c r="BF25" i="42"/>
  <c r="BB217" i="1"/>
  <c r="BB241" i="1"/>
  <c r="BB265" i="1"/>
  <c r="BB235" i="1"/>
  <c r="BB240" i="1" s="1"/>
  <c r="BF97" i="42" s="1"/>
  <c r="BB247" i="1"/>
  <c r="AV123" i="1"/>
  <c r="F121" i="1"/>
  <c r="V141" i="1"/>
  <c r="X167" i="1"/>
  <c r="X168" i="1" s="1"/>
  <c r="X170" i="1" s="1"/>
  <c r="T141" i="1"/>
  <c r="BB267" i="1"/>
  <c r="BB249" i="1"/>
  <c r="BB219" i="1"/>
  <c r="BB243" i="1"/>
  <c r="BF27" i="42"/>
  <c r="BB225" i="1"/>
  <c r="BB255" i="1"/>
  <c r="BB261" i="1"/>
  <c r="BB231" i="1"/>
  <c r="BJ248" i="1"/>
  <c r="BJ224" i="1"/>
  <c r="BJ26" i="42"/>
  <c r="BJ242" i="1"/>
  <c r="BJ266" i="1"/>
  <c r="BJ218" i="1"/>
  <c r="BJ260" i="1"/>
  <c r="BJ230" i="1"/>
  <c r="BJ254" i="1"/>
  <c r="BF78" i="42"/>
  <c r="BB399" i="1"/>
  <c r="AE82" i="7"/>
  <c r="K82" i="7"/>
  <c r="CR15" i="7"/>
  <c r="Q82" i="7"/>
  <c r="AF82" i="7"/>
  <c r="E82" i="7"/>
  <c r="R82" i="7"/>
  <c r="Y82" i="7"/>
  <c r="AH82" i="7"/>
  <c r="BB257" i="1"/>
  <c r="BB263" i="1"/>
  <c r="BB233" i="1"/>
  <c r="BB221" i="1"/>
  <c r="BB269" i="1"/>
  <c r="BB251" i="1"/>
  <c r="BB245" i="1"/>
  <c r="BB227" i="1"/>
  <c r="BJ259" i="1"/>
  <c r="BJ247" i="1"/>
  <c r="BJ223" i="1"/>
  <c r="BJ25" i="42"/>
  <c r="BJ235" i="1"/>
  <c r="BJ240" i="1" s="1"/>
  <c r="BJ97" i="42" s="1"/>
  <c r="BJ229" i="1"/>
  <c r="X46" i="4"/>
  <c r="BJ253" i="1"/>
  <c r="BJ265" i="1"/>
  <c r="BJ216" i="1"/>
  <c r="BJ241" i="1"/>
  <c r="BJ217" i="1"/>
  <c r="BW115" i="1"/>
  <c r="BW119" i="1" s="1"/>
  <c r="BU141" i="1"/>
  <c r="F126" i="1"/>
  <c r="X141" i="1"/>
  <c r="BB207" i="1"/>
  <c r="BB299" i="1"/>
  <c r="AJ11" i="30"/>
  <c r="AJ22" i="30" s="1"/>
  <c r="AK109" i="1"/>
  <c r="BB89" i="1"/>
  <c r="BB208" i="1"/>
  <c r="BB298" i="1"/>
  <c r="BJ227" i="1"/>
  <c r="BJ233" i="1"/>
  <c r="BJ257" i="1"/>
  <c r="BJ263" i="1"/>
  <c r="BJ251" i="1"/>
  <c r="BJ221" i="1"/>
  <c r="BJ245" i="1"/>
  <c r="BJ269" i="1"/>
  <c r="BJ79" i="42"/>
  <c r="BJ80" i="42"/>
  <c r="BB230" i="1"/>
  <c r="BB218" i="1"/>
  <c r="BB266" i="1"/>
  <c r="BB248" i="1"/>
  <c r="BB242" i="1"/>
  <c r="BF26" i="42"/>
  <c r="BB254" i="1"/>
  <c r="BB224" i="1"/>
  <c r="BB260" i="1"/>
  <c r="F125" i="1"/>
  <c r="F124" i="1"/>
  <c r="BB232" i="1"/>
  <c r="BB268" i="1"/>
  <c r="BB220" i="1"/>
  <c r="BB250" i="1"/>
  <c r="BB244" i="1"/>
  <c r="BF28" i="42"/>
  <c r="BB226" i="1"/>
  <c r="BB256" i="1"/>
  <c r="BB262" i="1"/>
  <c r="BJ261" i="1"/>
  <c r="BJ249" i="1"/>
  <c r="BJ231" i="1"/>
  <c r="BJ225" i="1"/>
  <c r="BJ27" i="42"/>
  <c r="BJ255" i="1"/>
  <c r="BJ267" i="1"/>
  <c r="BJ219" i="1"/>
  <c r="BJ243" i="1"/>
  <c r="AG557" i="1"/>
  <c r="AE154" i="1"/>
  <c r="BF92" i="1"/>
  <c r="BF99" i="1" s="1"/>
  <c r="AI558" i="1"/>
  <c r="X584" i="1"/>
  <c r="BQ95" i="42"/>
  <c r="AE532" i="1"/>
  <c r="AE559" i="1"/>
  <c r="BQ31" i="42"/>
  <c r="R394" i="1"/>
  <c r="R395" i="1"/>
  <c r="DB53" i="4"/>
  <c r="CP53" i="4"/>
  <c r="M110" i="19"/>
  <c r="CA280" i="1"/>
  <c r="CA279" i="1"/>
  <c r="BF94" i="1"/>
  <c r="BF95" i="1" s="1"/>
  <c r="D191" i="1"/>
  <c r="D192" i="1"/>
  <c r="BU168" i="1"/>
  <c r="BU173" i="1"/>
  <c r="BU172" i="1"/>
  <c r="BU177" i="1"/>
  <c r="BU176" i="1"/>
  <c r="BU170" i="1"/>
  <c r="BU174" i="1"/>
  <c r="BU169" i="1"/>
  <c r="BU178" i="1"/>
  <c r="BU175" i="1"/>
  <c r="BU171" i="1"/>
  <c r="F390" i="1"/>
  <c r="F391" i="1" s="1"/>
  <c r="F392" i="1"/>
  <c r="F393" i="1" s="1"/>
  <c r="AE410" i="1"/>
  <c r="CC116" i="1"/>
  <c r="CC124" i="1" s="1"/>
  <c r="CC119" i="1"/>
  <c r="CC120" i="1"/>
  <c r="F201" i="1"/>
  <c r="AI531" i="1"/>
  <c r="AI530" i="1" s="1"/>
  <c r="AI532" i="1" s="1"/>
  <c r="F504" i="1"/>
  <c r="F503" i="1" s="1"/>
  <c r="N167" i="1"/>
  <c r="N312" i="1"/>
  <c r="N317" i="1"/>
  <c r="AV177" i="1"/>
  <c r="AV176" i="1" s="1"/>
  <c r="AV178" i="1" s="1"/>
  <c r="T193" i="1"/>
  <c r="R168" i="1"/>
  <c r="R178" i="1" s="1"/>
  <c r="R175" i="1"/>
  <c r="R170" i="1"/>
  <c r="Y86" i="42"/>
  <c r="CA205" i="1"/>
  <c r="AO375" i="1"/>
  <c r="P317" i="1"/>
  <c r="P312" i="1"/>
  <c r="CA153" i="1"/>
  <c r="X394" i="1"/>
  <c r="X395" i="1"/>
  <c r="V142" i="1"/>
  <c r="V152" i="1" s="1"/>
  <c r="V148" i="1"/>
  <c r="V146" i="1"/>
  <c r="V147" i="1"/>
  <c r="V144" i="1"/>
  <c r="V143" i="1"/>
  <c r="V145" i="1"/>
  <c r="F394" i="1"/>
  <c r="F395" i="1"/>
  <c r="R194" i="1"/>
  <c r="R201" i="1" s="1"/>
  <c r="R199" i="1"/>
  <c r="R198" i="1"/>
  <c r="R200" i="1"/>
  <c r="R196" i="1"/>
  <c r="R195" i="1"/>
  <c r="R197" i="1"/>
  <c r="J167" i="1"/>
  <c r="F203" i="1"/>
  <c r="AI152" i="1"/>
  <c r="AI153" i="1"/>
  <c r="R142" i="1"/>
  <c r="R152" i="1" s="1"/>
  <c r="R144" i="1"/>
  <c r="R146" i="1"/>
  <c r="R145" i="1"/>
  <c r="R147" i="1"/>
  <c r="R143" i="1"/>
  <c r="Y87" i="42"/>
  <c r="BQ45" i="42"/>
  <c r="T142" i="1"/>
  <c r="T149" i="1" s="1"/>
  <c r="T146" i="1"/>
  <c r="T143" i="1"/>
  <c r="T147" i="1"/>
  <c r="T148" i="1"/>
  <c r="T145" i="1"/>
  <c r="T144" i="1"/>
  <c r="CA405" i="1"/>
  <c r="BP79" i="42" s="1"/>
  <c r="CA275" i="1"/>
  <c r="CA276" i="1"/>
  <c r="CA277" i="1" s="1"/>
  <c r="AG377" i="1"/>
  <c r="AU108" i="42"/>
  <c r="Y85" i="42"/>
  <c r="CC304" i="1"/>
  <c r="BQ32" i="42"/>
  <c r="BW116" i="1"/>
  <c r="BW124" i="1" s="1"/>
  <c r="CB35" i="4"/>
  <c r="AY62" i="42"/>
  <c r="AI126" i="1"/>
  <c r="AI127" i="1"/>
  <c r="V168" i="1"/>
  <c r="V178" i="1" s="1"/>
  <c r="AI326" i="1"/>
  <c r="BW141" i="1"/>
  <c r="AE180" i="1"/>
  <c r="H116" i="1"/>
  <c r="H118" i="1" s="1"/>
  <c r="H497" i="1"/>
  <c r="AI609" i="1"/>
  <c r="AI608" i="1" s="1"/>
  <c r="AI611" i="1" s="1"/>
  <c r="AI614" i="1" s="1"/>
  <c r="AI679" i="1" s="1"/>
  <c r="CA180" i="1"/>
  <c r="CA179" i="1" s="1"/>
  <c r="CA181" i="1" s="1"/>
  <c r="CA424" i="1"/>
  <c r="H180" i="1"/>
  <c r="H179" i="1" s="1"/>
  <c r="H181" i="1" s="1"/>
  <c r="BF85" i="1"/>
  <c r="BF88" i="1" s="1"/>
  <c r="BF87" i="1"/>
  <c r="BF86" i="1"/>
  <c r="J197" i="1"/>
  <c r="J200" i="1"/>
  <c r="J198" i="1"/>
  <c r="J199" i="1"/>
  <c r="J196" i="1"/>
  <c r="J195" i="1"/>
  <c r="T312" i="1"/>
  <c r="T317" i="1"/>
  <c r="D311" i="1"/>
  <c r="D314" i="1"/>
  <c r="D316" i="1"/>
  <c r="D315" i="1"/>
  <c r="D310" i="1"/>
  <c r="D398" i="1"/>
  <c r="D313" i="1"/>
  <c r="D308" i="1"/>
  <c r="Y93" i="42" s="1"/>
  <c r="BU115" i="1"/>
  <c r="AE207" i="1"/>
  <c r="AE215" i="1" s="1"/>
  <c r="AE209" i="1"/>
  <c r="AE210" i="1"/>
  <c r="AE214" i="1"/>
  <c r="AE212" i="1"/>
  <c r="AE213" i="1"/>
  <c r="AE211" i="1"/>
  <c r="AE208" i="1"/>
  <c r="AV85" i="42"/>
  <c r="BU312" i="1"/>
  <c r="BU317" i="1"/>
  <c r="F202" i="1"/>
  <c r="J317" i="1"/>
  <c r="J312" i="1"/>
  <c r="BY203" i="1"/>
  <c r="BW180" i="1"/>
  <c r="BW179" i="1" s="1"/>
  <c r="BW181" i="1" s="1"/>
  <c r="BY154" i="1"/>
  <c r="BY274" i="1" s="1"/>
  <c r="T167" i="1"/>
  <c r="CC141" i="1"/>
  <c r="F149" i="1"/>
  <c r="F154" i="1" s="1"/>
  <c r="R392" i="1"/>
  <c r="R393" i="1" s="1"/>
  <c r="R390" i="1"/>
  <c r="R391" i="1" s="1"/>
  <c r="H395" i="1"/>
  <c r="H394" i="1"/>
  <c r="AI179" i="1"/>
  <c r="AI178" i="1"/>
  <c r="BU142" i="1"/>
  <c r="BU151" i="1" s="1"/>
  <c r="BU144" i="1"/>
  <c r="BU146" i="1"/>
  <c r="BU147" i="1"/>
  <c r="BU150" i="1"/>
  <c r="BU145" i="1"/>
  <c r="BU149" i="1"/>
  <c r="BU148" i="1"/>
  <c r="BU143" i="1"/>
  <c r="AE155" i="1"/>
  <c r="AE164" i="1" s="1"/>
  <c r="AE156" i="1"/>
  <c r="AE161" i="1"/>
  <c r="AE160" i="1"/>
  <c r="AE157" i="1"/>
  <c r="AE158" i="1"/>
  <c r="AE159" i="1"/>
  <c r="F168" i="1"/>
  <c r="F170" i="1" s="1"/>
  <c r="F173" i="1"/>
  <c r="D114" i="1"/>
  <c r="D113" i="1"/>
  <c r="AV87" i="42"/>
  <c r="AI205" i="1"/>
  <c r="AI204" i="1"/>
  <c r="AV191" i="1"/>
  <c r="AV200" i="1" s="1"/>
  <c r="AV194" i="1"/>
  <c r="AV198" i="1"/>
  <c r="AV195" i="1"/>
  <c r="AV193" i="1"/>
  <c r="AV199" i="1"/>
  <c r="AV192" i="1"/>
  <c r="AV197" i="1"/>
  <c r="AV196" i="1"/>
  <c r="BW202" i="1"/>
  <c r="BW197" i="1"/>
  <c r="BW195" i="1"/>
  <c r="BW201" i="1"/>
  <c r="BW196" i="1"/>
  <c r="BW199" i="1"/>
  <c r="J116" i="1"/>
  <c r="J125" i="1" s="1"/>
  <c r="J497" i="1"/>
  <c r="J504" i="1" s="1"/>
  <c r="J503" i="1" s="1"/>
  <c r="D587" i="1"/>
  <c r="D652" i="1" s="1"/>
  <c r="P143" i="1"/>
  <c r="P144" i="1"/>
  <c r="R116" i="1"/>
  <c r="R124" i="1" s="1"/>
  <c r="R497" i="1"/>
  <c r="R504" i="1" s="1"/>
  <c r="R503" i="1" s="1"/>
  <c r="N116" i="1"/>
  <c r="N125" i="1" s="1"/>
  <c r="N497" i="1"/>
  <c r="CC194" i="1"/>
  <c r="CC202" i="1" s="1"/>
  <c r="CC203" i="1"/>
  <c r="CC200" i="1"/>
  <c r="CC201" i="1"/>
  <c r="CC195" i="1"/>
  <c r="CC199" i="1"/>
  <c r="N587" i="1"/>
  <c r="N652" i="1" s="1"/>
  <c r="BY403" i="1"/>
  <c r="BY399" i="1"/>
  <c r="AG611" i="1"/>
  <c r="AG614" i="1" s="1"/>
  <c r="AG679" i="1" s="1"/>
  <c r="P167" i="1"/>
  <c r="D165" i="1"/>
  <c r="D166" i="1"/>
  <c r="J144" i="1"/>
  <c r="J150" i="1"/>
  <c r="J145" i="1"/>
  <c r="J143" i="1"/>
  <c r="J148" i="1"/>
  <c r="J146" i="1"/>
  <c r="J149" i="1"/>
  <c r="J147" i="1"/>
  <c r="X115" i="1"/>
  <c r="AV86" i="42"/>
  <c r="H142" i="1"/>
  <c r="H150" i="1" s="1"/>
  <c r="H143" i="1"/>
  <c r="H144" i="1"/>
  <c r="H145" i="1"/>
  <c r="H146" i="1"/>
  <c r="H149" i="1"/>
  <c r="H151" i="1"/>
  <c r="H147" i="1"/>
  <c r="V193" i="1"/>
  <c r="T115" i="1"/>
  <c r="CC167" i="1"/>
  <c r="CQ14" i="4"/>
  <c r="DC14" i="4"/>
  <c r="N71" i="19"/>
  <c r="GR14" i="4"/>
  <c r="CF54" i="4"/>
  <c r="BQ67" i="42"/>
  <c r="AG556" i="1"/>
  <c r="D140" i="1"/>
  <c r="D139" i="1"/>
  <c r="X193" i="1"/>
  <c r="X392" i="1"/>
  <c r="X393" i="1" s="1"/>
  <c r="X390" i="1"/>
  <c r="X391" i="1" s="1"/>
  <c r="N141" i="1"/>
  <c r="P194" i="1"/>
  <c r="P201" i="1" s="1"/>
  <c r="P196" i="1"/>
  <c r="P198" i="1"/>
  <c r="P197" i="1"/>
  <c r="P195" i="1"/>
  <c r="H390" i="1"/>
  <c r="H391" i="1" s="1"/>
  <c r="H392" i="1"/>
  <c r="H393" i="1" s="1"/>
  <c r="CA400" i="1"/>
  <c r="CA402" i="1"/>
  <c r="BU194" i="1"/>
  <c r="BU203" i="1" s="1"/>
  <c r="BU196" i="1"/>
  <c r="BU197" i="1"/>
  <c r="BU201" i="1"/>
  <c r="BU202" i="1"/>
  <c r="BU200" i="1"/>
  <c r="BU195" i="1"/>
  <c r="BU198" i="1"/>
  <c r="BU199" i="1"/>
  <c r="X142" i="1"/>
  <c r="X152" i="1" s="1"/>
  <c r="X146" i="1"/>
  <c r="X148" i="1"/>
  <c r="X147" i="1"/>
  <c r="X145" i="1"/>
  <c r="X143" i="1"/>
  <c r="X144" i="1"/>
  <c r="AE128" i="1"/>
  <c r="V531" i="1"/>
  <c r="H194" i="1"/>
  <c r="H202" i="1" s="1"/>
  <c r="H197" i="1"/>
  <c r="H198" i="1"/>
  <c r="H199" i="1"/>
  <c r="H201" i="1"/>
  <c r="H200" i="1"/>
  <c r="H195" i="1"/>
  <c r="H196" i="1"/>
  <c r="N193" i="1"/>
  <c r="V312" i="1"/>
  <c r="V317" i="1"/>
  <c r="BF41" i="4"/>
  <c r="BD41" i="4"/>
  <c r="AM41" i="4"/>
  <c r="AO41" i="4"/>
  <c r="AI41" i="4"/>
  <c r="AY41" i="4"/>
  <c r="BB41" i="4"/>
  <c r="BC41" i="4"/>
  <c r="AV41" i="4"/>
  <c r="AC54" i="4"/>
  <c r="BA46" i="4"/>
  <c r="BA42" i="4"/>
  <c r="AZ46" i="4"/>
  <c r="Y54" i="4"/>
  <c r="AB54" i="4"/>
  <c r="AZ42" i="4"/>
  <c r="Z54" i="4"/>
  <c r="R174" i="1" l="1"/>
  <c r="AI331" i="1"/>
  <c r="AZ383" i="1"/>
  <c r="AZ384" i="1" s="1"/>
  <c r="AZ387" i="1" s="1"/>
  <c r="AZ386" i="1"/>
  <c r="H119" i="1"/>
  <c r="V176" i="1"/>
  <c r="H117" i="1"/>
  <c r="V171" i="1"/>
  <c r="V172" i="1"/>
  <c r="V173" i="1"/>
  <c r="V169" i="1"/>
  <c r="R173" i="1"/>
  <c r="V497" i="1"/>
  <c r="V504" i="1" s="1"/>
  <c r="V503" i="1" s="1"/>
  <c r="V505" i="1" s="1"/>
  <c r="J118" i="1"/>
  <c r="V170" i="1"/>
  <c r="R169" i="1"/>
  <c r="R118" i="1"/>
  <c r="J117" i="1"/>
  <c r="X172" i="1"/>
  <c r="R117" i="1"/>
  <c r="J119" i="1"/>
  <c r="V175" i="1"/>
  <c r="R171" i="1"/>
  <c r="P497" i="1"/>
  <c r="P504" i="1" s="1"/>
  <c r="P503" i="1" s="1"/>
  <c r="P505" i="1" s="1"/>
  <c r="R172" i="1"/>
  <c r="AI32" i="30"/>
  <c r="AI36" i="30" s="1"/>
  <c r="N117" i="1"/>
  <c r="AZ365" i="1"/>
  <c r="N120" i="1"/>
  <c r="F174" i="1"/>
  <c r="X176" i="1"/>
  <c r="X175" i="1"/>
  <c r="N121" i="1"/>
  <c r="F175" i="1"/>
  <c r="EO41" i="4"/>
  <c r="N123" i="1"/>
  <c r="N118" i="1"/>
  <c r="AI30" i="30"/>
  <c r="V174" i="1"/>
  <c r="V121" i="1"/>
  <c r="F169" i="1"/>
  <c r="X174" i="1"/>
  <c r="V119" i="1"/>
  <c r="X177" i="1"/>
  <c r="N119" i="1"/>
  <c r="F172" i="1"/>
  <c r="BB294" i="1"/>
  <c r="BF44" i="42" s="1"/>
  <c r="AI41" i="30"/>
  <c r="AI43" i="30" s="1"/>
  <c r="X169" i="1"/>
  <c r="V120" i="1"/>
  <c r="X171" i="1"/>
  <c r="V118" i="1"/>
  <c r="X173" i="1"/>
  <c r="N122" i="1"/>
  <c r="R119" i="1"/>
  <c r="F171" i="1"/>
  <c r="H120" i="1"/>
  <c r="BW198" i="1"/>
  <c r="CC118" i="1"/>
  <c r="J151" i="1"/>
  <c r="CC198" i="1"/>
  <c r="BW200" i="1"/>
  <c r="BW120" i="1"/>
  <c r="BE87" i="42"/>
  <c r="BW118" i="1"/>
  <c r="T151" i="1"/>
  <c r="BE86" i="42"/>
  <c r="V126" i="1"/>
  <c r="CC196" i="1"/>
  <c r="BW117" i="1"/>
  <c r="AZ372" i="1"/>
  <c r="AZ374" i="1" s="1"/>
  <c r="BE85" i="42"/>
  <c r="CC197" i="1"/>
  <c r="BW121" i="1"/>
  <c r="CC117" i="1"/>
  <c r="AI39" i="30"/>
  <c r="AI42" i="30" s="1"/>
  <c r="AZ367" i="1"/>
  <c r="AZ371" i="1"/>
  <c r="CC41" i="4" s="1"/>
  <c r="AZ311" i="1"/>
  <c r="AZ306" i="1"/>
  <c r="BE93" i="42" s="1"/>
  <c r="AZ396" i="1"/>
  <c r="AZ309" i="1"/>
  <c r="AZ312" i="1"/>
  <c r="AZ314" i="1"/>
  <c r="AZ313" i="1"/>
  <c r="AZ308" i="1"/>
  <c r="P147" i="1"/>
  <c r="J120" i="1"/>
  <c r="H152" i="1"/>
  <c r="F206" i="1"/>
  <c r="R120" i="1"/>
  <c r="P145" i="1"/>
  <c r="P123" i="1"/>
  <c r="H123" i="1"/>
  <c r="N126" i="1"/>
  <c r="AE165" i="1"/>
  <c r="AZ337" i="1"/>
  <c r="AZ341" i="1" s="1"/>
  <c r="AZ342" i="1"/>
  <c r="AZ406" i="1"/>
  <c r="AZ323" i="1"/>
  <c r="AZ320" i="1"/>
  <c r="AZ275" i="1"/>
  <c r="AZ288" i="1"/>
  <c r="AZ287" i="1"/>
  <c r="AZ360" i="1" s="1"/>
  <c r="AZ286" i="1"/>
  <c r="AZ346" i="1" s="1"/>
  <c r="AZ319" i="1"/>
  <c r="FM41" i="4"/>
  <c r="BE49" i="42"/>
  <c r="BE70" i="42"/>
  <c r="AZ336" i="1"/>
  <c r="AZ339" i="1"/>
  <c r="AZ344" i="1"/>
  <c r="BE55" i="42"/>
  <c r="FN41" i="4"/>
  <c r="BE62" i="42"/>
  <c r="CB41" i="4"/>
  <c r="AI40" i="30"/>
  <c r="F38" i="30" s="1"/>
  <c r="FA41" i="4"/>
  <c r="AZ296" i="1"/>
  <c r="AZ376" i="1"/>
  <c r="BE44" i="42"/>
  <c r="AZ375" i="1"/>
  <c r="EK41" i="4"/>
  <c r="AE217" i="1"/>
  <c r="AI128" i="1"/>
  <c r="AI129" i="1" s="1"/>
  <c r="AI137" i="1" s="1"/>
  <c r="R149" i="1"/>
  <c r="AE163" i="1"/>
  <c r="BW126" i="1"/>
  <c r="AE216" i="1"/>
  <c r="T150" i="1"/>
  <c r="R203" i="1"/>
  <c r="BU204" i="1"/>
  <c r="BW122" i="1"/>
  <c r="T152" i="1"/>
  <c r="H557" i="1"/>
  <c r="H584" i="1"/>
  <c r="H587" i="1" s="1"/>
  <c r="H652" i="1" s="1"/>
  <c r="X149" i="1"/>
  <c r="R202" i="1"/>
  <c r="P118" i="1"/>
  <c r="AV151" i="1"/>
  <c r="AV150" i="1" s="1"/>
  <c r="AV152" i="1" s="1"/>
  <c r="P203" i="1"/>
  <c r="H148" i="1"/>
  <c r="P117" i="1"/>
  <c r="CC122" i="1"/>
  <c r="P199" i="1"/>
  <c r="P126" i="1"/>
  <c r="J203" i="1"/>
  <c r="P119" i="1"/>
  <c r="F128" i="1"/>
  <c r="F127" i="1" s="1"/>
  <c r="F129" i="1" s="1"/>
  <c r="AV125" i="1"/>
  <c r="AV124" i="1" s="1"/>
  <c r="AV126" i="1" s="1"/>
  <c r="P120" i="1"/>
  <c r="P124" i="1"/>
  <c r="P121" i="1"/>
  <c r="BF100" i="1"/>
  <c r="H203" i="1"/>
  <c r="CC204" i="1"/>
  <c r="N124" i="1"/>
  <c r="P149" i="1"/>
  <c r="BW203" i="1"/>
  <c r="F176" i="1"/>
  <c r="J201" i="1"/>
  <c r="V177" i="1"/>
  <c r="BW125" i="1"/>
  <c r="V149" i="1"/>
  <c r="CC126" i="1"/>
  <c r="BF98" i="1"/>
  <c r="BJ47" i="42"/>
  <c r="J121" i="1"/>
  <c r="F177" i="1"/>
  <c r="BF97" i="1"/>
  <c r="BB92" i="1"/>
  <c r="BB90" i="1"/>
  <c r="BB252" i="1"/>
  <c r="BJ303" i="1"/>
  <c r="BJ46" i="42"/>
  <c r="BB303" i="1"/>
  <c r="BF46" i="42"/>
  <c r="P204" i="1"/>
  <c r="R121" i="1"/>
  <c r="P151" i="1"/>
  <c r="BU152" i="1"/>
  <c r="BW123" i="1"/>
  <c r="R204" i="1"/>
  <c r="V150" i="1"/>
  <c r="V151" i="1"/>
  <c r="R177" i="1"/>
  <c r="CC121" i="1"/>
  <c r="R396" i="1"/>
  <c r="AK111" i="1"/>
  <c r="AK112" i="1"/>
  <c r="AQ34" i="30" s="1"/>
  <c r="AK356" i="1"/>
  <c r="AK110" i="1"/>
  <c r="AK372" i="1"/>
  <c r="AK115" i="1"/>
  <c r="AK365" i="1"/>
  <c r="AK113" i="1"/>
  <c r="AK359" i="1"/>
  <c r="AK114" i="1"/>
  <c r="AK354" i="1"/>
  <c r="AK116" i="1"/>
  <c r="AK370" i="1"/>
  <c r="AK117" i="1"/>
  <c r="AK361" i="1"/>
  <c r="AK367" i="1"/>
  <c r="AN27" i="30"/>
  <c r="AN29" i="30" s="1"/>
  <c r="AN25" i="30"/>
  <c r="AN28" i="30" s="1"/>
  <c r="BF79" i="42"/>
  <c r="BF80" i="42"/>
  <c r="R122" i="1"/>
  <c r="J124" i="1"/>
  <c r="J202" i="1"/>
  <c r="AJ27" i="30"/>
  <c r="AJ29" i="30" s="1"/>
  <c r="AJ25" i="30"/>
  <c r="AJ28" i="30" s="1"/>
  <c r="BJ94" i="1"/>
  <c r="BJ246" i="1"/>
  <c r="BJ270" i="1"/>
  <c r="BJ234" i="1"/>
  <c r="AN18" i="30"/>
  <c r="BJ264" i="1"/>
  <c r="BJ63" i="42"/>
  <c r="BJ258" i="1"/>
  <c r="BJ294" i="1"/>
  <c r="BJ228" i="1"/>
  <c r="BJ295" i="1"/>
  <c r="BJ222" i="1"/>
  <c r="F205" i="1"/>
  <c r="F207" i="1" s="1"/>
  <c r="BF47" i="42"/>
  <c r="BJ252" i="1"/>
  <c r="BJ92" i="1"/>
  <c r="BJ98" i="1" s="1"/>
  <c r="BJ91" i="1"/>
  <c r="BJ83" i="1" s="1"/>
  <c r="H204" i="1"/>
  <c r="J126" i="1"/>
  <c r="R126" i="1"/>
  <c r="J122" i="1"/>
  <c r="F178" i="1"/>
  <c r="BY153" i="1"/>
  <c r="BY155" i="1" s="1"/>
  <c r="H122" i="1"/>
  <c r="R176" i="1"/>
  <c r="CC125" i="1"/>
  <c r="D193" i="1"/>
  <c r="D197" i="1" s="1"/>
  <c r="AJ18" i="30"/>
  <c r="BF63" i="42"/>
  <c r="BB264" i="1"/>
  <c r="BB258" i="1"/>
  <c r="BB222" i="1"/>
  <c r="BB246" i="1"/>
  <c r="BB228" i="1"/>
  <c r="BB295" i="1"/>
  <c r="BB234" i="1"/>
  <c r="BB270" i="1"/>
  <c r="R123" i="1"/>
  <c r="J123" i="1"/>
  <c r="BF101" i="1"/>
  <c r="AI206" i="1"/>
  <c r="AI207" i="1" s="1"/>
  <c r="AI217" i="1" s="1"/>
  <c r="BF96" i="1"/>
  <c r="AL34" i="30" s="1"/>
  <c r="AV201" i="1"/>
  <c r="AV203" i="1" s="1"/>
  <c r="AI180" i="1"/>
  <c r="AI181" i="1" s="1"/>
  <c r="AI191" i="1" s="1"/>
  <c r="CC168" i="1"/>
  <c r="CC177" i="1" s="1"/>
  <c r="CC175" i="1"/>
  <c r="CC174" i="1"/>
  <c r="CC173" i="1"/>
  <c r="V122" i="1"/>
  <c r="V532" i="1"/>
  <c r="X178" i="1"/>
  <c r="X151" i="1"/>
  <c r="P200" i="1"/>
  <c r="D141" i="1"/>
  <c r="P111" i="19"/>
  <c r="DE54" i="4"/>
  <c r="CS54" i="4"/>
  <c r="T116" i="1"/>
  <c r="T122" i="1" s="1"/>
  <c r="T497" i="1"/>
  <c r="J154" i="1"/>
  <c r="J153" i="1" s="1"/>
  <c r="CC52" i="4"/>
  <c r="CC56" i="4"/>
  <c r="R125" i="1"/>
  <c r="P148" i="1"/>
  <c r="P150" i="1"/>
  <c r="BU154" i="1"/>
  <c r="T168" i="1"/>
  <c r="T169" i="1" s="1"/>
  <c r="H125" i="1"/>
  <c r="R148" i="1"/>
  <c r="F396" i="1"/>
  <c r="X396" i="1"/>
  <c r="P392" i="1"/>
  <c r="P393" i="1" s="1"/>
  <c r="P390" i="1"/>
  <c r="P391" i="1" s="1"/>
  <c r="N394" i="1"/>
  <c r="N395" i="1"/>
  <c r="N194" i="1"/>
  <c r="N204" i="1" s="1"/>
  <c r="N196" i="1"/>
  <c r="N197" i="1"/>
  <c r="N200" i="1"/>
  <c r="N201" i="1"/>
  <c r="N202" i="1"/>
  <c r="N199" i="1"/>
  <c r="N198" i="1"/>
  <c r="N195" i="1"/>
  <c r="EL53" i="4"/>
  <c r="EX53" i="4"/>
  <c r="V194" i="1"/>
  <c r="V204" i="1" s="1"/>
  <c r="V196" i="1"/>
  <c r="V197" i="1"/>
  <c r="V199" i="1"/>
  <c r="V200" i="1"/>
  <c r="V201" i="1"/>
  <c r="V202" i="1"/>
  <c r="V198" i="1"/>
  <c r="V195" i="1"/>
  <c r="J505" i="1"/>
  <c r="J532" i="1"/>
  <c r="BW206" i="1"/>
  <c r="P125" i="1"/>
  <c r="P128" i="1" s="1"/>
  <c r="P127" i="1" s="1"/>
  <c r="P129" i="1" s="1"/>
  <c r="H396" i="1"/>
  <c r="BY405" i="1"/>
  <c r="BY275" i="1"/>
  <c r="BY276" i="1"/>
  <c r="BY277" i="1" s="1"/>
  <c r="BU116" i="1"/>
  <c r="BU123" i="1" s="1"/>
  <c r="BU119" i="1"/>
  <c r="BU118" i="1"/>
  <c r="BU117" i="1"/>
  <c r="BU121" i="1"/>
  <c r="BU120" i="1"/>
  <c r="BU122" i="1"/>
  <c r="D317" i="1"/>
  <c r="D312" i="1"/>
  <c r="BF127" i="1"/>
  <c r="BF128" i="1" s="1"/>
  <c r="BF179" i="1"/>
  <c r="BF180" i="1" s="1"/>
  <c r="BF154" i="1"/>
  <c r="BF155" i="1" s="1"/>
  <c r="BF102" i="1"/>
  <c r="BF103" i="1" s="1"/>
  <c r="H124" i="1"/>
  <c r="L92" i="19"/>
  <c r="GR35" i="4"/>
  <c r="DA35" i="4"/>
  <c r="CO35" i="4"/>
  <c r="CC403" i="1"/>
  <c r="CC54" i="4" s="1"/>
  <c r="CC399" i="1"/>
  <c r="J168" i="1"/>
  <c r="J170" i="1" s="1"/>
  <c r="AY108" i="42"/>
  <c r="AO377" i="1"/>
  <c r="N168" i="1"/>
  <c r="N170" i="1" s="1"/>
  <c r="N176" i="1"/>
  <c r="CC123" i="1"/>
  <c r="BH39" i="42"/>
  <c r="AL33" i="30"/>
  <c r="X194" i="1"/>
  <c r="X204" i="1" s="1"/>
  <c r="X198" i="1"/>
  <c r="X196" i="1"/>
  <c r="X197" i="1"/>
  <c r="X200" i="1"/>
  <c r="X195" i="1"/>
  <c r="X201" i="1"/>
  <c r="X199" i="1"/>
  <c r="X202" i="1"/>
  <c r="V124" i="1"/>
  <c r="AE129" i="1"/>
  <c r="AE138" i="1" s="1"/>
  <c r="AE133" i="1"/>
  <c r="AE130" i="1"/>
  <c r="AE132" i="1"/>
  <c r="AE134" i="1"/>
  <c r="AE131" i="1"/>
  <c r="BU206" i="1"/>
  <c r="P202" i="1"/>
  <c r="N142" i="1"/>
  <c r="N151" i="1" s="1"/>
  <c r="N143" i="1"/>
  <c r="N147" i="1"/>
  <c r="N148" i="1"/>
  <c r="N144" i="1"/>
  <c r="N145" i="1"/>
  <c r="N146" i="1"/>
  <c r="H154" i="1"/>
  <c r="H153" i="1" s="1"/>
  <c r="P146" i="1"/>
  <c r="H126" i="1"/>
  <c r="AE181" i="1"/>
  <c r="AE191" i="1" s="1"/>
  <c r="AE185" i="1"/>
  <c r="AE184" i="1"/>
  <c r="AE187" i="1"/>
  <c r="AE183" i="1"/>
  <c r="AE189" i="1"/>
  <c r="AE182" i="1"/>
  <c r="AE186" i="1"/>
  <c r="AE188" i="1"/>
  <c r="R150" i="1"/>
  <c r="R151" i="1"/>
  <c r="CA207" i="1"/>
  <c r="CA291" i="1" s="1"/>
  <c r="AE717" i="1"/>
  <c r="AE730" i="1"/>
  <c r="AE731" i="1"/>
  <c r="AE732" i="1" s="1"/>
  <c r="AE694" i="1"/>
  <c r="AE698" i="1"/>
  <c r="AE705" i="1"/>
  <c r="AE693" i="1"/>
  <c r="AE699" i="1"/>
  <c r="AE690" i="1"/>
  <c r="AE696" i="1"/>
  <c r="AE686" i="1"/>
  <c r="AE701" i="1"/>
  <c r="AE700" i="1"/>
  <c r="AE702" i="1"/>
  <c r="AI559" i="1"/>
  <c r="AI613" i="1" s="1"/>
  <c r="AI210" i="1"/>
  <c r="AI208" i="1"/>
  <c r="AI211" i="1"/>
  <c r="AI212" i="1"/>
  <c r="AI209" i="1"/>
  <c r="AI213" i="1"/>
  <c r="AI214" i="1"/>
  <c r="BU418" i="1"/>
  <c r="BU419" i="1" s="1"/>
  <c r="BU420" i="1"/>
  <c r="BU421" i="1" s="1"/>
  <c r="T390" i="1"/>
  <c r="T391" i="1" s="1"/>
  <c r="T392" i="1"/>
  <c r="T393" i="1" s="1"/>
  <c r="BW142" i="1"/>
  <c r="BW149" i="1" s="1"/>
  <c r="BW147" i="1"/>
  <c r="BW146" i="1"/>
  <c r="BW148" i="1"/>
  <c r="BW143" i="1"/>
  <c r="BW144" i="1"/>
  <c r="BW145" i="1"/>
  <c r="BY206" i="1"/>
  <c r="BY278" i="1" s="1"/>
  <c r="F505" i="1"/>
  <c r="F532" i="1"/>
  <c r="CA385" i="1"/>
  <c r="H206" i="1"/>
  <c r="H205" i="1" s="1"/>
  <c r="X150" i="1"/>
  <c r="V390" i="1"/>
  <c r="V391" i="1" s="1"/>
  <c r="V392" i="1"/>
  <c r="V393" i="1" s="1"/>
  <c r="V125" i="1"/>
  <c r="V394" i="1"/>
  <c r="V395" i="1"/>
  <c r="CC206" i="1"/>
  <c r="CC278" i="1" s="1"/>
  <c r="AE162" i="1"/>
  <c r="AE167" i="1" s="1"/>
  <c r="AE166" i="1" s="1"/>
  <c r="BU423" i="1"/>
  <c r="BU422" i="1"/>
  <c r="T394" i="1"/>
  <c r="T395" i="1"/>
  <c r="H121" i="1"/>
  <c r="H128" i="1" s="1"/>
  <c r="AI408" i="1"/>
  <c r="AI409" i="1"/>
  <c r="X587" i="1"/>
  <c r="X652" i="1" s="1"/>
  <c r="P168" i="1"/>
  <c r="P176" i="1" s="1"/>
  <c r="N128" i="1"/>
  <c r="N127" i="1" s="1"/>
  <c r="N129" i="1" s="1"/>
  <c r="P532" i="1"/>
  <c r="AI404" i="1"/>
  <c r="AI405" i="1" s="1"/>
  <c r="AI406" i="1"/>
  <c r="AI407" i="1" s="1"/>
  <c r="AI130" i="1"/>
  <c r="AI132" i="1"/>
  <c r="AI133" i="1"/>
  <c r="AI139" i="1"/>
  <c r="AI131" i="1"/>
  <c r="F153" i="1"/>
  <c r="R180" i="1"/>
  <c r="R179" i="1" s="1"/>
  <c r="R181" i="1" s="1"/>
  <c r="AG558" i="1"/>
  <c r="AG559" i="1"/>
  <c r="AG613" i="1" s="1"/>
  <c r="X116" i="1"/>
  <c r="X123" i="1" s="1"/>
  <c r="X497" i="1"/>
  <c r="X504" i="1" s="1"/>
  <c r="X503" i="1" s="1"/>
  <c r="D167" i="1"/>
  <c r="P154" i="1"/>
  <c r="P153" i="1" s="1"/>
  <c r="D115" i="1"/>
  <c r="J395" i="1"/>
  <c r="J394" i="1"/>
  <c r="AE219" i="1"/>
  <c r="AE218" i="1" s="1"/>
  <c r="H504" i="1"/>
  <c r="H503" i="1" s="1"/>
  <c r="V180" i="1"/>
  <c r="V179" i="1" s="1"/>
  <c r="V181" i="1" s="1"/>
  <c r="BW128" i="1"/>
  <c r="BW127" i="1" s="1"/>
  <c r="BW129" i="1" s="1"/>
  <c r="T154" i="1"/>
  <c r="T153" i="1" s="1"/>
  <c r="CA155" i="1"/>
  <c r="CA369" i="1" s="1"/>
  <c r="BU180" i="1"/>
  <c r="BU179" i="1" s="1"/>
  <c r="BU181" i="1" s="1"/>
  <c r="R505" i="1"/>
  <c r="R532" i="1"/>
  <c r="V123" i="1"/>
  <c r="V128" i="1" s="1"/>
  <c r="V127" i="1" s="1"/>
  <c r="V129" i="1" s="1"/>
  <c r="X180" i="1"/>
  <c r="X179" i="1" s="1"/>
  <c r="X181" i="1" s="1"/>
  <c r="BY400" i="1"/>
  <c r="BY402" i="1"/>
  <c r="N504" i="1"/>
  <c r="N503" i="1" s="1"/>
  <c r="AI189" i="1"/>
  <c r="AI188" i="1"/>
  <c r="AI184" i="1"/>
  <c r="AI186" i="1"/>
  <c r="AI182" i="1"/>
  <c r="AI187" i="1"/>
  <c r="AI183" i="1"/>
  <c r="AI185" i="1"/>
  <c r="AI190" i="1"/>
  <c r="CC142" i="1"/>
  <c r="CC149" i="1" s="1"/>
  <c r="CC143" i="1"/>
  <c r="CC148" i="1"/>
  <c r="CC147" i="1"/>
  <c r="CC145" i="1"/>
  <c r="CC144" i="1"/>
  <c r="J390" i="1"/>
  <c r="J391" i="1" s="1"/>
  <c r="J392" i="1"/>
  <c r="J393" i="1" s="1"/>
  <c r="AI154" i="1"/>
  <c r="V154" i="1"/>
  <c r="V153" i="1" s="1"/>
  <c r="P394" i="1"/>
  <c r="P395" i="1"/>
  <c r="T194" i="1"/>
  <c r="T203" i="1" s="1"/>
  <c r="T200" i="1"/>
  <c r="T195" i="1"/>
  <c r="T202" i="1"/>
  <c r="T204" i="1"/>
  <c r="T199" i="1"/>
  <c r="T196" i="1"/>
  <c r="T201" i="1"/>
  <c r="T198" i="1"/>
  <c r="T197" i="1"/>
  <c r="N392" i="1"/>
  <c r="N393" i="1" s="1"/>
  <c r="N390" i="1"/>
  <c r="N391" i="1" s="1"/>
  <c r="CC128" i="1"/>
  <c r="CC127" i="1" s="1"/>
  <c r="CC129" i="1" s="1"/>
  <c r="D200" i="1"/>
  <c r="AV42" i="4"/>
  <c r="AQ41" i="4"/>
  <c r="AX41" i="4"/>
  <c r="BR41" i="4"/>
  <c r="AQ36" i="4"/>
  <c r="AW46" i="4"/>
  <c r="BD36" i="4"/>
  <c r="AV46" i="4"/>
  <c r="AM36" i="4"/>
  <c r="AW42" i="4"/>
  <c r="AK36" i="4"/>
  <c r="BF36" i="4"/>
  <c r="AO36" i="4"/>
  <c r="AI36" i="4"/>
  <c r="X117" i="1" l="1"/>
  <c r="V667" i="1"/>
  <c r="AQ42" i="42" s="1"/>
  <c r="X118" i="1"/>
  <c r="BE71" i="42"/>
  <c r="P171" i="1"/>
  <c r="T119" i="1"/>
  <c r="N173" i="1"/>
  <c r="R128" i="1"/>
  <c r="R127" i="1" s="1"/>
  <c r="R129" i="1" s="1"/>
  <c r="T178" i="1"/>
  <c r="T176" i="1"/>
  <c r="T175" i="1"/>
  <c r="N171" i="1"/>
  <c r="N172" i="1"/>
  <c r="P170" i="1"/>
  <c r="N174" i="1"/>
  <c r="J171" i="1"/>
  <c r="P169" i="1"/>
  <c r="P180" i="1" s="1"/>
  <c r="N169" i="1"/>
  <c r="J175" i="1"/>
  <c r="N175" i="1"/>
  <c r="T120" i="1"/>
  <c r="J169" i="1"/>
  <c r="T171" i="1"/>
  <c r="X120" i="1"/>
  <c r="T173" i="1"/>
  <c r="T177" i="1"/>
  <c r="X122" i="1"/>
  <c r="N177" i="1"/>
  <c r="J173" i="1"/>
  <c r="T172" i="1"/>
  <c r="T117" i="1"/>
  <c r="X119" i="1"/>
  <c r="J172" i="1"/>
  <c r="T174" i="1"/>
  <c r="T121" i="1"/>
  <c r="X121" i="1"/>
  <c r="J174" i="1"/>
  <c r="T170" i="1"/>
  <c r="T118" i="1"/>
  <c r="AI136" i="1"/>
  <c r="CC169" i="1"/>
  <c r="M98" i="19"/>
  <c r="CP41" i="4"/>
  <c r="DB41" i="4"/>
  <c r="AZ368" i="1"/>
  <c r="AZ370" i="1"/>
  <c r="AI671" i="1"/>
  <c r="AI686" i="1" s="1"/>
  <c r="BB63" i="42"/>
  <c r="AI678" i="1"/>
  <c r="AI700" i="1" s="1"/>
  <c r="AI636" i="1"/>
  <c r="AI696" i="1" s="1"/>
  <c r="AI643" i="1"/>
  <c r="BB95" i="42" s="1"/>
  <c r="AI629" i="1"/>
  <c r="CC146" i="1"/>
  <c r="CA380" i="1"/>
  <c r="CC171" i="1"/>
  <c r="AZ310" i="1"/>
  <c r="AZ315" i="1"/>
  <c r="AG685" i="1"/>
  <c r="AG701" i="1" s="1"/>
  <c r="AG671" i="1"/>
  <c r="AC18" i="30"/>
  <c r="BA63" i="42"/>
  <c r="AG629" i="1"/>
  <c r="AG678" i="1"/>
  <c r="AG688" i="1" s="1"/>
  <c r="AG643" i="1"/>
  <c r="BA95" i="42" s="1"/>
  <c r="AG636" i="1"/>
  <c r="AI135" i="1"/>
  <c r="N149" i="1"/>
  <c r="CC172" i="1"/>
  <c r="CC170" i="1"/>
  <c r="R206" i="1"/>
  <c r="R205" i="1" s="1"/>
  <c r="AI685" i="1"/>
  <c r="AI701" i="1" s="1"/>
  <c r="AI134" i="1"/>
  <c r="AI215" i="1"/>
  <c r="AE190" i="1"/>
  <c r="BU124" i="1"/>
  <c r="AZ276" i="1"/>
  <c r="AZ277" i="1" s="1"/>
  <c r="AV153" i="1"/>
  <c r="CF41" i="4"/>
  <c r="BE64" i="42"/>
  <c r="BE92" i="42"/>
  <c r="AZ327" i="1"/>
  <c r="AZ328" i="1" s="1"/>
  <c r="AZ325" i="1"/>
  <c r="AZ329" i="1"/>
  <c r="AZ331" i="1"/>
  <c r="AZ332" i="1" s="1"/>
  <c r="CD41" i="4"/>
  <c r="BE68" i="42"/>
  <c r="AZ324" i="1"/>
  <c r="BE51" i="42"/>
  <c r="BE84" i="42"/>
  <c r="L98" i="19"/>
  <c r="CO41" i="4"/>
  <c r="DA41" i="4"/>
  <c r="BE41" i="42"/>
  <c r="AZ343" i="1"/>
  <c r="AZ345" i="1"/>
  <c r="CA41" i="4"/>
  <c r="BE61" i="42"/>
  <c r="AZ338" i="1"/>
  <c r="AZ340" i="1"/>
  <c r="N152" i="1"/>
  <c r="BY283" i="1"/>
  <c r="BY289" i="1"/>
  <c r="CA319" i="1"/>
  <c r="BP38" i="42" s="1"/>
  <c r="CA294" i="1"/>
  <c r="CA296" i="1" s="1"/>
  <c r="J128" i="1"/>
  <c r="J127" i="1" s="1"/>
  <c r="J129" i="1" s="1"/>
  <c r="BU126" i="1"/>
  <c r="BJ100" i="1"/>
  <c r="P172" i="1"/>
  <c r="AI410" i="1"/>
  <c r="BJ99" i="1"/>
  <c r="F180" i="1"/>
  <c r="F179" i="1" s="1"/>
  <c r="F181" i="1" s="1"/>
  <c r="J206" i="1"/>
  <c r="J205" i="1" s="1"/>
  <c r="BJ101" i="1"/>
  <c r="CA282" i="1"/>
  <c r="BP36" i="42" s="1"/>
  <c r="AV202" i="1"/>
  <c r="AK363" i="1"/>
  <c r="BF45" i="42"/>
  <c r="BB376" i="1"/>
  <c r="P178" i="1"/>
  <c r="V396" i="1"/>
  <c r="AI216" i="1"/>
  <c r="R154" i="1"/>
  <c r="BY288" i="1"/>
  <c r="BU125" i="1"/>
  <c r="BU128" i="1" s="1"/>
  <c r="BU127" i="1" s="1"/>
  <c r="BU129" i="1" s="1"/>
  <c r="BU153" i="1"/>
  <c r="BF32" i="42"/>
  <c r="BB282" i="1"/>
  <c r="AJ13" i="30"/>
  <c r="Z42" i="4"/>
  <c r="BJ302" i="1"/>
  <c r="AN13" i="30"/>
  <c r="BJ282" i="1"/>
  <c r="Z46" i="4"/>
  <c r="BJ32" i="42"/>
  <c r="BJ318" i="1"/>
  <c r="BJ304" i="1"/>
  <c r="BJ319" i="1"/>
  <c r="BJ33" i="42"/>
  <c r="BJ305" i="1"/>
  <c r="BJ317" i="1"/>
  <c r="AD46" i="4"/>
  <c r="BJ383" i="1"/>
  <c r="AN14" i="30"/>
  <c r="AN38" i="30" s="1"/>
  <c r="BJ97" i="1"/>
  <c r="CA285" i="1"/>
  <c r="P177" i="1"/>
  <c r="CC205" i="1"/>
  <c r="CC207" i="1" s="1"/>
  <c r="CC291" i="1" s="1"/>
  <c r="BY282" i="1"/>
  <c r="BB305" i="1"/>
  <c r="BB317" i="1"/>
  <c r="AD42" i="4"/>
  <c r="BB383" i="1"/>
  <c r="BB319" i="1"/>
  <c r="BB304" i="1"/>
  <c r="AJ14" i="30"/>
  <c r="AJ38" i="30" s="1"/>
  <c r="BF33" i="42"/>
  <c r="BB318" i="1"/>
  <c r="BJ85" i="1"/>
  <c r="BJ88" i="1" s="1"/>
  <c r="BJ86" i="1"/>
  <c r="BJ87" i="1"/>
  <c r="BJ376" i="1"/>
  <c r="BJ44" i="42"/>
  <c r="BJ96" i="1"/>
  <c r="AN34" i="30" s="1"/>
  <c r="AQ33" i="30"/>
  <c r="AW39" i="42"/>
  <c r="AK382" i="1"/>
  <c r="BJ287" i="1"/>
  <c r="BJ288" i="1"/>
  <c r="D199" i="1"/>
  <c r="CA289" i="1"/>
  <c r="BY287" i="1"/>
  <c r="BR37" i="42" s="1"/>
  <c r="N203" i="1"/>
  <c r="AJ12" i="30"/>
  <c r="AJ35" i="30" s="1"/>
  <c r="BF31" i="42"/>
  <c r="Y42" i="4"/>
  <c r="BB279" i="1"/>
  <c r="BJ275" i="1"/>
  <c r="BJ277" i="1" s="1"/>
  <c r="BJ296" i="1"/>
  <c r="BJ301" i="1"/>
  <c r="BJ300" i="1"/>
  <c r="BJ271" i="1"/>
  <c r="BJ297" i="1"/>
  <c r="AB46" i="4"/>
  <c r="BJ95" i="1"/>
  <c r="CC152" i="1"/>
  <c r="P175" i="1"/>
  <c r="BY285" i="1"/>
  <c r="BR40" i="42" s="1"/>
  <c r="BB297" i="1"/>
  <c r="BB271" i="1"/>
  <c r="BB300" i="1"/>
  <c r="BB296" i="1"/>
  <c r="AB42" i="4"/>
  <c r="BB301" i="1"/>
  <c r="BB275" i="1"/>
  <c r="BB277" i="1" s="1"/>
  <c r="BJ272" i="1"/>
  <c r="BJ96" i="42"/>
  <c r="AA46" i="4"/>
  <c r="BJ375" i="1"/>
  <c r="BJ206" i="1"/>
  <c r="AK374" i="1"/>
  <c r="AK375" i="1" s="1"/>
  <c r="AA42" i="4"/>
  <c r="BB375" i="1"/>
  <c r="BF96" i="42"/>
  <c r="BB206" i="1"/>
  <c r="BB272" i="1"/>
  <c r="D198" i="1"/>
  <c r="CA306" i="1"/>
  <c r="BY306" i="1"/>
  <c r="BB273" i="1"/>
  <c r="BB276" i="1"/>
  <c r="AC42" i="4"/>
  <c r="BB286" i="1"/>
  <c r="BB285" i="1"/>
  <c r="BJ276" i="1"/>
  <c r="BJ273" i="1"/>
  <c r="AC46" i="4"/>
  <c r="BJ286" i="1"/>
  <c r="BJ285" i="1"/>
  <c r="BB93" i="1"/>
  <c r="BB91" i="1"/>
  <c r="BB83" i="1" s="1"/>
  <c r="BJ45" i="42"/>
  <c r="BY319" i="1"/>
  <c r="BO38" i="42" s="1"/>
  <c r="BB287" i="1"/>
  <c r="BB288" i="1"/>
  <c r="D195" i="1"/>
  <c r="D194" i="1"/>
  <c r="D202" i="1" s="1"/>
  <c r="D196" i="1"/>
  <c r="CC150" i="1"/>
  <c r="CC151" i="1"/>
  <c r="CA283" i="1"/>
  <c r="BP42" i="42" s="1"/>
  <c r="X126" i="1"/>
  <c r="H127" i="1"/>
  <c r="H129" i="1" s="1"/>
  <c r="CA389" i="1"/>
  <c r="BY294" i="1"/>
  <c r="BY296" i="1" s="1"/>
  <c r="BO44" i="42" s="1"/>
  <c r="BB284" i="1"/>
  <c r="BB365" i="1" s="1"/>
  <c r="BF95" i="42"/>
  <c r="AN12" i="30"/>
  <c r="AN35" i="30" s="1"/>
  <c r="Y46" i="4"/>
  <c r="BJ31" i="42"/>
  <c r="BJ279" i="1"/>
  <c r="BJ95" i="42"/>
  <c r="BJ284" i="1"/>
  <c r="BB302" i="1"/>
  <c r="AI138" i="1"/>
  <c r="AE137" i="1"/>
  <c r="AE135" i="1"/>
  <c r="AE136" i="1"/>
  <c r="GL36" i="4"/>
  <c r="GK36" i="4"/>
  <c r="R207" i="1"/>
  <c r="R208" i="1"/>
  <c r="J207" i="1"/>
  <c r="BY369" i="1"/>
  <c r="BY374" i="1"/>
  <c r="N505" i="1"/>
  <c r="N532" i="1"/>
  <c r="J155" i="1"/>
  <c r="J156" i="1"/>
  <c r="CA370" i="1"/>
  <c r="CA372" i="1"/>
  <c r="CA371" i="1"/>
  <c r="R26" i="33"/>
  <c r="R27" i="33"/>
  <c r="T155" i="1"/>
  <c r="D201" i="1"/>
  <c r="CA288" i="1"/>
  <c r="EL56" i="4"/>
  <c r="EX52" i="4"/>
  <c r="EX56" i="4"/>
  <c r="EL52" i="4"/>
  <c r="CA287" i="1"/>
  <c r="D168" i="1"/>
  <c r="D172" i="1" s="1"/>
  <c r="P174" i="1"/>
  <c r="T396" i="1"/>
  <c r="CC279" i="1"/>
  <c r="CC280" i="1" s="1"/>
  <c r="X154" i="1"/>
  <c r="X153" i="1" s="1"/>
  <c r="BW152" i="1"/>
  <c r="BW151" i="1"/>
  <c r="AE691" i="1"/>
  <c r="AE692" i="1" s="1"/>
  <c r="CA290" i="1"/>
  <c r="AE193" i="1"/>
  <c r="AE192" i="1" s="1"/>
  <c r="BY320" i="1"/>
  <c r="AE139" i="1"/>
  <c r="X203" i="1"/>
  <c r="X206" i="1" s="1"/>
  <c r="X205" i="1" s="1"/>
  <c r="J176" i="1"/>
  <c r="CC400" i="1"/>
  <c r="CC402" i="1"/>
  <c r="BF104" i="1"/>
  <c r="BF109" i="1"/>
  <c r="BF106" i="1"/>
  <c r="BF108" i="1"/>
  <c r="BF107" i="1"/>
  <c r="BF105" i="1"/>
  <c r="BW205" i="1"/>
  <c r="BW208" i="1" s="1"/>
  <c r="BW211" i="1" s="1"/>
  <c r="BW268" i="1" s="1"/>
  <c r="T126" i="1"/>
  <c r="CC176" i="1"/>
  <c r="P206" i="1"/>
  <c r="P205" i="1" s="1"/>
  <c r="R667" i="1"/>
  <c r="AM42" i="42" s="1"/>
  <c r="CA320" i="1"/>
  <c r="J396" i="1"/>
  <c r="X125" i="1"/>
  <c r="X124" i="1"/>
  <c r="P173" i="1"/>
  <c r="BU424" i="1"/>
  <c r="CA388" i="1"/>
  <c r="CA386" i="1"/>
  <c r="AI717" i="1"/>
  <c r="AI730" i="1"/>
  <c r="AI731" i="1"/>
  <c r="AI732" i="1" s="1"/>
  <c r="AI693" i="1"/>
  <c r="AI705" i="1"/>
  <c r="AI707" i="1" s="1"/>
  <c r="AI694" i="1"/>
  <c r="AE790" i="1"/>
  <c r="AE791" i="1" s="1"/>
  <c r="AE735" i="1"/>
  <c r="AE734" i="1"/>
  <c r="AZ91" i="42"/>
  <c r="AE729" i="1"/>
  <c r="N178" i="1"/>
  <c r="J178" i="1"/>
  <c r="DB54" i="4"/>
  <c r="CP54" i="4"/>
  <c r="M111" i="19"/>
  <c r="BF156" i="1"/>
  <c r="BF159" i="1"/>
  <c r="BF161" i="1"/>
  <c r="BF158" i="1"/>
  <c r="BF157" i="1"/>
  <c r="BF160" i="1"/>
  <c r="J586" i="1"/>
  <c r="J702" i="1"/>
  <c r="J703" i="1"/>
  <c r="J704" i="1" s="1"/>
  <c r="J677" i="1"/>
  <c r="J679" i="1" s="1"/>
  <c r="J689" i="1"/>
  <c r="T504" i="1"/>
  <c r="T503" i="1" s="1"/>
  <c r="BY205" i="1"/>
  <c r="F155" i="1"/>
  <c r="F156" i="1"/>
  <c r="CA383" i="1"/>
  <c r="CA381" i="1"/>
  <c r="AV204" i="1"/>
  <c r="AV205" i="1"/>
  <c r="AZ36" i="42"/>
  <c r="AB30" i="30"/>
  <c r="AB32" i="30"/>
  <c r="AB36" i="30" s="1"/>
  <c r="AZ38" i="42"/>
  <c r="AE793" i="1"/>
  <c r="BY413" i="1"/>
  <c r="J177" i="1"/>
  <c r="BF181" i="1"/>
  <c r="BF183" i="1"/>
  <c r="BF187" i="1"/>
  <c r="BF182" i="1"/>
  <c r="BF186" i="1"/>
  <c r="BF185" i="1"/>
  <c r="BF184" i="1"/>
  <c r="J667" i="1"/>
  <c r="AF42" i="42" s="1"/>
  <c r="V203" i="1"/>
  <c r="AV280" i="1"/>
  <c r="BC42" i="42" s="1"/>
  <c r="AV207" i="1"/>
  <c r="AV292" i="1"/>
  <c r="V586" i="1"/>
  <c r="V677" i="1"/>
  <c r="V679" i="1" s="1"/>
  <c r="V689" i="1"/>
  <c r="V702" i="1"/>
  <c r="V703" i="1"/>
  <c r="V704" i="1" s="1"/>
  <c r="CC178" i="1"/>
  <c r="F208" i="1"/>
  <c r="CA413" i="1"/>
  <c r="AE168" i="1"/>
  <c r="X505" i="1"/>
  <c r="X532" i="1"/>
  <c r="AG731" i="1"/>
  <c r="AG732" i="1" s="1"/>
  <c r="AG730" i="1"/>
  <c r="AG694" i="1"/>
  <c r="AG705" i="1"/>
  <c r="AG698" i="1"/>
  <c r="AG691" i="1"/>
  <c r="AG687" i="1"/>
  <c r="AI141" i="1"/>
  <c r="AI140" i="1" s="1"/>
  <c r="AI142" i="1" s="1"/>
  <c r="F586" i="1"/>
  <c r="F689" i="1"/>
  <c r="F677" i="1"/>
  <c r="F679" i="1" s="1"/>
  <c r="F702" i="1"/>
  <c r="F703" i="1"/>
  <c r="F704" i="1" s="1"/>
  <c r="BW150" i="1"/>
  <c r="BW154" i="1" s="1"/>
  <c r="AE707" i="1"/>
  <c r="AE785" i="1" s="1"/>
  <c r="AZ78" i="42" s="1"/>
  <c r="AB38" i="30"/>
  <c r="AB39" i="30"/>
  <c r="CA387" i="1"/>
  <c r="BY298" i="1"/>
  <c r="BF129" i="1"/>
  <c r="BF130" i="1"/>
  <c r="BF135" i="1"/>
  <c r="BF131" i="1"/>
  <c r="BF132" i="1"/>
  <c r="BF133" i="1"/>
  <c r="BF134" i="1"/>
  <c r="N396" i="1"/>
  <c r="T180" i="1"/>
  <c r="T179" i="1" s="1"/>
  <c r="T181" i="1" s="1"/>
  <c r="T123" i="1"/>
  <c r="P396" i="1"/>
  <c r="R586" i="1"/>
  <c r="R677" i="1"/>
  <c r="R679" i="1" s="1"/>
  <c r="R689" i="1"/>
  <c r="R702" i="1"/>
  <c r="R703" i="1"/>
  <c r="BP40" i="42"/>
  <c r="CA286" i="1"/>
  <c r="F667" i="1"/>
  <c r="AB42" i="42" s="1"/>
  <c r="AE775" i="1"/>
  <c r="AE776" i="1" s="1"/>
  <c r="EK36" i="4" s="1"/>
  <c r="AZ37" i="42"/>
  <c r="AE778" i="1"/>
  <c r="CA382" i="1"/>
  <c r="BR42" i="42"/>
  <c r="BO42" i="42"/>
  <c r="N150" i="1"/>
  <c r="BU205" i="1"/>
  <c r="BU208" i="1" s="1"/>
  <c r="N206" i="1"/>
  <c r="N205" i="1" s="1"/>
  <c r="CP56" i="4"/>
  <c r="M113" i="19"/>
  <c r="DB56" i="4"/>
  <c r="T124" i="1"/>
  <c r="BP44" i="42"/>
  <c r="CA407" i="1"/>
  <c r="CA298" i="1"/>
  <c r="CA404" i="1"/>
  <c r="P586" i="1"/>
  <c r="P703" i="1"/>
  <c r="P689" i="1"/>
  <c r="P677" i="1"/>
  <c r="P679" i="1" s="1"/>
  <c r="P702" i="1"/>
  <c r="CA374" i="1"/>
  <c r="AI219" i="1"/>
  <c r="AI218" i="1" s="1"/>
  <c r="AZ41" i="42"/>
  <c r="BO36" i="42"/>
  <c r="BY284" i="1"/>
  <c r="BR36" i="42"/>
  <c r="H155" i="1"/>
  <c r="BY373" i="1"/>
  <c r="BY371" i="1"/>
  <c r="V206" i="1"/>
  <c r="V205" i="1" s="1"/>
  <c r="CP52" i="4"/>
  <c r="DB52" i="4"/>
  <c r="M109" i="19"/>
  <c r="V155" i="1"/>
  <c r="V156" i="1"/>
  <c r="V283" i="1" s="1"/>
  <c r="AP42" i="42" s="1"/>
  <c r="D116" i="1"/>
  <c r="D125" i="1" s="1"/>
  <c r="D497" i="1"/>
  <c r="D504" i="1" s="1"/>
  <c r="D503" i="1" s="1"/>
  <c r="T206" i="1"/>
  <c r="T205" i="1" s="1"/>
  <c r="CA284" i="1"/>
  <c r="P156" i="1"/>
  <c r="P283" i="1" s="1"/>
  <c r="AK42" i="42" s="1"/>
  <c r="P155" i="1"/>
  <c r="P667" i="1"/>
  <c r="AE786" i="1"/>
  <c r="AE687" i="1"/>
  <c r="AE688" i="1"/>
  <c r="AE689" i="1" s="1"/>
  <c r="AZ42" i="42"/>
  <c r="AE697" i="1"/>
  <c r="AB35" i="30"/>
  <c r="AE695" i="1"/>
  <c r="AE749" i="1" s="1"/>
  <c r="R153" i="1"/>
  <c r="D395" i="1"/>
  <c r="D394" i="1"/>
  <c r="BU155" i="1"/>
  <c r="D142" i="1"/>
  <c r="D152" i="1" s="1"/>
  <c r="D147" i="1"/>
  <c r="D144" i="1"/>
  <c r="D146" i="1"/>
  <c r="D145" i="1"/>
  <c r="D143" i="1"/>
  <c r="H505" i="1"/>
  <c r="H532" i="1"/>
  <c r="AI155" i="1"/>
  <c r="AI164" i="1" s="1"/>
  <c r="AI159" i="1"/>
  <c r="AI160" i="1"/>
  <c r="AI156" i="1"/>
  <c r="AI157" i="1"/>
  <c r="AI158" i="1"/>
  <c r="AI161" i="1"/>
  <c r="AI193" i="1"/>
  <c r="AI192" i="1" s="1"/>
  <c r="AI194" i="1" s="1"/>
  <c r="AE220" i="1"/>
  <c r="H207" i="1"/>
  <c r="H208" i="1"/>
  <c r="BY279" i="1"/>
  <c r="BY280" i="1" s="1"/>
  <c r="AB31" i="30"/>
  <c r="AZ40" i="42"/>
  <c r="BY286" i="1"/>
  <c r="BO40" i="42"/>
  <c r="AE141" i="1"/>
  <c r="AE140" i="1" s="1"/>
  <c r="D392" i="1"/>
  <c r="D393" i="1" s="1"/>
  <c r="D390" i="1"/>
  <c r="D391" i="1" s="1"/>
  <c r="BO79" i="42"/>
  <c r="BR79" i="42"/>
  <c r="T125" i="1"/>
  <c r="CC180" i="1"/>
  <c r="CC179" i="1" s="1"/>
  <c r="CC181" i="1" s="1"/>
  <c r="AC30" i="4"/>
  <c r="Z37" i="4"/>
  <c r="Z30" i="4"/>
  <c r="AB37" i="4"/>
  <c r="Y30" i="4"/>
  <c r="Y37" i="4"/>
  <c r="AB30" i="4"/>
  <c r="AC37" i="4"/>
  <c r="AI53" i="4"/>
  <c r="BB46" i="4"/>
  <c r="AX53" i="4"/>
  <c r="AI30" i="4"/>
  <c r="BF37" i="4"/>
  <c r="AK53" i="4"/>
  <c r="BF17" i="4"/>
  <c r="AY46" i="4"/>
  <c r="AV56" i="4"/>
  <c r="AV9" i="4"/>
  <c r="BF23" i="4"/>
  <c r="AV30" i="4"/>
  <c r="AX42" i="4"/>
  <c r="AX46" i="4"/>
  <c r="AV52" i="4"/>
  <c r="AV17" i="4"/>
  <c r="AQ30" i="4"/>
  <c r="AO42" i="4"/>
  <c r="BD56" i="4"/>
  <c r="AO46" i="4"/>
  <c r="AQ37" i="4"/>
  <c r="BF53" i="4"/>
  <c r="BC42" i="4"/>
  <c r="BD17" i="4"/>
  <c r="BF9" i="4"/>
  <c r="AV13" i="4"/>
  <c r="AV53" i="4"/>
  <c r="AV36" i="4"/>
  <c r="AM37" i="4"/>
  <c r="BF13" i="4"/>
  <c r="BD13" i="4"/>
  <c r="AY42" i="4"/>
  <c r="BD37" i="4"/>
  <c r="BD30" i="4"/>
  <c r="AO53" i="4"/>
  <c r="AV23" i="4"/>
  <c r="BD53" i="4"/>
  <c r="AQ53" i="4"/>
  <c r="BC46" i="4"/>
  <c r="BF30" i="4"/>
  <c r="AX52" i="4"/>
  <c r="AK30" i="4"/>
  <c r="BD9" i="4"/>
  <c r="BD52" i="4"/>
  <c r="BD23" i="4"/>
  <c r="AM53" i="4"/>
  <c r="BB42" i="4"/>
  <c r="AX56" i="4"/>
  <c r="J283" i="1" l="1"/>
  <c r="AE42" i="42" s="1"/>
  <c r="D173" i="1"/>
  <c r="AG699" i="1"/>
  <c r="AG700" i="1"/>
  <c r="BY416" i="1"/>
  <c r="AI690" i="1"/>
  <c r="CA416" i="1"/>
  <c r="BY414" i="1"/>
  <c r="AI702" i="1"/>
  <c r="CA414" i="1"/>
  <c r="CA417" i="1" s="1"/>
  <c r="BR38" i="42"/>
  <c r="D174" i="1"/>
  <c r="D118" i="1"/>
  <c r="AI698" i="1"/>
  <c r="BY397" i="1"/>
  <c r="BY407" i="1"/>
  <c r="AI699" i="1"/>
  <c r="BY394" i="1"/>
  <c r="BY395" i="1" s="1"/>
  <c r="BY398" i="1" s="1"/>
  <c r="BR62" i="42" s="1"/>
  <c r="BR44" i="42"/>
  <c r="AG702" i="1"/>
  <c r="BO37" i="42"/>
  <c r="D117" i="1"/>
  <c r="D119" i="1"/>
  <c r="D175" i="1"/>
  <c r="D170" i="1"/>
  <c r="D171" i="1"/>
  <c r="D169" i="1"/>
  <c r="D204" i="1"/>
  <c r="AG693" i="1"/>
  <c r="AC12" i="30"/>
  <c r="BA31" i="42"/>
  <c r="EX41" i="4"/>
  <c r="EL41" i="4"/>
  <c r="BB31" i="42"/>
  <c r="AG690" i="1"/>
  <c r="AG692" i="1" s="1"/>
  <c r="AG689" i="1"/>
  <c r="AG686" i="1"/>
  <c r="AG786" i="1" s="1"/>
  <c r="BA79" i="42" s="1"/>
  <c r="AI715" i="1"/>
  <c r="BB32" i="42"/>
  <c r="CC154" i="1"/>
  <c r="CC274" i="1" s="1"/>
  <c r="AG696" i="1"/>
  <c r="BA32" i="42"/>
  <c r="AG715" i="1"/>
  <c r="AC13" i="30"/>
  <c r="AC37" i="30" s="1"/>
  <c r="AZ388" i="1"/>
  <c r="AZ389" i="1" s="1"/>
  <c r="AZ390" i="1"/>
  <c r="AZ391" i="1" s="1"/>
  <c r="AZ392" i="1"/>
  <c r="AZ393" i="1"/>
  <c r="D120" i="1"/>
  <c r="AZ333" i="1"/>
  <c r="AZ400" i="1" s="1"/>
  <c r="AZ401" i="1" s="1"/>
  <c r="BE81" i="42" s="1"/>
  <c r="D121" i="1"/>
  <c r="AZ330" i="1"/>
  <c r="BU41" i="4" s="1"/>
  <c r="BY378" i="1"/>
  <c r="AZ326" i="1"/>
  <c r="BE52" i="42" s="1"/>
  <c r="AZ353" i="1"/>
  <c r="AZ348" i="1"/>
  <c r="AZ350" i="1" s="1"/>
  <c r="AZ403" i="1"/>
  <c r="AZ402" i="1"/>
  <c r="CS41" i="4"/>
  <c r="DE41" i="4"/>
  <c r="P98" i="19"/>
  <c r="AZ347" i="1"/>
  <c r="DC41" i="4"/>
  <c r="CQ41" i="4"/>
  <c r="N98" i="19"/>
  <c r="CN41" i="4"/>
  <c r="K98" i="19"/>
  <c r="CZ41" i="4"/>
  <c r="AZ357" i="1"/>
  <c r="AZ355" i="1"/>
  <c r="AZ352" i="1"/>
  <c r="J180" i="1"/>
  <c r="J179" i="1" s="1"/>
  <c r="J181" i="1" s="1"/>
  <c r="P179" i="1"/>
  <c r="P181" i="1" s="1"/>
  <c r="AI165" i="1"/>
  <c r="AI162" i="1"/>
  <c r="BW153" i="1"/>
  <c r="BW156" i="1" s="1"/>
  <c r="BW210" i="1" s="1"/>
  <c r="BU211" i="1"/>
  <c r="BU268" i="1" s="1"/>
  <c r="D150" i="1"/>
  <c r="BJ384" i="1"/>
  <c r="FA46" i="4" s="1"/>
  <c r="X667" i="1"/>
  <c r="AS42" i="42" s="1"/>
  <c r="BU156" i="1"/>
  <c r="BU283" i="1" s="1"/>
  <c r="BM42" i="42" s="1"/>
  <c r="BJ281" i="1"/>
  <c r="BJ36" i="42"/>
  <c r="AN30" i="30"/>
  <c r="AN37" i="30"/>
  <c r="AN41" i="30"/>
  <c r="AN43" i="30" s="1"/>
  <c r="AN39" i="30"/>
  <c r="AN42" i="30" s="1"/>
  <c r="AI163" i="1"/>
  <c r="AI167" i="1" s="1"/>
  <c r="AI166" i="1" s="1"/>
  <c r="D396" i="1"/>
  <c r="D126" i="1"/>
  <c r="CA378" i="1"/>
  <c r="BF41" i="42"/>
  <c r="BJ344" i="1"/>
  <c r="BJ346" i="1"/>
  <c r="BJ339" i="1"/>
  <c r="BJ341" i="1"/>
  <c r="BF87" i="42"/>
  <c r="BJ353" i="1"/>
  <c r="BJ348" i="1"/>
  <c r="BJ68" i="42"/>
  <c r="CD46" i="4"/>
  <c r="BJ367" i="1"/>
  <c r="BJ371" i="1"/>
  <c r="CC46" i="4" s="1"/>
  <c r="BB348" i="1"/>
  <c r="BB351" i="1" s="1"/>
  <c r="BB353" i="1"/>
  <c r="BJ84" i="42"/>
  <c r="D151" i="1"/>
  <c r="BY376" i="1"/>
  <c r="X128" i="1"/>
  <c r="BJ352" i="1"/>
  <c r="BJ357" i="1"/>
  <c r="BJ355" i="1"/>
  <c r="BJ350" i="1"/>
  <c r="AK377" i="1"/>
  <c r="AW108" i="42"/>
  <c r="BJ39" i="42"/>
  <c r="AN33" i="30"/>
  <c r="BJ366" i="1"/>
  <c r="BB281" i="1"/>
  <c r="BF36" i="42"/>
  <c r="AJ30" i="30"/>
  <c r="D203" i="1"/>
  <c r="D206" i="1" s="1"/>
  <c r="BF84" i="42"/>
  <c r="BJ41" i="42"/>
  <c r="BJ322" i="1"/>
  <c r="BJ321" i="1"/>
  <c r="BJ91" i="42"/>
  <c r="D148" i="1"/>
  <c r="BU306" i="1"/>
  <c r="D124" i="1"/>
  <c r="BB86" i="1"/>
  <c r="BB85" i="1"/>
  <c r="BB88" i="1" s="1"/>
  <c r="BB87" i="1"/>
  <c r="BF86" i="42"/>
  <c r="BJ85" i="42"/>
  <c r="AW62" i="42"/>
  <c r="CB38" i="4"/>
  <c r="BJ127" i="1"/>
  <c r="BJ128" i="1" s="1"/>
  <c r="BJ179" i="1"/>
  <c r="BJ180" i="1" s="1"/>
  <c r="BJ154" i="1"/>
  <c r="BJ155" i="1" s="1"/>
  <c r="BJ102" i="1"/>
  <c r="BJ103" i="1" s="1"/>
  <c r="BB386" i="1"/>
  <c r="AJ32" i="30"/>
  <c r="AJ36" i="30" s="1"/>
  <c r="BF38" i="42"/>
  <c r="AJ39" i="30"/>
  <c r="AJ42" i="30" s="1"/>
  <c r="AJ37" i="30"/>
  <c r="AJ41" i="30"/>
  <c r="AJ43" i="30" s="1"/>
  <c r="BU319" i="1"/>
  <c r="H156" i="1"/>
  <c r="H283" i="1" s="1"/>
  <c r="AC42" i="42" s="1"/>
  <c r="T128" i="1"/>
  <c r="T127" i="1" s="1"/>
  <c r="T129" i="1" s="1"/>
  <c r="BB367" i="1"/>
  <c r="BB371" i="1"/>
  <c r="CC42" i="4" s="1"/>
  <c r="BB362" i="1"/>
  <c r="BB363" i="1" s="1"/>
  <c r="BF37" i="42"/>
  <c r="BB94" i="1"/>
  <c r="BB354" i="1"/>
  <c r="BB356" i="1"/>
  <c r="BB101" i="1"/>
  <c r="BB99" i="1"/>
  <c r="BB98" i="1"/>
  <c r="BB100" i="1"/>
  <c r="BB96" i="1"/>
  <c r="AJ34" i="30" s="1"/>
  <c r="BB97" i="1"/>
  <c r="BB95" i="1"/>
  <c r="BB274" i="1"/>
  <c r="BB372" i="1"/>
  <c r="BB373" i="1"/>
  <c r="BJ373" i="1"/>
  <c r="BJ372" i="1"/>
  <c r="BJ274" i="1"/>
  <c r="BF91" i="42"/>
  <c r="BB321" i="1"/>
  <c r="BB322" i="1"/>
  <c r="BB384" i="1"/>
  <c r="BB313" i="1"/>
  <c r="BB309" i="1"/>
  <c r="BB314" i="1"/>
  <c r="BB312" i="1"/>
  <c r="BB306" i="1"/>
  <c r="BF93" i="42" s="1"/>
  <c r="BB396" i="1"/>
  <c r="BB308" i="1"/>
  <c r="BB311" i="1"/>
  <c r="BF40" i="42"/>
  <c r="BB283" i="1"/>
  <c r="AJ31" i="30"/>
  <c r="BJ37" i="42"/>
  <c r="BJ362" i="1"/>
  <c r="BJ363" i="1" s="1"/>
  <c r="BY404" i="1"/>
  <c r="BB357" i="1"/>
  <c r="BB352" i="1"/>
  <c r="BB350" i="1"/>
  <c r="BB355" i="1"/>
  <c r="BF85" i="42"/>
  <c r="BJ86" i="42"/>
  <c r="BJ386" i="1"/>
  <c r="BJ38" i="42"/>
  <c r="AN32" i="30"/>
  <c r="AN36" i="30" s="1"/>
  <c r="BJ40" i="42"/>
  <c r="AN31" i="30"/>
  <c r="BJ283" i="1"/>
  <c r="CD42" i="4"/>
  <c r="BF68" i="42"/>
  <c r="D122" i="1"/>
  <c r="BB344" i="1"/>
  <c r="BB341" i="1"/>
  <c r="BB346" i="1"/>
  <c r="BB339" i="1"/>
  <c r="BJ87" i="42"/>
  <c r="BJ306" i="1"/>
  <c r="BJ93" i="42" s="1"/>
  <c r="BJ312" i="1"/>
  <c r="BJ313" i="1"/>
  <c r="BJ311" i="1"/>
  <c r="BJ396" i="1"/>
  <c r="BJ314" i="1"/>
  <c r="BJ309" i="1"/>
  <c r="BJ308" i="1"/>
  <c r="BJ365" i="1"/>
  <c r="AB42" i="30"/>
  <c r="GL9" i="4"/>
  <c r="GK9" i="4"/>
  <c r="GL30" i="4"/>
  <c r="GK30" i="4"/>
  <c r="EO30" i="4"/>
  <c r="GK53" i="4"/>
  <c r="GL53" i="4"/>
  <c r="GL13" i="4"/>
  <c r="GK13" i="4"/>
  <c r="GK37" i="4"/>
  <c r="GL37" i="4"/>
  <c r="GL17" i="4"/>
  <c r="GK17" i="4"/>
  <c r="GK23" i="4"/>
  <c r="GL23" i="4"/>
  <c r="GK52" i="4"/>
  <c r="GL52" i="4"/>
  <c r="GK56" i="4"/>
  <c r="GL56" i="4"/>
  <c r="P207" i="1"/>
  <c r="P208" i="1"/>
  <c r="X207" i="1"/>
  <c r="X208" i="1"/>
  <c r="T156" i="1"/>
  <c r="X155" i="1"/>
  <c r="N207" i="1"/>
  <c r="T505" i="1"/>
  <c r="T532" i="1"/>
  <c r="AE194" i="1"/>
  <c r="AE221" i="1"/>
  <c r="AE142" i="1"/>
  <c r="AE169" i="1"/>
  <c r="V208" i="1"/>
  <c r="V207" i="1"/>
  <c r="R155" i="1"/>
  <c r="R156" i="1"/>
  <c r="H211" i="1"/>
  <c r="H268" i="1" s="1"/>
  <c r="BM38" i="42"/>
  <c r="BU413" i="1"/>
  <c r="BU416" i="1"/>
  <c r="BP84" i="42"/>
  <c r="AB91" i="42"/>
  <c r="F707" i="1"/>
  <c r="F706" i="1"/>
  <c r="F701" i="1"/>
  <c r="AG765" i="1"/>
  <c r="AG763" i="1"/>
  <c r="AG768" i="1"/>
  <c r="AG770" i="1"/>
  <c r="AG775" i="1"/>
  <c r="AG776" i="1" s="1"/>
  <c r="EK37" i="4" s="1"/>
  <c r="BA37" i="42"/>
  <c r="AG778" i="1"/>
  <c r="BF188" i="1"/>
  <c r="BF189" i="1"/>
  <c r="BF163" i="1"/>
  <c r="BF162" i="1"/>
  <c r="AE794" i="1"/>
  <c r="FA33" i="4"/>
  <c r="FA30" i="4"/>
  <c r="FA36" i="4"/>
  <c r="AZ71" i="42"/>
  <c r="FA31" i="4"/>
  <c r="AE802" i="1"/>
  <c r="AE804" i="1" s="1"/>
  <c r="CH36" i="4" s="1"/>
  <c r="AI790" i="1"/>
  <c r="AI791" i="1" s="1"/>
  <c r="AI735" i="1"/>
  <c r="AI734" i="1"/>
  <c r="BB91" i="42"/>
  <c r="AI729" i="1"/>
  <c r="N180" i="1"/>
  <c r="N179" i="1" s="1"/>
  <c r="BP37" i="42"/>
  <c r="CA394" i="1"/>
  <c r="CA395" i="1" s="1"/>
  <c r="EK53" i="4" s="1"/>
  <c r="CA397" i="1"/>
  <c r="CC153" i="1"/>
  <c r="H319" i="1"/>
  <c r="AE773" i="1"/>
  <c r="BU207" i="1"/>
  <c r="R761" i="1"/>
  <c r="AM44" i="42"/>
  <c r="R681" i="1"/>
  <c r="R760" i="1"/>
  <c r="AB38" i="42"/>
  <c r="F765" i="1"/>
  <c r="F762" i="1"/>
  <c r="F763" i="1" s="1"/>
  <c r="EO9" i="4" s="1"/>
  <c r="AG707" i="1"/>
  <c r="AC38" i="30"/>
  <c r="AC39" i="30"/>
  <c r="V761" i="1"/>
  <c r="AQ44" i="42"/>
  <c r="V760" i="1"/>
  <c r="V681" i="1"/>
  <c r="J761" i="1"/>
  <c r="AF44" i="42"/>
  <c r="J681" i="1"/>
  <c r="J760" i="1"/>
  <c r="AE779" i="1"/>
  <c r="BB41" i="42"/>
  <c r="BB38" i="42"/>
  <c r="AI793" i="1"/>
  <c r="BP91" i="42"/>
  <c r="CA323" i="1"/>
  <c r="CA324" i="1"/>
  <c r="CA329" i="1"/>
  <c r="CA330" i="1" s="1"/>
  <c r="CA325" i="1"/>
  <c r="CC380" i="1"/>
  <c r="CC385" i="1"/>
  <c r="CC389" i="1" s="1"/>
  <c r="CC405" i="1"/>
  <c r="CC275" i="1"/>
  <c r="CC276" i="1"/>
  <c r="CC277" i="1" s="1"/>
  <c r="BY377" i="1"/>
  <c r="BY375" i="1"/>
  <c r="T207" i="1"/>
  <c r="T208" i="1"/>
  <c r="AI220" i="1"/>
  <c r="AI221" i="1"/>
  <c r="P765" i="1"/>
  <c r="P762" i="1"/>
  <c r="P763" i="1" s="1"/>
  <c r="R644" i="1"/>
  <c r="R658" i="1"/>
  <c r="AM63" i="42"/>
  <c r="R603" i="1"/>
  <c r="R609" i="1" s="1"/>
  <c r="R610" i="1"/>
  <c r="R616" i="1" s="1"/>
  <c r="R596" i="1"/>
  <c r="R602" i="1" s="1"/>
  <c r="R645" i="1"/>
  <c r="R651" i="1" s="1"/>
  <c r="BF137" i="1"/>
  <c r="BF136" i="1"/>
  <c r="F761" i="1"/>
  <c r="AB44" i="42"/>
  <c r="F681" i="1"/>
  <c r="F760" i="1"/>
  <c r="AG779" i="1"/>
  <c r="BA42" i="42"/>
  <c r="AG697" i="1"/>
  <c r="AC35" i="30"/>
  <c r="AG695" i="1"/>
  <c r="V644" i="1"/>
  <c r="V658" i="1"/>
  <c r="AQ63" i="42"/>
  <c r="V596" i="1"/>
  <c r="V602" i="1" s="1"/>
  <c r="V610" i="1"/>
  <c r="V616" i="1" s="1"/>
  <c r="V603" i="1"/>
  <c r="V609" i="1" s="1"/>
  <c r="V645" i="1"/>
  <c r="V651" i="1" s="1"/>
  <c r="BW207" i="1"/>
  <c r="BP41" i="42"/>
  <c r="CA384" i="1"/>
  <c r="BY372" i="1"/>
  <c r="BY370" i="1"/>
  <c r="D123" i="1"/>
  <c r="P761" i="1"/>
  <c r="P681" i="1"/>
  <c r="P760" i="1"/>
  <c r="BA41" i="42"/>
  <c r="BA38" i="42"/>
  <c r="AC32" i="30"/>
  <c r="AG793" i="1"/>
  <c r="X677" i="1"/>
  <c r="X679" i="1" s="1"/>
  <c r="X586" i="1"/>
  <c r="X702" i="1"/>
  <c r="X703" i="1"/>
  <c r="X704" i="1" s="1"/>
  <c r="X689" i="1"/>
  <c r="F211" i="1"/>
  <c r="F268" i="1" s="1"/>
  <c r="AV294" i="1"/>
  <c r="BY207" i="1"/>
  <c r="BY385" i="1" s="1"/>
  <c r="AF91" i="42"/>
  <c r="J707" i="1"/>
  <c r="J706" i="1"/>
  <c r="J701" i="1"/>
  <c r="BB36" i="42"/>
  <c r="Y40" i="23"/>
  <c r="CC290" i="1"/>
  <c r="BF111" i="1"/>
  <c r="BF110" i="1"/>
  <c r="N154" i="1"/>
  <c r="N153" i="1" s="1"/>
  <c r="CA373" i="1"/>
  <c r="J210" i="1"/>
  <c r="J294" i="1"/>
  <c r="J319" i="1"/>
  <c r="J320" i="1"/>
  <c r="J306" i="1"/>
  <c r="J208" i="1"/>
  <c r="H586" i="1"/>
  <c r="H702" i="1"/>
  <c r="H677" i="1"/>
  <c r="H679" i="1" s="1"/>
  <c r="H703" i="1"/>
  <c r="H704" i="1" s="1"/>
  <c r="H689" i="1"/>
  <c r="H667" i="1"/>
  <c r="AD42" i="42" s="1"/>
  <c r="AE755" i="1"/>
  <c r="AE759" i="1" s="1"/>
  <c r="AE750" i="1"/>
  <c r="EW33" i="4"/>
  <c r="EW36" i="4"/>
  <c r="AZ57" i="42"/>
  <c r="AG790" i="1"/>
  <c r="AG791" i="1" s="1"/>
  <c r="EO37" i="4" s="1"/>
  <c r="AG735" i="1"/>
  <c r="AG734" i="1"/>
  <c r="BA91" i="42"/>
  <c r="AG729" i="1"/>
  <c r="AV246" i="1"/>
  <c r="AV206" i="1" s="1"/>
  <c r="AV258" i="1"/>
  <c r="AG18" i="30"/>
  <c r="BD63" i="42"/>
  <c r="AV223" i="1"/>
  <c r="AV228" i="1" s="1"/>
  <c r="AV259" i="1"/>
  <c r="AV264" i="1" s="1"/>
  <c r="AV229" i="1"/>
  <c r="AV234" i="1" s="1"/>
  <c r="AV217" i="1"/>
  <c r="AV222" i="1" s="1"/>
  <c r="AV295" i="1"/>
  <c r="AZ70" i="42"/>
  <c r="AF38" i="42"/>
  <c r="J762" i="1"/>
  <c r="J763" i="1" s="1"/>
  <c r="J765" i="1"/>
  <c r="AE733" i="1"/>
  <c r="AE736" i="1"/>
  <c r="AE813" i="1"/>
  <c r="BB40" i="42"/>
  <c r="AE766" i="1"/>
  <c r="AE770" i="1" s="1"/>
  <c r="AE761" i="1"/>
  <c r="AE763" i="1" s="1"/>
  <c r="X127" i="1"/>
  <c r="X129" i="1" s="1"/>
  <c r="D178" i="1"/>
  <c r="D505" i="1"/>
  <c r="D532" i="1"/>
  <c r="BW155" i="1"/>
  <c r="P706" i="1"/>
  <c r="P707" i="1"/>
  <c r="P701" i="1"/>
  <c r="AM91" i="42"/>
  <c r="R707" i="1"/>
  <c r="R706" i="1"/>
  <c r="R701" i="1"/>
  <c r="F644" i="1"/>
  <c r="F658" i="1"/>
  <c r="AB63" i="42"/>
  <c r="F596" i="1"/>
  <c r="F602" i="1" s="1"/>
  <c r="F645" i="1"/>
  <c r="F651" i="1" s="1"/>
  <c r="F610" i="1"/>
  <c r="F616" i="1" s="1"/>
  <c r="F603" i="1"/>
  <c r="F609" i="1" s="1"/>
  <c r="AQ91" i="42"/>
  <c r="V706" i="1"/>
  <c r="V707" i="1"/>
  <c r="V701" i="1"/>
  <c r="BY417" i="1"/>
  <c r="FA56" i="4"/>
  <c r="BO71" i="42"/>
  <c r="FA52" i="4"/>
  <c r="BR71" i="42"/>
  <c r="BY425" i="1"/>
  <c r="BY427" i="1" s="1"/>
  <c r="AV208" i="1"/>
  <c r="AV265" i="1" s="1"/>
  <c r="AV270" i="1" s="1"/>
  <c r="J644" i="1"/>
  <c r="J658" i="1"/>
  <c r="AF63" i="42"/>
  <c r="J645" i="1"/>
  <c r="J651" i="1" s="1"/>
  <c r="J610" i="1"/>
  <c r="J616" i="1" s="1"/>
  <c r="J603" i="1"/>
  <c r="J609" i="1" s="1"/>
  <c r="J596" i="1"/>
  <c r="J602" i="1" s="1"/>
  <c r="BB42" i="42"/>
  <c r="AI697" i="1"/>
  <c r="AI695" i="1"/>
  <c r="AI749" i="1" s="1"/>
  <c r="EX54" i="4"/>
  <c r="EL54" i="4"/>
  <c r="D177" i="1"/>
  <c r="N586" i="1"/>
  <c r="N667" i="1"/>
  <c r="AJ42" i="42" s="1"/>
  <c r="N677" i="1"/>
  <c r="N679" i="1" s="1"/>
  <c r="N703" i="1"/>
  <c r="N704" i="1" s="1"/>
  <c r="N702" i="1"/>
  <c r="N689" i="1"/>
  <c r="R211" i="1"/>
  <c r="R268" i="1" s="1"/>
  <c r="EO36" i="4"/>
  <c r="AB37" i="30"/>
  <c r="AB41" i="30" s="1"/>
  <c r="D128" i="1"/>
  <c r="D127" i="1" s="1"/>
  <c r="D129" i="1" s="1"/>
  <c r="D149" i="1"/>
  <c r="D154" i="1" s="1"/>
  <c r="AE787" i="1"/>
  <c r="AZ79" i="42"/>
  <c r="P210" i="1"/>
  <c r="P294" i="1"/>
  <c r="P306" i="1"/>
  <c r="P319" i="1"/>
  <c r="P320" i="1"/>
  <c r="CA375" i="1"/>
  <c r="CA377" i="1"/>
  <c r="CA376" i="1"/>
  <c r="P704" i="1"/>
  <c r="BP78" i="42"/>
  <c r="R704" i="1"/>
  <c r="BR84" i="42"/>
  <c r="BO84" i="42"/>
  <c r="AE789" i="1"/>
  <c r="AZ44" i="42"/>
  <c r="AE709" i="1"/>
  <c r="AE788" i="1"/>
  <c r="AG759" i="1"/>
  <c r="AG757" i="1"/>
  <c r="AG752" i="1"/>
  <c r="AG754" i="1"/>
  <c r="AQ38" i="42"/>
  <c r="V765" i="1"/>
  <c r="V762" i="1"/>
  <c r="V763" i="1" s="1"/>
  <c r="EO23" i="4" s="1"/>
  <c r="AZ49" i="42"/>
  <c r="FM36" i="4"/>
  <c r="AI789" i="1"/>
  <c r="BB44" i="42"/>
  <c r="AI709" i="1"/>
  <c r="AI788" i="1"/>
  <c r="AI785" i="1"/>
  <c r="BB78" i="42" s="1"/>
  <c r="AI786" i="1"/>
  <c r="AI687" i="1"/>
  <c r="AI688" i="1"/>
  <c r="D176" i="1"/>
  <c r="AZ61" i="42"/>
  <c r="CA36" i="4"/>
  <c r="CA392" i="1"/>
  <c r="V210" i="1"/>
  <c r="V294" i="1"/>
  <c r="V319" i="1"/>
  <c r="V320" i="1"/>
  <c r="V306" i="1"/>
  <c r="P658" i="1"/>
  <c r="P644" i="1"/>
  <c r="P645" i="1"/>
  <c r="P651" i="1" s="1"/>
  <c r="P596" i="1"/>
  <c r="P602" i="1" s="1"/>
  <c r="P666" i="1" s="1"/>
  <c r="P668" i="1" s="1"/>
  <c r="P721" i="1" s="1"/>
  <c r="P610" i="1"/>
  <c r="P616" i="1" s="1"/>
  <c r="P671" i="1" s="1"/>
  <c r="P747" i="1" s="1"/>
  <c r="P748" i="1" s="1"/>
  <c r="P603" i="1"/>
  <c r="P609" i="1" s="1"/>
  <c r="AM38" i="42"/>
  <c r="R762" i="1"/>
  <c r="EL17" i="4" s="1"/>
  <c r="R765" i="1"/>
  <c r="CA390" i="1"/>
  <c r="F210" i="1"/>
  <c r="F283" i="1"/>
  <c r="AA42" i="42" s="1"/>
  <c r="Q49" i="42" s="1"/>
  <c r="F319" i="1"/>
  <c r="F294" i="1"/>
  <c r="F306" i="1"/>
  <c r="F320" i="1"/>
  <c r="FN36" i="4"/>
  <c r="AZ55" i="42"/>
  <c r="AI691" i="1"/>
  <c r="AI692" i="1" s="1"/>
  <c r="AI775" i="1"/>
  <c r="AI776" i="1" s="1"/>
  <c r="AI779" i="1" s="1"/>
  <c r="BB37" i="42"/>
  <c r="AI778" i="1"/>
  <c r="BO91" i="42"/>
  <c r="BY323" i="1"/>
  <c r="BY324" i="1"/>
  <c r="BR91" i="42"/>
  <c r="BY329" i="1"/>
  <c r="BY330" i="1" s="1"/>
  <c r="BY325" i="1"/>
  <c r="AO37" i="4"/>
  <c r="AM30" i="4"/>
  <c r="AO30" i="4"/>
  <c r="AI37" i="4"/>
  <c r="AK37" i="4"/>
  <c r="BD22" i="4"/>
  <c r="BF10" i="4"/>
  <c r="AM56" i="4"/>
  <c r="AK46" i="4"/>
  <c r="AX23" i="4"/>
  <c r="BD46" i="4"/>
  <c r="BD8" i="4"/>
  <c r="AX30" i="4"/>
  <c r="BF11" i="4"/>
  <c r="AX17" i="4"/>
  <c r="AM52" i="4"/>
  <c r="BD11" i="4"/>
  <c r="AV37" i="4"/>
  <c r="BD25" i="4"/>
  <c r="AQ42" i="4"/>
  <c r="AV39" i="4"/>
  <c r="BF12" i="4"/>
  <c r="AO56" i="4"/>
  <c r="BF8" i="4"/>
  <c r="BD12" i="4"/>
  <c r="BF51" i="4"/>
  <c r="AI42" i="4"/>
  <c r="AM46" i="4"/>
  <c r="BR53" i="4"/>
  <c r="AX13" i="4"/>
  <c r="BR36" i="4"/>
  <c r="AI56" i="4"/>
  <c r="BF42" i="4"/>
  <c r="AQ46" i="4"/>
  <c r="BF25" i="4"/>
  <c r="AV11" i="4"/>
  <c r="BF56" i="4"/>
  <c r="BF21" i="4"/>
  <c r="AV25" i="4"/>
  <c r="BF46" i="4"/>
  <c r="AK42" i="4"/>
  <c r="AO52" i="4"/>
  <c r="AI52" i="4"/>
  <c r="BR52" i="4"/>
  <c r="BF52" i="4"/>
  <c r="AX9" i="4"/>
  <c r="BD42" i="4"/>
  <c r="AK52" i="4"/>
  <c r="AQ54" i="4"/>
  <c r="BF22" i="4"/>
  <c r="AV21" i="4"/>
  <c r="BD21" i="4"/>
  <c r="AW39" i="4"/>
  <c r="AI46" i="4"/>
  <c r="BD5" i="4"/>
  <c r="AX36" i="4"/>
  <c r="AM42" i="4"/>
  <c r="AK56" i="4"/>
  <c r="BF5" i="4"/>
  <c r="CB52" i="4" l="1"/>
  <c r="BT41" i="4"/>
  <c r="BU414" i="1"/>
  <c r="BO70" i="42"/>
  <c r="CA425" i="1"/>
  <c r="CA427" i="1" s="1"/>
  <c r="CH53" i="4" s="1"/>
  <c r="CA406" i="1"/>
  <c r="CA408" i="1" s="1"/>
  <c r="EW56" i="4"/>
  <c r="EO53" i="4"/>
  <c r="BP71" i="42"/>
  <c r="FA53" i="4"/>
  <c r="CB56" i="4"/>
  <c r="L113" i="19" s="1"/>
  <c r="BO62" i="42"/>
  <c r="BR70" i="42"/>
  <c r="EW52" i="4"/>
  <c r="BE53" i="42"/>
  <c r="AZ398" i="1"/>
  <c r="AZ399" i="1" s="1"/>
  <c r="AG780" i="1"/>
  <c r="AG784" i="1"/>
  <c r="CC37" i="4" s="1"/>
  <c r="AG766" i="1"/>
  <c r="AG761" i="1"/>
  <c r="BA40" i="42"/>
  <c r="AC31" i="30"/>
  <c r="AZ394" i="1"/>
  <c r="AZ395" i="1" s="1"/>
  <c r="AZ397" i="1" s="1"/>
  <c r="CH41" i="4" s="1"/>
  <c r="AI784" i="1"/>
  <c r="CC30" i="4" s="1"/>
  <c r="AI780" i="1"/>
  <c r="AC30" i="30"/>
  <c r="BA36" i="42"/>
  <c r="BA70" i="42" s="1"/>
  <c r="AG755" i="1"/>
  <c r="AG750" i="1"/>
  <c r="BU294" i="1"/>
  <c r="AZ404" i="1"/>
  <c r="BE106" i="42" s="1"/>
  <c r="BE78" i="42"/>
  <c r="BJ387" i="1"/>
  <c r="CF46" i="4" s="1"/>
  <c r="BJ405" i="1"/>
  <c r="BJ407" i="1" s="1"/>
  <c r="AZ351" i="1"/>
  <c r="AZ349" i="1"/>
  <c r="AZ354" i="1"/>
  <c r="AZ356" i="1"/>
  <c r="BJ71" i="42"/>
  <c r="D205" i="1"/>
  <c r="D207" i="1" s="1"/>
  <c r="J296" i="1"/>
  <c r="AE44" i="42" s="1"/>
  <c r="BU320" i="1"/>
  <c r="BU318" i="1" s="1"/>
  <c r="BW232" i="1"/>
  <c r="BW237" i="1" s="1"/>
  <c r="BN95" i="42" s="1"/>
  <c r="BW261" i="1"/>
  <c r="BW273" i="1"/>
  <c r="BN63" i="42"/>
  <c r="BW297" i="1"/>
  <c r="BW262" i="1"/>
  <c r="BW267" i="1" s="1"/>
  <c r="BW220" i="1"/>
  <c r="BW225" i="1" s="1"/>
  <c r="BW282" i="1" s="1"/>
  <c r="BW226" i="1"/>
  <c r="BW231" i="1" s="1"/>
  <c r="BW285" i="1" s="1"/>
  <c r="CA379" i="1"/>
  <c r="CA391" i="1" s="1"/>
  <c r="BP108" i="42" s="1"/>
  <c r="BU210" i="1"/>
  <c r="BY290" i="1"/>
  <c r="BF164" i="1"/>
  <c r="BF70" i="42"/>
  <c r="BB349" i="1"/>
  <c r="BB358" i="1" s="1"/>
  <c r="GL46" i="4"/>
  <c r="GK46" i="4"/>
  <c r="EO46" i="4"/>
  <c r="EO42" i="4"/>
  <c r="EO56" i="4"/>
  <c r="EK56" i="4"/>
  <c r="EK46" i="4"/>
  <c r="EK42" i="4"/>
  <c r="EO52" i="4"/>
  <c r="EK52" i="4"/>
  <c r="GL42" i="4"/>
  <c r="GK42" i="4"/>
  <c r="DC42" i="4"/>
  <c r="N99" i="19"/>
  <c r="CQ42" i="4"/>
  <c r="BJ181" i="1"/>
  <c r="BJ184" i="1"/>
  <c r="BJ182" i="1"/>
  <c r="BJ183" i="1"/>
  <c r="BJ190" i="1"/>
  <c r="BJ191" i="1" s="1"/>
  <c r="BJ186" i="1"/>
  <c r="BJ187" i="1"/>
  <c r="BJ185" i="1"/>
  <c r="F296" i="1"/>
  <c r="H210" i="1"/>
  <c r="H297" i="1" s="1"/>
  <c r="BO78" i="42"/>
  <c r="BY406" i="1"/>
  <c r="BY408" i="1" s="1"/>
  <c r="BR78" i="42"/>
  <c r="BB310" i="1"/>
  <c r="BB315" i="1"/>
  <c r="BJ131" i="1"/>
  <c r="BJ132" i="1"/>
  <c r="BJ129" i="1"/>
  <c r="BJ135" i="1"/>
  <c r="BJ134" i="1"/>
  <c r="BJ130" i="1"/>
  <c r="BJ138" i="1"/>
  <c r="BJ139" i="1" s="1"/>
  <c r="BJ133" i="1"/>
  <c r="CQ46" i="4"/>
  <c r="DC46" i="4"/>
  <c r="N103" i="19"/>
  <c r="R763" i="1"/>
  <c r="R774" i="1" s="1"/>
  <c r="R776" i="1" s="1"/>
  <c r="CH17" i="4" s="1"/>
  <c r="H294" i="1"/>
  <c r="EW46" i="4"/>
  <c r="BJ374" i="1"/>
  <c r="L95" i="19"/>
  <c r="CO38" i="4"/>
  <c r="DA38" i="4"/>
  <c r="GR38" i="4"/>
  <c r="CB46" i="4"/>
  <c r="BJ62" i="42"/>
  <c r="BJ342" i="1"/>
  <c r="BJ337" i="1"/>
  <c r="BB336" i="1"/>
  <c r="BB360" i="1"/>
  <c r="BB405" i="1"/>
  <c r="BB407" i="1" s="1"/>
  <c r="BB387" i="1"/>
  <c r="FA42" i="4"/>
  <c r="BF71" i="42"/>
  <c r="EW42" i="4"/>
  <c r="BB374" i="1"/>
  <c r="BJ349" i="1"/>
  <c r="BJ351" i="1"/>
  <c r="BJ368" i="1"/>
  <c r="BJ370" i="1"/>
  <c r="BW306" i="1"/>
  <c r="FN42" i="4"/>
  <c r="BF55" i="42"/>
  <c r="BJ356" i="1"/>
  <c r="BJ354" i="1"/>
  <c r="T283" i="1"/>
  <c r="AN42" i="42" s="1"/>
  <c r="BJ315" i="1"/>
  <c r="BJ310" i="1"/>
  <c r="BF49" i="42"/>
  <c r="FM42" i="4"/>
  <c r="BB337" i="1"/>
  <c r="BB342" i="1"/>
  <c r="DB42" i="4"/>
  <c r="CP42" i="4"/>
  <c r="M99" i="19"/>
  <c r="BJ70" i="42"/>
  <c r="P296" i="1"/>
  <c r="BF112" i="1"/>
  <c r="BF113" i="1" s="1"/>
  <c r="BF123" i="1" s="1"/>
  <c r="H306" i="1"/>
  <c r="AJ33" i="30"/>
  <c r="BF39" i="42"/>
  <c r="BB366" i="1"/>
  <c r="BB370" i="1"/>
  <c r="BB368" i="1"/>
  <c r="BJ112" i="1"/>
  <c r="BJ113" i="1" s="1"/>
  <c r="BJ109" i="1"/>
  <c r="BJ105" i="1"/>
  <c r="BJ108" i="1"/>
  <c r="BJ106" i="1"/>
  <c r="BJ104" i="1"/>
  <c r="BJ107" i="1"/>
  <c r="BJ49" i="42"/>
  <c r="FM46" i="4"/>
  <c r="BJ336" i="1"/>
  <c r="BJ360" i="1"/>
  <c r="D180" i="1"/>
  <c r="H320" i="1"/>
  <c r="AA91" i="42" s="1"/>
  <c r="Q60" i="42" s="1"/>
  <c r="CG46" i="4"/>
  <c r="BJ69" i="42"/>
  <c r="BJ156" i="1"/>
  <c r="BJ158" i="1"/>
  <c r="BJ164" i="1"/>
  <c r="BJ165" i="1" s="1"/>
  <c r="BJ159" i="1"/>
  <c r="BJ160" i="1"/>
  <c r="BJ161" i="1"/>
  <c r="BJ157" i="1"/>
  <c r="BB179" i="1"/>
  <c r="BB180" i="1" s="1"/>
  <c r="BB127" i="1"/>
  <c r="BB128" i="1" s="1"/>
  <c r="BB102" i="1"/>
  <c r="BB103" i="1" s="1"/>
  <c r="BB154" i="1"/>
  <c r="BB155" i="1" s="1"/>
  <c r="FN46" i="4"/>
  <c r="BJ55" i="42"/>
  <c r="DB46" i="4"/>
  <c r="CP46" i="4"/>
  <c r="M103" i="19"/>
  <c r="BF138" i="1"/>
  <c r="BF139" i="1" s="1"/>
  <c r="BF149" i="1" s="1"/>
  <c r="BF190" i="1"/>
  <c r="BF194" i="1" s="1"/>
  <c r="GK11" i="4"/>
  <c r="GL11" i="4"/>
  <c r="GL5" i="4"/>
  <c r="GK5" i="4"/>
  <c r="GL8" i="4"/>
  <c r="GK8" i="4"/>
  <c r="GK21" i="4"/>
  <c r="GL21" i="4"/>
  <c r="GK25" i="4"/>
  <c r="GL25" i="4"/>
  <c r="GL12" i="4"/>
  <c r="GK12" i="4"/>
  <c r="GL22" i="4"/>
  <c r="GK22" i="4"/>
  <c r="AI761" i="1"/>
  <c r="AI766" i="1"/>
  <c r="AI770" i="1" s="1"/>
  <c r="AF32" i="42"/>
  <c r="J669" i="1"/>
  <c r="AV302" i="1"/>
  <c r="AG13" i="30"/>
  <c r="BC32" i="42"/>
  <c r="AV282" i="1"/>
  <c r="V671" i="1"/>
  <c r="AQ95" i="42"/>
  <c r="P673" i="1"/>
  <c r="P672" i="1"/>
  <c r="P687" i="1"/>
  <c r="J671" i="1"/>
  <c r="AF95" i="42"/>
  <c r="J766" i="1"/>
  <c r="AF71" i="42"/>
  <c r="FA13" i="4"/>
  <c r="J774" i="1"/>
  <c r="J776" i="1" s="1"/>
  <c r="CH13" i="4" s="1"/>
  <c r="EO13" i="4"/>
  <c r="V666" i="1"/>
  <c r="AQ31" i="42"/>
  <c r="N155" i="1"/>
  <c r="N156" i="1"/>
  <c r="N181" i="1"/>
  <c r="N208" i="1"/>
  <c r="CB30" i="4"/>
  <c r="BB62" i="42"/>
  <c r="AB43" i="30"/>
  <c r="AB40" i="30"/>
  <c r="F24" i="30" s="1"/>
  <c r="F672" i="1"/>
  <c r="F673" i="1"/>
  <c r="F687" i="1"/>
  <c r="R666" i="1"/>
  <c r="AM31" i="42"/>
  <c r="F666" i="1"/>
  <c r="AB31" i="42"/>
  <c r="R671" i="1"/>
  <c r="R750" i="1" s="1"/>
  <c r="AM95" i="42"/>
  <c r="J666" i="1"/>
  <c r="AF31" i="42"/>
  <c r="AV288" i="1"/>
  <c r="AV287" i="1"/>
  <c r="AV286" i="1"/>
  <c r="AV285" i="1"/>
  <c r="BY388" i="1"/>
  <c r="BY386" i="1"/>
  <c r="BY387" i="1"/>
  <c r="AQ32" i="42"/>
  <c r="V669" i="1"/>
  <c r="BY335" i="1"/>
  <c r="BT56" i="4"/>
  <c r="BT52" i="4"/>
  <c r="BY328" i="1"/>
  <c r="F261" i="1"/>
  <c r="F273" i="1"/>
  <c r="AA63" i="42"/>
  <c r="O78" i="42" s="1"/>
  <c r="F232" i="1"/>
  <c r="F237" i="1" s="1"/>
  <c r="F220" i="1"/>
  <c r="F225" i="1" s="1"/>
  <c r="F226" i="1"/>
  <c r="F231" i="1" s="1"/>
  <c r="F262" i="1"/>
  <c r="F267" i="1" s="1"/>
  <c r="F297" i="1"/>
  <c r="F377" i="1" s="1"/>
  <c r="P751" i="1"/>
  <c r="P750" i="1"/>
  <c r="P669" i="1"/>
  <c r="P670" i="1" s="1"/>
  <c r="AP38" i="42"/>
  <c r="V385" i="1"/>
  <c r="V386" i="1" s="1"/>
  <c r="V388" i="1"/>
  <c r="D153" i="1"/>
  <c r="BB61" i="42"/>
  <c r="CA30" i="4"/>
  <c r="F659" i="1"/>
  <c r="F661" i="1" s="1"/>
  <c r="F663" i="1"/>
  <c r="F664" i="1" s="1"/>
  <c r="V18" i="30"/>
  <c r="W22" i="30"/>
  <c r="AG736" i="1"/>
  <c r="AG733" i="1"/>
  <c r="AG813" i="1"/>
  <c r="J261" i="1"/>
  <c r="AE63" i="42"/>
  <c r="J262" i="1"/>
  <c r="J267" i="1" s="1"/>
  <c r="J232" i="1"/>
  <c r="J237" i="1" s="1"/>
  <c r="J226" i="1"/>
  <c r="J231" i="1" s="1"/>
  <c r="J220" i="1"/>
  <c r="J225" i="1" s="1"/>
  <c r="J297" i="1"/>
  <c r="J377" i="1" s="1"/>
  <c r="BY291" i="1"/>
  <c r="BY389" i="1" s="1"/>
  <c r="BY379" i="1"/>
  <c r="CB37" i="4"/>
  <c r="BA62" i="42"/>
  <c r="CC381" i="1"/>
  <c r="CC383" i="1"/>
  <c r="CD13" i="4"/>
  <c r="AF68" i="42"/>
  <c r="CA398" i="1"/>
  <c r="BB55" i="42"/>
  <c r="FN30" i="4"/>
  <c r="BY380" i="1"/>
  <c r="T667" i="1"/>
  <c r="AO42" i="42" s="1"/>
  <c r="BY326" i="1"/>
  <c r="BR51" i="42"/>
  <c r="BO51" i="42"/>
  <c r="AI763" i="1"/>
  <c r="AI765" i="1"/>
  <c r="V296" i="1"/>
  <c r="CN36" i="4"/>
  <c r="CZ36" i="4"/>
  <c r="K93" i="19"/>
  <c r="CD53" i="4"/>
  <c r="BP68" i="42"/>
  <c r="AG12" i="30"/>
  <c r="BC31" i="42"/>
  <c r="AV279" i="1"/>
  <c r="AE751" i="1"/>
  <c r="AE753" i="1"/>
  <c r="AE768" i="1"/>
  <c r="BQ41" i="42"/>
  <c r="BO41" i="42"/>
  <c r="BR41" i="42"/>
  <c r="V675" i="1"/>
  <c r="V674" i="1"/>
  <c r="AI224" i="1"/>
  <c r="AI281" i="1" s="1"/>
  <c r="AQ84" i="42"/>
  <c r="CC384" i="1"/>
  <c r="AI794" i="1"/>
  <c r="BB71" i="42"/>
  <c r="AI802" i="1"/>
  <c r="AI804" i="1" s="1"/>
  <c r="CH30" i="4" s="1"/>
  <c r="CF36" i="4"/>
  <c r="AZ64" i="42"/>
  <c r="CF53" i="4"/>
  <c r="BP64" i="42"/>
  <c r="AE224" i="1"/>
  <c r="AE281" i="1" s="1"/>
  <c r="V261" i="1"/>
  <c r="AP63" i="42"/>
  <c r="V232" i="1"/>
  <c r="V237" i="1" s="1"/>
  <c r="V262" i="1"/>
  <c r="V267" i="1" s="1"/>
  <c r="V220" i="1"/>
  <c r="V225" i="1" s="1"/>
  <c r="V226" i="1"/>
  <c r="V231" i="1" s="1"/>
  <c r="V297" i="1"/>
  <c r="BB84" i="42"/>
  <c r="AZ84" i="42"/>
  <c r="AJ38" i="42"/>
  <c r="N765" i="1"/>
  <c r="N762" i="1"/>
  <c r="N763" i="1" s="1"/>
  <c r="CF52" i="4"/>
  <c r="CF56" i="4"/>
  <c r="BO64" i="42"/>
  <c r="BR64" i="42"/>
  <c r="BC45" i="42"/>
  <c r="AV271" i="1"/>
  <c r="AV273" i="1" s="1"/>
  <c r="AV275" i="1"/>
  <c r="AV276" i="1" s="1"/>
  <c r="AV296" i="1"/>
  <c r="AV297" i="1"/>
  <c r="AV301" i="1"/>
  <c r="AV300" i="1"/>
  <c r="BA49" i="42"/>
  <c r="FM37" i="4"/>
  <c r="AE758" i="1"/>
  <c r="AE756" i="1"/>
  <c r="AD91" i="42"/>
  <c r="H706" i="1"/>
  <c r="FM11" i="4" s="1"/>
  <c r="H707" i="1"/>
  <c r="FN11" i="4" s="1"/>
  <c r="H701" i="1"/>
  <c r="L45" i="23"/>
  <c r="Y42" i="23"/>
  <c r="Y41" i="23"/>
  <c r="Y43" i="23"/>
  <c r="AE754" i="1"/>
  <c r="V663" i="1"/>
  <c r="V664" i="1" s="1"/>
  <c r="V659" i="1"/>
  <c r="V661" i="1" s="1"/>
  <c r="AB84" i="42"/>
  <c r="R751" i="1"/>
  <c r="AM32" i="42"/>
  <c r="R669" i="1"/>
  <c r="CC387" i="1"/>
  <c r="DG36" i="4"/>
  <c r="CU36" i="4"/>
  <c r="R93" i="19"/>
  <c r="BF165" i="1"/>
  <c r="BF175" i="1" s="1"/>
  <c r="BF174" i="1"/>
  <c r="BF173" i="1"/>
  <c r="BF171" i="1"/>
  <c r="BF169" i="1"/>
  <c r="BF170" i="1"/>
  <c r="BF168" i="1"/>
  <c r="BF166" i="1"/>
  <c r="BF172" i="1"/>
  <c r="BF167" i="1"/>
  <c r="F708" i="1"/>
  <c r="F705" i="1"/>
  <c r="F785" i="1"/>
  <c r="BU417" i="1"/>
  <c r="BM71" i="42"/>
  <c r="FA51" i="4"/>
  <c r="BU425" i="1"/>
  <c r="BU427" i="1" s="1"/>
  <c r="CH51" i="4" s="1"/>
  <c r="BB57" i="42"/>
  <c r="EW30" i="4"/>
  <c r="FN56" i="4"/>
  <c r="FN52" i="4"/>
  <c r="BO55" i="42"/>
  <c r="BR55" i="42"/>
  <c r="AM71" i="42"/>
  <c r="FA17" i="4"/>
  <c r="P663" i="1"/>
  <c r="P659" i="1"/>
  <c r="P661" i="1" s="1"/>
  <c r="AK91" i="42"/>
  <c r="P324" i="1"/>
  <c r="P323" i="1"/>
  <c r="P318" i="1"/>
  <c r="FM56" i="4"/>
  <c r="BO49" i="42"/>
  <c r="FM52" i="4"/>
  <c r="BR49" i="42"/>
  <c r="F323" i="1"/>
  <c r="F324" i="1"/>
  <c r="F318" i="1"/>
  <c r="AK38" i="42"/>
  <c r="P388" i="1"/>
  <c r="P385" i="1"/>
  <c r="P386" i="1" s="1"/>
  <c r="AJ91" i="42"/>
  <c r="N706" i="1"/>
  <c r="N707" i="1"/>
  <c r="N701" i="1"/>
  <c r="V705" i="1"/>
  <c r="V708" i="1"/>
  <c r="V785" i="1"/>
  <c r="P708" i="1"/>
  <c r="P709" i="1" s="1"/>
  <c r="P785" i="1"/>
  <c r="P705" i="1"/>
  <c r="BW294" i="1"/>
  <c r="BW296" i="1" s="1"/>
  <c r="AE764" i="1"/>
  <c r="AE762" i="1"/>
  <c r="AE737" i="1"/>
  <c r="AZ51" i="42"/>
  <c r="FN37" i="4"/>
  <c r="BA55" i="42"/>
  <c r="H761" i="1"/>
  <c r="AD44" i="42"/>
  <c r="H681" i="1"/>
  <c r="H760" i="1"/>
  <c r="J211" i="1"/>
  <c r="J268" i="1" s="1"/>
  <c r="J273" i="1" s="1"/>
  <c r="J321" i="1"/>
  <c r="AE765" i="1"/>
  <c r="BB70" i="42"/>
  <c r="BC44" i="42"/>
  <c r="AV375" i="1"/>
  <c r="AE757" i="1"/>
  <c r="CA326" i="1"/>
  <c r="BP51" i="42"/>
  <c r="AI773" i="1"/>
  <c r="F766" i="1"/>
  <c r="FA9" i="4"/>
  <c r="AB71" i="42"/>
  <c r="F774" i="1"/>
  <c r="F776" i="1" s="1"/>
  <c r="CH9" i="4" s="1"/>
  <c r="CC382" i="1"/>
  <c r="AD49" i="42"/>
  <c r="FM9" i="4"/>
  <c r="AB49" i="42"/>
  <c r="X156" i="1"/>
  <c r="X283" i="1" s="1"/>
  <c r="AR42" i="42" s="1"/>
  <c r="P674" i="1"/>
  <c r="P745" i="1" s="1"/>
  <c r="P675" i="1"/>
  <c r="AI689" i="1"/>
  <c r="CD30" i="4"/>
  <c r="BB68" i="42"/>
  <c r="V766" i="1"/>
  <c r="FA23" i="4"/>
  <c r="AQ71" i="42"/>
  <c r="V774" i="1"/>
  <c r="V776" i="1" s="1"/>
  <c r="CH23" i="4" s="1"/>
  <c r="CD36" i="4"/>
  <c r="AZ68" i="42"/>
  <c r="FN23" i="4"/>
  <c r="AQ55" i="42"/>
  <c r="R705" i="1"/>
  <c r="R708" i="1"/>
  <c r="R785" i="1"/>
  <c r="BW283" i="1"/>
  <c r="BN42" i="42" s="1"/>
  <c r="AE767" i="1"/>
  <c r="AE769" i="1"/>
  <c r="AE744" i="1"/>
  <c r="AE745" i="1" s="1"/>
  <c r="BU36" i="4" s="1"/>
  <c r="AE740" i="1"/>
  <c r="AE741" i="1" s="1"/>
  <c r="AZ92" i="42"/>
  <c r="AE742" i="1"/>
  <c r="AE738" i="1"/>
  <c r="AG794" i="1"/>
  <c r="BA71" i="42"/>
  <c r="FA37" i="4"/>
  <c r="AG802" i="1"/>
  <c r="AG804" i="1" s="1"/>
  <c r="CH37" i="4" s="1"/>
  <c r="AD38" i="42"/>
  <c r="H762" i="1"/>
  <c r="H763" i="1" s="1"/>
  <c r="H765" i="1"/>
  <c r="J785" i="1"/>
  <c r="J705" i="1"/>
  <c r="J708" i="1"/>
  <c r="F321" i="1"/>
  <c r="AS91" i="42"/>
  <c r="X706" i="1"/>
  <c r="X707" i="1"/>
  <c r="X701" i="1"/>
  <c r="AE752" i="1"/>
  <c r="V672" i="1"/>
  <c r="V673" i="1"/>
  <c r="V687" i="1"/>
  <c r="AG749" i="1"/>
  <c r="AG773" i="1"/>
  <c r="CD9" i="4"/>
  <c r="AB68" i="42"/>
  <c r="R674" i="1"/>
  <c r="R675" i="1"/>
  <c r="CA335" i="1"/>
  <c r="BT53" i="4"/>
  <c r="CA328" i="1"/>
  <c r="CB36" i="4"/>
  <c r="AZ62" i="42"/>
  <c r="CD23" i="4"/>
  <c r="AQ68" i="42"/>
  <c r="CC155" i="1"/>
  <c r="CC283" i="1" s="1"/>
  <c r="BQ42" i="42" s="1"/>
  <c r="FN9" i="4"/>
  <c r="AD55" i="42"/>
  <c r="AB55" i="42"/>
  <c r="X211" i="1"/>
  <c r="X268" i="1" s="1"/>
  <c r="N761" i="1"/>
  <c r="AJ44" i="42"/>
  <c r="N760" i="1"/>
  <c r="N681" i="1"/>
  <c r="J674" i="1"/>
  <c r="J675" i="1"/>
  <c r="CH52" i="4"/>
  <c r="CH56" i="4"/>
  <c r="FM23" i="4"/>
  <c r="AQ49" i="42"/>
  <c r="AB32" i="42"/>
  <c r="F669" i="1"/>
  <c r="FM17" i="4"/>
  <c r="AM49" i="42"/>
  <c r="BC95" i="42"/>
  <c r="AV284" i="1"/>
  <c r="AV365" i="1" s="1"/>
  <c r="H644" i="1"/>
  <c r="H658" i="1"/>
  <c r="AD63" i="42"/>
  <c r="H645" i="1"/>
  <c r="H651" i="1" s="1"/>
  <c r="H610" i="1"/>
  <c r="H616" i="1" s="1"/>
  <c r="H596" i="1"/>
  <c r="H602" i="1" s="1"/>
  <c r="H603" i="1"/>
  <c r="H609" i="1" s="1"/>
  <c r="AE91" i="42"/>
  <c r="J323" i="1"/>
  <c r="J324" i="1"/>
  <c r="J318" i="1"/>
  <c r="BF119" i="1"/>
  <c r="FM13" i="4"/>
  <c r="AF49" i="42"/>
  <c r="AS38" i="42"/>
  <c r="X762" i="1"/>
  <c r="X763" i="1" s="1"/>
  <c r="X765" i="1"/>
  <c r="AC36" i="30"/>
  <c r="AC41" i="30" s="1"/>
  <c r="R672" i="1"/>
  <c r="R673" i="1"/>
  <c r="R687" i="1"/>
  <c r="D179" i="1"/>
  <c r="BP55" i="42"/>
  <c r="FN53" i="4"/>
  <c r="AM84" i="42"/>
  <c r="AC91" i="42"/>
  <c r="H324" i="1"/>
  <c r="FN10" i="4" s="1"/>
  <c r="H323" i="1"/>
  <c r="FM10" i="4" s="1"/>
  <c r="H318" i="1"/>
  <c r="AI733" i="1"/>
  <c r="AI736" i="1"/>
  <c r="AI813" i="1"/>
  <c r="BF191" i="1"/>
  <c r="BF201" i="1" s="1"/>
  <c r="BF196" i="1"/>
  <c r="BA57" i="42"/>
  <c r="EW37" i="4"/>
  <c r="AI168" i="1"/>
  <c r="AI169" i="1"/>
  <c r="R210" i="1"/>
  <c r="R306" i="1"/>
  <c r="R294" i="1"/>
  <c r="R319" i="1"/>
  <c r="R320" i="1"/>
  <c r="R283" i="1"/>
  <c r="AL42" i="42" s="1"/>
  <c r="T210" i="1"/>
  <c r="T319" i="1"/>
  <c r="T306" i="1"/>
  <c r="T294" i="1"/>
  <c r="T320" i="1"/>
  <c r="T321" i="1" s="1"/>
  <c r="EK30" i="4"/>
  <c r="AA38" i="42"/>
  <c r="Q47" i="42" s="1"/>
  <c r="O79" i="42" s="1"/>
  <c r="F385" i="1"/>
  <c r="F386" i="1" s="1"/>
  <c r="EO8" i="4" s="1"/>
  <c r="F388" i="1"/>
  <c r="P261" i="1"/>
  <c r="AK63" i="42"/>
  <c r="P220" i="1"/>
  <c r="P225" i="1" s="1"/>
  <c r="P226" i="1"/>
  <c r="P231" i="1" s="1"/>
  <c r="P232" i="1"/>
  <c r="P237" i="1" s="1"/>
  <c r="P262" i="1"/>
  <c r="P267" i="1" s="1"/>
  <c r="P297" i="1"/>
  <c r="J672" i="1"/>
  <c r="J673" i="1"/>
  <c r="J687" i="1"/>
  <c r="F671" i="1"/>
  <c r="AB95" i="42"/>
  <c r="FN17" i="4"/>
  <c r="AM55" i="42"/>
  <c r="AV317" i="1"/>
  <c r="AV383" i="1" s="1"/>
  <c r="AV305" i="1"/>
  <c r="AG14" i="30"/>
  <c r="AV318" i="1"/>
  <c r="AV319" i="1" s="1"/>
  <c r="AD39" i="4"/>
  <c r="AV304" i="1"/>
  <c r="BC33" i="42"/>
  <c r="AE38" i="42"/>
  <c r="J385" i="1"/>
  <c r="J386" i="1" s="1"/>
  <c r="J388" i="1"/>
  <c r="FN13" i="4"/>
  <c r="AF55" i="42"/>
  <c r="X658" i="1"/>
  <c r="X644" i="1"/>
  <c r="AS63" i="42"/>
  <c r="X603" i="1"/>
  <c r="X609" i="1" s="1"/>
  <c r="X610" i="1"/>
  <c r="X616" i="1" s="1"/>
  <c r="X596" i="1"/>
  <c r="X602" i="1" s="1"/>
  <c r="X645" i="1"/>
  <c r="X651" i="1" s="1"/>
  <c r="R663" i="1"/>
  <c r="R659" i="1"/>
  <c r="R661" i="1" s="1"/>
  <c r="T211" i="1"/>
  <c r="T268" i="1" s="1"/>
  <c r="BP49" i="42"/>
  <c r="FM53" i="4"/>
  <c r="AF84" i="42"/>
  <c r="AC42" i="30"/>
  <c r="AC38" i="42"/>
  <c r="H385" i="1"/>
  <c r="H386" i="1" s="1"/>
  <c r="H388" i="1"/>
  <c r="BP70" i="42"/>
  <c r="EW53" i="4"/>
  <c r="CU53" i="4"/>
  <c r="DG53" i="4"/>
  <c r="R110" i="19"/>
  <c r="H321" i="1"/>
  <c r="V211" i="1"/>
  <c r="V268" i="1" s="1"/>
  <c r="V273" i="1" s="1"/>
  <c r="V321" i="1"/>
  <c r="CO52" i="4"/>
  <c r="DA52" i="4"/>
  <c r="L109" i="19"/>
  <c r="P211" i="1"/>
  <c r="P268" i="1" s="1"/>
  <c r="P273" i="1" s="1"/>
  <c r="P321" i="1"/>
  <c r="AA44" i="42"/>
  <c r="Q51" i="42" s="1"/>
  <c r="F298" i="1"/>
  <c r="AP91" i="42"/>
  <c r="V323" i="1"/>
  <c r="V324" i="1"/>
  <c r="V318" i="1"/>
  <c r="AI787" i="1"/>
  <c r="BB79" i="42"/>
  <c r="N644" i="1"/>
  <c r="N658" i="1"/>
  <c r="AJ63" i="42"/>
  <c r="N596" i="1"/>
  <c r="N602" i="1" s="1"/>
  <c r="N603" i="1"/>
  <c r="N609" i="1" s="1"/>
  <c r="N645" i="1"/>
  <c r="N651" i="1" s="1"/>
  <c r="N610" i="1"/>
  <c r="N616" i="1" s="1"/>
  <c r="J659" i="1"/>
  <c r="J663" i="1"/>
  <c r="J664" i="1" s="1"/>
  <c r="F674" i="1"/>
  <c r="F675" i="1"/>
  <c r="D586" i="1"/>
  <c r="D677" i="1"/>
  <c r="D679" i="1" s="1"/>
  <c r="D667" i="1"/>
  <c r="Z42" i="42" s="1"/>
  <c r="D702" i="1"/>
  <c r="D703" i="1"/>
  <c r="D689" i="1"/>
  <c r="J298" i="1"/>
  <c r="X761" i="1"/>
  <c r="AS44" i="42"/>
  <c r="X681" i="1"/>
  <c r="X760" i="1"/>
  <c r="P766" i="1"/>
  <c r="P774" i="1"/>
  <c r="P776" i="1" s="1"/>
  <c r="CC386" i="1"/>
  <c r="CC388" i="1"/>
  <c r="AG785" i="1"/>
  <c r="AG789" i="1"/>
  <c r="BA44" i="42"/>
  <c r="AG709" i="1"/>
  <c r="AG788" i="1"/>
  <c r="CD17" i="4"/>
  <c r="AM68" i="42"/>
  <c r="AC63" i="42"/>
  <c r="H232" i="1"/>
  <c r="H237" i="1" s="1"/>
  <c r="H262" i="1"/>
  <c r="H267" i="1" s="1"/>
  <c r="H226" i="1"/>
  <c r="H220" i="1"/>
  <c r="H225" i="1" s="1"/>
  <c r="BB49" i="42"/>
  <c r="FM30" i="4"/>
  <c r="AE333" i="1"/>
  <c r="AE223" i="1"/>
  <c r="AE308" i="1"/>
  <c r="AE334" i="1"/>
  <c r="AE320" i="1"/>
  <c r="AE335" i="1" s="1"/>
  <c r="AE296" i="1"/>
  <c r="AT42" i="42" s="1"/>
  <c r="T586" i="1"/>
  <c r="T689" i="1"/>
  <c r="T677" i="1"/>
  <c r="T679" i="1" s="1"/>
  <c r="T702" i="1"/>
  <c r="T703" i="1"/>
  <c r="EO51" i="4"/>
  <c r="AV12" i="4"/>
  <c r="BD51" i="4"/>
  <c r="AW55" i="4"/>
  <c r="BD33" i="4"/>
  <c r="AW8" i="4"/>
  <c r="AV8" i="4"/>
  <c r="Z17" i="4"/>
  <c r="BD19" i="4"/>
  <c r="AK23" i="4"/>
  <c r="AI17" i="4"/>
  <c r="AC17" i="4"/>
  <c r="BF19" i="4"/>
  <c r="BC39" i="4"/>
  <c r="AX39" i="4"/>
  <c r="AX11" i="4"/>
  <c r="Y39" i="4"/>
  <c r="AO9" i="4"/>
  <c r="AX25" i="4"/>
  <c r="AI39" i="4"/>
  <c r="Z13" i="4"/>
  <c r="AO17" i="4"/>
  <c r="BF31" i="4"/>
  <c r="BD28" i="4"/>
  <c r="Y9" i="4"/>
  <c r="AB17" i="4"/>
  <c r="AQ9" i="4"/>
  <c r="Z9" i="4"/>
  <c r="AK17" i="4"/>
  <c r="BR30" i="4"/>
  <c r="AO39" i="4"/>
  <c r="AM39" i="4"/>
  <c r="AW10" i="4"/>
  <c r="AK39" i="4"/>
  <c r="AO13" i="4"/>
  <c r="BR17" i="4"/>
  <c r="AQ17" i="4"/>
  <c r="AB23" i="4"/>
  <c r="AI55" i="4"/>
  <c r="AM13" i="4"/>
  <c r="BD16" i="4"/>
  <c r="AC13" i="4"/>
  <c r="AM23" i="4"/>
  <c r="AK55" i="4"/>
  <c r="BR9" i="4"/>
  <c r="AY39" i="4"/>
  <c r="BR13" i="4"/>
  <c r="AI23" i="4"/>
  <c r="Y17" i="4"/>
  <c r="BF18" i="4"/>
  <c r="BD31" i="4"/>
  <c r="BR23" i="4"/>
  <c r="AQ13" i="4"/>
  <c r="AW12" i="4"/>
  <c r="AK9" i="4"/>
  <c r="AM17" i="4"/>
  <c r="AC23" i="4"/>
  <c r="AB39" i="4"/>
  <c r="AC39" i="4"/>
  <c r="AV5" i="4"/>
  <c r="AV55" i="4"/>
  <c r="AV7" i="4"/>
  <c r="BF16" i="4"/>
  <c r="Y23" i="4"/>
  <c r="AW22" i="4"/>
  <c r="BD39" i="4"/>
  <c r="AK13" i="4"/>
  <c r="AM9" i="4"/>
  <c r="BR37" i="4"/>
  <c r="AI13" i="4"/>
  <c r="Y13" i="4"/>
  <c r="AB13" i="4"/>
  <c r="Z23" i="4"/>
  <c r="AX21" i="4"/>
  <c r="AX37" i="4"/>
  <c r="AQ11" i="4"/>
  <c r="BB39" i="4"/>
  <c r="Z39" i="4"/>
  <c r="BD18" i="4"/>
  <c r="AV22" i="4"/>
  <c r="AW5" i="4"/>
  <c r="BF7" i="4"/>
  <c r="AX12" i="4"/>
  <c r="BR56" i="4"/>
  <c r="AB9" i="4"/>
  <c r="AO23" i="4"/>
  <c r="AX8" i="4"/>
  <c r="BD10" i="4"/>
  <c r="AV19" i="4"/>
  <c r="AI9" i="4"/>
  <c r="AQ39" i="4"/>
  <c r="AQ23" i="4"/>
  <c r="AC9" i="4"/>
  <c r="BF28" i="4"/>
  <c r="BD7" i="4"/>
  <c r="BJ64" i="42" l="1"/>
  <c r="CO56" i="4"/>
  <c r="DA56" i="4"/>
  <c r="BW287" i="1"/>
  <c r="BU296" i="1"/>
  <c r="CA393" i="1"/>
  <c r="CA368" i="1" s="1"/>
  <c r="H273" i="1"/>
  <c r="H261" i="1"/>
  <c r="R766" i="1"/>
  <c r="CF17" i="4" s="1"/>
  <c r="H231" i="1"/>
  <c r="AC32" i="42" s="1"/>
  <c r="EO17" i="4"/>
  <c r="AG751" i="1"/>
  <c r="AG753" i="1"/>
  <c r="AG758" i="1"/>
  <c r="AG756" i="1"/>
  <c r="CC288" i="1"/>
  <c r="AG764" i="1"/>
  <c r="AG762" i="1"/>
  <c r="AG769" i="1"/>
  <c r="AG767" i="1"/>
  <c r="CU41" i="4"/>
  <c r="DG41" i="4"/>
  <c r="R98" i="19"/>
  <c r="CP37" i="4"/>
  <c r="DB37" i="4"/>
  <c r="M94" i="19"/>
  <c r="AI783" i="1"/>
  <c r="AI781" i="1"/>
  <c r="AG783" i="1"/>
  <c r="AG781" i="1"/>
  <c r="M87" i="19"/>
  <c r="DB30" i="4"/>
  <c r="CP30" i="4"/>
  <c r="CC282" i="1"/>
  <c r="BQ36" i="42" s="1"/>
  <c r="P378" i="1"/>
  <c r="CD5" i="4" s="1"/>
  <c r="H296" i="1"/>
  <c r="P298" i="1"/>
  <c r="AZ358" i="1"/>
  <c r="AZ359" i="1" s="1"/>
  <c r="AZ361" i="1" s="1"/>
  <c r="P377" i="1"/>
  <c r="AK44" i="42"/>
  <c r="AZ405" i="1"/>
  <c r="AZ407" i="1" s="1"/>
  <c r="BE80" i="42"/>
  <c r="BE79" i="42"/>
  <c r="BF117" i="1"/>
  <c r="GL51" i="4"/>
  <c r="GK51" i="4"/>
  <c r="BU321" i="1"/>
  <c r="BU322" i="1" s="1"/>
  <c r="BU325" i="1" s="1"/>
  <c r="BM91" i="42"/>
  <c r="BU323" i="1"/>
  <c r="BU324" i="1"/>
  <c r="BW289" i="1"/>
  <c r="BW288" i="1"/>
  <c r="BM63" i="42"/>
  <c r="BU297" i="1"/>
  <c r="BU226" i="1"/>
  <c r="BU231" i="1" s="1"/>
  <c r="BU262" i="1"/>
  <c r="BU267" i="1" s="1"/>
  <c r="BU220" i="1"/>
  <c r="BU225" i="1" s="1"/>
  <c r="BU261" i="1"/>
  <c r="BU232" i="1"/>
  <c r="BU237" i="1" s="1"/>
  <c r="BU273" i="1"/>
  <c r="BW291" i="1"/>
  <c r="BW290" i="1"/>
  <c r="CC289" i="1"/>
  <c r="BW278" i="1"/>
  <c r="BW274" i="1"/>
  <c r="CC285" i="1"/>
  <c r="BQ40" i="42" s="1"/>
  <c r="BW304" i="1"/>
  <c r="BN32" i="42"/>
  <c r="CC306" i="1"/>
  <c r="BN31" i="42"/>
  <c r="BM44" i="42"/>
  <c r="BU298" i="1"/>
  <c r="BY392" i="1"/>
  <c r="BN45" i="42"/>
  <c r="BF143" i="1"/>
  <c r="BF142" i="1"/>
  <c r="BF146" i="1"/>
  <c r="BF144" i="1"/>
  <c r="BF140" i="1"/>
  <c r="BF115" i="1"/>
  <c r="BF199" i="1"/>
  <c r="AV384" i="1"/>
  <c r="AV387" i="1" s="1"/>
  <c r="BF198" i="1"/>
  <c r="BF121" i="1"/>
  <c r="BF145" i="1"/>
  <c r="BF193" i="1"/>
  <c r="BF120" i="1"/>
  <c r="BF114" i="1"/>
  <c r="BF141" i="1"/>
  <c r="BF118" i="1"/>
  <c r="BF192" i="1"/>
  <c r="BF195" i="1"/>
  <c r="BF197" i="1"/>
  <c r="BF116" i="1"/>
  <c r="GL10" i="4"/>
  <c r="GK10" i="4"/>
  <c r="DF46" i="4"/>
  <c r="CT46" i="4"/>
  <c r="Q103" i="19"/>
  <c r="BJ110" i="1"/>
  <c r="BJ111" i="1"/>
  <c r="EX42" i="4"/>
  <c r="EL42" i="4"/>
  <c r="BB390" i="1"/>
  <c r="BB391" i="1" s="1"/>
  <c r="BB388" i="1"/>
  <c r="BB389" i="1" s="1"/>
  <c r="CC369" i="1"/>
  <c r="CC371" i="1" s="1"/>
  <c r="BJ388" i="1"/>
  <c r="BJ389" i="1" s="1"/>
  <c r="BJ390" i="1"/>
  <c r="BJ391" i="1" s="1"/>
  <c r="BJ343" i="1"/>
  <c r="BJ345" i="1"/>
  <c r="BB393" i="1"/>
  <c r="BB392" i="1"/>
  <c r="CB42" i="4"/>
  <c r="BF62" i="42"/>
  <c r="EX46" i="4"/>
  <c r="EL46" i="4"/>
  <c r="BF64" i="42"/>
  <c r="CF42" i="4"/>
  <c r="BF200" i="1"/>
  <c r="CG42" i="4"/>
  <c r="BF69" i="42"/>
  <c r="DA46" i="4"/>
  <c r="L103" i="19"/>
  <c r="CO46" i="4"/>
  <c r="BR68" i="42"/>
  <c r="CD52" i="4"/>
  <c r="CD56" i="4"/>
  <c r="BO68" i="42"/>
  <c r="BJ340" i="1"/>
  <c r="BJ338" i="1"/>
  <c r="AI768" i="1"/>
  <c r="BB156" i="1"/>
  <c r="BB160" i="1"/>
  <c r="BB159" i="1"/>
  <c r="BB161" i="1"/>
  <c r="BB157" i="1"/>
  <c r="BB158" i="1"/>
  <c r="BB164" i="1"/>
  <c r="BB165" i="1" s="1"/>
  <c r="BJ61" i="42"/>
  <c r="CA46" i="4"/>
  <c r="BB345" i="1"/>
  <c r="BB343" i="1"/>
  <c r="BJ358" i="1"/>
  <c r="BJ392" i="1"/>
  <c r="BJ393" i="1"/>
  <c r="BB112" i="1"/>
  <c r="BB113" i="1" s="1"/>
  <c r="BB105" i="1"/>
  <c r="BB109" i="1"/>
  <c r="BB104" i="1"/>
  <c r="BB106" i="1"/>
  <c r="BB108" i="1"/>
  <c r="BB107" i="1"/>
  <c r="BB340" i="1"/>
  <c r="BB338" i="1"/>
  <c r="BJ137" i="1"/>
  <c r="BJ136" i="1"/>
  <c r="BB129" i="1"/>
  <c r="BB135" i="1"/>
  <c r="BB132" i="1"/>
  <c r="BB131" i="1"/>
  <c r="BB133" i="1"/>
  <c r="BB134" i="1"/>
  <c r="BB138" i="1"/>
  <c r="BB139" i="1" s="1"/>
  <c r="BB130" i="1"/>
  <c r="BJ162" i="1"/>
  <c r="BJ163" i="1"/>
  <c r="CS46" i="4"/>
  <c r="DE46" i="4"/>
  <c r="P103" i="19"/>
  <c r="BJ189" i="1"/>
  <c r="BJ188" i="1"/>
  <c r="T296" i="1"/>
  <c r="AN44" i="42" s="1"/>
  <c r="BB185" i="1"/>
  <c r="BB186" i="1"/>
  <c r="BB190" i="1"/>
  <c r="BB191" i="1" s="1"/>
  <c r="BB181" i="1"/>
  <c r="BB184" i="1"/>
  <c r="BB183" i="1"/>
  <c r="BB182" i="1"/>
  <c r="BB187" i="1"/>
  <c r="CA42" i="4"/>
  <c r="BF61" i="42"/>
  <c r="AV386" i="1"/>
  <c r="BF148" i="1"/>
  <c r="S42" i="42"/>
  <c r="BF122" i="1"/>
  <c r="BF147" i="1"/>
  <c r="AE743" i="1"/>
  <c r="AZ53" i="42" s="1"/>
  <c r="GL7" i="4"/>
  <c r="GK7" i="4"/>
  <c r="GL18" i="4"/>
  <c r="GK18" i="4"/>
  <c r="GL39" i="4"/>
  <c r="GK39" i="4"/>
  <c r="GK19" i="4"/>
  <c r="GL19" i="4"/>
  <c r="GL31" i="4"/>
  <c r="GK31" i="4"/>
  <c r="GL33" i="4"/>
  <c r="GK33" i="4"/>
  <c r="GL16" i="4"/>
  <c r="GK16" i="4"/>
  <c r="EO31" i="4"/>
  <c r="P289" i="1"/>
  <c r="P288" i="1"/>
  <c r="H288" i="1"/>
  <c r="H289" i="1"/>
  <c r="X672" i="1"/>
  <c r="X673" i="1"/>
  <c r="X687" i="1"/>
  <c r="H282" i="1"/>
  <c r="AC31" i="42"/>
  <c r="J282" i="1"/>
  <c r="AE31" i="42"/>
  <c r="AK32" i="42"/>
  <c r="P285" i="1"/>
  <c r="P304" i="1"/>
  <c r="N671" i="1"/>
  <c r="N750" i="1" s="1"/>
  <c r="AJ95" i="42"/>
  <c r="H766" i="1"/>
  <c r="FA11" i="4"/>
  <c r="AD71" i="42"/>
  <c r="H774" i="1"/>
  <c r="H776" i="1" s="1"/>
  <c r="CH11" i="4" s="1"/>
  <c r="EO11" i="4"/>
  <c r="AE32" i="42"/>
  <c r="J285" i="1"/>
  <c r="J304" i="1"/>
  <c r="N666" i="1"/>
  <c r="AJ31" i="42"/>
  <c r="X666" i="1"/>
  <c r="AS31" i="42"/>
  <c r="V290" i="1"/>
  <c r="V291" i="1"/>
  <c r="AA32" i="42"/>
  <c r="Q35" i="42" s="1"/>
  <c r="F285" i="1"/>
  <c r="F304" i="1"/>
  <c r="X671" i="1"/>
  <c r="AS95" i="42"/>
  <c r="AD32" i="42"/>
  <c r="H669" i="1"/>
  <c r="J290" i="1"/>
  <c r="J291" i="1"/>
  <c r="J288" i="1"/>
  <c r="J289" i="1"/>
  <c r="P287" i="1"/>
  <c r="AK95" i="42"/>
  <c r="H671" i="1"/>
  <c r="AD95" i="42"/>
  <c r="V282" i="1"/>
  <c r="AP31" i="42"/>
  <c r="AC43" i="30"/>
  <c r="AC40" i="30"/>
  <c r="F26" i="30" s="1"/>
  <c r="H287" i="1"/>
  <c r="AC95" i="42"/>
  <c r="BA78" i="42"/>
  <c r="AG787" i="1"/>
  <c r="Z91" i="42"/>
  <c r="D707" i="1"/>
  <c r="D706" i="1"/>
  <c r="D701" i="1"/>
  <c r="N687" i="1"/>
  <c r="N673" i="1"/>
  <c r="N672" i="1"/>
  <c r="AK45" i="42"/>
  <c r="AN91" i="42"/>
  <c r="T323" i="1"/>
  <c r="T324" i="1"/>
  <c r="T318" i="1"/>
  <c r="AI737" i="1"/>
  <c r="BB51" i="42"/>
  <c r="R664" i="1"/>
  <c r="AE55" i="42"/>
  <c r="FN12" i="4"/>
  <c r="CC374" i="1"/>
  <c r="V756" i="1"/>
  <c r="CC23" i="4" s="1"/>
  <c r="V752" i="1"/>
  <c r="AS55" i="42"/>
  <c r="FN25" i="4"/>
  <c r="DG37" i="4"/>
  <c r="CU37" i="4"/>
  <c r="R94" i="19"/>
  <c r="AM92" i="42"/>
  <c r="R712" i="1"/>
  <c r="R713" i="1" s="1"/>
  <c r="R714" i="1"/>
  <c r="R716" i="1"/>
  <c r="R717" i="1" s="1"/>
  <c r="BU17" i="4" s="1"/>
  <c r="R710" i="1"/>
  <c r="CU9" i="4"/>
  <c r="R66" i="19"/>
  <c r="DG9" i="4"/>
  <c r="AD84" i="42"/>
  <c r="AJ49" i="42"/>
  <c r="FM21" i="4"/>
  <c r="F325" i="1"/>
  <c r="F322" i="1"/>
  <c r="F408" i="1"/>
  <c r="FM5" i="4"/>
  <c r="AK49" i="42"/>
  <c r="H708" i="1"/>
  <c r="H705" i="1"/>
  <c r="H785" i="1"/>
  <c r="BC86" i="42"/>
  <c r="AP32" i="42"/>
  <c r="V285" i="1"/>
  <c r="V304" i="1"/>
  <c r="CF30" i="4"/>
  <c r="BB64" i="42"/>
  <c r="AQ41" i="42"/>
  <c r="AE760" i="1"/>
  <c r="N110" i="19"/>
  <c r="DC53" i="4"/>
  <c r="CQ53" i="4"/>
  <c r="CB53" i="4"/>
  <c r="BP62" i="42"/>
  <c r="AG737" i="1"/>
  <c r="BA51" i="42"/>
  <c r="AA45" i="42"/>
  <c r="Q52" i="42" s="1"/>
  <c r="F287" i="1"/>
  <c r="AA95" i="42"/>
  <c r="Q36" i="42" s="1"/>
  <c r="CA53" i="4"/>
  <c r="BP61" i="42"/>
  <c r="CF13" i="4"/>
  <c r="AF64" i="42"/>
  <c r="AV371" i="1"/>
  <c r="CC39" i="4" s="1"/>
  <c r="AV367" i="1"/>
  <c r="H291" i="1"/>
  <c r="H290" i="1"/>
  <c r="Z38" i="42"/>
  <c r="D762" i="1"/>
  <c r="D763" i="1" s="1"/>
  <c r="D765" i="1"/>
  <c r="BC91" i="42"/>
  <c r="AV322" i="1"/>
  <c r="AV321" i="1"/>
  <c r="AV316" i="1"/>
  <c r="F747" i="1"/>
  <c r="F748" i="1" s="1"/>
  <c r="AB37" i="42"/>
  <c r="T298" i="1"/>
  <c r="R261" i="1"/>
  <c r="R273" i="1"/>
  <c r="AL63" i="42"/>
  <c r="R220" i="1"/>
  <c r="R225" i="1" s="1"/>
  <c r="R262" i="1"/>
  <c r="R267" i="1" s="1"/>
  <c r="R226" i="1"/>
  <c r="R231" i="1" s="1"/>
  <c r="R232" i="1"/>
  <c r="R237" i="1" s="1"/>
  <c r="R297" i="1"/>
  <c r="AI740" i="1"/>
  <c r="AI741" i="1" s="1"/>
  <c r="AI744" i="1"/>
  <c r="AI745" i="1" s="1"/>
  <c r="BU30" i="4" s="1"/>
  <c r="AI742" i="1"/>
  <c r="AI738" i="1"/>
  <c r="BB92" i="42"/>
  <c r="X766" i="1"/>
  <c r="AS71" i="42"/>
  <c r="FA25" i="4"/>
  <c r="X774" i="1"/>
  <c r="X776" i="1" s="1"/>
  <c r="CH25" i="4" s="1"/>
  <c r="AE49" i="42"/>
  <c r="FM12" i="4"/>
  <c r="R113" i="19"/>
  <c r="CU56" i="4"/>
  <c r="DG56" i="4"/>
  <c r="CC284" i="1"/>
  <c r="AS49" i="42"/>
  <c r="FM25" i="4"/>
  <c r="CF23" i="4"/>
  <c r="AQ64" i="42"/>
  <c r="CA433" i="1"/>
  <c r="CA432" i="1"/>
  <c r="BN44" i="42"/>
  <c r="BW298" i="1"/>
  <c r="BW407" i="1"/>
  <c r="AA55" i="42"/>
  <c r="S65" i="42" s="1"/>
  <c r="AC55" i="42"/>
  <c r="FN8" i="4"/>
  <c r="FN5" i="4"/>
  <c r="AK55" i="42"/>
  <c r="CF51" i="4"/>
  <c r="BM64" i="42"/>
  <c r="BF177" i="1"/>
  <c r="BF176" i="1" s="1"/>
  <c r="BF178" i="1" s="1"/>
  <c r="BC87" i="42"/>
  <c r="BN37" i="42"/>
  <c r="BW394" i="1"/>
  <c r="BW395" i="1" s="1"/>
  <c r="BW398" i="1" s="1"/>
  <c r="BW397" i="1"/>
  <c r="V287" i="1"/>
  <c r="AP95" i="42"/>
  <c r="BC36" i="42"/>
  <c r="AV281" i="1"/>
  <c r="AV360" i="1" s="1"/>
  <c r="AG30" i="30"/>
  <c r="P34" i="30" s="1"/>
  <c r="AC44" i="42"/>
  <c r="H377" i="1"/>
  <c r="H298" i="1"/>
  <c r="AE45" i="42"/>
  <c r="J278" i="1"/>
  <c r="J279" i="1" s="1"/>
  <c r="J274" i="1"/>
  <c r="J276" i="1" s="1"/>
  <c r="D156" i="1"/>
  <c r="D155" i="1"/>
  <c r="F291" i="1"/>
  <c r="F290" i="1"/>
  <c r="AQ40" i="42"/>
  <c r="V670" i="1"/>
  <c r="AF40" i="42"/>
  <c r="J670" i="1"/>
  <c r="AO91" i="42"/>
  <c r="T707" i="1"/>
  <c r="T706" i="1"/>
  <c r="T701" i="1"/>
  <c r="T761" i="1"/>
  <c r="AO44" i="42"/>
  <c r="T760" i="1"/>
  <c r="T681" i="1"/>
  <c r="H389" i="1"/>
  <c r="AC71" i="42"/>
  <c r="FA10" i="4"/>
  <c r="H397" i="1"/>
  <c r="H399" i="1" s="1"/>
  <c r="CH10" i="4" s="1"/>
  <c r="X750" i="1"/>
  <c r="AS32" i="42"/>
  <c r="X669" i="1"/>
  <c r="J389" i="1"/>
  <c r="AE71" i="42"/>
  <c r="FA12" i="4"/>
  <c r="J397" i="1"/>
  <c r="J399" i="1" s="1"/>
  <c r="CH12" i="4" s="1"/>
  <c r="AG38" i="30"/>
  <c r="S18" i="30"/>
  <c r="J752" i="1"/>
  <c r="J756" i="1"/>
  <c r="CC13" i="4" s="1"/>
  <c r="H666" i="1"/>
  <c r="AD31" i="42"/>
  <c r="AB40" i="42"/>
  <c r="F670" i="1"/>
  <c r="R109" i="19"/>
  <c r="CU52" i="4"/>
  <c r="DG52" i="4"/>
  <c r="CD21" i="4"/>
  <c r="AJ68" i="42"/>
  <c r="DC23" i="4"/>
  <c r="N80" i="19"/>
  <c r="CQ23" i="4"/>
  <c r="CD11" i="4"/>
  <c r="AD68" i="42"/>
  <c r="P389" i="1"/>
  <c r="FA5" i="4"/>
  <c r="AK71" i="42"/>
  <c r="P397" i="1"/>
  <c r="P399" i="1" s="1"/>
  <c r="CH5" i="4" s="1"/>
  <c r="AA49" i="42"/>
  <c r="S58" i="42" s="1"/>
  <c r="AC49" i="42"/>
  <c r="FM8" i="4"/>
  <c r="CB17" i="4"/>
  <c r="AM62" i="42"/>
  <c r="J287" i="1"/>
  <c r="AE95" i="42"/>
  <c r="F274" i="1"/>
  <c r="F276" i="1" s="1"/>
  <c r="F278" i="1"/>
  <c r="F279" i="1" s="1"/>
  <c r="AF36" i="42"/>
  <c r="J668" i="1"/>
  <c r="DA30" i="4"/>
  <c r="CO30" i="4"/>
  <c r="L87" i="19"/>
  <c r="AQ36" i="42"/>
  <c r="V668" i="1"/>
  <c r="V721" i="1" s="1"/>
  <c r="V747" i="1"/>
  <c r="V748" i="1" s="1"/>
  <c r="EK23" i="4" s="1"/>
  <c r="AQ37" i="42"/>
  <c r="EO10" i="4"/>
  <c r="T644" i="1"/>
  <c r="T658" i="1"/>
  <c r="AO63" i="42"/>
  <c r="T596" i="1"/>
  <c r="T602" i="1" s="1"/>
  <c r="T645" i="1"/>
  <c r="T651" i="1" s="1"/>
  <c r="T610" i="1"/>
  <c r="T616" i="1" s="1"/>
  <c r="T603" i="1"/>
  <c r="T609" i="1" s="1"/>
  <c r="AS84" i="42"/>
  <c r="DC17" i="4"/>
  <c r="CQ17" i="4"/>
  <c r="N74" i="19"/>
  <c r="AV309" i="1"/>
  <c r="AV312" i="1"/>
  <c r="AV314" i="1"/>
  <c r="AV311" i="1"/>
  <c r="AV306" i="1"/>
  <c r="BC93" i="42" s="1"/>
  <c r="AV396" i="1"/>
  <c r="AV313" i="1"/>
  <c r="AV308" i="1"/>
  <c r="P291" i="1"/>
  <c r="P290" i="1"/>
  <c r="AN38" i="42"/>
  <c r="T388" i="1"/>
  <c r="T385" i="1"/>
  <c r="T386" i="1" s="1"/>
  <c r="EO18" i="4" s="1"/>
  <c r="H325" i="1"/>
  <c r="H322" i="1"/>
  <c r="D181" i="1"/>
  <c r="D208" i="1"/>
  <c r="H672" i="1"/>
  <c r="H673" i="1"/>
  <c r="H687" i="1"/>
  <c r="AM41" i="42"/>
  <c r="CF37" i="4"/>
  <c r="BA64" i="42"/>
  <c r="CQ30" i="4"/>
  <c r="N87" i="19"/>
  <c r="DC30" i="4"/>
  <c r="X210" i="1"/>
  <c r="X306" i="1"/>
  <c r="X319" i="1"/>
  <c r="X320" i="1"/>
  <c r="X294" i="1"/>
  <c r="CF9" i="4"/>
  <c r="AB64" i="42"/>
  <c r="P662" i="1"/>
  <c r="P758" i="1"/>
  <c r="P660" i="1"/>
  <c r="P757" i="1"/>
  <c r="BC85" i="42"/>
  <c r="N766" i="1"/>
  <c r="AJ71" i="42"/>
  <c r="FA21" i="4"/>
  <c r="N774" i="1"/>
  <c r="N776" i="1" s="1"/>
  <c r="CH21" i="4" s="1"/>
  <c r="P110" i="19"/>
  <c r="DE53" i="4"/>
  <c r="CS53" i="4"/>
  <c r="BY433" i="1"/>
  <c r="BY432" i="1"/>
  <c r="CQ13" i="4"/>
  <c r="N70" i="19"/>
  <c r="DC13" i="4"/>
  <c r="BN40" i="42"/>
  <c r="BW286" i="1"/>
  <c r="V389" i="1"/>
  <c r="FA22" i="4"/>
  <c r="AP71" i="42"/>
  <c r="V397" i="1"/>
  <c r="V399" i="1" s="1"/>
  <c r="CH22" i="4" s="1"/>
  <c r="F288" i="1"/>
  <c r="F289" i="1"/>
  <c r="N211" i="1"/>
  <c r="N268" i="1" s="1"/>
  <c r="J747" i="1"/>
  <c r="J748" i="1" s="1"/>
  <c r="AF37" i="42"/>
  <c r="AG31" i="30"/>
  <c r="AV283" i="1"/>
  <c r="BC40" i="42"/>
  <c r="EO12" i="4"/>
  <c r="AO38" i="42"/>
  <c r="T765" i="1"/>
  <c r="T762" i="1"/>
  <c r="AB41" i="42"/>
  <c r="AK84" i="42"/>
  <c r="D761" i="1"/>
  <c r="Z44" i="42"/>
  <c r="D681" i="1"/>
  <c r="D760" i="1"/>
  <c r="T704" i="1"/>
  <c r="AT91" i="42"/>
  <c r="AE338" i="1"/>
  <c r="AE337" i="1"/>
  <c r="AE332" i="1"/>
  <c r="CD25" i="4"/>
  <c r="AS68" i="42"/>
  <c r="D658" i="1"/>
  <c r="D644" i="1"/>
  <c r="Z63" i="42"/>
  <c r="D645" i="1"/>
  <c r="D651" i="1" s="1"/>
  <c r="D610" i="1"/>
  <c r="D616" i="1" s="1"/>
  <c r="D603" i="1"/>
  <c r="D609" i="1" s="1"/>
  <c r="D596" i="1"/>
  <c r="D602" i="1" s="1"/>
  <c r="J665" i="1"/>
  <c r="N675" i="1"/>
  <c r="N674" i="1"/>
  <c r="AG32" i="30"/>
  <c r="BC38" i="42"/>
  <c r="T273" i="1"/>
  <c r="T261" i="1"/>
  <c r="AN63" i="42"/>
  <c r="T226" i="1"/>
  <c r="T231" i="1" s="1"/>
  <c r="T220" i="1"/>
  <c r="T225" i="1" s="1"/>
  <c r="T232" i="1"/>
  <c r="T237" i="1" s="1"/>
  <c r="T262" i="1"/>
  <c r="T267" i="1" s="1"/>
  <c r="T297" i="1"/>
  <c r="T377" i="1" s="1"/>
  <c r="R752" i="1"/>
  <c r="R756" i="1"/>
  <c r="CC17" i="4" s="1"/>
  <c r="H674" i="1"/>
  <c r="H675" i="1"/>
  <c r="AF41" i="42"/>
  <c r="CC287" i="1"/>
  <c r="DA36" i="4"/>
  <c r="L93" i="19"/>
  <c r="CO36" i="4"/>
  <c r="AE739" i="1"/>
  <c r="AZ52" i="42" s="1"/>
  <c r="CQ36" i="4"/>
  <c r="DC36" i="4"/>
  <c r="N93" i="19"/>
  <c r="AI750" i="1"/>
  <c r="AI755" i="1"/>
  <c r="P712" i="1"/>
  <c r="P713" i="1" s="1"/>
  <c r="P716" i="1"/>
  <c r="P717" i="1" s="1"/>
  <c r="P710" i="1"/>
  <c r="P714" i="1"/>
  <c r="AQ51" i="42"/>
  <c r="V709" i="1"/>
  <c r="AA59" i="23"/>
  <c r="L58" i="23"/>
  <c r="BC84" i="42"/>
  <c r="AG35" i="30"/>
  <c r="P39" i="30" s="1"/>
  <c r="Q18" i="30"/>
  <c r="AP44" i="42"/>
  <c r="V298" i="1"/>
  <c r="V377" i="1"/>
  <c r="BO52" i="42"/>
  <c r="BR52" i="42"/>
  <c r="BY436" i="1"/>
  <c r="V750" i="1"/>
  <c r="R747" i="1"/>
  <c r="R748" i="1" s="1"/>
  <c r="AM37" i="42"/>
  <c r="AM36" i="42"/>
  <c r="R668" i="1"/>
  <c r="R721" i="1" s="1"/>
  <c r="P756" i="1"/>
  <c r="P752" i="1"/>
  <c r="J750" i="1"/>
  <c r="AE310" i="1"/>
  <c r="AD38" i="30"/>
  <c r="J757" i="1"/>
  <c r="AF78" i="42" s="1"/>
  <c r="J758" i="1"/>
  <c r="J660" i="1"/>
  <c r="N663" i="1"/>
  <c r="N664" i="1" s="1"/>
  <c r="N659" i="1"/>
  <c r="N661" i="1" s="1"/>
  <c r="X663" i="1"/>
  <c r="X659" i="1"/>
  <c r="X661" i="1" s="1"/>
  <c r="F389" i="1"/>
  <c r="AA71" i="42"/>
  <c r="FA8" i="4"/>
  <c r="F397" i="1"/>
  <c r="F399" i="1" s="1"/>
  <c r="CH8" i="4" s="1"/>
  <c r="R323" i="1"/>
  <c r="R324" i="1"/>
  <c r="AL91" i="42"/>
  <c r="R318" i="1"/>
  <c r="R321" i="1"/>
  <c r="H663" i="1"/>
  <c r="H664" i="1" s="1"/>
  <c r="H659" i="1"/>
  <c r="F750" i="1"/>
  <c r="CC286" i="1"/>
  <c r="BP52" i="42"/>
  <c r="CA436" i="1"/>
  <c r="N66" i="19"/>
  <c r="DC9" i="4"/>
  <c r="CQ9" i="4"/>
  <c r="DG23" i="4"/>
  <c r="R80" i="19"/>
  <c r="CU23" i="4"/>
  <c r="V712" i="1"/>
  <c r="V713" i="1" s="1"/>
  <c r="V714" i="1"/>
  <c r="V710" i="1"/>
  <c r="AQ92" i="42"/>
  <c r="V716" i="1"/>
  <c r="V717" i="1" s="1"/>
  <c r="BU23" i="4" s="1"/>
  <c r="CU17" i="4"/>
  <c r="DG17" i="4"/>
  <c r="R74" i="19"/>
  <c r="AB92" i="42"/>
  <c r="F712" i="1"/>
  <c r="F713" i="1" s="1"/>
  <c r="F710" i="1"/>
  <c r="F714" i="1"/>
  <c r="F716" i="1"/>
  <c r="F717" i="1" s="1"/>
  <c r="BU9" i="4" s="1"/>
  <c r="V662" i="1"/>
  <c r="V757" i="1"/>
  <c r="AQ78" i="42" s="1"/>
  <c r="V758" i="1"/>
  <c r="V660" i="1"/>
  <c r="L60" i="23"/>
  <c r="Y59" i="23"/>
  <c r="Y61" i="23" s="1"/>
  <c r="AB54" i="23" s="1"/>
  <c r="AV277" i="1"/>
  <c r="P93" i="19"/>
  <c r="DE36" i="4"/>
  <c r="CS36" i="4"/>
  <c r="BW284" i="1"/>
  <c r="BN36" i="42"/>
  <c r="BY383" i="1"/>
  <c r="BY381" i="1"/>
  <c r="BY384" i="1"/>
  <c r="BY382" i="1"/>
  <c r="CC390" i="1"/>
  <c r="F665" i="1"/>
  <c r="R70" i="19"/>
  <c r="DG13" i="4"/>
  <c r="CU13" i="4"/>
  <c r="J751" i="1"/>
  <c r="BA84" i="42"/>
  <c r="V322" i="1"/>
  <c r="V408" i="1"/>
  <c r="AC45" i="42"/>
  <c r="AJ32" i="42"/>
  <c r="N669" i="1"/>
  <c r="AP55" i="42"/>
  <c r="FN22" i="4"/>
  <c r="AA84" i="42"/>
  <c r="X674" i="1"/>
  <c r="X675" i="1"/>
  <c r="P282" i="1"/>
  <c r="AK31" i="42"/>
  <c r="AL38" i="42"/>
  <c r="R388" i="1"/>
  <c r="R385" i="1"/>
  <c r="R386" i="1" s="1"/>
  <c r="EO16" i="4" s="1"/>
  <c r="AI333" i="1"/>
  <c r="AI223" i="1"/>
  <c r="AI308" i="1"/>
  <c r="AI296" i="1"/>
  <c r="AV42" i="42" s="1"/>
  <c r="AI334" i="1"/>
  <c r="AI320" i="1"/>
  <c r="AI335" i="1" s="1"/>
  <c r="AV362" i="1"/>
  <c r="AV363" i="1" s="1"/>
  <c r="EW39" i="4" s="1"/>
  <c r="BC37" i="42"/>
  <c r="F751" i="1"/>
  <c r="J709" i="1"/>
  <c r="AF51" i="42"/>
  <c r="AE809" i="1"/>
  <c r="AE810" i="1" a="1"/>
  <c r="AE810" i="1" s="1"/>
  <c r="P781" i="1"/>
  <c r="P782" i="1"/>
  <c r="N705" i="1"/>
  <c r="N785" i="1"/>
  <c r="DG51" i="4"/>
  <c r="R108" i="19"/>
  <c r="CU51" i="4"/>
  <c r="F709" i="1"/>
  <c r="AB51" i="42"/>
  <c r="AD51" i="42"/>
  <c r="AM40" i="42"/>
  <c r="R670" i="1"/>
  <c r="V665" i="1"/>
  <c r="Z59" i="23"/>
  <c r="L57" i="23"/>
  <c r="AV274" i="1"/>
  <c r="AV373" i="1"/>
  <c r="AV272" i="1"/>
  <c r="AV372" i="1" s="1"/>
  <c r="P113" i="19"/>
  <c r="DE56" i="4"/>
  <c r="CS56" i="4"/>
  <c r="AP45" i="42"/>
  <c r="V289" i="1"/>
  <c r="V288" i="1"/>
  <c r="DG30" i="4"/>
  <c r="R87" i="19"/>
  <c r="CU30" i="4"/>
  <c r="L94" i="19"/>
  <c r="CO37" i="4"/>
  <c r="DA37" i="4"/>
  <c r="F662" i="1"/>
  <c r="F757" i="1"/>
  <c r="F758" i="1"/>
  <c r="AB79" i="42" s="1"/>
  <c r="F660" i="1"/>
  <c r="F282" i="1"/>
  <c r="AA31" i="42"/>
  <c r="Q34" i="42" s="1"/>
  <c r="BC41" i="42"/>
  <c r="N210" i="1"/>
  <c r="N294" i="1"/>
  <c r="N306" i="1"/>
  <c r="N320" i="1"/>
  <c r="N319" i="1"/>
  <c r="N283" i="1"/>
  <c r="AI42" i="42" s="1"/>
  <c r="AI767" i="1"/>
  <c r="AI769" i="1"/>
  <c r="EO21" i="4"/>
  <c r="H278" i="1"/>
  <c r="H279" i="1" s="1"/>
  <c r="H274" i="1"/>
  <c r="H276" i="1" s="1"/>
  <c r="AE286" i="1"/>
  <c r="AE274" i="1"/>
  <c r="AD18" i="30"/>
  <c r="AT63" i="42"/>
  <c r="AE233" i="1"/>
  <c r="AE238" i="1" s="1"/>
  <c r="AE239" i="1"/>
  <c r="AE244" i="1" s="1"/>
  <c r="AE245" i="1"/>
  <c r="AE250" i="1" s="1"/>
  <c r="AE275" i="1"/>
  <c r="AE280" i="1" s="1"/>
  <c r="AE311" i="1"/>
  <c r="AE84" i="42"/>
  <c r="AT38" i="42"/>
  <c r="AD32" i="30"/>
  <c r="AD36" i="30" s="1"/>
  <c r="AE399" i="1"/>
  <c r="AE400" i="1" s="1"/>
  <c r="AE402" i="1"/>
  <c r="CD37" i="4"/>
  <c r="BA68" i="42"/>
  <c r="D704" i="1"/>
  <c r="AP49" i="42"/>
  <c r="FM22" i="4"/>
  <c r="R662" i="1"/>
  <c r="R757" i="1"/>
  <c r="R758" i="1"/>
  <c r="AM79" i="42" s="1"/>
  <c r="R660" i="1"/>
  <c r="J661" i="1"/>
  <c r="P278" i="1"/>
  <c r="P279" i="1" s="1"/>
  <c r="P274" i="1"/>
  <c r="P276" i="1" s="1"/>
  <c r="R296" i="1"/>
  <c r="J325" i="1"/>
  <c r="J322" i="1"/>
  <c r="J408" i="1"/>
  <c r="AJ84" i="42"/>
  <c r="CC294" i="1"/>
  <c r="CC296" i="1" s="1"/>
  <c r="CA428" i="1"/>
  <c r="CA429" i="1" s="1"/>
  <c r="CA430" i="1"/>
  <c r="CA431" i="1" s="1"/>
  <c r="BP81" i="42" s="1"/>
  <c r="BA61" i="42"/>
  <c r="CA37" i="4"/>
  <c r="X705" i="1"/>
  <c r="X785" i="1"/>
  <c r="J712" i="1"/>
  <c r="J713" i="1" s="1"/>
  <c r="J710" i="1"/>
  <c r="J716" i="1"/>
  <c r="J717" i="1" s="1"/>
  <c r="BU13" i="4" s="1"/>
  <c r="AF92" i="42"/>
  <c r="J714" i="1"/>
  <c r="AE746" i="1"/>
  <c r="BT36" i="4"/>
  <c r="AM51" i="42"/>
  <c r="R709" i="1"/>
  <c r="AE771" i="1"/>
  <c r="AJ55" i="42"/>
  <c r="FN21" i="4"/>
  <c r="P408" i="1"/>
  <c r="P322" i="1"/>
  <c r="P325" i="1"/>
  <c r="AB59" i="23"/>
  <c r="L53" i="23"/>
  <c r="P109" i="19"/>
  <c r="DE52" i="4"/>
  <c r="CS52" i="4"/>
  <c r="V278" i="1"/>
  <c r="V279" i="1" s="1"/>
  <c r="V274" i="1"/>
  <c r="V276" i="1" s="1"/>
  <c r="CC373" i="1"/>
  <c r="AG744" i="1"/>
  <c r="AG745" i="1" s="1"/>
  <c r="BU37" i="4" s="1"/>
  <c r="AG740" i="1"/>
  <c r="AG741" i="1" s="1"/>
  <c r="AG742" i="1"/>
  <c r="AG738" i="1"/>
  <c r="BA92" i="42"/>
  <c r="K87" i="19"/>
  <c r="CZ30" i="4"/>
  <c r="CN30" i="4"/>
  <c r="BY428" i="1"/>
  <c r="BY429" i="1" s="1"/>
  <c r="BY430" i="1"/>
  <c r="BY431" i="1" s="1"/>
  <c r="AB36" i="42"/>
  <c r="F668" i="1"/>
  <c r="F721" i="1" s="1"/>
  <c r="F752" i="1"/>
  <c r="F756" i="1"/>
  <c r="CC9" i="4" s="1"/>
  <c r="P664" i="1"/>
  <c r="AG39" i="30"/>
  <c r="P43" i="30" s="1"/>
  <c r="M52" i="30" s="1"/>
  <c r="R18" i="30"/>
  <c r="AG37" i="30"/>
  <c r="P41" i="30" s="1"/>
  <c r="AI764" i="1"/>
  <c r="AI762" i="1"/>
  <c r="EO25" i="4"/>
  <c r="EO5" i="4"/>
  <c r="EO22" i="4"/>
  <c r="AM55" i="4"/>
  <c r="AV51" i="4"/>
  <c r="AO54" i="4"/>
  <c r="AI54" i="4"/>
  <c r="AV10" i="4"/>
  <c r="AX5" i="4"/>
  <c r="AC55" i="4"/>
  <c r="AX51" i="4"/>
  <c r="AK8" i="4"/>
  <c r="Y25" i="4"/>
  <c r="AO12" i="4"/>
  <c r="AM22" i="4"/>
  <c r="Y22" i="4"/>
  <c r="AC10" i="4"/>
  <c r="BF24" i="4"/>
  <c r="AX19" i="4"/>
  <c r="BD50" i="4"/>
  <c r="AM8" i="4"/>
  <c r="BF29" i="4"/>
  <c r="AV18" i="4"/>
  <c r="AC5" i="4"/>
  <c r="AW16" i="4"/>
  <c r="AO5" i="4"/>
  <c r="AB5" i="4"/>
  <c r="AO25" i="4"/>
  <c r="Z8" i="4"/>
  <c r="AC21" i="4"/>
  <c r="AB25" i="4"/>
  <c r="BD29" i="4"/>
  <c r="AW18" i="4"/>
  <c r="AO11" i="4"/>
  <c r="AM11" i="4"/>
  <c r="AV31" i="4"/>
  <c r="AQ5" i="4"/>
  <c r="AM12" i="4"/>
  <c r="AM5" i="4"/>
  <c r="Y10" i="4"/>
  <c r="AW31" i="4"/>
  <c r="BF33" i="4"/>
  <c r="Z55" i="4"/>
  <c r="AQ52" i="4"/>
  <c r="AX7" i="4"/>
  <c r="AQ8" i="4"/>
  <c r="AQ56" i="4"/>
  <c r="AK22" i="4"/>
  <c r="AC22" i="4"/>
  <c r="AO55" i="4"/>
  <c r="AB55" i="4"/>
  <c r="AC11" i="4"/>
  <c r="AB21" i="4"/>
  <c r="AV16" i="4"/>
  <c r="AO21" i="4"/>
  <c r="AQ10" i="4"/>
  <c r="Y12" i="4"/>
  <c r="AK5" i="4"/>
  <c r="AK12" i="4"/>
  <c r="Y5" i="4"/>
  <c r="Y11" i="4"/>
  <c r="AB10" i="4"/>
  <c r="AI25" i="4"/>
  <c r="Z10" i="4"/>
  <c r="BD20" i="4"/>
  <c r="BR10" i="4"/>
  <c r="Y55" i="4"/>
  <c r="AM21" i="4"/>
  <c r="AB22" i="4"/>
  <c r="AO8" i="4"/>
  <c r="AX18" i="4"/>
  <c r="Z21" i="4"/>
  <c r="AI5" i="4"/>
  <c r="AX22" i="4"/>
  <c r="AC12" i="4"/>
  <c r="AB11" i="4"/>
  <c r="AK21" i="4"/>
  <c r="AI22" i="4"/>
  <c r="AK11" i="4"/>
  <c r="BR11" i="4"/>
  <c r="AQ22" i="4"/>
  <c r="AK25" i="4"/>
  <c r="Y21" i="4"/>
  <c r="AW33" i="4"/>
  <c r="BD24" i="4"/>
  <c r="Z11" i="4"/>
  <c r="AV33" i="4"/>
  <c r="AO10" i="4"/>
  <c r="AB8" i="4"/>
  <c r="AI10" i="4"/>
  <c r="AC8" i="4"/>
  <c r="BR5" i="4"/>
  <c r="AW51" i="4"/>
  <c r="AK54" i="4"/>
  <c r="Z22" i="4"/>
  <c r="Z25" i="4"/>
  <c r="BR8" i="4"/>
  <c r="AC25" i="4"/>
  <c r="Z5" i="4"/>
  <c r="AQ12" i="4"/>
  <c r="AI8" i="4"/>
  <c r="AM10" i="4"/>
  <c r="AV54" i="4"/>
  <c r="AM54" i="4"/>
  <c r="BF39" i="4"/>
  <c r="BR12" i="4"/>
  <c r="AX10" i="4"/>
  <c r="AI12" i="4"/>
  <c r="Y8" i="4"/>
  <c r="AQ25" i="4"/>
  <c r="AX55" i="4"/>
  <c r="AI21" i="4"/>
  <c r="AI11" i="4"/>
  <c r="AQ21" i="4"/>
  <c r="AM25" i="4"/>
  <c r="BF20" i="4"/>
  <c r="AB12" i="4"/>
  <c r="Z12" i="4"/>
  <c r="AO22" i="4"/>
  <c r="BF50" i="4"/>
  <c r="H304" i="1" l="1"/>
  <c r="H285" i="1"/>
  <c r="BC71" i="42"/>
  <c r="CC372" i="1"/>
  <c r="FA39" i="4"/>
  <c r="CC370" i="1"/>
  <c r="BU407" i="1"/>
  <c r="AM64" i="42"/>
  <c r="AG771" i="1"/>
  <c r="AK68" i="42"/>
  <c r="AB70" i="42"/>
  <c r="BY434" i="1"/>
  <c r="EX37" i="4"/>
  <c r="EL37" i="4"/>
  <c r="AG760" i="1"/>
  <c r="R715" i="1"/>
  <c r="AM53" i="42" s="1"/>
  <c r="BE108" i="42"/>
  <c r="CG41" i="4"/>
  <c r="BE69" i="42"/>
  <c r="EO33" i="4"/>
  <c r="P718" i="1"/>
  <c r="BM55" i="42"/>
  <c r="FN51" i="4"/>
  <c r="BM49" i="42"/>
  <c r="FM51" i="4"/>
  <c r="BM31" i="42"/>
  <c r="BU282" i="1"/>
  <c r="BM51" i="42"/>
  <c r="BU326" i="1"/>
  <c r="J715" i="1"/>
  <c r="AF53" i="42" s="1"/>
  <c r="V715" i="1"/>
  <c r="AQ53" i="42" s="1"/>
  <c r="P759" i="1"/>
  <c r="BM45" i="42"/>
  <c r="BW405" i="1"/>
  <c r="BW275" i="1"/>
  <c r="BW404" i="1" s="1"/>
  <c r="BM92" i="42"/>
  <c r="BU333" i="1"/>
  <c r="BU334" i="1" s="1"/>
  <c r="BU51" i="4" s="1"/>
  <c r="BU331" i="1"/>
  <c r="BU327" i="1"/>
  <c r="BU329" i="1"/>
  <c r="BU330" i="1" s="1"/>
  <c r="BU291" i="1"/>
  <c r="BU290" i="1"/>
  <c r="P783" i="1"/>
  <c r="P715" i="1"/>
  <c r="BM95" i="42"/>
  <c r="BU287" i="1"/>
  <c r="BU274" i="1"/>
  <c r="BU276" i="1" s="1"/>
  <c r="BU278" i="1"/>
  <c r="BW276" i="1"/>
  <c r="X296" i="1"/>
  <c r="BN41" i="42"/>
  <c r="BU288" i="1"/>
  <c r="BU289" i="1"/>
  <c r="BW279" i="1"/>
  <c r="BM84" i="42"/>
  <c r="BW399" i="1"/>
  <c r="BW403" i="1"/>
  <c r="CC55" i="4" s="1"/>
  <c r="BU304" i="1"/>
  <c r="BM32" i="42"/>
  <c r="BU285" i="1"/>
  <c r="BF203" i="1"/>
  <c r="BF202" i="1" s="1"/>
  <c r="BF205" i="1" s="1"/>
  <c r="AV366" i="1"/>
  <c r="CB39" i="4" s="1"/>
  <c r="EO39" i="4"/>
  <c r="BF151" i="1"/>
  <c r="BF150" i="1" s="1"/>
  <c r="BF152" i="1" s="1"/>
  <c r="BF125" i="1"/>
  <c r="BF124" i="1" s="1"/>
  <c r="CS42" i="4"/>
  <c r="DE42" i="4"/>
  <c r="P99" i="19"/>
  <c r="BB347" i="1"/>
  <c r="BB359" i="1" s="1"/>
  <c r="K103" i="19"/>
  <c r="CZ46" i="4"/>
  <c r="CN46" i="4"/>
  <c r="BB163" i="1"/>
  <c r="BB162" i="1"/>
  <c r="AG41" i="30"/>
  <c r="AG43" i="30" s="1"/>
  <c r="BB189" i="1"/>
  <c r="BB188" i="1"/>
  <c r="BJ394" i="1"/>
  <c r="BJ395" i="1" s="1"/>
  <c r="BJ397" i="1" s="1"/>
  <c r="CH46" i="4" s="1"/>
  <c r="BJ347" i="1"/>
  <c r="BJ359" i="1" s="1"/>
  <c r="N296" i="1"/>
  <c r="AI44" i="42" s="1"/>
  <c r="F715" i="1"/>
  <c r="M54" i="30"/>
  <c r="CT42" i="4"/>
  <c r="DF42" i="4"/>
  <c r="Q99" i="19"/>
  <c r="DA42" i="4"/>
  <c r="CO42" i="4"/>
  <c r="L99" i="19"/>
  <c r="K99" i="19"/>
  <c r="CZ42" i="4"/>
  <c r="CN42" i="4"/>
  <c r="BB137" i="1"/>
  <c r="BB136" i="1"/>
  <c r="BB110" i="1"/>
  <c r="BB111" i="1"/>
  <c r="DC56" i="4"/>
  <c r="CQ56" i="4"/>
  <c r="N113" i="19"/>
  <c r="BB394" i="1"/>
  <c r="BB395" i="1" s="1"/>
  <c r="BB397" i="1" s="1"/>
  <c r="CH42" i="4" s="1"/>
  <c r="AV374" i="1"/>
  <c r="AV376" i="1" s="1"/>
  <c r="CD39" i="4" s="1"/>
  <c r="CA434" i="1"/>
  <c r="BP106" i="42" s="1"/>
  <c r="CQ52" i="4"/>
  <c r="DC52" i="4"/>
  <c r="N109" i="19"/>
  <c r="AI771" i="1"/>
  <c r="AG743" i="1"/>
  <c r="BA53" i="42" s="1"/>
  <c r="GL50" i="4"/>
  <c r="GK50" i="4"/>
  <c r="GL20" i="4"/>
  <c r="GK20" i="4"/>
  <c r="GL24" i="4"/>
  <c r="GK24" i="4"/>
  <c r="EO29" i="4"/>
  <c r="GL29" i="4"/>
  <c r="GK29" i="4"/>
  <c r="BF204" i="1"/>
  <c r="T287" i="1"/>
  <c r="AN95" i="42"/>
  <c r="T282" i="1"/>
  <c r="AN31" i="42"/>
  <c r="AN32" i="42"/>
  <c r="T285" i="1"/>
  <c r="T304" i="1"/>
  <c r="R287" i="1"/>
  <c r="R367" i="1" s="1"/>
  <c r="AL95" i="42"/>
  <c r="AL32" i="42"/>
  <c r="R285" i="1"/>
  <c r="R304" i="1"/>
  <c r="AD13" i="30"/>
  <c r="AT32" i="42"/>
  <c r="AE298" i="1"/>
  <c r="AE318" i="1"/>
  <c r="D666" i="1"/>
  <c r="Z31" i="42"/>
  <c r="D671" i="1"/>
  <c r="D750" i="1" s="1"/>
  <c r="Z95" i="42"/>
  <c r="D673" i="1"/>
  <c r="D672" i="1"/>
  <c r="D687" i="1"/>
  <c r="T671" i="1"/>
  <c r="AO95" i="42"/>
  <c r="BP80" i="42"/>
  <c r="P329" i="1"/>
  <c r="P330" i="1" s="1"/>
  <c r="P331" i="1"/>
  <c r="P333" i="1"/>
  <c r="P334" i="1" s="1"/>
  <c r="BU5" i="4" s="1"/>
  <c r="P327" i="1"/>
  <c r="AK92" i="42"/>
  <c r="BO80" i="42"/>
  <c r="BR80" i="42"/>
  <c r="BY435" i="1"/>
  <c r="BY437" i="1" s="1"/>
  <c r="M66" i="19"/>
  <c r="CP9" i="4"/>
  <c r="DB9" i="4"/>
  <c r="J711" i="1"/>
  <c r="AF52" i="42" s="1"/>
  <c r="J326" i="1"/>
  <c r="AE51" i="42"/>
  <c r="DC37" i="4"/>
  <c r="N94" i="19"/>
  <c r="CQ37" i="4"/>
  <c r="AE304" i="1"/>
  <c r="AE303" i="1"/>
  <c r="AI91" i="42"/>
  <c r="N324" i="1"/>
  <c r="N323" i="1"/>
  <c r="N318" i="1"/>
  <c r="J781" i="1"/>
  <c r="J782" i="1"/>
  <c r="AI310" i="1"/>
  <c r="BW392" i="1"/>
  <c r="V759" i="1"/>
  <c r="AQ79" i="42"/>
  <c r="V711" i="1"/>
  <c r="AQ52" i="42" s="1"/>
  <c r="V782" i="1"/>
  <c r="V781" i="1"/>
  <c r="T290" i="1"/>
  <c r="T291" i="1"/>
  <c r="T763" i="1"/>
  <c r="EX19" i="4"/>
  <c r="EL19" i="4"/>
  <c r="EW13" i="4"/>
  <c r="AF57" i="42"/>
  <c r="CF21" i="4"/>
  <c r="AJ64" i="42"/>
  <c r="AR44" i="42"/>
  <c r="X298" i="1"/>
  <c r="T674" i="1"/>
  <c r="T675" i="1"/>
  <c r="R67" i="19"/>
  <c r="DG10" i="4"/>
  <c r="CU10" i="4"/>
  <c r="CD19" i="4"/>
  <c r="AO68" i="42"/>
  <c r="BN78" i="42"/>
  <c r="BW406" i="1"/>
  <c r="BW408" i="1" s="1"/>
  <c r="CF25" i="4"/>
  <c r="AS64" i="42"/>
  <c r="R288" i="1"/>
  <c r="R289" i="1"/>
  <c r="AD57" i="42"/>
  <c r="EW9" i="4"/>
  <c r="AB57" i="42"/>
  <c r="D766" i="1"/>
  <c r="Z71" i="42"/>
  <c r="FA7" i="4"/>
  <c r="D774" i="1"/>
  <c r="D776" i="1" s="1"/>
  <c r="CH7" i="4" s="1"/>
  <c r="CZ53" i="4"/>
  <c r="CN53" i="4"/>
  <c r="K110" i="19"/>
  <c r="V369" i="1"/>
  <c r="V373" i="1"/>
  <c r="CC22" i="4" s="1"/>
  <c r="CP23" i="4"/>
  <c r="M80" i="19"/>
  <c r="DB23" i="4"/>
  <c r="AN55" i="42"/>
  <c r="FN18" i="4"/>
  <c r="J373" i="1"/>
  <c r="CC12" i="4" s="1"/>
  <c r="J369" i="1"/>
  <c r="EK9" i="4"/>
  <c r="AV337" i="1"/>
  <c r="AV342" i="1"/>
  <c r="F781" i="1"/>
  <c r="F782" i="1"/>
  <c r="CB9" i="4"/>
  <c r="AB62" i="42"/>
  <c r="AD62" i="42"/>
  <c r="AI286" i="1"/>
  <c r="AI274" i="1"/>
  <c r="AV63" i="42"/>
  <c r="AI239" i="1"/>
  <c r="AI244" i="1" s="1"/>
  <c r="AI233" i="1"/>
  <c r="AI238" i="1" s="1"/>
  <c r="AI275" i="1"/>
  <c r="AI280" i="1" s="1"/>
  <c r="AI245" i="1"/>
  <c r="AI250" i="1" s="1"/>
  <c r="AI311" i="1"/>
  <c r="CB13" i="4"/>
  <c r="AF62" i="42"/>
  <c r="F733" i="1"/>
  <c r="F738" i="1"/>
  <c r="R322" i="1"/>
  <c r="R325" i="1"/>
  <c r="R408" i="1"/>
  <c r="CF8" i="4"/>
  <c r="AA64" i="42"/>
  <c r="S79" i="42" s="1"/>
  <c r="AT44" i="42"/>
  <c r="AE391" i="1"/>
  <c r="AE312" i="1"/>
  <c r="EW17" i="4"/>
  <c r="AM57" i="42"/>
  <c r="D674" i="1"/>
  <c r="D675" i="1"/>
  <c r="CF22" i="4"/>
  <c r="AP64" i="42"/>
  <c r="AR91" i="42"/>
  <c r="X324" i="1"/>
  <c r="X323" i="1"/>
  <c r="X318" i="1"/>
  <c r="X321" i="1"/>
  <c r="D211" i="1"/>
  <c r="D268" i="1" s="1"/>
  <c r="T672" i="1"/>
  <c r="T673" i="1"/>
  <c r="T687" i="1"/>
  <c r="J364" i="1"/>
  <c r="J365" i="1" s="1"/>
  <c r="EW12" i="4" s="1"/>
  <c r="AE37" i="42"/>
  <c r="CF12" i="4"/>
  <c r="AE64" i="42"/>
  <c r="T705" i="1"/>
  <c r="T785" i="1"/>
  <c r="AA41" i="42"/>
  <c r="Q45" i="42" s="1"/>
  <c r="AC84" i="42"/>
  <c r="V364" i="1"/>
  <c r="V365" i="1" s="1"/>
  <c r="EW22" i="4" s="1"/>
  <c r="AP37" i="42"/>
  <c r="CS23" i="4"/>
  <c r="P80" i="19"/>
  <c r="DE23" i="4"/>
  <c r="R274" i="1"/>
  <c r="R276" i="1" s="1"/>
  <c r="R278" i="1"/>
  <c r="R279" i="1" s="1"/>
  <c r="AV320" i="1"/>
  <c r="AV323" i="1"/>
  <c r="AV406" i="1"/>
  <c r="AC41" i="42"/>
  <c r="AP40" i="42"/>
  <c r="V286" i="1"/>
  <c r="CC375" i="1"/>
  <c r="CC377" i="1"/>
  <c r="CC376" i="1"/>
  <c r="FM18" i="4"/>
  <c r="AN49" i="42"/>
  <c r="AE40" i="42"/>
  <c r="X747" i="1"/>
  <c r="X748" i="1" s="1"/>
  <c r="AS37" i="42"/>
  <c r="AP41" i="42"/>
  <c r="J286" i="1"/>
  <c r="V277" i="1"/>
  <c r="V375" i="1"/>
  <c r="AP79" i="42" s="1"/>
  <c r="V275" i="1"/>
  <c r="V374" i="1" s="1"/>
  <c r="R782" i="1"/>
  <c r="R781" i="1"/>
  <c r="AE300" i="1"/>
  <c r="AT95" i="42"/>
  <c r="AB78" i="42"/>
  <c r="F759" i="1"/>
  <c r="CA9" i="4"/>
  <c r="AB61" i="42"/>
  <c r="V280" i="1"/>
  <c r="AE403" i="1"/>
  <c r="AT71" i="42"/>
  <c r="FA29" i="4"/>
  <c r="AE411" i="1"/>
  <c r="AE413" i="1" s="1"/>
  <c r="H280" i="1"/>
  <c r="N298" i="1"/>
  <c r="F727" i="1"/>
  <c r="F722" i="1"/>
  <c r="N708" i="1"/>
  <c r="N716" i="1"/>
  <c r="N717" i="1" s="1"/>
  <c r="BU21" i="4" s="1"/>
  <c r="N712" i="1"/>
  <c r="N713" i="1" s="1"/>
  <c r="AJ92" i="42"/>
  <c r="N710" i="1"/>
  <c r="N714" i="1"/>
  <c r="AV38" i="42"/>
  <c r="AI399" i="1"/>
  <c r="AI400" i="1" s="1"/>
  <c r="AI402" i="1"/>
  <c r="AS41" i="42"/>
  <c r="V727" i="1"/>
  <c r="V722" i="1"/>
  <c r="BT23" i="4"/>
  <c r="V718" i="1"/>
  <c r="N662" i="1"/>
  <c r="N758" i="1"/>
  <c r="AJ79" i="42" s="1"/>
  <c r="N757" i="1"/>
  <c r="N660" i="1"/>
  <c r="AD41" i="42"/>
  <c r="P36" i="30"/>
  <c r="AG36" i="30"/>
  <c r="P40" i="30" s="1"/>
  <c r="Z84" i="42"/>
  <c r="N321" i="1"/>
  <c r="AR38" i="42"/>
  <c r="X388" i="1"/>
  <c r="X385" i="1"/>
  <c r="X386" i="1" s="1"/>
  <c r="AK41" i="42"/>
  <c r="T663" i="1"/>
  <c r="T659" i="1"/>
  <c r="T661" i="1" s="1"/>
  <c r="CF5" i="4"/>
  <c r="AK64" i="42"/>
  <c r="M70" i="19"/>
  <c r="DB13" i="4"/>
  <c r="CP13" i="4"/>
  <c r="AO49" i="42"/>
  <c r="FM19" i="4"/>
  <c r="DE51" i="4"/>
  <c r="CS51" i="4"/>
  <c r="P108" i="19"/>
  <c r="BN84" i="42"/>
  <c r="BC49" i="42"/>
  <c r="FM39" i="4"/>
  <c r="F364" i="1"/>
  <c r="F365" i="1" s="1"/>
  <c r="EW8" i="4" s="1"/>
  <c r="AA37" i="42"/>
  <c r="Q46" i="42" s="1"/>
  <c r="V367" i="1"/>
  <c r="H716" i="1"/>
  <c r="H717" i="1" s="1"/>
  <c r="BU11" i="4" s="1"/>
  <c r="H710" i="1"/>
  <c r="H712" i="1"/>
  <c r="H713" i="1" s="1"/>
  <c r="H714" i="1"/>
  <c r="AD92" i="42"/>
  <c r="N756" i="1"/>
  <c r="CC21" i="4" s="1"/>
  <c r="N752" i="1"/>
  <c r="H364" i="1"/>
  <c r="H365" i="1" s="1"/>
  <c r="AC37" i="42"/>
  <c r="AE41" i="42"/>
  <c r="F373" i="1"/>
  <c r="CC8" i="4" s="1"/>
  <c r="F369" i="1"/>
  <c r="J367" i="1"/>
  <c r="CF11" i="4"/>
  <c r="AD64" i="42"/>
  <c r="P367" i="1"/>
  <c r="H373" i="1"/>
  <c r="CC10" i="4" s="1"/>
  <c r="H369" i="1"/>
  <c r="EK13" i="4"/>
  <c r="J718" i="1"/>
  <c r="BT13" i="4"/>
  <c r="BQ44" i="42"/>
  <c r="CC407" i="1"/>
  <c r="CC298" i="1"/>
  <c r="CC404" i="1"/>
  <c r="AM78" i="42"/>
  <c r="R759" i="1"/>
  <c r="AG739" i="1"/>
  <c r="BA52" i="42" s="1"/>
  <c r="P326" i="1"/>
  <c r="AK51" i="42"/>
  <c r="AL44" i="42"/>
  <c r="R377" i="1"/>
  <c r="R298" i="1"/>
  <c r="R727" i="1"/>
  <c r="R722" i="1"/>
  <c r="N273" i="1"/>
  <c r="N261" i="1"/>
  <c r="AI63" i="42"/>
  <c r="N262" i="1"/>
  <c r="N267" i="1" s="1"/>
  <c r="N220" i="1"/>
  <c r="N225" i="1" s="1"/>
  <c r="N232" i="1"/>
  <c r="N237" i="1" s="1"/>
  <c r="N226" i="1"/>
  <c r="N231" i="1" s="1"/>
  <c r="N297" i="1"/>
  <c r="AL55" i="42"/>
  <c r="FN16" i="4"/>
  <c r="N665" i="1"/>
  <c r="P711" i="1"/>
  <c r="CP17" i="4"/>
  <c r="M74" i="19"/>
  <c r="DB17" i="4"/>
  <c r="AJ41" i="42"/>
  <c r="N82" i="19"/>
  <c r="CQ25" i="4"/>
  <c r="DC25" i="4"/>
  <c r="H752" i="1"/>
  <c r="H756" i="1"/>
  <c r="CC11" i="4" s="1"/>
  <c r="AV310" i="1"/>
  <c r="AV315" i="1"/>
  <c r="J721" i="1"/>
  <c r="J745" i="1"/>
  <c r="CO17" i="4"/>
  <c r="DA17" i="4"/>
  <c r="L74" i="19"/>
  <c r="J753" i="1"/>
  <c r="J755" i="1"/>
  <c r="AS40" i="42"/>
  <c r="X670" i="1"/>
  <c r="FN19" i="4"/>
  <c r="AO55" i="42"/>
  <c r="BN70" i="42"/>
  <c r="EW55" i="4"/>
  <c r="AI739" i="1"/>
  <c r="BB52" i="42" s="1"/>
  <c r="FN39" i="4"/>
  <c r="BC55" i="42"/>
  <c r="AV368" i="1"/>
  <c r="AV370" i="1"/>
  <c r="AE772" i="1"/>
  <c r="H709" i="1"/>
  <c r="F329" i="1"/>
  <c r="F330" i="1" s="1"/>
  <c r="F327" i="1"/>
  <c r="F333" i="1"/>
  <c r="F334" i="1" s="1"/>
  <c r="BU8" i="4" s="1"/>
  <c r="F331" i="1"/>
  <c r="D785" i="1"/>
  <c r="D705" i="1"/>
  <c r="D708" i="1"/>
  <c r="AD40" i="42"/>
  <c r="H670" i="1"/>
  <c r="AA40" i="42"/>
  <c r="Q44" i="42" s="1"/>
  <c r="F286" i="1"/>
  <c r="AC40" i="42"/>
  <c r="H286" i="1"/>
  <c r="EK17" i="4"/>
  <c r="EO7" i="4"/>
  <c r="AE805" i="1"/>
  <c r="AE806" i="1" s="1"/>
  <c r="AE807" i="1"/>
  <c r="AE808" i="1" s="1"/>
  <c r="AZ81" i="42" s="1"/>
  <c r="N62" i="19"/>
  <c r="DC5" i="4"/>
  <c r="CQ5" i="4"/>
  <c r="V738" i="1"/>
  <c r="V733" i="1"/>
  <c r="AK36" i="42"/>
  <c r="P284" i="1"/>
  <c r="P338" i="1" s="1"/>
  <c r="AV348" i="1"/>
  <c r="AV353" i="1"/>
  <c r="AD53" i="42"/>
  <c r="AB53" i="42"/>
  <c r="FM16" i="4"/>
  <c r="AL49" i="42"/>
  <c r="CF39" i="4"/>
  <c r="BC64" i="42"/>
  <c r="P753" i="1"/>
  <c r="P755" i="1"/>
  <c r="R753" i="1"/>
  <c r="EX17" i="4" s="1"/>
  <c r="R755" i="1"/>
  <c r="AE336" i="1"/>
  <c r="AE422" i="1"/>
  <c r="CD7" i="4"/>
  <c r="Z68" i="42"/>
  <c r="DG21" i="4"/>
  <c r="R78" i="19"/>
  <c r="CU21" i="4"/>
  <c r="X261" i="1"/>
  <c r="X273" i="1"/>
  <c r="AR63" i="42"/>
  <c r="X226" i="1"/>
  <c r="X231" i="1" s="1"/>
  <c r="X262" i="1"/>
  <c r="X267" i="1" s="1"/>
  <c r="X232" i="1"/>
  <c r="X237" i="1" s="1"/>
  <c r="X220" i="1"/>
  <c r="X225" i="1" s="1"/>
  <c r="X297" i="1"/>
  <c r="AF70" i="42"/>
  <c r="CF10" i="4"/>
  <c r="AC64" i="42"/>
  <c r="D210" i="1"/>
  <c r="D294" i="1"/>
  <c r="D319" i="1"/>
  <c r="D320" i="1"/>
  <c r="D306" i="1"/>
  <c r="D283" i="1"/>
  <c r="Y42" i="42" s="1"/>
  <c r="AI743" i="1"/>
  <c r="BB53" i="42" s="1"/>
  <c r="AN84" i="42"/>
  <c r="M96" i="19"/>
  <c r="DB39" i="4"/>
  <c r="CP39" i="4"/>
  <c r="AA51" i="42"/>
  <c r="Q59" i="42" s="1"/>
  <c r="O92" i="42" s="1"/>
  <c r="F326" i="1"/>
  <c r="AC51" i="42"/>
  <c r="R711" i="1"/>
  <c r="AM52" i="42" s="1"/>
  <c r="R665" i="1"/>
  <c r="Z49" i="42"/>
  <c r="FM7" i="4"/>
  <c r="AS36" i="42"/>
  <c r="X668" i="1"/>
  <c r="X664" i="1"/>
  <c r="X665" i="1" s="1"/>
  <c r="AG746" i="1"/>
  <c r="BT37" i="4"/>
  <c r="X708" i="1"/>
  <c r="X714" i="1"/>
  <c r="AS92" i="42"/>
  <c r="X712" i="1"/>
  <c r="X713" i="1" s="1"/>
  <c r="X710" i="1"/>
  <c r="X716" i="1"/>
  <c r="X717" i="1" s="1"/>
  <c r="BU25" i="4" s="1"/>
  <c r="P277" i="1"/>
  <c r="P375" i="1"/>
  <c r="AK79" i="42" s="1"/>
  <c r="P275" i="1"/>
  <c r="P374" i="1" s="1"/>
  <c r="AE295" i="1"/>
  <c r="AD12" i="30"/>
  <c r="AD35" i="30" s="1"/>
  <c r="AT31" i="42"/>
  <c r="Q75" i="42"/>
  <c r="S27" i="42"/>
  <c r="BY390" i="1"/>
  <c r="BY391" i="1" s="1"/>
  <c r="AB61" i="23"/>
  <c r="AA61" i="23"/>
  <c r="Z61" i="23"/>
  <c r="F711" i="1"/>
  <c r="DG8" i="4"/>
  <c r="CU8" i="4"/>
  <c r="R65" i="19"/>
  <c r="J759" i="1"/>
  <c r="AF79" i="42"/>
  <c r="P777" i="1"/>
  <c r="P778" i="1" s="1"/>
  <c r="P779" i="1"/>
  <c r="P780" i="1" s="1"/>
  <c r="AN45" i="42"/>
  <c r="T274" i="1"/>
  <c r="T276" i="1" s="1"/>
  <c r="T278" i="1"/>
  <c r="Z32" i="42"/>
  <c r="D669" i="1"/>
  <c r="AT49" i="42"/>
  <c r="FM31" i="4"/>
  <c r="CU22" i="4"/>
  <c r="DG22" i="4"/>
  <c r="R79" i="19"/>
  <c r="P722" i="1"/>
  <c r="P727" i="1"/>
  <c r="DE37" i="4"/>
  <c r="CS37" i="4"/>
  <c r="P94" i="19"/>
  <c r="H329" i="1"/>
  <c r="H330" i="1" s="1"/>
  <c r="H333" i="1"/>
  <c r="H334" i="1" s="1"/>
  <c r="BU10" i="4" s="1"/>
  <c r="H331" i="1"/>
  <c r="AA92" i="42"/>
  <c r="Q58" i="42" s="1"/>
  <c r="AC92" i="42"/>
  <c r="H327" i="1"/>
  <c r="T666" i="1"/>
  <c r="AO31" i="42"/>
  <c r="AQ57" i="42"/>
  <c r="EW23" i="4"/>
  <c r="V751" i="1"/>
  <c r="CQ11" i="4"/>
  <c r="DC11" i="4"/>
  <c r="N68" i="19"/>
  <c r="P42" i="30"/>
  <c r="M53" i="30" s="1"/>
  <c r="AG42" i="30"/>
  <c r="AG40" i="30" s="1"/>
  <c r="AO84" i="42"/>
  <c r="CB55" i="4"/>
  <c r="BN62" i="42"/>
  <c r="DG25" i="4"/>
  <c r="R82" i="19"/>
  <c r="CU25" i="4"/>
  <c r="R282" i="1"/>
  <c r="AL31" i="42"/>
  <c r="AG810" i="1" a="1"/>
  <c r="AG810" i="1" s="1"/>
  <c r="AG809" i="1"/>
  <c r="V745" i="1"/>
  <c r="V368" i="1"/>
  <c r="DE17" i="4"/>
  <c r="CS17" i="4"/>
  <c r="P74" i="19"/>
  <c r="Z55" i="42"/>
  <c r="FN7" i="4"/>
  <c r="H747" i="1"/>
  <c r="H748" i="1" s="1"/>
  <c r="AD37" i="42"/>
  <c r="F367" i="1"/>
  <c r="J368" i="1"/>
  <c r="N747" i="1"/>
  <c r="N748" i="1" s="1"/>
  <c r="AJ37" i="42"/>
  <c r="K94" i="19"/>
  <c r="CN37" i="4"/>
  <c r="CZ37" i="4"/>
  <c r="P280" i="1"/>
  <c r="AT45" i="42"/>
  <c r="AE302" i="1"/>
  <c r="AE301" i="1"/>
  <c r="AA36" i="42"/>
  <c r="F284" i="1"/>
  <c r="AE811" i="1"/>
  <c r="AV91" i="42"/>
  <c r="AI338" i="1"/>
  <c r="AI337" i="1"/>
  <c r="AI332" i="1"/>
  <c r="AJ40" i="42"/>
  <c r="N670" i="1"/>
  <c r="BT9" i="4"/>
  <c r="BT7" i="4"/>
  <c r="F718" i="1"/>
  <c r="H757" i="1"/>
  <c r="AD78" i="42" s="1"/>
  <c r="H758" i="1"/>
  <c r="AD79" i="42" s="1"/>
  <c r="H660" i="1"/>
  <c r="CA17" i="4"/>
  <c r="AM61" i="42"/>
  <c r="AI758" i="1"/>
  <c r="AI756" i="1"/>
  <c r="AI757" i="1"/>
  <c r="AI759" i="1"/>
  <c r="J738" i="1"/>
  <c r="J733" i="1"/>
  <c r="FN33" i="4"/>
  <c r="FN31" i="4"/>
  <c r="AT55" i="42"/>
  <c r="P35" i="30"/>
  <c r="M55" i="30" s="1"/>
  <c r="H326" i="1"/>
  <c r="T750" i="1"/>
  <c r="AO32" i="42"/>
  <c r="T669" i="1"/>
  <c r="CA23" i="4"/>
  <c r="AQ61" i="42"/>
  <c r="F280" i="1"/>
  <c r="CU12" i="4"/>
  <c r="DG12" i="4"/>
  <c r="R69" i="19"/>
  <c r="J277" i="1"/>
  <c r="J375" i="1"/>
  <c r="J275" i="1"/>
  <c r="J374" i="1" s="1"/>
  <c r="AE78" i="42" s="1"/>
  <c r="CC392" i="1"/>
  <c r="AI746" i="1"/>
  <c r="BT30" i="4"/>
  <c r="R291" i="1"/>
  <c r="R290" i="1"/>
  <c r="DE13" i="4"/>
  <c r="P70" i="19"/>
  <c r="CS13" i="4"/>
  <c r="AI809" i="1"/>
  <c r="AI810" i="1" a="1"/>
  <c r="AI810" i="1" s="1"/>
  <c r="H751" i="1"/>
  <c r="CB11" i="4" s="1"/>
  <c r="Q86" i="42"/>
  <c r="S31" i="42"/>
  <c r="P373" i="1"/>
  <c r="CC5" i="4" s="1"/>
  <c r="P369" i="1"/>
  <c r="AE36" i="42"/>
  <c r="AE70" i="42" s="1"/>
  <c r="J284" i="1"/>
  <c r="AC36" i="42"/>
  <c r="H284" i="1"/>
  <c r="H367" i="1"/>
  <c r="EW10" i="4" s="1"/>
  <c r="F753" i="1"/>
  <c r="F755" i="1"/>
  <c r="H277" i="1"/>
  <c r="H375" i="1"/>
  <c r="AC79" i="42" s="1"/>
  <c r="H275" i="1"/>
  <c r="H374" i="1" s="1"/>
  <c r="BO81" i="42"/>
  <c r="BR81" i="42"/>
  <c r="AE92" i="42"/>
  <c r="J331" i="1"/>
  <c r="J329" i="1"/>
  <c r="J330" i="1" s="1"/>
  <c r="J333" i="1"/>
  <c r="J334" i="1" s="1"/>
  <c r="BU12" i="4" s="1"/>
  <c r="J327" i="1"/>
  <c r="AE291" i="1"/>
  <c r="AE292" i="1" s="1"/>
  <c r="AE287" i="1"/>
  <c r="AI38" i="42"/>
  <c r="N388" i="1"/>
  <c r="N385" i="1"/>
  <c r="N386" i="1" s="1"/>
  <c r="R389" i="1"/>
  <c r="AL71" i="42"/>
  <c r="FA16" i="4"/>
  <c r="R397" i="1"/>
  <c r="R399" i="1" s="1"/>
  <c r="CH16" i="4" s="1"/>
  <c r="V325" i="1"/>
  <c r="AP92" i="42"/>
  <c r="V331" i="1"/>
  <c r="V333" i="1"/>
  <c r="V334" i="1" s="1"/>
  <c r="BU22" i="4" s="1"/>
  <c r="V329" i="1"/>
  <c r="V330" i="1" s="1"/>
  <c r="V327" i="1"/>
  <c r="H665" i="1"/>
  <c r="T16" i="42"/>
  <c r="O84" i="42"/>
  <c r="X662" i="1"/>
  <c r="X758" i="1"/>
  <c r="AS79" i="42" s="1"/>
  <c r="X757" i="1"/>
  <c r="X660" i="1"/>
  <c r="J662" i="1"/>
  <c r="AM70" i="42"/>
  <c r="AP84" i="42"/>
  <c r="P665" i="1"/>
  <c r="AI751" i="1"/>
  <c r="AI753" i="1"/>
  <c r="AI754" i="1"/>
  <c r="AI752" i="1"/>
  <c r="BQ37" i="42"/>
  <c r="CC394" i="1"/>
  <c r="CC395" i="1" s="1"/>
  <c r="EK54" i="4" s="1"/>
  <c r="CC397" i="1"/>
  <c r="T279" i="1"/>
  <c r="T288" i="1"/>
  <c r="T289" i="1"/>
  <c r="D663" i="1"/>
  <c r="D659" i="1"/>
  <c r="F745" i="1"/>
  <c r="BO106" i="42"/>
  <c r="BR106" i="42"/>
  <c r="P66" i="19"/>
  <c r="DE9" i="4"/>
  <c r="CS9" i="4"/>
  <c r="R745" i="1"/>
  <c r="H661" i="1"/>
  <c r="H662" i="1" s="1"/>
  <c r="T389" i="1"/>
  <c r="FA18" i="4"/>
  <c r="AN71" i="42"/>
  <c r="T397" i="1"/>
  <c r="T399" i="1" s="1"/>
  <c r="CH18" i="4" s="1"/>
  <c r="AQ70" i="42"/>
  <c r="F277" i="1"/>
  <c r="F375" i="1"/>
  <c r="AA79" i="42" s="1"/>
  <c r="O88" i="42" s="1"/>
  <c r="F275" i="1"/>
  <c r="F374" i="1" s="1"/>
  <c r="DG5" i="4"/>
  <c r="R62" i="19"/>
  <c r="CU5" i="4"/>
  <c r="CQ21" i="4"/>
  <c r="DC21" i="4"/>
  <c r="N78" i="19"/>
  <c r="AD36" i="42"/>
  <c r="AD70" i="42" s="1"/>
  <c r="H668" i="1"/>
  <c r="H721" i="1" s="1"/>
  <c r="J280" i="1"/>
  <c r="BC70" i="42"/>
  <c r="AL45" i="42"/>
  <c r="L110" i="19"/>
  <c r="CO53" i="4"/>
  <c r="DA53" i="4"/>
  <c r="CS30" i="4"/>
  <c r="P87" i="19"/>
  <c r="DE30" i="4"/>
  <c r="BT17" i="4"/>
  <c r="R718" i="1"/>
  <c r="V753" i="1"/>
  <c r="V755" i="1"/>
  <c r="T325" i="1"/>
  <c r="T322" i="1"/>
  <c r="T408" i="1"/>
  <c r="AP36" i="42"/>
  <c r="AP70" i="42" s="1"/>
  <c r="V284" i="1"/>
  <c r="P364" i="1"/>
  <c r="P365" i="1" s="1"/>
  <c r="EW5" i="4" s="1"/>
  <c r="AK37" i="42"/>
  <c r="H750" i="1"/>
  <c r="EW11" i="4" s="1"/>
  <c r="F368" i="1"/>
  <c r="AJ36" i="42"/>
  <c r="N668" i="1"/>
  <c r="DG11" i="4"/>
  <c r="R68" i="19"/>
  <c r="CU11" i="4"/>
  <c r="AK40" i="42"/>
  <c r="P286" i="1"/>
  <c r="CC378" i="1"/>
  <c r="X756" i="1"/>
  <c r="CC25" i="4" s="1"/>
  <c r="X752" i="1"/>
  <c r="H368" i="1"/>
  <c r="CB10" i="4" s="1"/>
  <c r="EK39" i="4"/>
  <c r="EK55" i="4"/>
  <c r="AK10" i="4"/>
  <c r="AC31" i="4"/>
  <c r="Z28" i="4"/>
  <c r="Y33" i="4"/>
  <c r="Y31" i="4"/>
  <c r="AC28" i="4"/>
  <c r="Y28" i="4"/>
  <c r="AB31" i="4"/>
  <c r="AB28" i="4"/>
  <c r="Z33" i="4"/>
  <c r="Z31" i="4"/>
  <c r="Y51" i="4"/>
  <c r="AC51" i="4"/>
  <c r="Y19" i="4"/>
  <c r="AB18" i="4"/>
  <c r="AX31" i="4"/>
  <c r="Y7" i="4"/>
  <c r="AK31" i="4"/>
  <c r="AI33" i="4"/>
  <c r="BR18" i="4"/>
  <c r="AK16" i="4"/>
  <c r="AK33" i="4"/>
  <c r="AB16" i="4"/>
  <c r="AQ31" i="4"/>
  <c r="AX54" i="4"/>
  <c r="AO18" i="4"/>
  <c r="AB51" i="4"/>
  <c r="AQ7" i="4"/>
  <c r="AM18" i="4"/>
  <c r="AB19" i="4"/>
  <c r="AQ18" i="4"/>
  <c r="Z7" i="4"/>
  <c r="AX50" i="4"/>
  <c r="Z19" i="4"/>
  <c r="BR39" i="4"/>
  <c r="AX20" i="4"/>
  <c r="BR7" i="4"/>
  <c r="AB7" i="4"/>
  <c r="AC7" i="4"/>
  <c r="AK19" i="4"/>
  <c r="AO7" i="4"/>
  <c r="BF6" i="4"/>
  <c r="AV29" i="4"/>
  <c r="Y18" i="4"/>
  <c r="BR51" i="4"/>
  <c r="Z51" i="4"/>
  <c r="AX24" i="4"/>
  <c r="AM19" i="4"/>
  <c r="AW50" i="4"/>
  <c r="AI19" i="4"/>
  <c r="BR21" i="4"/>
  <c r="AC18" i="4"/>
  <c r="AI31" i="4"/>
  <c r="Z16" i="4"/>
  <c r="AQ19" i="4"/>
  <c r="AW29" i="4"/>
  <c r="BD6" i="4"/>
  <c r="AW24" i="4"/>
  <c r="AM7" i="4"/>
  <c r="AX33" i="4"/>
  <c r="AV20" i="4"/>
  <c r="AX16" i="4"/>
  <c r="AM33" i="4"/>
  <c r="Y16" i="4"/>
  <c r="AO16" i="4"/>
  <c r="AC19" i="4"/>
  <c r="AI16" i="4"/>
  <c r="AI7" i="4"/>
  <c r="AI18" i="4"/>
  <c r="AV24" i="4"/>
  <c r="AV50" i="4"/>
  <c r="AW20" i="4"/>
  <c r="Z18" i="4"/>
  <c r="AM31" i="4"/>
  <c r="AO19" i="4"/>
  <c r="AC16" i="4"/>
  <c r="AQ55" i="4"/>
  <c r="AQ33" i="4"/>
  <c r="BR25" i="4"/>
  <c r="AQ16" i="4"/>
  <c r="AK18" i="4"/>
  <c r="BR16" i="4"/>
  <c r="AK7" i="4"/>
  <c r="AO33" i="4"/>
  <c r="BR22" i="4"/>
  <c r="AC70" i="42" l="1"/>
  <c r="AG772" i="1"/>
  <c r="AG774" i="1" s="1"/>
  <c r="AS70" i="42"/>
  <c r="AJ70" i="42"/>
  <c r="V328" i="1"/>
  <c r="AP52" i="42" s="1"/>
  <c r="DF41" i="4"/>
  <c r="Q98" i="19"/>
  <c r="GR41" i="4"/>
  <c r="DX14" i="7" s="1"/>
  <c r="CT41" i="4"/>
  <c r="F328" i="1"/>
  <c r="BU328" i="1"/>
  <c r="BM52" i="42" s="1"/>
  <c r="BC68" i="42"/>
  <c r="X711" i="1"/>
  <c r="AS52" i="42" s="1"/>
  <c r="BW402" i="1"/>
  <c r="BW400" i="1"/>
  <c r="BM37" i="42"/>
  <c r="BU394" i="1"/>
  <c r="BU395" i="1" s="1"/>
  <c r="BC62" i="42"/>
  <c r="N715" i="1"/>
  <c r="AJ53" i="42" s="1"/>
  <c r="BU332" i="1"/>
  <c r="BM53" i="42" s="1"/>
  <c r="V783" i="1"/>
  <c r="AQ106" i="42" s="1"/>
  <c r="BU286" i="1"/>
  <c r="BM40" i="42"/>
  <c r="BU432" i="1"/>
  <c r="BU433" i="1"/>
  <c r="CC379" i="1"/>
  <c r="CC391" i="1" s="1"/>
  <c r="CC393" i="1" s="1"/>
  <c r="CC368" i="1" s="1"/>
  <c r="BU397" i="1"/>
  <c r="BW277" i="1"/>
  <c r="BM41" i="42"/>
  <c r="BU277" i="1"/>
  <c r="BU275" i="1"/>
  <c r="BU404" i="1" s="1"/>
  <c r="BM78" i="42" s="1"/>
  <c r="BU405" i="1"/>
  <c r="BM79" i="42" s="1"/>
  <c r="BM36" i="42"/>
  <c r="BU284" i="1"/>
  <c r="BU392" i="1" s="1"/>
  <c r="V332" i="1"/>
  <c r="AP53" i="42" s="1"/>
  <c r="BU403" i="1"/>
  <c r="CC51" i="4" s="1"/>
  <c r="BU399" i="1"/>
  <c r="BU279" i="1"/>
  <c r="BU280" i="1" s="1"/>
  <c r="BW280" i="1"/>
  <c r="R783" i="1"/>
  <c r="AM106" i="42" s="1"/>
  <c r="CP55" i="4"/>
  <c r="M112" i="19"/>
  <c r="DB55" i="4"/>
  <c r="BU398" i="1"/>
  <c r="BT51" i="4"/>
  <c r="BU335" i="1"/>
  <c r="BF126" i="1"/>
  <c r="BF153" i="1"/>
  <c r="P332" i="1"/>
  <c r="AK53" i="42" s="1"/>
  <c r="BJ108" i="42"/>
  <c r="BJ361" i="1"/>
  <c r="P784" i="1"/>
  <c r="P786" i="1" s="1"/>
  <c r="CA435" i="1"/>
  <c r="CA437" i="1" s="1"/>
  <c r="CG53" i="4" s="1"/>
  <c r="F332" i="1"/>
  <c r="AC53" i="42" s="1"/>
  <c r="BF108" i="42"/>
  <c r="BB361" i="1"/>
  <c r="CU46" i="4"/>
  <c r="GR46" i="4"/>
  <c r="R103" i="19"/>
  <c r="DG46" i="4"/>
  <c r="GR42" i="4"/>
  <c r="CU42" i="4"/>
  <c r="DG42" i="4"/>
  <c r="R99" i="19"/>
  <c r="J332" i="1"/>
  <c r="AE53" i="42" s="1"/>
  <c r="H332" i="1"/>
  <c r="EK33" i="4"/>
  <c r="GL6" i="4"/>
  <c r="GK6" i="4"/>
  <c r="X289" i="1"/>
  <c r="X288" i="1"/>
  <c r="F376" i="1"/>
  <c r="F378" i="1" s="1"/>
  <c r="AA78" i="42"/>
  <c r="O87" i="42" s="1"/>
  <c r="AC78" i="42"/>
  <c r="H376" i="1"/>
  <c r="H378" i="1" s="1"/>
  <c r="N282" i="1"/>
  <c r="AI31" i="42"/>
  <c r="X738" i="1"/>
  <c r="X733" i="1"/>
  <c r="AI300" i="1"/>
  <c r="AV95" i="42"/>
  <c r="AP78" i="42"/>
  <c r="V376" i="1"/>
  <c r="V378" i="1" s="1"/>
  <c r="AI302" i="1"/>
  <c r="AI301" i="1"/>
  <c r="AI295" i="1"/>
  <c r="AV31" i="42"/>
  <c r="X287" i="1"/>
  <c r="X367" i="1" s="1"/>
  <c r="AR95" i="42"/>
  <c r="AV32" i="42"/>
  <c r="AI298" i="1"/>
  <c r="AI318" i="1"/>
  <c r="AG805" i="1"/>
  <c r="AG806" i="1" s="1"/>
  <c r="AG807" i="1"/>
  <c r="AG808" i="1" s="1"/>
  <c r="J722" i="1"/>
  <c r="J727" i="1"/>
  <c r="CO10" i="4"/>
  <c r="L67" i="19"/>
  <c r="DA10" i="4"/>
  <c r="R777" i="1"/>
  <c r="R778" i="1" s="1"/>
  <c r="AM80" i="42" s="1"/>
  <c r="R779" i="1"/>
  <c r="R780" i="1" s="1"/>
  <c r="AM81" i="42" s="1"/>
  <c r="AS78" i="42"/>
  <c r="X759" i="1"/>
  <c r="CF16" i="4"/>
  <c r="AL64" i="42"/>
  <c r="CZ17" i="4"/>
  <c r="CN17" i="4"/>
  <c r="K74" i="19"/>
  <c r="AJ57" i="42"/>
  <c r="EW21" i="4"/>
  <c r="N751" i="1"/>
  <c r="AL36" i="42"/>
  <c r="R284" i="1"/>
  <c r="BT25" i="4"/>
  <c r="X718" i="1"/>
  <c r="AE339" i="1"/>
  <c r="AT92" i="42"/>
  <c r="AE347" i="1"/>
  <c r="AE348" i="1" s="1"/>
  <c r="AE341" i="1"/>
  <c r="AE343" i="1"/>
  <c r="AE344" i="1" s="1"/>
  <c r="AE345" i="1"/>
  <c r="CO39" i="4"/>
  <c r="L96" i="19"/>
  <c r="DA39" i="4"/>
  <c r="AV393" i="1"/>
  <c r="AV392" i="1"/>
  <c r="N291" i="1"/>
  <c r="N290" i="1"/>
  <c r="N755" i="1"/>
  <c r="N753" i="1"/>
  <c r="Q77" i="42"/>
  <c r="S47" i="42"/>
  <c r="O77" i="42"/>
  <c r="T662" i="1"/>
  <c r="T757" i="1"/>
  <c r="AO78" i="42" s="1"/>
  <c r="T758" i="1"/>
  <c r="T660" i="1"/>
  <c r="N727" i="1"/>
  <c r="N722" i="1"/>
  <c r="F728" i="1"/>
  <c r="F730" i="1"/>
  <c r="F729" i="1"/>
  <c r="F731" i="1"/>
  <c r="R331" i="1"/>
  <c r="R333" i="1"/>
  <c r="R334" i="1" s="1"/>
  <c r="BU16" i="4" s="1"/>
  <c r="AL92" i="42"/>
  <c r="R327" i="1"/>
  <c r="R329" i="1"/>
  <c r="R330" i="1" s="1"/>
  <c r="AI304" i="1"/>
  <c r="AI303" i="1"/>
  <c r="BF292" i="1"/>
  <c r="BF207" i="1"/>
  <c r="BF280" i="1"/>
  <c r="BH42" i="42" s="1"/>
  <c r="CU7" i="4"/>
  <c r="R64" i="19"/>
  <c r="DG7" i="4"/>
  <c r="AO41" i="42"/>
  <c r="AE387" i="1"/>
  <c r="AE383" i="1"/>
  <c r="EK22" i="4"/>
  <c r="BQ108" i="42"/>
  <c r="X753" i="1"/>
  <c r="X755" i="1"/>
  <c r="AE288" i="1"/>
  <c r="AE388" i="1" s="1"/>
  <c r="H339" i="1"/>
  <c r="H344" i="1"/>
  <c r="J734" i="1"/>
  <c r="J736" i="1"/>
  <c r="J737" i="1"/>
  <c r="J735" i="1"/>
  <c r="CB12" i="4"/>
  <c r="AE62" i="42"/>
  <c r="BT10" i="4"/>
  <c r="H335" i="1"/>
  <c r="BY393" i="1"/>
  <c r="BY368" i="1" s="1"/>
  <c r="BO108" i="42"/>
  <c r="BR108" i="42"/>
  <c r="AT36" i="42"/>
  <c r="AE297" i="1"/>
  <c r="AD30" i="30"/>
  <c r="X274" i="1"/>
  <c r="X278" i="1"/>
  <c r="AC52" i="42"/>
  <c r="AA52" i="42"/>
  <c r="Q61" i="42" s="1"/>
  <c r="EL13" i="4"/>
  <c r="EX13" i="4"/>
  <c r="DB11" i="4"/>
  <c r="M68" i="19"/>
  <c r="CP11" i="4"/>
  <c r="N289" i="1"/>
  <c r="N288" i="1"/>
  <c r="P404" i="1"/>
  <c r="P405" i="1"/>
  <c r="P68" i="19"/>
  <c r="CS11" i="4"/>
  <c r="DE11" i="4"/>
  <c r="DB21" i="4"/>
  <c r="M78" i="19"/>
  <c r="CP21" i="4"/>
  <c r="V779" i="1"/>
  <c r="V780" i="1" s="1"/>
  <c r="AQ81" i="42" s="1"/>
  <c r="V777" i="1"/>
  <c r="V778" i="1" s="1"/>
  <c r="AQ80" i="42" s="1"/>
  <c r="AI84" i="42"/>
  <c r="AE378" i="1"/>
  <c r="AE379" i="1" s="1"/>
  <c r="EW31" i="4" s="1"/>
  <c r="AT37" i="42"/>
  <c r="CS22" i="4"/>
  <c r="P79" i="19"/>
  <c r="DE22" i="4"/>
  <c r="F739" i="1"/>
  <c r="F741" i="1"/>
  <c r="F742" i="1"/>
  <c r="F740" i="1"/>
  <c r="AR84" i="42"/>
  <c r="T747" i="1"/>
  <c r="T748" i="1" s="1"/>
  <c r="AO37" i="42"/>
  <c r="AT40" i="42"/>
  <c r="AE299" i="1"/>
  <c r="AD31" i="30"/>
  <c r="R373" i="1"/>
  <c r="CC16" i="4" s="1"/>
  <c r="R369" i="1"/>
  <c r="BF208" i="1"/>
  <c r="BF265" i="1" s="1"/>
  <c r="EK21" i="4"/>
  <c r="EK12" i="4"/>
  <c r="J350" i="1"/>
  <c r="J355" i="1"/>
  <c r="D757" i="1"/>
  <c r="D758" i="1"/>
  <c r="Z79" i="42" s="1"/>
  <c r="D660" i="1"/>
  <c r="T326" i="1"/>
  <c r="AN51" i="42"/>
  <c r="BT12" i="4"/>
  <c r="J335" i="1"/>
  <c r="P370" i="1"/>
  <c r="P372" i="1"/>
  <c r="N721" i="1"/>
  <c r="N745" i="1"/>
  <c r="AI760" i="1"/>
  <c r="AI772" i="1" s="1"/>
  <c r="X722" i="1"/>
  <c r="X727" i="1"/>
  <c r="AE293" i="1"/>
  <c r="CP5" i="4"/>
  <c r="DB5" i="4"/>
  <c r="M62" i="19"/>
  <c r="AI339" i="1"/>
  <c r="AI336" i="1"/>
  <c r="AA70" i="42"/>
  <c r="Q43" i="42"/>
  <c r="AE389" i="1"/>
  <c r="AT79" i="42" s="1"/>
  <c r="CB22" i="4"/>
  <c r="AP62" i="42"/>
  <c r="T280" i="1"/>
  <c r="X715" i="1"/>
  <c r="AS53" i="42" s="1"/>
  <c r="F404" i="1"/>
  <c r="F405" i="1"/>
  <c r="V736" i="1"/>
  <c r="V734" i="1"/>
  <c r="V735" i="1"/>
  <c r="V737" i="1"/>
  <c r="F335" i="1"/>
  <c r="BT8" i="4"/>
  <c r="H753" i="1"/>
  <c r="H755" i="1"/>
  <c r="R723" i="1"/>
  <c r="R725" i="1"/>
  <c r="R724" i="1"/>
  <c r="R726" i="1"/>
  <c r="M57" i="30"/>
  <c r="M56" i="30"/>
  <c r="N711" i="1"/>
  <c r="AJ52" i="42" s="1"/>
  <c r="N377" i="1"/>
  <c r="CF31" i="4"/>
  <c r="CF33" i="4"/>
  <c r="AT64" i="42"/>
  <c r="V362" i="1"/>
  <c r="AV324" i="1"/>
  <c r="BC51" i="42"/>
  <c r="T708" i="1"/>
  <c r="T712" i="1"/>
  <c r="T713" i="1" s="1"/>
  <c r="AO92" i="42"/>
  <c r="T714" i="1"/>
  <c r="T716" i="1"/>
  <c r="T717" i="1" s="1"/>
  <c r="BU19" i="4" s="1"/>
  <c r="T710" i="1"/>
  <c r="F736" i="1"/>
  <c r="F734" i="1"/>
  <c r="F735" i="1"/>
  <c r="F737" i="1"/>
  <c r="DB22" i="4"/>
  <c r="M79" i="19"/>
  <c r="CP22" i="4"/>
  <c r="CQ19" i="4"/>
  <c r="N76" i="19"/>
  <c r="DC19" i="4"/>
  <c r="X377" i="1"/>
  <c r="J783" i="1"/>
  <c r="P328" i="1"/>
  <c r="AK52" i="42" s="1"/>
  <c r="D752" i="1"/>
  <c r="D756" i="1"/>
  <c r="CC7" i="4" s="1"/>
  <c r="AL40" i="42"/>
  <c r="R286" i="1"/>
  <c r="T367" i="1"/>
  <c r="EK11" i="4"/>
  <c r="T329" i="1"/>
  <c r="T330" i="1" s="1"/>
  <c r="T331" i="1"/>
  <c r="T333" i="1"/>
  <c r="T334" i="1" s="1"/>
  <c r="BU18" i="4" s="1"/>
  <c r="T327" i="1"/>
  <c r="AN92" i="42"/>
  <c r="F339" i="1"/>
  <c r="F344" i="1"/>
  <c r="AD61" i="42"/>
  <c r="CA11" i="4"/>
  <c r="F777" i="1"/>
  <c r="F778" i="1" s="1"/>
  <c r="F779" i="1"/>
  <c r="F780" i="1" s="1"/>
  <c r="DB25" i="4"/>
  <c r="M82" i="19"/>
  <c r="CP25" i="4"/>
  <c r="CF18" i="4"/>
  <c r="AN64" i="42"/>
  <c r="J739" i="1"/>
  <c r="J741" i="1"/>
  <c r="J742" i="1"/>
  <c r="J740" i="1"/>
  <c r="P733" i="1"/>
  <c r="P738" i="1"/>
  <c r="AP51" i="42"/>
  <c r="V326" i="1"/>
  <c r="EX9" i="4"/>
  <c r="EL9" i="4"/>
  <c r="F350" i="1"/>
  <c r="F355" i="1"/>
  <c r="H404" i="1"/>
  <c r="H405" i="1"/>
  <c r="FM29" i="4"/>
  <c r="AV49" i="42"/>
  <c r="P355" i="1"/>
  <c r="P350" i="1"/>
  <c r="AO36" i="42"/>
  <c r="T668" i="1"/>
  <c r="T277" i="1"/>
  <c r="T375" i="1"/>
  <c r="AN79" i="42" s="1"/>
  <c r="T275" i="1"/>
  <c r="T374" i="1" s="1"/>
  <c r="X709" i="1"/>
  <c r="AS51" i="42"/>
  <c r="R738" i="1"/>
  <c r="R733" i="1"/>
  <c r="Y91" i="42"/>
  <c r="D324" i="1"/>
  <c r="D323" i="1"/>
  <c r="D318" i="1"/>
  <c r="AV354" i="1"/>
  <c r="AV356" i="1"/>
  <c r="AV357" i="1"/>
  <c r="AV355" i="1"/>
  <c r="V739" i="1"/>
  <c r="V741" i="1"/>
  <c r="V742" i="1"/>
  <c r="V740" i="1"/>
  <c r="H782" i="1"/>
  <c r="H781" i="1"/>
  <c r="N738" i="1"/>
  <c r="N733" i="1"/>
  <c r="R728" i="1"/>
  <c r="R730" i="1"/>
  <c r="R729" i="1"/>
  <c r="R731" i="1"/>
  <c r="J777" i="1"/>
  <c r="J778" i="1" s="1"/>
  <c r="AF80" i="42" s="1"/>
  <c r="J779" i="1"/>
  <c r="J780" i="1" s="1"/>
  <c r="AF81" i="42" s="1"/>
  <c r="F370" i="1"/>
  <c r="F372" i="1"/>
  <c r="H715" i="1"/>
  <c r="P362" i="1"/>
  <c r="V725" i="1"/>
  <c r="V723" i="1"/>
  <c r="V724" i="1"/>
  <c r="V726" i="1"/>
  <c r="V355" i="1"/>
  <c r="V350" i="1"/>
  <c r="AV331" i="1"/>
  <c r="AV332" i="1" s="1"/>
  <c r="AV329" i="1"/>
  <c r="BC92" i="42"/>
  <c r="AV325" i="1"/>
  <c r="AV327" i="1"/>
  <c r="AV328" i="1" s="1"/>
  <c r="T664" i="1"/>
  <c r="Z41" i="42"/>
  <c r="CS8" i="4"/>
  <c r="DE8" i="4"/>
  <c r="P65" i="19"/>
  <c r="CO9" i="4"/>
  <c r="L66" i="19"/>
  <c r="DA9" i="4"/>
  <c r="J370" i="1"/>
  <c r="J372" i="1"/>
  <c r="V370" i="1"/>
  <c r="V372" i="1"/>
  <c r="CF7" i="4"/>
  <c r="Z64" i="42"/>
  <c r="T766" i="1"/>
  <c r="FA19" i="4"/>
  <c r="AO71" i="42"/>
  <c r="T774" i="1"/>
  <c r="T776" i="1" s="1"/>
  <c r="CH19" i="4" s="1"/>
  <c r="EO19" i="4"/>
  <c r="N322" i="1"/>
  <c r="N325" i="1"/>
  <c r="N408" i="1"/>
  <c r="P368" i="1"/>
  <c r="EK5" i="4"/>
  <c r="EK10" i="4"/>
  <c r="CU16" i="4"/>
  <c r="DG16" i="4"/>
  <c r="R73" i="19"/>
  <c r="N389" i="1"/>
  <c r="FA20" i="4"/>
  <c r="AI71" i="42"/>
  <c r="FA50" i="4"/>
  <c r="N397" i="1"/>
  <c r="N399" i="1" s="1"/>
  <c r="R362" i="1"/>
  <c r="AL41" i="42"/>
  <c r="J376" i="1"/>
  <c r="J378" i="1" s="1"/>
  <c r="AE79" i="42"/>
  <c r="F34" i="30"/>
  <c r="M46" i="30"/>
  <c r="H722" i="1"/>
  <c r="H727" i="1"/>
  <c r="H731" i="1" s="1"/>
  <c r="FN29" i="4"/>
  <c r="AV55" i="42"/>
  <c r="H759" i="1"/>
  <c r="AG811" i="1"/>
  <c r="BA106" i="42" s="1"/>
  <c r="H328" i="1"/>
  <c r="H408" i="1" s="1"/>
  <c r="AK78" i="42"/>
  <c r="P376" i="1"/>
  <c r="Y38" i="42"/>
  <c r="D388" i="1"/>
  <c r="D385" i="1"/>
  <c r="D386" i="1" s="1"/>
  <c r="P67" i="19"/>
  <c r="CS10" i="4"/>
  <c r="DE10" i="4"/>
  <c r="N64" i="19"/>
  <c r="CQ7" i="4"/>
  <c r="DC7" i="4"/>
  <c r="AV349" i="1"/>
  <c r="AV351" i="1"/>
  <c r="AV352" i="1"/>
  <c r="AV350" i="1"/>
  <c r="D709" i="1"/>
  <c r="Z51" i="42"/>
  <c r="AZ108" i="42"/>
  <c r="AE774" i="1"/>
  <c r="AL84" i="42"/>
  <c r="CP8" i="4"/>
  <c r="DB8" i="4"/>
  <c r="M65" i="19"/>
  <c r="BT11" i="4"/>
  <c r="H718" i="1"/>
  <c r="X389" i="1"/>
  <c r="FA24" i="4"/>
  <c r="AR71" i="42"/>
  <c r="X397" i="1"/>
  <c r="X399" i="1" s="1"/>
  <c r="CH24" i="4" s="1"/>
  <c r="H745" i="1"/>
  <c r="V730" i="1"/>
  <c r="V728" i="1"/>
  <c r="V729" i="1"/>
  <c r="V731" i="1"/>
  <c r="N718" i="1"/>
  <c r="BT21" i="4"/>
  <c r="AS57" i="42"/>
  <c r="EW25" i="4"/>
  <c r="X751" i="1"/>
  <c r="CS12" i="4"/>
  <c r="P69" i="19"/>
  <c r="DE12" i="4"/>
  <c r="X322" i="1"/>
  <c r="X325" i="1"/>
  <c r="X408" i="1"/>
  <c r="CO13" i="4"/>
  <c r="L70" i="19"/>
  <c r="DA13" i="4"/>
  <c r="AI291" i="1"/>
  <c r="AI292" i="1" s="1"/>
  <c r="AI287" i="1"/>
  <c r="AI289" i="1" s="1"/>
  <c r="DB12" i="4"/>
  <c r="M69" i="19"/>
  <c r="CP12" i="4"/>
  <c r="FM20" i="4"/>
  <c r="AI49" i="42"/>
  <c r="FM50" i="4"/>
  <c r="T364" i="1"/>
  <c r="T365" i="1" s="1"/>
  <c r="EW18" i="4" s="1"/>
  <c r="AN37" i="42"/>
  <c r="EK8" i="4"/>
  <c r="AA62" i="42"/>
  <c r="S77" i="42" s="1"/>
  <c r="AC62" i="42"/>
  <c r="CB8" i="4"/>
  <c r="H733" i="1"/>
  <c r="H738" i="1"/>
  <c r="P728" i="1"/>
  <c r="P730" i="1"/>
  <c r="P731" i="1"/>
  <c r="P729" i="1"/>
  <c r="D296" i="1"/>
  <c r="X282" i="1"/>
  <c r="AR31" i="42"/>
  <c r="CA5" i="4"/>
  <c r="AK61" i="42"/>
  <c r="D716" i="1"/>
  <c r="D717" i="1" s="1"/>
  <c r="BU7" i="4" s="1"/>
  <c r="D710" i="1"/>
  <c r="D712" i="1"/>
  <c r="D713" i="1" s="1"/>
  <c r="D714" i="1"/>
  <c r="Z92" i="42"/>
  <c r="AI32" i="42"/>
  <c r="N285" i="1"/>
  <c r="N304" i="1"/>
  <c r="BQ78" i="42"/>
  <c r="CC406" i="1"/>
  <c r="CC408" i="1" s="1"/>
  <c r="H370" i="1"/>
  <c r="H372" i="1"/>
  <c r="H711" i="1"/>
  <c r="H350" i="1"/>
  <c r="H355" i="1"/>
  <c r="CN9" i="4"/>
  <c r="K66" i="19"/>
  <c r="CZ9" i="4"/>
  <c r="R280" i="1"/>
  <c r="D321" i="1"/>
  <c r="FM24" i="4"/>
  <c r="AR49" i="42"/>
  <c r="AV45" i="42"/>
  <c r="F783" i="1"/>
  <c r="AN41" i="42"/>
  <c r="FN20" i="4"/>
  <c r="AI55" i="42"/>
  <c r="FN50" i="4"/>
  <c r="J404" i="1"/>
  <c r="J405" i="1"/>
  <c r="P335" i="1"/>
  <c r="BT5" i="4"/>
  <c r="DC39" i="4"/>
  <c r="N96" i="19"/>
  <c r="CQ39" i="4"/>
  <c r="R364" i="1"/>
  <c r="R365" i="1" s="1"/>
  <c r="AL37" i="42"/>
  <c r="EO50" i="4"/>
  <c r="EO24" i="4"/>
  <c r="EW54" i="4"/>
  <c r="BQ70" i="42"/>
  <c r="J339" i="1"/>
  <c r="J344" i="1"/>
  <c r="AO40" i="42"/>
  <c r="T670" i="1"/>
  <c r="AZ106" i="42"/>
  <c r="AE812" i="1"/>
  <c r="AE814" i="1" s="1"/>
  <c r="CB23" i="4"/>
  <c r="AQ62" i="42"/>
  <c r="P725" i="1"/>
  <c r="P723" i="1"/>
  <c r="P724" i="1"/>
  <c r="P726" i="1"/>
  <c r="X737" i="1"/>
  <c r="X740" i="1"/>
  <c r="X742" i="1"/>
  <c r="X735" i="1"/>
  <c r="D273" i="1"/>
  <c r="D261" i="1"/>
  <c r="Y63" i="42"/>
  <c r="D262" i="1"/>
  <c r="D267" i="1" s="1"/>
  <c r="D220" i="1"/>
  <c r="D225" i="1" s="1"/>
  <c r="D226" i="1"/>
  <c r="D231" i="1" s="1"/>
  <c r="D232" i="1"/>
  <c r="D237" i="1" s="1"/>
  <c r="D297" i="1"/>
  <c r="X290" i="1"/>
  <c r="X291" i="1"/>
  <c r="P96" i="19"/>
  <c r="DE39" i="4"/>
  <c r="CS39" i="4"/>
  <c r="AK70" i="42"/>
  <c r="EX39" i="4"/>
  <c r="EL39" i="4"/>
  <c r="AF61" i="42"/>
  <c r="CA13" i="4"/>
  <c r="AI45" i="42"/>
  <c r="N287" i="1"/>
  <c r="AI95" i="42"/>
  <c r="BQ84" i="42"/>
  <c r="CP10" i="4"/>
  <c r="M67" i="19"/>
  <c r="DB10" i="4"/>
  <c r="P62" i="19"/>
  <c r="CS5" i="4"/>
  <c r="DE5" i="4"/>
  <c r="AJ78" i="42"/>
  <c r="N759" i="1"/>
  <c r="N709" i="1"/>
  <c r="AJ51" i="42"/>
  <c r="CH31" i="4"/>
  <c r="CH33" i="4"/>
  <c r="H362" i="1"/>
  <c r="R277" i="1"/>
  <c r="R375" i="1"/>
  <c r="AL79" i="42" s="1"/>
  <c r="R275" i="1"/>
  <c r="R374" i="1" s="1"/>
  <c r="F362" i="1"/>
  <c r="FN24" i="4"/>
  <c r="AR55" i="42"/>
  <c r="AT84" i="42"/>
  <c r="AV343" i="1"/>
  <c r="AV345" i="1"/>
  <c r="AV344" i="1"/>
  <c r="AV346" i="1"/>
  <c r="DE25" i="4"/>
  <c r="P82" i="19"/>
  <c r="CS25" i="4"/>
  <c r="P78" i="19"/>
  <c r="DE21" i="4"/>
  <c r="CS21" i="4"/>
  <c r="CG52" i="4"/>
  <c r="BO69" i="42"/>
  <c r="CG56" i="4"/>
  <c r="BR69" i="42"/>
  <c r="D661" i="1"/>
  <c r="D662" i="1" s="1"/>
  <c r="AE381" i="1"/>
  <c r="T373" i="1"/>
  <c r="CC18" i="4" s="1"/>
  <c r="T369" i="1"/>
  <c r="AN36" i="42"/>
  <c r="T284" i="1"/>
  <c r="EO20" i="4"/>
  <c r="L68" i="19"/>
  <c r="CO11" i="4"/>
  <c r="DA11" i="4"/>
  <c r="K80" i="19"/>
  <c r="CZ23" i="4"/>
  <c r="CN23" i="4"/>
  <c r="Z40" i="42"/>
  <c r="D670" i="1"/>
  <c r="AB52" i="42"/>
  <c r="AD52" i="42"/>
  <c r="P339" i="1"/>
  <c r="P344" i="1"/>
  <c r="R75" i="19"/>
  <c r="DG18" i="4"/>
  <c r="CU18" i="4"/>
  <c r="CC398" i="1"/>
  <c r="EX23" i="4"/>
  <c r="EL23" i="4"/>
  <c r="V335" i="1"/>
  <c r="BT22" i="4"/>
  <c r="J328" i="1"/>
  <c r="AE52" i="42" s="1"/>
  <c r="J362" i="1"/>
  <c r="AI811" i="1"/>
  <c r="BB106" i="42" s="1"/>
  <c r="AI805" i="1"/>
  <c r="AI806" i="1" s="1"/>
  <c r="AI807" i="1"/>
  <c r="AI808" i="1" s="1"/>
  <c r="AE289" i="1"/>
  <c r="L112" i="19"/>
  <c r="DA55" i="4"/>
  <c r="CO55" i="4"/>
  <c r="X721" i="1"/>
  <c r="X745" i="1"/>
  <c r="AR45" i="42"/>
  <c r="AR32" i="42"/>
  <c r="X285" i="1"/>
  <c r="X304" i="1"/>
  <c r="AV388" i="1"/>
  <c r="AV389" i="1" s="1"/>
  <c r="AV390" i="1"/>
  <c r="AV391" i="1" s="1"/>
  <c r="N274" i="1"/>
  <c r="N278" i="1"/>
  <c r="AI403" i="1"/>
  <c r="AV71" i="42"/>
  <c r="AI411" i="1"/>
  <c r="AI413" i="1" s="1"/>
  <c r="CH29" i="4" s="1"/>
  <c r="F725" i="1"/>
  <c r="F723" i="1"/>
  <c r="F726" i="1"/>
  <c r="F724" i="1"/>
  <c r="V339" i="1"/>
  <c r="V344" i="1"/>
  <c r="T752" i="1"/>
  <c r="T756" i="1"/>
  <c r="CC19" i="4" s="1"/>
  <c r="R326" i="1"/>
  <c r="AL51" i="42"/>
  <c r="AV340" i="1"/>
  <c r="AV338" i="1"/>
  <c r="AV339" i="1"/>
  <c r="AV341" i="1"/>
  <c r="CD55" i="4"/>
  <c r="BN68" i="42"/>
  <c r="AV44" i="42"/>
  <c r="AI312" i="1"/>
  <c r="AI391" i="1"/>
  <c r="AE376" i="1"/>
  <c r="AT41" i="42"/>
  <c r="D664" i="1"/>
  <c r="D665" i="1" s="1"/>
  <c r="D751" i="1"/>
  <c r="D747" i="1"/>
  <c r="D748" i="1" s="1"/>
  <c r="Z37" i="42"/>
  <c r="Z36" i="42"/>
  <c r="D668" i="1"/>
  <c r="AD39" i="30"/>
  <c r="AD42" i="30" s="1"/>
  <c r="AD37" i="30"/>
  <c r="AD41" i="30" s="1"/>
  <c r="AD43" i="30" s="1"/>
  <c r="AN40" i="42"/>
  <c r="T286" i="1"/>
  <c r="EK25" i="4"/>
  <c r="AQ51" i="4"/>
  <c r="Y20" i="4"/>
  <c r="AI50" i="4"/>
  <c r="AX29" i="4"/>
  <c r="AQ29" i="4"/>
  <c r="AO50" i="4"/>
  <c r="AM24" i="4"/>
  <c r="AO31" i="4"/>
  <c r="AM16" i="4"/>
  <c r="BR19" i="4"/>
  <c r="Z29" i="4"/>
  <c r="AM20" i="4"/>
  <c r="Y50" i="4"/>
  <c r="AO29" i="4"/>
  <c r="AO20" i="4"/>
  <c r="AI24" i="4"/>
  <c r="AM51" i="4"/>
  <c r="AK51" i="4"/>
  <c r="AB50" i="4"/>
  <c r="AI20" i="4"/>
  <c r="AB20" i="4"/>
  <c r="AQ50" i="4"/>
  <c r="AK50" i="4"/>
  <c r="BR31" i="4"/>
  <c r="AM29" i="4"/>
  <c r="AC20" i="4"/>
  <c r="AK24" i="4"/>
  <c r="Z20" i="4"/>
  <c r="BR33" i="4"/>
  <c r="AO24" i="4"/>
  <c r="BR20" i="4"/>
  <c r="AO51" i="4"/>
  <c r="Y29" i="4"/>
  <c r="AK29" i="4"/>
  <c r="BR50" i="4"/>
  <c r="AC24" i="4"/>
  <c r="AW6" i="4"/>
  <c r="BR24" i="4"/>
  <c r="Z24" i="4"/>
  <c r="BR29" i="4"/>
  <c r="Z50" i="4"/>
  <c r="AM50" i="4"/>
  <c r="AI29" i="4"/>
  <c r="AK20" i="4"/>
  <c r="AB29" i="4"/>
  <c r="AI51" i="4"/>
  <c r="AC50" i="4"/>
  <c r="AQ20" i="4"/>
  <c r="AB24" i="4"/>
  <c r="AV6" i="4"/>
  <c r="AC29" i="4"/>
  <c r="AQ24" i="4"/>
  <c r="BR28" i="4"/>
  <c r="Y24" i="4"/>
  <c r="BA108" i="42" l="1"/>
  <c r="AO70" i="42"/>
  <c r="V784" i="1"/>
  <c r="V786" i="1" s="1"/>
  <c r="BP69" i="42"/>
  <c r="AN70" i="42"/>
  <c r="AE346" i="1"/>
  <c r="EK51" i="4"/>
  <c r="H783" i="1"/>
  <c r="BU434" i="1"/>
  <c r="BM106" i="42" s="1"/>
  <c r="EX55" i="4"/>
  <c r="EL55" i="4"/>
  <c r="T715" i="1"/>
  <c r="AO53" i="42" s="1"/>
  <c r="D711" i="1"/>
  <c r="Z52" i="42" s="1"/>
  <c r="BU380" i="1"/>
  <c r="BU384" i="1" s="1"/>
  <c r="BU385" i="1"/>
  <c r="BU389" i="1" s="1"/>
  <c r="BW385" i="1"/>
  <c r="BW380" i="1"/>
  <c r="BW369" i="1"/>
  <c r="BW374" i="1"/>
  <c r="BU436" i="1"/>
  <c r="Z70" i="42"/>
  <c r="BU428" i="1"/>
  <c r="BU429" i="1" s="1"/>
  <c r="BU430" i="1"/>
  <c r="BU431" i="1" s="1"/>
  <c r="BM81" i="42" s="1"/>
  <c r="BU400" i="1"/>
  <c r="BU402" i="1"/>
  <c r="CB51" i="4"/>
  <c r="BM62" i="42"/>
  <c r="CP51" i="4"/>
  <c r="M108" i="19"/>
  <c r="DB51" i="4"/>
  <c r="BM70" i="42"/>
  <c r="EW51" i="4"/>
  <c r="BU406" i="1"/>
  <c r="BU408" i="1" s="1"/>
  <c r="BU369" i="1"/>
  <c r="BU374" i="1"/>
  <c r="EK16" i="4"/>
  <c r="T328" i="1"/>
  <c r="AN52" i="42" s="1"/>
  <c r="R784" i="1"/>
  <c r="R786" i="1" s="1"/>
  <c r="AM69" i="42" s="1"/>
  <c r="P732" i="1"/>
  <c r="AV333" i="1"/>
  <c r="AV398" i="1" s="1"/>
  <c r="P406" i="1"/>
  <c r="AK106" i="42" s="1"/>
  <c r="AA53" i="42"/>
  <c r="Q62" i="42" s="1"/>
  <c r="S59" i="42" s="1"/>
  <c r="T711" i="1"/>
  <c r="AO52" i="42" s="1"/>
  <c r="R332" i="1"/>
  <c r="AL53" i="42" s="1"/>
  <c r="AE349" i="1"/>
  <c r="AV330" i="1"/>
  <c r="BC53" i="42" s="1"/>
  <c r="BF294" i="1"/>
  <c r="BH44" i="42" s="1"/>
  <c r="AI389" i="1"/>
  <c r="AV79" i="42" s="1"/>
  <c r="AV326" i="1"/>
  <c r="BC52" i="42" s="1"/>
  <c r="D282" i="1"/>
  <c r="Y31" i="42"/>
  <c r="D727" i="1"/>
  <c r="D722" i="1"/>
  <c r="D733" i="1"/>
  <c r="D738" i="1"/>
  <c r="Y32" i="42"/>
  <c r="D285" i="1"/>
  <c r="D304" i="1"/>
  <c r="D288" i="1"/>
  <c r="D289" i="1"/>
  <c r="AN78" i="42"/>
  <c r="T376" i="1"/>
  <c r="T378" i="1" s="1"/>
  <c r="H351" i="1"/>
  <c r="H353" i="1"/>
  <c r="H352" i="1"/>
  <c r="H354" i="1"/>
  <c r="N779" i="1"/>
  <c r="N780" i="1" s="1"/>
  <c r="AJ81" i="42" s="1"/>
  <c r="N777" i="1"/>
  <c r="N778" i="1" s="1"/>
  <c r="AJ80" i="42" s="1"/>
  <c r="AV358" i="1"/>
  <c r="X781" i="1"/>
  <c r="X782" i="1"/>
  <c r="P356" i="1"/>
  <c r="P358" i="1"/>
  <c r="P357" i="1"/>
  <c r="P359" i="1"/>
  <c r="X723" i="1"/>
  <c r="X725" i="1"/>
  <c r="X724" i="1"/>
  <c r="X726" i="1"/>
  <c r="EW19" i="4"/>
  <c r="AO57" i="42"/>
  <c r="T751" i="1"/>
  <c r="H402" i="1"/>
  <c r="H403" i="1" s="1"/>
  <c r="H400" i="1"/>
  <c r="H401" i="1" s="1"/>
  <c r="J743" i="1"/>
  <c r="CA54" i="4"/>
  <c r="BQ61" i="42"/>
  <c r="AV41" i="42"/>
  <c r="T722" i="1"/>
  <c r="T727" i="1"/>
  <c r="AV394" i="1"/>
  <c r="AV395" i="1" s="1"/>
  <c r="AV397" i="1" s="1"/>
  <c r="CH39" i="4" s="1"/>
  <c r="J728" i="1"/>
  <c r="J730" i="1"/>
  <c r="J731" i="1"/>
  <c r="J729" i="1"/>
  <c r="AE382" i="1"/>
  <c r="AR40" i="42"/>
  <c r="X286" i="1"/>
  <c r="F732" i="1"/>
  <c r="R376" i="1"/>
  <c r="R378" i="1" s="1"/>
  <c r="AL78" i="42"/>
  <c r="D287" i="1"/>
  <c r="Y95" i="42"/>
  <c r="J342" i="1"/>
  <c r="J340" i="1"/>
  <c r="J341" i="1"/>
  <c r="J343" i="1"/>
  <c r="CF19" i="4"/>
  <c r="AO64" i="42"/>
  <c r="V732" i="1"/>
  <c r="D322" i="1"/>
  <c r="D325" i="1"/>
  <c r="D408" i="1"/>
  <c r="V404" i="1"/>
  <c r="V405" i="1"/>
  <c r="CP7" i="4"/>
  <c r="M64" i="19"/>
  <c r="DB7" i="4"/>
  <c r="CG17" i="4"/>
  <c r="F400" i="1"/>
  <c r="F401" i="1" s="1"/>
  <c r="F402" i="1"/>
  <c r="F403" i="1" s="1"/>
  <c r="T355" i="1"/>
  <c r="T350" i="1"/>
  <c r="AI345" i="1"/>
  <c r="AI343" i="1"/>
  <c r="AI344" i="1" s="1"/>
  <c r="AV92" i="42"/>
  <c r="AI347" i="1"/>
  <c r="AI348" i="1" s="1"/>
  <c r="AI341" i="1"/>
  <c r="AI774" i="1"/>
  <c r="BB108" i="42"/>
  <c r="J358" i="1"/>
  <c r="J356" i="1"/>
  <c r="J357" i="1"/>
  <c r="J359" i="1"/>
  <c r="X375" i="1"/>
  <c r="X275" i="1"/>
  <c r="X374" i="1" s="1"/>
  <c r="AR78" i="42" s="1"/>
  <c r="H345" i="1"/>
  <c r="H347" i="1"/>
  <c r="H346" i="1"/>
  <c r="H348" i="1"/>
  <c r="J723" i="1"/>
  <c r="J725" i="1"/>
  <c r="J724" i="1"/>
  <c r="J726" i="1"/>
  <c r="AI378" i="1"/>
  <c r="AI379" i="1" s="1"/>
  <c r="AV37" i="42"/>
  <c r="CD10" i="4"/>
  <c r="AC68" i="42"/>
  <c r="EK18" i="4"/>
  <c r="D724" i="1"/>
  <c r="D726" i="1"/>
  <c r="D729" i="1"/>
  <c r="D731" i="1"/>
  <c r="N375" i="1"/>
  <c r="AI79" i="42" s="1"/>
  <c r="N275" i="1"/>
  <c r="N374" i="1" s="1"/>
  <c r="Q110" i="19"/>
  <c r="CT53" i="4"/>
  <c r="DF53" i="4"/>
  <c r="GR53" i="4"/>
  <c r="R339" i="1"/>
  <c r="R344" i="1"/>
  <c r="N364" i="1"/>
  <c r="N365" i="1" s="1"/>
  <c r="AI37" i="42"/>
  <c r="R355" i="1"/>
  <c r="R350" i="1"/>
  <c r="CF24" i="4"/>
  <c r="AR64" i="42"/>
  <c r="D389" i="1"/>
  <c r="Y71" i="42"/>
  <c r="FA6" i="4"/>
  <c r="D397" i="1"/>
  <c r="D399" i="1" s="1"/>
  <c r="CH6" i="4" s="1"/>
  <c r="H730" i="1"/>
  <c r="H728" i="1"/>
  <c r="CH20" i="4"/>
  <c r="CH50" i="4"/>
  <c r="N326" i="1"/>
  <c r="AI51" i="42"/>
  <c r="FM6" i="4"/>
  <c r="Y49" i="42"/>
  <c r="CS18" i="4"/>
  <c r="P75" i="19"/>
  <c r="DE18" i="4"/>
  <c r="AB81" i="42"/>
  <c r="AD81" i="42"/>
  <c r="D753" i="1"/>
  <c r="D755" i="1"/>
  <c r="AV51" i="42"/>
  <c r="AI340" i="1"/>
  <c r="J351" i="1"/>
  <c r="J353" i="1"/>
  <c r="J352" i="1"/>
  <c r="J354" i="1"/>
  <c r="R370" i="1"/>
  <c r="R372" i="1"/>
  <c r="H340" i="1"/>
  <c r="H342" i="1"/>
  <c r="H343" i="1"/>
  <c r="H341" i="1"/>
  <c r="BT16" i="4"/>
  <c r="R335" i="1"/>
  <c r="AT51" i="42"/>
  <c r="AE340" i="1"/>
  <c r="AG812" i="1"/>
  <c r="AG814" i="1" s="1"/>
  <c r="BA81" i="42"/>
  <c r="X734" i="1"/>
  <c r="X736" i="1"/>
  <c r="EO6" i="4"/>
  <c r="AV84" i="42"/>
  <c r="EW7" i="4"/>
  <c r="Z57" i="42"/>
  <c r="CB7" i="4"/>
  <c r="Z62" i="42"/>
  <c r="DA23" i="4"/>
  <c r="CO23" i="4"/>
  <c r="L80" i="19"/>
  <c r="T362" i="1"/>
  <c r="EX10" i="4"/>
  <c r="EL10" i="4"/>
  <c r="N367" i="1"/>
  <c r="CZ5" i="4"/>
  <c r="CN5" i="4"/>
  <c r="K62" i="19"/>
  <c r="AI290" i="1"/>
  <c r="AI288" i="1"/>
  <c r="AI388" i="1" s="1"/>
  <c r="AR51" i="42"/>
  <c r="X326" i="1"/>
  <c r="H777" i="1"/>
  <c r="H778" i="1" s="1"/>
  <c r="H779" i="1"/>
  <c r="H780" i="1" s="1"/>
  <c r="H723" i="1"/>
  <c r="H725" i="1"/>
  <c r="N327" i="1"/>
  <c r="AI92" i="42"/>
  <c r="N333" i="1"/>
  <c r="N334" i="1" s="1"/>
  <c r="N329" i="1"/>
  <c r="N330" i="1" s="1"/>
  <c r="N331" i="1"/>
  <c r="DE7" i="4"/>
  <c r="P64" i="19"/>
  <c r="CS7" i="4"/>
  <c r="Y55" i="42"/>
  <c r="FN6" i="4"/>
  <c r="P739" i="1"/>
  <c r="P741" i="1"/>
  <c r="P742" i="1"/>
  <c r="P740" i="1"/>
  <c r="AB80" i="42"/>
  <c r="AD80" i="42"/>
  <c r="T332" i="1"/>
  <c r="AN53" i="42" s="1"/>
  <c r="DA22" i="4"/>
  <c r="L79" i="19"/>
  <c r="CO22" i="4"/>
  <c r="CA21" i="4"/>
  <c r="AJ61" i="42"/>
  <c r="CP16" i="4"/>
  <c r="DB16" i="4"/>
  <c r="M73" i="19"/>
  <c r="CO12" i="4"/>
  <c r="L69" i="19"/>
  <c r="DA12" i="4"/>
  <c r="AE384" i="1"/>
  <c r="AE386" i="1"/>
  <c r="R328" i="1"/>
  <c r="AL52" i="42" s="1"/>
  <c r="N725" i="1"/>
  <c r="N723" i="1"/>
  <c r="N726" i="1"/>
  <c r="N724" i="1"/>
  <c r="X777" i="1"/>
  <c r="X778" i="1" s="1"/>
  <c r="AS80" i="42" s="1"/>
  <c r="X779" i="1"/>
  <c r="X780" i="1" s="1"/>
  <c r="AS81" i="42" s="1"/>
  <c r="X364" i="1"/>
  <c r="X365" i="1" s="1"/>
  <c r="EK24" i="4" s="1"/>
  <c r="AR37" i="42"/>
  <c r="X741" i="1"/>
  <c r="X739" i="1"/>
  <c r="CB54" i="4"/>
  <c r="BQ62" i="42"/>
  <c r="J345" i="1"/>
  <c r="J347" i="1"/>
  <c r="J346" i="1"/>
  <c r="J348" i="1"/>
  <c r="R405" i="1"/>
  <c r="R404" i="1"/>
  <c r="DB19" i="4"/>
  <c r="CP19" i="4"/>
  <c r="M76" i="19"/>
  <c r="DG29" i="4"/>
  <c r="R86" i="19"/>
  <c r="CU29" i="4"/>
  <c r="D742" i="1"/>
  <c r="D735" i="1"/>
  <c r="D737" i="1"/>
  <c r="D740" i="1"/>
  <c r="CQ55" i="4"/>
  <c r="DC55" i="4"/>
  <c r="N112" i="19"/>
  <c r="T755" i="1"/>
  <c r="T753" i="1"/>
  <c r="DF56" i="4"/>
  <c r="CT56" i="4"/>
  <c r="Q113" i="19"/>
  <c r="R90" i="19"/>
  <c r="DG33" i="4"/>
  <c r="CU33" i="4"/>
  <c r="CN13" i="4"/>
  <c r="CZ13" i="4"/>
  <c r="K70" i="19"/>
  <c r="CG36" i="4"/>
  <c r="AZ69" i="42"/>
  <c r="P400" i="1"/>
  <c r="P401" i="1" s="1"/>
  <c r="AK80" i="42" s="1"/>
  <c r="P402" i="1"/>
  <c r="P403" i="1" s="1"/>
  <c r="AK81" i="42" s="1"/>
  <c r="AB106" i="42"/>
  <c r="F784" i="1"/>
  <c r="F786" i="1" s="1"/>
  <c r="CD54" i="4"/>
  <c r="BQ68" i="42"/>
  <c r="N368" i="1"/>
  <c r="H739" i="1"/>
  <c r="H741" i="1"/>
  <c r="H740" i="1"/>
  <c r="H742" i="1"/>
  <c r="AI293" i="1"/>
  <c r="X329" i="1"/>
  <c r="X330" i="1" s="1"/>
  <c r="X333" i="1"/>
  <c r="X334" i="1" s="1"/>
  <c r="BU24" i="4" s="1"/>
  <c r="AR92" i="42"/>
  <c r="X327" i="1"/>
  <c r="X331" i="1"/>
  <c r="CB25" i="4"/>
  <c r="AS62" i="42"/>
  <c r="D782" i="1"/>
  <c r="D781" i="1"/>
  <c r="T339" i="1"/>
  <c r="T344" i="1"/>
  <c r="H406" i="1"/>
  <c r="P734" i="1"/>
  <c r="P736" i="1"/>
  <c r="P737" i="1"/>
  <c r="P735" i="1"/>
  <c r="CZ11" i="4"/>
  <c r="K68" i="19"/>
  <c r="CN11" i="4"/>
  <c r="T335" i="1"/>
  <c r="BT18" i="4"/>
  <c r="AF106" i="42"/>
  <c r="J784" i="1"/>
  <c r="J786" i="1" s="1"/>
  <c r="BT19" i="4"/>
  <c r="T718" i="1"/>
  <c r="P90" i="19"/>
  <c r="DE33" i="4"/>
  <c r="CS33" i="4"/>
  <c r="V743" i="1"/>
  <c r="T404" i="1"/>
  <c r="T405" i="1"/>
  <c r="AD40" i="30"/>
  <c r="F28" i="30" s="1"/>
  <c r="N279" i="1"/>
  <c r="N280" i="1" s="1"/>
  <c r="AT70" i="42"/>
  <c r="AE290" i="1"/>
  <c r="CC31" i="4"/>
  <c r="CC33" i="4"/>
  <c r="BF270" i="1"/>
  <c r="BF258" i="1"/>
  <c r="BF246" i="1"/>
  <c r="BF206" i="1" s="1"/>
  <c r="AL18" i="30"/>
  <c r="BH63" i="42"/>
  <c r="BF259" i="1"/>
  <c r="BF264" i="1" s="1"/>
  <c r="BF229" i="1"/>
  <c r="BF234" i="1" s="1"/>
  <c r="BF223" i="1"/>
  <c r="BF228" i="1" s="1"/>
  <c r="BF217" i="1"/>
  <c r="BF222" i="1" s="1"/>
  <c r="BF295" i="1"/>
  <c r="N728" i="1"/>
  <c r="N730" i="1"/>
  <c r="N729" i="1"/>
  <c r="N731" i="1"/>
  <c r="EX21" i="4"/>
  <c r="EL21" i="4"/>
  <c r="AI387" i="1"/>
  <c r="CC29" i="4" s="1"/>
  <c r="AI383" i="1"/>
  <c r="CD22" i="4"/>
  <c r="AP68" i="42"/>
  <c r="CD8" i="4"/>
  <c r="AA68" i="42"/>
  <c r="S86" i="42" s="1"/>
  <c r="V345" i="1"/>
  <c r="V347" i="1"/>
  <c r="V348" i="1"/>
  <c r="V346" i="1"/>
  <c r="V402" i="1"/>
  <c r="V403" i="1" s="1"/>
  <c r="AP81" i="42" s="1"/>
  <c r="V400" i="1"/>
  <c r="V401" i="1" s="1"/>
  <c r="AP80" i="42" s="1"/>
  <c r="P345" i="1"/>
  <c r="P347" i="1"/>
  <c r="P348" i="1"/>
  <c r="P346" i="1"/>
  <c r="T370" i="1"/>
  <c r="T372" i="1"/>
  <c r="CU31" i="4"/>
  <c r="R88" i="19"/>
  <c r="DG31" i="4"/>
  <c r="AR41" i="42"/>
  <c r="H734" i="1"/>
  <c r="H736" i="1"/>
  <c r="H737" i="1"/>
  <c r="H735" i="1"/>
  <c r="DG19" i="4"/>
  <c r="CU19" i="4"/>
  <c r="R76" i="19"/>
  <c r="EX22" i="4"/>
  <c r="EL22" i="4"/>
  <c r="V351" i="1"/>
  <c r="V353" i="1"/>
  <c r="V354" i="1"/>
  <c r="V352" i="1"/>
  <c r="N734" i="1"/>
  <c r="N736" i="1"/>
  <c r="N737" i="1"/>
  <c r="N735" i="1"/>
  <c r="R736" i="1"/>
  <c r="R734" i="1"/>
  <c r="R737" i="1"/>
  <c r="R735" i="1"/>
  <c r="T721" i="1"/>
  <c r="T745" i="1"/>
  <c r="F356" i="1"/>
  <c r="F358" i="1"/>
  <c r="F359" i="1"/>
  <c r="F357" i="1"/>
  <c r="H724" i="1"/>
  <c r="T709" i="1"/>
  <c r="AO51" i="42"/>
  <c r="CS31" i="4"/>
  <c r="P88" i="19"/>
  <c r="DE31" i="4"/>
  <c r="R732" i="1"/>
  <c r="EL5" i="4"/>
  <c r="EX5" i="4"/>
  <c r="N276" i="1"/>
  <c r="N277" i="1" s="1"/>
  <c r="BU31" i="4"/>
  <c r="BU33" i="4"/>
  <c r="AT53" i="42"/>
  <c r="AV40" i="42"/>
  <c r="AI299" i="1"/>
  <c r="X276" i="1"/>
  <c r="EK19" i="4"/>
  <c r="CF29" i="4"/>
  <c r="AV64" i="42"/>
  <c r="AI812" i="1"/>
  <c r="AI814" i="1" s="1"/>
  <c r="BB81" i="42"/>
  <c r="P342" i="1"/>
  <c r="P340" i="1"/>
  <c r="P343" i="1"/>
  <c r="P341" i="1"/>
  <c r="CP18" i="4"/>
  <c r="M75" i="19"/>
  <c r="DB18" i="4"/>
  <c r="Q109" i="19"/>
  <c r="DF52" i="4"/>
  <c r="CT52" i="4"/>
  <c r="Y45" i="42"/>
  <c r="D278" i="1"/>
  <c r="D274" i="1"/>
  <c r="D276" i="1" s="1"/>
  <c r="J406" i="1"/>
  <c r="N373" i="1"/>
  <c r="N369" i="1"/>
  <c r="D715" i="1"/>
  <c r="Z53" i="42" s="1"/>
  <c r="AR36" i="42"/>
  <c r="AR70" i="42" s="1"/>
  <c r="X284" i="1"/>
  <c r="DA8" i="4"/>
  <c r="L65" i="19"/>
  <c r="CO8" i="4"/>
  <c r="CU24" i="4"/>
  <c r="R81" i="19"/>
  <c r="DG24" i="4"/>
  <c r="CF20" i="4"/>
  <c r="CF50" i="4"/>
  <c r="AI64" i="42"/>
  <c r="CB5" i="4"/>
  <c r="AK62" i="42"/>
  <c r="V358" i="1"/>
  <c r="V356" i="1"/>
  <c r="V359" i="1"/>
  <c r="V357" i="1"/>
  <c r="EX8" i="4"/>
  <c r="EL8" i="4"/>
  <c r="N739" i="1"/>
  <c r="N741" i="1"/>
  <c r="N742" i="1"/>
  <c r="N740" i="1"/>
  <c r="R739" i="1"/>
  <c r="R741" i="1"/>
  <c r="R742" i="1"/>
  <c r="R740" i="1"/>
  <c r="F351" i="1"/>
  <c r="F353" i="1"/>
  <c r="F354" i="1"/>
  <c r="F352" i="1"/>
  <c r="H729" i="1"/>
  <c r="F345" i="1"/>
  <c r="F347" i="1"/>
  <c r="F346" i="1"/>
  <c r="F348" i="1"/>
  <c r="F743" i="1"/>
  <c r="T14" i="42"/>
  <c r="O83" i="42"/>
  <c r="AE364" i="1"/>
  <c r="AE369" i="1"/>
  <c r="J402" i="1"/>
  <c r="J403" i="1" s="1"/>
  <c r="AE81" i="42" s="1"/>
  <c r="J400" i="1"/>
  <c r="J401" i="1" s="1"/>
  <c r="AE80" i="42" s="1"/>
  <c r="AE390" i="1"/>
  <c r="AE392" i="1" s="1"/>
  <c r="AT78" i="42"/>
  <c r="EL25" i="4"/>
  <c r="EX25" i="4"/>
  <c r="T759" i="1"/>
  <c r="AO79" i="42"/>
  <c r="AI41" i="42"/>
  <c r="AE414" i="1"/>
  <c r="AE415" i="1" s="1"/>
  <c r="AT80" i="42" s="1"/>
  <c r="AE416" i="1"/>
  <c r="AE417" i="1" s="1"/>
  <c r="AT81" i="42" s="1"/>
  <c r="AL70" i="42"/>
  <c r="AV36" i="42"/>
  <c r="AV70" i="42" s="1"/>
  <c r="AI297" i="1"/>
  <c r="X279" i="1"/>
  <c r="V342" i="1"/>
  <c r="V340" i="1"/>
  <c r="V343" i="1"/>
  <c r="V341" i="1"/>
  <c r="D721" i="1"/>
  <c r="D745" i="1"/>
  <c r="AV347" i="1"/>
  <c r="X369" i="1"/>
  <c r="X373" i="1"/>
  <c r="CC24" i="4" s="1"/>
  <c r="CA25" i="4"/>
  <c r="AS61" i="42"/>
  <c r="CG23" i="4"/>
  <c r="AQ69" i="42"/>
  <c r="N781" i="1"/>
  <c r="N782" i="1"/>
  <c r="D290" i="1"/>
  <c r="D291" i="1"/>
  <c r="EW16" i="4"/>
  <c r="R368" i="1"/>
  <c r="H358" i="1"/>
  <c r="H356" i="1"/>
  <c r="H357" i="1"/>
  <c r="H359" i="1"/>
  <c r="AI40" i="42"/>
  <c r="N286" i="1"/>
  <c r="D718" i="1"/>
  <c r="Y44" i="42"/>
  <c r="D377" i="1"/>
  <c r="D298" i="1"/>
  <c r="CD12" i="4"/>
  <c r="AE68" i="42"/>
  <c r="EX12" i="4"/>
  <c r="EL12" i="4"/>
  <c r="AD106" i="42"/>
  <c r="P351" i="1"/>
  <c r="P353" i="1"/>
  <c r="P354" i="1"/>
  <c r="P352" i="1"/>
  <c r="H726" i="1"/>
  <c r="F342" i="1"/>
  <c r="F340" i="1"/>
  <c r="F343" i="1"/>
  <c r="F341" i="1"/>
  <c r="AV402" i="1"/>
  <c r="AV403" i="1"/>
  <c r="EX11" i="4"/>
  <c r="EL11" i="4"/>
  <c r="F406" i="1"/>
  <c r="X728" i="1"/>
  <c r="X730" i="1"/>
  <c r="X729" i="1"/>
  <c r="X731" i="1"/>
  <c r="Z78" i="42"/>
  <c r="D759" i="1"/>
  <c r="T665" i="1"/>
  <c r="CA52" i="4"/>
  <c r="CA56" i="4"/>
  <c r="BO61" i="42"/>
  <c r="BR61" i="42"/>
  <c r="AE342" i="1"/>
  <c r="CB21" i="4"/>
  <c r="AJ62" i="42"/>
  <c r="CS16" i="4"/>
  <c r="DE16" i="4"/>
  <c r="P73" i="19"/>
  <c r="AI381" i="1"/>
  <c r="T368" i="1"/>
  <c r="AI36" i="42"/>
  <c r="N284" i="1"/>
  <c r="EK7" i="4"/>
  <c r="EK31" i="4"/>
  <c r="AQ6" i="4"/>
  <c r="AV44" i="4"/>
  <c r="AW44" i="4"/>
  <c r="Z6" i="4"/>
  <c r="Y6" i="4"/>
  <c r="AO6" i="4"/>
  <c r="AB6" i="4"/>
  <c r="AM6" i="4"/>
  <c r="BR6" i="4"/>
  <c r="AC6" i="4"/>
  <c r="AI6" i="4"/>
  <c r="AK6" i="4"/>
  <c r="AX6" i="4"/>
  <c r="H784" i="1" l="1"/>
  <c r="H786" i="1" s="1"/>
  <c r="CG11" i="4" s="1"/>
  <c r="BT39" i="4"/>
  <c r="P407" i="1"/>
  <c r="P409" i="1" s="1"/>
  <c r="CG5" i="4" s="1"/>
  <c r="AV400" i="1"/>
  <c r="AV401" i="1" s="1"/>
  <c r="BC81" i="42" s="1"/>
  <c r="AI70" i="42"/>
  <c r="AV359" i="1"/>
  <c r="BC108" i="42" s="1"/>
  <c r="V406" i="1"/>
  <c r="X328" i="1"/>
  <c r="AR52" i="42" s="1"/>
  <c r="AI349" i="1"/>
  <c r="AI416" i="1" s="1"/>
  <c r="AI417" i="1" s="1"/>
  <c r="AV81" i="42" s="1"/>
  <c r="EX51" i="4"/>
  <c r="EL51" i="4"/>
  <c r="BU375" i="1"/>
  <c r="BU377" i="1"/>
  <c r="BU378" i="1"/>
  <c r="BU376" i="1"/>
  <c r="BU371" i="1"/>
  <c r="BU372" i="1"/>
  <c r="BU370" i="1"/>
  <c r="BU373" i="1"/>
  <c r="CO51" i="4"/>
  <c r="DA51" i="4"/>
  <c r="L108" i="19"/>
  <c r="BM68" i="42"/>
  <c r="CD51" i="4"/>
  <c r="BW377" i="1"/>
  <c r="BW375" i="1"/>
  <c r="BW376" i="1"/>
  <c r="BW378" i="1"/>
  <c r="BW370" i="1"/>
  <c r="BW372" i="1"/>
  <c r="BW371" i="1"/>
  <c r="BW373" i="1"/>
  <c r="BW383" i="1"/>
  <c r="BW381" i="1"/>
  <c r="BW384" i="1"/>
  <c r="BW382" i="1"/>
  <c r="BW386" i="1"/>
  <c r="BW388" i="1"/>
  <c r="BW387" i="1"/>
  <c r="BW389" i="1"/>
  <c r="BU387" i="1"/>
  <c r="BU388" i="1"/>
  <c r="BU386" i="1"/>
  <c r="BM80" i="42"/>
  <c r="BU435" i="1"/>
  <c r="BU437" i="1" s="1"/>
  <c r="BU382" i="1"/>
  <c r="BU381" i="1"/>
  <c r="BU383" i="1"/>
  <c r="BU39" i="4"/>
  <c r="BF375" i="1"/>
  <c r="Q89" i="42"/>
  <c r="P360" i="1"/>
  <c r="P743" i="1"/>
  <c r="P744" i="1" s="1"/>
  <c r="P746" i="1" s="1"/>
  <c r="X332" i="1"/>
  <c r="AR53" i="42" s="1"/>
  <c r="N783" i="1"/>
  <c r="T406" i="1"/>
  <c r="N339" i="1"/>
  <c r="N344" i="1"/>
  <c r="N350" i="1"/>
  <c r="N354" i="1" s="1"/>
  <c r="N355" i="1"/>
  <c r="AL13" i="30"/>
  <c r="BH32" i="42"/>
  <c r="BF282" i="1"/>
  <c r="BF302" i="1"/>
  <c r="V360" i="1"/>
  <c r="N79" i="19"/>
  <c r="CQ22" i="4"/>
  <c r="DC22" i="4"/>
  <c r="BF286" i="1"/>
  <c r="BF285" i="1"/>
  <c r="CP31" i="4"/>
  <c r="M88" i="19"/>
  <c r="DB31" i="4"/>
  <c r="T400" i="1"/>
  <c r="T401" i="1" s="1"/>
  <c r="AN80" i="42" s="1"/>
  <c r="T402" i="1"/>
  <c r="T403" i="1" s="1"/>
  <c r="AN81" i="42" s="1"/>
  <c r="EL29" i="4"/>
  <c r="EX31" i="4"/>
  <c r="EX29" i="4"/>
  <c r="EL31" i="4"/>
  <c r="AI390" i="1"/>
  <c r="AI392" i="1" s="1"/>
  <c r="AV78" i="42"/>
  <c r="CG37" i="4"/>
  <c r="BA69" i="42"/>
  <c r="H349" i="1"/>
  <c r="DG6" i="4"/>
  <c r="R63" i="19"/>
  <c r="CU6" i="4"/>
  <c r="R358" i="1"/>
  <c r="R356" i="1"/>
  <c r="R357" i="1"/>
  <c r="R359" i="1"/>
  <c r="AI342" i="1"/>
  <c r="AA80" i="42"/>
  <c r="AC80" i="42"/>
  <c r="X732" i="1"/>
  <c r="CD18" i="4"/>
  <c r="AN68" i="42"/>
  <c r="Y40" i="42"/>
  <c r="D286" i="1"/>
  <c r="D730" i="1"/>
  <c r="D728" i="1"/>
  <c r="CO21" i="4"/>
  <c r="L78" i="19"/>
  <c r="DA21" i="4"/>
  <c r="CZ52" i="4"/>
  <c r="CN52" i="4"/>
  <c r="K109" i="19"/>
  <c r="GR52" i="4"/>
  <c r="Q68" i="19"/>
  <c r="DF11" i="4"/>
  <c r="CT11" i="4"/>
  <c r="Y41" i="42"/>
  <c r="X370" i="1"/>
  <c r="X372" i="1"/>
  <c r="AE370" i="1"/>
  <c r="AE372" i="1"/>
  <c r="AE371" i="1"/>
  <c r="AE373" i="1"/>
  <c r="CS20" i="4"/>
  <c r="P77" i="19"/>
  <c r="DE20" i="4"/>
  <c r="AK69" i="42"/>
  <c r="F349" i="1"/>
  <c r="N69" i="19"/>
  <c r="CQ12" i="4"/>
  <c r="DC12" i="4"/>
  <c r="AV361" i="1"/>
  <c r="AV336" i="1" s="1"/>
  <c r="AE365" i="1"/>
  <c r="AE367" i="1"/>
  <c r="AE368" i="1"/>
  <c r="AE366" i="1"/>
  <c r="AI384" i="1"/>
  <c r="AI386" i="1"/>
  <c r="BH45" i="42"/>
  <c r="AE353" i="1"/>
  <c r="AE358" i="1"/>
  <c r="GR11" i="4"/>
  <c r="AC106" i="42"/>
  <c r="H407" i="1"/>
  <c r="H409" i="1" s="1"/>
  <c r="CG10" i="4" s="1"/>
  <c r="N328" i="1"/>
  <c r="AI52" i="42" s="1"/>
  <c r="AI358" i="1"/>
  <c r="AI353" i="1"/>
  <c r="AE419" i="1"/>
  <c r="AE418" i="1"/>
  <c r="J732" i="1"/>
  <c r="J744" i="1" s="1"/>
  <c r="X277" i="1"/>
  <c r="CT17" i="4"/>
  <c r="DF17" i="4"/>
  <c r="Q74" i="19"/>
  <c r="GR17" i="4"/>
  <c r="P76" i="19"/>
  <c r="DE19" i="4"/>
  <c r="CS19" i="4"/>
  <c r="CD16" i="4"/>
  <c r="AL68" i="42"/>
  <c r="CZ54" i="4"/>
  <c r="K111" i="19"/>
  <c r="CN54" i="4"/>
  <c r="GR54" i="4"/>
  <c r="DY15" i="7" s="1"/>
  <c r="D367" i="1"/>
  <c r="CN56" i="4"/>
  <c r="K113" i="19"/>
  <c r="CZ56" i="4"/>
  <c r="GR56" i="4"/>
  <c r="DY61" i="7" s="1"/>
  <c r="DZ61" i="7" s="1"/>
  <c r="AA106" i="42"/>
  <c r="F407" i="1"/>
  <c r="F409" i="1" s="1"/>
  <c r="Y84" i="42"/>
  <c r="AJ106" i="42"/>
  <c r="N784" i="1"/>
  <c r="N786" i="1" s="1"/>
  <c r="P349" i="1"/>
  <c r="P361" i="1" s="1"/>
  <c r="H743" i="1"/>
  <c r="EX18" i="4"/>
  <c r="EL18" i="4"/>
  <c r="DB29" i="4"/>
  <c r="CP29" i="4"/>
  <c r="M86" i="19"/>
  <c r="BF317" i="1"/>
  <c r="BF305" i="1"/>
  <c r="AL14" i="30"/>
  <c r="AL38" i="30" s="1"/>
  <c r="BF319" i="1"/>
  <c r="BH33" i="42"/>
  <c r="BF304" i="1"/>
  <c r="BF318" i="1"/>
  <c r="AD44" i="4"/>
  <c r="T347" i="1"/>
  <c r="T345" i="1"/>
  <c r="T348" i="1"/>
  <c r="T346" i="1"/>
  <c r="CB20" i="4"/>
  <c r="CB50" i="4"/>
  <c r="AI62" i="42"/>
  <c r="GR36" i="4"/>
  <c r="DX16" i="7" s="1"/>
  <c r="DF36" i="4"/>
  <c r="CT36" i="4"/>
  <c r="Q93" i="19"/>
  <c r="EX16" i="4"/>
  <c r="EL16" i="4"/>
  <c r="EL7" i="4"/>
  <c r="EX7" i="4"/>
  <c r="EW20" i="4"/>
  <c r="EW50" i="4"/>
  <c r="F744" i="1"/>
  <c r="T733" i="1"/>
  <c r="T738" i="1"/>
  <c r="N370" i="1"/>
  <c r="N372" i="1"/>
  <c r="BF279" i="1"/>
  <c r="AL12" i="30"/>
  <c r="AL35" i="30" s="1"/>
  <c r="BH31" i="42"/>
  <c r="N359" i="1"/>
  <c r="N357" i="1"/>
  <c r="T779" i="1"/>
  <c r="T780" i="1" s="1"/>
  <c r="AO81" i="42" s="1"/>
  <c r="T777" i="1"/>
  <c r="T778" i="1" s="1"/>
  <c r="AO80" i="42" s="1"/>
  <c r="T340" i="1"/>
  <c r="T342" i="1"/>
  <c r="T343" i="1"/>
  <c r="T341" i="1"/>
  <c r="L111" i="19"/>
  <c r="DA54" i="4"/>
  <c r="CO54" i="4"/>
  <c r="K78" i="19"/>
  <c r="CZ21" i="4"/>
  <c r="CN21" i="4"/>
  <c r="H732" i="1"/>
  <c r="R400" i="1"/>
  <c r="R401" i="1" s="1"/>
  <c r="AL80" i="42" s="1"/>
  <c r="R402" i="1"/>
  <c r="R403" i="1" s="1"/>
  <c r="AL81" i="42" s="1"/>
  <c r="N405" i="1"/>
  <c r="N404" i="1"/>
  <c r="R347" i="1"/>
  <c r="R345" i="1"/>
  <c r="R346" i="1"/>
  <c r="R348" i="1"/>
  <c r="N376" i="1"/>
  <c r="N378" i="1" s="1"/>
  <c r="AI78" i="42"/>
  <c r="CQ10" i="4"/>
  <c r="N67" i="19"/>
  <c r="DC10" i="4"/>
  <c r="AI414" i="1"/>
  <c r="AI415" i="1" s="1"/>
  <c r="AV80" i="42" s="1"/>
  <c r="D326" i="1"/>
  <c r="Y51" i="42"/>
  <c r="R96" i="19"/>
  <c r="CU39" i="4"/>
  <c r="DG39" i="4"/>
  <c r="Y36" i="42"/>
  <c r="D284" i="1"/>
  <c r="CA7" i="4"/>
  <c r="Z61" i="42"/>
  <c r="BT33" i="4"/>
  <c r="AT52" i="42"/>
  <c r="BT31" i="4"/>
  <c r="DF23" i="4"/>
  <c r="CT23" i="4"/>
  <c r="Q80" i="19"/>
  <c r="GR23" i="4"/>
  <c r="CC20" i="4"/>
  <c r="CC50" i="4"/>
  <c r="CA19" i="4"/>
  <c r="AO61" i="42"/>
  <c r="N743" i="1"/>
  <c r="X362" i="1"/>
  <c r="BF275" i="1"/>
  <c r="BF276" i="1" s="1"/>
  <c r="BF297" i="1"/>
  <c r="BF296" i="1"/>
  <c r="BF271" i="1"/>
  <c r="BF273" i="1" s="1"/>
  <c r="BF300" i="1"/>
  <c r="BF301" i="1"/>
  <c r="D783" i="1"/>
  <c r="BT24" i="4"/>
  <c r="X335" i="1"/>
  <c r="CQ54" i="4"/>
  <c r="N111" i="19"/>
  <c r="DC54" i="4"/>
  <c r="R406" i="1"/>
  <c r="N732" i="1"/>
  <c r="R107" i="19"/>
  <c r="CU50" i="4"/>
  <c r="DG50" i="4"/>
  <c r="CF6" i="4"/>
  <c r="Y64" i="42"/>
  <c r="R340" i="1"/>
  <c r="R342" i="1"/>
  <c r="R341" i="1"/>
  <c r="R343" i="1"/>
  <c r="AI346" i="1"/>
  <c r="D327" i="1"/>
  <c r="D329" i="1"/>
  <c r="D330" i="1" s="1"/>
  <c r="D333" i="1"/>
  <c r="D334" i="1" s="1"/>
  <c r="BU6" i="4" s="1"/>
  <c r="D331" i="1"/>
  <c r="Y92" i="42"/>
  <c r="J349" i="1"/>
  <c r="T730" i="1"/>
  <c r="T728" i="1"/>
  <c r="T729" i="1"/>
  <c r="T731" i="1"/>
  <c r="CB18" i="4"/>
  <c r="AN62" i="42"/>
  <c r="CB16" i="4"/>
  <c r="AL62" i="42"/>
  <c r="CD31" i="4"/>
  <c r="CD33" i="4"/>
  <c r="AT68" i="42"/>
  <c r="F360" i="1"/>
  <c r="CO5" i="4"/>
  <c r="DA5" i="4"/>
  <c r="L62" i="19"/>
  <c r="AE106" i="42"/>
  <c r="J407" i="1"/>
  <c r="J409" i="1" s="1"/>
  <c r="CG30" i="4"/>
  <c r="BB69" i="42"/>
  <c r="N341" i="1"/>
  <c r="N348" i="1"/>
  <c r="N343" i="1"/>
  <c r="N346" i="1"/>
  <c r="T781" i="1"/>
  <c r="T782" i="1"/>
  <c r="BF287" i="1"/>
  <c r="BF288" i="1"/>
  <c r="CG13" i="4"/>
  <c r="AF69" i="42"/>
  <c r="AI369" i="1"/>
  <c r="AI364" i="1"/>
  <c r="CG9" i="4"/>
  <c r="AB69" i="42"/>
  <c r="AD69" i="42"/>
  <c r="N332" i="1"/>
  <c r="AI53" i="42" s="1"/>
  <c r="DG20" i="4"/>
  <c r="R77" i="19"/>
  <c r="CU20" i="4"/>
  <c r="EW29" i="4"/>
  <c r="AI382" i="1"/>
  <c r="T353" i="1"/>
  <c r="T351" i="1"/>
  <c r="T352" i="1"/>
  <c r="T354" i="1"/>
  <c r="V744" i="1"/>
  <c r="T725" i="1"/>
  <c r="T723" i="1"/>
  <c r="T724" i="1"/>
  <c r="T726" i="1"/>
  <c r="X280" i="1"/>
  <c r="D279" i="1"/>
  <c r="D280" i="1" s="1"/>
  <c r="D739" i="1"/>
  <c r="D741" i="1"/>
  <c r="EK20" i="4"/>
  <c r="AV404" i="1"/>
  <c r="D777" i="1"/>
  <c r="D778" i="1" s="1"/>
  <c r="Z80" i="42" s="1"/>
  <c r="D779" i="1"/>
  <c r="D780" i="1" s="1"/>
  <c r="Z81" i="42" s="1"/>
  <c r="K82" i="19"/>
  <c r="CN25" i="4"/>
  <c r="CZ25" i="4"/>
  <c r="V349" i="1"/>
  <c r="DC8" i="4"/>
  <c r="N65" i="19"/>
  <c r="CQ8" i="4"/>
  <c r="BH95" i="42"/>
  <c r="BF284" i="1"/>
  <c r="AN106" i="42"/>
  <c r="N335" i="1"/>
  <c r="BT20" i="4"/>
  <c r="BT50" i="4"/>
  <c r="X404" i="1"/>
  <c r="X405" i="1"/>
  <c r="X743" i="1"/>
  <c r="J360" i="1"/>
  <c r="CS24" i="4"/>
  <c r="P81" i="19"/>
  <c r="DE24" i="4"/>
  <c r="T356" i="1"/>
  <c r="T358" i="1"/>
  <c r="T359" i="1"/>
  <c r="T357" i="1"/>
  <c r="CB31" i="4"/>
  <c r="CB33" i="4"/>
  <c r="AT62" i="42"/>
  <c r="CB19" i="4"/>
  <c r="AO62" i="42"/>
  <c r="X783" i="1"/>
  <c r="D734" i="1"/>
  <c r="D736" i="1"/>
  <c r="DB24" i="4"/>
  <c r="CP24" i="4"/>
  <c r="M81" i="19"/>
  <c r="N362" i="1"/>
  <c r="DE50" i="4"/>
  <c r="P107" i="19"/>
  <c r="CS50" i="4"/>
  <c r="D277" i="1"/>
  <c r="D375" i="1"/>
  <c r="Y79" i="42" s="1"/>
  <c r="D275" i="1"/>
  <c r="D374" i="1" s="1"/>
  <c r="DE29" i="4"/>
  <c r="P86" i="19"/>
  <c r="CS29" i="4"/>
  <c r="R743" i="1"/>
  <c r="R744" i="1" s="1"/>
  <c r="CP33" i="4"/>
  <c r="DB33" i="4"/>
  <c r="M90" i="19"/>
  <c r="DA25" i="4"/>
  <c r="L82" i="19"/>
  <c r="CO25" i="4"/>
  <c r="EW24" i="4"/>
  <c r="X368" i="1"/>
  <c r="BU50" i="4"/>
  <c r="BU20" i="4"/>
  <c r="L64" i="19"/>
  <c r="DA7" i="4"/>
  <c r="CO7" i="4"/>
  <c r="AI418" i="1"/>
  <c r="AI419" i="1"/>
  <c r="R353" i="1"/>
  <c r="R351" i="1"/>
  <c r="R354" i="1"/>
  <c r="R352" i="1"/>
  <c r="X376" i="1"/>
  <c r="X378" i="1" s="1"/>
  <c r="AR79" i="42"/>
  <c r="AC81" i="42"/>
  <c r="AA81" i="42"/>
  <c r="O91" i="42" s="1"/>
  <c r="AP106" i="42"/>
  <c r="V407" i="1"/>
  <c r="V409" i="1" s="1"/>
  <c r="D364" i="1"/>
  <c r="D365" i="1" s="1"/>
  <c r="EW6" i="4" s="1"/>
  <c r="Y37" i="42"/>
  <c r="AI376" i="1"/>
  <c r="BC78" i="42"/>
  <c r="AV399" i="1"/>
  <c r="H360" i="1"/>
  <c r="D373" i="1"/>
  <c r="CC6" i="4" s="1"/>
  <c r="D369" i="1"/>
  <c r="D723" i="1"/>
  <c r="D725" i="1"/>
  <c r="EK29" i="4"/>
  <c r="AI44" i="4"/>
  <c r="BB44" i="4"/>
  <c r="AY44" i="4"/>
  <c r="AQ44" i="4"/>
  <c r="BD44" i="4"/>
  <c r="AX44" i="4"/>
  <c r="AO44" i="4"/>
  <c r="AB44" i="4"/>
  <c r="BF44" i="4"/>
  <c r="AK44" i="4"/>
  <c r="AM44" i="4"/>
  <c r="AC44" i="4"/>
  <c r="BC44" i="4"/>
  <c r="Z44" i="4"/>
  <c r="Y44" i="4"/>
  <c r="V361" i="1" l="1"/>
  <c r="DY51" i="7"/>
  <c r="DZ51" i="7" s="1"/>
  <c r="EB51" i="7" s="1"/>
  <c r="DY14" i="7"/>
  <c r="DZ14" i="7" s="1"/>
  <c r="EB14" i="7" s="1"/>
  <c r="BU379" i="1"/>
  <c r="N406" i="1"/>
  <c r="BW390" i="1"/>
  <c r="T783" i="1"/>
  <c r="AO106" i="42" s="1"/>
  <c r="N744" i="1"/>
  <c r="N746" i="1" s="1"/>
  <c r="R349" i="1"/>
  <c r="N108" i="19"/>
  <c r="DC51" i="4"/>
  <c r="CQ51" i="4"/>
  <c r="D328" i="1"/>
  <c r="Y52" i="42" s="1"/>
  <c r="BU390" i="1"/>
  <c r="BU391" i="1" s="1"/>
  <c r="BM69" i="42"/>
  <c r="CG51" i="4"/>
  <c r="BW379" i="1"/>
  <c r="T407" i="1"/>
  <c r="T409" i="1" s="1"/>
  <c r="AN69" i="42" s="1"/>
  <c r="N352" i="1"/>
  <c r="D332" i="1"/>
  <c r="Y53" i="42" s="1"/>
  <c r="GL44" i="4"/>
  <c r="GK44" i="4"/>
  <c r="AM108" i="42"/>
  <c r="R746" i="1"/>
  <c r="D355" i="1"/>
  <c r="D350" i="1"/>
  <c r="CP6" i="4"/>
  <c r="DB6" i="4"/>
  <c r="M63" i="19"/>
  <c r="CG12" i="4"/>
  <c r="AE69" i="42"/>
  <c r="CQ31" i="4"/>
  <c r="N88" i="19"/>
  <c r="DC31" i="4"/>
  <c r="Z106" i="42"/>
  <c r="D784" i="1"/>
  <c r="D786" i="1" s="1"/>
  <c r="CP50" i="4"/>
  <c r="DB50" i="4"/>
  <c r="M107" i="19"/>
  <c r="BH91" i="42"/>
  <c r="BF321" i="1"/>
  <c r="BF322" i="1"/>
  <c r="BF316" i="1"/>
  <c r="AL32" i="30"/>
  <c r="AL36" i="30" s="1"/>
  <c r="BH38" i="42"/>
  <c r="CG21" i="4"/>
  <c r="AJ69" i="42"/>
  <c r="AE374" i="1"/>
  <c r="AI422" i="1"/>
  <c r="AV52" i="42"/>
  <c r="BT29" i="4"/>
  <c r="DA33" i="4"/>
  <c r="L90" i="19"/>
  <c r="CO33" i="4"/>
  <c r="R360" i="1"/>
  <c r="D743" i="1"/>
  <c r="DA19" i="4"/>
  <c r="L76" i="19"/>
  <c r="CO19" i="4"/>
  <c r="CB29" i="4"/>
  <c r="AV62" i="42"/>
  <c r="CT9" i="4"/>
  <c r="Q66" i="19"/>
  <c r="DF9" i="4"/>
  <c r="GR9" i="4"/>
  <c r="J361" i="1"/>
  <c r="BH87" i="42"/>
  <c r="CP20" i="4"/>
  <c r="DB20" i="4"/>
  <c r="M77" i="19"/>
  <c r="CD20" i="4"/>
  <c r="CD50" i="4"/>
  <c r="AI68" i="42"/>
  <c r="EL50" i="4"/>
  <c r="EX20" i="4"/>
  <c r="EX50" i="4"/>
  <c r="EL20" i="4"/>
  <c r="DA50" i="4"/>
  <c r="L107" i="19"/>
  <c r="CO50" i="4"/>
  <c r="Q67" i="19"/>
  <c r="DF10" i="4"/>
  <c r="CT10" i="4"/>
  <c r="Q62" i="19"/>
  <c r="CT5" i="4"/>
  <c r="DF5" i="4"/>
  <c r="H361" i="1"/>
  <c r="AI370" i="1"/>
  <c r="AI372" i="1"/>
  <c r="AI373" i="1"/>
  <c r="AI371" i="1"/>
  <c r="BC79" i="42"/>
  <c r="BC80" i="42"/>
  <c r="AI420" i="1"/>
  <c r="CD24" i="4"/>
  <c r="AR68" i="42"/>
  <c r="N400" i="1"/>
  <c r="N401" i="1" s="1"/>
  <c r="N402" i="1"/>
  <c r="N403" i="1" s="1"/>
  <c r="AI81" i="42" s="1"/>
  <c r="BC106" i="42"/>
  <c r="AV405" i="1"/>
  <c r="AV407" i="1" s="1"/>
  <c r="T732" i="1"/>
  <c r="AI367" i="1"/>
  <c r="AI365" i="1"/>
  <c r="AI368" i="1"/>
  <c r="AI366" i="1"/>
  <c r="DA16" i="4"/>
  <c r="CO16" i="4"/>
  <c r="L73" i="19"/>
  <c r="AL106" i="42"/>
  <c r="R407" i="1"/>
  <c r="R409" i="1" s="1"/>
  <c r="BH86" i="42"/>
  <c r="CN7" i="4"/>
  <c r="K64" i="19"/>
  <c r="CZ7" i="4"/>
  <c r="D405" i="1"/>
  <c r="D404" i="1"/>
  <c r="H744" i="1"/>
  <c r="T741" i="1"/>
  <c r="T739" i="1"/>
  <c r="T742" i="1"/>
  <c r="T740" i="1"/>
  <c r="CO20" i="4"/>
  <c r="DA20" i="4"/>
  <c r="L77" i="19"/>
  <c r="BF386" i="1"/>
  <c r="DC16" i="4"/>
  <c r="CQ16" i="4"/>
  <c r="N73" i="19"/>
  <c r="X339" i="1"/>
  <c r="X344" i="1"/>
  <c r="EX24" i="4"/>
  <c r="EL24" i="4"/>
  <c r="AL39" i="30"/>
  <c r="AL42" i="30" s="1"/>
  <c r="AL37" i="30"/>
  <c r="K76" i="19"/>
  <c r="CZ19" i="4"/>
  <c r="CN19" i="4"/>
  <c r="T734" i="1"/>
  <c r="T736" i="1"/>
  <c r="T735" i="1"/>
  <c r="T737" i="1"/>
  <c r="CG8" i="4"/>
  <c r="AA69" i="42"/>
  <c r="AC69" i="42"/>
  <c r="AF108" i="42"/>
  <c r="J746" i="1"/>
  <c r="CA39" i="4"/>
  <c r="BC61" i="42"/>
  <c r="Q94" i="19"/>
  <c r="CT37" i="4"/>
  <c r="DF37" i="4"/>
  <c r="GR37" i="4"/>
  <c r="N358" i="1"/>
  <c r="N356" i="1"/>
  <c r="D732" i="1"/>
  <c r="D376" i="1"/>
  <c r="D378" i="1" s="1"/>
  <c r="Y78" i="42"/>
  <c r="CO31" i="4"/>
  <c r="L88" i="19"/>
  <c r="DA31" i="4"/>
  <c r="AQ108" i="42"/>
  <c r="V746" i="1"/>
  <c r="DA18" i="4"/>
  <c r="L75" i="19"/>
  <c r="CO18" i="4"/>
  <c r="BF274" i="1"/>
  <c r="BF373" i="1"/>
  <c r="BF272" i="1"/>
  <c r="BF372" i="1" s="1"/>
  <c r="Y70" i="42"/>
  <c r="AE420" i="1"/>
  <c r="AE359" i="1"/>
  <c r="AE361" i="1"/>
  <c r="AE362" i="1"/>
  <c r="AE360" i="1"/>
  <c r="D362" i="1"/>
  <c r="CQ18" i="4"/>
  <c r="DC18" i="4"/>
  <c r="N75" i="19"/>
  <c r="GR5" i="4"/>
  <c r="DX47" i="7" s="1"/>
  <c r="DZ47" i="7" s="1"/>
  <c r="N353" i="1"/>
  <c r="N351" i="1"/>
  <c r="AP69" i="42"/>
  <c r="CG22" i="4"/>
  <c r="D339" i="1"/>
  <c r="D344" i="1"/>
  <c r="BF362" i="1"/>
  <c r="BF363" i="1" s="1"/>
  <c r="EK44" i="4" s="1"/>
  <c r="BH37" i="42"/>
  <c r="Q70" i="19"/>
  <c r="DF13" i="4"/>
  <c r="CT13" i="4"/>
  <c r="GR13" i="4"/>
  <c r="BT6" i="4"/>
  <c r="D335" i="1"/>
  <c r="DE6" i="4"/>
  <c r="CS6" i="4"/>
  <c r="P63" i="19"/>
  <c r="BH84" i="42"/>
  <c r="T349" i="1"/>
  <c r="F746" i="1"/>
  <c r="AB108" i="42"/>
  <c r="AE354" i="1"/>
  <c r="AE356" i="1"/>
  <c r="AE357" i="1"/>
  <c r="AE355" i="1"/>
  <c r="X744" i="1"/>
  <c r="CD29" i="4"/>
  <c r="AV68" i="42"/>
  <c r="BF367" i="1"/>
  <c r="BF371" i="1"/>
  <c r="CC44" i="4" s="1"/>
  <c r="N345" i="1"/>
  <c r="N347" i="1"/>
  <c r="D370" i="1"/>
  <c r="D372" i="1"/>
  <c r="D352" i="1"/>
  <c r="D354" i="1"/>
  <c r="D359" i="1"/>
  <c r="D357" i="1"/>
  <c r="X400" i="1"/>
  <c r="X401" i="1" s="1"/>
  <c r="AR80" i="42" s="1"/>
  <c r="X402" i="1"/>
  <c r="X403" i="1" s="1"/>
  <c r="AR81" i="42" s="1"/>
  <c r="BH85" i="42"/>
  <c r="AI106" i="42"/>
  <c r="N407" i="1"/>
  <c r="N409" i="1" s="1"/>
  <c r="BF306" i="1"/>
  <c r="BH93" i="42" s="1"/>
  <c r="BF309" i="1"/>
  <c r="BF314" i="1"/>
  <c r="BF312" i="1"/>
  <c r="BF313" i="1"/>
  <c r="BF396" i="1"/>
  <c r="BF311" i="1"/>
  <c r="BF308" i="1"/>
  <c r="AI356" i="1"/>
  <c r="AI354" i="1"/>
  <c r="AI355" i="1"/>
  <c r="AI357" i="1"/>
  <c r="BH40" i="42"/>
  <c r="BF283" i="1"/>
  <c r="AL31" i="30"/>
  <c r="N340" i="1"/>
  <c r="N342" i="1"/>
  <c r="V363" i="1"/>
  <c r="V338" i="1" s="1"/>
  <c r="AP108" i="42"/>
  <c r="CB24" i="4"/>
  <c r="AR62" i="42"/>
  <c r="AS106" i="42"/>
  <c r="X784" i="1"/>
  <c r="X786" i="1" s="1"/>
  <c r="X406" i="1"/>
  <c r="X350" i="1"/>
  <c r="X355" i="1"/>
  <c r="T360" i="1"/>
  <c r="BH41" i="42"/>
  <c r="CT30" i="4"/>
  <c r="Q87" i="19"/>
  <c r="DF30" i="4"/>
  <c r="GR30" i="4"/>
  <c r="DC33" i="4"/>
  <c r="CQ33" i="4"/>
  <c r="N90" i="19"/>
  <c r="AV53" i="42"/>
  <c r="BU29" i="4"/>
  <c r="BF277" i="1"/>
  <c r="BF281" i="1"/>
  <c r="AL30" i="30"/>
  <c r="BH36" i="42"/>
  <c r="BF383" i="1"/>
  <c r="BF384" i="1" s="1"/>
  <c r="EO44" i="4" s="1"/>
  <c r="P363" i="1"/>
  <c r="AK108" i="42"/>
  <c r="AI359" i="1"/>
  <c r="AI361" i="1"/>
  <c r="AI360" i="1"/>
  <c r="AI362" i="1"/>
  <c r="F361" i="1"/>
  <c r="O90" i="42"/>
  <c r="D368" i="1"/>
  <c r="BF365" i="1"/>
  <c r="EK6" i="4"/>
  <c r="CG18" i="4" l="1"/>
  <c r="AJ108" i="42"/>
  <c r="BW391" i="1"/>
  <c r="BN108" i="42" s="1"/>
  <c r="R361" i="1"/>
  <c r="T784" i="1"/>
  <c r="T786" i="1" s="1"/>
  <c r="CG19" i="4" s="1"/>
  <c r="BM108" i="42"/>
  <c r="BU393" i="1"/>
  <c r="BU368" i="1" s="1"/>
  <c r="D406" i="1"/>
  <c r="Y106" i="42" s="1"/>
  <c r="DF51" i="4"/>
  <c r="CT51" i="4"/>
  <c r="Q108" i="19"/>
  <c r="BF374" i="1"/>
  <c r="BF376" i="1" s="1"/>
  <c r="BH68" i="42" s="1"/>
  <c r="BH70" i="42"/>
  <c r="D744" i="1"/>
  <c r="DF22" i="4"/>
  <c r="Q79" i="19"/>
  <c r="CT22" i="4"/>
  <c r="AD108" i="42"/>
  <c r="H746" i="1"/>
  <c r="CG16" i="4"/>
  <c r="AL69" i="42"/>
  <c r="AV106" i="42"/>
  <c r="AI421" i="1"/>
  <c r="AI423" i="1" s="1"/>
  <c r="FN44" i="4"/>
  <c r="BH55" i="42"/>
  <c r="AA108" i="42"/>
  <c r="O75" i="42" s="1"/>
  <c r="F363" i="1"/>
  <c r="F338" i="1" s="1"/>
  <c r="X353" i="1"/>
  <c r="X351" i="1"/>
  <c r="X354" i="1"/>
  <c r="X352" i="1"/>
  <c r="N349" i="1"/>
  <c r="CG50" i="4"/>
  <c r="AI69" i="42"/>
  <c r="CG20" i="4"/>
  <c r="N86" i="19"/>
  <c r="DC29" i="4"/>
  <c r="CQ29" i="4"/>
  <c r="T361" i="1"/>
  <c r="BF337" i="1"/>
  <c r="BF342" i="1"/>
  <c r="BH49" i="42"/>
  <c r="FM44" i="4"/>
  <c r="CB6" i="4"/>
  <c r="Y62" i="42"/>
  <c r="AR106" i="42"/>
  <c r="X407" i="1"/>
  <c r="X409" i="1" s="1"/>
  <c r="BF360" i="1"/>
  <c r="CG25" i="4"/>
  <c r="AS69" i="42"/>
  <c r="AS108" i="42"/>
  <c r="X746" i="1"/>
  <c r="N360" i="1"/>
  <c r="S89" i="42"/>
  <c r="T12" i="42"/>
  <c r="CG39" i="4"/>
  <c r="GR39" i="4" s="1"/>
  <c r="DX15" i="7" s="1"/>
  <c r="DZ15" i="7" s="1"/>
  <c r="EB15" i="7" s="1"/>
  <c r="BC69" i="42"/>
  <c r="BF353" i="1"/>
  <c r="BF348" i="1"/>
  <c r="EL6" i="4"/>
  <c r="EX6" i="4"/>
  <c r="CD6" i="4"/>
  <c r="Y68" i="42"/>
  <c r="CT8" i="4"/>
  <c r="Q65" i="19"/>
  <c r="DF8" i="4"/>
  <c r="X345" i="1"/>
  <c r="X347" i="1"/>
  <c r="X346" i="1"/>
  <c r="X348" i="1"/>
  <c r="D746" i="1"/>
  <c r="Z108" i="42"/>
  <c r="X342" i="1"/>
  <c r="X340" i="1"/>
  <c r="X341" i="1"/>
  <c r="X343" i="1"/>
  <c r="DF21" i="4"/>
  <c r="CT21" i="4"/>
  <c r="Q78" i="19"/>
  <c r="GR21" i="4"/>
  <c r="Q69" i="19"/>
  <c r="CT12" i="4"/>
  <c r="DF12" i="4"/>
  <c r="D351" i="1"/>
  <c r="D353" i="1"/>
  <c r="CO24" i="4"/>
  <c r="L81" i="19"/>
  <c r="DA24" i="4"/>
  <c r="EW44" i="4"/>
  <c r="BF366" i="1"/>
  <c r="AT106" i="42"/>
  <c r="AE421" i="1"/>
  <c r="AE423" i="1" s="1"/>
  <c r="AL108" i="42"/>
  <c r="R363" i="1"/>
  <c r="R338" i="1" s="1"/>
  <c r="AI80" i="42"/>
  <c r="EK50" i="4"/>
  <c r="D356" i="1"/>
  <c r="D358" i="1"/>
  <c r="CP44" i="4"/>
  <c r="M101" i="19"/>
  <c r="DB44" i="4"/>
  <c r="AE363" i="1"/>
  <c r="AE375" i="1" s="1"/>
  <c r="D402" i="1"/>
  <c r="D403" i="1" s="1"/>
  <c r="Y81" i="42" s="1"/>
  <c r="D400" i="1"/>
  <c r="D401" i="1" s="1"/>
  <c r="Y80" i="42" s="1"/>
  <c r="D345" i="1"/>
  <c r="D347" i="1"/>
  <c r="D348" i="1"/>
  <c r="D346" i="1"/>
  <c r="Q75" i="19"/>
  <c r="DF18" i="4"/>
  <c r="CT18" i="4"/>
  <c r="CN39" i="4"/>
  <c r="K96" i="19"/>
  <c r="CZ39" i="4"/>
  <c r="DC50" i="4"/>
  <c r="N107" i="19"/>
  <c r="CQ50" i="4"/>
  <c r="AE108" i="42"/>
  <c r="J363" i="1"/>
  <c r="J338" i="1" s="1"/>
  <c r="DA29" i="4"/>
  <c r="CO29" i="4"/>
  <c r="L86" i="19"/>
  <c r="CG7" i="4"/>
  <c r="Z69" i="42"/>
  <c r="BH71" i="42"/>
  <c r="FA44" i="4"/>
  <c r="BF387" i="1"/>
  <c r="X356" i="1"/>
  <c r="X358" i="1"/>
  <c r="X357" i="1"/>
  <c r="X359" i="1"/>
  <c r="AP61" i="42"/>
  <c r="CA22" i="4"/>
  <c r="AI363" i="1"/>
  <c r="BF310" i="1"/>
  <c r="BF315" i="1"/>
  <c r="BF368" i="1"/>
  <c r="BF370" i="1"/>
  <c r="D342" i="1"/>
  <c r="D340" i="1"/>
  <c r="D341" i="1"/>
  <c r="D343" i="1"/>
  <c r="T743" i="1"/>
  <c r="T744" i="1" s="1"/>
  <c r="AL41" i="30"/>
  <c r="AL43" i="30" s="1"/>
  <c r="AI374" i="1"/>
  <c r="CQ24" i="4"/>
  <c r="N81" i="19"/>
  <c r="DC24" i="4"/>
  <c r="H363" i="1"/>
  <c r="H338" i="1" s="1"/>
  <c r="AC108" i="42"/>
  <c r="N77" i="19"/>
  <c r="DC20" i="4"/>
  <c r="CQ20" i="4"/>
  <c r="AO69" i="42"/>
  <c r="BF323" i="1"/>
  <c r="BF320" i="1"/>
  <c r="BR44" i="4"/>
  <c r="BW393" i="1" l="1"/>
  <c r="BW368" i="1" s="1"/>
  <c r="CA55" i="4" s="1"/>
  <c r="BM61" i="42"/>
  <c r="CA51" i="4"/>
  <c r="D349" i="1"/>
  <c r="CD44" i="4"/>
  <c r="N101" i="19" s="1"/>
  <c r="T746" i="1"/>
  <c r="AO108" i="42"/>
  <c r="EL44" i="4"/>
  <c r="EX44" i="4"/>
  <c r="BF329" i="1"/>
  <c r="BF327" i="1"/>
  <c r="BF328" i="1" s="1"/>
  <c r="BH92" i="42"/>
  <c r="BF325" i="1"/>
  <c r="BF331" i="1"/>
  <c r="BF332" i="1" s="1"/>
  <c r="CA10" i="4"/>
  <c r="AC61" i="42"/>
  <c r="CN22" i="4"/>
  <c r="K79" i="19"/>
  <c r="CZ22" i="4"/>
  <c r="GR22" i="4"/>
  <c r="DX42" i="7" s="1"/>
  <c r="DZ42" i="7" s="1"/>
  <c r="DF16" i="4"/>
  <c r="CT16" i="4"/>
  <c r="Q73" i="19"/>
  <c r="AE377" i="1"/>
  <c r="AE352" i="1" s="1"/>
  <c r="AT108" i="42"/>
  <c r="CA16" i="4"/>
  <c r="AL61" i="42"/>
  <c r="CQ6" i="4"/>
  <c r="N63" i="19"/>
  <c r="DC6" i="4"/>
  <c r="D407" i="1"/>
  <c r="D409" i="1" s="1"/>
  <c r="CT20" i="4"/>
  <c r="Q77" i="19"/>
  <c r="DF20" i="4"/>
  <c r="CA8" i="4"/>
  <c r="AA61" i="42"/>
  <c r="S76" i="42" s="1"/>
  <c r="AR69" i="42"/>
  <c r="CG24" i="4"/>
  <c r="BF324" i="1"/>
  <c r="BH51" i="42"/>
  <c r="Q76" i="19"/>
  <c r="DF19" i="4"/>
  <c r="CT19" i="4"/>
  <c r="GR19" i="4"/>
  <c r="Q64" i="19"/>
  <c r="DF7" i="4"/>
  <c r="CT7" i="4"/>
  <c r="GR7" i="4"/>
  <c r="CG31" i="4"/>
  <c r="CG33" i="4"/>
  <c r="AT69" i="42"/>
  <c r="D360" i="1"/>
  <c r="BF343" i="1"/>
  <c r="BF345" i="1"/>
  <c r="BF344" i="1"/>
  <c r="BF346" i="1"/>
  <c r="Q107" i="19"/>
  <c r="CT50" i="4"/>
  <c r="DF50" i="4"/>
  <c r="BF351" i="1"/>
  <c r="BF349" i="1"/>
  <c r="BF350" i="1"/>
  <c r="BF352" i="1"/>
  <c r="BF340" i="1"/>
  <c r="BF338" i="1"/>
  <c r="BF341" i="1"/>
  <c r="BF339" i="1"/>
  <c r="N361" i="1"/>
  <c r="BH62" i="42"/>
  <c r="CB44" i="4"/>
  <c r="X349" i="1"/>
  <c r="BF356" i="1"/>
  <c r="BF354" i="1"/>
  <c r="BF355" i="1"/>
  <c r="BF357" i="1"/>
  <c r="AL40" i="30"/>
  <c r="F44" i="30" s="1"/>
  <c r="CO6" i="4"/>
  <c r="DA6" i="4"/>
  <c r="L63" i="19"/>
  <c r="T363" i="1"/>
  <c r="T338" i="1" s="1"/>
  <c r="AN108" i="42"/>
  <c r="CG29" i="4"/>
  <c r="AV69" i="42"/>
  <c r="BF388" i="1"/>
  <c r="BF389" i="1" s="1"/>
  <c r="BF390" i="1"/>
  <c r="BF391" i="1" s="1"/>
  <c r="BF392" i="1"/>
  <c r="BF393" i="1"/>
  <c r="CF44" i="4"/>
  <c r="BH64" i="42"/>
  <c r="AI375" i="1"/>
  <c r="CA12" i="4"/>
  <c r="AE61" i="42"/>
  <c r="DX62" i="7"/>
  <c r="DZ62" i="7" s="1"/>
  <c r="EB62" i="7" s="1"/>
  <c r="Q96" i="19"/>
  <c r="CT39" i="4"/>
  <c r="DF39" i="4"/>
  <c r="CT25" i="4"/>
  <c r="Q82" i="19"/>
  <c r="DF25" i="4"/>
  <c r="GR25" i="4"/>
  <c r="X360" i="1"/>
  <c r="BN61" i="42" l="1"/>
  <c r="D361" i="1"/>
  <c r="CQ44" i="4"/>
  <c r="DC44" i="4"/>
  <c r="K108" i="19"/>
  <c r="GR51" i="4"/>
  <c r="CN51" i="4"/>
  <c r="CZ51" i="4"/>
  <c r="X361" i="1"/>
  <c r="AR108" i="42" s="1"/>
  <c r="CZ55" i="4"/>
  <c r="K112" i="19"/>
  <c r="CN55" i="4"/>
  <c r="GR55" i="4"/>
  <c r="BF333" i="1"/>
  <c r="BF400" i="1" s="1"/>
  <c r="BF401" i="1" s="1"/>
  <c r="BH81" i="42" s="1"/>
  <c r="BF326" i="1"/>
  <c r="BH52" i="42" s="1"/>
  <c r="D363" i="1"/>
  <c r="D338" i="1" s="1"/>
  <c r="Y108" i="42"/>
  <c r="AI108" i="42"/>
  <c r="N363" i="1"/>
  <c r="N338" i="1" s="1"/>
  <c r="CT29" i="4"/>
  <c r="DF29" i="4"/>
  <c r="Q86" i="19"/>
  <c r="CT33" i="4"/>
  <c r="Q90" i="19"/>
  <c r="DF33" i="4"/>
  <c r="CN8" i="4"/>
  <c r="K65" i="19"/>
  <c r="CZ8" i="4"/>
  <c r="GR8" i="4"/>
  <c r="BF347" i="1"/>
  <c r="CT31" i="4"/>
  <c r="DF31" i="4"/>
  <c r="Q88" i="19"/>
  <c r="CN16" i="4"/>
  <c r="CZ16" i="4"/>
  <c r="K73" i="19"/>
  <c r="GR16" i="4"/>
  <c r="DX8" i="7" s="1"/>
  <c r="DZ8" i="7" s="1"/>
  <c r="CA18" i="4"/>
  <c r="AN61" i="42"/>
  <c r="BF402" i="1"/>
  <c r="BF403" i="1"/>
  <c r="CA31" i="4"/>
  <c r="CA33" i="4"/>
  <c r="AT61" i="42"/>
  <c r="CS44" i="4"/>
  <c r="DE44" i="4"/>
  <c r="P101" i="19"/>
  <c r="CN12" i="4"/>
  <c r="K69" i="19"/>
  <c r="CZ12" i="4"/>
  <c r="GR12" i="4"/>
  <c r="DX10" i="7" s="1"/>
  <c r="DZ10" i="7" s="1"/>
  <c r="EB10" i="7" s="1"/>
  <c r="BF394" i="1"/>
  <c r="BF395" i="1" s="1"/>
  <c r="BF397" i="1" s="1"/>
  <c r="CH44" i="4" s="1"/>
  <c r="CO44" i="4"/>
  <c r="DA44" i="4"/>
  <c r="L101" i="19"/>
  <c r="Q81" i="19"/>
  <c r="DF24" i="4"/>
  <c r="CT24" i="4"/>
  <c r="CG6" i="4"/>
  <c r="Y69" i="42"/>
  <c r="CN10" i="4"/>
  <c r="K67" i="19"/>
  <c r="CZ10" i="4"/>
  <c r="GR10" i="4"/>
  <c r="DX29" i="7" s="1"/>
  <c r="X363" i="1"/>
  <c r="X338" i="1" s="1"/>
  <c r="AV108" i="42"/>
  <c r="AI377" i="1"/>
  <c r="AI352" i="1" s="1"/>
  <c r="BF358" i="1"/>
  <c r="BF330" i="1"/>
  <c r="BF398" i="1" l="1"/>
  <c r="DY17" i="7"/>
  <c r="DY18" i="7"/>
  <c r="DZ18" i="7" s="1"/>
  <c r="EB18" i="7" s="1"/>
  <c r="DY29" i="7"/>
  <c r="DZ29" i="7" s="1"/>
  <c r="EB29" i="7" s="1"/>
  <c r="BT44" i="4"/>
  <c r="BF406" i="1"/>
  <c r="DY39" i="7"/>
  <c r="DY16" i="7"/>
  <c r="DZ16" i="7" s="1"/>
  <c r="EB16" i="7" s="1"/>
  <c r="DY12" i="7"/>
  <c r="DZ12" i="7" s="1"/>
  <c r="EB12" i="7" s="1"/>
  <c r="DY22" i="7"/>
  <c r="DZ22" i="7" s="1"/>
  <c r="DY50" i="7"/>
  <c r="DZ50" i="7" s="1"/>
  <c r="DY23" i="7"/>
  <c r="DY30" i="7"/>
  <c r="DZ30" i="7" s="1"/>
  <c r="DY20" i="7"/>
  <c r="DZ20" i="7" s="1"/>
  <c r="DY21" i="7"/>
  <c r="DZ21" i="7" s="1"/>
  <c r="BF404" i="1"/>
  <c r="BH106" i="42" s="1"/>
  <c r="CZ33" i="4"/>
  <c r="K90" i="19"/>
  <c r="CN33" i="4"/>
  <c r="GR33" i="4"/>
  <c r="DX17" i="7" s="1"/>
  <c r="DZ17" i="7" s="1"/>
  <c r="DX26" i="7"/>
  <c r="DZ26" i="7" s="1"/>
  <c r="EB26" i="7" s="1"/>
  <c r="DX9" i="7"/>
  <c r="DZ9" i="7" s="1"/>
  <c r="CN31" i="4"/>
  <c r="CZ31" i="4"/>
  <c r="K88" i="19"/>
  <c r="GR31" i="4"/>
  <c r="Q63" i="19"/>
  <c r="DF6" i="4"/>
  <c r="CT6" i="4"/>
  <c r="CA24" i="4"/>
  <c r="AR61" i="42"/>
  <c r="CA20" i="4"/>
  <c r="CA50" i="4"/>
  <c r="AI61" i="42"/>
  <c r="BU44" i="4"/>
  <c r="BH53" i="42"/>
  <c r="CN18" i="4"/>
  <c r="K75" i="19"/>
  <c r="CZ18" i="4"/>
  <c r="GR18" i="4"/>
  <c r="DX44" i="7" s="1"/>
  <c r="DZ44" i="7" s="1"/>
  <c r="BF359" i="1"/>
  <c r="CA29" i="4"/>
  <c r="AV61" i="42"/>
  <c r="DG44" i="4"/>
  <c r="R101" i="19"/>
  <c r="CU44" i="4"/>
  <c r="BF399" i="1"/>
  <c r="BH78" i="42"/>
  <c r="CA6" i="4"/>
  <c r="Y61" i="42"/>
  <c r="K81" i="19" l="1"/>
  <c r="CZ24" i="4"/>
  <c r="CN24" i="4"/>
  <c r="GR24" i="4"/>
  <c r="DX41" i="7" s="1"/>
  <c r="DZ41" i="7" s="1"/>
  <c r="CZ29" i="4"/>
  <c r="K86" i="19"/>
  <c r="CN29" i="4"/>
  <c r="GR29" i="4"/>
  <c r="DX45" i="7" s="1"/>
  <c r="DZ45" i="7" s="1"/>
  <c r="CZ6" i="4"/>
  <c r="CN6" i="4"/>
  <c r="K63" i="19"/>
  <c r="GR6" i="4"/>
  <c r="DX53" i="7" s="1"/>
  <c r="DZ53" i="7" s="1"/>
  <c r="EB53" i="7" s="1"/>
  <c r="BF361" i="1"/>
  <c r="BF336" i="1" s="1"/>
  <c r="BH108" i="42"/>
  <c r="CN50" i="4"/>
  <c r="CZ50" i="4"/>
  <c r="K107" i="19"/>
  <c r="CZ20" i="4"/>
  <c r="K77" i="19"/>
  <c r="CN20" i="4"/>
  <c r="GR20" i="4"/>
  <c r="GR50" i="4"/>
  <c r="DY33" i="7" s="1"/>
  <c r="DZ33" i="7" s="1"/>
  <c r="DX23" i="7"/>
  <c r="DZ23" i="7" s="1"/>
  <c r="DX39" i="7"/>
  <c r="DZ39" i="7" s="1"/>
  <c r="DX35" i="7"/>
  <c r="DZ35" i="7" s="1"/>
  <c r="DX34" i="7"/>
  <c r="DZ34" i="7" s="1"/>
  <c r="DX6" i="7"/>
  <c r="DZ6" i="7" s="1"/>
  <c r="DX37" i="7"/>
  <c r="DZ37" i="7" s="1"/>
  <c r="EB37" i="7" s="1"/>
  <c r="BH79" i="42"/>
  <c r="BH80" i="42"/>
  <c r="BF405" i="1"/>
  <c r="BF407" i="1" s="1"/>
  <c r="DX27" i="7" l="1"/>
  <c r="DZ27" i="7" s="1"/>
  <c r="EB27" i="7" s="1"/>
  <c r="DX43" i="7"/>
  <c r="DZ43" i="7" s="1"/>
  <c r="EB43" i="7" s="1"/>
  <c r="BH69" i="42"/>
  <c r="CG44" i="4"/>
  <c r="CA44" i="4"/>
  <c r="BH61" i="42"/>
  <c r="CZ44" i="4" l="1"/>
  <c r="CN44" i="4"/>
  <c r="K101" i="19"/>
  <c r="GR44" i="4"/>
  <c r="DF44" i="4"/>
  <c r="CT44" i="4"/>
  <c r="Q101"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Ken First</author>
  </authors>
  <commentList>
    <comment ref="E21" authorId="0" shapeId="0" xr:uid="{00000000-0006-0000-0100-000001000000}">
      <text>
        <r>
          <rPr>
            <b/>
            <sz val="10"/>
            <color indexed="81"/>
            <rFont val="Arial Narrow"/>
            <family val="2"/>
          </rPr>
          <t>Fired Equipment is shown in Green Text while Solids Handling Equipment is shown in Red Text.  All other equipment is shown in Blue Text.</t>
        </r>
        <r>
          <rPr>
            <sz val="10"/>
            <color indexed="81"/>
            <rFont val="Tahoma"/>
            <family val="2"/>
          </rPr>
          <t xml:space="preserve">
</t>
        </r>
      </text>
    </comment>
    <comment ref="E22" authorId="0" shapeId="0" xr:uid="{00000000-0006-0000-0100-000002000000}">
      <text>
        <r>
          <rPr>
            <b/>
            <sz val="10"/>
            <color indexed="81"/>
            <rFont val="Arial Narrow"/>
            <family val="2"/>
          </rPr>
          <t>Location is considered "Indoors" if equipment is located within an Enclosed Process Area.  Location assumed "Outdoors" if blank.</t>
        </r>
      </text>
    </comment>
    <comment ref="E25" authorId="0" shapeId="0" xr:uid="{00000000-0006-0000-0100-000003000000}">
      <text>
        <r>
          <rPr>
            <b/>
            <sz val="10"/>
            <color indexed="81"/>
            <rFont val="Arial Narrow"/>
            <family val="2"/>
          </rPr>
          <t>Allows the LOPA workbook to be divided into plant sections and potentially different sheets.</t>
        </r>
        <r>
          <rPr>
            <sz val="10"/>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Kevin Hersey</author>
  </authors>
  <commentList>
    <comment ref="D54" authorId="0" shapeId="0" xr:uid="{00000000-0006-0000-0200-000003000000}">
      <text>
        <r>
          <rPr>
            <sz val="10"/>
            <color indexed="81"/>
            <rFont val="Arial Narrow"/>
            <family val="2"/>
          </rPr>
          <t>Use CHAR(7) for a bullet and CHAR(10) for a carriage return.  
For example, to enter two suggested IPL's, enter the following formula
="Suggested IPL 1 from Process Safety,"&amp;CHAR(10)&amp;CHAR(7)&amp;"Suggested IPL 2 from Process Safety"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First</author>
    <author>Kevin Appold</author>
  </authors>
  <commentList>
    <comment ref="L7" authorId="0" shapeId="0" xr:uid="{00000000-0006-0000-0300-000001000000}">
      <text>
        <r>
          <rPr>
            <b/>
            <sz val="10"/>
            <color indexed="81"/>
            <rFont val="Arial Narrow"/>
            <family val="2"/>
          </rPr>
          <t>Fired Equipment is shown in Green Text while Solids Handling Equipment is shown in Red Text.  All other equipment is shown in Blue Text.</t>
        </r>
        <r>
          <rPr>
            <sz val="10"/>
            <color indexed="81"/>
            <rFont val="Tahoma"/>
            <family val="2"/>
          </rPr>
          <t xml:space="preserve">
</t>
        </r>
      </text>
    </comment>
    <comment ref="L8" authorId="0" shapeId="0" xr:uid="{00000000-0006-0000-0300-000002000000}">
      <text>
        <r>
          <rPr>
            <b/>
            <sz val="10"/>
            <color indexed="81"/>
            <rFont val="Arial Narrow"/>
            <family val="2"/>
          </rPr>
          <t>Location is considered "Indoors" if equipment is located within an Enclosed Process Area.  Location assumed "Outdoors" if blank.</t>
        </r>
      </text>
    </comment>
    <comment ref="V10" authorId="0" shapeId="0" xr:uid="{00000000-0006-0000-0300-000003000000}">
      <text>
        <r>
          <rPr>
            <b/>
            <sz val="10"/>
            <color indexed="81"/>
            <rFont val="Arial Narrow"/>
            <family val="2"/>
          </rPr>
          <t>"Yes" = cases in which no IPLs are required (tolerable frequency is achieved without adding IPLs) will be reported.</t>
        </r>
      </text>
    </comment>
    <comment ref="O12" authorId="0" shapeId="0" xr:uid="{00000000-0006-0000-0300-000004000000}">
      <text>
        <r>
          <rPr>
            <b/>
            <sz val="10"/>
            <color indexed="81"/>
            <rFont val="Arial Narrow"/>
            <family val="2"/>
          </rPr>
          <t xml:space="preserve">Always = Deletes eliminated scenarios on update </t>
        </r>
      </text>
    </comment>
    <comment ref="H16" authorId="1" shapeId="0" xr:uid="{00000000-0006-0000-0300-000005000000}">
      <text>
        <r>
          <rPr>
            <b/>
            <sz val="10"/>
            <color indexed="81"/>
            <rFont val="Arial Narrow"/>
            <family val="2"/>
          </rPr>
          <t>Yes = automatically filter Scenario Results by the Equipment Tag loaded on updating scenario or moving back from LOPA worksheet</t>
        </r>
      </text>
    </comment>
    <comment ref="N16" authorId="1" shapeId="0" xr:uid="{00000000-0006-0000-0300-000006000000}">
      <text>
        <r>
          <rPr>
            <b/>
            <sz val="10"/>
            <color indexed="81"/>
            <rFont val="Arial Narrow"/>
            <family val="2"/>
          </rPr>
          <t>Yes = automatically filter Scenario Results to only show scenarios with required IPL's greater than 0 (i.e. hide scenarios where tolerable frequency from the initiating event and enabling conditions) on updating scenario or moving back from LOPA worksheet</t>
        </r>
      </text>
    </comment>
    <comment ref="T16" authorId="1" shapeId="0" xr:uid="{00000000-0006-0000-0300-000007000000}">
      <text>
        <r>
          <rPr>
            <b/>
            <sz val="10"/>
            <color indexed="81"/>
            <rFont val="Arial Narrow"/>
            <family val="2"/>
          </rPr>
          <t>Yes = automatically filter Scenario Results to only show worst case scenarios on updating scenario or moving back from LOPA worksheet.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First</author>
    <author>u070091</author>
    <author>Kevin Appold</author>
  </authors>
  <commentList>
    <comment ref="AW1" authorId="0" shapeId="0" xr:uid="{00000000-0006-0000-0400-000001000000}">
      <text>
        <r>
          <rPr>
            <b/>
            <sz val="10"/>
            <color indexed="81"/>
            <rFont val="Tahoma"/>
            <family val="2"/>
          </rPr>
          <t>Liquid Density = A - B T</t>
        </r>
      </text>
    </comment>
    <comment ref="AX1" authorId="0" shapeId="0" xr:uid="{00000000-0006-0000-0400-000002000000}">
      <text>
        <r>
          <rPr>
            <b/>
            <sz val="10"/>
            <color indexed="81"/>
            <rFont val="Tahoma"/>
            <family val="2"/>
          </rPr>
          <t>Liquid Density = A - B T</t>
        </r>
      </text>
    </comment>
    <comment ref="AY1" authorId="0" shapeId="0" xr:uid="{00000000-0006-0000-0400-000003000000}">
      <text>
        <r>
          <rPr>
            <b/>
            <sz val="10"/>
            <color indexed="81"/>
            <rFont val="Tahoma"/>
            <family val="2"/>
          </rPr>
          <t>Liquid Cp = A + B T</t>
        </r>
      </text>
    </comment>
    <comment ref="AZ1" authorId="0" shapeId="0" xr:uid="{00000000-0006-0000-0400-000004000000}">
      <text>
        <r>
          <rPr>
            <b/>
            <sz val="10"/>
            <color indexed="81"/>
            <rFont val="Tahoma"/>
            <family val="2"/>
          </rPr>
          <t>Liquid Cp = A + B T</t>
        </r>
      </text>
    </comment>
    <comment ref="BA1" authorId="0" shapeId="0" xr:uid="{00000000-0006-0000-0400-000005000000}">
      <text>
        <r>
          <rPr>
            <b/>
            <sz val="10"/>
            <color indexed="81"/>
            <rFont val="Symbol"/>
            <family val="1"/>
            <charset val="2"/>
          </rPr>
          <t>D</t>
        </r>
        <r>
          <rPr>
            <b/>
            <sz val="10"/>
            <color indexed="81"/>
            <rFont val="Tahoma"/>
            <family val="2"/>
          </rPr>
          <t>Hv = A - B T</t>
        </r>
      </text>
    </comment>
    <comment ref="BB1" authorId="0" shapeId="0" xr:uid="{00000000-0006-0000-0400-000006000000}">
      <text>
        <r>
          <rPr>
            <b/>
            <sz val="10"/>
            <color indexed="81"/>
            <rFont val="Symbol"/>
            <family val="1"/>
            <charset val="2"/>
          </rPr>
          <t>D</t>
        </r>
        <r>
          <rPr>
            <b/>
            <sz val="10"/>
            <color indexed="81"/>
            <rFont val="Tahoma"/>
            <family val="2"/>
          </rPr>
          <t>Hv = A - B T</t>
        </r>
      </text>
    </comment>
    <comment ref="BC1" authorId="0" shapeId="0" xr:uid="{00000000-0006-0000-0400-000007000000}">
      <text>
        <r>
          <rPr>
            <b/>
            <sz val="10"/>
            <color indexed="81"/>
            <rFont val="Symbol"/>
            <family val="1"/>
            <charset val="2"/>
          </rPr>
          <t>D</t>
        </r>
        <r>
          <rPr>
            <b/>
            <sz val="10"/>
            <color indexed="81"/>
            <rFont val="Tahoma"/>
            <family val="2"/>
          </rPr>
          <t>Hv = A - B T</t>
        </r>
      </text>
    </comment>
    <comment ref="BD1" authorId="0" shapeId="0" xr:uid="{00000000-0006-0000-0400-000008000000}">
      <text>
        <r>
          <rPr>
            <b/>
            <sz val="10"/>
            <color indexed="81"/>
            <rFont val="Tahoma"/>
            <family val="2"/>
          </rPr>
          <t>ln (P) = A - B / (T + 273)</t>
        </r>
      </text>
    </comment>
    <comment ref="BE1" authorId="0" shapeId="0" xr:uid="{00000000-0006-0000-0400-000009000000}">
      <text>
        <r>
          <rPr>
            <b/>
            <sz val="10"/>
            <color indexed="81"/>
            <rFont val="Tahoma"/>
            <family val="2"/>
          </rPr>
          <t>ln (P) = A - B / (T + 273)</t>
        </r>
      </text>
    </comment>
    <comment ref="BF1" authorId="0" shapeId="0" xr:uid="{00000000-0006-0000-0400-00000A000000}">
      <text>
        <r>
          <rPr>
            <b/>
            <sz val="10"/>
            <color indexed="81"/>
            <rFont val="Tahoma"/>
            <family val="2"/>
          </rPr>
          <t>ln (P) = A - B / (T + 273)</t>
        </r>
      </text>
    </comment>
    <comment ref="BH1" authorId="0" shapeId="0" xr:uid="{00000000-0006-0000-0400-00000B000000}">
      <text>
        <r>
          <rPr>
            <b/>
            <sz val="10"/>
            <color indexed="81"/>
            <rFont val="Tahoma"/>
            <family val="2"/>
          </rPr>
          <t>ln (P) = A - B / (T + 273)</t>
        </r>
      </text>
    </comment>
    <comment ref="BI1" authorId="0" shapeId="0" xr:uid="{00000000-0006-0000-0400-00000C000000}">
      <text>
        <r>
          <rPr>
            <b/>
            <sz val="10"/>
            <color indexed="81"/>
            <rFont val="Tahoma"/>
            <family val="2"/>
          </rPr>
          <t>ln (P) = A - B / (T + 273)</t>
        </r>
      </text>
    </comment>
    <comment ref="BJ1" authorId="0" shapeId="0" xr:uid="{00000000-0006-0000-0400-00000D000000}">
      <text>
        <r>
          <rPr>
            <b/>
            <sz val="10"/>
            <color indexed="81"/>
            <rFont val="Tahoma"/>
            <family val="2"/>
          </rPr>
          <t>ln (P) = A - B / (T + 273)</t>
        </r>
      </text>
    </comment>
    <comment ref="BK1" authorId="0" shapeId="0" xr:uid="{00000000-0006-0000-0400-00000E000000}">
      <text>
        <r>
          <rPr>
            <b/>
            <sz val="10"/>
            <color indexed="81"/>
            <rFont val="Tahoma"/>
            <family val="2"/>
          </rPr>
          <t>ln (P) = A - B / (T + 273)</t>
        </r>
      </text>
    </comment>
    <comment ref="BL1" authorId="0" shapeId="0" xr:uid="{00000000-0006-0000-0400-00000F000000}">
      <text>
        <r>
          <rPr>
            <b/>
            <sz val="10"/>
            <color indexed="81"/>
            <rFont val="Tahoma"/>
            <family val="2"/>
          </rPr>
          <t>ln (P) = A - B / (T + 273)</t>
        </r>
      </text>
    </comment>
    <comment ref="BM1" authorId="0" shapeId="0" xr:uid="{00000000-0006-0000-0400-000010000000}">
      <text>
        <r>
          <rPr>
            <b/>
            <sz val="10"/>
            <color indexed="81"/>
            <rFont val="Tahoma"/>
            <family val="2"/>
          </rPr>
          <t>ln (P) = A - B / (T + 273)</t>
        </r>
      </text>
    </comment>
    <comment ref="BD18" authorId="1" shapeId="0" xr:uid="{00000000-0006-0000-0400-000011000000}">
      <text>
        <r>
          <rPr>
            <b/>
            <sz val="10"/>
            <color indexed="81"/>
            <rFont val="Arial Narrow"/>
            <family val="2"/>
          </rPr>
          <t>A coefficient is 8,3 + wt fraction HCl times 27 for other concentrations.</t>
        </r>
      </text>
    </comment>
    <comment ref="AJ45" authorId="2" shapeId="0" xr:uid="{00000000-0006-0000-0400-000012000000}">
      <text>
        <r>
          <rPr>
            <b/>
            <sz val="8"/>
            <color indexed="81"/>
            <rFont val="Tahoma"/>
            <family val="2"/>
          </rPr>
          <t>KJA 5/16/06: Deleted flash point value of 37 C.  Per Steve Dicken, CAC does not have a flash point.</t>
        </r>
      </text>
    </comment>
    <comment ref="BD134" authorId="1" shapeId="0" xr:uid="{00000000-0006-0000-0400-000013000000}">
      <text>
        <r>
          <rPr>
            <b/>
            <sz val="10"/>
            <color indexed="81"/>
            <rFont val="Arial Narrow"/>
            <family val="2"/>
          </rPr>
          <t>A coefficient is 8,3 + wt fraction HCl times 27 for other concentrations.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First</author>
    <author>u070091</author>
    <author>Kevin Hersey</author>
  </authors>
  <commentList>
    <comment ref="B5" authorId="0" shapeId="0" xr:uid="{00000000-0006-0000-0700-000001000000}">
      <text>
        <r>
          <rPr>
            <b/>
            <sz val="10"/>
            <color indexed="81"/>
            <rFont val="Arial Narrow"/>
            <family val="2"/>
          </rPr>
          <t>Each unique equipment tag defines a row of data within the Equipment Table.  Limit to 8-10 characters.</t>
        </r>
      </text>
    </comment>
    <comment ref="B6" authorId="0" shapeId="0" xr:uid="{00000000-0006-0000-0700-000002000000}">
      <text>
        <r>
          <rPr>
            <b/>
            <sz val="10"/>
            <color indexed="81"/>
            <rFont val="Arial Narrow"/>
            <family val="2"/>
          </rPr>
          <t>Solids Handling Equipment is shown in Red Text.</t>
        </r>
        <r>
          <rPr>
            <sz val="10"/>
            <color indexed="81"/>
            <rFont val="Tahoma"/>
            <family val="2"/>
          </rPr>
          <t xml:space="preserve">
</t>
        </r>
      </text>
    </comment>
    <comment ref="G6" authorId="1" shapeId="0" xr:uid="{00000000-0006-0000-0700-000003000000}">
      <text>
        <r>
          <rPr>
            <b/>
            <sz val="10"/>
            <color indexed="81"/>
            <rFont val="Arial Narrow"/>
            <family val="2"/>
          </rPr>
          <t>Represents the pressure used for determining hole size leak rate.  For pumps, an average of suction and discharge pressure may be appropriate.</t>
        </r>
        <r>
          <rPr>
            <sz val="9"/>
            <color indexed="81"/>
            <rFont val="Tahoma"/>
            <family val="2"/>
          </rPr>
          <t xml:space="preserve">
</t>
        </r>
      </text>
    </comment>
    <comment ref="B7" authorId="0" shapeId="0" xr:uid="{00000000-0006-0000-0700-000004000000}">
      <text>
        <r>
          <rPr>
            <b/>
            <sz val="10"/>
            <color indexed="81"/>
            <rFont val="Arial Narrow"/>
            <family val="2"/>
          </rPr>
          <t>Solids Handling Equipment is shown in Red Text.</t>
        </r>
        <r>
          <rPr>
            <sz val="10"/>
            <color indexed="81"/>
            <rFont val="Tahoma"/>
            <family val="2"/>
          </rPr>
          <t xml:space="preserve">
</t>
        </r>
      </text>
    </comment>
    <comment ref="B9" authorId="1" shapeId="0" xr:uid="{00000000-0006-0000-0700-000005000000}">
      <text>
        <r>
          <rPr>
            <b/>
            <sz val="10"/>
            <color indexed="81"/>
            <rFont val="Arial Narrow"/>
            <family val="2"/>
          </rPr>
          <t>Red Text indicates User Defined Chemical.  Green Text Indicates a "special" Aqueous Solution Chemical (only to be used within an aqueous mixture)</t>
        </r>
        <r>
          <rPr>
            <sz val="9"/>
            <color indexed="81"/>
            <rFont val="Tahoma"/>
            <family val="2"/>
          </rPr>
          <t xml:space="preserve">
</t>
        </r>
      </text>
    </comment>
    <comment ref="AG11" authorId="1" shapeId="0" xr:uid="{00000000-0006-0000-0700-000006000000}">
      <text>
        <r>
          <rPr>
            <b/>
            <sz val="10"/>
            <color indexed="81"/>
            <rFont val="Arial Narrow"/>
            <family val="2"/>
          </rPr>
          <t>Aqueous Concentration for Highly Non-Ideal Mixtures</t>
        </r>
        <r>
          <rPr>
            <sz val="9"/>
            <color indexed="81"/>
            <rFont val="Tahoma"/>
            <family val="2"/>
          </rPr>
          <t xml:space="preserve">
</t>
        </r>
      </text>
    </comment>
    <comment ref="B12" authorId="1" shapeId="0" xr:uid="{00000000-0006-0000-0700-000007000000}">
      <text>
        <r>
          <rPr>
            <b/>
            <sz val="10"/>
            <color indexed="81"/>
            <rFont val="Arial Narrow"/>
            <family val="2"/>
          </rPr>
          <t>Considered toxic by Regional or National Agency such that a toxic hazard evaluation is expected.  (This may result from chronic health issues such as a carcinogen).</t>
        </r>
        <r>
          <rPr>
            <sz val="9"/>
            <color indexed="81"/>
            <rFont val="Tahoma"/>
            <family val="2"/>
          </rPr>
          <t xml:space="preserve">
</t>
        </r>
      </text>
    </comment>
    <comment ref="D14" authorId="2" shapeId="0" xr:uid="{00000000-0006-0000-0700-000008000000}">
      <text>
        <r>
          <rPr>
            <b/>
            <sz val="10"/>
            <color indexed="81"/>
            <rFont val="Arial Narrow"/>
            <family val="2"/>
          </rPr>
          <t>If components are immiscible, enter "Yes" for components that are in one of the  two phases.  Note this is the inherent property of the chemicals, irregardless of physical mixing present in the equipment.</t>
        </r>
      </text>
    </comment>
    <comment ref="P16" authorId="1" shapeId="0" xr:uid="{00000000-0006-0000-0700-000009000000}">
      <text>
        <r>
          <rPr>
            <b/>
            <sz val="9"/>
            <color indexed="81"/>
            <rFont val="Arial Narrow"/>
            <family val="2"/>
          </rPr>
          <t>Use a molar partition coefficient of 100 for each component of the "immiscible" mixture.  Base Liquid Phase A as that liquid containing the key chemical.</t>
        </r>
      </text>
    </comment>
    <comment ref="AL16" authorId="1" shapeId="0" xr:uid="{00000000-0006-0000-0700-00000A000000}">
      <text>
        <r>
          <rPr>
            <b/>
            <sz val="9"/>
            <color indexed="81"/>
            <rFont val="Tahoma"/>
            <family val="2"/>
          </rPr>
          <t>Based on Alpha=Alpha'*exp(a*(T-T'))</t>
        </r>
        <r>
          <rPr>
            <sz val="9"/>
            <color indexed="81"/>
            <rFont val="Tahoma"/>
            <family val="2"/>
          </rPr>
          <t xml:space="preserve">
</t>
        </r>
      </text>
    </comment>
    <comment ref="T18" authorId="1" shapeId="0" xr:uid="{00000000-0006-0000-0700-00000B000000}">
      <text>
        <r>
          <rPr>
            <b/>
            <sz val="9"/>
            <color indexed="81"/>
            <rFont val="Arial Narrow"/>
            <family val="2"/>
          </rPr>
          <t>Mol Fraction Key Chemical in Liquid Phase A - used to estimate total vapor pressure and mixture boiling point.</t>
        </r>
        <r>
          <rPr>
            <sz val="9"/>
            <color indexed="81"/>
            <rFont val="Tahoma"/>
            <family val="2"/>
          </rPr>
          <t xml:space="preserve">
</t>
        </r>
      </text>
    </comment>
    <comment ref="V18" authorId="1" shapeId="0" xr:uid="{00000000-0006-0000-0700-00000C000000}">
      <text>
        <r>
          <rPr>
            <b/>
            <sz val="9"/>
            <color indexed="81"/>
            <rFont val="Arial Narrow"/>
            <family val="2"/>
          </rPr>
          <t>Mol Fraction Key Chemical in Liquid Phase A - used to estimate total vapor pressure and mixture boiling point.</t>
        </r>
        <r>
          <rPr>
            <sz val="9"/>
            <color indexed="81"/>
            <rFont val="Tahoma"/>
            <family val="2"/>
          </rPr>
          <t xml:space="preserve">
</t>
        </r>
      </text>
    </comment>
    <comment ref="Z18" authorId="1" shapeId="0" xr:uid="{00000000-0006-0000-0700-00000D000000}">
      <text>
        <r>
          <rPr>
            <b/>
            <sz val="9"/>
            <color indexed="81"/>
            <rFont val="Arial Narrow"/>
            <family val="2"/>
          </rPr>
          <t>Mol Fraction Key Chemical in Vapor - used to estimate total vapor pressure and mixture boiling point.</t>
        </r>
      </text>
    </comment>
    <comment ref="T19" authorId="1" shapeId="0" xr:uid="{00000000-0006-0000-0700-00000E000000}">
      <text>
        <r>
          <rPr>
            <b/>
            <sz val="9"/>
            <color indexed="81"/>
            <rFont val="Arial Narrow"/>
            <family val="2"/>
          </rPr>
          <t>Mol Fraction Key Chemical in Liquid Phase A - used to estimate total vapor pressure and mixture boiling point.</t>
        </r>
        <r>
          <rPr>
            <sz val="9"/>
            <color indexed="81"/>
            <rFont val="Tahoma"/>
            <family val="2"/>
          </rPr>
          <t xml:space="preserve">
</t>
        </r>
      </text>
    </comment>
    <comment ref="V19" authorId="1" shapeId="0" xr:uid="{00000000-0006-0000-0700-00000F000000}">
      <text>
        <r>
          <rPr>
            <b/>
            <sz val="9"/>
            <color indexed="81"/>
            <rFont val="Arial Narrow"/>
            <family val="2"/>
          </rPr>
          <t>Mol Fraction Key Chemical in Liquid Phase A - used to estimate total vapor pressure and mixture boiling point.</t>
        </r>
        <r>
          <rPr>
            <sz val="9"/>
            <color indexed="81"/>
            <rFont val="Tahoma"/>
            <family val="2"/>
          </rPr>
          <t xml:space="preserve">
</t>
        </r>
      </text>
    </comment>
    <comment ref="Z19" authorId="1" shapeId="0" xr:uid="{00000000-0006-0000-0700-000010000000}">
      <text>
        <r>
          <rPr>
            <b/>
            <sz val="9"/>
            <color indexed="81"/>
            <rFont val="Arial Narrow"/>
            <family val="2"/>
          </rPr>
          <t>Mol Fraction Key Chemical in Vapor - used to estimate total vapor pressure and mixture boiling point.</t>
        </r>
      </text>
    </comment>
    <comment ref="T20" authorId="1" shapeId="0" xr:uid="{00000000-0006-0000-0700-000011000000}">
      <text>
        <r>
          <rPr>
            <b/>
            <sz val="9"/>
            <color indexed="81"/>
            <rFont val="Arial Narrow"/>
            <family val="2"/>
          </rPr>
          <t>Mol Fraction Key Chemical in Liquid Phase A - used to estimate total vapor pressure and mixture boiling point.</t>
        </r>
        <r>
          <rPr>
            <sz val="9"/>
            <color indexed="81"/>
            <rFont val="Tahoma"/>
            <family val="2"/>
          </rPr>
          <t xml:space="preserve">
</t>
        </r>
      </text>
    </comment>
    <comment ref="V20" authorId="1" shapeId="0" xr:uid="{00000000-0006-0000-0700-000012000000}">
      <text>
        <r>
          <rPr>
            <b/>
            <sz val="9"/>
            <color indexed="81"/>
            <rFont val="Arial Narrow"/>
            <family val="2"/>
          </rPr>
          <t>Mol Fraction Key Chemical in Liquid Phase A - used to estimate total vapor pressure and mixture boiling point.</t>
        </r>
        <r>
          <rPr>
            <sz val="9"/>
            <color indexed="81"/>
            <rFont val="Tahoma"/>
            <family val="2"/>
          </rPr>
          <t xml:space="preserve">
</t>
        </r>
      </text>
    </comment>
    <comment ref="Z20" authorId="1" shapeId="0" xr:uid="{00000000-0006-0000-0700-000013000000}">
      <text>
        <r>
          <rPr>
            <b/>
            <sz val="9"/>
            <color indexed="81"/>
            <rFont val="Arial Narrow"/>
            <family val="2"/>
          </rPr>
          <t>Mol Fraction Key Chemical in Vapor - used to estimate total vapor pressure and mixture boiling point.</t>
        </r>
      </text>
    </comment>
    <comment ref="T21" authorId="1" shapeId="0" xr:uid="{00000000-0006-0000-0700-000014000000}">
      <text>
        <r>
          <rPr>
            <b/>
            <sz val="9"/>
            <color indexed="81"/>
            <rFont val="Arial Narrow"/>
            <family val="2"/>
          </rPr>
          <t>Mol Fraction Key Chemical in Liquid Phase A - used to estimate total vapor pressure and mixture boiling point.</t>
        </r>
        <r>
          <rPr>
            <sz val="9"/>
            <color indexed="81"/>
            <rFont val="Tahoma"/>
            <family val="2"/>
          </rPr>
          <t xml:space="preserve">
</t>
        </r>
      </text>
    </comment>
    <comment ref="V21" authorId="1" shapeId="0" xr:uid="{00000000-0006-0000-0700-000015000000}">
      <text>
        <r>
          <rPr>
            <b/>
            <sz val="9"/>
            <color indexed="81"/>
            <rFont val="Arial Narrow"/>
            <family val="2"/>
          </rPr>
          <t>Mol Fraction Key Chemical in Liquid Phase A - used to estimate total vapor pressure and mixture boiling point.</t>
        </r>
        <r>
          <rPr>
            <sz val="9"/>
            <color indexed="81"/>
            <rFont val="Tahoma"/>
            <family val="2"/>
          </rPr>
          <t xml:space="preserve">
</t>
        </r>
      </text>
    </comment>
    <comment ref="Z21" authorId="1" shapeId="0" xr:uid="{00000000-0006-0000-0700-000016000000}">
      <text>
        <r>
          <rPr>
            <b/>
            <sz val="9"/>
            <color indexed="81"/>
            <rFont val="Arial Narrow"/>
            <family val="2"/>
          </rPr>
          <t>Mol Fraction Key Chemical in Vapor - used to estimate total vapor pressure and mixture boiling point.</t>
        </r>
      </text>
    </comment>
    <comment ref="T22" authorId="1" shapeId="0" xr:uid="{00000000-0006-0000-0700-000017000000}">
      <text>
        <r>
          <rPr>
            <b/>
            <sz val="9"/>
            <color indexed="81"/>
            <rFont val="Arial Narrow"/>
            <family val="2"/>
          </rPr>
          <t>Mol Fraction Key Chemical in Liquid Phase A - used to estimate total vapor pressure and mixture boiling point.</t>
        </r>
        <r>
          <rPr>
            <sz val="9"/>
            <color indexed="81"/>
            <rFont val="Tahoma"/>
            <family val="2"/>
          </rPr>
          <t xml:space="preserve">
</t>
        </r>
      </text>
    </comment>
    <comment ref="V22" authorId="1" shapeId="0" xr:uid="{00000000-0006-0000-0700-000018000000}">
      <text>
        <r>
          <rPr>
            <b/>
            <sz val="9"/>
            <color indexed="81"/>
            <rFont val="Arial Narrow"/>
            <family val="2"/>
          </rPr>
          <t>Mol Fraction Key Chemical in Liquid Phase A - used to estimate total vapor pressure and mixture boiling point.</t>
        </r>
        <r>
          <rPr>
            <sz val="9"/>
            <color indexed="81"/>
            <rFont val="Tahoma"/>
            <family val="2"/>
          </rPr>
          <t xml:space="preserve">
</t>
        </r>
      </text>
    </comment>
    <comment ref="Z22" authorId="1" shapeId="0" xr:uid="{00000000-0006-0000-0700-000019000000}">
      <text>
        <r>
          <rPr>
            <b/>
            <sz val="9"/>
            <color indexed="81"/>
            <rFont val="Arial Narrow"/>
            <family val="2"/>
          </rPr>
          <t>Mol Fraction Key Chemical in Vapor - used to estimate total vapor pressure and mixture boiling point.</t>
        </r>
      </text>
    </comment>
    <comment ref="G26" authorId="2" shapeId="0" xr:uid="{00000000-0006-0000-0700-00001A000000}">
      <text>
        <r>
          <rPr>
            <b/>
            <sz val="10"/>
            <color indexed="81"/>
            <rFont val="Arial Narrow"/>
            <family val="2"/>
          </rPr>
          <t>Flash Point (FP) – lowest temperature at which a liquid will give off sufficient vapor to be ignited in air.</t>
        </r>
      </text>
    </comment>
    <comment ref="S26" authorId="1" shapeId="0" xr:uid="{00000000-0006-0000-0700-00001B000000}">
      <text>
        <r>
          <rPr>
            <b/>
            <sz val="9"/>
            <color indexed="81"/>
            <rFont val="Arial Narrow"/>
            <family val="2"/>
          </rPr>
          <t>Select a temperature range in the region of the average boiling point of the components.  Assume the ratio of component vapor pressure to the vapor pressure of the key chemical is content over this region (constant relative volatility).</t>
        </r>
      </text>
    </comment>
    <comment ref="G28" authorId="1" shapeId="0" xr:uid="{00000000-0006-0000-0700-00001C000000}">
      <text>
        <r>
          <rPr>
            <b/>
            <sz val="9"/>
            <color indexed="81"/>
            <rFont val="Arial Narrow"/>
            <family val="2"/>
          </rPr>
          <t>If the mixture can not sustain burning, it should be confirmed by ASTM D4206 testing.</t>
        </r>
        <r>
          <rPr>
            <sz val="9"/>
            <color indexed="81"/>
            <rFont val="Tahoma"/>
            <family val="2"/>
          </rPr>
          <t xml:space="preserve">
</t>
        </r>
      </text>
    </comment>
    <comment ref="T28" authorId="1" shapeId="0" xr:uid="{00000000-0006-0000-0700-00001D000000}">
      <text>
        <r>
          <rPr>
            <b/>
            <sz val="9"/>
            <color indexed="81"/>
            <rFont val="Tahoma"/>
            <family val="2"/>
          </rPr>
          <t>Based on Rel VP=Rel VP'*exp(a*(T-T'))</t>
        </r>
        <r>
          <rPr>
            <sz val="9"/>
            <color indexed="81"/>
            <rFont val="Tahoma"/>
            <family val="2"/>
          </rPr>
          <t xml:space="preserve">
</t>
        </r>
      </text>
    </comment>
    <comment ref="U28" authorId="1" shapeId="0" xr:uid="{00000000-0006-0000-0700-00001E000000}">
      <text>
        <r>
          <rPr>
            <b/>
            <sz val="9"/>
            <color indexed="81"/>
            <rFont val="Arial Narrow"/>
            <family val="2"/>
          </rPr>
          <t>Estimate as sum of additive liquid volume</t>
        </r>
      </text>
    </comment>
    <comment ref="G29" authorId="2" shapeId="0" xr:uid="{00000000-0006-0000-0700-00001F000000}">
      <text>
        <r>
          <rPr>
            <b/>
            <sz val="10"/>
            <color indexed="81"/>
            <rFont val="Arial Narrow"/>
            <family val="2"/>
          </rPr>
          <t>Autoignition Temperature (AIT) – lowest temperature at which a material will spontaneously ignite and continue burning in a normal atmosphere.</t>
        </r>
      </text>
    </comment>
    <comment ref="G30" authorId="0" shapeId="0" xr:uid="{00000000-0006-0000-0700-000020000000}">
      <text>
        <r>
          <rPr>
            <b/>
            <sz val="10"/>
            <color indexed="81"/>
            <rFont val="Arial Narrow"/>
            <family val="2"/>
          </rPr>
          <t>Categorized as Low (&lt;1% likely to ignite), Normal, Elevated *10 to 90% likely to ignite), or High (&gt;90% likely to ignite).  Examples include:
* Low: ammonia, methylene chloride
* Normal: butane, propylene, acetone
* Elevated: hydrogen, acetylene, CS2
* High:  pyrophoric materials</t>
        </r>
      </text>
    </comment>
    <comment ref="G31" authorId="0" shapeId="0" xr:uid="{00000000-0006-0000-0700-000021000000}">
      <text>
        <r>
          <rPr>
            <b/>
            <sz val="10"/>
            <color indexed="81"/>
            <rFont val="Arial Narrow"/>
            <family val="2"/>
          </rPr>
          <t>Categorized as Low, Medium, or High per LPP 12.2 where:
* Low is a fundamental burning velocity &lt; 45 cm/sec such as ammonia
* Medium is a fundamental burning velocity between 45 and 75 cm/sec and would include most hydrocarbons
* High is a fundamental burning velocity &gt; 75 cm/sec where venting may not be an option such as acetylene</t>
        </r>
      </text>
    </comment>
    <comment ref="G32" authorId="0" shapeId="0" xr:uid="{00000000-0006-0000-0700-000022000000}">
      <text>
        <r>
          <rPr>
            <b/>
            <sz val="10"/>
            <color indexed="81"/>
            <rFont val="Arial Narrow"/>
            <family val="2"/>
          </rPr>
          <t xml:space="preserve">Categorized as Corrosive, Toxic, Very Toxic per the European Risk Phases </t>
        </r>
        <r>
          <rPr>
            <sz val="10"/>
            <color indexed="81"/>
            <rFont val="Tahoma"/>
            <family val="2"/>
          </rPr>
          <t xml:space="preserve">
</t>
        </r>
      </text>
    </comment>
    <comment ref="G33" authorId="0" shapeId="0" xr:uid="{00000000-0006-0000-0700-000023000000}">
      <text>
        <r>
          <rPr>
            <b/>
            <sz val="10"/>
            <color indexed="81"/>
            <rFont val="Arial Narrow"/>
            <family val="2"/>
          </rPr>
          <t>Categorized as Harmful, Toxic, Very Toxic per the European Risk Phases used for defining Hazard Services under GMISS.</t>
        </r>
        <r>
          <rPr>
            <sz val="10"/>
            <color indexed="81"/>
            <rFont val="Tahoma"/>
            <family val="2"/>
          </rPr>
          <t xml:space="preserve">
</t>
        </r>
      </text>
    </comment>
    <comment ref="F34" authorId="2" shapeId="0" xr:uid="{00000000-0006-0000-0700-000024000000}">
      <text>
        <r>
          <rPr>
            <b/>
            <sz val="10"/>
            <color indexed="81"/>
            <rFont val="Arial Narrow"/>
            <family val="2"/>
          </rPr>
          <t>Used only for F&amp;EI estimation of Pressure Penalty.</t>
        </r>
      </text>
    </comment>
    <comment ref="B35" authorId="0" shapeId="0" xr:uid="{00000000-0006-0000-0700-000025000000}">
      <text>
        <r>
          <rPr>
            <b/>
            <sz val="10"/>
            <color indexed="81"/>
            <rFont val="Arial Narrow"/>
            <family val="2"/>
          </rPr>
          <t>If there are significant unresolved flash errors, one may model as a pseudo single chemical.  In which case, the composition is essentially at the  initial composition and composition changes during flash or evaporation are not accounted for.  This is generally less accurate but more robust.</t>
        </r>
        <r>
          <rPr>
            <sz val="9"/>
            <color indexed="81"/>
            <rFont val="Tahoma"/>
            <family val="2"/>
          </rPr>
          <t xml:space="preserve">
</t>
        </r>
      </text>
    </comment>
    <comment ref="G35" authorId="0" shapeId="0" xr:uid="{00000000-0006-0000-0700-000026000000}">
      <text>
        <r>
          <rPr>
            <b/>
            <sz val="10"/>
            <color indexed="81"/>
            <rFont val="Arial Narrow"/>
            <family val="2"/>
          </rPr>
          <t>If there is an approved NFPA Rating for the Mixture, it may be entered here for F&amp;EI input.</t>
        </r>
      </text>
    </comment>
    <comment ref="G36" authorId="0" shapeId="0" xr:uid="{00000000-0006-0000-0700-000027000000}">
      <text>
        <r>
          <rPr>
            <b/>
            <sz val="10"/>
            <color indexed="81"/>
            <rFont val="Arial Narrow"/>
            <family val="2"/>
          </rPr>
          <t>If there is an approved NFPA Rating for the Mixture, it may be entered here for F&amp;EI input.</t>
        </r>
      </text>
    </comment>
    <comment ref="G37" authorId="0" shapeId="0" xr:uid="{00000000-0006-0000-0700-000028000000}">
      <text>
        <r>
          <rPr>
            <b/>
            <sz val="10"/>
            <color indexed="81"/>
            <rFont val="Arial Narrow"/>
            <family val="2"/>
          </rPr>
          <t>Categorized as Harmful, Toxic, Very Toxic per the European Risk Phases</t>
        </r>
        <r>
          <rPr>
            <sz val="10"/>
            <color indexed="81"/>
            <rFont val="Tahoma"/>
            <family val="2"/>
          </rPr>
          <t xml:space="preserve">
</t>
        </r>
      </text>
    </comment>
    <comment ref="G38" authorId="0" shapeId="0" xr:uid="{00000000-0006-0000-0700-000029000000}">
      <text>
        <r>
          <rPr>
            <b/>
            <sz val="10"/>
            <color indexed="81"/>
            <rFont val="Arial Narrow"/>
            <family val="2"/>
          </rPr>
          <t>If there is an approved NFPA Rating for the Mixture, it may be entered here for F&amp;EI input.</t>
        </r>
      </text>
    </comment>
    <comment ref="G39" authorId="0" shapeId="0" xr:uid="{00000000-0006-0000-0700-00002A000000}">
      <text>
        <r>
          <rPr>
            <b/>
            <sz val="10"/>
            <color indexed="81"/>
            <rFont val="Arial Narrow"/>
            <family val="2"/>
          </rPr>
          <t>Liquids having a conductivity exceeding 10,000 pico siemens/meter is "Conductive" and not likely build a static charge.  Liquids with conductivity less than 100 pico siemens per meter is considered "Non-Conductive".</t>
        </r>
        <r>
          <rPr>
            <sz val="10"/>
            <color indexed="81"/>
            <rFont val="Tahoma"/>
            <family val="2"/>
          </rPr>
          <t xml:space="preserve">
</t>
        </r>
      </text>
    </comment>
    <comment ref="F42" authorId="2" shapeId="0" xr:uid="{00000000-0006-0000-0700-00002B000000}">
      <text>
        <r>
          <rPr>
            <b/>
            <sz val="10"/>
            <color indexed="81"/>
            <rFont val="Arial Narrow"/>
            <family val="2"/>
          </rPr>
          <t>Dust deflagration classes are defined by the Kst of the solid as follows:
Class 1: Kst &lt; 200 bar-m/sec
Class 2: 201 &lt; Kst &lt; 300 bar-m/sec
Class 3: Kst &gt; 300 bar-m/sec
(Class 3 being most energetic)
Other classifications such as "Open&lt;40 mm Thick" used in determining F&amp;EI material factor.</t>
        </r>
      </text>
    </comment>
    <comment ref="S42" authorId="1" shapeId="0" xr:uid="{00000000-0006-0000-0700-00002C000000}">
      <text>
        <r>
          <rPr>
            <sz val="10"/>
            <color indexed="81"/>
            <rFont val="Arial Narrow"/>
            <family val="2"/>
          </rPr>
          <t>If relief set pressure not entered, temperate at MAWP</t>
        </r>
        <r>
          <rPr>
            <sz val="9"/>
            <color indexed="81"/>
            <rFont val="Tahoma"/>
            <family val="2"/>
          </rPr>
          <t xml:space="preserve">
</t>
        </r>
      </text>
    </comment>
    <comment ref="F45" authorId="2" shapeId="0" xr:uid="{00000000-0006-0000-0700-00002D000000}">
      <text>
        <r>
          <rPr>
            <b/>
            <sz val="10"/>
            <color indexed="81"/>
            <rFont val="Arial Narrow"/>
            <family val="2"/>
          </rPr>
          <t>Minimum Ignition Energy (MIE) – minimum amount of energy required to ignite a combustible vapor, gas or dust cloud.
Potential for deflagration within equipment is assumed to exist if MIE is less than 300 mJoule.
Potential for deflagration outside equipment is assumed to exist if MIE is less than 100 mJoule.</t>
        </r>
      </text>
    </comment>
    <comment ref="F46" authorId="2" shapeId="0" xr:uid="{00000000-0006-0000-0700-00002E000000}">
      <text>
        <r>
          <rPr>
            <b/>
            <sz val="10"/>
            <color indexed="81"/>
            <rFont val="Arial Narrow"/>
            <family val="2"/>
          </rPr>
          <t>Dust-flammable hybrid means a mixture of a dust with a flammable liquid.  Hybrid Mixtures generally exhibit a Minimum Ignition Energy of the flammable liquid which is typically much lower than that of the dust.
Potential deflagration within and outside of equipment is assumed to exist (regardless of MIE entered) if Dust-flammable hybrid is "YES".</t>
        </r>
      </text>
    </comment>
    <comment ref="F47" authorId="2" shapeId="0" xr:uid="{00000000-0006-0000-0700-00002F000000}">
      <text>
        <r>
          <rPr>
            <b/>
            <sz val="10"/>
            <color indexed="81"/>
            <rFont val="Arial Narrow"/>
            <family val="2"/>
          </rPr>
          <t>Used only for F&amp;EI Solids Quantity of Material Penalty</t>
        </r>
      </text>
    </comment>
    <comment ref="M52" authorId="1" shapeId="0" xr:uid="{00000000-0006-0000-0700-000030000000}">
      <text>
        <r>
          <rPr>
            <b/>
            <sz val="9"/>
            <color indexed="81"/>
            <rFont val="Arial Narrow"/>
            <family val="2"/>
          </rPr>
          <t>Based on Ideal Gas</t>
        </r>
        <r>
          <rPr>
            <sz val="9"/>
            <color indexed="81"/>
            <rFont val="Tahoma"/>
            <family val="2"/>
          </rPr>
          <t xml:space="preserve">
</t>
        </r>
      </text>
    </comment>
    <comment ref="R52" authorId="1" shapeId="0" xr:uid="{00000000-0006-0000-0700-000031000000}">
      <text>
        <r>
          <rPr>
            <b/>
            <sz val="9"/>
            <color indexed="81"/>
            <rFont val="Arial Narrow"/>
            <family val="2"/>
          </rPr>
          <t>Based on Ideal Gas</t>
        </r>
        <r>
          <rPr>
            <sz val="9"/>
            <color indexed="81"/>
            <rFont val="Tahoma"/>
            <family val="2"/>
          </rPr>
          <t xml:space="preserve">
</t>
        </r>
      </text>
    </comment>
    <comment ref="W53" authorId="1" shapeId="0" xr:uid="{00000000-0006-0000-0700-000032000000}">
      <text>
        <r>
          <rPr>
            <b/>
            <sz val="9"/>
            <color indexed="81"/>
            <rFont val="Arial Narrow"/>
            <family val="2"/>
          </rPr>
          <t>Based on Ideal Gas</t>
        </r>
        <r>
          <rPr>
            <sz val="9"/>
            <color indexed="81"/>
            <rFont val="Tahoma"/>
            <family val="2"/>
          </rPr>
          <t xml:space="preserve">
</t>
        </r>
      </text>
    </comment>
    <comment ref="M54" authorId="1" shapeId="0" xr:uid="{00000000-0006-0000-0700-000033000000}">
      <text>
        <r>
          <rPr>
            <sz val="9"/>
            <color indexed="81"/>
            <rFont val="Arial Narrow"/>
            <family val="2"/>
          </rPr>
          <t xml:space="preserve">Estimated as derivative of vapor enthalpy with temperature where vapor enthalpy is:
 Liquid Enthalpy = A'*T + 1/2 B' T^2
    (for liquid heat capacity = A' + B' T)
Enthalpy of Vaporization = A - B T - C T^2
Vapor Enthalpy = Liquid Enthalpy of Vaporization + Liquid Enthalpy or:
 Hv = A + (A' - B) T + (1/2 B' - C) T^2
dH/dT = A' - B + (B' - 2 C)*T
 </t>
        </r>
        <r>
          <rPr>
            <i/>
            <sz val="9"/>
            <color indexed="81"/>
            <rFont val="Arial Narrow"/>
            <family val="2"/>
          </rPr>
          <t>limited to a minimum value of 0.15</t>
        </r>
      </text>
    </comment>
    <comment ref="R54" authorId="1" shapeId="0" xr:uid="{00000000-0006-0000-0700-000034000000}">
      <text>
        <r>
          <rPr>
            <sz val="9"/>
            <color indexed="81"/>
            <rFont val="Arial Narrow"/>
            <family val="2"/>
          </rPr>
          <t xml:space="preserve">Estimated as derivative of vapor enthalpy with temperature where vapor enthalpy is:
  H = A + (A' - B) T + (1/2 B' - C) T^2
for Heat of Vaporization = A - B T - C T^2
Liquid Enthalpy = A'*T + 1/2 B' T^2
    (for liquid heat capacity = A' + B' T)
dH/dT = A' - B + (B' - 2 C)*T
 </t>
        </r>
        <r>
          <rPr>
            <i/>
            <sz val="9"/>
            <color indexed="81"/>
            <rFont val="Arial Narrow"/>
            <family val="2"/>
          </rPr>
          <t>limited to a minimum value of 0.15</t>
        </r>
      </text>
    </comment>
    <comment ref="M57" authorId="1" shapeId="0" xr:uid="{00000000-0006-0000-0700-000035000000}">
      <text>
        <r>
          <rPr>
            <b/>
            <sz val="9"/>
            <color indexed="81"/>
            <rFont val="Arial Narrow"/>
            <family val="2"/>
          </rPr>
          <t>Based on Ideal Gas</t>
        </r>
        <r>
          <rPr>
            <sz val="9"/>
            <color indexed="81"/>
            <rFont val="Tahoma"/>
            <family val="2"/>
          </rPr>
          <t xml:space="preserve">
</t>
        </r>
      </text>
    </comment>
    <comment ref="W57" authorId="1" shapeId="0" xr:uid="{00000000-0006-0000-0700-000036000000}">
      <text>
        <r>
          <rPr>
            <sz val="10"/>
            <color indexed="81"/>
            <rFont val="Arial Narrow"/>
            <family val="2"/>
          </rPr>
          <t>If relief set pressure not entered, temperate at MAWP</t>
        </r>
        <r>
          <rPr>
            <sz val="9"/>
            <color indexed="81"/>
            <rFont val="Tahoma"/>
            <family val="2"/>
          </rPr>
          <t xml:space="preserve">
</t>
        </r>
      </text>
    </comment>
    <comment ref="B67" authorId="0" shapeId="0" xr:uid="{00000000-0006-0000-0700-000037000000}">
      <text>
        <r>
          <rPr>
            <b/>
            <sz val="8"/>
            <color indexed="81"/>
            <rFont val="Tahoma"/>
            <family val="2"/>
          </rPr>
          <t>ln P = A - B/(T + 273 - C)  (atm and T in deg C)</t>
        </r>
      </text>
    </comment>
    <comment ref="B68" authorId="0" shapeId="0" xr:uid="{00000000-0006-0000-0700-000038000000}">
      <text>
        <r>
          <rPr>
            <b/>
            <sz val="8"/>
            <color indexed="81"/>
            <rFont val="Tahoma"/>
            <family val="2"/>
          </rPr>
          <t>ln P = A - B/(T + 273 - C)  (atm and T in deg C)</t>
        </r>
      </text>
    </comment>
    <comment ref="B69" authorId="0" shapeId="0" xr:uid="{00000000-0006-0000-0700-000039000000}">
      <text>
        <r>
          <rPr>
            <b/>
            <sz val="8"/>
            <color indexed="81"/>
            <rFont val="Tahoma"/>
            <family val="2"/>
          </rPr>
          <t>ln P = A - B/(T + 273 - C)  (atm and T in deg C).  Typically leave C as zero unless a good data fit is needed over a large temperature range.</t>
        </r>
      </text>
    </comment>
    <comment ref="B70" authorId="0" shapeId="0" xr:uid="{00000000-0006-0000-0700-00003A000000}">
      <text>
        <r>
          <rPr>
            <b/>
            <sz val="8"/>
            <color indexed="81"/>
            <rFont val="Symbol"/>
            <family val="1"/>
            <charset val="2"/>
          </rPr>
          <t>r</t>
        </r>
        <r>
          <rPr>
            <b/>
            <sz val="8"/>
            <color indexed="81"/>
            <rFont val="Tahoma"/>
            <family val="2"/>
          </rPr>
          <t xml:space="preserve"> = A - B T (gm/ml)</t>
        </r>
      </text>
    </comment>
    <comment ref="B71" authorId="0" shapeId="0" xr:uid="{00000000-0006-0000-0700-00003B000000}">
      <text>
        <r>
          <rPr>
            <b/>
            <sz val="8"/>
            <color indexed="81"/>
            <rFont val="Symbol"/>
            <family val="1"/>
            <charset val="2"/>
          </rPr>
          <t>r</t>
        </r>
        <r>
          <rPr>
            <b/>
            <sz val="8"/>
            <color indexed="81"/>
            <rFont val="Tahoma"/>
            <family val="2"/>
          </rPr>
          <t xml:space="preserve"> = A - B T (gm/ml)</t>
        </r>
      </text>
    </comment>
    <comment ref="B72" authorId="0" shapeId="0" xr:uid="{00000000-0006-0000-0700-00003C000000}">
      <text>
        <r>
          <rPr>
            <b/>
            <sz val="8"/>
            <color indexed="81"/>
            <rFont val="Tahoma"/>
            <family val="2"/>
          </rPr>
          <t>C = A + B T (cal/gm</t>
        </r>
        <r>
          <rPr>
            <b/>
            <vertAlign val="superscript"/>
            <sz val="8"/>
            <color indexed="81"/>
            <rFont val="Tahoma"/>
            <family val="2"/>
          </rPr>
          <t>o</t>
        </r>
        <r>
          <rPr>
            <b/>
            <sz val="8"/>
            <color indexed="81"/>
            <rFont val="Tahoma"/>
            <family val="2"/>
          </rPr>
          <t>C)</t>
        </r>
      </text>
    </comment>
    <comment ref="B73" authorId="0" shapeId="0" xr:uid="{00000000-0006-0000-0700-00003D000000}">
      <text>
        <r>
          <rPr>
            <b/>
            <sz val="8"/>
            <color indexed="81"/>
            <rFont val="Tahoma"/>
            <family val="2"/>
          </rPr>
          <t>C = A + B T (cal/gm</t>
        </r>
        <r>
          <rPr>
            <b/>
            <vertAlign val="superscript"/>
            <sz val="8"/>
            <color indexed="81"/>
            <rFont val="Tahoma"/>
            <family val="2"/>
          </rPr>
          <t>o</t>
        </r>
        <r>
          <rPr>
            <b/>
            <sz val="8"/>
            <color indexed="81"/>
            <rFont val="Tahoma"/>
            <family val="2"/>
          </rPr>
          <t>C)</t>
        </r>
      </text>
    </comment>
    <comment ref="B74" authorId="0" shapeId="0" xr:uid="{00000000-0006-0000-0700-00003E000000}">
      <text>
        <r>
          <rPr>
            <b/>
            <sz val="8"/>
            <color indexed="81"/>
            <rFont val="Symbol"/>
            <family val="1"/>
            <charset val="2"/>
          </rPr>
          <t xml:space="preserve">l </t>
        </r>
        <r>
          <rPr>
            <b/>
            <sz val="8"/>
            <color indexed="81"/>
            <rFont val="Tahoma"/>
            <family val="2"/>
          </rPr>
          <t>= A - B T - C T^2 (cal/gm)</t>
        </r>
      </text>
    </comment>
    <comment ref="B75" authorId="0" shapeId="0" xr:uid="{00000000-0006-0000-0700-00003F000000}">
      <text>
        <r>
          <rPr>
            <b/>
            <sz val="8"/>
            <color indexed="81"/>
            <rFont val="Symbol"/>
            <family val="1"/>
            <charset val="2"/>
          </rPr>
          <t xml:space="preserve">l </t>
        </r>
        <r>
          <rPr>
            <b/>
            <sz val="8"/>
            <color indexed="81"/>
            <rFont val="Tahoma"/>
            <family val="2"/>
          </rPr>
          <t>= A - B T - C T^2 (cal/gm)</t>
        </r>
      </text>
    </comment>
    <comment ref="B76" authorId="0" shapeId="0" xr:uid="{00000000-0006-0000-0700-000040000000}">
      <text>
        <r>
          <rPr>
            <b/>
            <sz val="8"/>
            <color indexed="81"/>
            <rFont val="Symbol"/>
            <family val="1"/>
            <charset val="2"/>
          </rPr>
          <t xml:space="preserve">l </t>
        </r>
        <r>
          <rPr>
            <b/>
            <sz val="8"/>
            <color indexed="81"/>
            <rFont val="Tahoma"/>
            <family val="2"/>
          </rPr>
          <t>= A - B T - C T^2 (cal/gm) Typically leave as zero unless a good data fit is needed over a large temperature range.</t>
        </r>
      </text>
    </comment>
    <comment ref="B78" authorId="0" shapeId="0" xr:uid="{00000000-0006-0000-0700-000041000000}">
      <text>
        <r>
          <rPr>
            <b/>
            <sz val="10"/>
            <color indexed="81"/>
            <rFont val="Arial Narrow"/>
            <family val="2"/>
          </rPr>
          <t>Lower Flammability Limit</t>
        </r>
        <r>
          <rPr>
            <sz val="10"/>
            <color indexed="81"/>
            <rFont val="Tahoma"/>
            <family val="2"/>
          </rPr>
          <t xml:space="preserve">
</t>
        </r>
      </text>
    </comment>
    <comment ref="B79" authorId="0" shapeId="0" xr:uid="{00000000-0006-0000-0700-000042000000}">
      <text>
        <r>
          <rPr>
            <b/>
            <sz val="10"/>
            <color indexed="81"/>
            <rFont val="Arial Narrow"/>
            <family val="2"/>
          </rPr>
          <t>Upper Flammability Limit</t>
        </r>
      </text>
    </comment>
    <comment ref="B81" authorId="0" shapeId="0" xr:uid="{00000000-0006-0000-0700-000044000000}">
      <text>
        <r>
          <rPr>
            <b/>
            <sz val="10"/>
            <color indexed="81"/>
            <rFont val="Arial Narrow"/>
            <family val="2"/>
          </rPr>
          <t>Categorized as Low (&lt;1% likely to ignite), Normal, Elevated *10 to 90% likely to ignite), or High (&gt;90% likely to ignite).  Examples include:
* Low: ammonia, methylene chloride
* Normal: butane, propylene, acetone
* Elevated: hydrogen, acetylene, CS2
* High:  pyrophoric materials</t>
        </r>
      </text>
    </comment>
    <comment ref="B82" authorId="0" shapeId="0" xr:uid="{00000000-0006-0000-0700-000046000000}">
      <text>
        <r>
          <rPr>
            <b/>
            <sz val="10"/>
            <color indexed="81"/>
            <rFont val="Arial Narrow"/>
            <family val="2"/>
          </rPr>
          <t>Categorized as Low, Medium, or High per LPP 12.2 where:
* Low is a fundamental burning velocity &lt; 45 cm/sec such as ammonia
* Medium is a fundamental burning velocity between 45 and 75 cm/sec and would include most hydrocarbons
* High is a fundamental burning velocity &gt; 75 cm/sec where venting may not be an option such as acetylene</t>
        </r>
      </text>
    </comment>
    <comment ref="B83" authorId="0" shapeId="0" xr:uid="{00000000-0006-0000-0700-000047000000}">
      <text>
        <r>
          <rPr>
            <b/>
            <sz val="10"/>
            <color indexed="81"/>
            <rFont val="Arial Narrow"/>
            <family val="2"/>
          </rPr>
          <t>Categorized as Class 1, 2, or 3 based on the Deflagration Index, K</t>
        </r>
        <r>
          <rPr>
            <b/>
            <sz val="8"/>
            <color indexed="81"/>
            <rFont val="Arial Narrow"/>
            <family val="2"/>
          </rPr>
          <t>St</t>
        </r>
        <r>
          <rPr>
            <b/>
            <sz val="10"/>
            <color indexed="81"/>
            <rFont val="Arial Narrow"/>
            <family val="2"/>
          </rPr>
          <t xml:space="preserve"> (maximum rate of pressure rise from combustion in a closed container) and maximum pressure as:
* Class 1 for K</t>
        </r>
        <r>
          <rPr>
            <b/>
            <sz val="8"/>
            <color indexed="81"/>
            <rFont val="Arial Narrow"/>
            <family val="2"/>
          </rPr>
          <t>St</t>
        </r>
        <r>
          <rPr>
            <b/>
            <sz val="10"/>
            <color indexed="81"/>
            <rFont val="Arial Narrow"/>
            <family val="2"/>
          </rPr>
          <t xml:space="preserve"> &lt; 200 bar-m/sec and P</t>
        </r>
        <r>
          <rPr>
            <b/>
            <sz val="8"/>
            <color indexed="81"/>
            <rFont val="Arial Narrow"/>
            <family val="2"/>
          </rPr>
          <t>max</t>
        </r>
        <r>
          <rPr>
            <b/>
            <sz val="10"/>
            <color indexed="81"/>
            <rFont val="Arial Narrow"/>
            <family val="2"/>
          </rPr>
          <t xml:space="preserve"> &lt; 10 bar
* Class 2 for K</t>
        </r>
        <r>
          <rPr>
            <b/>
            <sz val="8"/>
            <color indexed="81"/>
            <rFont val="Arial Narrow"/>
            <family val="2"/>
          </rPr>
          <t>St</t>
        </r>
        <r>
          <rPr>
            <b/>
            <sz val="10"/>
            <color indexed="81"/>
            <rFont val="Arial Narrow"/>
            <family val="2"/>
          </rPr>
          <t xml:space="preserve"> between 200 and 300 and P</t>
        </r>
        <r>
          <rPr>
            <b/>
            <sz val="8"/>
            <color indexed="81"/>
            <rFont val="Arial Narrow"/>
            <family val="2"/>
          </rPr>
          <t>max</t>
        </r>
        <r>
          <rPr>
            <b/>
            <sz val="10"/>
            <color indexed="81"/>
            <rFont val="Arial Narrow"/>
            <family val="2"/>
          </rPr>
          <t xml:space="preserve"> &lt; 10
* Class 3 for K</t>
        </r>
        <r>
          <rPr>
            <b/>
            <sz val="8"/>
            <color indexed="81"/>
            <rFont val="Arial Narrow"/>
            <family val="2"/>
          </rPr>
          <t>St</t>
        </r>
        <r>
          <rPr>
            <b/>
            <sz val="10"/>
            <color indexed="81"/>
            <rFont val="Arial Narrow"/>
            <family val="2"/>
          </rPr>
          <t xml:space="preserve"> &gt; 300 bar-m/sec and P</t>
        </r>
        <r>
          <rPr>
            <b/>
            <sz val="8"/>
            <color indexed="81"/>
            <rFont val="Arial Narrow"/>
            <family val="2"/>
          </rPr>
          <t>max</t>
        </r>
        <r>
          <rPr>
            <b/>
            <sz val="10"/>
            <color indexed="81"/>
            <rFont val="Arial Narrow"/>
            <family val="2"/>
          </rPr>
          <t xml:space="preserve"> &lt; 12 bar where venting may not be an option</t>
        </r>
      </text>
    </comment>
    <comment ref="N83" authorId="0" shapeId="0" xr:uid="{00000000-0006-0000-0700-000043000000}">
      <text>
        <r>
          <rPr>
            <b/>
            <sz val="10"/>
            <color indexed="81"/>
            <rFont val="Arial Narrow"/>
            <family val="2"/>
          </rPr>
          <t>Categorized as Harmful, Toxic, Very Toxic per the European Risk Phases used for defining Hazard Severity</t>
        </r>
      </text>
    </comment>
    <comment ref="B84" authorId="0" shapeId="0" xr:uid="{00000000-0006-0000-0700-000048000000}">
      <text>
        <r>
          <rPr>
            <b/>
            <sz val="10"/>
            <color indexed="81"/>
            <rFont val="Arial Narrow"/>
            <family val="2"/>
          </rPr>
          <t>Mean particle size for solids in microns.</t>
        </r>
        <r>
          <rPr>
            <sz val="10"/>
            <color indexed="81"/>
            <rFont val="Tahoma"/>
            <family val="2"/>
          </rPr>
          <t xml:space="preserve">
</t>
        </r>
      </text>
    </comment>
    <comment ref="N84" authorId="0" shapeId="0" xr:uid="{00000000-0006-0000-0700-000045000000}">
      <text>
        <r>
          <rPr>
            <b/>
            <sz val="10"/>
            <color indexed="81"/>
            <rFont val="Arial Narrow"/>
            <family val="2"/>
          </rPr>
          <t>Categorized as Harmful, Toxic, Very Toxic per the European Risk Phases used for defining Hazard Severity</t>
        </r>
        <r>
          <rPr>
            <sz val="10"/>
            <color indexed="81"/>
            <rFont val="Tahoma"/>
            <family val="2"/>
          </rPr>
          <t xml:space="preserve">
</t>
        </r>
      </text>
    </comment>
    <comment ref="B85" authorId="0" shapeId="0" xr:uid="{00000000-0006-0000-0700-000049000000}">
      <text>
        <r>
          <rPr>
            <b/>
            <sz val="10"/>
            <color indexed="81"/>
            <rFont val="Arial Narrow"/>
            <family val="2"/>
          </rPr>
          <t>Particle size for 10% fraction.  Value is less than the mean Dust particle size.</t>
        </r>
      </text>
    </comment>
    <comment ref="B86" authorId="0" shapeId="0" xr:uid="{00000000-0006-0000-0700-00004A000000}">
      <text>
        <r>
          <rPr>
            <b/>
            <sz val="10"/>
            <color indexed="81"/>
            <rFont val="Arial Narrow"/>
            <family val="2"/>
          </rPr>
          <t>Points of Reference:
Human Static Discharge 1-20 mJ
Spark or Electric Arc 10-50 mJ
Mechanical Friction 10-100 mJ</t>
        </r>
        <r>
          <rPr>
            <sz val="10"/>
            <color indexed="81"/>
            <rFont val="Tahoma"/>
            <family val="2"/>
          </rPr>
          <t xml:space="preserve">
</t>
        </r>
      </text>
    </comment>
    <comment ref="B88" authorId="0" shapeId="0" xr:uid="{00000000-0006-0000-0700-00004B000000}">
      <text>
        <r>
          <rPr>
            <b/>
            <sz val="10"/>
            <color indexed="81"/>
            <rFont val="Arial Narrow"/>
            <family val="2"/>
          </rPr>
          <t>Emergency Response Planning Guideline - level 2 in ppm by volume</t>
        </r>
      </text>
    </comment>
    <comment ref="B89" authorId="0" shapeId="0" xr:uid="{00000000-0006-0000-0700-00004C000000}">
      <text>
        <r>
          <rPr>
            <b/>
            <sz val="10"/>
            <color indexed="81"/>
            <rFont val="Arial Narrow"/>
            <family val="2"/>
          </rPr>
          <t>Emergency Response Planning Guideline - level 2 in ppm by volume</t>
        </r>
      </text>
    </comment>
    <comment ref="B90" authorId="0" shapeId="0" xr:uid="{00000000-0006-0000-0700-00004D000000}">
      <text>
        <r>
          <rPr>
            <b/>
            <sz val="10"/>
            <color indexed="81"/>
            <rFont val="Arial Narrow"/>
            <family val="2"/>
          </rPr>
          <t>Emergency Response Planning Guideline - level 3 in ppm by volume</t>
        </r>
      </text>
    </comment>
    <comment ref="B94" authorId="0" shapeId="0" xr:uid="{00000000-0006-0000-0700-00004E000000}">
      <text>
        <r>
          <rPr>
            <b/>
            <sz val="10"/>
            <color indexed="81"/>
            <rFont val="Arial Narrow"/>
            <family val="2"/>
          </rPr>
          <t>Categorized as 0, 1, 2, 3, or 4 per NFPA 704 Hazard Rating.</t>
        </r>
        <r>
          <rPr>
            <sz val="10"/>
            <color indexed="81"/>
            <rFont val="Tahoma"/>
            <family val="2"/>
          </rPr>
          <t xml:space="preserve">
</t>
        </r>
      </text>
    </comment>
    <comment ref="B95" authorId="0" shapeId="0" xr:uid="{00000000-0006-0000-0700-00004F000000}">
      <text>
        <r>
          <rPr>
            <b/>
            <sz val="10"/>
            <color indexed="81"/>
            <rFont val="Arial Narrow"/>
            <family val="2"/>
          </rPr>
          <t>Categorized as 0, 1, 2, 3, or 4 per NFPA 704 Hazard Rating.</t>
        </r>
        <r>
          <rPr>
            <sz val="10"/>
            <color indexed="81"/>
            <rFont val="Tahoma"/>
            <family val="2"/>
          </rPr>
          <t xml:space="preserve">
</t>
        </r>
      </text>
    </comment>
    <comment ref="B96" authorId="0" shapeId="0" xr:uid="{00000000-0006-0000-0700-000050000000}">
      <text>
        <r>
          <rPr>
            <b/>
            <sz val="10"/>
            <color indexed="81"/>
            <rFont val="Arial Narrow"/>
            <family val="2"/>
          </rPr>
          <t>Categorized as 0, 1, 2, 3, or 4 per NFPA 704 Hazard Rating.</t>
        </r>
        <r>
          <rPr>
            <sz val="10"/>
            <color indexed="81"/>
            <rFont val="Tahoma"/>
            <family val="2"/>
          </rPr>
          <t xml:space="preserve">
</t>
        </r>
      </text>
    </comment>
    <comment ref="B97" authorId="0" shapeId="0" xr:uid="{00000000-0006-0000-0700-000051000000}">
      <text>
        <r>
          <rPr>
            <b/>
            <sz val="10"/>
            <color indexed="81"/>
            <rFont val="Arial Narrow"/>
            <family val="2"/>
          </rPr>
          <t>Categorized as Corrosive, Toxic, Very Toxic per the European Risk Phases or Globally Harmonized System (GHS)</t>
        </r>
        <r>
          <rPr>
            <sz val="10"/>
            <color indexed="81"/>
            <rFont val="Tahoma"/>
            <family val="2"/>
          </rPr>
          <t xml:space="preserve">
</t>
        </r>
      </text>
    </comment>
    <comment ref="B98" authorId="0" shapeId="0" xr:uid="{00000000-0006-0000-0700-000052000000}">
      <text>
        <r>
          <rPr>
            <b/>
            <sz val="10"/>
            <color indexed="81"/>
            <rFont val="Arial Narrow"/>
            <family val="2"/>
          </rPr>
          <t>Categorized as Harmful, Toxic, Very Toxic per the European Risk Phases or Globally Harmonized System (GHS)</t>
        </r>
        <r>
          <rPr>
            <sz val="10"/>
            <color indexed="81"/>
            <rFont val="Tahoma"/>
            <family val="2"/>
          </rPr>
          <t xml:space="preserve">
</t>
        </r>
      </text>
    </comment>
    <comment ref="B100" authorId="0" shapeId="0" xr:uid="{00000000-0006-0000-0700-000053000000}">
      <text>
        <r>
          <rPr>
            <b/>
            <sz val="10"/>
            <color indexed="81"/>
            <rFont val="Arial Narrow"/>
            <family val="2"/>
          </rPr>
          <t>Liquids having a conductivity exceeding 10,000 pico siemens/meter is "Conductive" and not likely build a static charge.  Liquids with conductivity less than 100 pico siemens per meter is considered "Non-Conductive".</t>
        </r>
        <r>
          <rPr>
            <sz val="10"/>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First</author>
    <author>u070091</author>
    <author>Kevin Hersey</author>
  </authors>
  <commentList>
    <comment ref="B5" authorId="0" shapeId="0" xr:uid="{00000000-0006-0000-0800-000001000000}">
      <text>
        <r>
          <rPr>
            <b/>
            <sz val="10"/>
            <color indexed="81"/>
            <rFont val="Arial Narrow"/>
            <family val="2"/>
          </rPr>
          <t xml:space="preserve">Each unique equipment tag defines a row of data within the Equipment Table.  Limit to 8-10 characters.
</t>
        </r>
      </text>
    </comment>
    <comment ref="B6" authorId="0" shapeId="0" xr:uid="{00000000-0006-0000-0800-000002000000}">
      <text>
        <r>
          <rPr>
            <b/>
            <sz val="10"/>
            <color indexed="81"/>
            <rFont val="Arial Narrow"/>
            <family val="2"/>
          </rPr>
          <t>Solids Handling Equipment is shown in Red Text.</t>
        </r>
        <r>
          <rPr>
            <sz val="10"/>
            <color indexed="81"/>
            <rFont val="Tahoma"/>
            <family val="2"/>
          </rPr>
          <t xml:space="preserve">
</t>
        </r>
      </text>
    </comment>
    <comment ref="B7" authorId="0" shapeId="0" xr:uid="{00000000-0006-0000-0800-000003000000}">
      <text>
        <r>
          <rPr>
            <b/>
            <sz val="10"/>
            <color indexed="81"/>
            <rFont val="Arial Narrow"/>
            <family val="2"/>
          </rPr>
          <t>Solids Handling Equipment is shown in Red Text.</t>
        </r>
        <r>
          <rPr>
            <sz val="10"/>
            <color indexed="81"/>
            <rFont val="Tahoma"/>
            <family val="2"/>
          </rPr>
          <t xml:space="preserve">
</t>
        </r>
      </text>
    </comment>
    <comment ref="B10" authorId="1" shapeId="0" xr:uid="{00000000-0006-0000-0800-000004000000}">
      <text>
        <r>
          <rPr>
            <b/>
            <sz val="10"/>
            <color indexed="81"/>
            <rFont val="Arial Narrow"/>
            <family val="2"/>
          </rPr>
          <t>Based on Total Volume (including heads) rather than "Working" Volume.  For pumps with associated piping, this volume includes the pump plus associated piping.</t>
        </r>
      </text>
    </comment>
    <comment ref="G10" authorId="0" shapeId="0" xr:uid="{00000000-0006-0000-0800-000005000000}">
      <text>
        <r>
          <rPr>
            <b/>
            <sz val="10"/>
            <color indexed="81"/>
            <rFont val="Arial Narrow"/>
            <family val="2"/>
          </rPr>
          <t>Approximate length for entire piping network in the same chemical service and operating conditions.</t>
        </r>
        <r>
          <rPr>
            <sz val="10"/>
            <color indexed="81"/>
            <rFont val="Arial Narrow"/>
            <family val="2"/>
          </rPr>
          <t xml:space="preserve">
(</t>
        </r>
        <r>
          <rPr>
            <b/>
            <i/>
            <sz val="10"/>
            <color indexed="81"/>
            <rFont val="Arial Narrow"/>
            <family val="2"/>
          </rPr>
          <t>The value is ONLY used for Piping or Pump Equipment Type to determine Mechanical Integrity Failure Frequency.)</t>
        </r>
      </text>
    </comment>
    <comment ref="B11" authorId="0" shapeId="0" xr:uid="{5A21B65F-FAB8-4ED1-BD57-A170ABC6E01A}">
      <text>
        <r>
          <rPr>
            <b/>
            <sz val="10"/>
            <color indexed="81"/>
            <rFont val="Arial Narrow"/>
            <family val="2"/>
          </rPr>
          <t>If maximum allowable working pressure (MAWP) is not known, design pressure should be used.</t>
        </r>
      </text>
    </comment>
    <comment ref="G11" authorId="0" shapeId="0" xr:uid="{00000000-0006-0000-0800-000006000000}">
      <text>
        <r>
          <rPr>
            <b/>
            <sz val="10"/>
            <color indexed="81"/>
            <rFont val="Arial Narrow"/>
            <family val="2"/>
          </rPr>
          <t>"Yes" implies potential for damage to piping from vehicle collision or major maintenance in area.</t>
        </r>
      </text>
    </comment>
    <comment ref="G12" authorId="0" shapeId="0" xr:uid="{00000000-0006-0000-0800-000007000000}">
      <text>
        <r>
          <rPr>
            <b/>
            <sz val="10"/>
            <color indexed="81"/>
            <rFont val="Arial Narrow"/>
            <family val="2"/>
          </rPr>
          <t>Screwed connections are more likely to fail than flanged connections.</t>
        </r>
        <r>
          <rPr>
            <sz val="10"/>
            <color indexed="81"/>
            <rFont val="Arial Narrow"/>
            <family val="2"/>
          </rPr>
          <t xml:space="preserve">
</t>
        </r>
        <r>
          <rPr>
            <b/>
            <sz val="10"/>
            <color indexed="81"/>
            <rFont val="Arial Narrow"/>
            <family val="2"/>
          </rPr>
          <t>Selecting a hole size reduces the initiating event frequency by 1 for Mechanical Integrity Failure scenarios up to the size selected.  It also increases the F&amp;EI score.</t>
        </r>
      </text>
    </comment>
    <comment ref="B13" authorId="1" shapeId="0" xr:uid="{00000000-0006-0000-0800-000008000000}">
      <text>
        <r>
          <rPr>
            <b/>
            <sz val="9"/>
            <color indexed="81"/>
            <rFont val="Tahoma"/>
            <family val="2"/>
          </rPr>
          <t>High Temperature where equipment failure may be possible at the normal operating pressure due to weakened material strength.</t>
        </r>
        <r>
          <rPr>
            <sz val="9"/>
            <color indexed="81"/>
            <rFont val="Tahoma"/>
            <family val="2"/>
          </rPr>
          <t xml:space="preserve">
</t>
        </r>
      </text>
    </comment>
    <comment ref="B14" authorId="1" shapeId="0" xr:uid="{00000000-0006-0000-0800-000009000000}">
      <text>
        <r>
          <rPr>
            <b/>
            <sz val="9"/>
            <color indexed="81"/>
            <rFont val="Tahoma"/>
            <family val="2"/>
          </rPr>
          <t>Low Temperature where equipment may fail upon stress or shock due to transition from ductile to brittle.  The can occur in carbon steel in the region of 0 C.</t>
        </r>
      </text>
    </comment>
    <comment ref="B15" authorId="1" shapeId="0" xr:uid="{00000000-0006-0000-0800-00000A000000}">
      <text>
        <r>
          <rPr>
            <b/>
            <sz val="10"/>
            <color indexed="81"/>
            <rFont val="Arial Narrow"/>
            <family val="2"/>
          </rPr>
          <t>Size of largest nozzle with attached piping (below the liquid level if liquid containing vessel or equipment).  This represent the largest practical hole size for nozzle failure</t>
        </r>
        <r>
          <rPr>
            <b/>
            <sz val="9"/>
            <color indexed="81"/>
            <rFont val="Tahoma"/>
            <family val="2"/>
          </rPr>
          <t>.</t>
        </r>
        <r>
          <rPr>
            <sz val="9"/>
            <color indexed="81"/>
            <rFont val="Tahoma"/>
            <family val="2"/>
          </rPr>
          <t xml:space="preserve">
</t>
        </r>
      </text>
    </comment>
    <comment ref="G16" authorId="0" shapeId="0" xr:uid="{00000000-0006-0000-0800-00000B000000}">
      <text>
        <r>
          <rPr>
            <b/>
            <sz val="10"/>
            <color indexed="81"/>
            <rFont val="Arial Narrow"/>
            <family val="2"/>
          </rPr>
          <t>Single Mechanical, Double Mechanical, Canned or Magnetic Drive.</t>
        </r>
        <r>
          <rPr>
            <sz val="10"/>
            <color indexed="81"/>
            <rFont val="Tahoma"/>
            <family val="2"/>
          </rPr>
          <t xml:space="preserve">
</t>
        </r>
      </text>
    </comment>
    <comment ref="B17" authorId="2" shapeId="0" xr:uid="{00000000-0006-0000-0800-00000C000000}">
      <text>
        <r>
          <rPr>
            <b/>
            <sz val="10"/>
            <color indexed="81"/>
            <rFont val="Arial Narrow"/>
            <family val="2"/>
          </rPr>
          <t>This input affects the initiating event factor for mechanical integrity scenarios.  A penalty is taken if the conditions for Corrosion Under Insulation (CUI) potential exist  i.e. equipment is insulated and material of construction versus operating temperature is as follows:
For stainless steel, CUI potential exists if temperature is between 65 C and 205 C.  Unless material is Non Metallic (FRP, etc.) or Corrosion Resistant Alloy, CUI potential exists if temperature is between -4 C and 120 C.
In addition, Cast Iron, Graphite or Ceramic, or Other Brittle Material are considered "Brittle" for equipment rupture which significantly increases the likelihood of being struck by fragments.</t>
        </r>
      </text>
    </comment>
    <comment ref="G17" authorId="0" shapeId="0" xr:uid="{00000000-0006-0000-0800-00000D000000}">
      <text>
        <r>
          <rPr>
            <b/>
            <sz val="10"/>
            <color indexed="81"/>
            <rFont val="Arial Narrow"/>
            <family val="2"/>
          </rPr>
          <t>Use of "Jog, Off, Automatic" field switch that is located at least 10 ft away from equipment.</t>
        </r>
        <r>
          <rPr>
            <sz val="10"/>
            <color indexed="81"/>
            <rFont val="Tahoma"/>
            <family val="2"/>
          </rPr>
          <t xml:space="preserve">
</t>
        </r>
      </text>
    </comment>
    <comment ref="B18" authorId="0" shapeId="0" xr:uid="{00000000-0006-0000-0800-00000E000000}">
      <text>
        <r>
          <rPr>
            <b/>
            <sz val="10"/>
            <color indexed="81"/>
            <rFont val="Arial Narrow"/>
            <family val="2"/>
          </rPr>
          <t>This is a very rough estimate based on volume and MAWP assuming Carbon Steel construction and is not used within the tool.  To include equipment mass in the estimated heat up time requires the mass to be input.</t>
        </r>
      </text>
    </comment>
    <comment ref="G18" authorId="0" shapeId="0" xr:uid="{00000000-0006-0000-0800-00000F000000}">
      <text>
        <r>
          <rPr>
            <b/>
            <sz val="10"/>
            <color indexed="81"/>
            <rFont val="Arial Narrow"/>
            <family val="2"/>
          </rPr>
          <t>Yes if automated suction and discharge valves exist on pump and loss of instrument air would be a cause for pump deadhead.</t>
        </r>
      </text>
    </comment>
    <comment ref="B19" authorId="0" shapeId="0" xr:uid="{00000000-0006-0000-0800-000010000000}">
      <text>
        <r>
          <rPr>
            <b/>
            <sz val="10"/>
            <color indexed="81"/>
            <rFont val="Arial Narrow"/>
            <family val="2"/>
          </rPr>
          <t>Equipment Mass will be used in estimating heat-up time.  Leaving blank will give a conservative result.  An estimate for the mass of a pump is already included correlated to pump inlet diameter.</t>
        </r>
      </text>
    </comment>
    <comment ref="B20" authorId="0" shapeId="0" xr:uid="{00000000-0006-0000-0800-000011000000}">
      <text>
        <r>
          <rPr>
            <b/>
            <sz val="10"/>
            <color indexed="81"/>
            <rFont val="Arial Narrow"/>
            <family val="2"/>
          </rPr>
          <t xml:space="preserve">Corrosive Service (such as strong acids) or Potential for Chloride Stress Cracking increases the likelihood for Leaks and Failures.  </t>
        </r>
      </text>
    </comment>
    <comment ref="B21" authorId="0" shapeId="0" xr:uid="{00000000-0006-0000-0800-000012000000}">
      <text>
        <r>
          <rPr>
            <b/>
            <sz val="10"/>
            <color indexed="81"/>
            <rFont val="Arial Narrow"/>
            <family val="2"/>
          </rPr>
          <t>Potential for severe vibration that might result in metal fatigue - results in a small hole size leak to represent "crack" in larger piping or "breakage" of small branches.</t>
        </r>
      </text>
    </comment>
    <comment ref="B22" authorId="0" shapeId="0" xr:uid="{00000000-0006-0000-0800-000013000000}">
      <text>
        <r>
          <rPr>
            <b/>
            <sz val="10"/>
            <color indexed="81"/>
            <rFont val="Arial Narrow"/>
            <family val="2"/>
          </rPr>
          <t>This may be used to represent the agitator or circulating pump for tanks or vessels where the Physical State is not VAPOR.  It may also represent an electric heater for Heat Exchangers ONLY.  An overall "inefficiency" of 50% (power resulting in heat) is assumed which is conservative for pumps and agitators but optimistic for electric heaters.  For pumps, with a hydraulic efficiency of 0.6 with electric motor of 0.9 efficient exactly matched to the required hydraulic power, the thermal inefficiency would be roughly (1-0.6) 0.9 = 0.36 rather than 0.5.  The user may need to adjust the power input to for improved estimates of maximum mechanical energy temperature.</t>
        </r>
        <r>
          <rPr>
            <sz val="10"/>
            <color indexed="81"/>
            <rFont val="Arial Narrow"/>
            <family val="2"/>
          </rPr>
          <t xml:space="preserve">
</t>
        </r>
      </text>
    </comment>
    <comment ref="B23" authorId="0" shapeId="0" xr:uid="{00000000-0006-0000-0800-000014000000}">
      <text>
        <r>
          <rPr>
            <b/>
            <sz val="10"/>
            <color indexed="81"/>
            <rFont val="Arial Narrow"/>
            <family val="2"/>
          </rPr>
          <t>Use "fireproof" for fire resistant insulation for reduction in fire heat input pre NFPA or API estimates.  A blank or "no" is interpreted as no insulation.</t>
        </r>
        <r>
          <rPr>
            <sz val="10"/>
            <color indexed="81"/>
            <rFont val="Arial Narrow"/>
            <family val="2"/>
          </rPr>
          <t xml:space="preserve">
</t>
        </r>
      </text>
    </comment>
    <comment ref="B24" authorId="1" shapeId="0" xr:uid="{00000000-0006-0000-0800-000015000000}">
      <text>
        <r>
          <rPr>
            <b/>
            <sz val="10"/>
            <color indexed="81"/>
            <rFont val="Arial Narrow"/>
            <family val="2"/>
          </rPr>
          <t>This is a reduction factor which will be multiplied by the heat transfer coefficient to account for insulation.  It will default to a value of 0.05 if not entered.  This will also be used for the Environmental Factor for use in API 521 Fire Heat Input estimates.  The input value is limited to between 0.025 and 1 (where 1 represents no reduction in heat transfer rate from insulation).</t>
        </r>
        <r>
          <rPr>
            <sz val="9"/>
            <color indexed="81"/>
            <rFont val="Tahoma"/>
            <family val="2"/>
          </rPr>
          <t xml:space="preserve">
</t>
        </r>
      </text>
    </comment>
    <comment ref="B25" authorId="0" shapeId="0" xr:uid="{00000000-0006-0000-0800-000016000000}">
      <text>
        <r>
          <rPr>
            <b/>
            <sz val="10"/>
            <color indexed="81"/>
            <rFont val="Arial Narrow"/>
            <family val="2"/>
          </rPr>
          <t>This is used to indicate the potential for Thermal Expansion for Liquid Full Piping and Equipment.</t>
        </r>
      </text>
    </comment>
    <comment ref="B26" authorId="0" shapeId="0" xr:uid="{00000000-0006-0000-0800-000017000000}">
      <text>
        <r>
          <rPr>
            <b/>
            <sz val="10"/>
            <color indexed="81"/>
            <rFont val="Arial Narrow"/>
            <family val="2"/>
          </rPr>
          <t>The Estimated Wetted Area is approximately 5 times Volume^2/3 in the same length units for vessels or tanks.  Example:  A vessel of 1000 cu ft volume has a Max Wetted Surface Area of roughly 400 sq ft.  Wetted surface is underestimated for vessels with height or length &gt;&gt; diameter.</t>
        </r>
      </text>
    </comment>
    <comment ref="B27" authorId="0" shapeId="0" xr:uid="{00000000-0006-0000-0800-000018000000}">
      <text>
        <r>
          <rPr>
            <b/>
            <sz val="10"/>
            <color indexed="81"/>
            <rFont val="Arial Narrow"/>
            <family val="2"/>
          </rPr>
          <t>An entered equipment max. wetted area will override the estimated value.  The estimate will be used if this input if left blank.</t>
        </r>
      </text>
    </comment>
    <comment ref="G27" authorId="1" shapeId="0" xr:uid="{00000000-0006-0000-0800-000019000000}">
      <text>
        <r>
          <rPr>
            <b/>
            <sz val="9"/>
            <color indexed="81"/>
            <rFont val="Tahoma"/>
            <family val="2"/>
          </rPr>
          <t>Used for determining  Business Loss Consequence.</t>
        </r>
        <r>
          <rPr>
            <sz val="9"/>
            <color indexed="81"/>
            <rFont val="Tahoma"/>
            <family val="2"/>
          </rPr>
          <t xml:space="preserve">
</t>
        </r>
      </text>
    </comment>
    <comment ref="B28" authorId="1" shapeId="0" xr:uid="{00000000-0006-0000-0800-00001A000000}">
      <text>
        <r>
          <rPr>
            <b/>
            <sz val="10"/>
            <color indexed="81"/>
            <rFont val="Arial Narrow"/>
            <family val="2"/>
          </rPr>
          <t>Vertical distance a liquid release would travel to reach a surface where liquid would form a pool.  If left blank, an elevation of 1 m is used.
This input is used in the following calculations: 
 a) evaporation from droplets generated by a liquid release 
 b) liquid spray distance
 c) heat input from pool fire.</t>
        </r>
      </text>
    </comment>
    <comment ref="B29" authorId="0" shapeId="0" xr:uid="{00000000-0006-0000-0800-00001B000000}">
      <text>
        <r>
          <rPr>
            <b/>
            <sz val="10"/>
            <color indexed="81"/>
            <rFont val="Arial Narrow"/>
            <family val="2"/>
          </rPr>
          <t xml:space="preserve">Equivalent hole diameter of drain or vent valve.  Drain release is assumed downward and impinging on the ground such that there is no "spray" or aerosol evaporation.  Consider if valve is not "full bore".  If blank a standard 3/4 inch plug valve with 1/2 inch bore (small hole size) is assumed </t>
        </r>
        <r>
          <rPr>
            <b/>
            <i/>
            <sz val="10"/>
            <color indexed="81"/>
            <rFont val="Arial Narrow"/>
            <family val="2"/>
          </rPr>
          <t xml:space="preserve">with </t>
        </r>
        <r>
          <rPr>
            <b/>
            <sz val="10"/>
            <color indexed="81"/>
            <rFont val="Arial Narrow"/>
            <family val="2"/>
          </rPr>
          <t>aerosol evaporation.</t>
        </r>
      </text>
    </comment>
    <comment ref="G29" authorId="1" shapeId="0" xr:uid="{00000000-0006-0000-0800-00001C000000}">
      <text>
        <r>
          <rPr>
            <b/>
            <sz val="10"/>
            <color indexed="81"/>
            <rFont val="Arial Narrow"/>
            <family val="2"/>
          </rPr>
          <t>Used in determining the Probability of Ignition for Solids Handling Equipment.  For this purpose, "Yes" implies a Maximum Tip Speed &gt; 9.5 m/sec</t>
        </r>
        <r>
          <rPr>
            <sz val="9"/>
            <color indexed="81"/>
            <rFont val="Tahoma"/>
            <family val="2"/>
          </rPr>
          <t xml:space="preserve">
</t>
        </r>
      </text>
    </comment>
    <comment ref="G30" authorId="1" shapeId="0" xr:uid="{00000000-0006-0000-0800-00001D000000}">
      <text>
        <r>
          <rPr>
            <b/>
            <sz val="10"/>
            <color indexed="81"/>
            <rFont val="Arial Narrow"/>
            <family val="2"/>
          </rPr>
          <t>Bellows or Expansion Joint is more likely to fail than other components.  Used in F&amp;EI.</t>
        </r>
        <r>
          <rPr>
            <sz val="9"/>
            <color indexed="81"/>
            <rFont val="Tahoma"/>
            <family val="2"/>
          </rPr>
          <t xml:space="preserve">
</t>
        </r>
      </text>
    </comment>
    <comment ref="G31" authorId="0" shapeId="0" xr:uid="{00000000-0006-0000-0800-00001E000000}">
      <text>
        <r>
          <rPr>
            <b/>
            <sz val="10"/>
            <color indexed="81"/>
            <rFont val="Arial Narrow"/>
            <family val="2"/>
          </rPr>
          <t>Sight Glass are more likely to fail than other flanged fittings.</t>
        </r>
        <r>
          <rPr>
            <sz val="10"/>
            <color indexed="81"/>
            <rFont val="Arial Narrow"/>
            <family val="2"/>
          </rPr>
          <t xml:space="preserve">
</t>
        </r>
      </text>
    </comment>
    <comment ref="B32" authorId="1" shapeId="0" xr:uid="{00000000-0006-0000-0800-00001F000000}">
      <text>
        <r>
          <rPr>
            <b/>
            <sz val="10"/>
            <color indexed="81"/>
            <rFont val="Arial Narrow"/>
            <family val="2"/>
          </rPr>
          <t>Enter if the vessel is horizontal, vertical, flat bottom" and/or "anchored" to improve estimation of surface area and Rupture pressure.</t>
        </r>
      </text>
    </comment>
    <comment ref="B33" authorId="1" shapeId="0" xr:uid="{00000000-0006-0000-0800-000020000000}">
      <text>
        <r>
          <rPr>
            <b/>
            <sz val="10"/>
            <color indexed="81"/>
            <rFont val="Arial Narrow"/>
            <family val="2"/>
          </rPr>
          <t>Tank must be anchored to credit Weak Seam Roof.</t>
        </r>
        <r>
          <rPr>
            <sz val="9"/>
            <color indexed="81"/>
            <rFont val="Tahoma"/>
            <family val="2"/>
          </rPr>
          <t xml:space="preserve">
</t>
        </r>
      </text>
    </comment>
    <comment ref="B34" authorId="1" shapeId="0" xr:uid="{00000000-0006-0000-0800-000021000000}">
      <text>
        <r>
          <rPr>
            <b/>
            <sz val="9"/>
            <color indexed="81"/>
            <rFont val="Arial Narrow"/>
            <family val="2"/>
          </rPr>
          <t>Considered as Storage per API 521 and OSHA 1910.  Input for F&amp;EI and in determining fire heat input.</t>
        </r>
      </text>
    </comment>
    <comment ref="G36" authorId="1" shapeId="0" xr:uid="{00000000-0006-0000-0800-000022000000}">
      <text>
        <r>
          <rPr>
            <b/>
            <sz val="10"/>
            <color indexed="81"/>
            <rFont val="Arial Narrow"/>
            <family val="2"/>
          </rPr>
          <t>for Two-Phase releases, discharge to Vent Header with Blow-down Tank and Scrubber or Containment assumes disengagement of liquid occurs prior to release to the atmosphere.  Vents from Treatment Devices are assumed Upwards.</t>
        </r>
      </text>
    </comment>
    <comment ref="G37" authorId="0" shapeId="0" xr:uid="{00000000-0006-0000-0800-000023000000}">
      <text>
        <r>
          <rPr>
            <b/>
            <sz val="10"/>
            <color indexed="81"/>
            <rFont val="Arial Narrow"/>
            <family val="2"/>
          </rPr>
          <t>Enter Relief Set Pressure if a Relief Device is utilize with the equipment or piping.  Leave blank if no device is utilized.</t>
        </r>
        <r>
          <rPr>
            <sz val="10"/>
            <color indexed="81"/>
            <rFont val="Tahoma"/>
            <family val="2"/>
          </rPr>
          <t xml:space="preserve">
</t>
        </r>
      </text>
    </comment>
    <comment ref="G38" authorId="0" shapeId="0" xr:uid="{00000000-0006-0000-0800-000024000000}">
      <text>
        <r>
          <rPr>
            <b/>
            <sz val="10"/>
            <color indexed="81"/>
            <rFont val="Arial Narrow"/>
            <family val="2"/>
          </rPr>
          <t>Orifice diameter if a safety valve or disk diameter if a rupture disk.</t>
        </r>
        <r>
          <rPr>
            <sz val="10"/>
            <color indexed="81"/>
            <rFont val="Tahoma"/>
            <family val="2"/>
          </rPr>
          <t xml:space="preserve">
</t>
        </r>
      </text>
    </comment>
    <comment ref="B39" authorId="0" shapeId="0" xr:uid="{00000000-0006-0000-0800-000025000000}">
      <text>
        <r>
          <rPr>
            <b/>
            <sz val="10"/>
            <color indexed="81"/>
            <rFont val="Arial Narrow"/>
            <family val="2"/>
          </rPr>
          <t>100 BTU/hr ft</t>
        </r>
        <r>
          <rPr>
            <b/>
            <vertAlign val="superscript"/>
            <sz val="10"/>
            <color indexed="81"/>
            <rFont val="Arial Narrow"/>
            <family val="2"/>
          </rPr>
          <t>2 o</t>
        </r>
        <r>
          <rPr>
            <b/>
            <sz val="10"/>
            <color indexed="81"/>
            <rFont val="Arial Narrow"/>
            <family val="2"/>
          </rPr>
          <t>F = 0.57 KWatt / m</t>
        </r>
        <r>
          <rPr>
            <b/>
            <vertAlign val="superscript"/>
            <sz val="10"/>
            <color indexed="81"/>
            <rFont val="Arial Narrow"/>
            <family val="2"/>
          </rPr>
          <t>2 o</t>
        </r>
        <r>
          <rPr>
            <b/>
            <sz val="10"/>
            <color indexed="81"/>
            <rFont val="Arial Narrow"/>
            <family val="2"/>
          </rPr>
          <t>C
  = 490 Kcal/m</t>
        </r>
        <r>
          <rPr>
            <b/>
            <vertAlign val="superscript"/>
            <sz val="10"/>
            <color indexed="81"/>
            <rFont val="Arial Narrow"/>
            <family val="2"/>
          </rPr>
          <t xml:space="preserve">2 </t>
        </r>
        <r>
          <rPr>
            <b/>
            <sz val="10"/>
            <color indexed="81"/>
            <rFont val="Arial Narrow"/>
            <family val="2"/>
          </rPr>
          <t>C</t>
        </r>
        <r>
          <rPr>
            <b/>
            <sz val="10"/>
            <color indexed="81"/>
            <rFont val="Tahoma"/>
            <family val="2"/>
          </rPr>
          <t xml:space="preserve">
</t>
        </r>
        <r>
          <rPr>
            <b/>
            <u/>
            <sz val="10"/>
            <color indexed="81"/>
            <rFont val="Arial Narrow"/>
            <family val="2"/>
          </rPr>
          <t>Typical Values (in BTU/hr ft</t>
        </r>
        <r>
          <rPr>
            <b/>
            <u/>
            <vertAlign val="superscript"/>
            <sz val="10"/>
            <color indexed="81"/>
            <rFont val="Arial Narrow"/>
            <family val="2"/>
          </rPr>
          <t xml:space="preserve">2 </t>
        </r>
        <r>
          <rPr>
            <b/>
            <u/>
            <sz val="10"/>
            <color indexed="81"/>
            <rFont val="Arial Narrow"/>
            <family val="2"/>
          </rPr>
          <t>F):</t>
        </r>
        <r>
          <rPr>
            <b/>
            <sz val="10"/>
            <color indexed="81"/>
            <rFont val="Arial Narrow"/>
            <family val="2"/>
          </rPr>
          <t xml:space="preserve">
  Natural Convection Loss ~ 2
  Nat Convection with 1" Insulation ~ 0.2
  Shell and Tube,  50-150
  Jacket Heating/Cooling, 30-50
  Condensing without Inerts, 50-200</t>
        </r>
      </text>
    </comment>
    <comment ref="G39" authorId="1" shapeId="0" xr:uid="{00000000-0006-0000-0800-000026000000}">
      <text>
        <r>
          <rPr>
            <b/>
            <sz val="9"/>
            <color indexed="81"/>
            <rFont val="Tahoma"/>
            <family val="2"/>
          </rPr>
          <t>Calculated Actual Relief Device Flowrate For the Vapor Composition per the Chemical Data Input.</t>
        </r>
      </text>
    </comment>
    <comment ref="B40" authorId="0" shapeId="0" xr:uid="{00000000-0006-0000-0800-000027000000}">
      <text>
        <r>
          <rPr>
            <b/>
            <sz val="10"/>
            <color indexed="81"/>
            <rFont val="Arial Narrow"/>
            <family val="2"/>
          </rPr>
          <t>Heating Media Temperature would normally be a maximum temperature of heat transfer fluid.</t>
        </r>
        <r>
          <rPr>
            <sz val="10"/>
            <color indexed="81"/>
            <rFont val="Arial Narrow"/>
            <family val="2"/>
          </rPr>
          <t xml:space="preserve">
</t>
        </r>
      </text>
    </comment>
    <comment ref="G40" authorId="1" shapeId="0" xr:uid="{00000000-0006-0000-0800-000028000000}">
      <text>
        <r>
          <rPr>
            <b/>
            <sz val="10"/>
            <color indexed="81"/>
            <rFont val="Arial Narrow"/>
            <family val="2"/>
          </rPr>
          <t>Represents the Treatment Device Vent Diameter if venting to a Treatment Device, otherwise Relief Tail Pipe Diameter.</t>
        </r>
      </text>
    </comment>
    <comment ref="G41" authorId="0" shapeId="0" xr:uid="{00000000-0006-0000-0800-000029000000}">
      <text>
        <r>
          <rPr>
            <b/>
            <sz val="10"/>
            <color indexed="81"/>
            <rFont val="Arial Narrow"/>
            <family val="2"/>
          </rPr>
          <t>Release Elevation above ground for relief device, scrubber, flare, etc.</t>
        </r>
        <r>
          <rPr>
            <sz val="10"/>
            <color indexed="81"/>
            <rFont val="Tahoma"/>
            <family val="2"/>
          </rPr>
          <t xml:space="preserve">
</t>
        </r>
      </text>
    </comment>
    <comment ref="B42" authorId="1" shapeId="0" xr:uid="{00000000-0006-0000-0800-00002A000000}">
      <text>
        <r>
          <rPr>
            <b/>
            <sz val="10"/>
            <color indexed="81"/>
            <rFont val="Arial Narrow"/>
            <family val="2"/>
          </rPr>
          <t>Should be answered "Yes" if tube failure will result in a release to atmosphere.</t>
        </r>
      </text>
    </comment>
    <comment ref="G42" authorId="1" shapeId="0" xr:uid="{00000000-0006-0000-0800-00002B000000}">
      <text>
        <r>
          <rPr>
            <b/>
            <sz val="10"/>
            <color indexed="81"/>
            <rFont val="Arial Narrow"/>
            <family val="2"/>
          </rPr>
          <t>Distance to the unrestricted work area nearest to the relief device discharge.</t>
        </r>
      </text>
    </comment>
    <comment ref="G43" authorId="1" shapeId="0" xr:uid="{00000000-0006-0000-0800-00002C000000}">
      <text>
        <r>
          <rPr>
            <b/>
            <sz val="10"/>
            <color indexed="81"/>
            <rFont val="Arial Narrow"/>
            <family val="2"/>
          </rPr>
          <t>Furthest Distance to the elevated unrestricted work area nearest to the relief device discharge for large elevated work areas.</t>
        </r>
      </text>
    </comment>
    <comment ref="G44" authorId="1" shapeId="0" xr:uid="{00000000-0006-0000-0800-00002D000000}">
      <text>
        <r>
          <rPr>
            <b/>
            <sz val="10"/>
            <color indexed="81"/>
            <rFont val="Arial Narrow"/>
            <family val="2"/>
          </rPr>
          <t>Elevation of unrestricted work area nearest to the relief device discharge above ground.  Work elevation assumed same as release if blank.</t>
        </r>
        <r>
          <rPr>
            <sz val="9"/>
            <color indexed="81"/>
            <rFont val="Tahoma"/>
            <family val="2"/>
          </rPr>
          <t xml:space="preserve">
</t>
        </r>
      </text>
    </comment>
    <comment ref="B45" authorId="1" shapeId="0" xr:uid="{00000000-0006-0000-0800-00002E000000}">
      <text>
        <r>
          <rPr>
            <b/>
            <sz val="9"/>
            <color indexed="81"/>
            <rFont val="Tahoma"/>
            <family val="2"/>
          </rPr>
          <t>Used only to improve F&amp;EI value</t>
        </r>
        <r>
          <rPr>
            <sz val="9"/>
            <color indexed="81"/>
            <rFont val="Tahoma"/>
            <family val="2"/>
          </rPr>
          <t xml:space="preserve">
</t>
        </r>
      </text>
    </comment>
    <comment ref="B46" authorId="1" shapeId="0" xr:uid="{00000000-0006-0000-0800-00002F000000}">
      <text>
        <r>
          <rPr>
            <b/>
            <sz val="10"/>
            <color indexed="81"/>
            <rFont val="Arial Narrow"/>
            <family val="2"/>
          </rPr>
          <t>Leave Blank if not a Shell and Tube Exchanger such as a jacket.</t>
        </r>
        <r>
          <rPr>
            <sz val="9"/>
            <color indexed="81"/>
            <rFont val="Tahoma"/>
            <family val="2"/>
          </rPr>
          <t xml:space="preserve">
</t>
        </r>
      </text>
    </comment>
    <comment ref="G46" authorId="0" shapeId="0" xr:uid="{00000000-0006-0000-0800-000030000000}">
      <text>
        <r>
          <rPr>
            <b/>
            <sz val="10"/>
            <color indexed="81"/>
            <rFont val="Arial Narrow"/>
            <family val="2"/>
          </rPr>
          <t>Shortest distance to the public irrespective of the population at this location.</t>
        </r>
        <r>
          <rPr>
            <sz val="10"/>
            <color indexed="81"/>
            <rFont val="Tahoma"/>
            <family val="2"/>
          </rPr>
          <t xml:space="preserve">
</t>
        </r>
        <r>
          <rPr>
            <b/>
            <i/>
            <sz val="10"/>
            <color indexed="81"/>
            <rFont val="Arial Narrow"/>
            <family val="2"/>
          </rPr>
          <t>Defaults to equipment Distance if blank</t>
        </r>
      </text>
    </comment>
    <comment ref="G47" authorId="0" shapeId="0" xr:uid="{00000000-0006-0000-0800-000031000000}">
      <text>
        <r>
          <rPr>
            <b/>
            <sz val="10"/>
            <color indexed="81"/>
            <rFont val="Arial Narrow"/>
            <family val="2"/>
          </rPr>
          <t xml:space="preserve">Shortest distance to the nearest building with a significant number of occupants.  If Indoor facility, it represents distance from the equipment to an occupied area such as a Control Room, Shop, etc.  </t>
        </r>
        <r>
          <rPr>
            <b/>
            <i/>
            <sz val="10"/>
            <color indexed="81"/>
            <rFont val="Arial Narrow"/>
            <family val="2"/>
          </rPr>
          <t>Defaults to equipment Distance if blank</t>
        </r>
      </text>
    </comment>
    <comment ref="G48" authorId="0" shapeId="0" xr:uid="{00000000-0006-0000-0800-000032000000}">
      <text>
        <r>
          <rPr>
            <b/>
            <sz val="10"/>
            <color indexed="81"/>
            <rFont val="Arial Narrow"/>
            <family val="2"/>
          </rPr>
          <t xml:space="preserve">Shortest distance to the nearest building with a significant number of occupants.  If Indoor facility, it represents distance from the equipment to an occupied area such as a Control Room, Shop, etc.  </t>
        </r>
        <r>
          <rPr>
            <b/>
            <i/>
            <sz val="10"/>
            <color indexed="81"/>
            <rFont val="Arial Narrow"/>
            <family val="2"/>
          </rPr>
          <t>Defaults to equipment Distance if blank</t>
        </r>
      </text>
    </comment>
    <comment ref="G49" authorId="1" shapeId="0" xr:uid="{00000000-0006-0000-0800-000033000000}">
      <text>
        <r>
          <rPr>
            <b/>
            <sz val="9"/>
            <color indexed="81"/>
            <rFont val="Tahoma"/>
            <family val="2"/>
          </rPr>
          <t>Will be used to determine if both occupied buildings are impacted by the same outdoor hazardous chemical release.</t>
        </r>
        <r>
          <rPr>
            <sz val="9"/>
            <color indexed="81"/>
            <rFont val="Tahoma"/>
            <family val="2"/>
          </rPr>
          <t xml:space="preserve">
</t>
        </r>
      </text>
    </comment>
    <comment ref="G50" authorId="0" shapeId="0" xr:uid="{00000000-0006-0000-0800-000034000000}">
      <text>
        <r>
          <rPr>
            <b/>
            <sz val="10"/>
            <color indexed="81"/>
            <rFont val="Arial Narrow"/>
            <family val="2"/>
          </rPr>
          <t xml:space="preserve">A second occupied building may be entered.  Building Ventilation Elevation corrections are not included for Toxic Impacts to this building.  This second building should also be in the same wind direction as the primary occupied building if the equipment is located outdoors.  </t>
        </r>
        <r>
          <rPr>
            <b/>
            <i/>
            <sz val="10"/>
            <color indexed="81"/>
            <rFont val="Arial Narrow"/>
            <family val="2"/>
          </rPr>
          <t>Defaults to equipment Distance if blank</t>
        </r>
        <r>
          <rPr>
            <sz val="10"/>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First</author>
  </authors>
  <commentList>
    <comment ref="B10" authorId="0" shapeId="0" xr:uid="{00000000-0006-0000-0900-000001000000}">
      <text>
        <r>
          <rPr>
            <b/>
            <sz val="8"/>
            <color indexed="81"/>
            <rFont val="Tahoma"/>
            <family val="2"/>
          </rPr>
          <t>ln P = A - B/(T + 273 - C)  (atm and T in deg C)</t>
        </r>
      </text>
    </comment>
    <comment ref="B11" authorId="0" shapeId="0" xr:uid="{00000000-0006-0000-0900-000002000000}">
      <text>
        <r>
          <rPr>
            <b/>
            <sz val="8"/>
            <color indexed="81"/>
            <rFont val="Tahoma"/>
            <family val="2"/>
          </rPr>
          <t>ln P = A - B/(T - 273 + C)  (atm and T in deg C)</t>
        </r>
      </text>
    </comment>
    <comment ref="B12" authorId="0" shapeId="0" xr:uid="{00000000-0006-0000-0900-000003000000}">
      <text>
        <r>
          <rPr>
            <b/>
            <sz val="8"/>
            <color indexed="81"/>
            <rFont val="Tahoma"/>
            <family val="2"/>
          </rPr>
          <t>ln P = A - B/(T + 273 - C)  (atm and T in deg C).  For only 2 data points, C is set to 43 which represents the Cox-Antoine equation.</t>
        </r>
      </text>
    </comment>
    <comment ref="B13" authorId="0" shapeId="0" xr:uid="{00000000-0006-0000-0900-000004000000}">
      <text>
        <r>
          <rPr>
            <b/>
            <sz val="8"/>
            <color indexed="81"/>
            <rFont val="Symbol"/>
            <family val="1"/>
            <charset val="2"/>
          </rPr>
          <t>r</t>
        </r>
        <r>
          <rPr>
            <b/>
            <sz val="8"/>
            <color indexed="81"/>
            <rFont val="Tahoma"/>
            <family val="2"/>
          </rPr>
          <t xml:space="preserve"> = A - B T (gm/ml and T in deg C)</t>
        </r>
      </text>
    </comment>
    <comment ref="B14" authorId="0" shapeId="0" xr:uid="{00000000-0006-0000-0900-000005000000}">
      <text>
        <r>
          <rPr>
            <b/>
            <sz val="8"/>
            <color indexed="81"/>
            <rFont val="Symbol"/>
            <family val="1"/>
            <charset val="2"/>
          </rPr>
          <t>r</t>
        </r>
        <r>
          <rPr>
            <b/>
            <sz val="8"/>
            <color indexed="81"/>
            <rFont val="Tahoma"/>
            <family val="2"/>
          </rPr>
          <t xml:space="preserve"> = A - B T (gm/ml and T in deg C)</t>
        </r>
      </text>
    </comment>
    <comment ref="B15" authorId="0" shapeId="0" xr:uid="{00000000-0006-0000-0900-000006000000}">
      <text>
        <r>
          <rPr>
            <b/>
            <sz val="8"/>
            <color indexed="81"/>
            <rFont val="Tahoma"/>
            <family val="2"/>
          </rPr>
          <t>Cs = A + B T (cal/gm</t>
        </r>
        <r>
          <rPr>
            <b/>
            <vertAlign val="superscript"/>
            <sz val="8"/>
            <color indexed="81"/>
            <rFont val="Tahoma"/>
            <family val="2"/>
          </rPr>
          <t>o</t>
        </r>
        <r>
          <rPr>
            <b/>
            <sz val="8"/>
            <color indexed="81"/>
            <rFont val="Tahoma"/>
            <family val="2"/>
          </rPr>
          <t>C and T in deg C)</t>
        </r>
      </text>
    </comment>
    <comment ref="B16" authorId="0" shapeId="0" xr:uid="{00000000-0006-0000-0900-000007000000}">
      <text>
        <r>
          <rPr>
            <b/>
            <sz val="8"/>
            <color indexed="81"/>
            <rFont val="Tahoma"/>
            <family val="2"/>
          </rPr>
          <t>Cs = A + B T (cal/gm</t>
        </r>
        <r>
          <rPr>
            <b/>
            <vertAlign val="superscript"/>
            <sz val="8"/>
            <color indexed="81"/>
            <rFont val="Tahoma"/>
            <family val="2"/>
          </rPr>
          <t>o</t>
        </r>
        <r>
          <rPr>
            <b/>
            <sz val="8"/>
            <color indexed="81"/>
            <rFont val="Tahoma"/>
            <family val="2"/>
          </rPr>
          <t>C and T in deg C)</t>
        </r>
      </text>
    </comment>
    <comment ref="B17" authorId="0" shapeId="0" xr:uid="{00000000-0006-0000-0900-000008000000}">
      <text>
        <r>
          <rPr>
            <b/>
            <sz val="8"/>
            <color indexed="81"/>
            <rFont val="Symbol"/>
            <family val="1"/>
            <charset val="2"/>
          </rPr>
          <t xml:space="preserve">l </t>
        </r>
        <r>
          <rPr>
            <b/>
            <sz val="8"/>
            <color indexed="81"/>
            <rFont val="Tahoma"/>
            <family val="2"/>
          </rPr>
          <t>= A - B T - C T^2 (cal/gm and T in deg C)</t>
        </r>
      </text>
    </comment>
    <comment ref="B18" authorId="0" shapeId="0" xr:uid="{00000000-0006-0000-0900-000009000000}">
      <text>
        <r>
          <rPr>
            <b/>
            <sz val="8"/>
            <color indexed="81"/>
            <rFont val="Symbol"/>
            <family val="1"/>
            <charset val="2"/>
          </rPr>
          <t xml:space="preserve">l </t>
        </r>
        <r>
          <rPr>
            <b/>
            <sz val="8"/>
            <color indexed="81"/>
            <rFont val="Tahoma"/>
            <family val="2"/>
          </rPr>
          <t>= A - B T - C T^2 (cal/gm and T in deg C)</t>
        </r>
      </text>
    </comment>
    <comment ref="B19" authorId="0" shapeId="0" xr:uid="{00000000-0006-0000-0900-00000A000000}">
      <text>
        <r>
          <rPr>
            <b/>
            <sz val="8"/>
            <color indexed="81"/>
            <rFont val="Symbol"/>
            <family val="1"/>
            <charset val="2"/>
          </rPr>
          <t xml:space="preserve">l </t>
        </r>
        <r>
          <rPr>
            <b/>
            <sz val="8"/>
            <color indexed="81"/>
            <rFont val="Tahoma"/>
            <family val="2"/>
          </rPr>
          <t>= A - B T - C T^2 (cal/gm and T in deg C)</t>
        </r>
      </text>
    </comment>
    <comment ref="B21" authorId="0" shapeId="0" xr:uid="{00000000-0006-0000-0900-00000B000000}">
      <text>
        <r>
          <rPr>
            <b/>
            <sz val="10"/>
            <color indexed="81"/>
            <rFont val="Arial Narrow"/>
            <family val="2"/>
          </rPr>
          <t>Lower Flammability Limit</t>
        </r>
        <r>
          <rPr>
            <sz val="10"/>
            <color indexed="81"/>
            <rFont val="Tahoma"/>
            <family val="2"/>
          </rPr>
          <t xml:space="preserve">
</t>
        </r>
      </text>
    </comment>
    <comment ref="B22" authorId="0" shapeId="0" xr:uid="{00000000-0006-0000-0900-00000C000000}">
      <text>
        <r>
          <rPr>
            <b/>
            <sz val="10"/>
            <color indexed="81"/>
            <rFont val="Arial Narrow"/>
            <family val="2"/>
          </rPr>
          <t>Upper Flammability Limit</t>
        </r>
      </text>
    </comment>
    <comment ref="B24" authorId="0" shapeId="0" xr:uid="{00000000-0006-0000-0900-00000D000000}">
      <text>
        <r>
          <rPr>
            <b/>
            <sz val="10"/>
            <color indexed="81"/>
            <rFont val="Arial Narrow"/>
            <family val="2"/>
          </rPr>
          <t>Categorized as Low (&lt;1% likely to ignite), Normal, Elevated *10 to 90% likely to ignite), or High (&gt;90% likely to ignite).  Examples include:
* Low: ammonia, methylene chloride
* Normal: butane, propylene, acetone
* Elevated: hydrogen, acetylene, CS2
* High:  pyrophoric materials</t>
        </r>
      </text>
    </comment>
    <comment ref="B25" authorId="0" shapeId="0" xr:uid="{00000000-0006-0000-0900-00000E000000}">
      <text>
        <r>
          <rPr>
            <b/>
            <sz val="10"/>
            <color indexed="81"/>
            <rFont val="Arial Narrow"/>
            <family val="2"/>
          </rPr>
          <t>Categorized as Low, Medium, or High per LPP 12.2 where:
* Low is a fundamental burning velocity &lt; 45 cm/sec such as ammonia
* Medium is a fundamental burning velocity between 45 and 75 cm/sec and would include most hydrocarbons
* High is a fundamental burning velocity &gt; 75 cm/sec where venting may not be an option such as acetylene</t>
        </r>
      </text>
    </comment>
    <comment ref="B26" authorId="0" shapeId="0" xr:uid="{00000000-0006-0000-0900-00000F000000}">
      <text>
        <r>
          <rPr>
            <b/>
            <sz val="10"/>
            <color indexed="81"/>
            <rFont val="Arial Narrow"/>
            <family val="2"/>
          </rPr>
          <t>Liquids having a conductivity exceeding 10,000 pico siemens/meter is "Conductive" and not likely build a static charge.  Liquids with conductivity less than 100 pico siemens per meter is considered "Non-Conductive".</t>
        </r>
        <r>
          <rPr>
            <sz val="10"/>
            <color indexed="81"/>
            <rFont val="Tahoma"/>
            <family val="2"/>
          </rPr>
          <t xml:space="preserve">
</t>
        </r>
      </text>
    </comment>
    <comment ref="B27" authorId="0" shapeId="0" xr:uid="{00000000-0006-0000-0900-000010000000}">
      <text>
        <r>
          <rPr>
            <b/>
            <sz val="10"/>
            <color indexed="81"/>
            <rFont val="Arial Narrow"/>
            <family val="2"/>
          </rPr>
          <t>Categorized as Class 1, 2, or 3 based on the Deflagration Index, K</t>
        </r>
        <r>
          <rPr>
            <b/>
            <sz val="8"/>
            <color indexed="81"/>
            <rFont val="Arial Narrow"/>
            <family val="2"/>
          </rPr>
          <t>St</t>
        </r>
        <r>
          <rPr>
            <b/>
            <sz val="10"/>
            <color indexed="81"/>
            <rFont val="Arial Narrow"/>
            <family val="2"/>
          </rPr>
          <t xml:space="preserve"> (maximum rate of pressure rise from combustion in a closed container) and maximum pressure as:
* Class 1 for K</t>
        </r>
        <r>
          <rPr>
            <b/>
            <sz val="8"/>
            <color indexed="81"/>
            <rFont val="Arial Narrow"/>
            <family val="2"/>
          </rPr>
          <t>St</t>
        </r>
        <r>
          <rPr>
            <b/>
            <sz val="10"/>
            <color indexed="81"/>
            <rFont val="Arial Narrow"/>
            <family val="2"/>
          </rPr>
          <t xml:space="preserve"> &lt; 200 bar-m/sec and P</t>
        </r>
        <r>
          <rPr>
            <b/>
            <sz val="8"/>
            <color indexed="81"/>
            <rFont val="Arial Narrow"/>
            <family val="2"/>
          </rPr>
          <t>max</t>
        </r>
        <r>
          <rPr>
            <b/>
            <sz val="10"/>
            <color indexed="81"/>
            <rFont val="Arial Narrow"/>
            <family val="2"/>
          </rPr>
          <t xml:space="preserve"> &lt; 10 bar
* Class 2 for K</t>
        </r>
        <r>
          <rPr>
            <b/>
            <sz val="8"/>
            <color indexed="81"/>
            <rFont val="Arial Narrow"/>
            <family val="2"/>
          </rPr>
          <t>St</t>
        </r>
        <r>
          <rPr>
            <b/>
            <sz val="10"/>
            <color indexed="81"/>
            <rFont val="Arial Narrow"/>
            <family val="2"/>
          </rPr>
          <t xml:space="preserve"> between 200 and 300 and P</t>
        </r>
        <r>
          <rPr>
            <b/>
            <sz val="8"/>
            <color indexed="81"/>
            <rFont val="Arial Narrow"/>
            <family val="2"/>
          </rPr>
          <t>max</t>
        </r>
        <r>
          <rPr>
            <b/>
            <sz val="10"/>
            <color indexed="81"/>
            <rFont val="Arial Narrow"/>
            <family val="2"/>
          </rPr>
          <t xml:space="preserve"> &lt; 10
* Class 3 for K</t>
        </r>
        <r>
          <rPr>
            <b/>
            <sz val="8"/>
            <color indexed="81"/>
            <rFont val="Arial Narrow"/>
            <family val="2"/>
          </rPr>
          <t>St</t>
        </r>
        <r>
          <rPr>
            <b/>
            <sz val="10"/>
            <color indexed="81"/>
            <rFont val="Arial Narrow"/>
            <family val="2"/>
          </rPr>
          <t xml:space="preserve"> &gt; 300 bar-m/sec and P</t>
        </r>
        <r>
          <rPr>
            <b/>
            <sz val="8"/>
            <color indexed="81"/>
            <rFont val="Arial Narrow"/>
            <family val="2"/>
          </rPr>
          <t>max</t>
        </r>
        <r>
          <rPr>
            <b/>
            <sz val="10"/>
            <color indexed="81"/>
            <rFont val="Arial Narrow"/>
            <family val="2"/>
          </rPr>
          <t xml:space="preserve"> &lt; 12 bar where venting may not be an option</t>
        </r>
      </text>
    </comment>
    <comment ref="B28" authorId="0" shapeId="0" xr:uid="{00000000-0006-0000-0900-000011000000}">
      <text>
        <r>
          <rPr>
            <b/>
            <sz val="10"/>
            <color indexed="81"/>
            <rFont val="Arial Narrow"/>
            <family val="2"/>
          </rPr>
          <t>Mean particle size for solids in microns.</t>
        </r>
        <r>
          <rPr>
            <sz val="10"/>
            <color indexed="81"/>
            <rFont val="Tahoma"/>
            <family val="2"/>
          </rPr>
          <t xml:space="preserve">
</t>
        </r>
      </text>
    </comment>
    <comment ref="B29" authorId="0" shapeId="0" xr:uid="{00000000-0006-0000-0900-000012000000}">
      <text>
        <r>
          <rPr>
            <b/>
            <sz val="10"/>
            <color indexed="81"/>
            <rFont val="Arial Narrow"/>
            <family val="2"/>
          </rPr>
          <t>Particle size for 10% fraction.  Value is less than the mean Dust particle size.</t>
        </r>
      </text>
    </comment>
    <comment ref="B30" authorId="0" shapeId="0" xr:uid="{00000000-0006-0000-0900-000013000000}">
      <text>
        <r>
          <rPr>
            <b/>
            <sz val="10"/>
            <color indexed="81"/>
            <rFont val="Arial Narrow"/>
            <family val="2"/>
          </rPr>
          <t>Points of Reference:
Human Static Discharge 1-20 mJ
Spark or Electric Arc 10-50 mJ
Mechanical Friction 10-100 mJ</t>
        </r>
        <r>
          <rPr>
            <sz val="10"/>
            <color indexed="81"/>
            <rFont val="Tahoma"/>
            <family val="2"/>
          </rPr>
          <t xml:space="preserve">
</t>
        </r>
      </text>
    </comment>
    <comment ref="B32" authorId="0" shapeId="0" xr:uid="{00000000-0006-0000-0900-000014000000}">
      <text>
        <r>
          <rPr>
            <b/>
            <sz val="10"/>
            <color indexed="81"/>
            <rFont val="Arial Narrow"/>
            <family val="2"/>
          </rPr>
          <t>Emergency Response Planning Guideline - level 1 in ppm by volume</t>
        </r>
      </text>
    </comment>
    <comment ref="B33" authorId="0" shapeId="0" xr:uid="{00000000-0006-0000-0900-000015000000}">
      <text>
        <r>
          <rPr>
            <b/>
            <sz val="10"/>
            <color indexed="81"/>
            <rFont val="Arial Narrow"/>
            <family val="2"/>
          </rPr>
          <t>Emergency Response Planning Guideline - level 2 in ppm by volume</t>
        </r>
      </text>
    </comment>
    <comment ref="B34" authorId="0" shapeId="0" xr:uid="{00000000-0006-0000-0900-000016000000}">
      <text>
        <r>
          <rPr>
            <b/>
            <sz val="10"/>
            <color indexed="81"/>
            <rFont val="Arial Narrow"/>
            <family val="2"/>
          </rPr>
          <t>Emergency Response Planning Guideline - level 3 in ppm by volume</t>
        </r>
      </text>
    </comment>
    <comment ref="B35" authorId="0" shapeId="0" xr:uid="{00000000-0006-0000-0900-000017000000}">
      <text>
        <r>
          <rPr>
            <b/>
            <sz val="10"/>
            <color indexed="81"/>
            <rFont val="Arial Narrow"/>
            <family val="2"/>
          </rPr>
          <t>Categorized as 0, 1, 2, 3, or 4 per NFPA 704 Hazard Rating.</t>
        </r>
        <r>
          <rPr>
            <sz val="10"/>
            <color indexed="81"/>
            <rFont val="Tahoma"/>
            <family val="2"/>
          </rPr>
          <t xml:space="preserve">
</t>
        </r>
      </text>
    </comment>
    <comment ref="B36" authorId="0" shapeId="0" xr:uid="{00000000-0006-0000-0900-000018000000}">
      <text>
        <r>
          <rPr>
            <b/>
            <sz val="10"/>
            <color indexed="81"/>
            <rFont val="Arial Narrow"/>
            <family val="2"/>
          </rPr>
          <t>Categorized as 0, 1, 2, 3, or 4 per NFPA 704 Hazard Rating.</t>
        </r>
        <r>
          <rPr>
            <sz val="10"/>
            <color indexed="81"/>
            <rFont val="Tahoma"/>
            <family val="2"/>
          </rPr>
          <t xml:space="preserve">
</t>
        </r>
      </text>
    </comment>
    <comment ref="B37" authorId="0" shapeId="0" xr:uid="{00000000-0006-0000-0900-000019000000}">
      <text>
        <r>
          <rPr>
            <b/>
            <sz val="10"/>
            <color indexed="81"/>
            <rFont val="Arial Narrow"/>
            <family val="2"/>
          </rPr>
          <t>Categorized as 0, 1, 2, 3, or 4 per NFPA 704 Hazard Rating.</t>
        </r>
        <r>
          <rPr>
            <sz val="10"/>
            <color indexed="81"/>
            <rFont val="Tahoma"/>
            <family val="2"/>
          </rPr>
          <t xml:space="preserve">
</t>
        </r>
      </text>
    </comment>
    <comment ref="B38" authorId="0" shapeId="0" xr:uid="{00000000-0006-0000-0900-00001A000000}">
      <text>
        <r>
          <rPr>
            <b/>
            <sz val="10"/>
            <color indexed="81"/>
            <rFont val="Arial Narrow"/>
            <family val="2"/>
          </rPr>
          <t>Categorized as Corrosive, Toxic, Very Toxic per the European Risk Phases used for defining Hazard Severity.</t>
        </r>
        <r>
          <rPr>
            <sz val="10"/>
            <color indexed="81"/>
            <rFont val="Tahoma"/>
            <family val="2"/>
          </rPr>
          <t xml:space="preserve">
</t>
        </r>
      </text>
    </comment>
    <comment ref="B39" authorId="0" shapeId="0" xr:uid="{00000000-0006-0000-0900-00001B000000}">
      <text>
        <r>
          <rPr>
            <b/>
            <sz val="10"/>
            <color indexed="81"/>
            <rFont val="Arial Narrow"/>
            <family val="2"/>
          </rPr>
          <t>Categorized as Harmful, Toxic, Very Toxic per the European Risk Phases used for defining Hazard Severity,</t>
        </r>
        <r>
          <rPr>
            <sz val="10"/>
            <color indexed="81"/>
            <rFont val="Tahoma"/>
            <family val="2"/>
          </rPr>
          <t xml:space="preserve">
</t>
        </r>
      </text>
    </comment>
    <comment ref="B40" authorId="0" shapeId="0" xr:uid="{00000000-0006-0000-0900-00001C000000}">
      <text>
        <r>
          <rPr>
            <b/>
            <sz val="10"/>
            <color indexed="81"/>
            <rFont val="Arial Narrow"/>
            <family val="2"/>
          </rPr>
          <t>Categorized as Explosive, Extremely Explosive, Oxidizer, or Water Reactive per the European Risk Phases used for defining Hazard Severity.</t>
        </r>
        <r>
          <rPr>
            <sz val="10"/>
            <color indexed="81"/>
            <rFont val="Tahoma"/>
            <family val="2"/>
          </rPr>
          <t xml:space="preserve">
</t>
        </r>
      </text>
    </comment>
    <comment ref="B41" authorId="0" shapeId="0" xr:uid="{00000000-0006-0000-0900-00001D000000}">
      <text>
        <r>
          <rPr>
            <b/>
            <sz val="10"/>
            <color indexed="81"/>
            <rFont val="Arial Narrow"/>
            <family val="2"/>
          </rPr>
          <t>Odor threshold &lt;&lt; ER-2, visual cloud &lt;&lt; ER-2, etc. AND is not immediately incapacitating.</t>
        </r>
        <r>
          <rPr>
            <sz val="10"/>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First</author>
    <author>u070091</author>
    <author>948</author>
  </authors>
  <commentList>
    <comment ref="B5" authorId="0" shapeId="0" xr:uid="{00000000-0006-0000-0A00-000001000000}">
      <text>
        <r>
          <rPr>
            <b/>
            <sz val="10"/>
            <color indexed="81"/>
            <rFont val="Arial Narrow"/>
            <family val="2"/>
          </rPr>
          <t xml:space="preserve">Each unique equipment tag defines a row of data within the Equipment Table.  Limit to 8-10 characters.
</t>
        </r>
      </text>
    </comment>
    <comment ref="B6" authorId="0" shapeId="0" xr:uid="{00000000-0006-0000-0A00-000002000000}">
      <text>
        <r>
          <rPr>
            <b/>
            <sz val="10"/>
            <color indexed="81"/>
            <rFont val="Arial Narrow"/>
            <family val="2"/>
          </rPr>
          <t>Solids Handling Equipment is shown in Red Text.</t>
        </r>
        <r>
          <rPr>
            <sz val="10"/>
            <color indexed="81"/>
            <rFont val="Tahoma"/>
            <family val="2"/>
          </rPr>
          <t xml:space="preserve">
</t>
        </r>
      </text>
    </comment>
    <comment ref="B7" authorId="0" shapeId="0" xr:uid="{00000000-0006-0000-0A00-000003000000}">
      <text>
        <r>
          <rPr>
            <b/>
            <sz val="10"/>
            <color indexed="81"/>
            <rFont val="Arial Narrow"/>
            <family val="2"/>
          </rPr>
          <t>Solids Handling Equipment is shown in Red Text.</t>
        </r>
        <r>
          <rPr>
            <sz val="10"/>
            <color indexed="81"/>
            <rFont val="Tahoma"/>
            <family val="2"/>
          </rPr>
          <t xml:space="preserve">
</t>
        </r>
      </text>
    </comment>
    <comment ref="B10" authorId="0" shapeId="0" xr:uid="{00000000-0006-0000-0A00-000004000000}">
      <text>
        <r>
          <rPr>
            <b/>
            <sz val="10"/>
            <color indexed="81"/>
            <rFont val="Arial Narrow"/>
            <family val="2"/>
          </rPr>
          <t>A Default Value for Ambient Temperature will be used unless a value is entered.  Leave blank unless facility is located in an unusually warm or cold climate.</t>
        </r>
        <r>
          <rPr>
            <sz val="9"/>
            <color indexed="81"/>
            <rFont val="Tahoma"/>
            <family val="2"/>
          </rPr>
          <t xml:space="preserve">
</t>
        </r>
      </text>
    </comment>
    <comment ref="B11" authorId="0" shapeId="0" xr:uid="{00000000-0006-0000-0A00-000005000000}">
      <text>
        <r>
          <rPr>
            <b/>
            <sz val="10"/>
            <color indexed="81"/>
            <rFont val="Arial Narrow"/>
            <family val="2"/>
          </rPr>
          <t>This should represent the total inventory of the system  in addition to the contained mass of the equipment item.  Also consider including feeds to equipment items as appropriate within this inventory.  This value represents the maximum quantity available for the duration of the scenario.</t>
        </r>
        <r>
          <rPr>
            <sz val="10"/>
            <color indexed="81"/>
            <rFont val="Tahoma"/>
            <family val="2"/>
          </rPr>
          <t xml:space="preserve">
</t>
        </r>
      </text>
    </comment>
    <comment ref="B12" authorId="0" shapeId="0" xr:uid="{00000000-0006-0000-0A00-000006000000}">
      <text>
        <r>
          <rPr>
            <b/>
            <sz val="8"/>
            <color indexed="81"/>
            <rFont val="Tahoma"/>
            <family val="2"/>
          </rPr>
          <t>Height of liquid within the vessel or equipment
above release point</t>
        </r>
      </text>
    </comment>
    <comment ref="B13" authorId="1" shapeId="0" xr:uid="{00000000-0006-0000-0A00-000007000000}">
      <text>
        <r>
          <rPr>
            <b/>
            <sz val="9"/>
            <color indexed="81"/>
            <rFont val="Tahoma"/>
            <family val="2"/>
          </rPr>
          <t>The maximum fill fraction for equipment that only operates with a small fraction of its volume as liquid such as a distillation column - or - minimum level for cases where tank level is reliability managed.  Should normally be blank.</t>
        </r>
      </text>
    </comment>
    <comment ref="B14" authorId="1" shapeId="0" xr:uid="{00000000-0006-0000-0A00-000008000000}">
      <text>
        <r>
          <rPr>
            <b/>
            <sz val="9"/>
            <color indexed="81"/>
            <rFont val="Tahoma"/>
            <family val="2"/>
          </rPr>
          <t>The maximum fill fraction for equipment that only operates with a small fraction of its volume as liquid such as a distillation column - or - minimum level for cases where tank level is reliability managed.  Should normally be blank.</t>
        </r>
      </text>
    </comment>
    <comment ref="B15" authorId="0" shapeId="0" xr:uid="{00000000-0006-0000-0A00-000009000000}">
      <text>
        <r>
          <rPr>
            <b/>
            <sz val="10"/>
            <color indexed="81"/>
            <rFont val="Arial Narrow"/>
            <family val="2"/>
          </rPr>
          <t>Maximum pressure of any connected feed material such as pump pressure for liquid feeds, etc.</t>
        </r>
        <r>
          <rPr>
            <sz val="10"/>
            <color indexed="81"/>
            <rFont val="Arial Narrow"/>
            <family val="2"/>
          </rPr>
          <t xml:space="preserve">
</t>
        </r>
      </text>
    </comment>
    <comment ref="G15" authorId="0" shapeId="0" xr:uid="{00000000-0006-0000-0A00-00000A000000}">
      <text>
        <r>
          <rPr>
            <b/>
            <sz val="10"/>
            <color indexed="81"/>
            <rFont val="Arial Narrow"/>
            <family val="2"/>
          </rPr>
          <t>Contained Mass for a full vessel (Fill Fraction=1.0)</t>
        </r>
        <r>
          <rPr>
            <sz val="10"/>
            <color indexed="81"/>
            <rFont val="Tahoma"/>
            <family val="2"/>
          </rPr>
          <t xml:space="preserve">
</t>
        </r>
      </text>
    </comment>
    <comment ref="B16" authorId="0" shapeId="0" xr:uid="{00000000-0006-0000-0A00-00000B000000}">
      <text>
        <r>
          <rPr>
            <b/>
            <sz val="10"/>
            <color indexed="81"/>
            <rFont val="Arial Narrow"/>
            <family val="2"/>
          </rPr>
          <t>Maximum rate for a feed to the equipment.   It is used as the spill rate for overfill scenario.</t>
        </r>
      </text>
    </comment>
    <comment ref="G16" authorId="0" shapeId="0" xr:uid="{00000000-0006-0000-0A00-00000C000000}">
      <text>
        <r>
          <rPr>
            <b/>
            <sz val="10"/>
            <color indexed="81"/>
            <rFont val="Arial Narrow"/>
            <family val="2"/>
          </rPr>
          <t xml:space="preserve">Represents the Contained Mass plus 60 minutes of Feed.  </t>
        </r>
        <r>
          <rPr>
            <b/>
            <sz val="10"/>
            <color indexed="81"/>
            <rFont val="Tahoma"/>
            <family val="2"/>
          </rPr>
          <t>For Reference Only not used in calculations.</t>
        </r>
      </text>
    </comment>
    <comment ref="B19" authorId="2" shapeId="0" xr:uid="{00000000-0006-0000-0A00-00000D000000}">
      <text>
        <r>
          <rPr>
            <b/>
            <sz val="10"/>
            <color indexed="81"/>
            <rFont val="Arial Narrow"/>
            <family val="2"/>
          </rPr>
          <t>Answering "Yes" will ensure "Loss of Inert or Air Ingress" scenario case is included as a suggested scenario case.</t>
        </r>
      </text>
    </comment>
    <comment ref="B20" authorId="1" shapeId="0" xr:uid="{00000000-0006-0000-0A00-00000E000000}">
      <text>
        <r>
          <rPr>
            <b/>
            <sz val="10"/>
            <color indexed="81"/>
            <rFont val="Arial Narrow"/>
            <family val="2"/>
          </rPr>
          <t>Potential for Aerosol or Mist from Splash Filling or Vigorous Agitation/Mixing.  (Will increase the probability of ignition for internal deflagration.)</t>
        </r>
        <r>
          <rPr>
            <sz val="9"/>
            <color indexed="81"/>
            <rFont val="Tahoma"/>
            <family val="2"/>
          </rPr>
          <t xml:space="preserve">
</t>
        </r>
      </text>
    </comment>
    <comment ref="B22" authorId="0" shapeId="0" xr:uid="{00000000-0006-0000-0A00-00000F000000}">
      <text>
        <r>
          <rPr>
            <b/>
            <sz val="10"/>
            <color indexed="81"/>
            <rFont val="Arial Narrow"/>
            <family val="2"/>
          </rPr>
          <t>Maximum pressure of any connected "pad gas" such as nitrogen or air line pressure.  Does not apply for vapor filled equipment.</t>
        </r>
        <r>
          <rPr>
            <sz val="10"/>
            <color indexed="81"/>
            <rFont val="Arial Narrow"/>
            <family val="2"/>
          </rPr>
          <t xml:space="preserve">
</t>
        </r>
      </text>
    </comment>
    <comment ref="G22" authorId="0" shapeId="0" xr:uid="{00000000-0006-0000-0A00-000010000000}">
      <text>
        <r>
          <rPr>
            <b/>
            <sz val="10"/>
            <color indexed="81"/>
            <rFont val="Arial Narrow"/>
            <family val="2"/>
          </rPr>
          <t>Increases the frequency assumed for operation of vents and drains to greater than that for maintenance only.</t>
        </r>
        <r>
          <rPr>
            <sz val="10"/>
            <color indexed="81"/>
            <rFont val="Tahoma"/>
            <family val="2"/>
          </rPr>
          <t xml:space="preserve">
</t>
        </r>
      </text>
    </comment>
    <comment ref="B23" authorId="0" shapeId="0" xr:uid="{00000000-0006-0000-0A00-000011000000}">
      <text>
        <r>
          <rPr>
            <b/>
            <sz val="10"/>
            <color indexed="81"/>
            <rFont val="Arial Narrow"/>
            <family val="2"/>
          </rPr>
          <t>Maximum feed rate for vapor or inerts.</t>
        </r>
        <r>
          <rPr>
            <b/>
            <sz val="8"/>
            <color indexed="81"/>
            <rFont val="Arial Narrow"/>
            <family val="2"/>
          </rPr>
          <t xml:space="preserve">
</t>
        </r>
        <r>
          <rPr>
            <b/>
            <i/>
            <sz val="8"/>
            <color indexed="81"/>
            <rFont val="Arial Narrow"/>
            <family val="2"/>
          </rPr>
          <t>For Nitrogen, 
Inert Rate (Kg/min) = 0.00115 times Volume Rate (liters/min)
              -OR-
Inert Rate (Lb/min) = 0.072 times Volume Rate (cu ft/min)
at ambient temperature of 25 C.</t>
        </r>
      </text>
    </comment>
    <comment ref="G23" authorId="0" shapeId="0" xr:uid="{00000000-0006-0000-0A00-000012000000}">
      <text>
        <r>
          <rPr>
            <b/>
            <sz val="10"/>
            <color indexed="81"/>
            <rFont val="Arial Narrow"/>
            <family val="2"/>
          </rPr>
          <t>Ability to quickly shut off ventilation manually and take shelter.  If automated shut down of ventilation with chemical sensors, answer "no" or leave blank and consider BPCS credit.</t>
        </r>
        <r>
          <rPr>
            <sz val="10"/>
            <color indexed="81"/>
            <rFont val="Tahoma"/>
            <family val="2"/>
          </rPr>
          <t xml:space="preserve">
</t>
        </r>
      </text>
    </comment>
    <comment ref="B24" authorId="0" shapeId="0" xr:uid="{00000000-0006-0000-0A00-000013000000}">
      <text>
        <r>
          <rPr>
            <b/>
            <sz val="10"/>
            <color indexed="81"/>
            <rFont val="Arial Narrow"/>
            <family val="2"/>
          </rPr>
          <t>Maximum pressure of downstream equipment such that if a pump is lost, back flow could occur.</t>
        </r>
      </text>
    </comment>
    <comment ref="G24" authorId="0" shapeId="0" xr:uid="{00000000-0006-0000-0A00-000014000000}">
      <text>
        <r>
          <rPr>
            <b/>
            <sz val="10"/>
            <color indexed="81"/>
            <rFont val="Arial Narrow"/>
            <family val="2"/>
          </rPr>
          <t>Ability to quickly shut off ventilation manually and take shelter.  If automated shut down of ventilation with chemical sensors, answer "no" or leave blank and consider BPCS credit.</t>
        </r>
        <r>
          <rPr>
            <sz val="10"/>
            <color indexed="81"/>
            <rFont val="Tahoma"/>
            <family val="2"/>
          </rPr>
          <t xml:space="preserve">
</t>
        </r>
      </text>
    </comment>
    <comment ref="B25" authorId="0" shapeId="0" xr:uid="{00000000-0006-0000-0A00-000015000000}">
      <text>
        <r>
          <rPr>
            <b/>
            <sz val="10"/>
            <color indexed="81"/>
            <rFont val="Arial Narrow"/>
            <family val="2"/>
          </rPr>
          <t>Maximum back flow rate to be estimated by the user based on pressure drop and limiting hole size or length of pipe, etc.  Is only used if downstream pressure is greater than operating pressure.</t>
        </r>
        <r>
          <rPr>
            <sz val="10"/>
            <color indexed="81"/>
            <rFont val="Arial Narrow"/>
            <family val="2"/>
          </rPr>
          <t xml:space="preserve">
</t>
        </r>
      </text>
    </comment>
    <comment ref="B30" authorId="1" shapeId="0" xr:uid="{00000000-0006-0000-0A00-000016000000}">
      <text>
        <r>
          <rPr>
            <b/>
            <sz val="10"/>
            <color indexed="81"/>
            <rFont val="Arial Narrow"/>
            <family val="2"/>
          </rPr>
          <t>Will use a Rupture Model (or Instantaneous) if blank which represents a "worse case" and is appropriate for very rapid events.</t>
        </r>
        <r>
          <rPr>
            <sz val="9"/>
            <color indexed="81"/>
            <rFont val="Tahoma"/>
            <family val="2"/>
          </rPr>
          <t xml:space="preserve">
</t>
        </r>
      </text>
    </comment>
    <comment ref="D30" authorId="1" shapeId="0" xr:uid="{00000000-0006-0000-0A00-000017000000}">
      <text>
        <r>
          <rPr>
            <b/>
            <sz val="10"/>
            <color indexed="81"/>
            <rFont val="Arial Narrow"/>
            <family val="2"/>
          </rPr>
          <t>Limited to Release of Entire Equipment Contents to a maximum of 600 seconds.</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Ken First</author>
    <author>Kevin Appold</author>
    <author>u070091</author>
  </authors>
  <commentList>
    <comment ref="B5" authorId="0" shapeId="0" xr:uid="{00000000-0006-0000-0B00-000001000000}">
      <text>
        <r>
          <rPr>
            <b/>
            <sz val="10"/>
            <color indexed="81"/>
            <rFont val="Arial Narrow"/>
            <family val="2"/>
          </rPr>
          <t xml:space="preserve">Each unique equipment tag defines a row of data within the Equipment Table.  Limit to 8-10 characters.
</t>
        </r>
      </text>
    </comment>
    <comment ref="B6" authorId="0" shapeId="0" xr:uid="{00000000-0006-0000-0B00-000002000000}">
      <text>
        <r>
          <rPr>
            <b/>
            <sz val="10"/>
            <color indexed="81"/>
            <rFont val="Arial Narrow"/>
            <family val="2"/>
          </rPr>
          <t>Solids Handling Equipment is shown in Red Text.</t>
        </r>
        <r>
          <rPr>
            <sz val="10"/>
            <color indexed="81"/>
            <rFont val="Tahoma"/>
            <family val="2"/>
          </rPr>
          <t xml:space="preserve">
</t>
        </r>
      </text>
    </comment>
    <comment ref="B7" authorId="0" shapeId="0" xr:uid="{00000000-0006-0000-0B00-000003000000}">
      <text>
        <r>
          <rPr>
            <b/>
            <sz val="10"/>
            <color indexed="81"/>
            <rFont val="Arial Narrow"/>
            <family val="2"/>
          </rPr>
          <t>Solids Handling Equipment is shown in Red Text.</t>
        </r>
        <r>
          <rPr>
            <sz val="10"/>
            <color indexed="81"/>
            <rFont val="Tahoma"/>
            <family val="2"/>
          </rPr>
          <t xml:space="preserve">
</t>
        </r>
      </text>
    </comment>
    <comment ref="B10" authorId="0" shapeId="0" xr:uid="{00000000-0006-0000-0B00-000004000000}">
      <text>
        <r>
          <rPr>
            <b/>
            <sz val="10"/>
            <color indexed="81"/>
            <rFont val="Arial Narrow"/>
            <family val="2"/>
          </rPr>
          <t>Shortest distance from the Equipment or Release location to the public irrespective of the population at this location.</t>
        </r>
        <r>
          <rPr>
            <sz val="10"/>
            <color indexed="81"/>
            <rFont val="Tahoma"/>
            <family val="2"/>
          </rPr>
          <t xml:space="preserve">
</t>
        </r>
      </text>
    </comment>
    <comment ref="D10" authorId="1" shapeId="0" xr:uid="{00000000-0006-0000-0B00-000005000000}">
      <text>
        <r>
          <rPr>
            <b/>
            <sz val="10"/>
            <color indexed="81"/>
            <rFont val="Arial Narrow"/>
            <family val="2"/>
          </rPr>
          <t>This unit sets the distance units for the outcome summary values.</t>
        </r>
      </text>
    </comment>
    <comment ref="B11" authorId="0" shapeId="0" xr:uid="{00000000-0006-0000-0B00-000006000000}">
      <text>
        <r>
          <rPr>
            <b/>
            <sz val="10"/>
            <color indexed="81"/>
            <rFont val="Arial Narrow"/>
            <family val="2"/>
          </rPr>
          <t>Distance used in estimating the maximum area of the effect zone to be used with the entered population density for outdoor toxic or flammable releases.  Few on-site people would be outdoors beyond this distance.</t>
        </r>
      </text>
    </comment>
    <comment ref="G11" authorId="0" shapeId="0" xr:uid="{00000000-0006-0000-0B00-000007000000}">
      <text>
        <r>
          <rPr>
            <b/>
            <sz val="10"/>
            <color indexed="81"/>
            <rFont val="Arial Narrow"/>
            <family val="2"/>
          </rPr>
          <t>Shortest distance to the nearest building with a significant number of occupants.  If Indoor facility, it represents distance from the equipment to an occupied area such as a Control Room, Shop, etc.</t>
        </r>
      </text>
    </comment>
    <comment ref="B12" authorId="2" shapeId="0" xr:uid="{00000000-0006-0000-0B00-000008000000}">
      <text>
        <r>
          <rPr>
            <b/>
            <sz val="10"/>
            <color indexed="81"/>
            <rFont val="Arial Narrow"/>
            <family val="2"/>
          </rPr>
          <t>Maximum number of people outdoors at a specific time per total facility area  during normal operation including operations, maintenance personnel, etc.  Typical values would be in the range of 0.0001 to 0.001 people/m</t>
        </r>
        <r>
          <rPr>
            <b/>
            <vertAlign val="superscript"/>
            <sz val="10"/>
            <color indexed="81"/>
            <rFont val="Arial Narrow"/>
            <family val="2"/>
          </rPr>
          <t>2</t>
        </r>
        <r>
          <rPr>
            <b/>
            <sz val="10"/>
            <color indexed="81"/>
            <rFont val="Arial Narrow"/>
            <family val="2"/>
          </rPr>
          <t xml:space="preserve"> .</t>
        </r>
      </text>
    </comment>
    <comment ref="G12" authorId="2" shapeId="0" xr:uid="{00000000-0006-0000-0B00-000009000000}">
      <text>
        <r>
          <rPr>
            <b/>
            <sz val="10"/>
            <color indexed="81"/>
            <rFont val="Arial Narrow"/>
            <family val="2"/>
          </rPr>
          <t>Typically the elevation of the roof of the building above ground.  Input is used to determine if vapor cloud from a relief discharge will remain above the ventilation inlet (requires relief discharge elevation input to determine). Inlet assumed same elevation as release if blank.</t>
        </r>
      </text>
    </comment>
    <comment ref="B13" authorId="0" shapeId="0" xr:uid="{00000000-0006-0000-0B00-00000A000000}">
      <text>
        <r>
          <rPr>
            <b/>
            <sz val="10"/>
            <color indexed="81"/>
            <rFont val="Arial Narrow"/>
            <family val="2"/>
          </rPr>
          <t>Will personnel routinely be in the immediate area during operation of this equipment?  (attendance required, equipment near major walkway, sampling of equipment done routinely, etc.)  "No" is assumed if the input is blank except for transportation equipment (rail car, tank truck, tote) or small container handling such as drums or packs.
If "Yes" a time at risk factor may be appropriate if the hazard is only present part of the time and the Initiating Event is not Human Error.</t>
        </r>
      </text>
    </comment>
    <comment ref="G13" authorId="0" shapeId="0" xr:uid="{00000000-0006-0000-0B00-00000B000000}">
      <text>
        <r>
          <rPr>
            <b/>
            <sz val="10"/>
            <color indexed="81"/>
            <rFont val="Arial Narrow"/>
            <family val="2"/>
          </rPr>
          <t>Used to determine if only a portion of a large occupied building or area is damaged in an explosion.  This value should always be greater than the Distance to Occupied Building. A default of Distance to Occupied Building is used if this input is blank.</t>
        </r>
      </text>
    </comment>
    <comment ref="B14" authorId="2" shapeId="0" xr:uid="{00000000-0006-0000-0B00-00000C000000}">
      <text>
        <r>
          <rPr>
            <b/>
            <sz val="10"/>
            <color indexed="81"/>
            <rFont val="Arial Narrow"/>
            <family val="2"/>
          </rPr>
          <t>two offsite population densities may be used in the analysis: beyond the Property Limit distance from the Equipment or Release location to the Zone 1 distance, and beyond Zone 1 distance.</t>
        </r>
        <r>
          <rPr>
            <sz val="9"/>
            <color indexed="81"/>
            <rFont val="Tahoma"/>
            <family val="2"/>
          </rPr>
          <t xml:space="preserve">
</t>
        </r>
      </text>
    </comment>
    <comment ref="G14" authorId="0" shapeId="0" xr:uid="{00000000-0006-0000-0B00-00000D000000}">
      <text>
        <r>
          <rPr>
            <b/>
            <sz val="10"/>
            <color indexed="81"/>
            <rFont val="Arial Narrow"/>
            <family val="2"/>
          </rPr>
          <t>Type "Low Strength" for Portable Buildings, Type "Typical Construction" for conventional construction.  The simple methods in RAST do not account for damage to high strength buildings.  A default of "Typical Construction" is assumed if blank.</t>
        </r>
      </text>
    </comment>
    <comment ref="B15" authorId="2" shapeId="0" xr:uid="{00000000-0006-0000-0B00-00000E000000}">
      <text>
        <r>
          <rPr>
            <b/>
            <sz val="10"/>
            <color indexed="81"/>
            <rFont val="Arial Narrow"/>
            <family val="2"/>
          </rPr>
          <t>Offsite population density immediately beyond the Property Limit distance to the end of Zone 1.   If blank, the default offsite population density will be used.  Typically Sparsely populated is 0.0002 to 0.0005 people/m</t>
        </r>
        <r>
          <rPr>
            <b/>
            <vertAlign val="superscript"/>
            <sz val="10"/>
            <color indexed="81"/>
            <rFont val="Arial Narrow"/>
            <family val="2"/>
          </rPr>
          <t>2</t>
        </r>
        <r>
          <rPr>
            <b/>
            <sz val="10"/>
            <color indexed="81"/>
            <rFont val="Arial Narrow"/>
            <family val="2"/>
          </rPr>
          <t>, Moderately populated is 0.001 to 0.002 people/m</t>
        </r>
        <r>
          <rPr>
            <b/>
            <vertAlign val="superscript"/>
            <sz val="10"/>
            <color indexed="81"/>
            <rFont val="Arial Narrow"/>
            <family val="2"/>
          </rPr>
          <t>2</t>
        </r>
        <r>
          <rPr>
            <b/>
            <sz val="10"/>
            <color indexed="81"/>
            <rFont val="Arial Narrow"/>
            <family val="2"/>
          </rPr>
          <t xml:space="preserve"> and Densely populated is 0.003 to 0.005 people/m</t>
        </r>
        <r>
          <rPr>
            <b/>
            <vertAlign val="superscript"/>
            <sz val="10"/>
            <color indexed="81"/>
            <rFont val="Arial Narrow"/>
            <family val="2"/>
          </rPr>
          <t>2</t>
        </r>
        <r>
          <rPr>
            <b/>
            <sz val="10"/>
            <color indexed="81"/>
            <rFont val="Arial Narrow"/>
            <family val="2"/>
          </rPr>
          <t>.</t>
        </r>
      </text>
    </comment>
    <comment ref="G15" authorId="0" shapeId="0" xr:uid="{00000000-0006-0000-0B00-00000F000000}">
      <text>
        <r>
          <rPr>
            <b/>
            <sz val="10"/>
            <color indexed="81"/>
            <rFont val="Arial Narrow"/>
            <family val="2"/>
          </rPr>
          <t>Typical Ventilation Rate is 2 to 4 air changes per hour.  Input will not effect the Target Factor but may be used to determine if ventilation is a potential protective layer.</t>
        </r>
      </text>
    </comment>
    <comment ref="B16" authorId="2" shapeId="0" xr:uid="{00000000-0006-0000-0B00-000010000000}">
      <text>
        <r>
          <rPr>
            <b/>
            <sz val="10"/>
            <color indexed="81"/>
            <rFont val="Arial Narrow"/>
            <family val="2"/>
          </rPr>
          <t>Offsite population density immediately beyond the end of Zone 1 distance.  If blank, the default offsite population density will be used. Typically Sparsely populated is 0.0002 to 0.0005 people/m</t>
        </r>
        <r>
          <rPr>
            <b/>
            <vertAlign val="superscript"/>
            <sz val="10"/>
            <color indexed="81"/>
            <rFont val="Arial Narrow"/>
            <family val="2"/>
          </rPr>
          <t>2</t>
        </r>
        <r>
          <rPr>
            <b/>
            <sz val="10"/>
            <color indexed="81"/>
            <rFont val="Arial Narrow"/>
            <family val="2"/>
          </rPr>
          <t>, Moderately populated is 0.001 to 0.002 people/m</t>
        </r>
        <r>
          <rPr>
            <b/>
            <vertAlign val="superscript"/>
            <sz val="10"/>
            <color indexed="81"/>
            <rFont val="Arial Narrow"/>
            <family val="2"/>
          </rPr>
          <t>2</t>
        </r>
        <r>
          <rPr>
            <b/>
            <sz val="10"/>
            <color indexed="81"/>
            <rFont val="Arial Narrow"/>
            <family val="2"/>
          </rPr>
          <t xml:space="preserve"> and Densely populated is 0.003 to 0.005 people/m</t>
        </r>
        <r>
          <rPr>
            <b/>
            <vertAlign val="superscript"/>
            <sz val="10"/>
            <color indexed="81"/>
            <rFont val="Arial Narrow"/>
            <family val="2"/>
          </rPr>
          <t>2</t>
        </r>
        <r>
          <rPr>
            <b/>
            <sz val="10"/>
            <color indexed="81"/>
            <rFont val="Arial Narrow"/>
            <family val="2"/>
          </rPr>
          <t>.</t>
        </r>
      </text>
    </comment>
    <comment ref="G16" authorId="0" shapeId="0" xr:uid="{00000000-0006-0000-0B00-000011000000}">
      <text>
        <r>
          <rPr>
            <b/>
            <sz val="10"/>
            <color indexed="81"/>
            <rFont val="Arial Narrow"/>
            <family val="2"/>
          </rPr>
          <t>Typical number of occupants during busiest time of the day.</t>
        </r>
        <r>
          <rPr>
            <sz val="10"/>
            <color indexed="81"/>
            <rFont val="Arial Narrow"/>
            <family val="2"/>
          </rPr>
          <t xml:space="preserve">
</t>
        </r>
      </text>
    </comment>
    <comment ref="B17" authorId="0" shapeId="0" xr:uid="{00000000-0006-0000-0B00-000012000000}">
      <text>
        <r>
          <rPr>
            <b/>
            <sz val="10"/>
            <color indexed="81"/>
            <rFont val="Arial Narrow"/>
            <family val="2"/>
          </rPr>
          <t>Process Area is free from obstructions that would limit the ability of a person to take evasive action.</t>
        </r>
        <r>
          <rPr>
            <sz val="10"/>
            <color indexed="81"/>
            <rFont val="Tahoma"/>
            <family val="2"/>
          </rPr>
          <t xml:space="preserve">
</t>
        </r>
      </text>
    </comment>
    <comment ref="G17" authorId="2" shapeId="0" xr:uid="{00000000-0006-0000-0B00-000013000000}">
      <text>
        <r>
          <rPr>
            <b/>
            <sz val="9"/>
            <color indexed="81"/>
            <rFont val="Tahoma"/>
            <family val="2"/>
          </rPr>
          <t>Will be used to determine if both occupied buildings are impacted by the same outdoor hazardous chemical release.</t>
        </r>
        <r>
          <rPr>
            <sz val="9"/>
            <color indexed="81"/>
            <rFont val="Tahoma"/>
            <family val="2"/>
          </rPr>
          <t xml:space="preserve">
</t>
        </r>
      </text>
    </comment>
    <comment ref="B18" authorId="0" shapeId="0" xr:uid="{00000000-0006-0000-0B00-000014000000}">
      <text>
        <r>
          <rPr>
            <b/>
            <sz val="10"/>
            <color indexed="81"/>
            <rFont val="Arial Narrow"/>
            <family val="2"/>
          </rPr>
          <t>Access of Emergency Services is based on a total process area greater than 10,000 ft</t>
        </r>
        <r>
          <rPr>
            <b/>
            <vertAlign val="superscript"/>
            <sz val="10"/>
            <color indexed="81"/>
            <rFont val="Arial Narrow"/>
            <family val="2"/>
          </rPr>
          <t>2</t>
        </r>
        <r>
          <rPr>
            <b/>
            <sz val="10"/>
            <color indexed="81"/>
            <rFont val="Arial Narrow"/>
            <family val="2"/>
          </rPr>
          <t xml:space="preserve"> (1000 m</t>
        </r>
        <r>
          <rPr>
            <b/>
            <vertAlign val="superscript"/>
            <sz val="10"/>
            <color indexed="81"/>
            <rFont val="Arial Narrow"/>
            <family val="2"/>
          </rPr>
          <t>2</t>
        </r>
        <r>
          <rPr>
            <b/>
            <sz val="10"/>
            <color indexed="81"/>
            <rFont val="Arial Narrow"/>
            <family val="2"/>
          </rPr>
          <t>) or warehouse of 25,000 ft</t>
        </r>
        <r>
          <rPr>
            <b/>
            <vertAlign val="superscript"/>
            <sz val="10"/>
            <color indexed="81"/>
            <rFont val="Arial Narrow"/>
            <family val="2"/>
          </rPr>
          <t>2</t>
        </r>
        <r>
          <rPr>
            <b/>
            <sz val="10"/>
            <color indexed="81"/>
            <rFont val="Arial Narrow"/>
            <family val="2"/>
          </rPr>
          <t xml:space="preserve"> (2500 m</t>
        </r>
        <r>
          <rPr>
            <b/>
            <vertAlign val="superscript"/>
            <sz val="10"/>
            <color indexed="81"/>
            <rFont val="Arial Narrow"/>
            <family val="2"/>
          </rPr>
          <t>2</t>
        </r>
        <r>
          <rPr>
            <b/>
            <sz val="10"/>
            <color indexed="81"/>
            <rFont val="Arial Narrow"/>
            <family val="2"/>
          </rPr>
          <t>).  For smaller areas of inadequate access, enter
"Partially Adequate".  Used for FE Index.</t>
        </r>
      </text>
    </comment>
    <comment ref="G19" authorId="0" shapeId="0" xr:uid="{00000000-0006-0000-0B00-000015000000}">
      <text>
        <r>
          <rPr>
            <b/>
            <sz val="10"/>
            <color indexed="81"/>
            <rFont val="Arial Narrow"/>
            <family val="2"/>
          </rPr>
          <t>A second occupied building may be entered.  Building Ventilation Elevation corrections are not included for Toxic Impacts to this building.  This second building should also be in the same wind direction as the primary occupied building if the equipment is located outdoors.</t>
        </r>
        <r>
          <rPr>
            <sz val="10"/>
            <color indexed="81"/>
            <rFont val="Tahoma"/>
            <family val="2"/>
          </rPr>
          <t xml:space="preserve">
</t>
        </r>
      </text>
    </comment>
    <comment ref="B20" authorId="0" shapeId="0" xr:uid="{00000000-0006-0000-0B00-000016000000}">
      <text>
        <r>
          <rPr>
            <b/>
            <sz val="10"/>
            <color indexed="81"/>
            <rFont val="Arial Narrow"/>
            <family val="2"/>
          </rPr>
          <t>Will limit the area for pool evaporation.  Use area where material may accumulate if drained to a remote area.</t>
        </r>
        <r>
          <rPr>
            <sz val="10"/>
            <color indexed="81"/>
            <rFont val="Tahoma"/>
            <family val="2"/>
          </rPr>
          <t xml:space="preserve">
</t>
        </r>
      </text>
    </comment>
    <comment ref="G20" authorId="2" shapeId="0" xr:uid="{00000000-0006-0000-0B00-000017000000}">
      <text>
        <r>
          <rPr>
            <b/>
            <sz val="10"/>
            <color indexed="81"/>
            <rFont val="Arial Narrow"/>
            <family val="2"/>
          </rPr>
          <t>Typically the elevation of the roof of the building above ground.  Input is used to determine if vapor cloud from a relief discharge will remain above the ventilation inlet (requires relief discharge elevation input to determine). Inlet assumed same elevation as release if blank.</t>
        </r>
      </text>
    </comment>
    <comment ref="B21" authorId="2" shapeId="0" xr:uid="{00000000-0006-0000-0B00-000018000000}">
      <text>
        <r>
          <rPr>
            <b/>
            <sz val="10"/>
            <color indexed="81"/>
            <rFont val="Arial Narrow"/>
            <family val="2"/>
          </rPr>
          <t>"Yes" to consider that "wave" of fluid spills over dike wall or causes dike wall to fail.  Optional, typically only entered if regulatory agency requests.</t>
        </r>
      </text>
    </comment>
    <comment ref="G21" authorId="0" shapeId="0" xr:uid="{00000000-0006-0000-0B00-000019000000}">
      <text>
        <r>
          <rPr>
            <b/>
            <sz val="10"/>
            <color indexed="81"/>
            <rFont val="Arial Narrow"/>
            <family val="2"/>
          </rPr>
          <t>Used to determine if only a portion of a large occupied building or area is damaged in an explosion.  This value should always be greater than the Distance to Occupied Building 2. A default of Distance to Occupied Building 2 is used if this input is blank.</t>
        </r>
      </text>
    </comment>
    <comment ref="B22" authorId="0" shapeId="0" xr:uid="{00000000-0006-0000-0B00-00001A000000}">
      <text>
        <r>
          <rPr>
            <b/>
            <sz val="10"/>
            <color indexed="81"/>
            <rFont val="Arial Narrow"/>
            <family val="2"/>
          </rPr>
          <t>Drainage such that there is no potential for accumulation of burning  material under the tank or vessel.  Storage tanks must drain with greater than 1% slope to remote impoundment at least 50 ft (15 m) from the tank per NFPA 30.  Drainage for process equipment should be "adequate" to carry liquids away and prevent flowing under any tank per API 521.  "Yes" will apply 0.5 credit for NFPA correlation and/or use API correlation for "adequate drainage and firefighting equipment".</t>
        </r>
      </text>
    </comment>
    <comment ref="G22" authorId="0" shapeId="0" xr:uid="{00000000-0006-0000-0B00-00001B000000}">
      <text>
        <r>
          <rPr>
            <b/>
            <sz val="10"/>
            <color indexed="81"/>
            <rFont val="Arial Narrow"/>
            <family val="2"/>
          </rPr>
          <t>Type "Low Strength" for Portable Buildings, Type "Typical Construction" for conventional construction.  The simple methods in RAST do not account for damage to high strength buildings.  A default of "Typical Construction" is assumed if blank.</t>
        </r>
      </text>
    </comment>
    <comment ref="G23" authorId="0" shapeId="0" xr:uid="{00000000-0006-0000-0B00-00001C000000}">
      <text>
        <r>
          <rPr>
            <b/>
            <sz val="10"/>
            <color indexed="81"/>
            <rFont val="Arial Narrow"/>
            <family val="2"/>
          </rPr>
          <t>Typical Ventilation Rate is 2 to 4 air changes per hour.  Input will not effect the Target Factor but may be used to determine if ventilation is a potential protective layer.</t>
        </r>
      </text>
    </comment>
    <comment ref="B24" authorId="0" shapeId="0" xr:uid="{00000000-0006-0000-0B00-00001D000000}">
      <text>
        <r>
          <rPr>
            <b/>
            <sz val="10"/>
            <color indexed="81"/>
            <rFont val="Arial Narrow"/>
            <family val="2"/>
          </rPr>
          <t>This is the quantity of flammables other than the specific chemical contained in the equipment being analyzed in the immediate area (within the same diked area).  Note that flammable is based on Operating Temperature greater than 5 C below the flash point or a flash point less than 60 C.</t>
        </r>
      </text>
    </comment>
    <comment ref="G24" authorId="0" shapeId="0" xr:uid="{00000000-0006-0000-0B00-00001E000000}">
      <text>
        <r>
          <rPr>
            <b/>
            <sz val="10"/>
            <color indexed="81"/>
            <rFont val="Arial Narrow"/>
            <family val="2"/>
          </rPr>
          <t>Typical number of occupants during busiest time of the day for the second occupied building.</t>
        </r>
        <r>
          <rPr>
            <sz val="10"/>
            <color indexed="81"/>
            <rFont val="Arial Narrow"/>
            <family val="2"/>
          </rPr>
          <t xml:space="preserve">
</t>
        </r>
      </text>
    </comment>
    <comment ref="B25" authorId="0" shapeId="0" xr:uid="{00000000-0006-0000-0B00-00001F000000}">
      <text>
        <r>
          <rPr>
            <b/>
            <sz val="10"/>
            <color indexed="81"/>
            <rFont val="Arial Narrow"/>
            <family val="2"/>
          </rPr>
          <t>This is the quantity of flammables in an adjacent area (NOT within the same diked area).  If the flammable is at least 50 ft away, "Blank" or "0" is the appropriate response.  Note that flammable is based on Operating Temperature greater than 5 C below the flash point or a flash point less than 60 C.</t>
        </r>
      </text>
    </comment>
    <comment ref="G25" authorId="0" shapeId="0" xr:uid="{B926D677-E8AF-405E-8BE6-C564209D50CB}">
      <text>
        <r>
          <rPr>
            <b/>
            <sz val="10"/>
            <color indexed="81"/>
            <rFont val="Arial Narrow"/>
            <family val="2"/>
          </rPr>
          <t>For Explosions where building impacts extend beyond the fence line, the fraction of area containing occupied buildings or residences.  A default of 0.5 is used if blank.</t>
        </r>
        <r>
          <rPr>
            <sz val="9"/>
            <color indexed="81"/>
            <rFont val="Tahoma"/>
            <family val="2"/>
          </rPr>
          <t xml:space="preserve">
</t>
        </r>
      </text>
    </comment>
    <comment ref="B26" authorId="0" shapeId="0" xr:uid="{00000000-0006-0000-0B00-000020000000}">
      <text>
        <r>
          <rPr>
            <b/>
            <sz val="10"/>
            <color indexed="81"/>
            <rFont val="Arial Narrow"/>
            <family val="2"/>
          </rPr>
          <t>Used for estimated of fire duration from spill into an adjacent diked area.</t>
        </r>
        <r>
          <rPr>
            <sz val="10"/>
            <color indexed="81"/>
            <rFont val="Tahoma"/>
            <family val="2"/>
          </rPr>
          <t xml:space="preserve">
</t>
        </r>
      </text>
    </comment>
    <comment ref="G26" authorId="0" shapeId="0" xr:uid="{74601D73-7D9B-4D8A-BBF7-749B7EBEF659}">
      <text>
        <r>
          <rPr>
            <b/>
            <sz val="10"/>
            <color indexed="81"/>
            <rFont val="Arial Narrow"/>
            <family val="2"/>
          </rPr>
          <t>Type "Low Strength" for Portable Buildings, Type "Typical Construction" for conventional construction. A default of "Typical Construction" is assumed if blank.</t>
        </r>
        <r>
          <rPr>
            <sz val="9"/>
            <color indexed="81"/>
            <rFont val="Tahoma"/>
            <family val="2"/>
          </rPr>
          <t xml:space="preserve">
</t>
        </r>
      </text>
    </comment>
    <comment ref="B27" authorId="2" shapeId="0" xr:uid="{00000000-0006-0000-0B00-000021000000}">
      <text>
        <r>
          <rPr>
            <b/>
            <sz val="10"/>
            <color indexed="81"/>
            <rFont val="Arial Narrow"/>
            <family val="2"/>
          </rPr>
          <t>Will Limit Quantity of Flammable/Unstable Material for F&amp;EI.</t>
        </r>
        <r>
          <rPr>
            <sz val="9"/>
            <color indexed="81"/>
            <rFont val="Tahoma"/>
            <family val="2"/>
          </rPr>
          <t xml:space="preserve">
</t>
        </r>
      </text>
    </comment>
    <comment ref="G29" authorId="0" shapeId="0" xr:uid="{00000000-0006-0000-0B00-000022000000}">
      <text>
        <r>
          <rPr>
            <b/>
            <sz val="10"/>
            <color indexed="81"/>
            <rFont val="Arial Narrow"/>
            <family val="2"/>
          </rPr>
          <t>Yes if spills have a path to soil would result in environmental consequence requiring remediation.</t>
        </r>
      </text>
    </comment>
    <comment ref="B30" authorId="0" shapeId="0" xr:uid="{00000000-0006-0000-0B00-000024000000}">
      <text>
        <r>
          <rPr>
            <b/>
            <sz val="10"/>
            <color indexed="81"/>
            <rFont val="Arial Narrow"/>
            <family val="2"/>
          </rPr>
          <t>Enclosed Process Area would also include a structure with only a roof and two sides</t>
        </r>
        <r>
          <rPr>
            <sz val="10"/>
            <color indexed="81"/>
            <rFont val="Arial Narrow"/>
            <family val="2"/>
          </rPr>
          <t xml:space="preserve">
</t>
        </r>
      </text>
    </comment>
    <comment ref="G30" authorId="0" shapeId="0" xr:uid="{00000000-0006-0000-0B00-000023000000}">
      <text>
        <r>
          <rPr>
            <b/>
            <sz val="10"/>
            <color indexed="81"/>
            <rFont val="Arial Narrow"/>
            <family val="2"/>
          </rPr>
          <t>Yes if there is a potential for spills to directly enter a waterway.</t>
        </r>
      </text>
    </comment>
    <comment ref="B31" authorId="0" shapeId="0" xr:uid="{00000000-0006-0000-0B00-000025000000}">
      <text>
        <r>
          <rPr>
            <b/>
            <sz val="10"/>
            <color indexed="81"/>
            <rFont val="Arial Narrow"/>
            <family val="2"/>
          </rPr>
          <t>A typical "natural" ventilation for semi-enclosed process area is typically 1 air change per hour.  Input will not effect the Target Factor but may be used to determine if ventilation is a potential protective layer.  A value greater than 4 is assumed to meet "proper ventilation" to reduce F&amp;EI penalty for indoor processing.</t>
        </r>
      </text>
    </comment>
    <comment ref="B32" authorId="0" shapeId="0" xr:uid="{00000000-0006-0000-0B00-000026000000}">
      <text>
        <r>
          <rPr>
            <b/>
            <sz val="10"/>
            <color indexed="81"/>
            <rFont val="Arial Narrow"/>
            <family val="2"/>
          </rPr>
          <t>Typical maximum number of operations personnel in the indoor operating area.  A default of 2 is used if left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Ken First</author>
    <author>u070091</author>
  </authors>
  <commentList>
    <comment ref="B13" authorId="0" shapeId="0" xr:uid="{00000000-0006-0000-0C00-000001000000}">
      <text>
        <r>
          <rPr>
            <b/>
            <sz val="10"/>
            <color indexed="81"/>
            <rFont val="Arial Narrow"/>
            <family val="2"/>
          </rPr>
          <t xml:space="preserve">Often reported with testing information.  Exothermic heat of reaction is negative.
For ARC data, </t>
        </r>
        <r>
          <rPr>
            <b/>
            <sz val="10"/>
            <color indexed="81"/>
            <rFont val="Symbol"/>
            <family val="1"/>
            <charset val="2"/>
          </rPr>
          <t>D</t>
        </r>
        <r>
          <rPr>
            <b/>
            <sz val="10"/>
            <color indexed="81"/>
            <rFont val="Arial Narrow"/>
            <family val="2"/>
          </rPr>
          <t>H</t>
        </r>
        <r>
          <rPr>
            <b/>
            <vertAlign val="subscript"/>
            <sz val="10"/>
            <color indexed="81"/>
            <rFont val="Arial Narrow"/>
            <family val="2"/>
          </rPr>
          <t>R</t>
        </r>
        <r>
          <rPr>
            <b/>
            <sz val="10"/>
            <color indexed="81"/>
            <rFont val="Arial Narrow"/>
            <family val="2"/>
          </rPr>
          <t xml:space="preserve"> is the observed temperature rise (</t>
        </r>
        <r>
          <rPr>
            <b/>
            <vertAlign val="superscript"/>
            <sz val="10"/>
            <color indexed="81"/>
            <rFont val="Arial Narrow"/>
            <family val="2"/>
          </rPr>
          <t>o</t>
        </r>
        <r>
          <rPr>
            <b/>
            <sz val="10"/>
            <color indexed="81"/>
            <rFont val="Arial Narrow"/>
            <family val="2"/>
          </rPr>
          <t xml:space="preserve">C) times the </t>
        </r>
        <r>
          <rPr>
            <b/>
            <sz val="10"/>
            <color indexed="81"/>
            <rFont val="Symbol"/>
            <family val="1"/>
            <charset val="2"/>
          </rPr>
          <t>F</t>
        </r>
        <r>
          <rPr>
            <b/>
            <sz val="10"/>
            <color indexed="81"/>
            <rFont val="Arial Narrow"/>
            <family val="2"/>
          </rPr>
          <t xml:space="preserve"> factor times the liquid heat capacity (typically assumed to be 0.5 cal/gm </t>
        </r>
        <r>
          <rPr>
            <b/>
            <vertAlign val="superscript"/>
            <sz val="10"/>
            <color indexed="81"/>
            <rFont val="Arial Narrow"/>
            <family val="2"/>
          </rPr>
          <t>o</t>
        </r>
        <r>
          <rPr>
            <b/>
            <sz val="10"/>
            <color indexed="81"/>
            <rFont val="Arial Narrow"/>
            <family val="2"/>
          </rPr>
          <t>C)</t>
        </r>
      </text>
    </comment>
    <comment ref="B14" authorId="0" shapeId="0" xr:uid="{00000000-0006-0000-0C00-000002000000}">
      <text>
        <r>
          <rPr>
            <b/>
            <sz val="10"/>
            <color indexed="81"/>
            <rFont val="Arial Narrow"/>
            <family val="2"/>
          </rPr>
          <t xml:space="preserve">Typical values range from 15 to 50 Kcal/mole with 25-30 as most common.  Must be entered for Reaction Rate to be considered.  </t>
        </r>
        <r>
          <rPr>
            <b/>
            <sz val="10"/>
            <color indexed="81"/>
            <rFont val="Symbol"/>
            <family val="1"/>
            <charset val="2"/>
          </rPr>
          <t>D</t>
        </r>
        <r>
          <rPr>
            <b/>
            <sz val="10"/>
            <color indexed="81"/>
            <rFont val="Arial Narrow"/>
            <family val="2"/>
          </rPr>
          <t xml:space="preserve">E may be estimated from two datapoint of an ARC test - see below.  It may also be estimated from the Detected Onset Temperature as:
</t>
        </r>
        <r>
          <rPr>
            <b/>
            <sz val="10"/>
            <color indexed="81"/>
            <rFont val="Symbol"/>
            <family val="1"/>
            <charset val="2"/>
          </rPr>
          <t>D</t>
        </r>
        <r>
          <rPr>
            <b/>
            <sz val="10"/>
            <color indexed="81"/>
            <rFont val="Arial Narrow"/>
            <family val="2"/>
          </rPr>
          <t>E = 0.079 (T</t>
        </r>
        <r>
          <rPr>
            <b/>
            <sz val="8"/>
            <color indexed="81"/>
            <rFont val="Arial Narrow"/>
            <family val="2"/>
          </rPr>
          <t>o</t>
        </r>
        <r>
          <rPr>
            <b/>
            <sz val="10"/>
            <color indexed="81"/>
            <rFont val="Arial Narrow"/>
            <family val="2"/>
          </rPr>
          <t xml:space="preserve"> + 273.15) for T</t>
        </r>
        <r>
          <rPr>
            <b/>
            <sz val="8"/>
            <color indexed="81"/>
            <rFont val="Arial Narrow"/>
            <family val="2"/>
          </rPr>
          <t>o</t>
        </r>
        <r>
          <rPr>
            <b/>
            <sz val="10"/>
            <color indexed="81"/>
            <rFont val="Arial Narrow"/>
            <family val="2"/>
          </rPr>
          <t xml:space="preserve"> in deg C.</t>
        </r>
      </text>
    </comment>
    <comment ref="B17" authorId="0" shapeId="0" xr:uid="{00000000-0006-0000-0C00-000003000000}">
      <text>
        <r>
          <rPr>
            <b/>
            <sz val="10"/>
            <color indexed="81"/>
            <rFont val="Arial Narrow"/>
            <family val="2"/>
          </rPr>
          <t>For liquid-phase reaction is Kg moles of gas generated per liter of reaction mixture.  It may be estimated from temperature and pressure data - see below.
For vapor-phase reaction, is moles products / moles reactants.</t>
        </r>
      </text>
    </comment>
    <comment ref="B18" authorId="1" shapeId="0" xr:uid="{00000000-0006-0000-0C00-000004000000}">
      <text>
        <r>
          <rPr>
            <b/>
            <sz val="10"/>
            <color indexed="81"/>
            <rFont val="Arial Narrow"/>
            <family val="2"/>
          </rPr>
          <t>Gas Generation at a Temperature less than the Detected Onset Temperature may indicate a complex reaction that may not be addressed well by simple first-order kinetics.</t>
        </r>
      </text>
    </comment>
    <comment ref="B19" authorId="1" shapeId="0" xr:uid="{00000000-0006-0000-0C00-000005000000}">
      <text>
        <r>
          <rPr>
            <b/>
            <sz val="10"/>
            <color indexed="81"/>
            <rFont val="Arial Narrow"/>
            <family val="2"/>
          </rPr>
          <t>Inhibited Monomer may exhibit "Autocatalytic" Behavior with apparent induction time.</t>
        </r>
        <r>
          <rPr>
            <sz val="9"/>
            <color indexed="81"/>
            <rFont val="Tahoma"/>
            <family val="2"/>
          </rPr>
          <t xml:space="preserve">
</t>
        </r>
      </text>
    </comment>
    <comment ref="B20" authorId="0" shapeId="0" xr:uid="{00000000-0006-0000-0C00-000006000000}">
      <text>
        <r>
          <rPr>
            <b/>
            <sz val="10"/>
            <color indexed="81"/>
            <rFont val="Arial Narrow"/>
            <family val="2"/>
          </rPr>
          <t>Normal Range is 1.5 to 3</t>
        </r>
      </text>
    </comment>
    <comment ref="B22" authorId="0" shapeId="0" xr:uid="{00000000-0006-0000-0C00-000007000000}">
      <text>
        <r>
          <rPr>
            <b/>
            <sz val="10"/>
            <color indexed="81"/>
            <rFont val="Arial Narrow"/>
            <family val="2"/>
          </rPr>
          <t>Based on cal/gm total reaction mixture</t>
        </r>
        <r>
          <rPr>
            <sz val="10"/>
            <color indexed="81"/>
            <rFont val="Tahoma"/>
            <family val="2"/>
          </rPr>
          <t xml:space="preserve">
</t>
        </r>
      </text>
    </comment>
    <comment ref="B23" authorId="1" shapeId="0" xr:uid="{00000000-0006-0000-0C00-000008000000}">
      <text>
        <r>
          <rPr>
            <b/>
            <sz val="10"/>
            <color indexed="81"/>
            <rFont val="Arial Narrow"/>
            <family val="2"/>
          </rPr>
          <t>Used only in F&amp;EI where Reaction penalty is only taken if the equipment is a reactor and the Intended Reaction Type is not entered below.</t>
        </r>
        <r>
          <rPr>
            <sz val="10"/>
            <color indexed="81"/>
            <rFont val="Arial Narrow"/>
            <family val="2"/>
          </rPr>
          <t xml:space="preserve">
</t>
        </r>
      </text>
    </comment>
    <comment ref="B24" authorId="0" shapeId="0" xr:uid="{00000000-0006-0000-0C00-000009000000}">
      <text>
        <r>
          <rPr>
            <b/>
            <sz val="10"/>
            <color indexed="81"/>
            <rFont val="Arial Narrow"/>
            <family val="2"/>
          </rPr>
          <t>The quantity of impurity or catalyst is assumed sufficient so that the Temperature of No Return is set to greater than Operating Temperature.  An example would include "catalytic" decomposition of hydrogen peroxide by trace metals.</t>
        </r>
        <r>
          <rPr>
            <sz val="10"/>
            <color indexed="81"/>
            <rFont val="Arial Narrow"/>
            <family val="2"/>
          </rPr>
          <t xml:space="preserve">
</t>
        </r>
      </text>
    </comment>
    <comment ref="B25" authorId="0" shapeId="0" xr:uid="{00000000-0006-0000-0C00-00000A000000}">
      <text>
        <r>
          <rPr>
            <b/>
            <sz val="10"/>
            <color indexed="81"/>
            <rFont val="Arial Narrow"/>
            <family val="2"/>
          </rPr>
          <t>Pooling is only meaningful for situations where reaction rate is normally limited by reactant feedrate</t>
        </r>
        <r>
          <rPr>
            <b/>
            <sz val="10"/>
            <color indexed="81"/>
            <rFont val="Tahoma"/>
            <family val="2"/>
          </rPr>
          <t>.</t>
        </r>
        <r>
          <rPr>
            <sz val="10"/>
            <color indexed="81"/>
            <rFont val="Tahoma"/>
            <family val="2"/>
          </rPr>
          <t xml:space="preserve">
</t>
        </r>
      </text>
    </comment>
    <comment ref="B26" authorId="0" shapeId="0" xr:uid="{00000000-0006-0000-0C00-00000B000000}">
      <text>
        <r>
          <rPr>
            <b/>
            <sz val="10"/>
            <color indexed="81"/>
            <rFont val="Arial Narrow"/>
            <family val="2"/>
          </rPr>
          <t>Estimated as Temperature and Rate of Reactant Phase assuming no heat loss to second liquid phase.</t>
        </r>
      </text>
    </comment>
    <comment ref="B27" authorId="0" shapeId="0" xr:uid="{00000000-0006-0000-0C00-00000C000000}">
      <text>
        <r>
          <rPr>
            <b/>
            <sz val="10"/>
            <color indexed="81"/>
            <rFont val="Arial Narrow"/>
            <family val="2"/>
          </rPr>
          <t>Fraction of above Heat of Reaction representing the "worst case" fraction of total reactants "pooled" at initial conditions.</t>
        </r>
        <r>
          <rPr>
            <sz val="10"/>
            <color indexed="81"/>
            <rFont val="Tahoma"/>
            <family val="2"/>
          </rPr>
          <t xml:space="preserve">
</t>
        </r>
      </text>
    </comment>
    <comment ref="B29" authorId="0" shapeId="0" xr:uid="{00000000-0006-0000-0C00-00000D000000}">
      <text>
        <r>
          <rPr>
            <b/>
            <sz val="10"/>
            <color indexed="81"/>
            <rFont val="Arial Narrow"/>
            <family val="2"/>
          </rPr>
          <t>Multiple of the Heat of Reaction above.  For example, if reaction data is based on 50 % solvent and "worst case" mis-loading is omission of all solvent, the multiple is roughly 2.0</t>
        </r>
        <r>
          <rPr>
            <sz val="10"/>
            <color indexed="81"/>
            <rFont val="Tahoma"/>
            <family val="2"/>
          </rPr>
          <t xml:space="preserve">
</t>
        </r>
      </text>
    </comment>
    <comment ref="B30" authorId="0" shapeId="0" xr:uid="{00000000-0006-0000-0C00-00000E000000}">
      <text>
        <r>
          <rPr>
            <b/>
            <sz val="10"/>
            <color indexed="81"/>
            <rFont val="Arial Narrow"/>
            <family val="2"/>
          </rPr>
          <t>NFPA Reactivity of 2 or higher with no Reaction Input.  Answer "No" if no reactivity concern.</t>
        </r>
        <r>
          <rPr>
            <sz val="10"/>
            <color indexed="81"/>
            <rFont val="Tahoma"/>
            <family val="2"/>
          </rPr>
          <t xml:space="preserve">
</t>
        </r>
      </text>
    </comment>
    <comment ref="B33" authorId="0" shapeId="0" xr:uid="{00000000-0006-0000-0C00-00000F000000}">
      <text>
        <r>
          <rPr>
            <b/>
            <sz val="10"/>
            <color indexed="81"/>
            <rFont val="Arial Narrow"/>
            <family val="2"/>
          </rPr>
          <t>Potential for Deflagration or Detonation.  Blast energy from equipment rupture will be based on  0.5 TNT equivalent of the contained mass.</t>
        </r>
        <r>
          <rPr>
            <sz val="9"/>
            <color indexed="81"/>
            <rFont val="Tahoma"/>
            <family val="2"/>
          </rPr>
          <t xml:space="preserve">
</t>
        </r>
      </text>
    </comment>
    <comment ref="C42" authorId="1" shapeId="0" xr:uid="{00000000-0006-0000-0C00-000010000000}">
      <text>
        <r>
          <rPr>
            <b/>
            <sz val="10"/>
            <color indexed="81"/>
            <rFont val="Arial Narrow"/>
            <family val="2"/>
          </rPr>
          <t>Described in Britton, L., "Spontaneous Fires in Insulation", Plant/Operations Progress ,Vol 10 (Jan 1991)</t>
        </r>
      </text>
    </comment>
    <comment ref="B45" authorId="1" shapeId="0" xr:uid="{00000000-0006-0000-0C00-000011000000}">
      <text>
        <r>
          <rPr>
            <b/>
            <sz val="8"/>
            <color indexed="81"/>
            <rFont val="Arial Narrow"/>
            <family val="2"/>
          </rPr>
          <t>Insulation, Common Vapors  ~0.01 to 0.1 watt/m C
Common Liquid and Solids  ~0.1 to 1 watt/m C
Conductors (metals)   ~20 to 400 watt/m C</t>
        </r>
      </text>
    </comment>
    <comment ref="B49" authorId="0" shapeId="0" xr:uid="{00000000-0006-0000-0C00-000012000000}">
      <text>
        <r>
          <rPr>
            <b/>
            <sz val="10"/>
            <color indexed="81"/>
            <rFont val="Arial Narrow"/>
            <family val="2"/>
          </rPr>
          <t>Use two heat rates at two temperatures from the lower half of the temperature or conversion range.</t>
        </r>
        <r>
          <rPr>
            <sz val="10"/>
            <color indexed="81"/>
            <rFont val="Arial Narrow"/>
            <family val="2"/>
          </rPr>
          <t xml:space="preserve">
</t>
        </r>
      </text>
    </comment>
    <comment ref="B50" authorId="0" shapeId="0" xr:uid="{00000000-0006-0000-0C00-000013000000}">
      <text>
        <r>
          <rPr>
            <b/>
            <sz val="10"/>
            <color indexed="81"/>
            <rFont val="Arial Narrow"/>
            <family val="2"/>
          </rPr>
          <t>Use two heat rates at two temperatures from the lower half of the temperature or conversion range.</t>
        </r>
      </text>
    </comment>
    <comment ref="B55" authorId="0" shapeId="0" xr:uid="{00000000-0006-0000-0C00-000014000000}">
      <text>
        <r>
          <rPr>
            <b/>
            <sz val="10"/>
            <color indexed="81"/>
            <rFont val="Arial Narrow"/>
            <family val="2"/>
          </rPr>
          <t>Use a pressure data point matched to a temperature near the end of the experiment.</t>
        </r>
        <r>
          <rPr>
            <sz val="10"/>
            <color indexed="81"/>
            <rFont val="Arial Narrow"/>
            <family val="2"/>
          </rPr>
          <t xml:space="preserve">
</t>
        </r>
      </text>
    </comment>
    <comment ref="D55" authorId="0" shapeId="0" xr:uid="{00000000-0006-0000-0C00-000015000000}">
      <text>
        <r>
          <rPr>
            <b/>
            <sz val="10"/>
            <color indexed="81"/>
            <rFont val="Tahoma"/>
            <family val="2"/>
          </rPr>
          <t>Pressure in atm</t>
        </r>
        <r>
          <rPr>
            <sz val="10"/>
            <color indexed="81"/>
            <rFont val="Tahoma"/>
            <family val="2"/>
          </rPr>
          <t xml:space="preserve">
</t>
        </r>
      </text>
    </comment>
    <comment ref="E55" authorId="0" shapeId="0" xr:uid="{00000000-0006-0000-0C00-000016000000}">
      <text>
        <r>
          <rPr>
            <b/>
            <sz val="10"/>
            <color indexed="81"/>
            <rFont val="Tahoma"/>
            <family val="2"/>
          </rPr>
          <t>Temperature in deg C</t>
        </r>
        <r>
          <rPr>
            <sz val="10"/>
            <color indexed="81"/>
            <rFont val="Tahoma"/>
            <family val="2"/>
          </rPr>
          <t xml:space="preserve">
</t>
        </r>
      </text>
    </comment>
    <comment ref="B57" authorId="0" shapeId="0" xr:uid="{00000000-0006-0000-0C00-000017000000}">
      <text>
        <r>
          <rPr>
            <b/>
            <sz val="10"/>
            <color indexed="81"/>
            <rFont val="Arial Narrow"/>
            <family val="2"/>
          </rPr>
          <t>For liquids represents Gas Generated per Volume reaction mixture assuming sample container at 55% fill level.
For vapor reactions represents moles products / moles reactants.</t>
        </r>
      </text>
    </comment>
    <comment ref="J58" authorId="0" shapeId="0" xr:uid="{00000000-0006-0000-0C00-000018000000}">
      <text>
        <r>
          <rPr>
            <b/>
            <sz val="10"/>
            <color indexed="81"/>
            <rFont val="Arial Narrow"/>
            <family val="2"/>
          </rPr>
          <t>Use ARC data if available.  For DSC, the detection limit is roughly 1.5</t>
        </r>
        <r>
          <rPr>
            <b/>
            <vertAlign val="superscript"/>
            <sz val="10"/>
            <color indexed="81"/>
            <rFont val="Arial Narrow"/>
            <family val="2"/>
          </rPr>
          <t>o</t>
        </r>
        <r>
          <rPr>
            <b/>
            <sz val="10"/>
            <color indexed="81"/>
            <rFont val="Arial Narrow"/>
            <family val="2"/>
          </rPr>
          <t>C/min equivalent.</t>
        </r>
      </text>
    </comment>
    <comment ref="J59" authorId="0" shapeId="0" xr:uid="{00000000-0006-0000-0C00-000019000000}">
      <text>
        <r>
          <rPr>
            <b/>
            <sz val="10"/>
            <color indexed="81"/>
            <rFont val="Arial Narrow"/>
            <family val="2"/>
          </rPr>
          <t>Based on maximum adiabatic rate of energy release which correlates well to limited incident history and the Yoshida correlation for potential detonation.</t>
        </r>
      </text>
    </comment>
    <comment ref="G60" authorId="0" shapeId="0" xr:uid="{00000000-0006-0000-0C00-00001A000000}">
      <text>
        <r>
          <rPr>
            <b/>
            <sz val="10"/>
            <color indexed="81"/>
            <rFont val="Arial Narrow"/>
            <family val="2"/>
          </rPr>
          <t>Based on the lesser of extrapolated vapor pressure or moles of the entire contents at the maximum adiabatic temperature and vessel volume as an ideal gas.  Pressure in Atm-absolute.</t>
        </r>
      </text>
    </comment>
    <comment ref="C61" authorId="0" shapeId="0" xr:uid="{00000000-0006-0000-0C00-00001B000000}">
      <text>
        <r>
          <rPr>
            <b/>
            <u/>
            <sz val="10"/>
            <color indexed="81"/>
            <rFont val="Arial Narrow"/>
            <family val="2"/>
          </rPr>
          <t xml:space="preserve">Time to Maximum Rate </t>
        </r>
        <r>
          <rPr>
            <b/>
            <sz val="10"/>
            <color indexed="81"/>
            <rFont val="Arial Narrow"/>
            <family val="2"/>
          </rPr>
          <t>based on time for heat up plus time to maximum reaction rate based on zero order reaction excluding heat losses.</t>
        </r>
        <r>
          <rPr>
            <sz val="10"/>
            <color indexed="81"/>
            <rFont val="Tahoma"/>
            <family val="2"/>
          </rPr>
          <t xml:space="preserve">
</t>
        </r>
      </text>
    </comment>
    <comment ref="E61" authorId="1" shapeId="0" xr:uid="{00000000-0006-0000-0C00-00001C000000}">
      <text>
        <r>
          <rPr>
            <b/>
            <sz val="9"/>
            <color indexed="81"/>
            <rFont val="Tahoma"/>
            <family val="2"/>
          </rPr>
          <t>Excludes Pressure Generation consideration</t>
        </r>
        <r>
          <rPr>
            <sz val="9"/>
            <color indexed="81"/>
            <rFont val="Tahoma"/>
            <family val="2"/>
          </rPr>
          <t xml:space="preserve">
</t>
        </r>
      </text>
    </comment>
    <comment ref="G61" authorId="0" shapeId="0" xr:uid="{00000000-0006-0000-0C00-00001D000000}">
      <text>
        <r>
          <rPr>
            <b/>
            <sz val="10"/>
            <color indexed="81"/>
            <rFont val="Arial Narrow"/>
            <family val="2"/>
          </rPr>
          <t>Temperature of No Return based on natural convection from surface area to  ambient air.</t>
        </r>
      </text>
    </comment>
    <comment ref="G62" authorId="0" shapeId="0" xr:uid="{00000000-0006-0000-0C00-00001E000000}">
      <text>
        <r>
          <rPr>
            <b/>
            <sz val="10"/>
            <color indexed="81"/>
            <rFont val="Arial Narrow"/>
            <family val="2"/>
          </rPr>
          <t>Temperature of No Return based on Coolant Temperature, Heat Transfer, and Area entered.</t>
        </r>
      </text>
    </comment>
    <comment ref="BB64" authorId="0" shapeId="0" xr:uid="{00000000-0006-0000-0C00-00001F000000}">
      <text>
        <r>
          <rPr>
            <b/>
            <sz val="10"/>
            <color indexed="81"/>
            <rFont val="Arial Narrow"/>
            <family val="2"/>
          </rPr>
          <t>If reaction is complete before reaching the temperature at relief (or normal boiling point), use the max reaction rate to estimate a max vent rate.</t>
        </r>
        <r>
          <rPr>
            <sz val="10"/>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First</author>
  </authors>
  <commentList>
    <comment ref="K23" authorId="0" shapeId="0" xr:uid="{00000000-0006-0000-0D00-000001000000}">
      <text>
        <r>
          <rPr>
            <b/>
            <sz val="10"/>
            <color indexed="81"/>
            <rFont val="Arial Narrow"/>
            <family val="2"/>
          </rPr>
          <t>Density of air at atmospheric pressure and 25 C is 1.185 gm/liter or 0.074 lb/cu ft.</t>
        </r>
      </text>
    </comment>
    <comment ref="C31" authorId="0" shapeId="0" xr:uid="{00000000-0006-0000-0D00-000002000000}">
      <text>
        <r>
          <rPr>
            <b/>
            <sz val="10"/>
            <color indexed="81"/>
            <rFont val="Arial Narrow"/>
            <family val="2"/>
          </rPr>
          <t>Typical Glass Lined Steel Jacketed Vessels</t>
        </r>
        <r>
          <rPr>
            <sz val="10"/>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First</author>
  </authors>
  <commentList>
    <comment ref="B4" authorId="0" shapeId="0" xr:uid="{00000000-0006-0000-0F00-000001000000}">
      <text>
        <r>
          <rPr>
            <b/>
            <sz val="10"/>
            <color indexed="81"/>
            <rFont val="Tahoma"/>
            <family val="2"/>
          </rPr>
          <t>Excludes Warehouse or Yard Storage</t>
        </r>
        <r>
          <rPr>
            <sz val="10"/>
            <color indexed="81"/>
            <rFont val="Tahoma"/>
            <family val="2"/>
          </rPr>
          <t xml:space="preserve">
</t>
        </r>
      </text>
    </comment>
    <comment ref="P41" authorId="0" shapeId="0" xr:uid="{00000000-0006-0000-0F00-000002000000}">
      <text>
        <r>
          <rPr>
            <b/>
            <sz val="10"/>
            <color indexed="81"/>
            <rFont val="Arial Narrow"/>
            <family val="2"/>
          </rPr>
          <t>Limit to 10 Minute Spill Quantity if an Isotainer, Tote, Truck, or Railcar AND there is an Actuated EBV to Limit Source Spill Potential.</t>
        </r>
      </text>
    </comment>
    <comment ref="D47" authorId="0" shapeId="0" xr:uid="{00000000-0006-0000-0F00-000003000000}">
      <text>
        <r>
          <rPr>
            <b/>
            <sz val="10"/>
            <color indexed="81"/>
            <rFont val="Arial Narrow"/>
            <family val="2"/>
          </rPr>
          <t>Based on typical Heat of Combustion of 10,000 Kcal/K</t>
        </r>
        <r>
          <rPr>
            <b/>
            <sz val="10"/>
            <color indexed="81"/>
            <rFont val="Tahoma"/>
            <family val="2"/>
          </rPr>
          <t>g.</t>
        </r>
      </text>
    </comment>
    <comment ref="D48" authorId="0" shapeId="0" xr:uid="{00000000-0006-0000-0F00-000004000000}">
      <text>
        <r>
          <rPr>
            <b/>
            <sz val="10"/>
            <color indexed="81"/>
            <rFont val="Arial Narrow"/>
            <family val="2"/>
          </rPr>
          <t>Based on typical Heat of Combustion of 10,000 Kcal/K</t>
        </r>
        <r>
          <rPr>
            <b/>
            <sz val="10"/>
            <color indexed="81"/>
            <rFont val="Tahoma"/>
            <family val="2"/>
          </rPr>
          <t>g.</t>
        </r>
      </text>
    </comment>
    <comment ref="D49" authorId="0" shapeId="0" xr:uid="{00000000-0006-0000-0F00-000005000000}">
      <text>
        <r>
          <rPr>
            <b/>
            <sz val="10"/>
            <color indexed="81"/>
            <rFont val="Arial Narrow"/>
            <family val="2"/>
          </rPr>
          <t>Based on typical Heat of Combustion of 10,000 Kcal/K</t>
        </r>
        <r>
          <rPr>
            <b/>
            <sz val="10"/>
            <color indexed="81"/>
            <rFont val="Tahoma"/>
            <family val="2"/>
          </rPr>
          <t>g.</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Ken First</author>
    <author>u070091</author>
  </authors>
  <commentList>
    <comment ref="O36" authorId="0" shapeId="0" xr:uid="{A615C9DB-ABB0-428F-A2E8-01A00E29C552}">
      <text>
        <r>
          <rPr>
            <b/>
            <sz val="10"/>
            <color indexed="81"/>
            <rFont val="Arial Narrow"/>
            <family val="2"/>
          </rPr>
          <t>Value based on limiting exposure duration for on-site toxic cases</t>
        </r>
        <r>
          <rPr>
            <sz val="9"/>
            <color indexed="81"/>
            <rFont val="Tahoma"/>
            <family val="2"/>
          </rPr>
          <t xml:space="preserve">
</t>
        </r>
      </text>
    </comment>
    <comment ref="C79" authorId="1" shapeId="0" xr:uid="{00000000-0006-0000-1000-000001000000}">
      <text>
        <r>
          <rPr>
            <b/>
            <sz val="9"/>
            <color indexed="81"/>
            <rFont val="Arial Narrow"/>
            <family val="2"/>
          </rPr>
          <t>Limited to a maximum of 4 hours</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u070091</author>
    <author>Ken First</author>
  </authors>
  <commentList>
    <comment ref="C11" authorId="0" shapeId="0" xr:uid="{00000000-0006-0000-1200-000001000000}">
      <text>
        <r>
          <rPr>
            <b/>
            <sz val="9"/>
            <color indexed="81"/>
            <rFont val="Arial Narrow"/>
            <family val="2"/>
          </rPr>
          <t>Considered as Storage per API 521 and OSHA 1910.</t>
        </r>
        <r>
          <rPr>
            <sz val="9"/>
            <color indexed="81"/>
            <rFont val="Tahoma"/>
            <family val="2"/>
          </rPr>
          <t xml:space="preserve">
</t>
        </r>
      </text>
    </comment>
    <comment ref="I17" authorId="0" shapeId="0" xr:uid="{00000000-0006-0000-1200-000002000000}">
      <text>
        <r>
          <rPr>
            <b/>
            <sz val="10"/>
            <color indexed="81"/>
            <rFont val="Arial Narrow"/>
            <family val="2"/>
          </rPr>
          <t xml:space="preserve">Based on a typical burn rate of 0.006 cm/sec for hydrocarbons.   Gasoline represents 0.007 cm/sec (Ref CCPS). </t>
        </r>
        <r>
          <rPr>
            <sz val="9"/>
            <color indexed="81"/>
            <rFont val="Tahoma"/>
            <family val="2"/>
          </rPr>
          <t xml:space="preserve">
</t>
        </r>
      </text>
    </comment>
    <comment ref="Y17" authorId="1" shapeId="0" xr:uid="{00000000-0006-0000-1200-000003000000}">
      <text>
        <r>
          <rPr>
            <b/>
            <sz val="10"/>
            <color indexed="81"/>
            <rFont val="Arial Narrow"/>
            <family val="2"/>
          </rPr>
          <t>Assume density of 1 Kg/liter for other flammable in area.</t>
        </r>
        <r>
          <rPr>
            <sz val="10"/>
            <color indexed="81"/>
            <rFont val="Tahoma"/>
            <family val="2"/>
          </rPr>
          <t xml:space="preserve">
</t>
        </r>
      </text>
    </comment>
    <comment ref="C18" authorId="0" shapeId="0" xr:uid="{00000000-0006-0000-1200-000004000000}">
      <text>
        <r>
          <rPr>
            <sz val="10"/>
            <color indexed="81"/>
            <rFont val="Arial Narrow"/>
            <family val="2"/>
          </rPr>
          <t>Vertical distance a liquid release would travel to reach a surface where liquid would form a pool.  If left blank, an elevation of 1 m is used.</t>
        </r>
        <r>
          <rPr>
            <sz val="9"/>
            <color indexed="81"/>
            <rFont val="Tahoma"/>
            <family val="2"/>
          </rPr>
          <t xml:space="preserve">
</t>
        </r>
      </text>
    </comment>
    <comment ref="Q18" authorId="0" shapeId="0" xr:uid="{00000000-0006-0000-1200-000005000000}">
      <text>
        <r>
          <rPr>
            <b/>
            <sz val="10"/>
            <color indexed="81"/>
            <rFont val="Arial Narrow"/>
            <family val="2"/>
          </rPr>
          <t>Heat Input for Direct Fire (Not Self Leakage) excludes drainage credit as equipment is assumed engulfed in fire if drainage fails.</t>
        </r>
        <r>
          <rPr>
            <sz val="9"/>
            <color indexed="81"/>
            <rFont val="Tahoma"/>
            <family val="2"/>
          </rPr>
          <t xml:space="preserve">
</t>
        </r>
      </text>
    </comment>
    <comment ref="Q19" authorId="0" shapeId="0" xr:uid="{00000000-0006-0000-1200-000006000000}">
      <text>
        <r>
          <rPr>
            <b/>
            <sz val="10"/>
            <color indexed="81"/>
            <rFont val="Arial Narrow"/>
            <family val="2"/>
          </rPr>
          <t>Heat Input for Self Leakage includes drainage credit as the flaming pool is assumed offset from the equipment if diked area is sloped and drainage to remote location fails.</t>
        </r>
        <r>
          <rPr>
            <sz val="10"/>
            <color indexed="81"/>
            <rFont val="Arial Narrow"/>
            <family val="2"/>
          </rPr>
          <t xml:space="preserve">
</t>
        </r>
      </text>
    </comment>
    <comment ref="C20" authorId="0" shapeId="0" xr:uid="{00000000-0006-0000-1200-000007000000}">
      <text>
        <r>
          <rPr>
            <sz val="10"/>
            <color indexed="81"/>
            <rFont val="Arial Narrow"/>
            <family val="2"/>
          </rPr>
          <t>Will apply a credit of 0.3 for Process Vessel and Equipment per NFPA 30 or a credit of 0.05 for Storage or Low Pressure Vessels per API 521.</t>
        </r>
        <r>
          <rPr>
            <sz val="9"/>
            <color indexed="81"/>
            <rFont val="Tahoma"/>
            <family val="2"/>
          </rPr>
          <t xml:space="preserve">
</t>
        </r>
      </text>
    </comment>
    <comment ref="C21" authorId="1" shapeId="0" xr:uid="{00000000-0006-0000-1200-000008000000}">
      <text>
        <r>
          <rPr>
            <b/>
            <sz val="10"/>
            <color indexed="81"/>
            <rFont val="Arial Narrow"/>
            <family val="2"/>
          </rPr>
          <t>Greater than 1% slope away from the vessel with no potential for accumulation of burning  material under the vessel.</t>
        </r>
      </text>
    </comment>
    <comment ref="C22" authorId="1" shapeId="0" xr:uid="{00000000-0006-0000-1200-000009000000}">
      <text>
        <r>
          <rPr>
            <b/>
            <sz val="10"/>
            <color indexed="81"/>
            <rFont val="Arial Narrow"/>
            <family val="2"/>
          </rPr>
          <t>Will limit the area for pool evaporation.  Use area where material may accumulate if drained to a remote area.</t>
        </r>
        <r>
          <rPr>
            <sz val="10"/>
            <color indexed="81"/>
            <rFont val="Tahoma"/>
            <family val="2"/>
          </rPr>
          <t xml:space="preserve">
</t>
        </r>
      </text>
    </comment>
    <comment ref="C23" authorId="1" shapeId="0" xr:uid="{00000000-0006-0000-1200-00000A000000}">
      <text>
        <r>
          <rPr>
            <b/>
            <sz val="10"/>
            <color indexed="81"/>
            <rFont val="Arial Narrow"/>
            <family val="2"/>
          </rPr>
          <t>Will limit the area for pool evaporation.  Use area where material may accumulate if drained to a remote area.</t>
        </r>
        <r>
          <rPr>
            <sz val="10"/>
            <color indexed="81"/>
            <rFont val="Tahoma"/>
            <family val="2"/>
          </rPr>
          <t xml:space="preserve">
</t>
        </r>
      </text>
    </comment>
    <comment ref="I23" authorId="0" shapeId="0" xr:uid="{00000000-0006-0000-1200-00000B000000}">
      <text>
        <r>
          <rPr>
            <b/>
            <sz val="9"/>
            <color indexed="81"/>
            <rFont val="Tahoma"/>
            <family val="2"/>
          </rPr>
          <t>Based on a Liquid Density of 800 kg/m</t>
        </r>
        <r>
          <rPr>
            <b/>
            <vertAlign val="superscript"/>
            <sz val="9"/>
            <color indexed="81"/>
            <rFont val="Tahoma"/>
            <family val="2"/>
          </rPr>
          <t>3</t>
        </r>
        <r>
          <rPr>
            <b/>
            <sz val="9"/>
            <color indexed="81"/>
            <rFont val="Tahoma"/>
            <family val="2"/>
          </rPr>
          <t xml:space="preserve"> for other flammables in immediate area</t>
        </r>
      </text>
    </comment>
    <comment ref="C24" authorId="1" shapeId="0" xr:uid="{00000000-0006-0000-1200-00000C000000}">
      <text>
        <r>
          <rPr>
            <b/>
            <sz val="10"/>
            <color indexed="81"/>
            <rFont val="Arial Narrow"/>
            <family val="2"/>
          </rPr>
          <t>This is the quantity of flammables other than the specific chemical contained in the equipment being analyzed in the immediate area (within the same diked area).  Note that flammable is based on Operating Temperature greater than 5 C below the flash point or a flash point less than 60 C.</t>
        </r>
      </text>
    </comment>
    <comment ref="C25" authorId="1" shapeId="0" xr:uid="{00000000-0006-0000-1200-00000D000000}">
      <text>
        <r>
          <rPr>
            <b/>
            <sz val="10"/>
            <color indexed="81"/>
            <rFont val="Arial Narrow"/>
            <family val="2"/>
          </rPr>
          <t>This is the quantity of flammables  in an adjacent area (NOT within the same diked area).  If the flammable is at least 50 ft away, "Blank" or "0" is the appropriate response.  Note that flammable is based on Operating Temperature greater than 5 C below the flash point or a flash point less than 60 C.</t>
        </r>
      </text>
    </comment>
    <comment ref="C30" authorId="0" shapeId="0" xr:uid="{00000000-0006-0000-1200-00000E000000}">
      <text>
        <r>
          <rPr>
            <b/>
            <sz val="10"/>
            <color indexed="81"/>
            <rFont val="Arial Narrow"/>
            <family val="2"/>
          </rPr>
          <t>Typically this is the temperature at a pressure of 2 MAWP.</t>
        </r>
        <r>
          <rPr>
            <sz val="9"/>
            <color indexed="81"/>
            <rFont val="Tahoma"/>
            <family val="2"/>
          </rPr>
          <t xml:space="preserve">
</t>
        </r>
      </text>
    </comment>
    <comment ref="I32" authorId="0" shapeId="0" xr:uid="{00000000-0006-0000-1200-00000F000000}">
      <text>
        <r>
          <rPr>
            <b/>
            <sz val="10"/>
            <color indexed="81"/>
            <rFont val="Arial Narrow"/>
            <family val="2"/>
          </rPr>
          <t>Based on an average liquid density of 800 kg/m</t>
        </r>
        <r>
          <rPr>
            <b/>
            <vertAlign val="superscript"/>
            <sz val="10"/>
            <color indexed="81"/>
            <rFont val="Arial Narrow"/>
            <family val="2"/>
          </rPr>
          <t>3</t>
        </r>
        <r>
          <rPr>
            <b/>
            <sz val="10"/>
            <color indexed="81"/>
            <rFont val="Arial Narrow"/>
            <family val="2"/>
          </rPr>
          <t>.</t>
        </r>
      </text>
    </comment>
    <comment ref="D36" authorId="0" shapeId="0" xr:uid="{00000000-0006-0000-1200-000010000000}">
      <text>
        <r>
          <rPr>
            <b/>
            <sz val="10"/>
            <color indexed="81"/>
            <rFont val="Arial Narrow"/>
            <family val="2"/>
          </rPr>
          <t xml:space="preserve">Scenarios would include all spills or leaks of flammable materials within the same process area as the equipment being analyzed.  </t>
        </r>
        <r>
          <rPr>
            <b/>
            <i/>
            <sz val="10"/>
            <color indexed="81"/>
            <rFont val="Arial Narrow"/>
            <family val="2"/>
          </rPr>
          <t>Examples include:
* Overfill
* Overpressure leading to relief discharge
* Overpressure leading to equipment failure
* Mechanical Integrity Failures (gaskets or holes)
* Open Drains or Vents
* Mechanical Seal Failures</t>
        </r>
      </text>
    </comment>
    <comment ref="B37" authorId="0" shapeId="0" xr:uid="{00000000-0006-0000-1200-000011000000}">
      <text>
        <r>
          <rPr>
            <b/>
            <sz val="10"/>
            <color indexed="81"/>
            <rFont val="Arial Narrow"/>
            <family val="2"/>
          </rPr>
          <t>Scenarios would include all spills or leaks of flammable materials within the same process area as the equipment being analyzed.  Examples include:
* Overfill
* Overpressure leading to relief discharge
* Overpressure leading to equipment failure
* Mechanical Integrity Failures (gaskets or holes)
* Open Drains or Vents
* Mechanical Seal Failures</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u070091</author>
  </authors>
  <commentList>
    <comment ref="V18" authorId="0" shapeId="0" xr:uid="{00000000-0006-0000-1300-000001000000}">
      <text>
        <r>
          <rPr>
            <b/>
            <sz val="10"/>
            <color indexed="81"/>
            <rFont val="Arial Narrow"/>
            <family val="2"/>
          </rPr>
          <t>HD2 and HD3 Time Scale Factor</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Ken First</author>
    <author>David Veazey</author>
  </authors>
  <commentList>
    <comment ref="BJ2" authorId="0" shapeId="0" xr:uid="{00000000-0006-0000-1400-000001000000}">
      <text>
        <r>
          <rPr>
            <b/>
            <sz val="10"/>
            <color indexed="81"/>
            <rFont val="Tahoma"/>
            <family val="2"/>
          </rPr>
          <t>Each Scenario Type must have, at least, one Incident Type</t>
        </r>
      </text>
    </comment>
    <comment ref="AL3" authorId="1" shapeId="0" xr:uid="{00000000-0006-0000-1400-000002000000}">
      <text>
        <r>
          <rPr>
            <sz val="10"/>
            <color indexed="81"/>
            <rFont val="Arabic Transparent"/>
            <charset val="178"/>
          </rPr>
          <t>Human Failure (routine well-documented procedure, well trained, unstressed, not fatigued) Action greater than once per quarter procedure execution</t>
        </r>
      </text>
    </comment>
    <comment ref="AN3" authorId="1" shapeId="0" xr:uid="{00000000-0006-0000-1400-000003000000}">
      <text>
        <r>
          <rPr>
            <sz val="10"/>
            <color indexed="81"/>
            <rFont val="Arial Narrow"/>
            <family val="2"/>
          </rPr>
          <t>Human Failure (routine well-documented procedure, well trained, unstressed, not fatigued) Action less than once per quarter procedure execution</t>
        </r>
      </text>
    </comment>
    <comment ref="AZ3" authorId="0" shapeId="0" xr:uid="{00000000-0006-0000-1400-000004000000}">
      <text>
        <r>
          <rPr>
            <b/>
            <sz val="10"/>
            <color indexed="81"/>
            <rFont val="Arial Narrow"/>
            <family val="2"/>
          </rPr>
          <t xml:space="preserve">Was called - Mag Drive or Canned Pump Containment Failure
</t>
        </r>
        <r>
          <rPr>
            <sz val="10"/>
            <color indexed="81"/>
            <rFont val="Tahoma"/>
            <family val="2"/>
          </rPr>
          <t xml:space="preserve">
</t>
        </r>
      </text>
    </comment>
    <comment ref="AX4" authorId="0" shapeId="0" xr:uid="{00000000-0006-0000-1400-000005000000}">
      <text>
        <r>
          <rPr>
            <sz val="10"/>
            <color indexed="81"/>
            <rFont val="Arial Narrow"/>
            <family val="2"/>
          </rPr>
          <t>Frequency of 10</t>
        </r>
        <r>
          <rPr>
            <vertAlign val="superscript"/>
            <sz val="10"/>
            <color indexed="81"/>
            <rFont val="Arial Narrow"/>
            <family val="2"/>
          </rPr>
          <t>-2</t>
        </r>
        <r>
          <rPr>
            <sz val="10"/>
            <color indexed="81"/>
            <rFont val="Arial Narrow"/>
            <family val="2"/>
          </rPr>
          <t>/year represents a "full" seal failure equivalent to roughly 10 mm hole.  This represents a "worst case" incident.</t>
        </r>
        <r>
          <rPr>
            <sz val="9"/>
            <color indexed="81"/>
            <rFont val="Tahoma"/>
            <family val="2"/>
          </rPr>
          <t xml:space="preserve">
</t>
        </r>
      </text>
    </comment>
    <comment ref="AY4" authorId="0" shapeId="0" xr:uid="{00000000-0006-0000-1400-000006000000}">
      <text>
        <r>
          <rPr>
            <sz val="9"/>
            <color indexed="81"/>
            <rFont val="Tahoma"/>
            <family val="2"/>
          </rPr>
          <t xml:space="preserve">Seal failure indication by seal pot level or other is considered a protective layer rather than a reduced frequency of failure.
</t>
        </r>
      </text>
    </comment>
    <comment ref="C18" authorId="0" shapeId="0" xr:uid="{00000000-0006-0000-1400-000007000000}">
      <text>
        <r>
          <rPr>
            <b/>
            <sz val="9"/>
            <color indexed="81"/>
            <rFont val="Tahoma"/>
            <family val="2"/>
          </rPr>
          <t>Specific for Low Design Pressure Equipment that may have a separate liquid overfill and vent.</t>
        </r>
        <r>
          <rPr>
            <sz val="9"/>
            <color indexed="81"/>
            <rFont val="Tahoma"/>
            <family val="2"/>
          </rPr>
          <t xml:space="preserve">
</t>
        </r>
      </text>
    </comment>
    <comment ref="C45" authorId="0" shapeId="0" xr:uid="{00000000-0006-0000-1400-000008000000}">
      <text>
        <r>
          <rPr>
            <sz val="10"/>
            <color indexed="81"/>
            <rFont val="Tahoma"/>
            <family val="2"/>
          </rPr>
          <t xml:space="preserve">This LOPC scenario specificially to address Relief Device Leakage which is from top of vessel except if hydraulically full.
</t>
        </r>
      </text>
    </comment>
    <comment ref="BJ71" authorId="0" shapeId="0" xr:uid="{00000000-0006-0000-1400-000009000000}">
      <text>
        <r>
          <rPr>
            <b/>
            <sz val="10"/>
            <color indexed="81"/>
            <rFont val="Tahoma"/>
            <family val="2"/>
          </rPr>
          <t>Each Scenario Type must have, at least, one Incident Type</t>
        </r>
      </text>
    </comment>
    <comment ref="AL72" authorId="1" shapeId="0" xr:uid="{00000000-0006-0000-1400-00000A000000}">
      <text>
        <r>
          <rPr>
            <sz val="10"/>
            <color indexed="81"/>
            <rFont val="Arabic Transparent"/>
            <charset val="178"/>
          </rPr>
          <t>Operator Failure (frequent routine procedure, well trained, unstressed, not fatigued) Action more than once per quarter</t>
        </r>
      </text>
    </comment>
    <comment ref="AN72" authorId="1" shapeId="0" xr:uid="{00000000-0006-0000-1400-00000B000000}">
      <text>
        <r>
          <rPr>
            <sz val="10"/>
            <color indexed="81"/>
            <rFont val="Arabic Transparent"/>
            <charset val="178"/>
          </rPr>
          <t>Operator Failure (frequent routine procedure, well trained, unstressed, not fatigued) Action more than once per quarter</t>
        </r>
      </text>
    </comment>
    <comment ref="AZ72" authorId="0" shapeId="0" xr:uid="{00000000-0006-0000-1400-00000C000000}">
      <text>
        <r>
          <rPr>
            <b/>
            <sz val="10"/>
            <color indexed="81"/>
            <rFont val="Arial Narrow"/>
            <family val="2"/>
          </rPr>
          <t xml:space="preserve">Was called - Mag Drive or Canned Pump Containment Failure
</t>
        </r>
        <r>
          <rPr>
            <sz val="10"/>
            <color indexed="81"/>
            <rFont val="Tahoma"/>
            <family val="2"/>
          </rPr>
          <t xml:space="preserve">
</t>
        </r>
      </text>
    </comment>
    <comment ref="BJ133" authorId="0" shapeId="0" xr:uid="{00000000-0006-0000-1400-00000D000000}">
      <text>
        <r>
          <rPr>
            <b/>
            <sz val="10"/>
            <color indexed="81"/>
            <rFont val="Tahoma"/>
            <family val="2"/>
          </rPr>
          <t>Each Scenario Type must have, at least, one Incident Type</t>
        </r>
      </text>
    </comment>
    <comment ref="AL134" authorId="1" shapeId="0" xr:uid="{00000000-0006-0000-1400-00000E000000}">
      <text>
        <r>
          <rPr>
            <sz val="10"/>
            <color indexed="81"/>
            <rFont val="Arabic Transparent"/>
            <charset val="178"/>
          </rPr>
          <t>Operator Failure (frequent routine procedure, well trained, unstressed, not fatigued) Action more than once per quarter</t>
        </r>
      </text>
    </comment>
    <comment ref="AN134" authorId="1" shapeId="0" xr:uid="{00000000-0006-0000-1400-00000F000000}">
      <text>
        <r>
          <rPr>
            <sz val="10"/>
            <color indexed="81"/>
            <rFont val="Arabic Transparent"/>
            <charset val="178"/>
          </rPr>
          <t>Operator Failure (frequent routine procedure, well trained, unstressed, not fatigued) Action more than once per quarter</t>
        </r>
      </text>
    </comment>
    <comment ref="AZ134" authorId="0" shapeId="0" xr:uid="{00000000-0006-0000-1400-000010000000}">
      <text>
        <r>
          <rPr>
            <b/>
            <sz val="10"/>
            <color indexed="81"/>
            <rFont val="Arial Narrow"/>
            <family val="2"/>
          </rPr>
          <t xml:space="preserve">Was called - Mag Drive or Canned Pump Containment Failure
</t>
        </r>
        <r>
          <rPr>
            <sz val="10"/>
            <color indexed="81"/>
            <rFont val="Tahoma"/>
            <family val="2"/>
          </rPr>
          <t xml:space="preserve">
</t>
        </r>
      </text>
    </comment>
    <comment ref="BJ195" authorId="0" shapeId="0" xr:uid="{00000000-0006-0000-1400-000011000000}">
      <text>
        <r>
          <rPr>
            <b/>
            <sz val="10"/>
            <color indexed="81"/>
            <rFont val="Tahoma"/>
            <family val="2"/>
          </rPr>
          <t>Each Scenario Type must have, at least, one Incident Type</t>
        </r>
      </text>
    </comment>
    <comment ref="AL196" authorId="1" shapeId="0" xr:uid="{00000000-0006-0000-1400-000012000000}">
      <text>
        <r>
          <rPr>
            <sz val="10"/>
            <color indexed="81"/>
            <rFont val="Arabic Transparent"/>
            <charset val="178"/>
          </rPr>
          <t>Operator Failure (frequent routine procedure, well trained, unstressed, not fatigued) Action more than once per quarter</t>
        </r>
      </text>
    </comment>
    <comment ref="AN196" authorId="1" shapeId="0" xr:uid="{00000000-0006-0000-1400-000013000000}">
      <text>
        <r>
          <rPr>
            <sz val="10"/>
            <color indexed="81"/>
            <rFont val="Arabic Transparent"/>
            <charset val="178"/>
          </rPr>
          <t>Operator Failure (frequent routine procedure, well trained, unstressed, not fatigued) Action more than once per quarter</t>
        </r>
      </text>
    </comment>
    <comment ref="AZ196" authorId="0" shapeId="0" xr:uid="{00000000-0006-0000-1400-000014000000}">
      <text>
        <r>
          <rPr>
            <b/>
            <sz val="10"/>
            <color indexed="81"/>
            <rFont val="Arial Narrow"/>
            <family val="2"/>
          </rPr>
          <t xml:space="preserve">Was called - Mag Drive or Canned Pump Containment Failure
</t>
        </r>
        <r>
          <rPr>
            <sz val="10"/>
            <color indexed="81"/>
            <rFont val="Tahoma"/>
            <family val="2"/>
          </rPr>
          <t xml:space="preserve">
</t>
        </r>
      </text>
    </comment>
    <comment ref="AL258" authorId="1" shapeId="0" xr:uid="{00000000-0006-0000-1400-000015000000}">
      <text>
        <r>
          <rPr>
            <sz val="10"/>
            <color indexed="81"/>
            <rFont val="Arabic Transparent"/>
            <charset val="178"/>
          </rPr>
          <t>Operator Failure (frequent routine procedure, well trained, unstressed, not fatigued) Action more than once per quarter</t>
        </r>
      </text>
    </comment>
    <comment ref="AZ258" authorId="0" shapeId="0" xr:uid="{00000000-0006-0000-1400-000016000000}">
      <text>
        <r>
          <rPr>
            <b/>
            <sz val="10"/>
            <color indexed="81"/>
            <rFont val="Arial Narrow"/>
            <family val="2"/>
          </rPr>
          <t xml:space="preserve">Was called - Mag Drive or Canned Pump Containment Failure
</t>
        </r>
        <r>
          <rPr>
            <sz val="10"/>
            <color indexed="81"/>
            <rFont val="Tahoma"/>
            <family val="2"/>
          </rPr>
          <t xml:space="preserve">
</t>
        </r>
      </text>
    </comment>
    <comment ref="B265" authorId="0" shapeId="0" xr:uid="{00000000-0006-0000-1400-000017000000}">
      <text>
        <r>
          <rPr>
            <b/>
            <sz val="10"/>
            <color indexed="81"/>
            <rFont val="Arial Narrow"/>
            <family val="2"/>
          </rPr>
          <t>Was previously named ElectroStatic Discharge</t>
        </r>
        <r>
          <rPr>
            <sz val="10"/>
            <color indexed="81"/>
            <rFont val="Tahoma"/>
            <family val="2"/>
          </rPr>
          <t xml:space="preserve">
</t>
        </r>
      </text>
    </comment>
    <comment ref="B269" authorId="0" shapeId="0" xr:uid="{00000000-0006-0000-1400-000018000000}">
      <text>
        <r>
          <rPr>
            <b/>
            <sz val="10"/>
            <color indexed="81"/>
            <rFont val="Tahoma"/>
            <family val="2"/>
          </rPr>
          <t>Was "Excessive Inert Flow"</t>
        </r>
      </text>
    </comment>
    <comment ref="B298" authorId="0" shapeId="0" xr:uid="{00000000-0006-0000-1400-000019000000}">
      <text>
        <r>
          <rPr>
            <sz val="10"/>
            <color indexed="81"/>
            <rFont val="Tahoma"/>
            <family val="2"/>
          </rPr>
          <t xml:space="preserve">This LOPC scenario specificially to address Relief Device Leakage which is from top of vessel except if hydraulically full.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Kevin Hersey</author>
    <author>Kevin Appold</author>
  </authors>
  <commentList>
    <comment ref="B31" authorId="0" shapeId="0" xr:uid="{00000000-0006-0000-1600-000001000000}">
      <text>
        <r>
          <rPr>
            <sz val="9"/>
            <color indexed="81"/>
            <rFont val="Tahoma"/>
            <family val="2"/>
          </rPr>
          <t>To select a Property Damage and Business Loss Consequence, first change Outcome to Property Damage or Business Loss</t>
        </r>
      </text>
    </comment>
    <comment ref="I52" authorId="1" shapeId="0" xr:uid="{00000000-0006-0000-1600-000002000000}">
      <text>
        <r>
          <rPr>
            <b/>
            <sz val="8"/>
            <color indexed="81"/>
            <rFont val="Tahoma"/>
            <family val="2"/>
          </rPr>
          <t>Threshold criteria for analysis is a target factor greater than 5 for off-site releases and greater than 4 for all others</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Ken First</author>
    <author>Kevin Appold</author>
    <author>948</author>
    <author>u070091</author>
  </authors>
  <commentList>
    <comment ref="AI3" authorId="0" shapeId="0" xr:uid="{00000000-0006-0000-1700-000001000000}">
      <text>
        <r>
          <rPr>
            <b/>
            <sz val="10"/>
            <color indexed="81"/>
            <rFont val="Arial Narrow"/>
            <family val="2"/>
          </rPr>
          <t>Determines Off-Site Toxic Scenario</t>
        </r>
        <r>
          <rPr>
            <sz val="10"/>
            <color indexed="81"/>
            <rFont val="Tahoma"/>
            <family val="2"/>
          </rPr>
          <t xml:space="preserve">
</t>
        </r>
      </text>
    </comment>
    <comment ref="AK3" authorId="0" shapeId="0" xr:uid="{00000000-0006-0000-1700-000002000000}">
      <text>
        <r>
          <rPr>
            <b/>
            <sz val="10"/>
            <color indexed="81"/>
            <rFont val="Arial Narrow"/>
            <family val="2"/>
          </rPr>
          <t>Determines Off-Site Toxic Scenario</t>
        </r>
        <r>
          <rPr>
            <sz val="10"/>
            <color indexed="81"/>
            <rFont val="Tahoma"/>
            <family val="2"/>
          </rPr>
          <t xml:space="preserve">
</t>
        </r>
      </text>
    </comment>
    <comment ref="AM3" authorId="0" shapeId="0" xr:uid="{00000000-0006-0000-1700-000003000000}">
      <text>
        <r>
          <rPr>
            <b/>
            <sz val="10"/>
            <color indexed="81"/>
            <rFont val="Arial Narrow"/>
            <family val="2"/>
          </rPr>
          <t>Used for On-Site Toxic Scenarios</t>
        </r>
        <r>
          <rPr>
            <sz val="10"/>
            <color indexed="81"/>
            <rFont val="Arial Narrow"/>
            <family val="2"/>
          </rPr>
          <t xml:space="preserve">
</t>
        </r>
      </text>
    </comment>
    <comment ref="AO3" authorId="0" shapeId="0" xr:uid="{00000000-0006-0000-1700-000004000000}">
      <text>
        <r>
          <rPr>
            <b/>
            <sz val="10"/>
            <color indexed="81"/>
            <rFont val="Arial Narrow"/>
            <family val="2"/>
          </rPr>
          <t>Used for On-Site Toxic Scenarios</t>
        </r>
        <r>
          <rPr>
            <sz val="10"/>
            <color indexed="81"/>
            <rFont val="Arial Narrow"/>
            <family val="2"/>
          </rPr>
          <t xml:space="preserve">
</t>
        </r>
      </text>
    </comment>
    <comment ref="AP3" authorId="0" shapeId="0" xr:uid="{00000000-0006-0000-1700-000005000000}">
      <text>
        <r>
          <rPr>
            <b/>
            <sz val="10"/>
            <color indexed="81"/>
            <rFont val="Arial Narrow"/>
            <family val="2"/>
          </rPr>
          <t>Used for On-Site Toxic Scenarios</t>
        </r>
        <r>
          <rPr>
            <sz val="10"/>
            <color indexed="81"/>
            <rFont val="Arial Narrow"/>
            <family val="2"/>
          </rPr>
          <t xml:space="preserve">
</t>
        </r>
      </text>
    </comment>
    <comment ref="AQ3" authorId="0" shapeId="0" xr:uid="{00000000-0006-0000-1700-000006000000}">
      <text>
        <r>
          <rPr>
            <b/>
            <sz val="10"/>
            <color indexed="81"/>
            <rFont val="Arial Narrow"/>
            <family val="2"/>
          </rPr>
          <t>Used for On-Site Toxic Scenarios</t>
        </r>
        <r>
          <rPr>
            <sz val="10"/>
            <color indexed="81"/>
            <rFont val="Arial Narrow"/>
            <family val="2"/>
          </rPr>
          <t xml:space="preserve">
</t>
        </r>
      </text>
    </comment>
    <comment ref="AR3" authorId="0" shapeId="0" xr:uid="{00000000-0006-0000-1700-000007000000}">
      <text>
        <r>
          <rPr>
            <b/>
            <sz val="10"/>
            <color indexed="81"/>
            <rFont val="Arial Narrow"/>
            <family val="2"/>
          </rPr>
          <t>Used for On-Site Toxic Scenarios</t>
        </r>
        <r>
          <rPr>
            <sz val="10"/>
            <color indexed="81"/>
            <rFont val="Arial Narrow"/>
            <family val="2"/>
          </rPr>
          <t xml:space="preserve">
</t>
        </r>
      </text>
    </comment>
    <comment ref="BH3" authorId="0" shapeId="0" xr:uid="{00000000-0006-0000-1700-000008000000}">
      <text>
        <r>
          <rPr>
            <b/>
            <sz val="10"/>
            <color indexed="81"/>
            <rFont val="Arial Narrow"/>
            <family val="2"/>
          </rPr>
          <t>Default is Type 1 Building is 1 psi overpressure.</t>
        </r>
        <r>
          <rPr>
            <sz val="10"/>
            <color indexed="81"/>
            <rFont val="Tahoma"/>
            <family val="2"/>
          </rPr>
          <t xml:space="preserve">
</t>
        </r>
      </text>
    </comment>
    <comment ref="BJ3" authorId="0" shapeId="0" xr:uid="{00000000-0006-0000-1700-000009000000}">
      <text>
        <r>
          <rPr>
            <b/>
            <sz val="10"/>
            <color indexed="81"/>
            <rFont val="Arial Narrow"/>
            <family val="2"/>
          </rPr>
          <t>Default is Type 1 Building is 1 psi overpressure.</t>
        </r>
        <r>
          <rPr>
            <sz val="10"/>
            <color indexed="81"/>
            <rFont val="Tahoma"/>
            <family val="2"/>
          </rPr>
          <t xml:space="preserve">
</t>
        </r>
      </text>
    </comment>
    <comment ref="BL3" authorId="0" shapeId="0" xr:uid="{49A364FE-3C23-413A-B31A-D7046A582806}">
      <text>
        <r>
          <rPr>
            <b/>
            <sz val="10"/>
            <color indexed="81"/>
            <rFont val="Arial Narrow"/>
            <family val="2"/>
          </rPr>
          <t>Default is Type 1 Building is 1 psi overpressure.</t>
        </r>
        <r>
          <rPr>
            <sz val="10"/>
            <color indexed="81"/>
            <rFont val="Tahoma"/>
            <family val="2"/>
          </rPr>
          <t xml:space="preserve">
</t>
        </r>
      </text>
    </comment>
    <comment ref="BN3" authorId="0" shapeId="0" xr:uid="{00000000-0006-0000-1700-00000A000000}">
      <text>
        <r>
          <rPr>
            <b/>
            <sz val="10"/>
            <color indexed="81"/>
            <rFont val="Arial Narrow"/>
            <family val="2"/>
          </rPr>
          <t>Default is Type 1 Building is 1 psi overpressure.</t>
        </r>
        <r>
          <rPr>
            <sz val="10"/>
            <color indexed="81"/>
            <rFont val="Tahoma"/>
            <family val="2"/>
          </rPr>
          <t xml:space="preserve">
</t>
        </r>
      </text>
    </comment>
    <comment ref="BO3" authorId="0" shapeId="0" xr:uid="{00000000-0006-0000-1700-00000B000000}">
      <text>
        <r>
          <rPr>
            <b/>
            <sz val="10"/>
            <color indexed="81"/>
            <rFont val="Arial Narrow"/>
            <family val="2"/>
          </rPr>
          <t>Default is Type 1 Building is 1 psi overpressure.</t>
        </r>
        <r>
          <rPr>
            <sz val="10"/>
            <color indexed="81"/>
            <rFont val="Tahoma"/>
            <family val="2"/>
          </rPr>
          <t xml:space="preserve">
</t>
        </r>
      </text>
    </comment>
    <comment ref="BT3" authorId="0" shapeId="0" xr:uid="{00000000-0006-0000-1700-00000C000000}">
      <text>
        <r>
          <rPr>
            <b/>
            <sz val="10"/>
            <color indexed="81"/>
            <rFont val="Arial Narrow"/>
            <family val="2"/>
          </rPr>
          <t>Default is Type 1 Building is 1 psi overpressure.</t>
        </r>
        <r>
          <rPr>
            <sz val="10"/>
            <color indexed="81"/>
            <rFont val="Tahoma"/>
            <family val="2"/>
          </rPr>
          <t xml:space="preserve">
</t>
        </r>
      </text>
    </comment>
    <comment ref="BU3" authorId="0" shapeId="0" xr:uid="{00000000-0006-0000-1700-00000D000000}">
      <text>
        <r>
          <rPr>
            <b/>
            <sz val="10"/>
            <color indexed="81"/>
            <rFont val="Arial Narrow"/>
            <family val="2"/>
          </rPr>
          <t>Default is Type 1 Building is 1 psi overpressure.</t>
        </r>
        <r>
          <rPr>
            <sz val="10"/>
            <color indexed="81"/>
            <rFont val="Tahoma"/>
            <family val="2"/>
          </rPr>
          <t xml:space="preserve">
</t>
        </r>
      </text>
    </comment>
    <comment ref="CF3" authorId="0" shapeId="0" xr:uid="{00000000-0006-0000-1700-00000E000000}">
      <text>
        <r>
          <rPr>
            <b/>
            <sz val="10"/>
            <color indexed="81"/>
            <rFont val="Tahoma"/>
            <family val="2"/>
          </rPr>
          <t>Ignore if potential for Vapor Cloud Explosion</t>
        </r>
        <r>
          <rPr>
            <sz val="10"/>
            <color indexed="81"/>
            <rFont val="Tahoma"/>
            <family val="2"/>
          </rPr>
          <t xml:space="preserve">
</t>
        </r>
      </text>
    </comment>
    <comment ref="FR3" authorId="0" shapeId="0" xr:uid="{00000000-0006-0000-1700-00000F000000}">
      <text>
        <r>
          <rPr>
            <sz val="10"/>
            <color indexed="81"/>
            <rFont val="Tahoma"/>
            <family val="2"/>
          </rPr>
          <t>If Source Pressure or Reaction Peak Pressure or Deflagration Pressure greater than 2X MAWP, assume credible.
If potential for Physical and Distance to Occupied Area is Less Than Explosion 2 psi Overpressure Distance, use Target Factor =
    6 for 1-2 Occupants Effected
    7 for 3-9 Occupants Effected
    8 for &gt;9 Occupants Effected</t>
        </r>
        <r>
          <rPr>
            <sz val="10"/>
            <color indexed="81"/>
            <rFont val="Tahoma"/>
            <family val="2"/>
          </rPr>
          <t xml:space="preserve">
</t>
        </r>
      </text>
    </comment>
    <comment ref="HD3" authorId="0" shapeId="0" xr:uid="{00000000-0006-0000-1700-000010000000}">
      <text>
        <r>
          <rPr>
            <b/>
            <sz val="10"/>
            <color indexed="81"/>
            <rFont val="Tahoma"/>
            <family val="2"/>
          </rPr>
          <t>Ignore if potential for Vapor Cloud Explosion</t>
        </r>
        <r>
          <rPr>
            <sz val="10"/>
            <color indexed="81"/>
            <rFont val="Tahoma"/>
            <family val="2"/>
          </rPr>
          <t xml:space="preserve">
</t>
        </r>
      </text>
    </comment>
    <comment ref="E4" authorId="0" shapeId="0" xr:uid="{00000000-0006-0000-1700-000011000000}">
      <text>
        <r>
          <rPr>
            <b/>
            <sz val="9"/>
            <color indexed="81"/>
            <rFont val="Tahoma"/>
            <family val="2"/>
          </rPr>
          <t>Ken First:</t>
        </r>
        <r>
          <rPr>
            <sz val="9"/>
            <color indexed="81"/>
            <rFont val="Tahoma"/>
            <family val="2"/>
          </rPr>
          <t xml:space="preserve">
Convergence tolerance to report error on Scenario Results.  Based on overall mass balance.  Actual error is less than reported. </t>
        </r>
      </text>
    </comment>
    <comment ref="F4" authorId="1" shapeId="0" xr:uid="{00000000-0006-0000-1700-000012000000}">
      <text>
        <r>
          <rPr>
            <b/>
            <sz val="10"/>
            <color indexed="81"/>
            <rFont val="Arial Narrow"/>
            <family val="2"/>
          </rPr>
          <t>This unit sets the mass  units for the outcome summary values.</t>
        </r>
      </text>
    </comment>
    <comment ref="R4" authorId="1" shapeId="0" xr:uid="{00000000-0006-0000-1700-000013000000}">
      <text>
        <r>
          <rPr>
            <b/>
            <sz val="10"/>
            <color indexed="81"/>
            <rFont val="Arial Narrow"/>
            <family val="2"/>
          </rPr>
          <t>This unit sets the mass rate units for the outcome summary values.</t>
        </r>
      </text>
    </comment>
    <comment ref="FH35" authorId="2" shapeId="0" xr:uid="{00000000-0006-0000-1700-000014000000}">
      <text>
        <r>
          <rPr>
            <b/>
            <sz val="8"/>
            <color indexed="81"/>
            <rFont val="Tahoma"/>
            <family val="2"/>
          </rPr>
          <t>Macro blanks for all scenarios except Loss of Inert Air Ingress in order to account for internal deflagration.</t>
        </r>
      </text>
    </comment>
    <comment ref="FI35" authorId="2" shapeId="0" xr:uid="{00000000-0006-0000-1700-000015000000}">
      <text>
        <r>
          <rPr>
            <b/>
            <sz val="8"/>
            <color indexed="81"/>
            <rFont val="Tahoma"/>
            <family val="2"/>
          </rPr>
          <t>Macro blanks for all scenarios except Loss of Inert Air Ingress in order to account for internal deflagration.</t>
        </r>
      </text>
    </comment>
    <comment ref="FJ35" authorId="2" shapeId="0" xr:uid="{00000000-0006-0000-1700-000016000000}">
      <text>
        <r>
          <rPr>
            <b/>
            <sz val="8"/>
            <color indexed="81"/>
            <rFont val="Tahoma"/>
            <family val="2"/>
          </rPr>
          <t>Macro blanks for all scenarios except Loss of Inert Air Ingress in order to account for internal deflagration.</t>
        </r>
      </text>
    </comment>
    <comment ref="FL35" authorId="2" shapeId="0" xr:uid="{00000000-0006-0000-1700-000017000000}">
      <text>
        <r>
          <rPr>
            <b/>
            <sz val="8"/>
            <color indexed="81"/>
            <rFont val="Tahoma"/>
            <family val="2"/>
          </rPr>
          <t>Macro blanks for all scenarios except Loss of Inert Air Ingress in order to account for internal deflagration.</t>
        </r>
      </text>
    </comment>
    <comment ref="BV44" authorId="0" shapeId="0" xr:uid="{00000000-0006-0000-1700-000018000000}">
      <text>
        <r>
          <rPr>
            <b/>
            <sz val="10"/>
            <color indexed="81"/>
            <rFont val="Arial Narrow"/>
            <family val="2"/>
          </rPr>
          <t>Limit the Time to Relief as the lesser of Fire Only or Reaction Plus Fire.</t>
        </r>
        <r>
          <rPr>
            <sz val="10"/>
            <color indexed="81"/>
            <rFont val="Tahoma"/>
            <family val="2"/>
          </rPr>
          <t xml:space="preserve">
</t>
        </r>
      </text>
    </comment>
    <comment ref="B50" authorId="3" shapeId="0" xr:uid="{00000000-0006-0000-1700-000019000000}">
      <text>
        <r>
          <rPr>
            <b/>
            <sz val="9"/>
            <color indexed="81"/>
            <rFont val="Tahoma"/>
            <family val="2"/>
          </rPr>
          <t>At this time, failure is assumed a full bore hole leak at normal operating conditions</t>
        </r>
        <r>
          <rPr>
            <sz val="9"/>
            <color indexed="81"/>
            <rFont val="Tahoma"/>
            <family val="2"/>
          </rPr>
          <t xml:space="preserve">
</t>
        </r>
      </text>
    </comment>
    <comment ref="BV51" authorId="2" shapeId="0" xr:uid="{00000000-0006-0000-1700-00001A000000}">
      <text>
        <r>
          <rPr>
            <sz val="10"/>
            <color indexed="81"/>
            <rFont val="Tahoma"/>
            <family val="2"/>
          </rPr>
          <t>Macro transfers time to rupture from Scenario Identification sheet for each scenario here as they are being evaluated.</t>
        </r>
      </text>
    </comment>
    <comment ref="BV52" authorId="2" shapeId="0" xr:uid="{00000000-0006-0000-1700-00001B000000}">
      <text>
        <r>
          <rPr>
            <sz val="10"/>
            <color indexed="81"/>
            <rFont val="Tahoma"/>
            <family val="2"/>
          </rPr>
          <t>Macro transfers time to rupture from Scenario Identification sheet for each scenario here as they are being evaluated.</t>
        </r>
      </text>
    </comment>
    <comment ref="BV53" authorId="2" shapeId="0" xr:uid="{00000000-0006-0000-1700-00001C000000}">
      <text>
        <r>
          <rPr>
            <sz val="10"/>
            <color indexed="81"/>
            <rFont val="Tahoma"/>
            <family val="2"/>
          </rPr>
          <t>Macro transfers time to rupture from Scenario Identification sheet for each scenario here as they are being evaluated.</t>
        </r>
      </text>
    </comment>
    <comment ref="BV54" authorId="2" shapeId="0" xr:uid="{00000000-0006-0000-1700-00001D000000}">
      <text>
        <r>
          <rPr>
            <sz val="10"/>
            <color indexed="81"/>
            <rFont val="Tahoma"/>
            <family val="2"/>
          </rPr>
          <t>Macro transfers time to rupture from Scenario Identification sheet for each scenario here as they are being evaluated.</t>
        </r>
      </text>
    </comment>
    <comment ref="BV55" authorId="2" shapeId="0" xr:uid="{00000000-0006-0000-1700-00001E000000}">
      <text>
        <r>
          <rPr>
            <sz val="10"/>
            <color indexed="81"/>
            <rFont val="Tahoma"/>
            <family val="2"/>
          </rPr>
          <t>Macro transfers time to rupture from Scenario Identification sheet for each scenario here as they are being evaluated.</t>
        </r>
      </text>
    </comment>
    <comment ref="BV56" authorId="2" shapeId="0" xr:uid="{00000000-0006-0000-1700-00001F000000}">
      <text>
        <r>
          <rPr>
            <sz val="10"/>
            <color indexed="81"/>
            <rFont val="Tahoma"/>
            <family val="2"/>
          </rPr>
          <t>Macro transfers time to rupture from Scenario Identification sheet for each scenario here as they are being evaluated.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Kevin Appold</author>
    <author>Ken First</author>
  </authors>
  <commentList>
    <comment ref="A2" authorId="0" shapeId="0" xr:uid="{00000000-0006-0000-1900-000001000000}">
      <text>
        <r>
          <rPr>
            <b/>
            <sz val="9"/>
            <color indexed="81"/>
            <rFont val="Tahoma"/>
            <family val="2"/>
          </rPr>
          <t>Scenario No is of the form X.YY where:
X = integer identifying a unique combination
of Equipment Tag, Scenario Type, Incident Type, 
Key Chemical, Outcome and Consequence
YY = two digit number identifying unique
initiating events of the same type</t>
        </r>
      </text>
    </comment>
    <comment ref="B2" authorId="0" shapeId="0" xr:uid="{00000000-0006-0000-1900-000002000000}">
      <text>
        <r>
          <rPr>
            <b/>
            <sz val="9"/>
            <color indexed="81"/>
            <rFont val="Tahoma"/>
            <family val="2"/>
          </rPr>
          <t>This field is provided to 
enter a cross reference 
where previous LOPA 
scenarios have been 
identified in another 
numbering system.</t>
        </r>
      </text>
    </comment>
    <comment ref="R2" authorId="1" shapeId="0" xr:uid="{00000000-0006-0000-1900-000003000000}">
      <text>
        <r>
          <rPr>
            <b/>
            <sz val="10"/>
            <color indexed="81"/>
            <rFont val="Tahoma"/>
            <family val="2"/>
          </rPr>
          <t>Excludes any pad gas</t>
        </r>
        <r>
          <rPr>
            <sz val="10"/>
            <color indexed="81"/>
            <rFont val="Tahoma"/>
            <family val="2"/>
          </rPr>
          <t xml:space="preserve">
</t>
        </r>
      </text>
    </comment>
    <comment ref="X2" authorId="1" shapeId="0" xr:uid="{00000000-0006-0000-1900-000004000000}">
      <text>
        <r>
          <rPr>
            <b/>
            <sz val="10"/>
            <color indexed="81"/>
            <rFont val="Tahoma"/>
            <family val="2"/>
          </rPr>
          <t>Excludes any pad gas</t>
        </r>
        <r>
          <rPr>
            <sz val="10"/>
            <color indexed="81"/>
            <rFont val="Tahoma"/>
            <family val="2"/>
          </rPr>
          <t xml:space="preserve">
</t>
        </r>
      </text>
    </comment>
    <comment ref="AU2" authorId="1" shapeId="0" xr:uid="{00000000-0006-0000-1900-000005000000}">
      <text>
        <r>
          <rPr>
            <b/>
            <sz val="10"/>
            <color indexed="81"/>
            <rFont val="Arial Narrow"/>
            <family val="2"/>
          </rPr>
          <t>Used for On-Site Toxic Scenarios</t>
        </r>
        <r>
          <rPr>
            <sz val="10"/>
            <color indexed="81"/>
            <rFont val="Arial Narrow"/>
            <family val="2"/>
          </rPr>
          <t xml:space="preserve">
</t>
        </r>
      </text>
    </comment>
    <comment ref="AW2" authorId="1" shapeId="0" xr:uid="{00000000-0006-0000-1900-000006000000}">
      <text>
        <r>
          <rPr>
            <b/>
            <sz val="10"/>
            <color indexed="81"/>
            <rFont val="Arial Narrow"/>
            <family val="2"/>
          </rPr>
          <t>Used for On-Site Toxic Scenarios</t>
        </r>
        <r>
          <rPr>
            <sz val="10"/>
            <color indexed="81"/>
            <rFont val="Arial Narrow"/>
            <family val="2"/>
          </rPr>
          <t xml:space="preserve">
</t>
        </r>
      </text>
    </comment>
    <comment ref="AX2" authorId="1" shapeId="0" xr:uid="{00000000-0006-0000-1900-000007000000}">
      <text>
        <r>
          <rPr>
            <b/>
            <sz val="10"/>
            <color indexed="81"/>
            <rFont val="Arial Narrow"/>
            <family val="2"/>
          </rPr>
          <t>Used for On-Site Toxic Scenarios</t>
        </r>
        <r>
          <rPr>
            <sz val="10"/>
            <color indexed="81"/>
            <rFont val="Arial Narrow"/>
            <family val="2"/>
          </rPr>
          <t xml:space="preserve">
</t>
        </r>
      </text>
    </comment>
    <comment ref="CW2" authorId="0" shapeId="0" xr:uid="{00000000-0006-0000-1900-000008000000}">
      <text>
        <r>
          <rPr>
            <b/>
            <sz val="9"/>
            <color indexed="81"/>
            <rFont val="Tahoma"/>
            <family val="2"/>
          </rPr>
          <t>Enter "Yes" if this is a credible 
scenario to be evaluated with 
LOPA.  A scenario must be 
marked "Yes" for it to show 
up on the LOPA worksheet.</t>
        </r>
      </text>
    </comment>
    <comment ref="CX2" authorId="0" shapeId="0" xr:uid="{00000000-0006-0000-1900-000009000000}">
      <text>
        <r>
          <rPr>
            <b/>
            <sz val="9"/>
            <color indexed="81"/>
            <rFont val="Tahoma"/>
            <family val="2"/>
          </rPr>
          <t xml:space="preserve">The text in this column indicates whether 
the tool generated the scenario or it 
was entered manually by the user.
Tool = </t>
        </r>
        <r>
          <rPr>
            <sz val="9"/>
            <color indexed="81"/>
            <rFont val="Tahoma"/>
            <family val="2"/>
          </rPr>
          <t>Tool generated scenario</t>
        </r>
        <r>
          <rPr>
            <b/>
            <sz val="9"/>
            <color indexed="81"/>
            <rFont val="Tahoma"/>
            <family val="2"/>
          </rPr>
          <t xml:space="preserve">
User = </t>
        </r>
        <r>
          <rPr>
            <sz val="9"/>
            <color indexed="81"/>
            <rFont val="Tahoma"/>
            <family val="2"/>
          </rPr>
          <t xml:space="preserve">Scenario manually entered by User
</t>
        </r>
        <r>
          <rPr>
            <b/>
            <sz val="9"/>
            <color indexed="81"/>
            <rFont val="Tahoma"/>
            <family val="2"/>
          </rPr>
          <t>The tool will overwrite program generated 
values for scenarios generated by the tool.</t>
        </r>
      </text>
    </comment>
    <comment ref="DA2" authorId="0" shapeId="0" xr:uid="{00000000-0006-0000-1900-00000A000000}">
      <text>
        <r>
          <rPr>
            <b/>
            <sz val="9"/>
            <color indexed="81"/>
            <rFont val="Tahoma"/>
            <family val="2"/>
          </rPr>
          <t xml:space="preserve">The text in this column is to 
help the user identify which 
scenarios have values that 
changed between calculations.
Same = </t>
        </r>
        <r>
          <rPr>
            <sz val="9"/>
            <color indexed="81"/>
            <rFont val="Tahoma"/>
            <family val="2"/>
          </rPr>
          <t xml:space="preserve">No change in program 
generated values.
</t>
        </r>
        <r>
          <rPr>
            <b/>
            <sz val="9"/>
            <color indexed="81"/>
            <rFont val="Tahoma"/>
            <family val="2"/>
          </rPr>
          <t xml:space="preserve">
Revised = </t>
        </r>
        <r>
          <rPr>
            <sz val="9"/>
            <color indexed="81"/>
            <rFont val="Tahoma"/>
            <family val="2"/>
          </rPr>
          <t xml:space="preserve">One or several program 
values changed.  The cell that actually 
changed will be highlighted green with 
the old value entered as a comment.
</t>
        </r>
        <r>
          <rPr>
            <b/>
            <sz val="9"/>
            <color indexed="81"/>
            <rFont val="Tahoma"/>
            <family val="2"/>
          </rPr>
          <t>Eliminated</t>
        </r>
        <r>
          <rPr>
            <sz val="9"/>
            <color indexed="81"/>
            <rFont val="Tahoma"/>
            <family val="2"/>
          </rPr>
          <t xml:space="preserve"> = The scenario is no 
longer credible based on the inputs 
entered.  Eliminated scenarios may be 
deleted by simply deleting the row.  
Note that you may want to still save the 
scenario if IPL information was entered. 
</t>
        </r>
        <r>
          <rPr>
            <b/>
            <sz val="9"/>
            <color indexed="81"/>
            <rFont val="Tahoma"/>
            <family val="2"/>
          </rPr>
          <t>Orphaned</t>
        </r>
        <r>
          <rPr>
            <sz val="9"/>
            <color indexed="81"/>
            <rFont val="Tahoma"/>
            <family val="2"/>
          </rPr>
          <t xml:space="preserve"> = The equipment tag for the
scenario does not exist in the Equipment
Table.  One possible causes for this is that
the equipment was deleted in the table and 
the scenarios associated with it were not.
Another is that an equipment was entered
on the input sheet and scenarios calculated
without saving the equipment input.</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u070091</author>
  </authors>
  <commentList>
    <comment ref="Q22" authorId="0" shapeId="0" xr:uid="{00000000-0006-0000-1A00-000001000000}">
      <text>
        <r>
          <rPr>
            <b/>
            <sz val="9"/>
            <color indexed="81"/>
            <rFont val="Arial Narrow"/>
            <family val="2"/>
          </rPr>
          <t>Process Volume is entered on the Plant Layout worksheet.</t>
        </r>
        <r>
          <rPr>
            <sz val="9"/>
            <color indexed="81"/>
            <rFont val="Tahoma"/>
            <family val="2"/>
          </rPr>
          <t xml:space="preserve">
</t>
        </r>
      </text>
    </comment>
    <comment ref="Q25" authorId="0" shapeId="0" xr:uid="{00000000-0006-0000-1A00-000002000000}">
      <text>
        <r>
          <rPr>
            <b/>
            <sz val="9"/>
            <color indexed="81"/>
            <rFont val="Arial Narrow"/>
            <family val="2"/>
          </rPr>
          <t>Assuming very low release velocity such that no aerosol formation and liquid pool at release temperature.</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u070091</author>
    <author>948</author>
  </authors>
  <commentList>
    <comment ref="G3" authorId="0" shapeId="0" xr:uid="{00000000-0006-0000-1D00-000001000000}">
      <text>
        <r>
          <rPr>
            <sz val="8"/>
            <color indexed="81"/>
            <rFont val="Tahoma"/>
            <family val="2"/>
          </rPr>
          <t>Limit to greater than 0.5 executions per year.</t>
        </r>
        <r>
          <rPr>
            <sz val="9"/>
            <color indexed="81"/>
            <rFont val="Tahoma"/>
            <family val="2"/>
          </rPr>
          <t xml:space="preserve">
</t>
        </r>
      </text>
    </comment>
    <comment ref="J3" authorId="1" shapeId="0" xr:uid="{00000000-0006-0000-1D00-000002000000}">
      <text>
        <r>
          <rPr>
            <b/>
            <u/>
            <sz val="8"/>
            <color indexed="81"/>
            <rFont val="Tahoma"/>
            <family val="2"/>
          </rPr>
          <t xml:space="preserve">Sensor #1
</t>
        </r>
        <r>
          <rPr>
            <b/>
            <sz val="8"/>
            <color indexed="81"/>
            <rFont val="Tahoma"/>
            <family val="2"/>
          </rPr>
          <t xml:space="preserve">(MAX CHARACTERS = 20) 
</t>
        </r>
        <r>
          <rPr>
            <sz val="8"/>
            <color indexed="81"/>
            <rFont val="Tahoma"/>
            <family val="2"/>
          </rPr>
          <t>List instrument that acts as sensors and 
could fail as part of initiating event, e.g. AI(101)</t>
        </r>
      </text>
    </comment>
    <comment ref="S3" authorId="1" shapeId="0" xr:uid="{00000000-0006-0000-1D00-000003000000}">
      <text>
        <r>
          <rPr>
            <b/>
            <u/>
            <sz val="8"/>
            <color indexed="81"/>
            <rFont val="Tahoma"/>
            <family val="2"/>
          </rPr>
          <t>DC or Alarm ID</t>
        </r>
        <r>
          <rPr>
            <sz val="8"/>
            <color indexed="81"/>
            <rFont val="Tahoma"/>
            <family val="2"/>
          </rPr>
          <t xml:space="preserve">
Enter a DC or Alarm number
associated with the BPCS action.</t>
        </r>
      </text>
    </comment>
    <comment ref="V3" authorId="1" shapeId="0" xr:uid="{00000000-0006-0000-1D00-000004000000}">
      <text>
        <r>
          <rPr>
            <b/>
            <u/>
            <sz val="8"/>
            <color indexed="81"/>
            <rFont val="Tahoma"/>
            <family val="2"/>
          </rPr>
          <t>DC or Alarm ID</t>
        </r>
        <r>
          <rPr>
            <sz val="8"/>
            <color indexed="81"/>
            <rFont val="Tahoma"/>
            <family val="2"/>
          </rPr>
          <t xml:space="preserve">
Enter a DC or Alarm number
associated with the BPCS action.</t>
        </r>
      </text>
    </comment>
    <comment ref="Y3" authorId="1" shapeId="0" xr:uid="{00000000-0006-0000-1D00-000005000000}">
      <text>
        <r>
          <rPr>
            <b/>
            <u/>
            <sz val="8"/>
            <color indexed="81"/>
            <rFont val="Tahoma"/>
            <family val="2"/>
          </rPr>
          <t>Safety Instrumented Function ID</t>
        </r>
        <r>
          <rPr>
            <b/>
            <sz val="8"/>
            <color indexed="81"/>
            <rFont val="Tahoma"/>
            <family val="2"/>
          </rPr>
          <t xml:space="preserve">
</t>
        </r>
        <r>
          <rPr>
            <sz val="8"/>
            <color indexed="81"/>
            <rFont val="Tahoma"/>
            <family val="2"/>
          </rPr>
          <t>Typically this is "SIF-XXXYY" with XXX 
being the P&amp;ID number and YY being 
consecutive digits for SIF loops on a 
specific P&amp;ID.</t>
        </r>
      </text>
    </comment>
    <comment ref="AB3" authorId="1" shapeId="0" xr:uid="{00000000-0006-0000-1D00-000006000000}">
      <text>
        <r>
          <rPr>
            <b/>
            <u/>
            <sz val="8"/>
            <color indexed="81"/>
            <rFont val="Tahoma"/>
            <family val="2"/>
          </rPr>
          <t>Safety Instrumented Function ID</t>
        </r>
        <r>
          <rPr>
            <b/>
            <sz val="8"/>
            <color indexed="81"/>
            <rFont val="Tahoma"/>
            <family val="2"/>
          </rPr>
          <t xml:space="preserve">
</t>
        </r>
        <r>
          <rPr>
            <sz val="8"/>
            <color indexed="81"/>
            <rFont val="Tahoma"/>
            <family val="2"/>
          </rPr>
          <t>Typically this is "SIF-XXXYY" with XXX 
being the P&amp;ID number and YY being 
consecutive digits for SIF loops on a 
specific P&amp;ID.</t>
        </r>
      </text>
    </comment>
    <comment ref="S4" authorId="1" shapeId="0" xr:uid="{00000000-0006-0000-1D00-000007000000}">
      <text>
        <r>
          <rPr>
            <b/>
            <u/>
            <sz val="8"/>
            <color indexed="81"/>
            <rFont val="Tahoma"/>
            <family val="2"/>
          </rPr>
          <t xml:space="preserve">Sensor #1
</t>
        </r>
        <r>
          <rPr>
            <sz val="8"/>
            <color indexed="81"/>
            <rFont val="Tahoma"/>
            <family val="2"/>
          </rPr>
          <t>Instrument that acts as sensor
e.g. AI(101)</t>
        </r>
      </text>
    </comment>
    <comment ref="V4" authorId="1" shapeId="0" xr:uid="{00000000-0006-0000-1D00-000008000000}">
      <text>
        <r>
          <rPr>
            <b/>
            <u/>
            <sz val="8"/>
            <color indexed="81"/>
            <rFont val="Tahoma"/>
            <family val="2"/>
          </rPr>
          <t xml:space="preserve">Sensor #1
</t>
        </r>
        <r>
          <rPr>
            <sz val="8"/>
            <color indexed="81"/>
            <rFont val="Tahoma"/>
            <family val="2"/>
          </rPr>
          <t>Instrument that acts as sensor
e.g. AI(101)</t>
        </r>
      </text>
    </comment>
    <comment ref="Y4" authorId="1" shapeId="0" xr:uid="{00000000-0006-0000-1D00-000009000000}">
      <text>
        <r>
          <rPr>
            <b/>
            <u/>
            <sz val="8"/>
            <color indexed="81"/>
            <rFont val="Tahoma"/>
            <family val="2"/>
          </rPr>
          <t xml:space="preserve">Sensor #1
</t>
        </r>
        <r>
          <rPr>
            <sz val="8"/>
            <color indexed="81"/>
            <rFont val="Tahoma"/>
            <family val="2"/>
          </rPr>
          <t>Instrument that acts as sensor
e.g. AI(101)</t>
        </r>
      </text>
    </comment>
    <comment ref="AB4" authorId="1" shapeId="0" xr:uid="{00000000-0006-0000-1D00-00000A000000}">
      <text>
        <r>
          <rPr>
            <b/>
            <u/>
            <sz val="8"/>
            <color indexed="81"/>
            <rFont val="Tahoma"/>
            <family val="2"/>
          </rPr>
          <t xml:space="preserve">Sensor #1
</t>
        </r>
        <r>
          <rPr>
            <sz val="8"/>
            <color indexed="81"/>
            <rFont val="Tahoma"/>
            <family val="2"/>
          </rPr>
          <t>Instrument that acts as sensor
e.g. AI(101)</t>
        </r>
      </text>
    </comment>
    <comment ref="G6" authorId="1" shapeId="0" xr:uid="{00000000-0006-0000-1D00-00000B000000}">
      <text>
        <r>
          <rPr>
            <sz val="8"/>
            <color indexed="81"/>
            <rFont val="Tahoma"/>
            <family val="2"/>
          </rPr>
          <t>0.5 = 1 failure per 2 executions (high stress)
0.1 = 1 failure per 10 executions (moderate stress)
0.01 = 1 failure per 100 executions (low stress, well trained/practiced)
0.001 = 1 failure per 1000 executions (low stress, well trained, with feedback)</t>
        </r>
      </text>
    </comment>
    <comment ref="S7" authorId="1" shapeId="0" xr:uid="{00000000-0006-0000-1D00-00000C000000}">
      <text>
        <r>
          <rPr>
            <b/>
            <u/>
            <sz val="8"/>
            <color indexed="81"/>
            <rFont val="Tahoma"/>
            <family val="2"/>
          </rPr>
          <t xml:space="preserve">Final Control Element #1:
</t>
        </r>
        <r>
          <rPr>
            <sz val="8"/>
            <color indexed="81"/>
            <rFont val="Tahoma"/>
            <family val="2"/>
          </rPr>
          <t>Instrument that acts as the final control element
e.g. DO(101)</t>
        </r>
      </text>
    </comment>
    <comment ref="V7" authorId="1" shapeId="0" xr:uid="{00000000-0006-0000-1D00-00000D000000}">
      <text>
        <r>
          <rPr>
            <b/>
            <u/>
            <sz val="8"/>
            <color indexed="81"/>
            <rFont val="Tahoma"/>
            <family val="2"/>
          </rPr>
          <t xml:space="preserve">Final Control Element #1:
</t>
        </r>
        <r>
          <rPr>
            <sz val="8"/>
            <color indexed="81"/>
            <rFont val="Tahoma"/>
            <family val="2"/>
          </rPr>
          <t>Instrument that acts as the final control element
e.g. DO(101)</t>
        </r>
      </text>
    </comment>
    <comment ref="Y7" authorId="1" shapeId="0" xr:uid="{00000000-0006-0000-1D00-00000E000000}">
      <text>
        <r>
          <rPr>
            <b/>
            <u/>
            <sz val="8"/>
            <color indexed="81"/>
            <rFont val="Tahoma"/>
            <family val="2"/>
          </rPr>
          <t xml:space="preserve">Final Control Element #1:
</t>
        </r>
        <r>
          <rPr>
            <sz val="8"/>
            <color indexed="81"/>
            <rFont val="Tahoma"/>
            <family val="2"/>
          </rPr>
          <t>Instrument that acts as the final control element
e.g. DO(101)</t>
        </r>
      </text>
    </comment>
    <comment ref="AB7" authorId="1" shapeId="0" xr:uid="{00000000-0006-0000-1D00-00000F000000}">
      <text>
        <r>
          <rPr>
            <b/>
            <u/>
            <sz val="8"/>
            <color indexed="81"/>
            <rFont val="Tahoma"/>
            <family val="2"/>
          </rPr>
          <t xml:space="preserve">Final Control Element #1:
</t>
        </r>
        <r>
          <rPr>
            <sz val="8"/>
            <color indexed="81"/>
            <rFont val="Tahoma"/>
            <family val="2"/>
          </rPr>
          <t>Instrument that acts as the final control element
e.g. DO(101)</t>
        </r>
      </text>
    </comment>
    <comment ref="J8" authorId="1" shapeId="0" xr:uid="{00000000-0006-0000-1D00-000010000000}">
      <text>
        <r>
          <rPr>
            <b/>
            <u/>
            <sz val="8"/>
            <color indexed="81"/>
            <rFont val="Tahoma"/>
            <family val="2"/>
          </rPr>
          <t>Final Control Element #1</t>
        </r>
        <r>
          <rPr>
            <b/>
            <sz val="8"/>
            <color indexed="81"/>
            <rFont val="Tahoma"/>
            <family val="2"/>
          </rPr>
          <t xml:space="preserve">
(MAX CHARACTERS = 20)
</t>
        </r>
        <r>
          <rPr>
            <sz val="8"/>
            <color indexed="81"/>
            <rFont val="Tahoma"/>
            <family val="2"/>
          </rPr>
          <t>List instrument that acts as a final control element 
and could fail as part of initiating event 
separated by commas, e.g. DO(101)</t>
        </r>
      </text>
    </comment>
    <comment ref="G10" authorId="0" shapeId="0" xr:uid="{00000000-0006-0000-1D00-000011000000}">
      <text>
        <r>
          <rPr>
            <sz val="8"/>
            <color indexed="81"/>
            <rFont val="Tahoma"/>
            <family val="2"/>
          </rPr>
          <t>Limit to greater than 0.5 executions per year.</t>
        </r>
        <r>
          <rPr>
            <sz val="9"/>
            <color indexed="81"/>
            <rFont val="Tahoma"/>
            <family val="2"/>
          </rPr>
          <t xml:space="preserve">
</t>
        </r>
      </text>
    </comment>
    <comment ref="S10" authorId="1" shapeId="0" xr:uid="{00000000-0006-0000-1D00-000012000000}">
      <text>
        <r>
          <rPr>
            <b/>
            <u/>
            <sz val="8"/>
            <color indexed="81"/>
            <rFont val="Tahoma"/>
            <family val="2"/>
          </rPr>
          <t xml:space="preserve">Maximum Allowable Response Time
</t>
        </r>
        <r>
          <rPr>
            <sz val="8"/>
            <color indexed="81"/>
            <rFont val="Tahoma"/>
            <family val="2"/>
          </rPr>
          <t>The maximum duration for the instrument loop 
to detect an out of limit condition, fully execute its
safety function, and bring the process to a safe state
based on the time progression of the scenario/case.</t>
        </r>
      </text>
    </comment>
    <comment ref="V10" authorId="1" shapeId="0" xr:uid="{00000000-0006-0000-1D00-000013000000}">
      <text>
        <r>
          <rPr>
            <b/>
            <u/>
            <sz val="8"/>
            <color indexed="81"/>
            <rFont val="Tahoma"/>
            <family val="2"/>
          </rPr>
          <t xml:space="preserve">Maximum Allowable Response Time
</t>
        </r>
        <r>
          <rPr>
            <sz val="8"/>
            <color indexed="81"/>
            <rFont val="Tahoma"/>
            <family val="2"/>
          </rPr>
          <t>The maximum duration for the instrument loop 
to detect an out of limit condition, fully execute its
safety function, and bring the process to a safe state
based on the time progression of the scenario/case.</t>
        </r>
      </text>
    </comment>
    <comment ref="Y10" authorId="1" shapeId="0" xr:uid="{00000000-0006-0000-1D00-000014000000}">
      <text>
        <r>
          <rPr>
            <b/>
            <u/>
            <sz val="8"/>
            <color indexed="81"/>
            <rFont val="Tahoma"/>
            <family val="2"/>
          </rPr>
          <t xml:space="preserve">Maximum Allowable Response Time
</t>
        </r>
        <r>
          <rPr>
            <sz val="8"/>
            <color indexed="81"/>
            <rFont val="Tahoma"/>
            <family val="2"/>
          </rPr>
          <t>The maximum duration for the instrument loop 
to detect an out of limit condition, fully execute its
safety function, and bring the process to a safe state
based on the time progression of the scenario/case.</t>
        </r>
      </text>
    </comment>
    <comment ref="AB10" authorId="1" shapeId="0" xr:uid="{00000000-0006-0000-1D00-000015000000}">
      <text>
        <r>
          <rPr>
            <b/>
            <u/>
            <sz val="8"/>
            <color indexed="81"/>
            <rFont val="Tahoma"/>
            <family val="2"/>
          </rPr>
          <t xml:space="preserve">Maximum Allowable Response Time
</t>
        </r>
        <r>
          <rPr>
            <sz val="8"/>
            <color indexed="81"/>
            <rFont val="Tahoma"/>
            <family val="2"/>
          </rPr>
          <t>The maximum duration for the instrument loop 
to detect an out of limit condition, fully execute its
safety function, and bring the process to a safe state
based on the time progression of the scenario/case.</t>
        </r>
      </text>
    </comment>
    <comment ref="S11" authorId="1" shapeId="0" xr:uid="{00000000-0006-0000-1D00-000016000000}">
      <text>
        <r>
          <rPr>
            <b/>
            <u/>
            <sz val="8"/>
            <color indexed="81"/>
            <rFont val="Tahoma"/>
            <family val="2"/>
          </rPr>
          <t>Maximum Allowable Leak Rate</t>
        </r>
        <r>
          <rPr>
            <sz val="8"/>
            <color indexed="81"/>
            <rFont val="Tahoma"/>
            <family val="2"/>
          </rPr>
          <t xml:space="preserve">
The maximum flow that can leak by the final
control element and still prevent, stop, or
limit the consequence for the scenario</t>
        </r>
      </text>
    </comment>
    <comment ref="V11" authorId="1" shapeId="0" xr:uid="{00000000-0006-0000-1D00-000017000000}">
      <text>
        <r>
          <rPr>
            <b/>
            <u/>
            <sz val="8"/>
            <color indexed="81"/>
            <rFont val="Tahoma"/>
            <family val="2"/>
          </rPr>
          <t>Maximum Allowable Leak Rate</t>
        </r>
        <r>
          <rPr>
            <sz val="8"/>
            <color indexed="81"/>
            <rFont val="Tahoma"/>
            <family val="2"/>
          </rPr>
          <t xml:space="preserve">
The maximum flow that can leak by the final
control element and still prevent, stop, or
limit the consequence for the scenario</t>
        </r>
      </text>
    </comment>
    <comment ref="Y11" authorId="1" shapeId="0" xr:uid="{00000000-0006-0000-1D00-000018000000}">
      <text>
        <r>
          <rPr>
            <b/>
            <u/>
            <sz val="8"/>
            <color indexed="81"/>
            <rFont val="Tahoma"/>
            <family val="2"/>
          </rPr>
          <t>Maximum Allowable Leak Rate</t>
        </r>
        <r>
          <rPr>
            <sz val="8"/>
            <color indexed="81"/>
            <rFont val="Tahoma"/>
            <family val="2"/>
          </rPr>
          <t xml:space="preserve">
The maximum flow that can leak by the final
control element and still prevent, stop, or
limit the consequence for the scenario</t>
        </r>
      </text>
    </comment>
    <comment ref="AB11" authorId="1" shapeId="0" xr:uid="{00000000-0006-0000-1D00-000019000000}">
      <text>
        <r>
          <rPr>
            <b/>
            <u/>
            <sz val="8"/>
            <color indexed="81"/>
            <rFont val="Tahoma"/>
            <family val="2"/>
          </rPr>
          <t>Maximum Allowable Leak Rate</t>
        </r>
        <r>
          <rPr>
            <sz val="8"/>
            <color indexed="81"/>
            <rFont val="Tahoma"/>
            <family val="2"/>
          </rPr>
          <t xml:space="preserve">
The maximum flow that can leak by the final
control element and still prevent, stop, or
limit the consequence for the scenario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Ken First</author>
    <author>u070091</author>
    <author>Kevin Hersey</author>
  </authors>
  <commentList>
    <comment ref="AT6" authorId="0" shapeId="0" xr:uid="{00000000-0006-0000-1E00-000001000000}">
      <text>
        <r>
          <rPr>
            <b/>
            <sz val="10"/>
            <color indexed="81"/>
            <rFont val="Arial Narrow"/>
            <family val="2"/>
          </rPr>
          <t>Use 0.8* Surface Area as "Wetted" Area assumed below 30 ft elevation for Fire Heat Input</t>
        </r>
      </text>
    </comment>
    <comment ref="AZ7" authorId="0" shapeId="0" xr:uid="{00000000-0006-0000-1E00-000002000000}">
      <text>
        <r>
          <rPr>
            <b/>
            <sz val="10"/>
            <color indexed="81"/>
            <rFont val="Tahoma"/>
            <family val="2"/>
          </rPr>
          <t>Assumed 50% Thermal Efficiency</t>
        </r>
      </text>
    </comment>
    <comment ref="B11" authorId="0" shapeId="0" xr:uid="{00000000-0006-0000-1E00-000003000000}">
      <text>
        <r>
          <rPr>
            <b/>
            <sz val="10"/>
            <color indexed="81"/>
            <rFont val="Arial Narrow"/>
            <family val="2"/>
          </rPr>
          <t>Estimated as Equilibrium Rate Model for Saturated Liquid assuming Cd=1 for Full Bore Failure or Mechanical Seal Failure as the flow path is assumed greater than 0.1 meter.</t>
        </r>
      </text>
    </comment>
    <comment ref="AC11" authorId="0" shapeId="0" xr:uid="{00000000-0006-0000-1E00-000004000000}">
      <text>
        <r>
          <rPr>
            <b/>
            <sz val="10"/>
            <color indexed="81"/>
            <rFont val="Arial Narrow"/>
            <family val="2"/>
          </rPr>
          <t>Estimated as Equilibrium Rate Model for Saturated Liquid assuming Cd=1 for Full Bore Failure or Rupture Disk/Piping system.</t>
        </r>
      </text>
    </comment>
    <comment ref="AT12" authorId="1" shapeId="0" xr:uid="{00000000-0006-0000-1E00-000005000000}">
      <text>
        <r>
          <rPr>
            <b/>
            <sz val="10"/>
            <color indexed="81"/>
            <rFont val="Arial Narrow"/>
            <family val="2"/>
          </rPr>
          <t>Includes continued feed if noted as "continuous" operation</t>
        </r>
        <r>
          <rPr>
            <sz val="9"/>
            <color indexed="81"/>
            <rFont val="Tahoma"/>
            <family val="2"/>
          </rPr>
          <t xml:space="preserve">
</t>
        </r>
      </text>
    </comment>
    <comment ref="AT13" authorId="1" shapeId="0" xr:uid="{00000000-0006-0000-1E00-000006000000}">
      <text>
        <r>
          <rPr>
            <b/>
            <sz val="10"/>
            <color indexed="81"/>
            <rFont val="Arial Narrow"/>
            <family val="2"/>
          </rPr>
          <t>Based on equipment length/diameter of roughly 1 such that cross sectional area = 0.9 Volume</t>
        </r>
        <r>
          <rPr>
            <b/>
            <vertAlign val="superscript"/>
            <sz val="10"/>
            <color indexed="81"/>
            <rFont val="Arial Narrow"/>
            <family val="2"/>
          </rPr>
          <t>2/3</t>
        </r>
      </text>
    </comment>
    <comment ref="AT14" authorId="1" shapeId="0" xr:uid="{00000000-0006-0000-1E00-000007000000}">
      <text>
        <r>
          <rPr>
            <b/>
            <sz val="10"/>
            <color indexed="81"/>
            <rFont val="Arial Narrow"/>
            <family val="2"/>
          </rPr>
          <t>Limit to a maximum of 0.7 churn-turbulent void fraction.</t>
        </r>
        <r>
          <rPr>
            <sz val="9"/>
            <color indexed="81"/>
            <rFont val="Tahoma"/>
            <family val="2"/>
          </rPr>
          <t xml:space="preserve">
</t>
        </r>
      </text>
    </comment>
    <comment ref="AT15" authorId="1" shapeId="0" xr:uid="{00000000-0006-0000-1E00-000008000000}">
      <text>
        <r>
          <rPr>
            <b/>
            <sz val="10"/>
            <color indexed="81"/>
            <rFont val="Arial Narrow"/>
            <family val="2"/>
          </rPr>
          <t>Addressed as portion of liquid mass at feed composition "ejected" independent of vapor venting.  Fire is assumed to not undergo two-phase flow as heat transfer is only from outer walls.</t>
        </r>
      </text>
    </comment>
    <comment ref="AT16" authorId="1" shapeId="0" xr:uid="{00000000-0006-0000-1E00-000009000000}">
      <text>
        <r>
          <rPr>
            <b/>
            <sz val="10"/>
            <color indexed="81"/>
            <rFont val="Arial Narrow"/>
            <family val="2"/>
          </rPr>
          <t>Used to estimate time for depressurization of Rupture Disk based system - or - flashing of entrained liquid.</t>
        </r>
        <r>
          <rPr>
            <sz val="9"/>
            <color indexed="81"/>
            <rFont val="Tahoma"/>
            <family val="2"/>
          </rPr>
          <t xml:space="preserve">
</t>
        </r>
      </text>
    </comment>
    <comment ref="AT19" authorId="1" shapeId="0" xr:uid="{00000000-0006-0000-1E00-00000A000000}">
      <text>
        <r>
          <rPr>
            <b/>
            <sz val="10"/>
            <color indexed="81"/>
            <rFont val="Arial Narrow"/>
            <family val="2"/>
          </rPr>
          <t>Fraction of Contained Liquid Mass that is Vaporized excluding Liquid Swell</t>
        </r>
        <r>
          <rPr>
            <sz val="9"/>
            <color indexed="81"/>
            <rFont val="Tahoma"/>
            <family val="2"/>
          </rPr>
          <t xml:space="preserve">
</t>
        </r>
      </text>
    </comment>
    <comment ref="AT33" authorId="2" shapeId="0" xr:uid="{00000000-0006-0000-1E00-00000B000000}">
      <text>
        <r>
          <rPr>
            <b/>
            <sz val="9"/>
            <color indexed="81"/>
            <rFont val="Tahoma"/>
            <family val="2"/>
          </rPr>
          <t>Error1 = (fLiq_1 + fLiq_2 + fLiq_3 + fLiq_4 + fLiq_5) - 1</t>
        </r>
      </text>
    </comment>
    <comment ref="B35" authorId="2" shapeId="0" xr:uid="{00000000-0006-0000-1E00-00000D000000}">
      <text>
        <r>
          <rPr>
            <b/>
            <sz val="9"/>
            <color indexed="81"/>
            <rFont val="Tahoma"/>
            <family val="2"/>
          </rPr>
          <t>Error1 = (fLiq_1 + fLiq_2 + fLiq_3 + fLiq_4 + fLiq_5) - 1</t>
        </r>
      </text>
    </comment>
    <comment ref="AC35" authorId="2" shapeId="0" xr:uid="{00000000-0006-0000-1E00-00000E000000}">
      <text>
        <r>
          <rPr>
            <b/>
            <sz val="9"/>
            <color indexed="81"/>
            <rFont val="Tahoma"/>
            <family val="2"/>
          </rPr>
          <t>Error1 = (fLiq_1 + fLiq_2 + fLiq_3 + fLiq_4 + fLiq_5) - 1</t>
        </r>
      </text>
    </comment>
    <comment ref="BS35" authorId="2" shapeId="0" xr:uid="{00000000-0006-0000-1E00-00000F000000}">
      <text>
        <r>
          <rPr>
            <b/>
            <sz val="9"/>
            <color indexed="81"/>
            <rFont val="Tahoma"/>
            <family val="2"/>
          </rPr>
          <t>Error1 = (fLiq_1 + fLiq_2 + fLiq_3 + fLiq_4 + fLiq_5) - 1</t>
        </r>
      </text>
    </comment>
    <comment ref="AT41" authorId="2" shapeId="0" xr:uid="{00000000-0006-0000-1E00-000014000000}">
      <text>
        <r>
          <rPr>
            <b/>
            <sz val="9"/>
            <color indexed="81"/>
            <rFont val="Tahoma"/>
            <family val="2"/>
          </rPr>
          <t>Error = 1 - (ALiq_1 + ALiq_2 + ALiq_3 + ALiq_4 + ALiq_5)</t>
        </r>
      </text>
    </comment>
    <comment ref="B43" authorId="2" shapeId="0" xr:uid="{00000000-0006-0000-1E00-000015000000}">
      <text>
        <r>
          <rPr>
            <b/>
            <sz val="9"/>
            <color indexed="81"/>
            <rFont val="Tahoma"/>
            <family val="2"/>
          </rPr>
          <t>Error = 1 - (ALiq_1 + ALiq_2 + ALiq_3 + ALiq_4 + ALiq_5)</t>
        </r>
      </text>
    </comment>
    <comment ref="AC43" authorId="2" shapeId="0" xr:uid="{00000000-0006-0000-1E00-000016000000}">
      <text>
        <r>
          <rPr>
            <b/>
            <sz val="9"/>
            <color indexed="81"/>
            <rFont val="Tahoma"/>
            <family val="2"/>
          </rPr>
          <t>Error = 1 - (ALiq_1 + ALiq_2 + ALiq_3 + ALiq_4 + ALiq_5)</t>
        </r>
      </text>
    </comment>
    <comment ref="BS43" authorId="2" shapeId="0" xr:uid="{00000000-0006-0000-1E00-000017000000}">
      <text>
        <r>
          <rPr>
            <b/>
            <sz val="9"/>
            <color indexed="81"/>
            <rFont val="Tahoma"/>
            <family val="2"/>
          </rPr>
          <t>Error = 1 - (ALiq_1 + ALiq_2 + ALiq_3 + ALiq_4 + ALiq_5)</t>
        </r>
      </text>
    </comment>
    <comment ref="AT47" authorId="2" shapeId="0" xr:uid="{00000000-0006-0000-1E00-00001A000000}">
      <text>
        <r>
          <rPr>
            <b/>
            <sz val="9"/>
            <color indexed="81"/>
            <rFont val="Tahoma"/>
            <family val="2"/>
          </rPr>
          <t>Error = 1 - (ALiq_1 + ALiq_2 + ALiq_3 + ALiq_4 + ALiq_5)</t>
        </r>
      </text>
    </comment>
    <comment ref="AT48" authorId="1" shapeId="0" xr:uid="{00000000-0006-0000-1E00-00001B000000}">
      <text>
        <r>
          <rPr>
            <b/>
            <sz val="10"/>
            <color indexed="81"/>
            <rFont val="Arial Narrow"/>
            <family val="2"/>
          </rPr>
          <t>For two-phase release, simplify by ignoring pool evaporation as liquid carryover should be conservative.</t>
        </r>
        <r>
          <rPr>
            <sz val="10"/>
            <color indexed="81"/>
            <rFont val="Arial Narrow"/>
            <family val="2"/>
          </rPr>
          <t xml:space="preserve">
</t>
        </r>
      </text>
    </comment>
    <comment ref="BS51" authorId="1" shapeId="0" xr:uid="{00000000-0006-0000-1E00-00001D000000}">
      <text>
        <r>
          <rPr>
            <b/>
            <sz val="10"/>
            <color indexed="81"/>
            <rFont val="Arial Narrow"/>
            <family val="2"/>
          </rPr>
          <t>Limit Leak Duration to 1 sec as approximation for Instantaneous.</t>
        </r>
        <r>
          <rPr>
            <sz val="9"/>
            <color indexed="81"/>
            <rFont val="Tahoma"/>
            <family val="2"/>
          </rPr>
          <t xml:space="preserve">
</t>
        </r>
      </text>
    </comment>
    <comment ref="B55" authorId="0" shapeId="0" xr:uid="{00000000-0006-0000-1E00-00001F000000}">
      <text>
        <r>
          <rPr>
            <b/>
            <sz val="10"/>
            <color indexed="81"/>
            <rFont val="Tahoma"/>
            <family val="2"/>
          </rPr>
          <t>Limited to Area of Dike</t>
        </r>
        <r>
          <rPr>
            <sz val="10"/>
            <color indexed="81"/>
            <rFont val="Tahoma"/>
            <family val="2"/>
          </rPr>
          <t xml:space="preserve">
</t>
        </r>
      </text>
    </comment>
    <comment ref="AC55" authorId="0" shapeId="0" xr:uid="{00000000-0006-0000-1E00-000020000000}">
      <text>
        <r>
          <rPr>
            <b/>
            <sz val="10"/>
            <color indexed="81"/>
            <rFont val="Tahoma"/>
            <family val="2"/>
          </rPr>
          <t>Limited to Area of Dike</t>
        </r>
        <r>
          <rPr>
            <sz val="10"/>
            <color indexed="81"/>
            <rFont val="Tahoma"/>
            <family val="2"/>
          </rPr>
          <t xml:space="preserve">
</t>
        </r>
      </text>
    </comment>
    <comment ref="BS55" authorId="0" shapeId="0" xr:uid="{00000000-0006-0000-1E00-000021000000}">
      <text>
        <r>
          <rPr>
            <b/>
            <sz val="10"/>
            <color indexed="81"/>
            <rFont val="Tahoma"/>
            <family val="2"/>
          </rPr>
          <t>Limited to Area of Dike</t>
        </r>
        <r>
          <rPr>
            <sz val="10"/>
            <color indexed="81"/>
            <rFont val="Tahoma"/>
            <family val="2"/>
          </rPr>
          <t xml:space="preserve">
</t>
        </r>
      </text>
    </comment>
    <comment ref="AT59" authorId="1" shapeId="0" xr:uid="{00000000-0006-0000-1E00-000023000000}">
      <text>
        <r>
          <rPr>
            <b/>
            <sz val="9"/>
            <color indexed="81"/>
            <rFont val="Tahoma"/>
            <family val="2"/>
          </rPr>
          <t>If not using Condensation Subroutine, a default of 1 is returned although fraction condensed is zero.</t>
        </r>
        <r>
          <rPr>
            <sz val="9"/>
            <color indexed="81"/>
            <rFont val="Tahoma"/>
            <family val="2"/>
          </rPr>
          <t xml:space="preserve">
</t>
        </r>
      </text>
    </comment>
    <comment ref="B62" authorId="2" shapeId="0" xr:uid="{D6C9BB84-0B84-430C-9978-AB4188C14141}">
      <text>
        <r>
          <rPr>
            <b/>
            <sz val="9"/>
            <color indexed="81"/>
            <rFont val="Tahoma"/>
            <family val="2"/>
          </rPr>
          <t>myError2 = 1 - sum_MolFractTotalLiquid2
Error will be a large negative fraction if the pool completely evaporates in less than one hour</t>
        </r>
      </text>
    </comment>
    <comment ref="AC62" authorId="2" shapeId="0" xr:uid="{00000000-0006-0000-1E00-000028000000}">
      <text>
        <r>
          <rPr>
            <b/>
            <sz val="9"/>
            <color indexed="81"/>
            <rFont val="Tahoma"/>
            <family val="2"/>
          </rPr>
          <t>myError2 = 1 - sum_MolFractTotalLiquid2
Error will be a large negative fraction if the pool completely evaporates in less than one hour.</t>
        </r>
      </text>
    </comment>
    <comment ref="BS62" authorId="2" shapeId="0" xr:uid="{00000000-0006-0000-1E00-000029000000}">
      <text>
        <r>
          <rPr>
            <b/>
            <sz val="9"/>
            <color indexed="81"/>
            <rFont val="Tahoma"/>
            <family val="2"/>
          </rPr>
          <t>myError2 = 1 - sum_MolFractTotalLiquid2
Will be a negative large fraction if pool entirely evaporated before one hour duration.</t>
        </r>
      </text>
    </comment>
    <comment ref="AT65" authorId="2" shapeId="0" xr:uid="{00000000-0006-0000-1E00-00002A000000}">
      <text>
        <r>
          <rPr>
            <b/>
            <sz val="9"/>
            <color indexed="81"/>
            <rFont val="Tahoma"/>
            <family val="2"/>
          </rPr>
          <t>sumEstLiqMolFract1</t>
        </r>
      </text>
    </comment>
    <comment ref="AT73" authorId="1" shapeId="0" xr:uid="{00000000-0006-0000-1E00-00002E000000}">
      <text>
        <r>
          <rPr>
            <sz val="9"/>
            <color indexed="81"/>
            <rFont val="Arial Narrow"/>
            <family val="2"/>
          </rPr>
          <t>Airborne Rate based on non-condensed vapor for toxic estimates.  Condensed material for vapor released included in the total for flammable estimates for outdoor releases.</t>
        </r>
      </text>
    </comment>
    <comment ref="B76" authorId="1" shapeId="0" xr:uid="{00000000-0006-0000-1E00-000031000000}">
      <text>
        <r>
          <rPr>
            <b/>
            <sz val="9"/>
            <color indexed="81"/>
            <rFont val="Tahoma"/>
            <family val="2"/>
          </rPr>
          <t>If not using Condensation Subroutine, a default of 1 is returned although fraction condensed is zero.</t>
        </r>
        <r>
          <rPr>
            <sz val="9"/>
            <color indexed="81"/>
            <rFont val="Tahoma"/>
            <family val="2"/>
          </rPr>
          <t xml:space="preserve">
</t>
        </r>
      </text>
    </comment>
    <comment ref="AC76" authorId="1" shapeId="0" xr:uid="{00000000-0006-0000-1E00-000032000000}">
      <text>
        <r>
          <rPr>
            <b/>
            <sz val="9"/>
            <color indexed="81"/>
            <rFont val="Tahoma"/>
            <family val="2"/>
          </rPr>
          <t>If not using Condensation Subroutine, a default of 1 is returned although fraction condensed is zero.</t>
        </r>
        <r>
          <rPr>
            <sz val="9"/>
            <color indexed="81"/>
            <rFont val="Tahoma"/>
            <family val="2"/>
          </rPr>
          <t xml:space="preserve">
</t>
        </r>
      </text>
    </comment>
    <comment ref="BS76" authorId="1" shapeId="0" xr:uid="{00000000-0006-0000-1E00-000033000000}">
      <text>
        <r>
          <rPr>
            <b/>
            <sz val="9"/>
            <color indexed="81"/>
            <rFont val="Tahoma"/>
            <family val="2"/>
          </rPr>
          <t>If not using Condensation Subroutine, a default of 1 is returned although fraction condensed is zero.</t>
        </r>
        <r>
          <rPr>
            <sz val="9"/>
            <color indexed="81"/>
            <rFont val="Tahoma"/>
            <family val="2"/>
          </rPr>
          <t xml:space="preserve">
</t>
        </r>
      </text>
    </comment>
    <comment ref="B82" authorId="2" shapeId="0" xr:uid="{00000000-0006-0000-1E00-000036000000}">
      <text>
        <r>
          <rPr>
            <b/>
            <sz val="9"/>
            <color indexed="81"/>
            <rFont val="Tahoma"/>
            <family val="2"/>
          </rPr>
          <t>sumEstLiqMolFract1</t>
        </r>
      </text>
    </comment>
    <comment ref="AC82" authorId="2" shapeId="0" xr:uid="{00000000-0006-0000-1E00-000037000000}">
      <text>
        <r>
          <rPr>
            <b/>
            <sz val="9"/>
            <color indexed="81"/>
            <rFont val="Tahoma"/>
            <family val="2"/>
          </rPr>
          <t>sumEstLiqMolFract1</t>
        </r>
      </text>
    </comment>
    <comment ref="BS82" authorId="2" shapeId="0" xr:uid="{00000000-0006-0000-1E00-000038000000}">
      <text>
        <r>
          <rPr>
            <b/>
            <sz val="9"/>
            <color indexed="81"/>
            <rFont val="Tahoma"/>
            <family val="2"/>
          </rPr>
          <t>sumEstLiqMolFract1</t>
        </r>
      </text>
    </comment>
    <comment ref="B89" authorId="1" shapeId="0" xr:uid="{00000000-0006-0000-1E00-000039000000}">
      <text>
        <r>
          <rPr>
            <sz val="9"/>
            <color indexed="81"/>
            <rFont val="Arial Narrow"/>
            <family val="2"/>
          </rPr>
          <t>Airborne Rate based on non-condensed vapor for toxic estimates.  Condensed material for vapor released included in the total for flammable estimates for outdoor releases.</t>
        </r>
      </text>
    </comment>
    <comment ref="AC89" authorId="1" shapeId="0" xr:uid="{00000000-0006-0000-1E00-00003A000000}">
      <text>
        <r>
          <rPr>
            <sz val="9"/>
            <color indexed="81"/>
            <rFont val="Arial Narrow"/>
            <family val="2"/>
          </rPr>
          <t>Airborne Rate based on non-condensed vapor for toxic estimates.  Condensed material for vapor released included in the total for flammable estimates for outdoor releases.</t>
        </r>
      </text>
    </comment>
    <comment ref="BS89" authorId="0" shapeId="0" xr:uid="{C46D5984-579D-446F-84DA-921FF6118008}">
      <text>
        <r>
          <rPr>
            <b/>
            <sz val="10"/>
            <color indexed="81"/>
            <rFont val="Arial Narrow"/>
            <family val="2"/>
          </rPr>
          <t>If greater than 97% of total release quantity is from pool evaporation only, use plume or continuous model.</t>
        </r>
        <r>
          <rPr>
            <b/>
            <sz val="9"/>
            <color indexed="81"/>
            <rFont val="Tahoma"/>
            <family val="2"/>
          </rPr>
          <t xml:space="preserve">
</t>
        </r>
      </text>
    </comment>
    <comment ref="AT90" authorId="1" shapeId="0" xr:uid="{00000000-0006-0000-1E00-000049000000}">
      <text>
        <r>
          <rPr>
            <b/>
            <sz val="10"/>
            <color indexed="81"/>
            <rFont val="Arial Narrow"/>
            <family val="2"/>
          </rPr>
          <t>If vapor formed from vaporization of entrained liquid is greater than 10% of total vapor, set release velocity to zero to eliminate jet mixing.</t>
        </r>
        <r>
          <rPr>
            <sz val="9"/>
            <color indexed="81"/>
            <rFont val="Tahoma"/>
            <family val="2"/>
          </rPr>
          <t xml:space="preserve">
</t>
        </r>
      </text>
    </comment>
    <comment ref="AT92" authorId="1" shapeId="0" xr:uid="{00000000-0006-0000-1E00-00004A000000}">
      <text>
        <r>
          <rPr>
            <b/>
            <sz val="10"/>
            <color indexed="81"/>
            <rFont val="Arial Narrow"/>
            <family val="2"/>
          </rPr>
          <t>Velocity Correction Only.  The correction for concentration at the release point is included in the Dispersion Correlation.</t>
        </r>
      </text>
    </comment>
    <comment ref="AC108" authorId="1" shapeId="0" xr:uid="{00000000-0006-0000-1E00-00004C000000}">
      <text>
        <r>
          <rPr>
            <b/>
            <sz val="10"/>
            <color indexed="81"/>
            <rFont val="Arial Narrow"/>
            <family val="2"/>
          </rPr>
          <t>Velocity Correction Only.  The correction for concentration at the release point is included in the Dispersion Correlation.</t>
        </r>
      </text>
    </comment>
    <comment ref="CH134" authorId="0" shapeId="0" xr:uid="{5D969422-9786-4A4D-BC98-0B0155FEA3A6}">
      <text>
        <r>
          <rPr>
            <b/>
            <sz val="10"/>
            <color indexed="81"/>
            <rFont val="Arial Narrow"/>
            <family val="2"/>
          </rPr>
          <t>Use LC-1 or if not toxic use 0.1 LFL as Concentration of Interest</t>
        </r>
      </text>
    </comment>
    <comment ref="CH144" authorId="0" shapeId="0" xr:uid="{00000000-0006-0000-1E00-00000C000000}">
      <text>
        <r>
          <rPr>
            <b/>
            <sz val="10"/>
            <color indexed="81"/>
            <rFont val="Arial Narrow"/>
            <family val="2"/>
          </rPr>
          <t>Assume "dampening" of Outdoor toxic distances for Indoor releases by using AQ/2 for the release rate leaving the building.</t>
        </r>
        <r>
          <rPr>
            <sz val="10"/>
            <color indexed="81"/>
            <rFont val="Tahoma"/>
            <family val="2"/>
          </rPr>
          <t xml:space="preserve">
</t>
        </r>
      </text>
    </comment>
    <comment ref="CH145" authorId="0" shapeId="0" xr:uid="{00000000-0006-0000-1E00-000010000000}">
      <text>
        <r>
          <rPr>
            <b/>
            <sz val="10"/>
            <color indexed="81"/>
            <rFont val="Arial Narrow"/>
            <family val="2"/>
          </rPr>
          <t>AQ for the toxic distance calculations use a 10 minute average for release duration less than 10 minutes.</t>
        </r>
        <r>
          <rPr>
            <sz val="10"/>
            <color indexed="81"/>
            <rFont val="Tahoma"/>
            <family val="2"/>
          </rPr>
          <t xml:space="preserve">
</t>
        </r>
      </text>
    </comment>
    <comment ref="CH146" authorId="0" shapeId="0" xr:uid="{00000000-0006-0000-1E00-000011000000}">
      <text>
        <r>
          <rPr>
            <b/>
            <sz val="10"/>
            <color indexed="81"/>
            <rFont val="Arial Narrow"/>
            <family val="2"/>
          </rPr>
          <t>Assume "dampening" of Outdoor toxic distances for Indoor releases by using AQ/2 for the release rate leaving the building.</t>
        </r>
        <r>
          <rPr>
            <sz val="10"/>
            <color indexed="81"/>
            <rFont val="Tahoma"/>
            <family val="2"/>
          </rPr>
          <t xml:space="preserve">
</t>
        </r>
      </text>
    </comment>
    <comment ref="CH147" authorId="0" shapeId="0" xr:uid="{00000000-0006-0000-1E00-000012000000}">
      <text>
        <r>
          <rPr>
            <b/>
            <sz val="10"/>
            <color indexed="81"/>
            <rFont val="Arial Narrow"/>
            <family val="2"/>
          </rPr>
          <t>AQ for the toxic distance calculations use a 10 minute average for release duration less than 10 minutes.</t>
        </r>
        <r>
          <rPr>
            <sz val="10"/>
            <color indexed="81"/>
            <rFont val="Tahoma"/>
            <family val="2"/>
          </rPr>
          <t xml:space="preserve">
</t>
        </r>
      </text>
    </comment>
    <comment ref="CH148" authorId="0" shapeId="0" xr:uid="{00000000-0006-0000-1E00-000013000000}">
      <text>
        <r>
          <rPr>
            <b/>
            <sz val="10"/>
            <color indexed="81"/>
            <rFont val="Arial Narrow"/>
            <family val="2"/>
          </rPr>
          <t>Assume "dampening" of Outdoor toxic distances for Indoor releases by using AQ/2 for the release rate leaving the building.</t>
        </r>
        <r>
          <rPr>
            <sz val="10"/>
            <color indexed="81"/>
            <rFont val="Tahoma"/>
            <family val="2"/>
          </rPr>
          <t xml:space="preserve">
</t>
        </r>
      </text>
    </comment>
    <comment ref="CH158" authorId="0" shapeId="0" xr:uid="{00000000-0006-0000-1E00-00001C000000}">
      <text>
        <r>
          <rPr>
            <b/>
            <sz val="10"/>
            <color indexed="81"/>
            <rFont val="Arial Narrow"/>
            <family val="2"/>
          </rPr>
          <t>Based on typical process area natural ventilation of 1 air change per hour.  Limit maximum concentration to the total release divided by the total enclosed volume.</t>
        </r>
        <r>
          <rPr>
            <sz val="10"/>
            <color indexed="81"/>
            <rFont val="Tahoma"/>
            <family val="2"/>
          </rPr>
          <t xml:space="preserve">
</t>
        </r>
      </text>
    </comment>
    <comment ref="CH160" authorId="0" shapeId="0" xr:uid="{00000000-0006-0000-1E00-00001E000000}">
      <text>
        <r>
          <rPr>
            <b/>
            <sz val="10"/>
            <color indexed="81"/>
            <rFont val="Arial Narrow"/>
            <family val="2"/>
          </rPr>
          <t>Based on sufficient Indoor Process Area Concentration to limit oxygen below 19.5% (or 71400 ppm airborne concentration)</t>
        </r>
        <r>
          <rPr>
            <sz val="10"/>
            <color indexed="81"/>
            <rFont val="Tahoma"/>
            <family val="2"/>
          </rPr>
          <t xml:space="preserve">
</t>
        </r>
      </text>
    </comment>
    <comment ref="CH166" authorId="0" shapeId="0" xr:uid="{00000000-0006-0000-1E00-000022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CH167" authorId="0" shapeId="0" xr:uid="{00000000-0006-0000-1E00-000024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CH168" authorId="0" shapeId="0" xr:uid="{00000000-0006-0000-1E00-000025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CH169" authorId="0" shapeId="0" xr:uid="{00000000-0006-0000-1E00-000026000000}">
      <text>
        <r>
          <rPr>
            <b/>
            <sz val="10"/>
            <color indexed="81"/>
            <rFont val="Arial Narrow"/>
            <family val="2"/>
          </rPr>
          <t>Screening criteria based on 5 minute release.</t>
        </r>
      </text>
    </comment>
    <comment ref="CH176" authorId="0" shapeId="0" xr:uid="{00000000-0006-0000-1E00-00002B000000}">
      <text>
        <r>
          <rPr>
            <b/>
            <sz val="10"/>
            <color indexed="81"/>
            <rFont val="Tahoma"/>
            <family val="2"/>
          </rPr>
          <t>Limit structural damage to 1 psi damage distance to &gt; 10 m.  Blast must be sufficient to damage significant portion of building wall.</t>
        </r>
      </text>
    </comment>
    <comment ref="CH177" authorId="0" shapeId="0" xr:uid="{00000000-0006-0000-1E00-00002C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CH178" authorId="0" shapeId="0" xr:uid="{00000000-0006-0000-1E00-00002D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CH184" authorId="0" shapeId="0" xr:uid="{00000000-0006-0000-1E00-00002F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CH185" authorId="0" shapeId="0" xr:uid="{00000000-0006-0000-1E00-000030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CH186" authorId="0" shapeId="0" xr:uid="{00000000-0006-0000-1E00-000034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CH189" authorId="0" shapeId="0" xr:uid="{00000000-0006-0000-1E00-000035000000}">
      <text>
        <r>
          <rPr>
            <b/>
            <sz val="10"/>
            <color indexed="81"/>
            <rFont val="Arial Narrow"/>
            <family val="2"/>
          </rPr>
          <t>If distance to HD-2 is greater than 1/2 the distance to the public and material has good warning properties, consider odor nuisance to the public or Target Factor = 4.</t>
        </r>
        <r>
          <rPr>
            <sz val="10"/>
            <color indexed="81"/>
            <rFont val="Tahoma"/>
            <family val="2"/>
          </rPr>
          <t xml:space="preserve">
</t>
        </r>
      </text>
    </comment>
    <comment ref="AT206" authorId="0" shapeId="0" xr:uid="{5BD11AA7-606D-4E7E-8092-A4C74EF12A31}">
      <text>
        <r>
          <rPr>
            <b/>
            <sz val="10"/>
            <color indexed="81"/>
            <rFont val="Arial Narrow"/>
            <family val="2"/>
          </rPr>
          <t>Use LC-1 or if not toxic use 0.1 LFL as Concentration of Interest</t>
        </r>
      </text>
    </comment>
    <comment ref="B209" authorId="0" shapeId="0" xr:uid="{0E0A9663-82D8-4799-B330-83518A366B10}">
      <text>
        <r>
          <rPr>
            <b/>
            <sz val="10"/>
            <color indexed="81"/>
            <rFont val="Arial Narrow"/>
            <family val="2"/>
          </rPr>
          <t>Use LC-1 or if not toxic use 0.1 LFL as Concentration of Interest</t>
        </r>
      </text>
    </comment>
    <comment ref="BS209" authorId="0" shapeId="0" xr:uid="{71A77C89-0AB1-49D0-A469-1334B3E8BDAC}">
      <text>
        <r>
          <rPr>
            <b/>
            <sz val="10"/>
            <color indexed="81"/>
            <rFont val="Arial Narrow"/>
            <family val="2"/>
          </rPr>
          <t>Use LC-1 or if not toxic use 0.1 LFL as Concentration of Interest</t>
        </r>
      </text>
    </comment>
    <comment ref="CH217" authorId="0" shapeId="0" xr:uid="{00000000-0006-0000-1E00-00003B000000}">
      <text>
        <r>
          <rPr>
            <b/>
            <sz val="10"/>
            <color indexed="81"/>
            <rFont val="Arial Narrow"/>
            <family val="2"/>
          </rPr>
          <t>Assuming 10% of population is outdoors and impacted by toxic release.</t>
        </r>
      </text>
    </comment>
    <comment ref="CH219" authorId="0" shapeId="0" xr:uid="{2F5259ED-1467-4893-9CCB-948C10AC920F}">
      <text>
        <r>
          <rPr>
            <b/>
            <sz val="10"/>
            <color indexed="81"/>
            <rFont val="Tahoma"/>
            <family val="2"/>
          </rPr>
          <t>Consider only scenarios where the toxic severe impact concentration exceeds 1 
m.</t>
        </r>
        <r>
          <rPr>
            <sz val="10"/>
            <color indexed="81"/>
            <rFont val="Tahoma"/>
            <family val="2"/>
          </rPr>
          <t xml:space="preserve">
</t>
        </r>
      </text>
    </comment>
    <comment ref="CH220" authorId="0" shapeId="0" xr:uid="{00000000-0006-0000-1E00-00003C000000}">
      <text>
        <r>
          <rPr>
            <b/>
            <sz val="10"/>
            <color indexed="81"/>
            <rFont val="Tahoma"/>
            <family val="2"/>
          </rPr>
          <t>Consider only scenarios where the toxic severe impact concentration exceeds 1 
m.</t>
        </r>
        <r>
          <rPr>
            <sz val="10"/>
            <color indexed="81"/>
            <rFont val="Tahoma"/>
            <family val="2"/>
          </rPr>
          <t xml:space="preserve">
</t>
        </r>
      </text>
    </comment>
    <comment ref="CH221" authorId="0" shapeId="0" xr:uid="{00000000-0006-0000-1E00-00003D000000}">
      <text>
        <r>
          <rPr>
            <b/>
            <sz val="10"/>
            <color indexed="81"/>
            <rFont val="Tahoma"/>
            <family val="2"/>
          </rPr>
          <t>If airborne quantity is not toxic, estimate vulnerability for asphyxiation based on twice oxygen concentration for potential fatality.  For toxic release, impact area based on twice the average concentration divided by the one-hour LC-50.  If mechanical ventilation reduces the enclosed area concentration below a toxic limit - ensuring ventilation is operational may be an acceptable protective layer.</t>
        </r>
      </text>
    </comment>
    <comment ref="AC222" authorId="0" shapeId="0" xr:uid="{405B7B94-4C1D-4C39-A6D8-0F9A6AD9790F}">
      <text>
        <r>
          <rPr>
            <b/>
            <sz val="10"/>
            <color indexed="81"/>
            <rFont val="Arial Narrow"/>
            <family val="2"/>
          </rPr>
          <t>Use LC-1 or if not toxic use 0.1 LFL as Concentration of Interest</t>
        </r>
      </text>
    </comment>
    <comment ref="CH233" authorId="0" shapeId="0" xr:uid="{00000000-0006-0000-1E00-00003E000000}">
      <text>
        <r>
          <rPr>
            <b/>
            <sz val="10"/>
            <color indexed="81"/>
            <rFont val="Arial Narrow"/>
            <family val="2"/>
          </rPr>
          <t>Limit indoor exposure to 50% of personnel within enclosed process area.</t>
        </r>
      </text>
    </comment>
    <comment ref="CH237" authorId="1" shapeId="0" xr:uid="{00000000-0006-0000-1E00-00003F000000}">
      <text>
        <r>
          <rPr>
            <sz val="9"/>
            <color indexed="81"/>
            <rFont val="Tahoma"/>
            <family val="2"/>
          </rPr>
          <t>If LFL of mixture is greater than 76 vol % than oxygen below 1/2 limiting oxygen content of 10% and not flammable.</t>
        </r>
      </text>
    </comment>
    <comment ref="CH238" authorId="0" shapeId="0" xr:uid="{00000000-0006-0000-1E00-000040000000}">
      <text>
        <r>
          <rPr>
            <b/>
            <sz val="10"/>
            <color indexed="81"/>
            <rFont val="Arial Narrow"/>
            <family val="2"/>
          </rPr>
          <t>For Indoor fire, limit maximum severe impacts to 50% personnel within enclosed process area if not building explosion.</t>
        </r>
      </text>
    </comment>
    <comment ref="CH240" authorId="0" shapeId="0" xr:uid="{7ED80268-B010-41FA-B6E0-84E4DBD834B8}">
      <text>
        <r>
          <rPr>
            <b/>
            <sz val="10"/>
            <color indexed="81"/>
            <rFont val="Tahoma"/>
            <family val="2"/>
          </rPr>
          <t>Consider only scenarios where the flammable severe impact concentration exceeds 1 m.</t>
        </r>
        <r>
          <rPr>
            <sz val="10"/>
            <color indexed="81"/>
            <rFont val="Tahoma"/>
            <family val="2"/>
          </rPr>
          <t xml:space="preserve">
</t>
        </r>
      </text>
    </comment>
    <comment ref="CH241" authorId="0" shapeId="0" xr:uid="{00000000-0006-0000-1E00-000041000000}">
      <text>
        <r>
          <rPr>
            <b/>
            <sz val="10"/>
            <color indexed="81"/>
            <rFont val="Tahoma"/>
            <family val="2"/>
          </rPr>
          <t>Consider only scenarios where the flammable severe impact concentration exceeds 1 m.</t>
        </r>
        <r>
          <rPr>
            <sz val="10"/>
            <color indexed="81"/>
            <rFont val="Tahoma"/>
            <family val="2"/>
          </rPr>
          <t xml:space="preserve">
</t>
        </r>
      </text>
    </comment>
    <comment ref="CH242" authorId="0" shapeId="0" xr:uid="{00000000-0006-0000-1E00-000042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CH248" authorId="0" shapeId="0" xr:uid="{CA45231C-2CF2-42CA-9885-0882D8BCAE2E}">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CH249" authorId="0" shapeId="0" xr:uid="{00000000-0006-0000-1E00-000043000000}">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CH250" authorId="0" shapeId="0" xr:uid="{00000000-0006-0000-1E00-000044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CH257" authorId="0" shapeId="0" xr:uid="{048806A6-3DF3-4BD7-A7AB-59836C806709}">
      <text>
        <r>
          <rPr>
            <b/>
            <sz val="10"/>
            <color indexed="81"/>
            <rFont val="Arial Narrow"/>
            <family val="2"/>
          </rPr>
          <t>Includes personnel outdoors within the LFL cloud and personnel in impacted occupied building</t>
        </r>
        <r>
          <rPr>
            <sz val="10"/>
            <color indexed="81"/>
            <rFont val="Tahoma"/>
            <family val="2"/>
          </rPr>
          <t>.</t>
        </r>
      </text>
    </comment>
    <comment ref="CH258" authorId="0" shapeId="0" xr:uid="{00000000-0006-0000-1E00-000045000000}">
      <text>
        <r>
          <rPr>
            <b/>
            <sz val="10"/>
            <color indexed="81"/>
            <rFont val="Arial Narrow"/>
            <family val="2"/>
          </rPr>
          <t>Includes personnel outdoors within the LFL cloud and personnel in impacted occupied building</t>
        </r>
        <r>
          <rPr>
            <sz val="10"/>
            <color indexed="81"/>
            <rFont val="Tahoma"/>
            <family val="2"/>
          </rPr>
          <t>.</t>
        </r>
      </text>
    </comment>
    <comment ref="CH263" authorId="0" shapeId="0" xr:uid="{FBDDD094-6B40-4D90-B23A-3F741773AAE7}">
      <text>
        <r>
          <rPr>
            <b/>
            <sz val="10"/>
            <color indexed="81"/>
            <rFont val="Tahoma"/>
            <family val="2"/>
          </rPr>
          <t>Consider only scenarios where the 1 psi explosion impact exceeds 1 m.</t>
        </r>
        <r>
          <rPr>
            <sz val="10"/>
            <color indexed="81"/>
            <rFont val="Tahoma"/>
            <family val="2"/>
          </rPr>
          <t xml:space="preserve">
</t>
        </r>
      </text>
    </comment>
    <comment ref="CH264" authorId="0" shapeId="0" xr:uid="{00000000-0006-0000-1E00-000046000000}">
      <text>
        <r>
          <rPr>
            <b/>
            <sz val="10"/>
            <color indexed="81"/>
            <rFont val="Tahoma"/>
            <family val="2"/>
          </rPr>
          <t>Consider only scenarios where the 1 psi explosion impact exceeds 1 m.</t>
        </r>
        <r>
          <rPr>
            <sz val="10"/>
            <color indexed="81"/>
            <rFont val="Tahoma"/>
            <family val="2"/>
          </rPr>
          <t xml:space="preserve">
</t>
        </r>
      </text>
    </comment>
    <comment ref="CH265" authorId="0" shapeId="0" xr:uid="{00000000-0006-0000-1E00-000047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CH272" authorId="0" shapeId="0" xr:uid="{3ED5BF65-CAE8-4630-B59B-3B9DCF51451B}">
      <text>
        <r>
          <rPr>
            <b/>
            <sz val="10"/>
            <color indexed="81"/>
            <rFont val="Arial Narrow"/>
            <family val="2"/>
          </rPr>
          <t>Includes personnel in impacted occupied building</t>
        </r>
        <r>
          <rPr>
            <sz val="10"/>
            <color indexed="81"/>
            <rFont val="Tahoma"/>
            <family val="2"/>
          </rPr>
          <t>.</t>
        </r>
      </text>
    </comment>
    <comment ref="CH273" authorId="0" shapeId="0" xr:uid="{00000000-0006-0000-1E00-000048000000}">
      <text>
        <r>
          <rPr>
            <b/>
            <sz val="10"/>
            <color indexed="81"/>
            <rFont val="Arial Narrow"/>
            <family val="2"/>
          </rPr>
          <t>Includes personnel in impacted occupied building</t>
        </r>
        <r>
          <rPr>
            <sz val="10"/>
            <color indexed="81"/>
            <rFont val="Tahoma"/>
            <family val="2"/>
          </rPr>
          <t>.</t>
        </r>
      </text>
    </comment>
    <comment ref="B282" authorId="1" shapeId="0" xr:uid="{00000000-0006-0000-1E00-00004B000000}">
      <text>
        <r>
          <rPr>
            <b/>
            <sz val="9"/>
            <color indexed="81"/>
            <rFont val="Arial Narrow"/>
            <family val="2"/>
          </rPr>
          <t>Based on Ground Level Release at Low Velocity or Impingement (No Jet Mixing)</t>
        </r>
        <r>
          <rPr>
            <sz val="9"/>
            <color indexed="81"/>
            <rFont val="Tahoma"/>
            <family val="2"/>
          </rPr>
          <t xml:space="preserve">
</t>
        </r>
      </text>
    </comment>
    <comment ref="AT300" authorId="1" shapeId="0" xr:uid="{00000000-0006-0000-1E00-00004D000000}">
      <text>
        <r>
          <rPr>
            <sz val="11"/>
            <color indexed="81"/>
            <rFont val="Arial Narrow"/>
            <family val="2"/>
          </rPr>
          <t>Based on default ventilation rate of 1 air change/hour or failed Mechanical Ventilation</t>
        </r>
        <r>
          <rPr>
            <sz val="9"/>
            <color indexed="81"/>
            <rFont val="Tahoma"/>
            <family val="2"/>
          </rPr>
          <t xml:space="preserve">
</t>
        </r>
      </text>
    </comment>
    <comment ref="B302" authorId="1" shapeId="0" xr:uid="{00000000-0006-0000-1E00-00004E000000}">
      <text>
        <r>
          <rPr>
            <sz val="11"/>
            <color indexed="81"/>
            <rFont val="Arial Narrow"/>
            <family val="2"/>
          </rPr>
          <t>Based on default ventilation rate of 1 air change/hour or failed Mechanical Ventilation</t>
        </r>
        <r>
          <rPr>
            <sz val="9"/>
            <color indexed="81"/>
            <rFont val="Tahoma"/>
            <family val="2"/>
          </rPr>
          <t xml:space="preserve">
</t>
        </r>
      </text>
    </comment>
    <comment ref="BS302" authorId="1" shapeId="0" xr:uid="{00000000-0006-0000-1E00-00004F000000}">
      <text>
        <r>
          <rPr>
            <sz val="11"/>
            <color indexed="81"/>
            <rFont val="Arial Narrow"/>
            <family val="2"/>
          </rPr>
          <t>Based on default ventilation rate of 1 air change/hour or failed Mechanical Ventilation</t>
        </r>
        <r>
          <rPr>
            <sz val="9"/>
            <color indexed="81"/>
            <rFont val="Tahoma"/>
            <family val="2"/>
          </rPr>
          <t xml:space="preserve">
</t>
        </r>
      </text>
    </comment>
    <comment ref="AT303" authorId="0" shapeId="0" xr:uid="{00000000-0006-0000-1E00-000050000000}">
      <text>
        <r>
          <rPr>
            <b/>
            <sz val="10"/>
            <color indexed="81"/>
            <rFont val="Arial Narrow"/>
            <family val="2"/>
          </rPr>
          <t>Based on sufficient Indoor Process Area Concentration to limit oxygen below 19.5% (or 71400 ppm airborne concentration)</t>
        </r>
        <r>
          <rPr>
            <sz val="10"/>
            <color indexed="81"/>
            <rFont val="Tahoma"/>
            <family val="2"/>
          </rPr>
          <t xml:space="preserve">
</t>
        </r>
      </text>
    </comment>
    <comment ref="AT311" authorId="0" shapeId="0" xr:uid="{00000000-0006-0000-1E00-000051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T312" authorId="0" shapeId="0" xr:uid="{00000000-0006-0000-1E00-000052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313" authorId="0" shapeId="0" xr:uid="{00000000-0006-0000-1E00-000053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T313" authorId="0" shapeId="0" xr:uid="{00000000-0006-0000-1E00-000054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13" authorId="0" shapeId="0" xr:uid="{00000000-0006-0000-1E00-000055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314" authorId="0" shapeId="0" xr:uid="{00000000-0006-0000-1E00-000056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T314" authorId="0" shapeId="0" xr:uid="{00000000-0006-0000-1E00-000057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14" authorId="0" shapeId="0" xr:uid="{00000000-0006-0000-1E00-000058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315" authorId="0" shapeId="0" xr:uid="{00000000-0006-0000-1E00-000059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T315" authorId="0" shapeId="0" xr:uid="{00000000-0006-0000-1E00-00005A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BS315" authorId="0" shapeId="0" xr:uid="{00000000-0006-0000-1E00-00005B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316" authorId="0" shapeId="0" xr:uid="{00000000-0006-0000-1E00-00005C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316" authorId="1" shapeId="0" xr:uid="{00000000-0006-0000-1E00-00005D000000}">
      <text>
        <r>
          <rPr>
            <sz val="11"/>
            <color indexed="81"/>
            <rFont val="Arial Narrow"/>
            <family val="2"/>
          </rPr>
          <t>Based on default ventilation rate of 1 air change/hour or failed Mechanical Ventilation</t>
        </r>
        <r>
          <rPr>
            <sz val="9"/>
            <color indexed="81"/>
            <rFont val="Tahoma"/>
            <family val="2"/>
          </rPr>
          <t xml:space="preserve">
</t>
        </r>
      </text>
    </comment>
    <comment ref="AT316" authorId="0" shapeId="0" xr:uid="{00000000-0006-0000-1E00-00005E000000}">
      <text>
        <r>
          <rPr>
            <b/>
            <sz val="10"/>
            <color indexed="81"/>
            <rFont val="Arial Narrow"/>
            <family val="2"/>
          </rPr>
          <t>Screening criteria based on 5 minute release.</t>
        </r>
      </text>
    </comment>
    <comment ref="BS316" authorId="0" shapeId="0" xr:uid="{00000000-0006-0000-1E00-00005F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317" authorId="0" shapeId="0" xr:uid="{00000000-0006-0000-1E00-000060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BS317" authorId="0" shapeId="0" xr:uid="{00000000-0006-0000-1E00-000061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AT319" authorId="0" shapeId="0" xr:uid="{00000000-0006-0000-1E00-000062000000}">
      <text>
        <r>
          <rPr>
            <b/>
            <sz val="10"/>
            <color indexed="81"/>
            <rFont val="Arial Narrow"/>
            <family val="2"/>
          </rPr>
          <t>Estimated as total release to LFL distance divided by average concentration of the cloud</t>
        </r>
        <r>
          <rPr>
            <sz val="10"/>
            <color indexed="81"/>
            <rFont val="Tahoma"/>
            <family val="2"/>
          </rPr>
          <t xml:space="preserve">
</t>
        </r>
      </text>
    </comment>
    <comment ref="AT320" authorId="0" shapeId="0" xr:uid="{00000000-0006-0000-1E00-000063000000}">
      <text>
        <r>
          <rPr>
            <b/>
            <sz val="10"/>
            <color indexed="81"/>
            <rFont val="Arial Narrow"/>
            <family val="2"/>
          </rPr>
          <t>Based on Explosion Efficiency of 10% for high flame speed, 2% for low flame speed or material that is predominately liquid droplets, and 3% for typical material</t>
        </r>
        <r>
          <rPr>
            <sz val="10"/>
            <color indexed="81"/>
            <rFont val="Tahoma"/>
            <family val="2"/>
          </rPr>
          <t xml:space="preserve">
</t>
        </r>
      </text>
    </comment>
    <comment ref="B321" authorId="0" shapeId="0" xr:uid="{00000000-0006-0000-1E00-000064000000}">
      <text>
        <r>
          <rPr>
            <b/>
            <sz val="10"/>
            <color indexed="81"/>
            <rFont val="Arial Narrow"/>
            <family val="2"/>
          </rPr>
          <t>Estimated as total release to LFL distance divided by average concentration of the cloud</t>
        </r>
        <r>
          <rPr>
            <sz val="10"/>
            <color indexed="81"/>
            <rFont val="Tahoma"/>
            <family val="2"/>
          </rPr>
          <t xml:space="preserve">
</t>
        </r>
      </text>
    </comment>
    <comment ref="BS321" authorId="0" shapeId="0" xr:uid="{00000000-0006-0000-1E00-000065000000}">
      <text>
        <r>
          <rPr>
            <b/>
            <sz val="10"/>
            <color indexed="81"/>
            <rFont val="Arial Narrow"/>
            <family val="2"/>
          </rPr>
          <t>Estimated as total release to LFL distance divided by average concentration of the cloud</t>
        </r>
        <r>
          <rPr>
            <sz val="10"/>
            <color indexed="81"/>
            <rFont val="Tahoma"/>
            <family val="2"/>
          </rPr>
          <t xml:space="preserve">
</t>
        </r>
      </text>
    </comment>
    <comment ref="B322" authorId="0" shapeId="0" xr:uid="{00000000-0006-0000-1E00-000066000000}">
      <text>
        <r>
          <rPr>
            <sz val="10"/>
            <color indexed="81"/>
            <rFont val="Arial Narrow"/>
            <family val="2"/>
          </rPr>
          <t>Based on average of 840 Kcal/m</t>
        </r>
        <r>
          <rPr>
            <vertAlign val="superscript"/>
            <sz val="10"/>
            <color indexed="81"/>
            <rFont val="Arial Narrow"/>
            <family val="2"/>
          </rPr>
          <t>3</t>
        </r>
        <r>
          <rPr>
            <sz val="10"/>
            <color indexed="81"/>
            <rFont val="Arial Narrow"/>
            <family val="2"/>
          </rPr>
          <t xml:space="preserve"> heat of combustion and limited to a maximum of 2.4E7 Kca</t>
        </r>
        <r>
          <rPr>
            <b/>
            <sz val="10"/>
            <color indexed="81"/>
            <rFont val="Arial Narrow"/>
            <family val="2"/>
          </rPr>
          <t>l</t>
        </r>
        <r>
          <rPr>
            <sz val="10"/>
            <color indexed="81"/>
            <rFont val="Tahoma"/>
            <family val="2"/>
          </rPr>
          <t xml:space="preserve">
</t>
        </r>
      </text>
    </comment>
    <comment ref="BS322" authorId="0" shapeId="0" xr:uid="{00000000-0006-0000-1E00-000067000000}">
      <text>
        <r>
          <rPr>
            <sz val="10"/>
            <color indexed="81"/>
            <rFont val="Arial Narrow"/>
            <family val="2"/>
          </rPr>
          <t>Based on average of 840 Kcal/m</t>
        </r>
        <r>
          <rPr>
            <vertAlign val="superscript"/>
            <sz val="10"/>
            <color indexed="81"/>
            <rFont val="Arial Narrow"/>
            <family val="2"/>
          </rPr>
          <t>3</t>
        </r>
        <r>
          <rPr>
            <sz val="10"/>
            <color indexed="81"/>
            <rFont val="Arial Narrow"/>
            <family val="2"/>
          </rPr>
          <t xml:space="preserve"> heat of combustion and limited to a maximum of 2.4E7 Kca</t>
        </r>
        <r>
          <rPr>
            <b/>
            <sz val="10"/>
            <color indexed="81"/>
            <rFont val="Arial Narrow"/>
            <family val="2"/>
          </rPr>
          <t>l or maximum of total flammable mass times combustion heat of 10000 Kcal/Kg.</t>
        </r>
        <r>
          <rPr>
            <sz val="10"/>
            <color indexed="81"/>
            <rFont val="Tahoma"/>
            <family val="2"/>
          </rPr>
          <t xml:space="preserve">
</t>
        </r>
      </text>
    </comment>
    <comment ref="AT326" authorId="0" shapeId="0" xr:uid="{00000000-0006-0000-1E00-000068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327" authorId="0" shapeId="0" xr:uid="{00000000-0006-0000-1E00-000069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328" authorId="0" shapeId="0" xr:uid="{00000000-0006-0000-1E00-00006A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328" authorId="0" shapeId="0" xr:uid="{00000000-0006-0000-1E00-00006B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T328" authorId="0" shapeId="0" xr:uid="{00000000-0006-0000-1E00-00006C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28" authorId="0" shapeId="0" xr:uid="{00000000-0006-0000-1E00-00006D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329" authorId="0" shapeId="0" xr:uid="{00000000-0006-0000-1E00-00006E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330" authorId="0" shapeId="0" xr:uid="{00000000-0006-0000-1E00-00006F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330" authorId="0" shapeId="0" xr:uid="{00000000-0006-0000-1E00-000070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T330" authorId="0" shapeId="0" xr:uid="{00000000-0006-0000-1E00-000071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30" authorId="0" shapeId="0" xr:uid="{00000000-0006-0000-1E00-000072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331" authorId="0" shapeId="0" xr:uid="{00000000-0006-0000-1E00-000073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B332" authorId="0" shapeId="0" xr:uid="{00000000-0006-0000-1E00-000074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T332" authorId="0" shapeId="0" xr:uid="{00000000-0006-0000-1E00-000075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32" authorId="0" shapeId="0" xr:uid="{00000000-0006-0000-1E00-000076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T333" authorId="0" shapeId="0" xr:uid="{00000000-0006-0000-1E00-000077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B334" authorId="0" shapeId="0" xr:uid="{00000000-0006-0000-1E00-000078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34" authorId="0" shapeId="0" xr:uid="{00000000-0006-0000-1E00-000079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335" authorId="0" shapeId="0" xr:uid="{00000000-0006-0000-1E00-00007A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AC335" authorId="0" shapeId="0" xr:uid="{00000000-0006-0000-1E00-00007B000000}">
      <text>
        <r>
          <rPr>
            <b/>
            <sz val="10"/>
            <color indexed="81"/>
            <rFont val="Arial Narrow"/>
            <family val="2"/>
          </rPr>
          <t>Estimated as total release to LFL distance divided by average concentration of the cloud</t>
        </r>
        <r>
          <rPr>
            <sz val="10"/>
            <color indexed="81"/>
            <rFont val="Tahoma"/>
            <family val="2"/>
          </rPr>
          <t xml:space="preserve">
</t>
        </r>
      </text>
    </comment>
    <comment ref="BS335" authorId="0" shapeId="0" xr:uid="{00000000-0006-0000-1E00-00007C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AC336" authorId="0" shapeId="0" xr:uid="{00000000-0006-0000-1E00-00007D000000}">
      <text>
        <r>
          <rPr>
            <b/>
            <sz val="10"/>
            <color indexed="81"/>
            <rFont val="Arial Narrow"/>
            <family val="2"/>
          </rPr>
          <t>Based on Explosion Efficiency of 10% for high flame speed, 2% for low flame speed or material that is predominately liquid droplets, and 3% for typical material</t>
        </r>
        <r>
          <rPr>
            <sz val="10"/>
            <color indexed="81"/>
            <rFont val="Tahoma"/>
            <family val="2"/>
          </rPr>
          <t xml:space="preserve">
</t>
        </r>
      </text>
    </comment>
    <comment ref="AT336" authorId="0" shapeId="0" xr:uid="{00000000-0006-0000-1E00-00007E000000}">
      <text>
        <r>
          <rPr>
            <b/>
            <sz val="10"/>
            <color indexed="81"/>
            <rFont val="Arial Narrow"/>
            <family val="2"/>
          </rPr>
          <t>If distance to HD-2 is greater than 1/2 the distance to the public and material has good warning properties, consider odor nuisance to the public or Target Factor = 4.</t>
        </r>
        <r>
          <rPr>
            <sz val="10"/>
            <color indexed="81"/>
            <rFont val="Tahoma"/>
            <family val="2"/>
          </rPr>
          <t xml:space="preserve">
</t>
        </r>
      </text>
    </comment>
    <comment ref="BS336" authorId="0" shapeId="0" xr:uid="{51FEB488-0DF9-4EEB-BC91-32DAE41989AB}">
      <text>
        <r>
          <rPr>
            <b/>
            <sz val="10"/>
            <color indexed="81"/>
            <rFont val="Arial Narrow"/>
            <family val="2"/>
          </rPr>
          <t>Limit liquid/vapor density ratio to a minimum of 10 to represent conditions at 0.9 critical temperature.</t>
        </r>
        <r>
          <rPr>
            <sz val="9"/>
            <color indexed="81"/>
            <rFont val="Tahoma"/>
            <family val="2"/>
          </rPr>
          <t xml:space="preserve">
</t>
        </r>
      </text>
    </comment>
    <comment ref="BU339" authorId="0" shapeId="0" xr:uid="{00000000-0006-0000-1E00-00007F000000}">
      <text>
        <r>
          <rPr>
            <b/>
            <sz val="10"/>
            <color indexed="81"/>
            <rFont val="Arial Narrow"/>
            <family val="2"/>
          </rPr>
          <t>Use compressed vapor model for energy term for entire volume of equipment ("worst case" or  equipment near empty).</t>
        </r>
      </text>
    </comment>
    <comment ref="BS340" authorId="0" shapeId="0" xr:uid="{00000000-0006-0000-1E00-000080000000}">
      <text>
        <r>
          <rPr>
            <b/>
            <sz val="10"/>
            <color indexed="81"/>
            <rFont val="Tahoma"/>
            <family val="2"/>
          </rPr>
          <t>Adjusted for fuel reactivity to match TNO model for confined volume of low MAWP equipment.</t>
        </r>
      </text>
    </comment>
    <comment ref="BW340" authorId="1" shapeId="0" xr:uid="{00000000-0006-0000-1E00-000081000000}">
      <text>
        <r>
          <rPr>
            <b/>
            <sz val="10"/>
            <color indexed="81"/>
            <rFont val="Arial Narrow"/>
            <family val="2"/>
          </rPr>
          <t>Based on Combustion Energy of 3500 Kjoule/cubic meter</t>
        </r>
        <r>
          <rPr>
            <sz val="9"/>
            <color indexed="81"/>
            <rFont val="Tahoma"/>
            <family val="2"/>
          </rPr>
          <t xml:space="preserve">
</t>
        </r>
      </text>
    </comment>
    <comment ref="AC342" authorId="0" shapeId="0" xr:uid="{00000000-0006-0000-1E00-000082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344" authorId="0" shapeId="0" xr:uid="{00000000-0006-0000-1E00-000084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44" authorId="0" shapeId="0" xr:uid="{00000000-0006-0000-1E00-000083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45" authorId="0" shapeId="0" xr:uid="{00000000-0006-0000-1E00-000085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346" authorId="0" shapeId="0" xr:uid="{00000000-0006-0000-1E00-000087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46" authorId="0" shapeId="0" xr:uid="{00000000-0006-0000-1E00-000086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47" authorId="0" shapeId="0" xr:uid="{00000000-0006-0000-1E00-000088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348" authorId="0" shapeId="0" xr:uid="{00000000-0006-0000-1E00-00008A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48" authorId="0" shapeId="0" xr:uid="{00000000-0006-0000-1E00-000089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AC349" authorId="0" shapeId="0" xr:uid="{00000000-0006-0000-1E00-00008F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BW349" authorId="0" shapeId="0" xr:uid="{00000000-0006-0000-1E00-00008B000000}">
      <text>
        <r>
          <rPr>
            <b/>
            <sz val="10"/>
            <color indexed="81"/>
            <rFont val="Arial Narrow"/>
            <family val="2"/>
          </rPr>
          <t>Assume 50% Explosion Efficiency using Heat of Reaction and 10% Explosion Efficiency for Condensed Phase Detonable based on total mass</t>
        </r>
        <r>
          <rPr>
            <sz val="10"/>
            <color indexed="81"/>
            <rFont val="Tahoma"/>
            <family val="2"/>
          </rPr>
          <t xml:space="preserve">
</t>
        </r>
      </text>
    </comment>
    <comment ref="BY349" authorId="0" shapeId="0" xr:uid="{00000000-0006-0000-1E00-00008C000000}">
      <text>
        <r>
          <rPr>
            <b/>
            <sz val="10"/>
            <color indexed="81"/>
            <rFont val="Arial Narrow"/>
            <family val="2"/>
          </rPr>
          <t>Assume 50% Explosion Efficiency using Heat of Reaction and 10% Explosion Efficiency for Condensed Phase Detonable based on total mass</t>
        </r>
        <r>
          <rPr>
            <sz val="10"/>
            <color indexed="81"/>
            <rFont val="Tahoma"/>
            <family val="2"/>
          </rPr>
          <t xml:space="preserve">
</t>
        </r>
      </text>
    </comment>
    <comment ref="CA349" authorId="0" shapeId="0" xr:uid="{00000000-0006-0000-1E00-00008D000000}">
      <text>
        <r>
          <rPr>
            <b/>
            <sz val="10"/>
            <color indexed="81"/>
            <rFont val="Arial Narrow"/>
            <family val="2"/>
          </rPr>
          <t>Assume 50% Explosion Efficiency using Heat of Reaction and 10% Explosion Efficiency for Condensed Phase Detonable based on total mass</t>
        </r>
        <r>
          <rPr>
            <sz val="10"/>
            <color indexed="81"/>
            <rFont val="Tahoma"/>
            <family val="2"/>
          </rPr>
          <t xml:space="preserve">
</t>
        </r>
      </text>
    </comment>
    <comment ref="CC349" authorId="0" shapeId="0" xr:uid="{00000000-0006-0000-1E00-00008E000000}">
      <text>
        <r>
          <rPr>
            <b/>
            <sz val="10"/>
            <color indexed="81"/>
            <rFont val="Arial Narrow"/>
            <family val="2"/>
          </rPr>
          <t>Assume 50% Explosion Efficiency using Heat of Reaction and 10% Explosion Efficiency for Condensed Phase Detonable based on total mass</t>
        </r>
        <r>
          <rPr>
            <sz val="10"/>
            <color indexed="81"/>
            <rFont val="Tahoma"/>
            <family val="2"/>
          </rPr>
          <t xml:space="preserve">
</t>
        </r>
      </text>
    </comment>
    <comment ref="AC352" authorId="0" shapeId="0" xr:uid="{00000000-0006-0000-1E00-000090000000}">
      <text>
        <r>
          <rPr>
            <b/>
            <sz val="10"/>
            <color indexed="81"/>
            <rFont val="Arial Narrow"/>
            <family val="2"/>
          </rPr>
          <t>If distance to HD-2 is greater than 1/2 the distance to the public and material has good warning properties, consider odor nuisance to the public or Target Factor = 4.</t>
        </r>
        <r>
          <rPr>
            <sz val="10"/>
            <color indexed="81"/>
            <rFont val="Tahoma"/>
            <family val="2"/>
          </rPr>
          <t xml:space="preserve">
</t>
        </r>
      </text>
    </comment>
    <comment ref="BS353" authorId="0" shapeId="0" xr:uid="{00000000-0006-0000-1E00-000091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54" authorId="0" shapeId="0" xr:uid="{00000000-0006-0000-1E00-000092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55" authorId="0" shapeId="0" xr:uid="{00000000-0006-0000-1E00-000093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56" authorId="0" shapeId="0" xr:uid="{00000000-0006-0000-1E00-000094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S357" authorId="0" shapeId="0" xr:uid="{00000000-0006-0000-1E00-000095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AT363" authorId="0" shapeId="0" xr:uid="{00000000-0006-0000-1E00-000096000000}">
      <text>
        <r>
          <rPr>
            <b/>
            <sz val="10"/>
            <color indexed="81"/>
            <rFont val="Arial Narrow"/>
            <family val="2"/>
          </rPr>
          <t>Assuming a fraction of total on-site population is outdoors and impacted by toxic release.</t>
        </r>
      </text>
    </comment>
    <comment ref="B365" authorId="0" shapeId="0" xr:uid="{00000000-0006-0000-1E00-00009C000000}">
      <text>
        <r>
          <rPr>
            <b/>
            <sz val="10"/>
            <color indexed="81"/>
            <rFont val="Arial Narrow"/>
            <family val="2"/>
          </rPr>
          <t>Assuming a fraction of total on-site population is outdoors and impacted by toxic release.</t>
        </r>
      </text>
    </comment>
    <comment ref="AT365" authorId="0" shapeId="0" xr:uid="{78D8B6A8-C2D1-45B2-A0D3-A3488BC995E4}">
      <text>
        <r>
          <rPr>
            <b/>
            <sz val="10"/>
            <color indexed="81"/>
            <rFont val="Tahoma"/>
            <family val="2"/>
          </rPr>
          <t>Consider only scenarios where the toxic severe impact concentration is greater than twice the saturation limit distance exceeds 1 m.</t>
        </r>
        <r>
          <rPr>
            <sz val="10"/>
            <color indexed="81"/>
            <rFont val="Tahoma"/>
            <family val="2"/>
          </rPr>
          <t xml:space="preserve">
</t>
        </r>
      </text>
    </comment>
    <comment ref="AT366" authorId="0" shapeId="0" xr:uid="{00000000-0006-0000-1E00-000097000000}">
      <text>
        <r>
          <rPr>
            <b/>
            <sz val="10"/>
            <color indexed="81"/>
            <rFont val="Tahoma"/>
            <family val="2"/>
          </rPr>
          <t>Consider only scenarios where the toxic severe impact concentration is greater than twice the saturation limit distance exceeds 1 m.</t>
        </r>
        <r>
          <rPr>
            <sz val="10"/>
            <color indexed="81"/>
            <rFont val="Tahoma"/>
            <family val="2"/>
          </rPr>
          <t xml:space="preserve">
</t>
        </r>
      </text>
    </comment>
    <comment ref="B367" authorId="0" shapeId="0" xr:uid="{7D646359-77E3-4F41-B95F-9F3EE70ADCF9}">
      <text>
        <r>
          <rPr>
            <b/>
            <sz val="10"/>
            <color indexed="81"/>
            <rFont val="Tahoma"/>
            <family val="2"/>
          </rPr>
          <t>Consider only scenarios where the toxic severe impact concentration is greater than twice the saturation limit distance exceeds 1 m.</t>
        </r>
        <r>
          <rPr>
            <sz val="10"/>
            <color indexed="81"/>
            <rFont val="Tahoma"/>
            <family val="2"/>
          </rPr>
          <t xml:space="preserve">
</t>
        </r>
      </text>
    </comment>
    <comment ref="AT367" authorId="0" shapeId="0" xr:uid="{00000000-0006-0000-1E00-000098000000}">
      <text>
        <r>
          <rPr>
            <b/>
            <sz val="10"/>
            <color indexed="81"/>
            <rFont val="Tahoma"/>
            <family val="2"/>
          </rPr>
          <t>If airborne quantity is not toxic, estimate vulnerability for asphyxiation based on twice oxygen concentration for potential fatality.  For toxic release, impact area based on twice the average concentration divided by the one-hour LC-50.  If mechanical ventilation reduces the enclosed area concentration below a toxic limit - ensuring ventilation is operational may be an acceptable protective layer.</t>
        </r>
      </text>
    </comment>
    <comment ref="B368" authorId="0" shapeId="0" xr:uid="{00000000-0006-0000-1E00-0000A0000000}">
      <text>
        <r>
          <rPr>
            <b/>
            <sz val="10"/>
            <color indexed="81"/>
            <rFont val="Tahoma"/>
            <family val="2"/>
          </rPr>
          <t>Consider only scenarios where the toxic severe impact concentration is greater than twice the saturation limit distance exceeds 1 m.</t>
        </r>
        <r>
          <rPr>
            <sz val="10"/>
            <color indexed="81"/>
            <rFont val="Tahoma"/>
            <family val="2"/>
          </rPr>
          <t xml:space="preserve">
</t>
        </r>
      </text>
    </comment>
    <comment ref="BS368" authorId="0" shapeId="0" xr:uid="{00000000-0006-0000-1E00-000099000000}">
      <text>
        <r>
          <rPr>
            <b/>
            <sz val="10"/>
            <color indexed="81"/>
            <rFont val="Arial Narrow"/>
            <family val="2"/>
          </rPr>
          <t>If distance to HD-2 is greater than 1/2 the distance to the public and material has good warning properties, consider odor nuisance to the public or Target Factor = 4.</t>
        </r>
        <r>
          <rPr>
            <sz val="10"/>
            <color indexed="81"/>
            <rFont val="Tahoma"/>
            <family val="2"/>
          </rPr>
          <t xml:space="preserve">
</t>
        </r>
      </text>
    </comment>
    <comment ref="B369" authorId="0" shapeId="0" xr:uid="{00000000-0006-0000-1E00-0000A1000000}">
      <text>
        <r>
          <rPr>
            <b/>
            <sz val="10"/>
            <color indexed="81"/>
            <rFont val="Tahoma"/>
            <family val="2"/>
          </rPr>
          <t>If airborne quantity is not toxic, estimate vulnerability for asphyxiation based on twice oxygen concentration for potential fatality.  For toxic release, impact area based on twice the average concentration divided by the one-hour LC-50.  If mechanical ventilation reduces the enclosed area concentration below a toxic limit - ensuring ventilation is operational may be an acceptable protective layer.</t>
        </r>
      </text>
    </comment>
    <comment ref="B374" authorId="1" shapeId="0" xr:uid="{00000000-0006-0000-1E00-0000A6000000}">
      <text>
        <r>
          <rPr>
            <b/>
            <sz val="9"/>
            <color indexed="81"/>
            <rFont val="Tahoma"/>
            <family val="2"/>
          </rPr>
          <t>Based on one hour exposure to the average indoor concentration</t>
        </r>
        <r>
          <rPr>
            <sz val="9"/>
            <color indexed="81"/>
            <rFont val="Tahoma"/>
            <family val="2"/>
          </rPr>
          <t xml:space="preserve">
</t>
        </r>
      </text>
    </comment>
    <comment ref="B375" authorId="1" shapeId="0" xr:uid="{00000000-0006-0000-1E00-0000A7000000}">
      <text>
        <r>
          <rPr>
            <b/>
            <sz val="9"/>
            <color indexed="81"/>
            <rFont val="Tahoma"/>
            <family val="2"/>
          </rPr>
          <t>Based on one hour exposure to the average indoor concentration</t>
        </r>
        <r>
          <rPr>
            <sz val="9"/>
            <color indexed="81"/>
            <rFont val="Tahoma"/>
            <family val="2"/>
          </rPr>
          <t xml:space="preserve">
</t>
        </r>
      </text>
    </comment>
    <comment ref="AT377" authorId="1" shapeId="0" xr:uid="{00000000-0006-0000-1E00-00009A000000}">
      <text>
        <r>
          <rPr>
            <b/>
            <sz val="10"/>
            <color indexed="81"/>
            <rFont val="Arial Narrow"/>
            <family val="2"/>
          </rPr>
          <t>Assume 2 phase droplets distance roughly the same as 1/2 transition distance for jet mixing.</t>
        </r>
        <r>
          <rPr>
            <sz val="9"/>
            <color indexed="81"/>
            <rFont val="Tahoma"/>
            <family val="2"/>
          </rPr>
          <t xml:space="preserve">
</t>
        </r>
      </text>
    </comment>
    <comment ref="AC379" authorId="0" shapeId="0" xr:uid="{00000000-0006-0000-1E00-00009E000000}">
      <text>
        <r>
          <rPr>
            <b/>
            <sz val="10"/>
            <color indexed="81"/>
            <rFont val="Arial Narrow"/>
            <family val="2"/>
          </rPr>
          <t>Assuming a fraction of total on-site population is outdoors and impacted by toxic release.</t>
        </r>
      </text>
    </comment>
    <comment ref="AT379" authorId="0" shapeId="0" xr:uid="{00000000-0006-0000-1E00-00009B000000}">
      <text>
        <r>
          <rPr>
            <b/>
            <sz val="10"/>
            <color indexed="81"/>
            <rFont val="Arial Narrow"/>
            <family val="2"/>
          </rPr>
          <t>Limit indoor exposure to 50% of personnel within enclosed process area.</t>
        </r>
      </text>
    </comment>
    <comment ref="B381" authorId="0" shapeId="0" xr:uid="{00000000-0006-0000-1E00-0000AA000000}">
      <text>
        <r>
          <rPr>
            <b/>
            <sz val="10"/>
            <color indexed="81"/>
            <rFont val="Arial Narrow"/>
            <family val="2"/>
          </rPr>
          <t>Limit indoor exposure to 50% of personnel within enclosed process area.</t>
        </r>
      </text>
    </comment>
    <comment ref="AC381" authorId="0" shapeId="0" xr:uid="{ED59871E-DD7D-4911-961B-7920541456CA}">
      <text>
        <r>
          <rPr>
            <b/>
            <sz val="10"/>
            <color indexed="81"/>
            <rFont val="Tahoma"/>
            <family val="2"/>
          </rPr>
          <t>Consider only scenarios where the toxic severe impact concentration is greater than twice the saturation limit distance exceeds 1 m.</t>
        </r>
        <r>
          <rPr>
            <sz val="10"/>
            <color indexed="81"/>
            <rFont val="Tahoma"/>
            <family val="2"/>
          </rPr>
          <t xml:space="preserve">
</t>
        </r>
      </text>
    </comment>
    <comment ref="AC382" authorId="0" shapeId="0" xr:uid="{00000000-0006-0000-1E00-0000A2000000}">
      <text>
        <r>
          <rPr>
            <b/>
            <sz val="10"/>
            <color indexed="81"/>
            <rFont val="Tahoma"/>
            <family val="2"/>
          </rPr>
          <t>Consider only scenarios where the toxic severe impact concentration is greater than twice the saturation limit distance exceeds 1 m.</t>
        </r>
        <r>
          <rPr>
            <sz val="10"/>
            <color indexed="81"/>
            <rFont val="Tahoma"/>
            <family val="2"/>
          </rPr>
          <t xml:space="preserve">
</t>
        </r>
      </text>
    </comment>
    <comment ref="AC383" authorId="0" shapeId="0" xr:uid="{00000000-0006-0000-1E00-0000A4000000}">
      <text>
        <r>
          <rPr>
            <b/>
            <sz val="10"/>
            <color indexed="81"/>
            <rFont val="Tahoma"/>
            <family val="2"/>
          </rPr>
          <t>If airborne quantity is not toxic, estimate vulnerability for asphyxiation based on twice oxygen concentration for potential fatality.  For toxic release, impact area based on twice the average concentration divided by the one-hour LC-50.  If mechanical ventilation reduces the enclosed area concentration below a toxic limit - ensuring ventilation is operational may be an acceptable protective layer.</t>
        </r>
      </text>
    </comment>
    <comment ref="AT383" authorId="1" shapeId="0" xr:uid="{00000000-0006-0000-1E00-00009D000000}">
      <text>
        <r>
          <rPr>
            <sz val="9"/>
            <color indexed="81"/>
            <rFont val="Tahoma"/>
            <family val="2"/>
          </rPr>
          <t>If LFL of mixture is greater than 76 vol % than oxygen below 1/2 limiting oxygen content of 10% and not flammable.</t>
        </r>
      </text>
    </comment>
    <comment ref="B384" authorId="1" shapeId="0" xr:uid="{00000000-0006-0000-1E00-0000AC000000}">
      <text>
        <r>
          <rPr>
            <b/>
            <sz val="9"/>
            <color indexed="81"/>
            <rFont val="Tahoma"/>
            <family val="2"/>
          </rPr>
          <t>Based on Thermal Burns Only.</t>
        </r>
        <r>
          <rPr>
            <sz val="9"/>
            <color indexed="81"/>
            <rFont val="Tahoma"/>
            <family val="2"/>
          </rPr>
          <t xml:space="preserve">
</t>
        </r>
      </text>
    </comment>
    <comment ref="AT384" authorId="0" shapeId="0" xr:uid="{00000000-0006-0000-1E00-00009F000000}">
      <text>
        <r>
          <rPr>
            <b/>
            <sz val="10"/>
            <color indexed="81"/>
            <rFont val="Arial Narrow"/>
            <family val="2"/>
          </rPr>
          <t>For Indoor fire, limit maximum severe impacts to 50% personnel within enclosed process area if not building explosion.</t>
        </r>
      </text>
    </comment>
    <comment ref="B385" authorId="1" shapeId="0" xr:uid="{00000000-0006-0000-1E00-0000AE000000}">
      <text>
        <r>
          <rPr>
            <sz val="9"/>
            <color indexed="81"/>
            <rFont val="Tahoma"/>
            <family val="2"/>
          </rPr>
          <t>If LFL of mixture is greater than 76 vol % than oxygen below 1/2 limiting oxygen content of 10% and not flammable.</t>
        </r>
      </text>
    </comment>
    <comment ref="AT386" authorId="0" shapeId="0" xr:uid="{243F479C-F48D-484B-8A8A-614584B83ACA}">
      <text>
        <r>
          <rPr>
            <b/>
            <sz val="10"/>
            <color indexed="81"/>
            <rFont val="Tahoma"/>
            <family val="2"/>
          </rPr>
          <t>Consider only scenarios where the flammable severe impact concentration exceeds 1 m.</t>
        </r>
        <r>
          <rPr>
            <sz val="10"/>
            <color indexed="81"/>
            <rFont val="Tahoma"/>
            <family val="2"/>
          </rPr>
          <t xml:space="preserve">
</t>
        </r>
      </text>
    </comment>
    <comment ref="AT387" authorId="0" shapeId="0" xr:uid="{00000000-0006-0000-1E00-0000A3000000}">
      <text>
        <r>
          <rPr>
            <b/>
            <sz val="10"/>
            <color indexed="81"/>
            <rFont val="Tahoma"/>
            <family val="2"/>
          </rPr>
          <t>Consider only scenarios where the flammable severe impact concentration exceeds 1 m.</t>
        </r>
        <r>
          <rPr>
            <sz val="10"/>
            <color indexed="81"/>
            <rFont val="Tahoma"/>
            <family val="2"/>
          </rPr>
          <t xml:space="preserve">
</t>
        </r>
      </text>
    </comment>
    <comment ref="B388" authorId="0" shapeId="0" xr:uid="{7ABA4DDB-F82F-428C-8D3D-E6833ACA808B}">
      <text>
        <r>
          <rPr>
            <b/>
            <sz val="10"/>
            <color indexed="81"/>
            <rFont val="Tahoma"/>
            <family val="2"/>
          </rPr>
          <t>Consider only scenarios where the flammable severe impact concentration exceeds 1 m.</t>
        </r>
        <r>
          <rPr>
            <sz val="10"/>
            <color indexed="81"/>
            <rFont val="Tahoma"/>
            <family val="2"/>
          </rPr>
          <t xml:space="preserve">
</t>
        </r>
      </text>
    </comment>
    <comment ref="AT388" authorId="0" shapeId="0" xr:uid="{00000000-0006-0000-1E00-0000A5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B389" authorId="0" shapeId="0" xr:uid="{00000000-0006-0000-1E00-0000B2000000}">
      <text>
        <r>
          <rPr>
            <b/>
            <sz val="10"/>
            <color indexed="81"/>
            <rFont val="Tahoma"/>
            <family val="2"/>
          </rPr>
          <t>Consider only scenarios where the flammable severe impact concentration exceeds 1 m.</t>
        </r>
        <r>
          <rPr>
            <sz val="10"/>
            <color indexed="81"/>
            <rFont val="Tahoma"/>
            <family val="2"/>
          </rPr>
          <t xml:space="preserve">
</t>
        </r>
      </text>
    </comment>
    <comment ref="AC395" authorId="0" shapeId="0" xr:uid="{00000000-0006-0000-1E00-0000AB000000}">
      <text>
        <r>
          <rPr>
            <b/>
            <sz val="10"/>
            <color indexed="81"/>
            <rFont val="Arial Narrow"/>
            <family val="2"/>
          </rPr>
          <t>Limit indoor exposure to 50% of personnel within enclosed process area.</t>
        </r>
      </text>
    </comment>
    <comment ref="BS395" authorId="0" shapeId="0" xr:uid="{00000000-0006-0000-1E00-0000AF000000}">
      <text>
        <r>
          <rPr>
            <b/>
            <sz val="10"/>
            <color indexed="81"/>
            <rFont val="Arial Narrow"/>
            <family val="2"/>
          </rPr>
          <t>Assuming a fraction of total on-site population is outdoors and impacted by toxic release.</t>
        </r>
      </text>
    </comment>
    <comment ref="AT396" authorId="0" shapeId="0" xr:uid="{FF84B36F-B021-459C-8EEC-5A5B12B66EBA}">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AT397" authorId="0" shapeId="0" xr:uid="{00000000-0006-0000-1E00-0000A8000000}">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BS397" authorId="0" shapeId="0" xr:uid="{24E4632B-F73F-40C3-B6EC-CA5121D1CE8E}">
      <text>
        <r>
          <rPr>
            <b/>
            <sz val="10"/>
            <color indexed="81"/>
            <rFont val="Tahoma"/>
            <family val="2"/>
          </rPr>
          <t>Consider only scenarios where the toxic severe impact concentration is greater than twice the saturation limit distance exceeds 1 m.</t>
        </r>
        <r>
          <rPr>
            <sz val="10"/>
            <color indexed="81"/>
            <rFont val="Tahoma"/>
            <family val="2"/>
          </rPr>
          <t xml:space="preserve">
</t>
        </r>
      </text>
    </comment>
    <comment ref="AT398" authorId="0" shapeId="0" xr:uid="{00000000-0006-0000-1E00-0000A9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BS398" authorId="0" shapeId="0" xr:uid="{00000000-0006-0000-1E00-0000B1000000}">
      <text>
        <r>
          <rPr>
            <b/>
            <sz val="10"/>
            <color indexed="81"/>
            <rFont val="Tahoma"/>
            <family val="2"/>
          </rPr>
          <t>Consider only scenarios where the toxic severe impact concentration is greater than twice the saturation limit distance exceeds 1 m.</t>
        </r>
        <r>
          <rPr>
            <sz val="10"/>
            <color indexed="81"/>
            <rFont val="Tahoma"/>
            <family val="2"/>
          </rPr>
          <t xml:space="preserve">
</t>
        </r>
      </text>
    </comment>
    <comment ref="B399" authorId="0" shapeId="0" xr:uid="{00000000-0006-0000-1E00-0000B7000000}">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AC399" authorId="1" shapeId="0" xr:uid="{00000000-0006-0000-1E00-0000B0000000}">
      <text>
        <r>
          <rPr>
            <sz val="9"/>
            <color indexed="81"/>
            <rFont val="Tahoma"/>
            <family val="2"/>
          </rPr>
          <t>If LFL of mixture is greater than 76 vol % than oxygen below 1/2 limiting oxygen content of 10% and not flammable.</t>
        </r>
      </text>
    </comment>
    <comment ref="BS399" authorId="0" shapeId="0" xr:uid="{00000000-0006-0000-1E00-0000B3000000}">
      <text>
        <r>
          <rPr>
            <b/>
            <sz val="10"/>
            <color indexed="81"/>
            <rFont val="Tahoma"/>
            <family val="2"/>
          </rPr>
          <t>If airborne quantity is not toxic, estimate vulnerability for asphyxiation based on twice oxygen concentration for potential fatality.  For toxic release, impact area based on twice the average concentration divided by the one-hour LC-50.  If mechanical ventilation reduces the enclosed area concentration below a toxic limit - ensuring ventilation is operational may be an acceptable protective layer.</t>
        </r>
      </text>
    </comment>
    <comment ref="AC402" authorId="0" shapeId="0" xr:uid="{6621185D-8EC9-4940-AD33-F35A3BDB2BD4}">
      <text>
        <r>
          <rPr>
            <b/>
            <sz val="10"/>
            <color indexed="81"/>
            <rFont val="Tahoma"/>
            <family val="2"/>
          </rPr>
          <t>Consider only scenarios where the flammable severe impact concentration exceeds 1 m.</t>
        </r>
        <r>
          <rPr>
            <sz val="10"/>
            <color indexed="81"/>
            <rFont val="Tahoma"/>
            <family val="2"/>
          </rPr>
          <t xml:space="preserve">
</t>
        </r>
      </text>
    </comment>
    <comment ref="AC403" authorId="0" shapeId="0" xr:uid="{00000000-0006-0000-1E00-0000B5000000}">
      <text>
        <r>
          <rPr>
            <b/>
            <sz val="10"/>
            <color indexed="81"/>
            <rFont val="Tahoma"/>
            <family val="2"/>
          </rPr>
          <t>Consider only scenarios where the flammable severe impact concentration exceeds 1 m.</t>
        </r>
        <r>
          <rPr>
            <sz val="10"/>
            <color indexed="81"/>
            <rFont val="Tahoma"/>
            <family val="2"/>
          </rPr>
          <t xml:space="preserve">
</t>
        </r>
      </text>
    </comment>
    <comment ref="AC404" authorId="0" shapeId="0" xr:uid="{00000000-0006-0000-1E00-0000B6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AT406" authorId="0" shapeId="0" xr:uid="{2544AA72-56E0-45F3-98D8-DDAF3DA64B54}">
      <text>
        <r>
          <rPr>
            <b/>
            <sz val="10"/>
            <color indexed="81"/>
            <rFont val="Arial Narrow"/>
            <family val="2"/>
          </rPr>
          <t>Includes personnel outdoors within the LFL cloud and personnel in impacted occupied building</t>
        </r>
        <r>
          <rPr>
            <sz val="10"/>
            <color indexed="81"/>
            <rFont val="Tahoma"/>
            <family val="2"/>
          </rPr>
          <t>.</t>
        </r>
      </text>
    </comment>
    <comment ref="AT407" authorId="0" shapeId="0" xr:uid="{00000000-0006-0000-1E00-0000AD000000}">
      <text>
        <r>
          <rPr>
            <b/>
            <sz val="10"/>
            <color indexed="81"/>
            <rFont val="Arial Narrow"/>
            <family val="2"/>
          </rPr>
          <t>Includes personnel outdoors within the LFL cloud and personnel in impacted occupied building</t>
        </r>
        <r>
          <rPr>
            <sz val="10"/>
            <color indexed="81"/>
            <rFont val="Tahoma"/>
            <family val="2"/>
          </rPr>
          <t>.</t>
        </r>
      </text>
    </comment>
    <comment ref="B409" authorId="0" shapeId="0" xr:uid="{00000000-0006-0000-1E00-0000BD000000}">
      <text>
        <r>
          <rPr>
            <b/>
            <sz val="10"/>
            <color indexed="81"/>
            <rFont val="Arial Narrow"/>
            <family val="2"/>
          </rPr>
          <t>Includes personnel outdoors within the LFL cloud and personnel in impacted occupied building</t>
        </r>
        <r>
          <rPr>
            <sz val="10"/>
            <color indexed="81"/>
            <rFont val="Tahoma"/>
            <family val="2"/>
          </rPr>
          <t>.</t>
        </r>
      </text>
    </comment>
    <comment ref="BS409" authorId="0" shapeId="0" xr:uid="{00000000-0006-0000-1E00-0000BB000000}">
      <text>
        <r>
          <rPr>
            <b/>
            <sz val="10"/>
            <color indexed="81"/>
            <rFont val="Arial Narrow"/>
            <family val="2"/>
          </rPr>
          <t>Limit indoor exposure to 50% of personnel within enclosed process area.</t>
        </r>
      </text>
    </comment>
    <comment ref="AC412" authorId="0" shapeId="0" xr:uid="{90A8B54A-738E-416F-B345-4A2162E6D0F5}">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AC413" authorId="0" shapeId="0" xr:uid="{00000000-0006-0000-1E00-0000B9000000}">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BS413" authorId="1" shapeId="0" xr:uid="{00000000-0006-0000-1E00-0000BC000000}">
      <text>
        <r>
          <rPr>
            <sz val="9"/>
            <color indexed="81"/>
            <rFont val="Tahoma"/>
            <family val="2"/>
          </rPr>
          <t>If LFL of mixture is greater than 76 vol % than oxygen below 1/2 limiting oxygen content of 10% and not flammable.</t>
        </r>
      </text>
    </comment>
    <comment ref="AC414" authorId="0" shapeId="0" xr:uid="{00000000-0006-0000-1E00-0000BA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BS417" authorId="0" shapeId="0" xr:uid="{00000000-0006-0000-1E00-0000BF000000}">
      <text>
        <r>
          <rPr>
            <b/>
            <sz val="10"/>
            <color indexed="81"/>
            <rFont val="Tahoma"/>
            <family val="2"/>
          </rPr>
          <t>Consider only scenarios where the flammable severe impact concentration exceeds 1 m.</t>
        </r>
        <r>
          <rPr>
            <sz val="10"/>
            <color indexed="81"/>
            <rFont val="Tahoma"/>
            <family val="2"/>
          </rPr>
          <t xml:space="preserve">
</t>
        </r>
      </text>
    </comment>
    <comment ref="BS418" authorId="0" shapeId="0" xr:uid="{00000000-0006-0000-1E00-0000C0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AC422" authorId="0" shapeId="0" xr:uid="{E71EB01B-67E6-4D50-BA2D-23DA707ACC68}">
      <text>
        <r>
          <rPr>
            <b/>
            <sz val="10"/>
            <color indexed="81"/>
            <rFont val="Arial Narrow"/>
            <family val="2"/>
          </rPr>
          <t>Includes personnel outdoors within the LFL cloud and personnel in impacted occupied building</t>
        </r>
        <r>
          <rPr>
            <sz val="10"/>
            <color indexed="81"/>
            <rFont val="Tahoma"/>
            <family val="2"/>
          </rPr>
          <t>.</t>
        </r>
      </text>
    </comment>
    <comment ref="AC423" authorId="0" shapeId="0" xr:uid="{00000000-0006-0000-1E00-0000BE000000}">
      <text>
        <r>
          <rPr>
            <b/>
            <sz val="10"/>
            <color indexed="81"/>
            <rFont val="Arial Narrow"/>
            <family val="2"/>
          </rPr>
          <t>Includes personnel outdoors within the LFL cloud and personnel in impacted occupied building</t>
        </r>
        <r>
          <rPr>
            <sz val="10"/>
            <color indexed="81"/>
            <rFont val="Tahoma"/>
            <family val="2"/>
          </rPr>
          <t>.</t>
        </r>
      </text>
    </comment>
    <comment ref="B426" authorId="2" shapeId="0" xr:uid="{00000000-0006-0000-1E00-0000C8000000}">
      <text>
        <r>
          <rPr>
            <b/>
            <sz val="9"/>
            <color indexed="81"/>
            <rFont val="Tahoma"/>
            <family val="2"/>
          </rPr>
          <t>sumMolFractLiqA</t>
        </r>
      </text>
    </comment>
    <comment ref="BS426" authorId="0" shapeId="0" xr:uid="{9AAD7D05-D78A-4452-B877-41D0DCB2B9C8}">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BS427" authorId="0" shapeId="0" xr:uid="{00000000-0006-0000-1E00-0000C2000000}">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BS428" authorId="0" shapeId="0" xr:uid="{00000000-0006-0000-1E00-0000C3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BS436" authorId="0" shapeId="0" xr:uid="{4ECC44C6-11F3-42FF-87B8-B0DBADE36434}">
      <text>
        <r>
          <rPr>
            <b/>
            <sz val="10"/>
            <color indexed="81"/>
            <rFont val="Arial Narrow"/>
            <family val="2"/>
          </rPr>
          <t>Includes personnel outdoors within the LFL cloud and personnel in impacted occupied building</t>
        </r>
        <r>
          <rPr>
            <sz val="10"/>
            <color indexed="81"/>
            <rFont val="Tahoma"/>
            <family val="2"/>
          </rPr>
          <t>.</t>
        </r>
      </text>
    </comment>
    <comment ref="BS437" authorId="0" shapeId="0" xr:uid="{00000000-0006-0000-1E00-0000C5000000}">
      <text>
        <r>
          <rPr>
            <b/>
            <sz val="10"/>
            <color indexed="81"/>
            <rFont val="Arial Narrow"/>
            <family val="2"/>
          </rPr>
          <t>Includes personnel outdoors within the LFL cloud and personnel in impacted occupied building</t>
        </r>
        <r>
          <rPr>
            <sz val="10"/>
            <color indexed="81"/>
            <rFont val="Tahoma"/>
            <family val="2"/>
          </rPr>
          <t>.</t>
        </r>
      </text>
    </comment>
    <comment ref="AT438" authorId="0" shapeId="0" xr:uid="{00000000-0006-0000-1E00-0000C4000000}">
      <text>
        <r>
          <rPr>
            <b/>
            <sz val="10"/>
            <color indexed="81"/>
            <rFont val="Arial Narrow"/>
            <family val="2"/>
          </rPr>
          <t>For equipment or vessel rupture under fire conditions, assume ignition and 90% destruction of key component if the release if flammable.</t>
        </r>
        <r>
          <rPr>
            <sz val="10"/>
            <color indexed="81"/>
            <rFont val="Tahoma"/>
            <family val="2"/>
          </rPr>
          <t xml:space="preserve">
</t>
        </r>
      </text>
    </comment>
    <comment ref="BS439" authorId="1" shapeId="0" xr:uid="{00000000-0006-0000-1E00-0000C6000000}">
      <text>
        <r>
          <rPr>
            <b/>
            <sz val="9"/>
            <color indexed="81"/>
            <rFont val="Tahoma"/>
            <family val="2"/>
          </rPr>
          <t>Based on correlation by Kinney and Graham (1985) reference in CCPS:
r = 120 (TNTeq)^0.33</t>
        </r>
        <r>
          <rPr>
            <sz val="9"/>
            <color indexed="81"/>
            <rFont val="Tahoma"/>
            <family val="2"/>
          </rPr>
          <t xml:space="preserve">
for r in m and TNTeq in kg</t>
        </r>
      </text>
    </comment>
    <comment ref="BW439" authorId="1" shapeId="0" xr:uid="{00000000-0006-0000-1E00-0000C7000000}">
      <text>
        <r>
          <rPr>
            <b/>
            <sz val="9"/>
            <color indexed="81"/>
            <rFont val="Tahoma"/>
            <family val="2"/>
          </rPr>
          <t>Failure pressure may be much lower than peak deflagration pressure, so PV energy used in estimate rather than deflagration energy</t>
        </r>
        <r>
          <rPr>
            <sz val="9"/>
            <color indexed="81"/>
            <rFont val="Tahoma"/>
            <family val="2"/>
          </rPr>
          <t xml:space="preserve">
</t>
        </r>
      </text>
    </comment>
    <comment ref="BS440" authorId="1" shapeId="0" xr:uid="{00000000-0006-0000-1E00-0000C9000000}">
      <text>
        <r>
          <rPr>
            <b/>
            <sz val="9"/>
            <color indexed="81"/>
            <rFont val="Tahoma"/>
            <family val="2"/>
          </rPr>
          <t>Estimated Impact Area includes both direct blast impact and a fraction of the area for fragments based on if the material of construction is brittle.  Approximately 3 fragments assumed for non-brittle (2 to 3 fragment is noted in CCPS literature) at 2/3 m width such that the impact zone is 2 times the maximum range.  For brittle material or a Turbine failure, 10% of the entire fragment impact area is assumed.</t>
        </r>
      </text>
    </comment>
    <comment ref="AC441" authorId="2" shapeId="0" xr:uid="{00000000-0006-0000-1E00-0000CA000000}">
      <text>
        <r>
          <rPr>
            <b/>
            <sz val="9"/>
            <color indexed="81"/>
            <rFont val="Tahoma"/>
            <family val="2"/>
          </rPr>
          <t>sumMolFractLiqA</t>
        </r>
      </text>
    </comment>
    <comment ref="BS443" authorId="0" shapeId="0" xr:uid="{AED91C70-DA83-4000-B0A1-B7A63121881A}">
      <text>
        <r>
          <rPr>
            <b/>
            <sz val="10"/>
            <color indexed="81"/>
            <rFont val="Tahoma"/>
            <family val="2"/>
          </rPr>
          <t>Consider only scenarios where the 1 psi explosion impact exceeds 1 m.</t>
        </r>
        <r>
          <rPr>
            <sz val="10"/>
            <color indexed="81"/>
            <rFont val="Tahoma"/>
            <family val="2"/>
          </rPr>
          <t xml:space="preserve">
</t>
        </r>
      </text>
    </comment>
    <comment ref="BS444" authorId="0" shapeId="0" xr:uid="{00000000-0006-0000-1E00-0000CB000000}">
      <text>
        <r>
          <rPr>
            <b/>
            <sz val="10"/>
            <color indexed="81"/>
            <rFont val="Tahoma"/>
            <family val="2"/>
          </rPr>
          <t>Consider only scenarios where the 1 psi explosion impact exceeds 1 m.</t>
        </r>
        <r>
          <rPr>
            <sz val="10"/>
            <color indexed="81"/>
            <rFont val="Tahoma"/>
            <family val="2"/>
          </rPr>
          <t xml:space="preserve">
</t>
        </r>
      </text>
    </comment>
    <comment ref="BS445" authorId="0" shapeId="0" xr:uid="{00000000-0006-0000-1E00-0000CC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B449" authorId="1" shapeId="0" xr:uid="{00000000-0006-0000-1E00-0000D5000000}">
      <text>
        <r>
          <rPr>
            <b/>
            <sz val="9"/>
            <color indexed="81"/>
            <rFont val="Tahoma"/>
            <family val="2"/>
          </rPr>
          <t>If not using Condensation Subroutine, a default of 1 is returned although fraction condensed is zero.</t>
        </r>
        <r>
          <rPr>
            <sz val="9"/>
            <color indexed="81"/>
            <rFont val="Tahoma"/>
            <family val="2"/>
          </rPr>
          <t xml:space="preserve">
</t>
        </r>
      </text>
    </comment>
    <comment ref="BS453" authorId="0" shapeId="0" xr:uid="{42CCF75E-5B2C-4DE0-A4FB-8E7B75899951}">
      <text>
        <r>
          <rPr>
            <b/>
            <sz val="10"/>
            <color indexed="81"/>
            <rFont val="Arial Narrow"/>
            <family val="2"/>
          </rPr>
          <t>Includes personnel in impacted occupied building</t>
        </r>
        <r>
          <rPr>
            <sz val="10"/>
            <color indexed="81"/>
            <rFont val="Tahoma"/>
            <family val="2"/>
          </rPr>
          <t>.</t>
        </r>
      </text>
    </comment>
    <comment ref="BS454" authorId="0" shapeId="0" xr:uid="{00000000-0006-0000-1E00-0000CD000000}">
      <text>
        <r>
          <rPr>
            <b/>
            <sz val="10"/>
            <color indexed="81"/>
            <rFont val="Arial Narrow"/>
            <family val="2"/>
          </rPr>
          <t>Includes personnel in impacted occupied building</t>
        </r>
        <r>
          <rPr>
            <sz val="10"/>
            <color indexed="81"/>
            <rFont val="Tahoma"/>
            <family val="2"/>
          </rPr>
          <t>.</t>
        </r>
      </text>
    </comment>
    <comment ref="B455" authorId="2" shapeId="0" xr:uid="{00000000-0006-0000-1E00-0000D8000000}">
      <text>
        <r>
          <rPr>
            <b/>
            <sz val="9"/>
            <color indexed="81"/>
            <rFont val="Tahoma"/>
            <family val="2"/>
          </rPr>
          <t>sumEstLiqMolFract1</t>
        </r>
      </text>
    </comment>
    <comment ref="BS456" authorId="1" shapeId="0" xr:uid="{00000000-0006-0000-1E00-0000CE000000}">
      <text>
        <r>
          <rPr>
            <b/>
            <sz val="9"/>
            <color indexed="81"/>
            <rFont val="Tahoma"/>
            <family val="2"/>
          </rPr>
          <t>Based on correlation by Kinney and Graham (1985) reference in CCPS:
r = 120 (TNTeq)^0.33</t>
        </r>
        <r>
          <rPr>
            <sz val="9"/>
            <color indexed="81"/>
            <rFont val="Tahoma"/>
            <family val="2"/>
          </rPr>
          <t xml:space="preserve">
for r in m and TNTeq in kg</t>
        </r>
      </text>
    </comment>
    <comment ref="BS457" authorId="1" shapeId="0" xr:uid="{00000000-0006-0000-1E00-0000CF000000}">
      <text>
        <r>
          <rPr>
            <b/>
            <sz val="9"/>
            <color indexed="81"/>
            <rFont val="Tahoma"/>
            <family val="2"/>
          </rPr>
          <t>Estimated Impact Area includes both direct blast impact and a fraction of the area for fragments based on if the material of construction is brittle.  Approximately 3 fragments assumed for non-brittle (2 to 3 fragment is noted in CCPS literature) at 2/3 m width such that the impact zone is 2 times the maximum range.  For brittle material or a Turbine failure, 10% of the entire fragment impact area is assumed.</t>
        </r>
      </text>
    </comment>
    <comment ref="BS460" authorId="0" shapeId="0" xr:uid="{00000000-0006-0000-1E00-0000D0000000}">
      <text>
        <r>
          <rPr>
            <b/>
            <sz val="10"/>
            <color indexed="81"/>
            <rFont val="Tahoma"/>
            <family val="2"/>
          </rPr>
          <t>Consider only scenarios where the 1 psi explosion impact exceeds 1 m.</t>
        </r>
        <r>
          <rPr>
            <sz val="10"/>
            <color indexed="81"/>
            <rFont val="Tahoma"/>
            <family val="2"/>
          </rPr>
          <t xml:space="preserve">
</t>
        </r>
      </text>
    </comment>
    <comment ref="BS461" authorId="0" shapeId="0" xr:uid="{00000000-0006-0000-1E00-0000D1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AC463" authorId="1" shapeId="0" xr:uid="{00000000-0006-0000-1E00-0000D7000000}">
      <text>
        <r>
          <rPr>
            <b/>
            <sz val="9"/>
            <color indexed="81"/>
            <rFont val="Tahoma"/>
            <family val="2"/>
          </rPr>
          <t>If not using Condensation Subroutine, a default of 1 is returned although fraction condensed is zero.</t>
        </r>
        <r>
          <rPr>
            <sz val="9"/>
            <color indexed="81"/>
            <rFont val="Tahoma"/>
            <family val="2"/>
          </rPr>
          <t xml:space="preserve">
</t>
        </r>
      </text>
    </comment>
    <comment ref="B464" authorId="1" shapeId="0" xr:uid="{00000000-0006-0000-1E00-0000DA000000}">
      <text>
        <r>
          <rPr>
            <sz val="9"/>
            <color indexed="81"/>
            <rFont val="Arial Narrow"/>
            <family val="2"/>
          </rPr>
          <t>Airborne Rate based on non-condensed vapor for toxic estimates.  Condensed material for vapor released included in the total for flammable estimates for outdoor releases.</t>
        </r>
      </text>
    </comment>
    <comment ref="AC469" authorId="2" shapeId="0" xr:uid="{00000000-0006-0000-1E00-0000D9000000}">
      <text>
        <r>
          <rPr>
            <b/>
            <sz val="9"/>
            <color indexed="81"/>
            <rFont val="Tahoma"/>
            <family val="2"/>
          </rPr>
          <t>sumEstLiqMolFract1</t>
        </r>
      </text>
    </comment>
    <comment ref="BS469" authorId="0" shapeId="0" xr:uid="{C3748791-B0DF-49BC-9997-DB3A45042A1B}">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BS470" authorId="0" shapeId="0" xr:uid="{00000000-0006-0000-1E00-0000D2000000}">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BW471" authorId="0" shapeId="0" xr:uid="{00000000-0006-0000-1E00-0000D3000000}">
      <text>
        <r>
          <rPr>
            <b/>
            <sz val="10"/>
            <color indexed="81"/>
            <rFont val="Arial Narrow"/>
            <family val="2"/>
          </rPr>
          <t>per NFPA 68</t>
        </r>
        <r>
          <rPr>
            <sz val="10"/>
            <color indexed="81"/>
            <rFont val="Tahoma"/>
            <family val="2"/>
          </rPr>
          <t xml:space="preserve">
</t>
        </r>
      </text>
    </comment>
    <comment ref="CC471" authorId="0" shapeId="0" xr:uid="{00000000-0006-0000-1E00-0000D4000000}">
      <text>
        <r>
          <rPr>
            <b/>
            <sz val="10"/>
            <color indexed="81"/>
            <rFont val="Arial Narrow"/>
            <family val="2"/>
          </rPr>
          <t>per CCPS literature model of Considine and Grint, x = 2.64 t</t>
        </r>
        <r>
          <rPr>
            <b/>
            <vertAlign val="superscript"/>
            <sz val="10"/>
            <color indexed="81"/>
            <rFont val="Arial Narrow"/>
            <family val="2"/>
          </rPr>
          <t>0.379</t>
        </r>
        <r>
          <rPr>
            <b/>
            <sz val="10"/>
            <color indexed="81"/>
            <rFont val="Arial Narrow"/>
            <family val="2"/>
          </rPr>
          <t xml:space="preserve"> M</t>
        </r>
        <r>
          <rPr>
            <b/>
            <vertAlign val="superscript"/>
            <sz val="10"/>
            <color indexed="81"/>
            <rFont val="Arial Narrow"/>
            <family val="2"/>
          </rPr>
          <t>0.307</t>
        </r>
        <r>
          <rPr>
            <b/>
            <sz val="10"/>
            <color indexed="81"/>
            <rFont val="Arial Narrow"/>
            <family val="2"/>
          </rPr>
          <t xml:space="preserve"> (using duration, t</t>
        </r>
        <r>
          <rPr>
            <b/>
            <vertAlign val="subscript"/>
            <sz val="10"/>
            <color indexed="81"/>
            <rFont val="Arial Narrow"/>
            <family val="2"/>
          </rPr>
          <t>BLEVE</t>
        </r>
        <r>
          <rPr>
            <b/>
            <sz val="10"/>
            <color indexed="81"/>
            <rFont val="Arial Narrow"/>
            <family val="2"/>
          </rPr>
          <t xml:space="preserve"> = 0.45 M</t>
        </r>
        <r>
          <rPr>
            <b/>
            <vertAlign val="superscript"/>
            <sz val="10"/>
            <color indexed="81"/>
            <rFont val="Arial Narrow"/>
            <family val="2"/>
          </rPr>
          <t xml:space="preserve">1/3 </t>
        </r>
        <r>
          <rPr>
            <b/>
            <sz val="10"/>
            <color indexed="81"/>
            <rFont val="Arial Narrow"/>
            <family val="2"/>
          </rPr>
          <t>for M &lt; 30000 kg  and t</t>
        </r>
        <r>
          <rPr>
            <b/>
            <vertAlign val="subscript"/>
            <sz val="10"/>
            <color indexed="81"/>
            <rFont val="Arial Narrow"/>
            <family val="2"/>
          </rPr>
          <t>BLEVE</t>
        </r>
        <r>
          <rPr>
            <b/>
            <sz val="10"/>
            <color indexed="81"/>
            <rFont val="Arial Narrow"/>
            <family val="2"/>
          </rPr>
          <t xml:space="preserve"> = 2.6 M</t>
        </r>
        <r>
          <rPr>
            <b/>
            <vertAlign val="superscript"/>
            <sz val="10"/>
            <color indexed="81"/>
            <rFont val="Arial Narrow"/>
            <family val="2"/>
          </rPr>
          <t>1/6</t>
        </r>
        <r>
          <rPr>
            <b/>
            <sz val="10"/>
            <color indexed="81"/>
            <rFont val="Arial Narrow"/>
            <family val="2"/>
          </rPr>
          <t xml:space="preserve"> for M &gt; 30000 kg</t>
        </r>
      </text>
    </comment>
    <comment ref="BS473" authorId="0" shapeId="0" xr:uid="{00000000-0006-0000-1E00-0000D6000000}">
      <text>
        <r>
          <rPr>
            <b/>
            <sz val="10"/>
            <color indexed="81"/>
            <rFont val="Arial Narrow"/>
            <family val="2"/>
          </rPr>
          <t>Assume 50% reduction in lethality from typical protective clothing (long sleeves, hard hat, etc.) and/or physical obstructions reducing thermal radiation received for onsite personnel.</t>
        </r>
      </text>
    </comment>
    <comment ref="AC478" authorId="1" shapeId="0" xr:uid="{00000000-0006-0000-1E00-0000DB000000}">
      <text>
        <r>
          <rPr>
            <sz val="9"/>
            <color indexed="81"/>
            <rFont val="Arial Narrow"/>
            <family val="2"/>
          </rPr>
          <t>Airborne Rate based on non-condensed vapor for toxic estimates.  Condensed material for vapor released included in the total for flammable estimates for outdoor releases.</t>
        </r>
      </text>
    </comment>
    <comment ref="B585" authorId="0" shapeId="0" xr:uid="{932BD373-07B1-4C09-94BE-29F4F2C8E081}">
      <text>
        <r>
          <rPr>
            <b/>
            <sz val="10"/>
            <color indexed="81"/>
            <rFont val="Arial Narrow"/>
            <family val="2"/>
          </rPr>
          <t>Use LC-1 or if not toxic use 0.1 LFL as Concentration of Interest</t>
        </r>
      </text>
    </comment>
    <comment ref="AC612" authorId="0" shapeId="0" xr:uid="{21D075E9-6078-401B-A900-63E38AC3E464}">
      <text>
        <r>
          <rPr>
            <b/>
            <sz val="10"/>
            <color indexed="81"/>
            <rFont val="Arial Narrow"/>
            <family val="2"/>
          </rPr>
          <t>Use LC-1 or if not toxic use 0.1 LFL as Concentration of Interest</t>
        </r>
      </text>
    </comment>
    <comment ref="B666" authorId="0" shapeId="0" xr:uid="{00000000-0006-0000-1E00-0000DC000000}">
      <text>
        <r>
          <rPr>
            <b/>
            <sz val="10"/>
            <color indexed="81"/>
            <rFont val="Arial Narrow"/>
            <family val="2"/>
          </rPr>
          <t>Assume "dampening" of Outdoor toxic distances for Indoor releases by using AQ/2 for the release rate leaving the building.</t>
        </r>
        <r>
          <rPr>
            <sz val="10"/>
            <color indexed="81"/>
            <rFont val="Tahoma"/>
            <family val="2"/>
          </rPr>
          <t xml:space="preserve">
</t>
        </r>
      </text>
    </comment>
    <comment ref="B668" authorId="0" shapeId="0" xr:uid="{00000000-0006-0000-1E00-0000DD000000}">
      <text>
        <r>
          <rPr>
            <b/>
            <sz val="10"/>
            <color indexed="81"/>
            <rFont val="Arial Narrow"/>
            <family val="2"/>
          </rPr>
          <t>AQ for the toxic distance calculations use a time-scaled ER value</t>
        </r>
        <r>
          <rPr>
            <sz val="10"/>
            <color indexed="81"/>
            <rFont val="Tahoma"/>
            <family val="2"/>
          </rPr>
          <t xml:space="preserve">
</t>
        </r>
      </text>
    </comment>
    <comment ref="B669" authorId="0" shapeId="0" xr:uid="{00000000-0006-0000-1E00-0000DE000000}">
      <text>
        <r>
          <rPr>
            <b/>
            <sz val="10"/>
            <color indexed="81"/>
            <rFont val="Arial Narrow"/>
            <family val="2"/>
          </rPr>
          <t>Assume "dampening" of Outdoor toxic distances for Indoor releases by using AQ/2 for the release rate leaving the building.</t>
        </r>
        <r>
          <rPr>
            <sz val="10"/>
            <color indexed="81"/>
            <rFont val="Tahoma"/>
            <family val="2"/>
          </rPr>
          <t xml:space="preserve">
</t>
        </r>
      </text>
    </comment>
    <comment ref="B674" authorId="0" shapeId="0" xr:uid="{00000000-0006-0000-1E00-0000DF000000}">
      <text>
        <r>
          <rPr>
            <b/>
            <sz val="10"/>
            <color indexed="81"/>
            <rFont val="Arial Narrow"/>
            <family val="2"/>
          </rPr>
          <t>AQ for the toxic distance calculations use a time-scaled ER value</t>
        </r>
      </text>
    </comment>
    <comment ref="B675" authorId="0" shapeId="0" xr:uid="{00000000-0006-0000-1E00-0000E0000000}">
      <text>
        <r>
          <rPr>
            <b/>
            <sz val="10"/>
            <color indexed="81"/>
            <rFont val="Arial Narrow"/>
            <family val="2"/>
          </rPr>
          <t>AQ for the toxic distance calculations use a time-scaled ER value</t>
        </r>
      </text>
    </comment>
    <comment ref="B677" authorId="0" shapeId="0" xr:uid="{00000000-0006-0000-1E00-0000E1000000}">
      <text>
        <r>
          <rPr>
            <b/>
            <sz val="10"/>
            <color indexed="81"/>
            <rFont val="Arial Narrow"/>
            <family val="2"/>
          </rPr>
          <t>AQ for the toxic distance calculations use a 10 minute average for release duration less than 10 minutes.</t>
        </r>
        <r>
          <rPr>
            <sz val="10"/>
            <color indexed="81"/>
            <rFont val="Tahoma"/>
            <family val="2"/>
          </rPr>
          <t xml:space="preserve">
</t>
        </r>
      </text>
    </comment>
    <comment ref="B678" authorId="0" shapeId="0" xr:uid="{00000000-0006-0000-1E00-0000E2000000}">
      <text>
        <r>
          <rPr>
            <b/>
            <sz val="10"/>
            <color indexed="81"/>
            <rFont val="Arial Narrow"/>
            <family val="2"/>
          </rPr>
          <t>AQ for the toxic distance calculations use a 10 minute average for release duration less than 10 minutes.</t>
        </r>
        <r>
          <rPr>
            <sz val="10"/>
            <color indexed="81"/>
            <rFont val="Tahoma"/>
            <family val="2"/>
          </rPr>
          <t xml:space="preserve">
</t>
        </r>
      </text>
    </comment>
    <comment ref="B683" authorId="0" shapeId="0" xr:uid="{00000000-0006-0000-1E00-0000E3000000}">
      <text>
        <r>
          <rPr>
            <b/>
            <sz val="10"/>
            <color indexed="81"/>
            <rFont val="Arial Narrow"/>
            <family val="2"/>
          </rPr>
          <t>Based on typical process area natural ventilation of 1 air change per hour.  Limit maximum concentration to the total release divided by the total enclosed volume.</t>
        </r>
        <r>
          <rPr>
            <sz val="10"/>
            <color indexed="81"/>
            <rFont val="Tahoma"/>
            <family val="2"/>
          </rPr>
          <t xml:space="preserve">
</t>
        </r>
      </text>
    </comment>
    <comment ref="B685" authorId="1" shapeId="0" xr:uid="{00000000-0006-0000-1E00-0000E4000000}">
      <text>
        <r>
          <rPr>
            <sz val="11"/>
            <color indexed="81"/>
            <rFont val="Arial Narrow"/>
            <family val="2"/>
          </rPr>
          <t>Based on default ventilation rate of 1 air change/hour or failed Mechanical Ventilation</t>
        </r>
        <r>
          <rPr>
            <sz val="9"/>
            <color indexed="81"/>
            <rFont val="Tahoma"/>
            <family val="2"/>
          </rPr>
          <t xml:space="preserve">
</t>
        </r>
      </text>
    </comment>
    <comment ref="B696" authorId="0" shapeId="0" xr:uid="{00000000-0006-0000-1E00-0000E7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697" authorId="0" shapeId="0" xr:uid="{00000000-0006-0000-1E00-0000E8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698" authorId="0" shapeId="0" xr:uid="{00000000-0006-0000-1E00-0000E9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699" authorId="0" shapeId="0" xr:uid="{00000000-0006-0000-1E00-0000EA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700" authorId="0" shapeId="0" xr:uid="{00000000-0006-0000-1E00-0000EB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AC701" authorId="0" shapeId="0" xr:uid="{00000000-0006-0000-1E00-0000E5000000}">
      <text>
        <r>
          <rPr>
            <b/>
            <sz val="10"/>
            <color indexed="81"/>
            <rFont val="Arial Narrow"/>
            <family val="2"/>
          </rPr>
          <t>AQ for the toxic distance calculations use a time-scaled ER value</t>
        </r>
      </text>
    </comment>
    <comment ref="AC702" authorId="0" shapeId="0" xr:uid="{00000000-0006-0000-1E00-0000E6000000}">
      <text>
        <r>
          <rPr>
            <b/>
            <sz val="10"/>
            <color indexed="81"/>
            <rFont val="Arial Narrow"/>
            <family val="2"/>
          </rPr>
          <t>AQ for the toxic distance calculations use a time-scaled ER value</t>
        </r>
      </text>
    </comment>
    <comment ref="B704" authorId="0" shapeId="0" xr:uid="{00000000-0006-0000-1E00-0000EE000000}">
      <text>
        <r>
          <rPr>
            <b/>
            <sz val="10"/>
            <color indexed="81"/>
            <rFont val="Arial Narrow"/>
            <family val="2"/>
          </rPr>
          <t>Estimated as total release to LFL distance divided by average concentration of the cloud</t>
        </r>
        <r>
          <rPr>
            <sz val="10"/>
            <color indexed="81"/>
            <rFont val="Tahoma"/>
            <family val="2"/>
          </rPr>
          <t xml:space="preserve">
</t>
        </r>
      </text>
    </comment>
    <comment ref="B705" authorId="0" shapeId="0" xr:uid="{00000000-0006-0000-1E00-0000EF000000}">
      <text>
        <r>
          <rPr>
            <b/>
            <sz val="10"/>
            <color indexed="81"/>
            <rFont val="Arial Narrow"/>
            <family val="2"/>
          </rPr>
          <t>Based on Explosion Efficiency of 10% for high flame speed, 2% for low flame speed or material that is predominately liquid droplets, and 3% for typical material</t>
        </r>
        <r>
          <rPr>
            <sz val="10"/>
            <color indexed="81"/>
            <rFont val="Tahoma"/>
            <family val="2"/>
          </rPr>
          <t xml:space="preserve">
</t>
        </r>
      </text>
    </comment>
    <comment ref="B711" authorId="0" shapeId="0" xr:uid="{00000000-0006-0000-1E00-0000F0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711" authorId="0" shapeId="0" xr:uid="{00000000-0006-0000-1E00-0000EC000000}">
      <text>
        <r>
          <rPr>
            <b/>
            <sz val="10"/>
            <color indexed="81"/>
            <rFont val="Arial Narrow"/>
            <family val="2"/>
          </rPr>
          <t>Based on typical process area natural ventilation of 1 air change per hour.  Limit maximum concentration to the total release divided by the total enclosed volume.</t>
        </r>
        <r>
          <rPr>
            <sz val="10"/>
            <color indexed="81"/>
            <rFont val="Tahoma"/>
            <family val="2"/>
          </rPr>
          <t xml:space="preserve">
</t>
        </r>
      </text>
    </comment>
    <comment ref="B713" authorId="0" shapeId="0" xr:uid="{00000000-0006-0000-1E00-0000F2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713" authorId="1" shapeId="0" xr:uid="{00000000-0006-0000-1E00-0000ED000000}">
      <text>
        <r>
          <rPr>
            <sz val="11"/>
            <color indexed="81"/>
            <rFont val="Arial Narrow"/>
            <family val="2"/>
          </rPr>
          <t>Based on default ventilation rate of 1 air change/hour or failed Mechanical Ventilation</t>
        </r>
        <r>
          <rPr>
            <sz val="9"/>
            <color indexed="81"/>
            <rFont val="Tahoma"/>
            <family val="2"/>
          </rPr>
          <t xml:space="preserve">
</t>
        </r>
      </text>
    </comment>
    <comment ref="B715" authorId="0" shapeId="0" xr:uid="{00000000-0006-0000-1E00-0000F5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717" authorId="0" shapeId="0" xr:uid="{00000000-0006-0000-1E00-0000F8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B718" authorId="0" shapeId="0" xr:uid="{00000000-0006-0000-1E00-0000F9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B721" authorId="0" shapeId="0" xr:uid="{00000000-0006-0000-1E00-0000FB000000}">
      <text>
        <r>
          <rPr>
            <b/>
            <sz val="10"/>
            <color indexed="81"/>
            <rFont val="Arial Narrow"/>
            <family val="2"/>
          </rPr>
          <t>If distance to HD-2 is greater than 1/2 the distance to the public and material has good warning properties, consider odor nuisance to the public or Target Factor = 4.</t>
        </r>
        <r>
          <rPr>
            <sz val="10"/>
            <color indexed="81"/>
            <rFont val="Tahoma"/>
            <family val="2"/>
          </rPr>
          <t xml:space="preserve">
</t>
        </r>
      </text>
    </comment>
    <comment ref="AC724" authorId="0" shapeId="0" xr:uid="{00000000-0006-0000-1E00-0000F1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725" authorId="0" shapeId="0" xr:uid="{00000000-0006-0000-1E00-0000F3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726" authorId="0" shapeId="0" xr:uid="{00000000-0006-0000-1E00-0000F4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727" authorId="0" shapeId="0" xr:uid="{00000000-0006-0000-1E00-0000F6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728" authorId="0" shapeId="0" xr:uid="{00000000-0006-0000-1E00-0000F700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AC732" authorId="0" shapeId="0" xr:uid="{00000000-0006-0000-1E00-0000FA000000}">
      <text>
        <r>
          <rPr>
            <b/>
            <sz val="10"/>
            <color indexed="81"/>
            <rFont val="Arial Narrow"/>
            <family val="2"/>
          </rPr>
          <t>Estimated as total release to LFL distance divided by average concentration of the cloud</t>
        </r>
        <r>
          <rPr>
            <sz val="10"/>
            <color indexed="81"/>
            <rFont val="Tahoma"/>
            <family val="2"/>
          </rPr>
          <t xml:space="preserve">
</t>
        </r>
      </text>
    </comment>
    <comment ref="AC733" authorId="0" shapeId="0" xr:uid="{00000000-0006-0000-1E00-0000FC000000}">
      <text>
        <r>
          <rPr>
            <b/>
            <sz val="10"/>
            <color indexed="81"/>
            <rFont val="Arial Narrow"/>
            <family val="2"/>
          </rPr>
          <t>Based on Explosion Efficiency of 10% for high flame speed, 2% for low flame speed or material that is predominately liquid droplets, and 3% for typical material</t>
        </r>
        <r>
          <rPr>
            <sz val="10"/>
            <color indexed="81"/>
            <rFont val="Tahoma"/>
            <family val="2"/>
          </rPr>
          <t xml:space="preserve">
</t>
        </r>
      </text>
    </comment>
    <comment ref="AC739" authorId="0" shapeId="0" xr:uid="{00000000-0006-0000-1E00-0000FD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741" authorId="0" shapeId="0" xr:uid="{00000000-0006-0000-1E00-0000FE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743" authorId="0" shapeId="0" xr:uid="{00000000-0006-0000-1E00-0000FF00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745" authorId="0" shapeId="0" xr:uid="{00000000-0006-0000-1E00-000000010000}">
      <text>
        <r>
          <rPr>
            <b/>
            <sz val="10"/>
            <color indexed="81"/>
            <rFont val="Tahoma"/>
            <family val="2"/>
          </rPr>
          <t>Limit structural damage to 1 psi damage distance to &gt; 10 m.  Blast must be sufficient to damage significant portion of building wall.</t>
        </r>
        <r>
          <rPr>
            <sz val="10"/>
            <color indexed="81"/>
            <rFont val="Tahoma"/>
            <family val="2"/>
          </rPr>
          <t xml:space="preserve">
</t>
        </r>
      </text>
    </comment>
    <comment ref="AC746" authorId="0" shapeId="0" xr:uid="{00000000-0006-0000-1E00-000001010000}">
      <text>
        <r>
          <rPr>
            <b/>
            <sz val="10"/>
            <color indexed="81"/>
            <rFont val="Tahoma"/>
            <family val="2"/>
          </rPr>
          <t>Corrected for various Building Types.  Type 0 low strength damage threshold 0.5 psi while typical Type 1 damage threshold 1 psi and high strength building damage threshold at 1.5 psi.</t>
        </r>
      </text>
    </comment>
    <comment ref="B748" authorId="0" shapeId="0" xr:uid="{00000000-0006-0000-1E00-000003010000}">
      <text>
        <r>
          <rPr>
            <b/>
            <sz val="10"/>
            <color indexed="81"/>
            <rFont val="Arial Narrow"/>
            <family val="2"/>
          </rPr>
          <t>Assuming a fraction of total on-site population is outdoors and impacted by toxic release.</t>
        </r>
      </text>
    </comment>
    <comment ref="AC749" authorId="0" shapeId="0" xr:uid="{00000000-0006-0000-1E00-000002010000}">
      <text>
        <r>
          <rPr>
            <b/>
            <sz val="10"/>
            <color indexed="81"/>
            <rFont val="Arial Narrow"/>
            <family val="2"/>
          </rPr>
          <t>If distance to HD-2 is greater than 1/2 the distance to the public and material has good warning properties, consider odor nuisance to the public or Target Factor = 4.</t>
        </r>
        <r>
          <rPr>
            <sz val="10"/>
            <color indexed="81"/>
            <rFont val="Tahoma"/>
            <family val="2"/>
          </rPr>
          <t xml:space="preserve">
</t>
        </r>
      </text>
    </comment>
    <comment ref="B750" authorId="0" shapeId="0" xr:uid="{AAA1A64E-C49A-4526-917E-72BAE5C94524}">
      <text>
        <r>
          <rPr>
            <b/>
            <sz val="10"/>
            <color indexed="81"/>
            <rFont val="Tahoma"/>
            <family val="2"/>
          </rPr>
          <t>Consider only scenarios where the toxic severe impact concentration is greater than twice the saturation limit distance exceeds 1 m.</t>
        </r>
        <r>
          <rPr>
            <sz val="10"/>
            <color indexed="81"/>
            <rFont val="Tahoma"/>
            <family val="2"/>
          </rPr>
          <t xml:space="preserve">
</t>
        </r>
      </text>
    </comment>
    <comment ref="B751" authorId="0" shapeId="0" xr:uid="{00000000-0006-0000-1E00-000004010000}">
      <text>
        <r>
          <rPr>
            <b/>
            <sz val="10"/>
            <color indexed="81"/>
            <rFont val="Tahoma"/>
            <family val="2"/>
          </rPr>
          <t>Consider only scenarios where the toxic severe impact concentration is greater than twice the saturation limit distance exceeds 1 m.</t>
        </r>
        <r>
          <rPr>
            <sz val="10"/>
            <color indexed="81"/>
            <rFont val="Tahoma"/>
            <family val="2"/>
          </rPr>
          <t xml:space="preserve">
</t>
        </r>
      </text>
    </comment>
    <comment ref="B752" authorId="0" shapeId="0" xr:uid="{00000000-0006-0000-1E00-000005010000}">
      <text>
        <r>
          <rPr>
            <b/>
            <sz val="10"/>
            <color indexed="81"/>
            <rFont val="Tahoma"/>
            <family val="2"/>
          </rPr>
          <t>If airborne quantity is not toxic, estimate vulnerability for asphyxiation based on twice oxygen concentration for potential fatality.  For toxic release, impact area based on twice the average concentration divided by the one-hour LC-50.  If mechanical ventilation reduces the enclosed area concentration below a toxic limit - ensuring ventilation is operational may be an acceptable protective layer.</t>
        </r>
      </text>
    </comment>
    <comment ref="B757" authorId="1" shapeId="0" xr:uid="{00000000-0006-0000-1E00-000006010000}">
      <text>
        <r>
          <rPr>
            <b/>
            <sz val="9"/>
            <color indexed="81"/>
            <rFont val="Tahoma"/>
            <family val="2"/>
          </rPr>
          <t>Based on one hour exposure to the average indoor concentration</t>
        </r>
        <r>
          <rPr>
            <sz val="9"/>
            <color indexed="81"/>
            <rFont val="Tahoma"/>
            <family val="2"/>
          </rPr>
          <t xml:space="preserve">
</t>
        </r>
      </text>
    </comment>
    <comment ref="B758" authorId="1" shapeId="0" xr:uid="{00000000-0006-0000-1E00-000007010000}">
      <text>
        <r>
          <rPr>
            <b/>
            <sz val="9"/>
            <color indexed="81"/>
            <rFont val="Tahoma"/>
            <family val="2"/>
          </rPr>
          <t>Based on one hour exposure to the average indoor concentration</t>
        </r>
        <r>
          <rPr>
            <sz val="9"/>
            <color indexed="81"/>
            <rFont val="Tahoma"/>
            <family val="2"/>
          </rPr>
          <t xml:space="preserve">
</t>
        </r>
      </text>
    </comment>
    <comment ref="B762" authorId="1" shapeId="0" xr:uid="{00000000-0006-0000-1E00-000008010000}">
      <text>
        <r>
          <rPr>
            <sz val="9"/>
            <color indexed="81"/>
            <rFont val="Tahoma"/>
            <family val="2"/>
          </rPr>
          <t>If LFL of mixture is greater than 76 vol % than oxygen below 1/2 limiting oxygen content of 10% and not flammable.</t>
        </r>
      </text>
    </comment>
    <comment ref="B765" authorId="0" shapeId="0" xr:uid="{DC16FAD6-6073-4983-84D3-A8D48B988DA6}">
      <text>
        <r>
          <rPr>
            <b/>
            <sz val="10"/>
            <color indexed="81"/>
            <rFont val="Tahoma"/>
            <family val="2"/>
          </rPr>
          <t>Consider only scenarios where the flammable severe impact concentration exceeds 1 m.</t>
        </r>
        <r>
          <rPr>
            <sz val="10"/>
            <color indexed="81"/>
            <rFont val="Tahoma"/>
            <family val="2"/>
          </rPr>
          <t xml:space="preserve">
</t>
        </r>
      </text>
    </comment>
    <comment ref="B766" authorId="0" shapeId="0" xr:uid="{00000000-0006-0000-1E00-000009010000}">
      <text>
        <r>
          <rPr>
            <b/>
            <sz val="10"/>
            <color indexed="81"/>
            <rFont val="Tahoma"/>
            <family val="2"/>
          </rPr>
          <t>Consider only scenarios where the flammable severe impact concentration exceeds 1 m.</t>
        </r>
        <r>
          <rPr>
            <sz val="10"/>
            <color indexed="81"/>
            <rFont val="Tahoma"/>
            <family val="2"/>
          </rPr>
          <t xml:space="preserve">
</t>
        </r>
      </text>
    </comment>
    <comment ref="B767" authorId="0" shapeId="0" xr:uid="{00000000-0006-0000-1E00-00000A01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B776" authorId="0" shapeId="0" xr:uid="{00000000-0006-0000-1E00-00000E010000}">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AC776" authorId="0" shapeId="0" xr:uid="{00000000-0006-0000-1E00-00000B010000}">
      <text>
        <r>
          <rPr>
            <b/>
            <sz val="10"/>
            <color indexed="81"/>
            <rFont val="Arial Narrow"/>
            <family val="2"/>
          </rPr>
          <t>Assuming a fraction of total on-site population is outdoors and impacted by toxic release.</t>
        </r>
      </text>
    </comment>
    <comment ref="B777" authorId="0" shapeId="0" xr:uid="{00000000-0006-0000-1E00-00000F01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AC778" authorId="0" shapeId="0" xr:uid="{D3C16D92-614B-4F56-8CA4-9745AF118C4F}">
      <text>
        <r>
          <rPr>
            <b/>
            <sz val="10"/>
            <color indexed="81"/>
            <rFont val="Tahoma"/>
            <family val="2"/>
          </rPr>
          <t>Consider only scenarios where the toxic severe impact concentration is greater than twice the saturation limit distance exceeds 1 m.</t>
        </r>
        <r>
          <rPr>
            <sz val="10"/>
            <color indexed="81"/>
            <rFont val="Tahoma"/>
            <family val="2"/>
          </rPr>
          <t xml:space="preserve">
</t>
        </r>
      </text>
    </comment>
    <comment ref="AC779" authorId="0" shapeId="0" xr:uid="{00000000-0006-0000-1E00-00000C010000}">
      <text>
        <r>
          <rPr>
            <b/>
            <sz val="10"/>
            <color indexed="81"/>
            <rFont val="Tahoma"/>
            <family val="2"/>
          </rPr>
          <t>Consider only scenarios where the toxic severe impact concentration is greater than twice the saturation limit distance exceeds 1 m.</t>
        </r>
        <r>
          <rPr>
            <sz val="10"/>
            <color indexed="81"/>
            <rFont val="Tahoma"/>
            <family val="2"/>
          </rPr>
          <t xml:space="preserve">
</t>
        </r>
      </text>
    </comment>
    <comment ref="AC780" authorId="0" shapeId="0" xr:uid="{00000000-0006-0000-1E00-00000D010000}">
      <text>
        <r>
          <rPr>
            <b/>
            <sz val="10"/>
            <color indexed="81"/>
            <rFont val="Tahoma"/>
            <family val="2"/>
          </rPr>
          <t>If airborne quantity is not toxic, estimate vulnerability for asphyxiation based on twice oxygen concentration for potential fatality.  For toxic release, impact area based on twice the average concentration divided by the one-hour LC-50.  If mechanical ventilation reduces the enclosed area concentration below a toxic limit - ensuring ventilation is operational may be an acceptable protective layer.</t>
        </r>
      </text>
    </comment>
    <comment ref="B785" authorId="0" shapeId="0" xr:uid="{FE1F0C88-E304-41BD-A845-D8D83B9D5F5A}">
      <text>
        <r>
          <rPr>
            <b/>
            <sz val="10"/>
            <color indexed="81"/>
            <rFont val="Arial Narrow"/>
            <family val="2"/>
          </rPr>
          <t>Includes personnel outdoors within the LFL cloud and personnel in impacted occupied building</t>
        </r>
        <r>
          <rPr>
            <sz val="10"/>
            <color indexed="81"/>
            <rFont val="Tahoma"/>
            <family val="2"/>
          </rPr>
          <t>.</t>
        </r>
      </text>
    </comment>
    <comment ref="AC785" authorId="1" shapeId="0" xr:uid="{00000000-0006-0000-1E00-000010010000}">
      <text>
        <r>
          <rPr>
            <b/>
            <sz val="9"/>
            <color indexed="81"/>
            <rFont val="Tahoma"/>
            <family val="2"/>
          </rPr>
          <t>Based on one hour exposure to the average indoor concentration</t>
        </r>
        <r>
          <rPr>
            <sz val="9"/>
            <color indexed="81"/>
            <rFont val="Tahoma"/>
            <family val="2"/>
          </rPr>
          <t xml:space="preserve">
</t>
        </r>
      </text>
    </comment>
    <comment ref="B786" authorId="0" shapeId="0" xr:uid="{00000000-0006-0000-1E00-000012010000}">
      <text>
        <r>
          <rPr>
            <b/>
            <sz val="10"/>
            <color indexed="81"/>
            <rFont val="Arial Narrow"/>
            <family val="2"/>
          </rPr>
          <t>Includes personnel outdoors within the LFL cloud and personnel in impacted occupied building</t>
        </r>
        <r>
          <rPr>
            <sz val="10"/>
            <color indexed="81"/>
            <rFont val="Tahoma"/>
            <family val="2"/>
          </rPr>
          <t>.</t>
        </r>
      </text>
    </comment>
    <comment ref="AC786" authorId="1" shapeId="0" xr:uid="{00000000-0006-0000-1E00-000011010000}">
      <text>
        <r>
          <rPr>
            <b/>
            <sz val="9"/>
            <color indexed="81"/>
            <rFont val="Tahoma"/>
            <family val="2"/>
          </rPr>
          <t>Based on one hour exposure to the average indoor concentration</t>
        </r>
        <r>
          <rPr>
            <sz val="9"/>
            <color indexed="81"/>
            <rFont val="Tahoma"/>
            <family val="2"/>
          </rPr>
          <t xml:space="preserve">
</t>
        </r>
      </text>
    </comment>
    <comment ref="AC790" authorId="1" shapeId="0" xr:uid="{00000000-0006-0000-1E00-000013010000}">
      <text>
        <r>
          <rPr>
            <sz val="9"/>
            <color indexed="81"/>
            <rFont val="Tahoma"/>
            <family val="2"/>
          </rPr>
          <t>If LFL of mixture is greater than 76 vol % than oxygen below 1/2 limiting oxygen content of 10% and not flammable.</t>
        </r>
      </text>
    </comment>
    <comment ref="AC793" authorId="0" shapeId="0" xr:uid="{91BE3E82-2DB3-4192-A816-5D9B540C75C3}">
      <text>
        <r>
          <rPr>
            <b/>
            <sz val="10"/>
            <color indexed="81"/>
            <rFont val="Tahoma"/>
            <family val="2"/>
          </rPr>
          <t>Consider only scenarios where the flammable severe impact concentration exceeds 1 m.</t>
        </r>
        <r>
          <rPr>
            <sz val="10"/>
            <color indexed="81"/>
            <rFont val="Tahoma"/>
            <family val="2"/>
          </rPr>
          <t xml:space="preserve">
</t>
        </r>
      </text>
    </comment>
    <comment ref="AC794" authorId="0" shapeId="0" xr:uid="{00000000-0006-0000-1E00-000014010000}">
      <text>
        <r>
          <rPr>
            <b/>
            <sz val="10"/>
            <color indexed="81"/>
            <rFont val="Tahoma"/>
            <family val="2"/>
          </rPr>
          <t>Consider only scenarios where the flammable severe impact concentration exceeds 1 m.</t>
        </r>
        <r>
          <rPr>
            <sz val="10"/>
            <color indexed="81"/>
            <rFont val="Tahoma"/>
            <family val="2"/>
          </rPr>
          <t xml:space="preserve">
</t>
        </r>
      </text>
    </comment>
    <comment ref="AC795" authorId="0" shapeId="0" xr:uid="{00000000-0006-0000-1E00-00001501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AC803" authorId="0" shapeId="0" xr:uid="{1678EB26-CE10-489C-BC0A-EFE1888D9D9F}">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AC804" authorId="0" shapeId="0" xr:uid="{00000000-0006-0000-1E00-000016010000}">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AC805" authorId="0" shapeId="0" xr:uid="{00000000-0006-0000-1E00-00001701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AC813" authorId="0" shapeId="0" xr:uid="{C5F62117-D541-4C7D-B2CB-FADB61E55D5C}">
      <text>
        <r>
          <rPr>
            <b/>
            <sz val="10"/>
            <color indexed="81"/>
            <rFont val="Arial Narrow"/>
            <family val="2"/>
          </rPr>
          <t>Includes personnel outdoors within the LFL cloud and personnel in impacted occupied building</t>
        </r>
        <r>
          <rPr>
            <sz val="10"/>
            <color indexed="81"/>
            <rFont val="Tahoma"/>
            <family val="2"/>
          </rPr>
          <t>.</t>
        </r>
      </text>
    </comment>
    <comment ref="AC814" authorId="0" shapeId="0" xr:uid="{00000000-0006-0000-1E00-000018010000}">
      <text>
        <r>
          <rPr>
            <b/>
            <sz val="10"/>
            <color indexed="81"/>
            <rFont val="Arial Narrow"/>
            <family val="2"/>
          </rPr>
          <t>Includes personnel outdoors within the LFL cloud and personnel in impacted occupied building</t>
        </r>
        <r>
          <rPr>
            <sz val="10"/>
            <color indexed="81"/>
            <rFont val="Tahoma"/>
            <family val="2"/>
          </rPr>
          <t>.</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u070091</author>
    <author>Ken First</author>
  </authors>
  <commentList>
    <comment ref="C12" authorId="0" shapeId="0" xr:uid="{00000000-0006-0000-1F00-000001000000}">
      <text>
        <r>
          <rPr>
            <b/>
            <sz val="10"/>
            <color indexed="81"/>
            <rFont val="Arial Narrow"/>
            <family val="2"/>
          </rPr>
          <t>Assuming 1/2 of total flanges entered are below liquid level in equipment or vessels.  Use zero flanges if penalty for screwed piping is tanken.</t>
        </r>
      </text>
    </comment>
    <comment ref="C13" authorId="1" shapeId="0" xr:uid="{00000000-0006-0000-1F00-000002000000}">
      <text>
        <r>
          <rPr>
            <b/>
            <sz val="10"/>
            <color indexed="81"/>
            <rFont val="Arial Narrow"/>
            <family val="2"/>
          </rPr>
          <t>Assumes 50% of total failures are based on cause-consequence LOPA scenarios.</t>
        </r>
      </text>
    </comment>
    <comment ref="C14" authorId="1" shapeId="0" xr:uid="{00000000-0006-0000-1F00-000003000000}">
      <text>
        <r>
          <rPr>
            <b/>
            <sz val="10"/>
            <color indexed="81"/>
            <rFont val="Arial Narrow"/>
            <family val="2"/>
          </rPr>
          <t>Assumes 50% of total failures are based on cause-consequence LOPA scenarios.</t>
        </r>
      </text>
    </comment>
    <comment ref="C15" authorId="1" shapeId="0" xr:uid="{00000000-0006-0000-1F00-000004000000}">
      <text>
        <r>
          <rPr>
            <b/>
            <sz val="10"/>
            <color indexed="81"/>
            <rFont val="Arial Narrow"/>
            <family val="2"/>
          </rPr>
          <t>Assumes 50% of total failures are based on cause-consequence LOPA scenarios.</t>
        </r>
      </text>
    </comment>
    <comment ref="C16" authorId="1" shapeId="0" xr:uid="{00000000-0006-0000-1F00-000005000000}">
      <text>
        <r>
          <rPr>
            <b/>
            <sz val="10"/>
            <color indexed="81"/>
            <rFont val="Arial Narrow"/>
            <family val="2"/>
          </rPr>
          <t>Assumes 50% of total failures are based on cause-consequence LOPA scenarios.</t>
        </r>
      </text>
    </comment>
    <comment ref="F17" authorId="1" shapeId="0" xr:uid="{00000000-0006-0000-1F00-000006000000}">
      <text>
        <r>
          <rPr>
            <b/>
            <sz val="10"/>
            <color indexed="81"/>
            <rFont val="Arial Narrow"/>
            <family val="2"/>
          </rPr>
          <t>Accounts for the mass of a pump for pump deadhead cases.</t>
        </r>
        <r>
          <rPr>
            <sz val="10"/>
            <color indexed="81"/>
            <rFont val="Tahoma"/>
            <family val="2"/>
          </rPr>
          <t xml:space="preserve">
</t>
        </r>
      </text>
    </comment>
    <comment ref="C21" authorId="1" shapeId="0" xr:uid="{00000000-0006-0000-1F00-000007000000}">
      <text>
        <r>
          <rPr>
            <b/>
            <sz val="10"/>
            <color indexed="81"/>
            <rFont val="Arial Narrow"/>
            <family val="2"/>
          </rPr>
          <t>Based on a small spill probability (all sources) of 10</t>
        </r>
        <r>
          <rPr>
            <b/>
            <vertAlign val="superscript"/>
            <sz val="10"/>
            <color indexed="81"/>
            <rFont val="Arial Narrow"/>
            <family val="2"/>
          </rPr>
          <t>-1</t>
        </r>
        <r>
          <rPr>
            <b/>
            <sz val="10"/>
            <color indexed="81"/>
            <rFont val="Arial Narrow"/>
            <family val="2"/>
          </rPr>
          <t>/year and POE of 0.01 - OR - large spill probability of 10</t>
        </r>
        <r>
          <rPr>
            <b/>
            <vertAlign val="superscript"/>
            <sz val="10"/>
            <color indexed="81"/>
            <rFont val="Arial Narrow"/>
            <family val="2"/>
          </rPr>
          <t>-2</t>
        </r>
        <r>
          <rPr>
            <b/>
            <sz val="10"/>
            <color indexed="81"/>
            <rFont val="Arial Narrow"/>
            <family val="2"/>
          </rPr>
          <t>/year with POE of 0.1 for "normal" ease of ignition</t>
        </r>
        <r>
          <rPr>
            <sz val="10"/>
            <color indexed="81"/>
            <rFont val="Tahoma"/>
            <family val="2"/>
          </rPr>
          <t xml:space="preserve">
</t>
        </r>
      </text>
    </comment>
    <comment ref="C22" authorId="1" shapeId="0" xr:uid="{00000000-0006-0000-1F00-000008000000}">
      <text>
        <r>
          <rPr>
            <b/>
            <sz val="10"/>
            <color indexed="81"/>
            <rFont val="Arial Narrow"/>
            <family val="2"/>
          </rPr>
          <t>Used to determine Probability of Ignition for internal deflagration from static sources.</t>
        </r>
        <r>
          <rPr>
            <sz val="10"/>
            <color indexed="81"/>
            <rFont val="Tahoma"/>
            <family val="2"/>
          </rPr>
          <t xml:space="preserve">
</t>
        </r>
      </text>
    </comment>
    <comment ref="B43" authorId="1" shapeId="0" xr:uid="{00000000-0006-0000-1F00-000009000000}">
      <text>
        <r>
          <rPr>
            <b/>
            <sz val="10"/>
            <color indexed="81"/>
            <rFont val="Arial Narrow"/>
            <family val="2"/>
          </rPr>
          <t>Vapor based on jet mixing distance to 1 m/sec velocity without correcting for hole size.</t>
        </r>
        <r>
          <rPr>
            <sz val="10"/>
            <color indexed="81"/>
            <rFont val="Arial Narrow"/>
            <family val="2"/>
          </rPr>
          <t xml:space="preserve">
</t>
        </r>
        <r>
          <rPr>
            <b/>
            <sz val="10"/>
            <color indexed="81"/>
            <rFont val="Arial Narrow"/>
            <family val="2"/>
          </rPr>
          <t>Liquid based on trajectory for liquid velocity and elevation.</t>
        </r>
      </text>
    </comment>
    <comment ref="B44" authorId="1" shapeId="0" xr:uid="{00000000-0006-0000-1F00-00000A000000}">
      <text>
        <r>
          <rPr>
            <b/>
            <sz val="10"/>
            <color indexed="81"/>
            <rFont val="Arial Narrow"/>
            <family val="2"/>
          </rPr>
          <t>based on roughly 20 deg "spray" angle</t>
        </r>
      </text>
    </comment>
    <comment ref="B49" authorId="1" shapeId="0" xr:uid="{00000000-0006-0000-1F00-00000B000000}">
      <text>
        <r>
          <rPr>
            <b/>
            <sz val="10"/>
            <color indexed="81"/>
            <rFont val="Tahoma"/>
            <family val="2"/>
          </rPr>
          <t>Based on 1 sec valve closure time.</t>
        </r>
      </text>
    </comment>
    <comment ref="B50" authorId="1" shapeId="0" xr:uid="{00000000-0006-0000-1F00-00000C000000}">
      <text>
        <r>
          <rPr>
            <b/>
            <sz val="10"/>
            <color indexed="81"/>
            <rFont val="Arial Narrow"/>
            <family val="2"/>
          </rPr>
          <t>Vapor based on jet mixing distance to 1 m/sec velocity without correcting for hole size.</t>
        </r>
        <r>
          <rPr>
            <sz val="10"/>
            <color indexed="81"/>
            <rFont val="Arial Narrow"/>
            <family val="2"/>
          </rPr>
          <t xml:space="preserve">
</t>
        </r>
        <r>
          <rPr>
            <b/>
            <sz val="10"/>
            <color indexed="81"/>
            <rFont val="Arial Narrow"/>
            <family val="2"/>
          </rPr>
          <t>Liquid based on trajectory for liquid velocity and elevation.</t>
        </r>
      </text>
    </comment>
    <comment ref="B57" authorId="1" shapeId="0" xr:uid="{00000000-0006-0000-1F00-00000D000000}">
      <text>
        <r>
          <rPr>
            <b/>
            <sz val="10"/>
            <color indexed="81"/>
            <rFont val="Arial Narrow"/>
            <family val="2"/>
          </rPr>
          <t>Vapor based on 10% of jet mixing distance to 1 m/sec velocity where typically the dilution with air is near 1%.</t>
        </r>
        <r>
          <rPr>
            <sz val="10"/>
            <color indexed="81"/>
            <rFont val="Arial Narrow"/>
            <family val="2"/>
          </rPr>
          <t xml:space="preserve">
</t>
        </r>
        <r>
          <rPr>
            <b/>
            <sz val="10"/>
            <color indexed="81"/>
            <rFont val="Arial Narrow"/>
            <family val="2"/>
          </rPr>
          <t>Liquid based on trajectory for liquid velocity and elevation.</t>
        </r>
      </text>
    </comment>
    <comment ref="B58" authorId="1" shapeId="0" xr:uid="{00000000-0006-0000-1F00-00000E000000}">
      <text>
        <r>
          <rPr>
            <b/>
            <sz val="10"/>
            <color indexed="81"/>
            <rFont val="Arial Narrow"/>
            <family val="2"/>
          </rPr>
          <t>based on roughly 20 deg "spray" angle</t>
        </r>
      </text>
    </comment>
    <comment ref="B59" authorId="1" shapeId="0" xr:uid="{00000000-0006-0000-1F00-00000F000000}">
      <text>
        <r>
          <rPr>
            <b/>
            <sz val="10"/>
            <color indexed="81"/>
            <rFont val="Arial Narrow"/>
            <family val="2"/>
          </rPr>
          <t>Vapor based on 10% of jet mixing distance to 1 m/sec velocity where typically the dilution with air is near 1%.</t>
        </r>
        <r>
          <rPr>
            <sz val="10"/>
            <color indexed="81"/>
            <rFont val="Arial Narrow"/>
            <family val="2"/>
          </rPr>
          <t xml:space="preserve">
</t>
        </r>
        <r>
          <rPr>
            <b/>
            <sz val="10"/>
            <color indexed="81"/>
            <rFont val="Arial Narrow"/>
            <family val="2"/>
          </rPr>
          <t>Liquid based on trajectory for liquid velocity and elevation.</t>
        </r>
      </text>
    </comment>
    <comment ref="B61" authorId="1" shapeId="0" xr:uid="{00000000-0006-0000-1F00-000010000000}">
      <text>
        <r>
          <rPr>
            <b/>
            <sz val="10"/>
            <color indexed="81"/>
            <rFont val="Arial Narrow"/>
            <family val="2"/>
          </rPr>
          <t>Vapor based on jet mixing distance to 1 m/sec velocity without correcting for hole size.</t>
        </r>
        <r>
          <rPr>
            <sz val="10"/>
            <color indexed="81"/>
            <rFont val="Arial Narrow"/>
            <family val="2"/>
          </rPr>
          <t xml:space="preserve">
</t>
        </r>
        <r>
          <rPr>
            <b/>
            <sz val="10"/>
            <color indexed="81"/>
            <rFont val="Arial Narrow"/>
            <family val="2"/>
          </rPr>
          <t>Liquid based on trajectory for liquid velocity and elevation.</t>
        </r>
      </text>
    </comment>
    <comment ref="B73" authorId="1" shapeId="0" xr:uid="{00000000-0006-0000-1F00-000011000000}">
      <text>
        <r>
          <rPr>
            <b/>
            <sz val="10"/>
            <color indexed="81"/>
            <rFont val="Arial Narrow"/>
            <family val="2"/>
          </rPr>
          <t>Vapor based on jet mixing distance to 1 m/sec velocity without correcting for density.</t>
        </r>
        <r>
          <rPr>
            <sz val="10"/>
            <color indexed="81"/>
            <rFont val="Arial Narrow"/>
            <family val="2"/>
          </rPr>
          <t xml:space="preserve">
</t>
        </r>
        <r>
          <rPr>
            <b/>
            <sz val="10"/>
            <color indexed="81"/>
            <rFont val="Arial Narrow"/>
            <family val="2"/>
          </rPr>
          <t>Liquid based on trajectory for liquid velocity and elevation.</t>
        </r>
      </text>
    </comment>
    <comment ref="B74" authorId="1" shapeId="0" xr:uid="{00000000-0006-0000-1F00-000012000000}">
      <text>
        <r>
          <rPr>
            <b/>
            <sz val="10"/>
            <color indexed="81"/>
            <rFont val="Arial Narrow"/>
            <family val="2"/>
          </rPr>
          <t>based on roughly 20 deg "spray" angle</t>
        </r>
      </text>
    </comment>
    <comment ref="B85" authorId="1" shapeId="0" xr:uid="{00000000-0006-0000-1F00-000013000000}">
      <text>
        <r>
          <rPr>
            <b/>
            <sz val="10"/>
            <color indexed="81"/>
            <rFont val="Arial Narrow"/>
            <family val="2"/>
          </rPr>
          <t>per NFPA 68 for Dust Fireball</t>
        </r>
      </text>
    </comment>
    <comment ref="B86" authorId="1" shapeId="0" xr:uid="{00000000-0006-0000-1F00-000015000000}">
      <text>
        <r>
          <rPr>
            <b/>
            <sz val="10"/>
            <color indexed="81"/>
            <rFont val="Arial Narrow"/>
            <family val="2"/>
          </rPr>
          <t>based on dust spill covering 90 deg "spray" angle</t>
        </r>
      </text>
    </comment>
    <comment ref="F88" authorId="1" shapeId="0" xr:uid="{00000000-0006-0000-1F00-000014000000}">
      <text>
        <r>
          <rPr>
            <b/>
            <sz val="10"/>
            <color indexed="81"/>
            <rFont val="Tahoma"/>
            <family val="2"/>
          </rPr>
          <t>Using TNO Model assuming Source Strength of 5.</t>
        </r>
      </text>
    </comment>
    <comment ref="B95" authorId="1" shapeId="0" xr:uid="{00000000-0006-0000-1F00-000016000000}">
      <text>
        <r>
          <rPr>
            <b/>
            <sz val="10"/>
            <color indexed="81"/>
            <rFont val="Arial Narrow"/>
            <family val="2"/>
          </rPr>
          <t>Based on 2% of particles &lt; 420 micron (or Equipment is a Dust Collector), and MIE &lt;300 (or the system is a Flammable Vapor - Dust Hybrid).</t>
        </r>
      </text>
    </comment>
    <comment ref="B96" authorId="1" shapeId="0" xr:uid="{00000000-0006-0000-1F00-000017000000}">
      <text>
        <r>
          <rPr>
            <b/>
            <sz val="10"/>
            <color indexed="81"/>
            <rFont val="Arial Narrow"/>
            <family val="2"/>
          </rPr>
          <t>Based on 2% of particles &lt; 420 micron (or Equipment is a Dust Collector), and MIE &lt;300 (or the system is a Flammable Vapor - Dust Hybrid).</t>
        </r>
      </text>
    </comment>
    <comment ref="B105" authorId="1" shapeId="0" xr:uid="{00000000-0006-0000-1F00-000018000000}">
      <text>
        <r>
          <rPr>
            <b/>
            <sz val="10"/>
            <color indexed="81"/>
            <rFont val="Arial Narrow"/>
            <family val="2"/>
          </rPr>
          <t>Based on 2% of particles &lt; 63 micron,  (or Potential for Dust Accumulation) and MIE &lt;30 (or the system is a Flammable Vapor - Dust Hybrid) for Building Explosion.  (Minimum Quantity based on 1 mm layer over 5% of floor area with bulk density of 1000 Kg/m</t>
        </r>
        <r>
          <rPr>
            <b/>
            <vertAlign val="superscript"/>
            <sz val="10"/>
            <color indexed="81"/>
            <rFont val="Arial Narrow"/>
            <family val="2"/>
          </rPr>
          <t>3</t>
        </r>
        <r>
          <rPr>
            <b/>
            <sz val="10"/>
            <color indexed="81"/>
            <rFont val="Arial Narrow"/>
            <family val="2"/>
          </rPr>
          <t>.  Floor area assumed 2 times Enclosed Process Volume</t>
        </r>
        <r>
          <rPr>
            <b/>
            <vertAlign val="superscript"/>
            <sz val="10"/>
            <color indexed="81"/>
            <rFont val="Arial Narrow"/>
            <family val="2"/>
          </rPr>
          <t>2/3</t>
        </r>
        <r>
          <rPr>
            <b/>
            <sz val="10"/>
            <color indexed="81"/>
            <rFont val="Arial Narrow"/>
            <family val="2"/>
          </rPr>
          <t xml:space="preserve"> )</t>
        </r>
      </text>
    </comment>
    <comment ref="H108" authorId="1" shapeId="0" xr:uid="{00000000-0006-0000-1F00-000019000000}">
      <text>
        <r>
          <rPr>
            <b/>
            <sz val="10"/>
            <color indexed="81"/>
            <rFont val="Arial Narrow"/>
            <family val="2"/>
          </rPr>
          <t>Conversion: 100 BTU/hr ft</t>
        </r>
        <r>
          <rPr>
            <b/>
            <vertAlign val="superscript"/>
            <sz val="10"/>
            <color indexed="81"/>
            <rFont val="Arial Narrow"/>
            <family val="2"/>
          </rPr>
          <t>2 o</t>
        </r>
        <r>
          <rPr>
            <b/>
            <sz val="10"/>
            <color indexed="81"/>
            <rFont val="Arial Narrow"/>
            <family val="2"/>
          </rPr>
          <t>F = 0.57 KWatt / m</t>
        </r>
        <r>
          <rPr>
            <b/>
            <vertAlign val="superscript"/>
            <sz val="10"/>
            <color indexed="81"/>
            <rFont val="Arial Narrow"/>
            <family val="2"/>
          </rPr>
          <t>2 o</t>
        </r>
        <r>
          <rPr>
            <b/>
            <sz val="10"/>
            <color indexed="81"/>
            <rFont val="Arial Narrow"/>
            <family val="2"/>
          </rPr>
          <t>C</t>
        </r>
        <r>
          <rPr>
            <b/>
            <sz val="10"/>
            <color indexed="81"/>
            <rFont val="Tahoma"/>
            <family val="2"/>
          </rPr>
          <t xml:space="preserve"> </t>
        </r>
      </text>
    </comment>
    <comment ref="B109" authorId="1" shapeId="0" xr:uid="{00000000-0006-0000-1F00-00001C000000}">
      <text>
        <r>
          <rPr>
            <b/>
            <sz val="10"/>
            <color indexed="81"/>
            <rFont val="Arial Narrow"/>
            <family val="2"/>
          </rPr>
          <t xml:space="preserve">Propagation rate for Class 1 dust is not likely to result in significant overpressure.  Use 50% of equivalent hydrocarbon energy for explosion energy.
</t>
        </r>
      </text>
    </comment>
    <comment ref="F110" authorId="1" shapeId="0" xr:uid="{00000000-0006-0000-1F00-00001A000000}">
      <text>
        <r>
          <rPr>
            <b/>
            <sz val="10"/>
            <color indexed="81"/>
            <rFont val="Arial Narrow"/>
            <family val="2"/>
          </rPr>
          <t>For boiling or high volatility liquids ( Fv &gt; 0 and T</t>
        </r>
        <r>
          <rPr>
            <b/>
            <vertAlign val="subscript"/>
            <sz val="10"/>
            <color indexed="81"/>
            <rFont val="Arial Narrow"/>
            <family val="2"/>
          </rPr>
          <t>aerosol</t>
        </r>
        <r>
          <rPr>
            <b/>
            <sz val="10"/>
            <color indexed="81"/>
            <rFont val="Arial Narrow"/>
            <family val="2"/>
          </rPr>
          <t xml:space="preserve"> &lt; T</t>
        </r>
        <r>
          <rPr>
            <b/>
            <vertAlign val="subscript"/>
            <sz val="10"/>
            <color indexed="81"/>
            <rFont val="Arial Narrow"/>
            <family val="2"/>
          </rPr>
          <t>ambient</t>
        </r>
        <r>
          <rPr>
            <b/>
            <sz val="10"/>
            <color indexed="81"/>
            <rFont val="Arial Narrow"/>
            <family val="2"/>
          </rPr>
          <t xml:space="preserve"> ) use 0.2 kWatt/m</t>
        </r>
        <r>
          <rPr>
            <b/>
            <vertAlign val="superscript"/>
            <sz val="10"/>
            <color indexed="81"/>
            <rFont val="Arial Narrow"/>
            <family val="2"/>
          </rPr>
          <t>2</t>
        </r>
        <r>
          <rPr>
            <b/>
            <sz val="10"/>
            <color indexed="81"/>
            <rFont val="Arial Narrow"/>
            <family val="2"/>
          </rPr>
          <t xml:space="preserve"> K, for subcooled liquids use 0.02 kWatt/m</t>
        </r>
        <r>
          <rPr>
            <b/>
            <vertAlign val="superscript"/>
            <sz val="10"/>
            <color indexed="81"/>
            <rFont val="Arial Narrow"/>
            <family val="2"/>
          </rPr>
          <t>2</t>
        </r>
        <r>
          <rPr>
            <b/>
            <sz val="10"/>
            <color indexed="81"/>
            <rFont val="Arial Narrow"/>
            <family val="2"/>
          </rPr>
          <t xml:space="preserve"> K</t>
        </r>
        <r>
          <rPr>
            <sz val="10"/>
            <color indexed="81"/>
            <rFont val="Arial Narrow"/>
            <family val="2"/>
          </rPr>
          <t xml:space="preserve">
</t>
        </r>
      </text>
    </comment>
    <comment ref="B111" authorId="1" shapeId="0" xr:uid="{00000000-0006-0000-1F00-00001E000000}">
      <text>
        <r>
          <rPr>
            <b/>
            <sz val="10"/>
            <color indexed="81"/>
            <rFont val="Tahoma"/>
            <family val="2"/>
          </rPr>
          <t>Corrected for various Building Types.  Type 0 low strength damage threshold 0.5 psi while Type 1 high strength damage threshold at 2 psi.</t>
        </r>
        <r>
          <rPr>
            <sz val="10"/>
            <color indexed="81"/>
            <rFont val="Tahoma"/>
            <family val="2"/>
          </rPr>
          <t xml:space="preserve">
</t>
        </r>
      </text>
    </comment>
    <comment ref="F111" authorId="1" shapeId="0" xr:uid="{C35C45E0-14EC-4AEC-A702-C14E6F0EFFED}">
      <text>
        <r>
          <rPr>
            <b/>
            <sz val="10"/>
            <color indexed="81"/>
            <rFont val="Arial Narrow"/>
            <family val="2"/>
          </rPr>
          <t>For boiling or high volatility liquids ( Fv &gt; 0 and T</t>
        </r>
        <r>
          <rPr>
            <b/>
            <vertAlign val="subscript"/>
            <sz val="10"/>
            <color indexed="81"/>
            <rFont val="Arial Narrow"/>
            <family val="2"/>
          </rPr>
          <t>pool</t>
        </r>
        <r>
          <rPr>
            <b/>
            <sz val="10"/>
            <color indexed="81"/>
            <rFont val="Arial Narrow"/>
            <family val="2"/>
          </rPr>
          <t xml:space="preserve"> &lt; T</t>
        </r>
        <r>
          <rPr>
            <b/>
            <vertAlign val="subscript"/>
            <sz val="10"/>
            <color indexed="81"/>
            <rFont val="Arial Narrow"/>
            <family val="2"/>
          </rPr>
          <t>ambient</t>
        </r>
        <r>
          <rPr>
            <b/>
            <sz val="10"/>
            <color indexed="81"/>
            <rFont val="Arial Narrow"/>
            <family val="2"/>
          </rPr>
          <t xml:space="preserve"> ) use 0.2 kWatt/m</t>
        </r>
        <r>
          <rPr>
            <b/>
            <vertAlign val="superscript"/>
            <sz val="10"/>
            <color indexed="81"/>
            <rFont val="Arial Narrow"/>
            <family val="2"/>
          </rPr>
          <t>2</t>
        </r>
        <r>
          <rPr>
            <b/>
            <sz val="10"/>
            <color indexed="81"/>
            <rFont val="Arial Narrow"/>
            <family val="2"/>
          </rPr>
          <t xml:space="preserve"> K, for subcooled liquids use 0.02 kWatt/m</t>
        </r>
        <r>
          <rPr>
            <b/>
            <vertAlign val="superscript"/>
            <sz val="10"/>
            <color indexed="81"/>
            <rFont val="Arial Narrow"/>
            <family val="2"/>
          </rPr>
          <t>2</t>
        </r>
        <r>
          <rPr>
            <b/>
            <sz val="10"/>
            <color indexed="81"/>
            <rFont val="Arial Narrow"/>
            <family val="2"/>
          </rPr>
          <t xml:space="preserve"> K</t>
        </r>
        <r>
          <rPr>
            <sz val="10"/>
            <color indexed="81"/>
            <rFont val="Arial Narrow"/>
            <family val="2"/>
          </rPr>
          <t xml:space="preserve">
</t>
        </r>
      </text>
    </comment>
    <comment ref="B112" authorId="1" shapeId="0" xr:uid="{00000000-0006-0000-1F00-000020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F112" authorId="1" shapeId="0" xr:uid="{00000000-0006-0000-1F00-00001D000000}">
      <text>
        <r>
          <rPr>
            <b/>
            <sz val="10"/>
            <color indexed="81"/>
            <rFont val="Arial Narrow"/>
            <family val="2"/>
          </rPr>
          <t>Estimate indoor wind speed as 0.1 Wind m/sec per EPA RMP Guidance Document</t>
        </r>
        <r>
          <rPr>
            <sz val="10"/>
            <color indexed="81"/>
            <rFont val="Tahoma"/>
            <family val="2"/>
          </rPr>
          <t xml:space="preserve">
</t>
        </r>
      </text>
    </comment>
    <comment ref="B113" authorId="1" shapeId="0" xr:uid="{00000000-0006-0000-1F00-000021000000}">
      <text>
        <r>
          <rPr>
            <b/>
            <sz val="10"/>
            <color indexed="81"/>
            <rFont val="Tahoma"/>
            <family val="2"/>
          </rPr>
          <t>Reference typical building damage begins at 1 psi, 50% fatalities at 3 psi and near complete destruction at 5 psi.</t>
        </r>
        <r>
          <rPr>
            <sz val="10"/>
            <color indexed="81"/>
            <rFont val="Tahoma"/>
            <family val="2"/>
          </rPr>
          <t xml:space="preserve">
</t>
        </r>
      </text>
    </comment>
    <comment ref="F114" authorId="1" shapeId="0" xr:uid="{00000000-0006-0000-1F00-00001F000000}">
      <text>
        <r>
          <rPr>
            <b/>
            <sz val="10"/>
            <color indexed="81"/>
            <rFont val="Arial Narrow"/>
            <family val="2"/>
          </rPr>
          <t>Estimate indoor wind speed as 0.1 Wind m/sec per EPA RMP Guidance Document</t>
        </r>
        <r>
          <rPr>
            <sz val="10"/>
            <color indexed="81"/>
            <rFont val="Tahoma"/>
            <family val="2"/>
          </rPr>
          <t xml:space="preserve">
</t>
        </r>
      </text>
    </comment>
    <comment ref="B116" authorId="1" shapeId="0" xr:uid="{00000000-0006-0000-1F00-000022000000}">
      <text>
        <r>
          <rPr>
            <b/>
            <sz val="10"/>
            <color indexed="81"/>
            <rFont val="Arial Narrow"/>
            <family val="2"/>
          </rPr>
          <t>Includes personnel inside the enclosed process structure, personnel outdoors potentially struck by debris and personnel in impacted occupied building</t>
        </r>
        <r>
          <rPr>
            <sz val="10"/>
            <color indexed="81"/>
            <rFont val="Tahoma"/>
            <family val="2"/>
          </rPr>
          <t>.</t>
        </r>
      </text>
    </comment>
    <comment ref="B120" authorId="1" shapeId="0" xr:uid="{00000000-0006-0000-1F00-000023000000}">
      <text>
        <r>
          <rPr>
            <b/>
            <sz val="10"/>
            <color indexed="81"/>
            <rFont val="Arial Narrow"/>
            <family val="2"/>
          </rPr>
          <t>Non-Reactive Only.  For Reaction plus Fire - see Reaction Input Worksheet.</t>
        </r>
        <r>
          <rPr>
            <sz val="10"/>
            <color indexed="81"/>
            <rFont val="Tahoma"/>
            <family val="2"/>
          </rPr>
          <t xml:space="preserve">
</t>
        </r>
      </text>
    </comment>
    <comment ref="B121" authorId="1" shapeId="0" xr:uid="{00000000-0006-0000-1F00-000024000000}">
      <text>
        <r>
          <rPr>
            <b/>
            <sz val="10"/>
            <color indexed="81"/>
            <rFont val="Arial Narrow"/>
            <family val="2"/>
          </rPr>
          <t>Based on Enclosed Structure of cubic shape and capable of withstanding 1 psi overpresure (roughly Type I) per ASME 68:
Vent Area = 0.045 Surface Area / (Pressure^0.5) buring velocity less than 59 cm/sec.</t>
        </r>
      </text>
    </comment>
    <comment ref="F125" authorId="1" shapeId="0" xr:uid="{00000000-0006-0000-1F00-000025000000}">
      <text>
        <r>
          <rPr>
            <b/>
            <sz val="10"/>
            <color indexed="81"/>
            <rFont val="Arial Narrow"/>
            <family val="2"/>
          </rPr>
          <t>Non-Reactive Only.  For Reaction plus Fire - see Reaction Input Worksheet.</t>
        </r>
        <r>
          <rPr>
            <sz val="10"/>
            <color indexed="81"/>
            <rFont val="Tahoma"/>
            <family val="2"/>
          </rPr>
          <t xml:space="preserve">
</t>
        </r>
      </text>
    </comment>
    <comment ref="F126" authorId="1" shapeId="0" xr:uid="{00000000-0006-0000-1F00-000026000000}">
      <text>
        <r>
          <rPr>
            <b/>
            <sz val="10"/>
            <color indexed="81"/>
            <rFont val="Arial Narrow"/>
            <family val="2"/>
          </rPr>
          <t xml:space="preserve">Assumed 50% Thermal Efficiency except for pumps where the metal mass is typically 7-8 times the mass of the contents (or </t>
        </r>
        <r>
          <rPr>
            <b/>
            <sz val="10"/>
            <color indexed="81"/>
            <rFont val="Symbol"/>
            <family val="1"/>
            <charset val="2"/>
          </rPr>
          <t>F</t>
        </r>
        <r>
          <rPr>
            <b/>
            <sz val="10"/>
            <color indexed="81"/>
            <rFont val="Arial Narrow"/>
            <family val="2"/>
          </rPr>
          <t xml:space="preserve"> = 2.5) including 3-5 ft of piping.  Use ambient temperature = 25 C and wetted surface area roughly volume</t>
        </r>
        <r>
          <rPr>
            <b/>
            <vertAlign val="superscript"/>
            <sz val="10"/>
            <color indexed="81"/>
            <rFont val="Arial Narrow"/>
            <family val="2"/>
          </rPr>
          <t>2/3</t>
        </r>
        <r>
          <rPr>
            <b/>
            <sz val="10"/>
            <color indexed="81"/>
            <rFont val="Arial Narrow"/>
            <family val="2"/>
          </rPr>
          <t xml:space="preserve"> (or 0.22 area at 0.1 fill level).</t>
        </r>
      </text>
    </comment>
    <comment ref="F133" authorId="1" shapeId="0" xr:uid="{00000000-0006-0000-1F00-000027000000}">
      <text>
        <r>
          <rPr>
            <b/>
            <sz val="10"/>
            <color indexed="81"/>
            <rFont val="Arial Narrow"/>
            <family val="2"/>
          </rPr>
          <t>Assumed 50% Thermal Efficiency except for pumps where the metal mass is typically 3 times the mass of the contents.</t>
        </r>
        <r>
          <rPr>
            <sz val="10"/>
            <color indexed="81"/>
            <rFont val="Arial Narrow"/>
            <family val="2"/>
          </rPr>
          <t xml:space="preserve">
</t>
        </r>
        <r>
          <rPr>
            <b/>
            <sz val="10"/>
            <color indexed="81"/>
            <rFont val="Arial Narrow"/>
            <family val="2"/>
          </rPr>
          <t>Assumes ambient temperature = 25 C.</t>
        </r>
      </text>
    </comment>
    <comment ref="F145" authorId="1" shapeId="0" xr:uid="{00000000-0006-0000-1F00-000028000000}">
      <text>
        <r>
          <rPr>
            <b/>
            <sz val="10"/>
            <color indexed="81"/>
            <rFont val="Arial Narrow"/>
            <family val="2"/>
          </rPr>
          <t>Non-Reactive Only.  For Reaction plus Fire - see Reaction Input Worksheet.</t>
        </r>
        <r>
          <rPr>
            <sz val="10"/>
            <color indexed="81"/>
            <rFont val="Tahoma"/>
            <family val="2"/>
          </rPr>
          <t xml:space="preserve">
</t>
        </r>
      </text>
    </comment>
    <comment ref="F146" authorId="1" shapeId="0" xr:uid="{00000000-0006-0000-1F00-000029000000}">
      <text>
        <r>
          <rPr>
            <b/>
            <sz val="10"/>
            <color indexed="81"/>
            <rFont val="Arial Narrow"/>
            <family val="2"/>
          </rPr>
          <t>Assumed 50% Thermal Efficiency except for pumps where the metal mass is typically 3 times the mass of the contents.</t>
        </r>
        <r>
          <rPr>
            <sz val="10"/>
            <color indexed="81"/>
            <rFont val="Arial Narrow"/>
            <family val="2"/>
          </rPr>
          <t xml:space="preserve">
</t>
        </r>
        <r>
          <rPr>
            <b/>
            <sz val="10"/>
            <color indexed="81"/>
            <rFont val="Arial Narrow"/>
            <family val="2"/>
          </rPr>
          <t>Assumes ambient temperature = 25 C.</t>
        </r>
      </text>
    </comment>
    <comment ref="B153" authorId="0" shapeId="0" xr:uid="{00000000-0006-0000-1F00-00002A000000}">
      <text>
        <r>
          <rPr>
            <b/>
            <sz val="10"/>
            <color indexed="81"/>
            <rFont val="Arial Narrow"/>
            <family val="2"/>
          </rPr>
          <t>"Yes" if combustible aerosol and otherwise 
flammable.</t>
        </r>
      </text>
    </comment>
    <comment ref="F175" authorId="1" shapeId="0" xr:uid="{F2C02DEF-899A-448E-9833-A3DEFE9E247A}">
      <text>
        <r>
          <rPr>
            <b/>
            <sz val="10"/>
            <color indexed="81"/>
            <rFont val="Arial Narrow"/>
            <family val="2"/>
          </rPr>
          <t>Puff and Dense Gas Roughness based on Overall Correction of 0.38 for Urban and 0.5 for Residential</t>
        </r>
      </text>
    </comment>
    <comment ref="F207" authorId="0" shapeId="0" xr:uid="{00000000-0006-0000-1F00-00002B000000}">
      <text>
        <r>
          <rPr>
            <b/>
            <sz val="9"/>
            <color indexed="81"/>
            <rFont val="Tahoma"/>
            <family val="2"/>
          </rPr>
          <t>Used for transition from continuous to instantaneous model.</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948</author>
  </authors>
  <commentList>
    <comment ref="C7" authorId="0" shapeId="0" xr:uid="{00000000-0006-0000-2000-000001000000}">
      <text>
        <r>
          <rPr>
            <sz val="8"/>
            <color indexed="81"/>
            <rFont val="Tahoma"/>
            <family val="2"/>
          </rPr>
          <t>Enter path in the form of: 
\\Mdnt28\dastech\Approved\Process Safety\LOPA\[Risk Analysis Screening Tool.xls]</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u070091</author>
    <author>Ken First</author>
  </authors>
  <commentList>
    <comment ref="I13" authorId="0" shapeId="0" xr:uid="{00000000-0006-0000-2100-000001000000}">
      <text>
        <r>
          <rPr>
            <b/>
            <sz val="9"/>
            <color indexed="81"/>
            <rFont val="Tahoma"/>
            <family val="2"/>
          </rPr>
          <t>Peak Deflagration estimate from atmospheric pressure</t>
        </r>
        <r>
          <rPr>
            <sz val="9"/>
            <color indexed="81"/>
            <rFont val="Tahoma"/>
            <family val="2"/>
          </rPr>
          <t xml:space="preserve">
</t>
        </r>
      </text>
    </comment>
    <comment ref="I14" authorId="1" shapeId="0" xr:uid="{00000000-0006-0000-2100-000003000000}">
      <text>
        <r>
          <rPr>
            <b/>
            <sz val="9"/>
            <color indexed="81"/>
            <rFont val="Tahoma"/>
            <family val="2"/>
          </rPr>
          <t xml:space="preserve">per </t>
        </r>
        <r>
          <rPr>
            <b/>
            <u/>
            <sz val="9"/>
            <color indexed="81"/>
            <rFont val="Tahoma"/>
            <family val="2"/>
          </rPr>
          <t>Guidelines for Chemical Process Quantitative Risk Analysis</t>
        </r>
        <r>
          <rPr>
            <b/>
            <sz val="9"/>
            <color indexed="81"/>
            <rFont val="Tahoma"/>
            <family val="2"/>
          </rPr>
          <t>, 2nd, CCPS (2000)</t>
        </r>
        <r>
          <rPr>
            <sz val="9"/>
            <color indexed="81"/>
            <rFont val="Tahoma"/>
            <family val="2"/>
          </rPr>
          <t xml:space="preserve">
</t>
        </r>
      </text>
    </comment>
    <comment ref="I15" authorId="1" shapeId="0" xr:uid="{00000000-0006-0000-2100-000005000000}">
      <text>
        <r>
          <rPr>
            <b/>
            <sz val="9"/>
            <color indexed="81"/>
            <rFont val="Tahoma"/>
            <family val="2"/>
          </rPr>
          <t xml:space="preserve">per </t>
        </r>
        <r>
          <rPr>
            <b/>
            <u/>
            <sz val="9"/>
            <color indexed="81"/>
            <rFont val="Tahoma"/>
            <family val="2"/>
          </rPr>
          <t>Guidelines of Chemical Process Quantitative Risk Analysis</t>
        </r>
        <r>
          <rPr>
            <b/>
            <sz val="9"/>
            <color indexed="81"/>
            <rFont val="Tahoma"/>
            <family val="2"/>
          </rPr>
          <t>, 2nd, CCPS (2000)</t>
        </r>
        <r>
          <rPr>
            <sz val="9"/>
            <color indexed="81"/>
            <rFont val="Tahoma"/>
            <family val="2"/>
          </rPr>
          <t xml:space="preserve">
</t>
        </r>
      </text>
    </comment>
    <comment ref="B16" authorId="1" shapeId="0" xr:uid="{00000000-0006-0000-2100-000004000000}">
      <text>
        <r>
          <rPr>
            <b/>
            <sz val="10"/>
            <color indexed="81"/>
            <rFont val="Arial Narrow"/>
            <family val="2"/>
          </rPr>
          <t>Corrects for average lethality at a downwind distance relative to the maximum lethality at the cloud centerline.  Used in the integration of lethality with distance to determine number of people impacted.</t>
        </r>
        <r>
          <rPr>
            <sz val="9"/>
            <color indexed="81"/>
            <rFont val="Tahoma"/>
            <family val="2"/>
          </rPr>
          <t xml:space="preserve">
</t>
        </r>
      </text>
    </comment>
    <comment ref="B17" authorId="1" shapeId="0" xr:uid="{00000000-0006-0000-2100-000006000000}">
      <text>
        <r>
          <rPr>
            <b/>
            <sz val="10"/>
            <color indexed="81"/>
            <rFont val="Arial Narrow"/>
            <family val="2"/>
          </rPr>
          <t>Used for estimating cloud volume above a specified minimum concentration.</t>
        </r>
        <r>
          <rPr>
            <sz val="9"/>
            <color indexed="81"/>
            <rFont val="Tahoma"/>
            <family val="2"/>
          </rPr>
          <t xml:space="preserve">
</t>
        </r>
      </text>
    </comment>
    <comment ref="B69" authorId="1" shapeId="0" xr:uid="{00000000-0006-0000-2100-000007000000}">
      <text>
        <r>
          <rPr>
            <b/>
            <sz val="10"/>
            <color indexed="81"/>
            <rFont val="Arial Narrow"/>
            <family val="2"/>
          </rPr>
          <t>Used for General Mechanical Failures including Loading Arms.</t>
        </r>
      </text>
    </comment>
    <comment ref="B70" authorId="1" shapeId="0" xr:uid="{00000000-0006-0000-2100-000008000000}">
      <text>
        <r>
          <rPr>
            <b/>
            <sz val="10"/>
            <color indexed="81"/>
            <rFont val="Arial Narrow"/>
            <family val="2"/>
          </rPr>
          <t>Used in Mechanical Integrity Scenarios</t>
        </r>
        <r>
          <rPr>
            <sz val="9"/>
            <color indexed="81"/>
            <rFont val="Tahoma"/>
            <family val="2"/>
          </rPr>
          <t xml:space="preserve">
</t>
        </r>
      </text>
    </comment>
    <comment ref="B71" authorId="1" shapeId="0" xr:uid="{00000000-0006-0000-2100-000009000000}">
      <text>
        <r>
          <rPr>
            <b/>
            <sz val="10"/>
            <color indexed="81"/>
            <rFont val="Arial Narrow"/>
            <family val="2"/>
          </rPr>
          <t>Used in Mechanical Integrity Scenarios</t>
        </r>
        <r>
          <rPr>
            <sz val="9"/>
            <color indexed="81"/>
            <rFont val="Tahoma"/>
            <family val="2"/>
          </rPr>
          <t xml:space="preserve">
</t>
        </r>
      </text>
    </comment>
    <comment ref="B72" authorId="1" shapeId="0" xr:uid="{00000000-0006-0000-2100-00000A000000}">
      <text>
        <r>
          <rPr>
            <b/>
            <sz val="10"/>
            <color indexed="81"/>
            <rFont val="Arial Narrow"/>
            <family val="2"/>
          </rPr>
          <t>Used in Mechanical Integrity Scenarios</t>
        </r>
        <r>
          <rPr>
            <sz val="9"/>
            <color indexed="81"/>
            <rFont val="Tahoma"/>
            <family val="2"/>
          </rPr>
          <t xml:space="preserve">
</t>
        </r>
      </text>
    </comment>
    <comment ref="B73" authorId="1" shapeId="0" xr:uid="{00000000-0006-0000-2100-00000B000000}">
      <text>
        <r>
          <rPr>
            <b/>
            <sz val="10"/>
            <color indexed="81"/>
            <rFont val="Arial Narrow"/>
            <family val="2"/>
          </rPr>
          <t>Used in Mechanical Integrity Scenarios</t>
        </r>
        <r>
          <rPr>
            <sz val="9"/>
            <color indexed="81"/>
            <rFont val="Tahoma"/>
            <family val="2"/>
          </rPr>
          <t xml:space="preserve">
</t>
        </r>
      </text>
    </comment>
    <comment ref="D77" authorId="0" shapeId="0" xr:uid="{00000000-0006-0000-2100-00000C000000}">
      <text>
        <r>
          <rPr>
            <b/>
            <sz val="9"/>
            <color indexed="81"/>
            <rFont val="Tahoma"/>
            <family val="2"/>
          </rPr>
          <t xml:space="preserve">OSHA PSM 1910.106 for flammables vent = 12 ft.
</t>
        </r>
        <r>
          <rPr>
            <sz val="9"/>
            <color indexed="81"/>
            <rFont val="Tahoma"/>
            <family val="2"/>
          </rPr>
          <t xml:space="preserve">
</t>
        </r>
      </text>
    </comment>
    <comment ref="D78" authorId="0" shapeId="0" xr:uid="{00000000-0006-0000-2100-00000D000000}">
      <text>
        <r>
          <rPr>
            <b/>
            <sz val="9"/>
            <color indexed="81"/>
            <rFont val="Tahoma"/>
            <family val="2"/>
          </rPr>
          <t>per API 521 5.8.2.2</t>
        </r>
        <r>
          <rPr>
            <sz val="9"/>
            <color indexed="81"/>
            <rFont val="Tahoma"/>
            <family val="2"/>
          </rPr>
          <t xml:space="preserve">
</t>
        </r>
      </text>
    </comment>
    <comment ref="B92" authorId="1" shapeId="0" xr:uid="{00000000-0006-0000-2100-00000E000000}">
      <text>
        <r>
          <rPr>
            <b/>
            <sz val="10"/>
            <color indexed="81"/>
            <rFont val="Arial Narrow"/>
            <family val="2"/>
          </rPr>
          <t>Total off-site population density.  For outdoor toxic exposure, roughly 1/3 of personnel are assumed outdoors.  1500 people/km</t>
        </r>
        <r>
          <rPr>
            <b/>
            <vertAlign val="superscript"/>
            <sz val="10"/>
            <color indexed="81"/>
            <rFont val="Arial Narrow"/>
            <family val="2"/>
          </rPr>
          <t>2</t>
        </r>
        <r>
          <rPr>
            <b/>
            <sz val="10"/>
            <color indexed="81"/>
            <rFont val="Arial Narrow"/>
            <family val="2"/>
          </rPr>
          <t xml:space="preserve"> typical sub-urban value.</t>
        </r>
      </text>
    </comment>
    <comment ref="B99" authorId="1" shapeId="0" xr:uid="{00000000-0006-0000-2100-00000F000000}">
      <text>
        <r>
          <rPr>
            <b/>
            <sz val="10"/>
            <color indexed="81"/>
            <rFont val="Arial Narrow"/>
            <family val="2"/>
          </rPr>
          <t>Outdoor on-site population density.  Typical values are 50 to 500 people/km</t>
        </r>
        <r>
          <rPr>
            <b/>
            <vertAlign val="superscript"/>
            <sz val="10"/>
            <color indexed="81"/>
            <rFont val="Arial Narrow"/>
            <family val="2"/>
          </rPr>
          <t xml:space="preserve">2 </t>
        </r>
        <r>
          <rPr>
            <b/>
            <sz val="10"/>
            <color indexed="81"/>
            <rFont val="Arial Narrow"/>
            <family val="2"/>
          </rPr>
          <t>outdoors during the peak daytime activities.</t>
        </r>
      </text>
    </comment>
    <comment ref="B100" authorId="1" shapeId="0" xr:uid="{00000000-0006-0000-2100-000010000000}">
      <text>
        <r>
          <rPr>
            <b/>
            <sz val="10"/>
            <color indexed="81"/>
            <rFont val="Arial Narrow"/>
            <family val="2"/>
          </rPr>
          <t>Assumes  2 operations personnel in the process area at any time if the input is blank.</t>
        </r>
        <r>
          <rPr>
            <sz val="10"/>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948</author>
    <author>Ken First</author>
    <author>David Veazey</author>
  </authors>
  <commentList>
    <comment ref="J15" authorId="0" shapeId="0" xr:uid="{00000000-0006-0000-2200-000001000000}">
      <text>
        <r>
          <rPr>
            <sz val="8"/>
            <color indexed="81"/>
            <rFont val="Tahoma"/>
            <family val="2"/>
          </rPr>
          <t>Used to be "Prob of Exp = 2 (User Override)"</t>
        </r>
      </text>
    </comment>
    <comment ref="J16" authorId="0" shapeId="0" xr:uid="{B08AE142-FCEF-4C47-85D8-CDE0652AFD33}">
      <text>
        <r>
          <rPr>
            <sz val="8"/>
            <color indexed="81"/>
            <rFont val="Tahoma"/>
            <family val="2"/>
          </rPr>
          <t>Used to be "Prob of Exp = 2 (User Override)"</t>
        </r>
      </text>
    </comment>
    <comment ref="J17" authorId="0" shapeId="0" xr:uid="{00000000-0006-0000-2200-000002000000}">
      <text>
        <r>
          <rPr>
            <sz val="8"/>
            <color indexed="81"/>
            <rFont val="Tahoma"/>
            <family val="2"/>
          </rPr>
          <t>Used to be "Prob of Exp = 1 (User Override)"</t>
        </r>
      </text>
    </comment>
    <comment ref="J18" authorId="0" shapeId="0" xr:uid="{D836AB4D-D089-4DFD-9F05-243E5C38C785}">
      <text>
        <r>
          <rPr>
            <sz val="8"/>
            <color indexed="81"/>
            <rFont val="Tahoma"/>
            <family val="2"/>
          </rPr>
          <t>Used to be "Prob of Exp = 2 (User Override)"</t>
        </r>
      </text>
    </comment>
    <comment ref="J19" authorId="0" shapeId="0" xr:uid="{00000000-0006-0000-2200-000003000000}">
      <text>
        <r>
          <rPr>
            <sz val="8"/>
            <color indexed="81"/>
            <rFont val="Tahoma"/>
            <family val="2"/>
          </rPr>
          <t>Used to be "Prob of Exp = 0 (User Override)"</t>
        </r>
      </text>
    </comment>
    <comment ref="J20" authorId="0" shapeId="0" xr:uid="{7C8029D9-C681-41E8-A217-9E8AFEF7B5B0}">
      <text>
        <r>
          <rPr>
            <sz val="8"/>
            <color indexed="81"/>
            <rFont val="Tahoma"/>
            <family val="2"/>
          </rPr>
          <t>Used to be "Prob of Exp = 2 (User Override)"</t>
        </r>
      </text>
    </comment>
    <comment ref="J21" authorId="0" shapeId="0" xr:uid="{00000000-0006-0000-2200-000004000000}">
      <text>
        <r>
          <rPr>
            <sz val="8"/>
            <color indexed="81"/>
            <rFont val="Tahoma"/>
            <family val="2"/>
          </rPr>
          <t>Used to be "Prob of Exp = -1 (User Override)"</t>
        </r>
      </text>
    </comment>
    <comment ref="N23" authorId="1" shapeId="0" xr:uid="{00000000-0006-0000-2200-000005000000}">
      <text>
        <r>
          <rPr>
            <sz val="10"/>
            <color indexed="81"/>
            <rFont val="Arial Narrow"/>
            <family val="2"/>
          </rPr>
          <t>Frequency of 10</t>
        </r>
        <r>
          <rPr>
            <vertAlign val="superscript"/>
            <sz val="10"/>
            <color indexed="81"/>
            <rFont val="Arial Narrow"/>
            <family val="2"/>
          </rPr>
          <t>-2</t>
        </r>
        <r>
          <rPr>
            <sz val="10"/>
            <color indexed="81"/>
            <rFont val="Arial Narrow"/>
            <family val="2"/>
          </rPr>
          <t>/year represents a "full" seal failure equivalent to roughly 10 mm hole.  This represents a "worst case" incident.</t>
        </r>
        <r>
          <rPr>
            <sz val="9"/>
            <color indexed="81"/>
            <rFont val="Tahoma"/>
            <family val="2"/>
          </rPr>
          <t xml:space="preserve">
</t>
        </r>
      </text>
    </comment>
    <comment ref="N24" authorId="1" shapeId="0" xr:uid="{00000000-0006-0000-2200-000006000000}">
      <text>
        <r>
          <rPr>
            <sz val="9"/>
            <color indexed="81"/>
            <rFont val="Tahoma"/>
            <family val="2"/>
          </rPr>
          <t xml:space="preserve">Seal failure indication by seal pot level or other is considered a protective layer rather than a reduced frequency of failure.
</t>
        </r>
      </text>
    </comment>
    <comment ref="N25" authorId="1" shapeId="0" xr:uid="{00000000-0006-0000-2200-000007000000}">
      <text>
        <r>
          <rPr>
            <sz val="9"/>
            <color indexed="81"/>
            <rFont val="Tahoma"/>
            <family val="2"/>
          </rPr>
          <t xml:space="preserve">Containment failure indication by pressure or other is considered a protective layer rather than a reduced frequency of failure.
</t>
        </r>
      </text>
    </comment>
    <comment ref="B43" authorId="2" shapeId="0" xr:uid="{00000000-0006-0000-2200-000008000000}">
      <text>
        <r>
          <rPr>
            <sz val="7"/>
            <color indexed="81"/>
            <rFont val="Tahoma"/>
            <family val="2"/>
          </rPr>
          <t>Requires vendor verification and appropriate testing</t>
        </r>
      </text>
    </comment>
    <comment ref="B44" authorId="2" shapeId="0" xr:uid="{00000000-0006-0000-2200-000009000000}">
      <text>
        <r>
          <rPr>
            <sz val="7"/>
            <color indexed="81"/>
            <rFont val="Tahoma"/>
            <family val="2"/>
          </rPr>
          <t>Requires vendor verification and appropriate testing</t>
        </r>
      </text>
    </comment>
    <comment ref="B45" authorId="2" shapeId="0" xr:uid="{00000000-0006-0000-2200-00000A000000}">
      <text>
        <r>
          <rPr>
            <sz val="7"/>
            <color indexed="81"/>
            <rFont val="Tahoma"/>
            <family val="2"/>
          </rPr>
          <t>As determined by Tech Center &amp; Process Safety</t>
        </r>
      </text>
    </comment>
    <comment ref="B46" authorId="2" shapeId="0" xr:uid="{00000000-0006-0000-2200-00000B000000}">
      <text>
        <r>
          <rPr>
            <sz val="7"/>
            <color indexed="81"/>
            <rFont val="Tahoma"/>
            <family val="2"/>
          </rPr>
          <t>As determined by Tech Center &amp; Process Safety</t>
        </r>
      </text>
    </comment>
    <comment ref="B47" authorId="2" shapeId="0" xr:uid="{00000000-0006-0000-2200-00000C000000}">
      <text>
        <r>
          <rPr>
            <sz val="7"/>
            <color indexed="81"/>
            <rFont val="Tahoma"/>
            <family val="2"/>
          </rPr>
          <t>As determined by Tech Center &amp; Process Safety</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Ken First</author>
  </authors>
  <commentList>
    <comment ref="B65" authorId="0" shapeId="0" xr:uid="{00000000-0006-0000-2300-000001000000}">
      <text>
        <r>
          <rPr>
            <b/>
            <sz val="8"/>
            <color indexed="81"/>
            <rFont val="Tahoma"/>
            <family val="2"/>
          </rPr>
          <t>height of liquid 
above release point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<sst xmlns="http://schemas.openxmlformats.org/spreadsheetml/2006/main" count="11612" uniqueCount="5332">
  <si>
    <t>Filter Criteria Entered?</t>
  </si>
  <si>
    <t>Filter by Equipment Tag(s):</t>
  </si>
  <si>
    <t>Last Row in Scenario Results</t>
  </si>
  <si>
    <t>Last Row in Scenario Results based on Numeric Format</t>
  </si>
  <si>
    <t>Last Row in Scenario Results based on Text Format</t>
  </si>
  <si>
    <t>Last Row in Equipment Table based on Numeric Format</t>
  </si>
  <si>
    <t>Last Row in Equipment Table based on Text Format</t>
  </si>
  <si>
    <t>Last Row in Equipment Table</t>
  </si>
  <si>
    <t>75-09-02</t>
  </si>
  <si>
    <t>Monomethyl Amine</t>
  </si>
  <si>
    <t>7727-37-9</t>
  </si>
  <si>
    <t>10102-44-0</t>
  </si>
  <si>
    <t>Failure of Level Indication with continued addition of material</t>
  </si>
  <si>
    <t>None</t>
  </si>
  <si>
    <t>Equipment within Highly Congested Area?</t>
  </si>
  <si>
    <t>Potential for Incompatible Materials?</t>
  </si>
  <si>
    <t>Kg/hr</t>
  </si>
  <si>
    <t xml:space="preserve">Bdg Explosion Distance to 1 psi = </t>
  </si>
  <si>
    <t xml:space="preserve">Vapor Cloud Explosion Energy = </t>
  </si>
  <si>
    <t>Calculated</t>
  </si>
  <si>
    <t>User</t>
  </si>
  <si>
    <t>Carbon Dioxide</t>
  </si>
  <si>
    <t>International Settings</t>
  </si>
  <si>
    <t>Loss of Flow or Level - Fired Equipment</t>
  </si>
  <si>
    <t>Fuel Accumulation during Light Off</t>
  </si>
  <si>
    <t>Equipment Damage</t>
  </si>
  <si>
    <t>Excessive Heat Input - Heat Transfer</t>
  </si>
  <si>
    <t>isoPropanol</t>
  </si>
  <si>
    <t xml:space="preserve">CAS Number = </t>
  </si>
  <si>
    <t xml:space="preserve">  USER DEFINED HOLE SIZE</t>
  </si>
  <si>
    <t xml:space="preserve">  USER DEFINED LEAK RATE</t>
  </si>
  <si>
    <t xml:space="preserve">User Defined Vapor Rate = </t>
  </si>
  <si>
    <t>Reportable Incident to Environmental Agency</t>
  </si>
  <si>
    <t xml:space="preserve">  USER DEFINED INCIDENT</t>
  </si>
  <si>
    <t>VERY SMALL</t>
  </si>
  <si>
    <t>MEDIUM</t>
  </si>
  <si>
    <t>FULL BORE</t>
  </si>
  <si>
    <t>Scenario ID</t>
  </si>
  <si>
    <t>Description</t>
  </si>
  <si>
    <t>Sum of Credits</t>
  </si>
  <si>
    <t>Frequency (per year)</t>
  </si>
  <si>
    <t>TNR Trial32 =</t>
  </si>
  <si>
    <t>TEH Trial 3 =</t>
  </si>
  <si>
    <t>Reactive Chemicals</t>
  </si>
  <si>
    <t>Dust Handling</t>
  </si>
  <si>
    <t>Fired Equipment</t>
  </si>
  <si>
    <t>General Comments</t>
  </si>
  <si>
    <t>Transportation Related</t>
  </si>
  <si>
    <t>Fire duration is insufficient to heat equipment contents to Relief Set or Burst Pressure</t>
  </si>
  <si>
    <t>SD_Gen_2</t>
  </si>
  <si>
    <t>SD_Gen_3</t>
  </si>
  <si>
    <t>SD_Gen_8</t>
  </si>
  <si>
    <t>SD_Gen_9</t>
  </si>
  <si>
    <t>SD_Gen_10</t>
  </si>
  <si>
    <t>SD_Gen_12</t>
  </si>
  <si>
    <t>SD_Gen_15</t>
  </si>
  <si>
    <t>SD_Gen_16</t>
  </si>
  <si>
    <t>SD_Gen_17</t>
  </si>
  <si>
    <t>SD_Gen_19</t>
  </si>
  <si>
    <t>SD_Gen_20</t>
  </si>
  <si>
    <t>SD_Gen_21</t>
  </si>
  <si>
    <t>SD_Gen_22</t>
  </si>
  <si>
    <t>SD_Gen_30</t>
  </si>
  <si>
    <t>SD_Gen_31</t>
  </si>
  <si>
    <t>SD_Gen_32</t>
  </si>
  <si>
    <t>SD_Gen_33</t>
  </si>
  <si>
    <t>SD_Gen_34</t>
  </si>
  <si>
    <t>SD_Gen_35</t>
  </si>
  <si>
    <t>SD_Gen_36</t>
  </si>
  <si>
    <t>SD_Gen_37</t>
  </si>
  <si>
    <t>SD_Gen_38</t>
  </si>
  <si>
    <t>Nitrogen</t>
  </si>
  <si>
    <t xml:space="preserve">Initial Rate = </t>
  </si>
  <si>
    <t>74-90-8</t>
  </si>
  <si>
    <t>Loss of Atomization Air while burning Liquid Fuels</t>
  </si>
  <si>
    <t>Assessment is limited to Only Mechanical Integrity Scenarios</t>
  </si>
  <si>
    <t>Assessment is limited to Only Reactive Scenarios</t>
  </si>
  <si>
    <t>Equipment Designed to Contain Maximum Deflagration Pressure with Minimal Damage</t>
  </si>
  <si>
    <t>Assessment Excludes Mechanical Integrity Scenarios</t>
  </si>
  <si>
    <t>Scenario Descriptions used within Scenario Identification</t>
  </si>
  <si>
    <t>Vapor Pressure exceeds Relief Set or Burst Pressure from Pool Fire Exposure</t>
  </si>
  <si>
    <t>High Temperature Alarm with Operator Response to Turn Off Heat Sources</t>
  </si>
  <si>
    <t>Incident</t>
  </si>
  <si>
    <t>F.  Low Temperature</t>
  </si>
  <si>
    <t>G. Quantity of Flammable/Unstable Material</t>
  </si>
  <si>
    <t>Time to Relief Temperature =</t>
  </si>
  <si>
    <t>Estimated Vapor Pressure + Inert Pad</t>
  </si>
  <si>
    <t>PROBABILITY OF EXPOSURE DESCRIPTOR</t>
  </si>
  <si>
    <t>PROBABILITY OF IGNITION DESCRIPTOR</t>
  </si>
  <si>
    <t xml:space="preserve">Relief Set Press = </t>
  </si>
  <si>
    <t xml:space="preserve">Operating Temperature = </t>
  </si>
  <si>
    <t>Overfill or Overflow</t>
  </si>
  <si>
    <t>SIS A Instrument Loop Details</t>
  </si>
  <si>
    <t>SIS B Instrument Loop Details</t>
  </si>
  <si>
    <t>Analyze via LOPA?</t>
  </si>
  <si>
    <t>75-07-0</t>
  </si>
  <si>
    <t>64-19-7</t>
  </si>
  <si>
    <t>108-24-7</t>
  </si>
  <si>
    <t>67-64-1</t>
  </si>
  <si>
    <t>124-40-3</t>
  </si>
  <si>
    <t>IED_D_2</t>
  </si>
  <si>
    <t>IED_D_3</t>
  </si>
  <si>
    <t>IED_D_4</t>
  </si>
  <si>
    <t>IED_D_5</t>
  </si>
  <si>
    <t>IPLD_D_1</t>
  </si>
  <si>
    <t>IED_T_2</t>
  </si>
  <si>
    <t>IED_T_3</t>
  </si>
  <si>
    <t>IED_T_4</t>
  </si>
  <si>
    <t>IED_T_5</t>
  </si>
  <si>
    <t>IED_T_6</t>
  </si>
  <si>
    <t>IED_T_7</t>
  </si>
  <si>
    <t>IPLD_T_1</t>
  </si>
  <si>
    <t>Pressure test of all connections prior to each chemical transfer</t>
  </si>
  <si>
    <t>Mechanical Energy Input (Circulating Pump, Agitator, etc.) for an extended period of time allows Temperature to exceed the Temperature of No Return</t>
  </si>
  <si>
    <t>Level or Flow Control Failure resulting in wrong composition</t>
  </si>
  <si>
    <t>Physical and Chemical Properties</t>
  </si>
  <si>
    <t xml:space="preserve">Maximum Inert Rate = </t>
  </si>
  <si>
    <t xml:space="preserve">Test Method = </t>
  </si>
  <si>
    <t xml:space="preserve">QCR Trial 3 = </t>
  </si>
  <si>
    <t xml:space="preserve">QPR Trial 3 = </t>
  </si>
  <si>
    <t xml:space="preserve">QMR Trial 3 = </t>
  </si>
  <si>
    <t>Dust Explosion to 1 psi Off-site?</t>
  </si>
  <si>
    <t>Dike Area Units</t>
  </si>
  <si>
    <t>Equipment Volume</t>
  </si>
  <si>
    <t>SRPS 1</t>
  </si>
  <si>
    <t>SRPS 2</t>
  </si>
  <si>
    <t>SRPS 3</t>
  </si>
  <si>
    <t xml:space="preserve">Contained Mass = </t>
  </si>
  <si>
    <t xml:space="preserve">Inventory for Reference = </t>
  </si>
  <si>
    <t>External Heat Input = Reaction Heat</t>
  </si>
  <si>
    <t xml:space="preserve">Vapor Rate, V = </t>
  </si>
  <si>
    <t>Contained Mass</t>
  </si>
  <si>
    <t xml:space="preserve">  Equipment Rupture at Fire Conditions</t>
  </si>
  <si>
    <t>Ambient Temperature</t>
  </si>
  <si>
    <t>Associated DC or Alarm ID</t>
  </si>
  <si>
    <t>Psat &gt; Rupture Pressure Normal Level?</t>
  </si>
  <si>
    <t>Flame Speed</t>
  </si>
  <si>
    <t>High</t>
  </si>
  <si>
    <t>Medium</t>
  </si>
  <si>
    <t>Normal</t>
  </si>
  <si>
    <t>Low</t>
  </si>
  <si>
    <t>Elevated</t>
  </si>
  <si>
    <t>J.  Use of Rotating Equipment</t>
  </si>
  <si>
    <t>Base Factor …………………………………..</t>
  </si>
  <si>
    <t>N</t>
  </si>
  <si>
    <t>personnel/sq ft</t>
  </si>
  <si>
    <t xml:space="preserve">Percent of Time in Operation = </t>
  </si>
  <si>
    <t>Methyl Isocyanate</t>
  </si>
  <si>
    <t>Probability of Dust Exposure Factor</t>
  </si>
  <si>
    <t>CONSEQUENCE TARGET FACTOR DESCRIPTORS FOR USER SUPPLIED TARGET FACTOR</t>
  </si>
  <si>
    <t>Vessel/Tank</t>
  </si>
  <si>
    <t>Equipment Type</t>
  </si>
  <si>
    <t>Scenario Type</t>
  </si>
  <si>
    <t>Drain or Vent Valve Open</t>
  </si>
  <si>
    <t>Estimated Inventory</t>
  </si>
  <si>
    <t>Inventory Summary</t>
  </si>
  <si>
    <t>Target Factor for 
Consequences Exceeding 
Threshold Criteria for Analysis</t>
  </si>
  <si>
    <t>Conductivity_List</t>
  </si>
  <si>
    <t>Conductive</t>
  </si>
  <si>
    <t>Semi-Conductive</t>
  </si>
  <si>
    <t>Non-Conductive</t>
  </si>
  <si>
    <t>Liquid Conductivity</t>
  </si>
  <si>
    <t>Fuel Valves close on High Nozzle Pressure</t>
  </si>
  <si>
    <t>Close all Fuel Valves on Quench or Heating Media High Temperature</t>
  </si>
  <si>
    <t xml:space="preserve">Physical Explosion Onsite Impact Area = </t>
  </si>
  <si>
    <t xml:space="preserve">Indoor Explosion Energy = </t>
  </si>
  <si>
    <t xml:space="preserve">Bdg Explosion Distance to 0.3 psi = </t>
  </si>
  <si>
    <t>Wind Speed for Pool Evaporation</t>
  </si>
  <si>
    <t>Psat at Heat T &gt; Rupture Pressure?</t>
  </si>
  <si>
    <t>gal</t>
  </si>
  <si>
    <t>SIS - SIL 1</t>
  </si>
  <si>
    <t>SIS - SIL 2</t>
  </si>
  <si>
    <t>SIS - SIL 3</t>
  </si>
  <si>
    <t>Source</t>
  </si>
  <si>
    <t>Name Chemical 3</t>
  </si>
  <si>
    <t>Name Chemical 4</t>
  </si>
  <si>
    <t>Operating Pressure Units</t>
  </si>
  <si>
    <t>Inventory Units</t>
  </si>
  <si>
    <t>Penalty for Corrosion Under Insulation</t>
  </si>
  <si>
    <t>Total Release Rate</t>
  </si>
  <si>
    <t>Time at Risk</t>
  </si>
  <si>
    <t>Chlorosulfonic Acid</t>
  </si>
  <si>
    <t>7790-94-5</t>
  </si>
  <si>
    <t>Chlorotrifluoroethylene</t>
  </si>
  <si>
    <t>79-38-9</t>
  </si>
  <si>
    <t>71-43-2</t>
  </si>
  <si>
    <t>103-83-3</t>
  </si>
  <si>
    <t>7726-95-6</t>
  </si>
  <si>
    <t>106-99-0</t>
  </si>
  <si>
    <t>106-97-8</t>
  </si>
  <si>
    <t>Butyl Acetate, n-</t>
  </si>
  <si>
    <t>123-86-4</t>
  </si>
  <si>
    <t>141-32-2</t>
  </si>
  <si>
    <t>Butyl Isocyanate</t>
  </si>
  <si>
    <t>111-36-4</t>
  </si>
  <si>
    <t>541-41-3</t>
  </si>
  <si>
    <t>Ethyl Ether</t>
  </si>
  <si>
    <t>60-29-7</t>
  </si>
  <si>
    <t>104-76-7</t>
  </si>
  <si>
    <t>Methyl Chloroformate</t>
  </si>
  <si>
    <t>79-22-1</t>
  </si>
  <si>
    <t>Methyl Ethyl Ketone</t>
  </si>
  <si>
    <t>78-93-3</t>
  </si>
  <si>
    <t>Methyl Iodide</t>
  </si>
  <si>
    <t>74-88-4</t>
  </si>
  <si>
    <t>Loss of Flow - Adsorber or Scrubber</t>
  </si>
  <si>
    <t>Kwatt/sq m C</t>
  </si>
  <si>
    <t>PROBABILITY OF IGNITION DETAIL DESCRIPTOR</t>
  </si>
  <si>
    <t>Scenario Results Incident</t>
  </si>
  <si>
    <t>Plugging of distributor due to corrosion, etc. with continued addition of material</t>
  </si>
  <si>
    <t>Rupture Distance to Direct Blast Impact (Overpressure or Fragments)</t>
  </si>
  <si>
    <t>Ethyl Acetate</t>
  </si>
  <si>
    <t>Ethyl Acrylate</t>
  </si>
  <si>
    <t>Fire - Vapor Relief</t>
  </si>
  <si>
    <t>Heat Transfer - Vapor Relief</t>
  </si>
  <si>
    <t>Flammable Release Inside a Building for Elevated Ease of Ignition</t>
  </si>
  <si>
    <t>7664-39-3</t>
  </si>
  <si>
    <t>7722-84-1</t>
  </si>
  <si>
    <t>7783-06-4</t>
  </si>
  <si>
    <t>Isobutane</t>
  </si>
  <si>
    <t>75-28-5</t>
  </si>
  <si>
    <t>Isobutanol</t>
  </si>
  <si>
    <t>78-83-1</t>
  </si>
  <si>
    <t>115-11-7</t>
  </si>
  <si>
    <t>Isobutyl Acetate</t>
  </si>
  <si>
    <t>110-19-0</t>
  </si>
  <si>
    <t>Isobutylene</t>
  </si>
  <si>
    <t>Isobutyronitrile</t>
  </si>
  <si>
    <t>78-82-0</t>
  </si>
  <si>
    <t>Isocyanatoethyl Methacrylate, 2-</t>
  </si>
  <si>
    <t>30674-80-7</t>
  </si>
  <si>
    <t>78-78-4</t>
  </si>
  <si>
    <t>Isopropyl Acetate</t>
  </si>
  <si>
    <t>108-21-4</t>
  </si>
  <si>
    <t>Isopropyl Chloroformate</t>
  </si>
  <si>
    <t>108-23-6</t>
  </si>
  <si>
    <t>Explosion Distance to 1 psi Overpressure</t>
  </si>
  <si>
    <t>PROBABILITY OF EXPOSURE DETAIL DESCRIPTOR</t>
  </si>
  <si>
    <t xml:space="preserve">Temperature at Relief Set Pressure &gt; TNR? </t>
  </si>
  <si>
    <t xml:space="preserve">Fire Induced Reactive Potential? </t>
  </si>
  <si>
    <t>T at Relief Set or TBp</t>
  </si>
  <si>
    <t>Dust Secondary Building Explosion</t>
  </si>
  <si>
    <t>Failure of Pressure Control</t>
  </si>
  <si>
    <t>Effective Egress from Process Area?</t>
  </si>
  <si>
    <t>Trichloroethylene</t>
  </si>
  <si>
    <t>79-01-6</t>
  </si>
  <si>
    <t>75-50-3</t>
  </si>
  <si>
    <t>Probability of Ignition for Internal Deflagration</t>
  </si>
  <si>
    <t>Operator opens wrong valve or initiates filling when equipment is not empty</t>
  </si>
  <si>
    <t>Outdoors-Horizontal</t>
  </si>
  <si>
    <t xml:space="preserve">Nozzle or Pipe Size = </t>
  </si>
  <si>
    <t>Relief Discharge Size</t>
  </si>
  <si>
    <t>Relief Discharge Units</t>
  </si>
  <si>
    <t xml:space="preserve">Relief Discharge Size = </t>
  </si>
  <si>
    <t>Jet Mixing Parameter</t>
  </si>
  <si>
    <t>Acetaldehyde</t>
  </si>
  <si>
    <t>Acetone</t>
  </si>
  <si>
    <t>Liq Density
(g/cc)
A Coeff</t>
  </si>
  <si>
    <t>Operator damages/punctures drum or bag</t>
  </si>
  <si>
    <t>PROBABILITY OF IGNITION</t>
  </si>
  <si>
    <t>Channeling of vapor flow and loss of scrubbing efficiency</t>
  </si>
  <si>
    <t>HP</t>
  </si>
  <si>
    <t>min</t>
  </si>
  <si>
    <t>Fire Heat Input</t>
  </si>
  <si>
    <t>Kjoule</t>
  </si>
  <si>
    <t>Solar Input to Pool Evaporation</t>
  </si>
  <si>
    <t>Jacket Heating and Cooling</t>
  </si>
  <si>
    <t>Typical Values for Overall Heat Transfer Coefficient</t>
  </si>
  <si>
    <t>Letter Designation</t>
  </si>
  <si>
    <t>Diameter</t>
  </si>
  <si>
    <t>Reactive Relief with Mis-Loading</t>
  </si>
  <si>
    <t>Failure of sight glass from thermal stress, fatigue, etc.</t>
  </si>
  <si>
    <t>VSP</t>
  </si>
  <si>
    <t>Inhibited Monomer?</t>
  </si>
  <si>
    <t>Operator does not add inhibitor or adds a contaminant from corrosion, etc.</t>
  </si>
  <si>
    <t>Operator forgets to start agitation or enters low temperature set point</t>
  </si>
  <si>
    <t>Potential for Mis-Loading of Reactants?</t>
  </si>
  <si>
    <t>Relief Set Point</t>
  </si>
  <si>
    <t>External Heat Input</t>
  </si>
  <si>
    <t xml:space="preserve">Total Scenarios = </t>
  </si>
  <si>
    <t>Detected Onset, T0 (C)</t>
  </si>
  <si>
    <t>ARC Detected Rate, R0 (C/min)</t>
  </si>
  <si>
    <t>Test Method</t>
  </si>
  <si>
    <t>Data Reference:</t>
  </si>
  <si>
    <t>Spills to Soil Require Remediation?</t>
  </si>
  <si>
    <t>within 10 m (33 ft)</t>
  </si>
  <si>
    <t>Hydrogen Sulfide</t>
  </si>
  <si>
    <t>Susceptible to Vibration Fatigue?</t>
  </si>
  <si>
    <t>Operating Pressure (gauge)</t>
  </si>
  <si>
    <t>Yes</t>
  </si>
  <si>
    <t>Calculations for Graph</t>
  </si>
  <si>
    <t xml:space="preserve">Heating Media T = </t>
  </si>
  <si>
    <t>Probability of Exposure</t>
  </si>
  <si>
    <t>Attended Operation?</t>
  </si>
  <si>
    <t xml:space="preserve">Number Potential Onsite Outdoor Impact = </t>
  </si>
  <si>
    <t>User Defined Vapor Rate</t>
  </si>
  <si>
    <t xml:space="preserve">Equipment Item: </t>
  </si>
  <si>
    <t>Primary Fuel or Waste Vent Valve Leaks while down</t>
  </si>
  <si>
    <t>Failure of Heat Transfer Fluid Flow control causing damage or unit destruction upon re-introduction of heat transfer fluid into hot dry unit</t>
  </si>
  <si>
    <t>Improper grounding of operations personnel</t>
  </si>
  <si>
    <t>Operator leaves Drain or Vent Open following unloading or clean-out</t>
  </si>
  <si>
    <t>Loss of Temperature or Pressure Control with Equipment under Stress causing Low Temperature Embrittlement Failure</t>
  </si>
  <si>
    <t>Other Failure Descriptors</t>
  </si>
  <si>
    <t>State</t>
  </si>
  <si>
    <r>
      <t xml:space="preserve"> m</t>
    </r>
    <r>
      <rPr>
        <vertAlign val="superscript"/>
        <sz val="10"/>
        <rFont val="Arial Narrow"/>
        <family val="2"/>
      </rPr>
      <t>2</t>
    </r>
  </si>
  <si>
    <t>Benzyldimethylamine (BDMA)</t>
  </si>
  <si>
    <t>Feed Control Valve Closes on Blower Failure or Loss of Air Flow (low air/fuel ratio)</t>
  </si>
  <si>
    <t xml:space="preserve">Distance to Fence Line = </t>
  </si>
  <si>
    <t>Outcome</t>
  </si>
  <si>
    <t>Consequence</t>
  </si>
  <si>
    <t>Initiating Event Factor</t>
  </si>
  <si>
    <t>Connection Type</t>
  </si>
  <si>
    <t>SD_Gen_14</t>
  </si>
  <si>
    <t>SD_Gen_18</t>
  </si>
  <si>
    <t>SD_Gen_23</t>
  </si>
  <si>
    <t>SD_Gen_24</t>
  </si>
  <si>
    <t>SD_Gen_25</t>
  </si>
  <si>
    <t>SD_Gen_27</t>
  </si>
  <si>
    <t>SD_Gen_26</t>
  </si>
  <si>
    <t>SD_Gen_28</t>
  </si>
  <si>
    <t>SD_Gen_29</t>
  </si>
  <si>
    <t>SD_Gen_50</t>
  </si>
  <si>
    <t>SD_Gen_51</t>
  </si>
  <si>
    <t>SD_Gen_53</t>
  </si>
  <si>
    <t>SD_Gen_54</t>
  </si>
  <si>
    <t>SD_Gen_55</t>
  </si>
  <si>
    <t>SD_Gen_56</t>
  </si>
  <si>
    <t>SD_Gen_57</t>
  </si>
  <si>
    <t>SD_Gen_58</t>
  </si>
  <si>
    <t>SD_Gen_59</t>
  </si>
  <si>
    <t>SD_Gen_60</t>
  </si>
  <si>
    <t>SD_Gen_62</t>
  </si>
  <si>
    <t>SD_Gen_63</t>
  </si>
  <si>
    <t>SD_Gen_64</t>
  </si>
  <si>
    <t>SD_Gen_65</t>
  </si>
  <si>
    <t>SD_Gen_66</t>
  </si>
  <si>
    <t>SD_Gen_67</t>
  </si>
  <si>
    <t>SD_Gen_52</t>
  </si>
  <si>
    <t>Catalyzed Reaction?</t>
  </si>
  <si>
    <t>isoPropyl amine (anhy)</t>
  </si>
  <si>
    <t>Failure from corrosion, alignment, low flow, etc.  Consider Operator response to mechanical seal or containment failure alarm for additional credit</t>
  </si>
  <si>
    <t>Spill associated with improper connection of hose or loading arm</t>
  </si>
  <si>
    <t>Spill associated with Damage or Puncture from Drum or Iso Handling</t>
  </si>
  <si>
    <t>Spill associated with Damage or Punction from Vehicle Impact or during Maintenance (Critical Lift)</t>
  </si>
  <si>
    <t>Spill associated with Hose Failure</t>
  </si>
  <si>
    <t>SD_MI_2</t>
  </si>
  <si>
    <t>SD_MI_3</t>
  </si>
  <si>
    <t>SD_MI_4</t>
  </si>
  <si>
    <t>SD_MI_5</t>
  </si>
  <si>
    <t>SD_MI_6</t>
  </si>
  <si>
    <t>SD_MI_7</t>
  </si>
  <si>
    <t>Potential for Mechanical Spark inside of process equipment</t>
  </si>
  <si>
    <t>Minimum Ignition Energy exceeds 300 mJ which represents an upper limit for mechanical spark as an ignition source</t>
  </si>
  <si>
    <t>Tool Version Used for Last Calc</t>
  </si>
  <si>
    <r>
      <t xml:space="preserve">Thermal Inertia (ARC or other), </t>
    </r>
    <r>
      <rPr>
        <sz val="10"/>
        <rFont val="Symbol"/>
        <family val="1"/>
        <charset val="2"/>
      </rPr>
      <t>f</t>
    </r>
    <r>
      <rPr>
        <sz val="10"/>
        <rFont val="Arial Narrow"/>
        <family val="2"/>
      </rPr>
      <t xml:space="preserve"> = </t>
    </r>
  </si>
  <si>
    <t>Observed Rate, C/min</t>
  </si>
  <si>
    <t>ERV</t>
  </si>
  <si>
    <t>Pilot Operated Valve</t>
  </si>
  <si>
    <t>Blocked-In with Thermal Expansion</t>
  </si>
  <si>
    <t>Melting Pt, TM (C)</t>
  </si>
  <si>
    <t>Flash Pt (C)</t>
  </si>
  <si>
    <t>Maximum Inert Press</t>
  </si>
  <si>
    <t>Maximum Inert Press Units</t>
  </si>
  <si>
    <t>Chemical completely vaporizes upon release such that no liquid pool is formed</t>
  </si>
  <si>
    <t>Equipment Elevation is greater than 30 ft such that Fire Exposure is not considered</t>
  </si>
  <si>
    <t>Independent Protection Layers Credit Factor Table</t>
  </si>
  <si>
    <t>Independent Protection Layer</t>
  </si>
  <si>
    <t>PFDs</t>
  </si>
  <si>
    <t>Regulator failure resulting in loss of inert gas flow</t>
  </si>
  <si>
    <t>C.  Material Handling and Transfer</t>
  </si>
  <si>
    <t>D.  Enclosed or Indoor Process Unit</t>
  </si>
  <si>
    <t>E.  Access</t>
  </si>
  <si>
    <t>Dryer-Spray or Fluid Bed (Solids)</t>
  </si>
  <si>
    <t>Dust Filter or Baghouse (Solids)</t>
  </si>
  <si>
    <t>Adiabatic Reaction Heat Rate</t>
  </si>
  <si>
    <t>Process Control Name</t>
  </si>
  <si>
    <t>Process Control Date</t>
  </si>
  <si>
    <t>Pressure-Rx with Pooling</t>
  </si>
  <si>
    <t xml:space="preserve">Maximum Feed Rate = </t>
  </si>
  <si>
    <t>Change History</t>
  </si>
  <si>
    <t>Worksheet</t>
  </si>
  <si>
    <t>Change</t>
  </si>
  <si>
    <t>Theoretical</t>
  </si>
  <si>
    <t>ExtHeat_List</t>
  </si>
  <si>
    <t>Excessive Vent Flow - Pad Gas Failure</t>
  </si>
  <si>
    <t>Excessive Heat Input - Mechanical Energy</t>
  </si>
  <si>
    <t>Relief Effluent Results</t>
  </si>
  <si>
    <t>Effluent Summary Prepared By</t>
  </si>
  <si>
    <t>Effluent Summary Date</t>
  </si>
  <si>
    <t>Effluent Results Case 1</t>
  </si>
  <si>
    <t>Effluent Results Case 2</t>
  </si>
  <si>
    <t>Effluent Results Case 3</t>
  </si>
  <si>
    <t>Effluent Results Case 4</t>
  </si>
  <si>
    <t>Effluent Results Case 5</t>
  </si>
  <si>
    <t>Effluent Results Case 6</t>
  </si>
  <si>
    <t>Effluent Results Case 7</t>
  </si>
  <si>
    <t>Effluent Results Case 8</t>
  </si>
  <si>
    <t>Effluent Results Case 9</t>
  </si>
  <si>
    <t>Effluent Results Case 10</t>
  </si>
  <si>
    <t>Effluent Results Case 11</t>
  </si>
  <si>
    <t>Effluent Results Case 12</t>
  </si>
  <si>
    <t>Effluent Results Case 13</t>
  </si>
  <si>
    <t>Crotonaldehyde, cis-</t>
  </si>
  <si>
    <t>bar</t>
  </si>
  <si>
    <t>J/gm C</t>
  </si>
  <si>
    <t>J/gm</t>
  </si>
  <si>
    <t xml:space="preserve">Potential for Low Temperature Embrittlement? </t>
  </si>
  <si>
    <t>75-68-3</t>
  </si>
  <si>
    <t>142-82-5</t>
  </si>
  <si>
    <t>Hexachlorobutadiene</t>
  </si>
  <si>
    <t>87-68-3</t>
  </si>
  <si>
    <t>Hexafluoroacetone</t>
  </si>
  <si>
    <t>684-16-2</t>
  </si>
  <si>
    <t>110-54-3</t>
  </si>
  <si>
    <t>Failure or leakage of relief device</t>
  </si>
  <si>
    <t>BTU/hr sq ft F</t>
  </si>
  <si>
    <t>Kg/min</t>
  </si>
  <si>
    <t>Lb/min</t>
  </si>
  <si>
    <t>Number 50</t>
  </si>
  <si>
    <t>48 mesh</t>
  </si>
  <si>
    <t>Polyethylene Glycol</t>
  </si>
  <si>
    <t xml:space="preserve">Coolant U = </t>
  </si>
  <si>
    <t>Failure of Floating Roof allowing Air Ingress</t>
  </si>
  <si>
    <t>Vent to Flare is blocked due to plugged or frozen lines</t>
  </si>
  <si>
    <t>Failure of liquid full Tubes within Fired Heater from Thermal Expansion with subsequent failure or leak with equipment damage</t>
  </si>
  <si>
    <t>Overheating and rapid pressurization upon reintroduction of heat transfer fluid into hot dry unit</t>
  </si>
  <si>
    <t>Filter/Centrifuge</t>
  </si>
  <si>
    <t>Piping</t>
  </si>
  <si>
    <t>RAST</t>
  </si>
  <si>
    <t>Potential for Deflagration within equipment such that the Maximum Deflagration Pressure (10 bar) exceeds the Maximum Allowable Working Pressure</t>
  </si>
  <si>
    <t>No Heating Media Temperature was noted</t>
  </si>
  <si>
    <t>No Mechanical Energy Input was noted</t>
  </si>
  <si>
    <t>Available Inventory is not sufficient for overfill</t>
  </si>
  <si>
    <t>Automated Suction &amp; Discharge Valves?</t>
  </si>
  <si>
    <t xml:space="preserve">  Very Large Hole Size Leak (pipe or nozzle size)</t>
  </si>
  <si>
    <t>Mechanical Integrity</t>
  </si>
  <si>
    <t>SD_Gen_1</t>
  </si>
  <si>
    <t>IED_Gen_1</t>
  </si>
  <si>
    <t>IPLD_Gen_1</t>
  </si>
  <si>
    <t>SD_MI_1</t>
  </si>
  <si>
    <t>IED_MI_1</t>
  </si>
  <si>
    <t>SD_FE_1</t>
  </si>
  <si>
    <t>IED_FE_1</t>
  </si>
  <si>
    <t>IPLD_FE_1</t>
  </si>
  <si>
    <t>SD_T_1</t>
  </si>
  <si>
    <t>SD_D_1</t>
  </si>
  <si>
    <t>IED_D_1</t>
  </si>
  <si>
    <t>IED_T_1</t>
  </si>
  <si>
    <t>Energy Summary - Mechanical Energy</t>
  </si>
  <si>
    <t xml:space="preserve">Boiling Point at Relief Set Pressure = </t>
  </si>
  <si>
    <t>OUTCOME TYPE / TARGET FACTOR VALUES</t>
  </si>
  <si>
    <t>OpTime_List</t>
  </si>
  <si>
    <t>Greater than 10%</t>
  </si>
  <si>
    <t>Psat &gt; Relief Set Pressure Normal Level?</t>
  </si>
  <si>
    <t>Reaction Explosion to 1 psi Off-site?</t>
  </si>
  <si>
    <t>Distillation</t>
  </si>
  <si>
    <t>Extraction</t>
  </si>
  <si>
    <t>200 mesh</t>
  </si>
  <si>
    <t>37 micron</t>
  </si>
  <si>
    <t>Number 400</t>
  </si>
  <si>
    <t>400 mesh</t>
  </si>
  <si>
    <t>Uncontrolled Reaction - Mis-Loading</t>
  </si>
  <si>
    <t>SRPS1</t>
  </si>
  <si>
    <t>SRPS2</t>
  </si>
  <si>
    <t>General Description</t>
  </si>
  <si>
    <t>Pressure Relief Design</t>
  </si>
  <si>
    <t>Drain Valve Size</t>
  </si>
  <si>
    <t>Loss of vacuum in the combustion chamber with release of vapor feed</t>
  </si>
  <si>
    <t>Scenario Definition</t>
  </si>
  <si>
    <t>Truck driver or equipment operator misjudges clearance resulting in damage or collision</t>
  </si>
  <si>
    <t>Failure of Expansion Joint from fatigue, etc.</t>
  </si>
  <si>
    <t xml:space="preserve">Vapor Cloud Explosion Distance to 1 psi = </t>
  </si>
  <si>
    <t>Approvals</t>
  </si>
  <si>
    <t>Dip Pipe or Bottom Fill with Conductive Fluid (reduced probability for Static Ignition)</t>
  </si>
  <si>
    <t>Replace Cost including Business Loss</t>
  </si>
  <si>
    <t>Blender/Mixer-High Speed (Solids)</t>
  </si>
  <si>
    <t>Conveyor-Mechanical (Solids)</t>
  </si>
  <si>
    <t>Incl Heat Trans =</t>
  </si>
  <si>
    <t>Average Heat Transfer Rate to Rupture =</t>
  </si>
  <si>
    <t xml:space="preserve">Number of Building Occupants = </t>
  </si>
  <si>
    <t>No. Enclosed Area Personnel =</t>
  </si>
  <si>
    <t>Physical Explosion to 1 psi Off-site?</t>
  </si>
  <si>
    <t>Drum/IBC Handling</t>
  </si>
  <si>
    <t>Seal Type</t>
  </si>
  <si>
    <t>Relief Size Units</t>
  </si>
  <si>
    <t xml:space="preserve">Relief Type = </t>
  </si>
  <si>
    <t>Relief Type</t>
  </si>
  <si>
    <t xml:space="preserve">Ease of Ignition = </t>
  </si>
  <si>
    <t>Temperature at Reliet Set Pressure and Burst</t>
  </si>
  <si>
    <t>Current Version:</t>
  </si>
  <si>
    <t>75-31-0</t>
  </si>
  <si>
    <t>Chemical Properties</t>
  </si>
  <si>
    <t>Probability of Exposure (Presence Factor)</t>
  </si>
  <si>
    <t>Title:</t>
  </si>
  <si>
    <t xml:space="preserve">Max Mechanical Energy Temperature &gt; TNR? </t>
  </si>
  <si>
    <t>141-78-6</t>
  </si>
  <si>
    <t>140-88-5</t>
  </si>
  <si>
    <t>Ethyl Benzene</t>
  </si>
  <si>
    <t>100-41-4</t>
  </si>
  <si>
    <t>595 micron</t>
  </si>
  <si>
    <t>Number 5</t>
  </si>
  <si>
    <t>Reactive Relief with Catalyst</t>
  </si>
  <si>
    <t>Chemical Comments</t>
  </si>
  <si>
    <t>Penalty Factor Range</t>
  </si>
  <si>
    <t>Uncontrolled Reaction - Pooling of Reactants</t>
  </si>
  <si>
    <t>Tank Truck/Rail Car/Tote</t>
  </si>
  <si>
    <t xml:space="preserve">Distance to Occupied Bldg = </t>
  </si>
  <si>
    <t>personnel/sq m</t>
  </si>
  <si>
    <t xml:space="preserve">NFPA Flammability = </t>
  </si>
  <si>
    <t xml:space="preserve">Lat Ht B = </t>
  </si>
  <si>
    <t>Vap Pres B =</t>
  </si>
  <si>
    <t>Vap Pres A =</t>
  </si>
  <si>
    <t>cm</t>
  </si>
  <si>
    <t>Composition-Contaminants</t>
  </si>
  <si>
    <t>Composition-Wrong Concentration</t>
  </si>
  <si>
    <t>A.  Toxic Materials</t>
  </si>
  <si>
    <t>Radius of Exposure   …………………..</t>
  </si>
  <si>
    <t>Cyclohexanone</t>
  </si>
  <si>
    <t>108-94-1</t>
  </si>
  <si>
    <t>Plant Section or Sub-Area</t>
  </si>
  <si>
    <t>Tyler</t>
  </si>
  <si>
    <t xml:space="preserve">Fire Heat at Relief Set = </t>
  </si>
  <si>
    <t>Introduction of Foreign Material</t>
  </si>
  <si>
    <t xml:space="preserve">Pipe Length = </t>
  </si>
  <si>
    <t>Drainage Credit?</t>
  </si>
  <si>
    <t xml:space="preserve">  Physical State</t>
  </si>
  <si>
    <t xml:space="preserve">Estimated Boiling Point = </t>
  </si>
  <si>
    <t>Initiating Event Descriptions</t>
  </si>
  <si>
    <t>Relief Size (eq diameter)</t>
  </si>
  <si>
    <t>Solids Mean Particle Size (micron)</t>
  </si>
  <si>
    <t>USER DEFINED LEAK RATE</t>
  </si>
  <si>
    <t xml:space="preserve">Relief Size = </t>
  </si>
  <si>
    <t>Typical Safety Valve Orifice Sizes (per API)</t>
  </si>
  <si>
    <t>Minimum Ignition Energy exceeds 100 mJ which represents an upper limit for Electrostatic discharge as an ignition source</t>
  </si>
  <si>
    <t>SD_D_2</t>
  </si>
  <si>
    <t>SD_D_3</t>
  </si>
  <si>
    <t>SD_D_4</t>
  </si>
  <si>
    <t>SD_D_5</t>
  </si>
  <si>
    <t>SD_D_6</t>
  </si>
  <si>
    <t>SD_D_7</t>
  </si>
  <si>
    <t>Spill associated with Loading Arm Failure</t>
  </si>
  <si>
    <t>SD_T_2</t>
  </si>
  <si>
    <t>SD_T_3</t>
  </si>
  <si>
    <t>SD_T_4</t>
  </si>
  <si>
    <t>SD_T_5</t>
  </si>
  <si>
    <t>SD_T_6</t>
  </si>
  <si>
    <t>SD_T_7</t>
  </si>
  <si>
    <t>Maximum Reaction Pressure may exceed the equipment Maximum Allowable Working Pressure or Relief Set Pressure</t>
  </si>
  <si>
    <t>Hose or Loading Arm Connection</t>
  </si>
  <si>
    <t>DermalTox_List</t>
  </si>
  <si>
    <t>User Defined Liquid Rate</t>
  </si>
  <si>
    <t xml:space="preserve"> C</t>
  </si>
  <si>
    <t>Instruments Failed in Initiating Event</t>
  </si>
  <si>
    <t>Ignition Probability Accounted for in Overall Pool Fire Frequency</t>
  </si>
  <si>
    <t>Maximum Feed Press Units</t>
  </si>
  <si>
    <t>Maximum Inert Rate</t>
  </si>
  <si>
    <t>Maximum Inert Rate Units</t>
  </si>
  <si>
    <t>ERPG2
(ppm)</t>
  </si>
  <si>
    <t>ERPG3
(ppm)</t>
  </si>
  <si>
    <t>108-95-2</t>
  </si>
  <si>
    <t>75-44-5</t>
  </si>
  <si>
    <t>7719-12-2</t>
  </si>
  <si>
    <t>25322-68-3</t>
  </si>
  <si>
    <t>74-98-6</t>
  </si>
  <si>
    <t>Propyl Acetate, n-</t>
  </si>
  <si>
    <t>109-60-4</t>
  </si>
  <si>
    <t>115-07-1</t>
  </si>
  <si>
    <t>57-55-6</t>
  </si>
  <si>
    <t>75-56-9</t>
  </si>
  <si>
    <t>110-86-1</t>
  </si>
  <si>
    <t>100-42-5</t>
  </si>
  <si>
    <t>7446-09-5</t>
  </si>
  <si>
    <t>7664-93-9</t>
  </si>
  <si>
    <t>7791-25-5</t>
  </si>
  <si>
    <t>Maximum Temperature from Mechanical Energy Input exceeds the Temperature of No Return and Maximum Reaction Pressure may exceed the equipment Maximum Allowable Working Pressure or Relief Set Pressure</t>
  </si>
  <si>
    <t>Exothermic Reaction or formation of gaseous products with Potential for Catalytic Impurity noted</t>
  </si>
  <si>
    <t>Exothermic Reaction or formation of gaseous products with Potential for Pooling of Reactants noted</t>
  </si>
  <si>
    <t>Exothermic Reaction or formation of gaseous products with Potential for Misloading noted</t>
  </si>
  <si>
    <t>Exothermic Reaction or formation of gaseous products with Potential for Incompatible Materials noted</t>
  </si>
  <si>
    <t>Maximum Temperature from Mechanical Energy Input exceeds the Temperature of No Return - Addressed as Pump Deadhead Scenario</t>
  </si>
  <si>
    <t>SD_Rx_2</t>
  </si>
  <si>
    <t>SD_Rx_3</t>
  </si>
  <si>
    <t>SD_Rx_4</t>
  </si>
  <si>
    <t>SD_Rx_5</t>
  </si>
  <si>
    <t>Loss of cooling or refrigeration capability (power, instrument air, etc.)</t>
  </si>
  <si>
    <t>Hydraulic surge resulting from rapid closure of valve or sudden start-up of pump in long pipeline</t>
  </si>
  <si>
    <t>35 mesh</t>
  </si>
  <si>
    <t xml:space="preserve">Building Explosion Energy = </t>
  </si>
  <si>
    <t>DHv
(cal/g)
B Coeff</t>
  </si>
  <si>
    <t>USER DEFINED Enabling Factor = 0</t>
  </si>
  <si>
    <t>USER DEFINED Enabling Factor = -1</t>
  </si>
  <si>
    <t>Butadiene (1,3)</t>
  </si>
  <si>
    <t>LIQUID RELEASE - ENVIRONMENTAL IMPACT</t>
  </si>
  <si>
    <t>OUTCOME SUMMARY</t>
  </si>
  <si>
    <t>INCIDENT TYPE</t>
  </si>
  <si>
    <t>Carbon Tetrachloride</t>
  </si>
  <si>
    <t>Benzene</t>
  </si>
  <si>
    <t>Butane</t>
  </si>
  <si>
    <t>Butanol (n)</t>
  </si>
  <si>
    <t>Harmful</t>
  </si>
  <si>
    <t>NA</t>
  </si>
  <si>
    <t>Dimethyl Formamide</t>
  </si>
  <si>
    <t>Sieve Designation</t>
  </si>
  <si>
    <t>Sieve Opening</t>
  </si>
  <si>
    <t xml:space="preserve">Solids Leak Rate, S = </t>
  </si>
  <si>
    <t>Adsorber/Scrubber</t>
  </si>
  <si>
    <t>Tube failure caused by overfiring or direct flame impingement resulting in heating fluid leak into combustion chamber</t>
  </si>
  <si>
    <t>Fire &amp; Explosion Index (F&amp;EI)</t>
  </si>
  <si>
    <t xml:space="preserve">Heat Transfer Area = </t>
  </si>
  <si>
    <t xml:space="preserve">Occupied Bldg Ventilation Rate = </t>
  </si>
  <si>
    <t>Consequence Analysis</t>
  </si>
  <si>
    <t xml:space="preserve">Number Potential Onsite Flammable Impact = </t>
  </si>
  <si>
    <t>Heat Up Rate (cal/gm-min)</t>
  </si>
  <si>
    <t>Total TMR (min)</t>
  </si>
  <si>
    <t>Reaction TMR (min)</t>
  </si>
  <si>
    <t>Starting Temp (deg C)</t>
  </si>
  <si>
    <t>Reaction T (deg C)</t>
  </si>
  <si>
    <t>Time to Relief (min)</t>
  </si>
  <si>
    <t>Vapor Press
(atm)
B Coeff</t>
  </si>
  <si>
    <t>Detail Description</t>
  </si>
  <si>
    <t>Phenol</t>
  </si>
  <si>
    <t>Internal Deflagration</t>
  </si>
  <si>
    <t>Rupture at Operating Temperature</t>
  </si>
  <si>
    <t>Rupture at Saturation Temperature</t>
  </si>
  <si>
    <t>Drain Valve Units</t>
  </si>
  <si>
    <t xml:space="preserve">Drain Size = </t>
  </si>
  <si>
    <t xml:space="preserve">Expl Overpressure at Distance to Occ Bldg 2,  psi = </t>
  </si>
  <si>
    <t xml:space="preserve">Distance to Occupied Bldg 2 = </t>
  </si>
  <si>
    <t>Overpressure at Occ Building 2 Distance (psi)</t>
  </si>
  <si>
    <t xml:space="preserve">Number Occupied Building 2 Impact = </t>
  </si>
  <si>
    <t>Estimated Occupied Building 2 Vulnerability</t>
  </si>
  <si>
    <t>POI Factor</t>
  </si>
  <si>
    <t>Descriptor</t>
  </si>
  <si>
    <t>Epichlorohydrin</t>
  </si>
  <si>
    <t xml:space="preserve">T at Relief Set </t>
  </si>
  <si>
    <t>TMR (min)</t>
  </si>
  <si>
    <t>Reaction with Fire</t>
  </si>
  <si>
    <t>Data for Table</t>
  </si>
  <si>
    <t>120-83-2</t>
  </si>
  <si>
    <t>Vinyl Chloride</t>
  </si>
  <si>
    <t>Vinylidene Chloride</t>
  </si>
  <si>
    <t xml:space="preserve">Explosion Distance to 1 psi = </t>
  </si>
  <si>
    <t>Gasket Failure</t>
  </si>
  <si>
    <t>Airborne Quantity</t>
  </si>
  <si>
    <t>Equipment Identification</t>
  </si>
  <si>
    <t xml:space="preserve">  Equipment Rupture at Operating Conditions</t>
  </si>
  <si>
    <t>Heat Transfer Area - Units</t>
  </si>
  <si>
    <t>Operating Temperature</t>
  </si>
  <si>
    <t>Outcome Summary</t>
  </si>
  <si>
    <t>Included or Excluded from Scenario ID</t>
  </si>
  <si>
    <t xml:space="preserve">Mechanical Energy Tmax at Normal Level = </t>
  </si>
  <si>
    <t>B.  Sub-Atmospheric Pressure (&lt;500 mmHG)</t>
  </si>
  <si>
    <t xml:space="preserve">  Environmental Release to Ground or Water</t>
  </si>
  <si>
    <t xml:space="preserve">Spill to Water  </t>
  </si>
  <si>
    <t xml:space="preserve">QPR Trial 6 = </t>
  </si>
  <si>
    <t xml:space="preserve">QMR Trial 6 = </t>
  </si>
  <si>
    <t>TEH Trial 6 =</t>
  </si>
  <si>
    <t>TCR Trial 6 =</t>
  </si>
  <si>
    <t>TPR Trial 6 =</t>
  </si>
  <si>
    <t>TMR Trial 6 =</t>
  </si>
  <si>
    <t>Limit TCR</t>
  </si>
  <si>
    <t>Reaction Screening Calculations</t>
  </si>
  <si>
    <t>Distance to Occupied Bldg 2</t>
  </si>
  <si>
    <t>Single Mechanical Seal Failure</t>
  </si>
  <si>
    <t>Fuel Accumulation while Down</t>
  </si>
  <si>
    <t>Drum Oven</t>
  </si>
  <si>
    <t>MAWP Units</t>
  </si>
  <si>
    <t>Lb/hr</t>
  </si>
  <si>
    <t>lb/cu ft</t>
  </si>
  <si>
    <t>BTU/lb F</t>
  </si>
  <si>
    <t>BTU/lb</t>
  </si>
  <si>
    <t>ExcludeMI_List</t>
  </si>
  <si>
    <t>Only MI</t>
  </si>
  <si>
    <t xml:space="preserve">Activation Energy = </t>
  </si>
  <si>
    <t>Ignition_List</t>
  </si>
  <si>
    <t>Flame_List</t>
  </si>
  <si>
    <t>DustDefl_List</t>
  </si>
  <si>
    <t>NFPA_List</t>
  </si>
  <si>
    <t>InhalTox_List</t>
  </si>
  <si>
    <t>Scenario Description</t>
  </si>
  <si>
    <t>FiredEq_List</t>
  </si>
  <si>
    <t xml:space="preserve">Heat Input Rate = </t>
  </si>
  <si>
    <t xml:space="preserve">ERPG-1 or Odor (ppm) = </t>
  </si>
  <si>
    <t>ERPG1
(ppm)</t>
  </si>
  <si>
    <t>P&amp;ID Number</t>
  </si>
  <si>
    <t>In Operation &gt; 10%</t>
  </si>
  <si>
    <t>SCENARIO TYPE</t>
  </si>
  <si>
    <t>Fire Heat Input = Reaction Heat</t>
  </si>
  <si>
    <t xml:space="preserve">Enclosed Process Volume = </t>
  </si>
  <si>
    <t>Bldg Explosion to 1 psi Off-site?</t>
  </si>
  <si>
    <t>108-10-1</t>
  </si>
  <si>
    <t>Session Date</t>
  </si>
  <si>
    <t>Solar Input for Relief Location</t>
  </si>
  <si>
    <t>Wind Speed for Relief Location</t>
  </si>
  <si>
    <t>Probability of Explosion Factor =</t>
  </si>
  <si>
    <t xml:space="preserve">Probability of Ignition Factor = </t>
  </si>
  <si>
    <t>Loss of Pilot or Ignition</t>
  </si>
  <si>
    <t>Operating Temperature Units</t>
  </si>
  <si>
    <t>Overpressure at Occ Building Distance (psi)</t>
  </si>
  <si>
    <t>Relief Set Pressure Units</t>
  </si>
  <si>
    <t>Nozzle or Pipe Units</t>
  </si>
  <si>
    <t>Piping Length</t>
  </si>
  <si>
    <t>Piping Length Units</t>
  </si>
  <si>
    <t>Equipment or Vessel Surface Area</t>
  </si>
  <si>
    <t>Surface Area Units</t>
  </si>
  <si>
    <t xml:space="preserve">  Liquid Relief Size Leak</t>
  </si>
  <si>
    <t>Gap in Layers of Protection</t>
  </si>
  <si>
    <t>2 - 2.5</t>
  </si>
  <si>
    <t>Ethyl Hexanol (2-)</t>
  </si>
  <si>
    <t>Ethylene</t>
  </si>
  <si>
    <t>D.  Dust Explosion</t>
  </si>
  <si>
    <t>E.  Pressure</t>
  </si>
  <si>
    <t>108-31-6</t>
  </si>
  <si>
    <t xml:space="preserve">Equipment Explosion Source Strength = </t>
  </si>
  <si>
    <t>Calc Initiating Event Factor</t>
  </si>
  <si>
    <t>Procedure Failure Rate</t>
  </si>
  <si>
    <t>Adjusted NFPA Reactivity</t>
  </si>
  <si>
    <t>Consequence Analysis Reference</t>
  </si>
  <si>
    <t>Piping or Equipment Leak (Medium Hole Size)</t>
  </si>
  <si>
    <t>Aquatic Toxicity =</t>
  </si>
  <si>
    <t>Dermal Toxicity =</t>
  </si>
  <si>
    <t>Regulator Fails causing low flow of vapor or inert gas allowing vacuum during emptying of equipment</t>
  </si>
  <si>
    <t>Operator adds wrong material leading un unexpected reaction</t>
  </si>
  <si>
    <t>Dispersion Parameters</t>
  </si>
  <si>
    <t xml:space="preserve">User Defined Hole Size = </t>
  </si>
  <si>
    <t xml:space="preserve">User Defined Leak Rate = </t>
  </si>
  <si>
    <t>gal/min</t>
  </si>
  <si>
    <t>Feed Density</t>
  </si>
  <si>
    <t>Pad gas Density</t>
  </si>
  <si>
    <t>Volumetric Inert Rate</t>
  </si>
  <si>
    <t>Volumetric Feed Rate</t>
  </si>
  <si>
    <t>Kg/sec,Kg/min,Kg/hr,Lb/sec,Lb/min,Lb/hr</t>
  </si>
  <si>
    <t>Corrosive or Stress Cracking Potential?</t>
  </si>
  <si>
    <t>Process Equipment in Group A</t>
  </si>
  <si>
    <t>75-35-4</t>
  </si>
  <si>
    <t>7732-18-5</t>
  </si>
  <si>
    <t>Xylene, m-</t>
  </si>
  <si>
    <t>108-38-3</t>
  </si>
  <si>
    <t>Flash Fire (Solids) Distance =</t>
  </si>
  <si>
    <t>Scenarios Related to Light Off of Combustion Unit</t>
  </si>
  <si>
    <t>Scenarios Related to Operation of Combustion Unit</t>
  </si>
  <si>
    <t>Scenarios Related to Combustion Unit Shut Down</t>
  </si>
  <si>
    <t>Scenarios Related to Process Heater, Quench or Deaerator</t>
  </si>
  <si>
    <t>Initiating Event Related to Light Off of Combustion Unit</t>
  </si>
  <si>
    <t>Protective Layers Related to Light Off of Combustion Unit</t>
  </si>
  <si>
    <t>Accumulation of unburned fuel into a cold combustion chamber may cause an undesired fire or explosion</t>
  </si>
  <si>
    <t>Ignitor Failure with continued addition of fuel from pilot and delayed ignition.  (Time at risk may not apply as ignitor failure can occur at any time prior to use.)</t>
  </si>
  <si>
    <t>Accumulation of unburned fuel into a hot combustion chamber where components may be above the autoignition temperature.</t>
  </si>
  <si>
    <t>Loss of flame from high gas nozzle pressure with continued addition of fuel and delayed ignition</t>
  </si>
  <si>
    <t>Liquid feed to flare causing release of flaming "rain"</t>
  </si>
  <si>
    <t>Intermittent loss of fuel due to empty tank or regulator failure resulting in loss of flame and delayed ignition.</t>
  </si>
  <si>
    <t>Low vent pressure or high temperature at flame arrestor closes feed valve</t>
  </si>
  <si>
    <t>Inadequate</t>
  </si>
  <si>
    <t>Fired Equipment - Incinerator or TTU</t>
  </si>
  <si>
    <t>Indoor Process Area Conc (Toxic) =</t>
  </si>
  <si>
    <t>(in2)</t>
  </si>
  <si>
    <t xml:space="preserve">Melting Point, TM (C) = </t>
  </si>
  <si>
    <t xml:space="preserve">Boil Point, TB (C) = </t>
  </si>
  <si>
    <t>Flash Pt (C) =</t>
  </si>
  <si>
    <t>Pressure Relief Device</t>
  </si>
  <si>
    <t>Activation Energy (Kcal/gm mol)</t>
  </si>
  <si>
    <t>Gas Generation (gm mol/cc mix)</t>
  </si>
  <si>
    <t xml:space="preserve">QFire = </t>
  </si>
  <si>
    <t xml:space="preserve">QCR Trial 1 = </t>
  </si>
  <si>
    <t xml:space="preserve">QPR Trial 1 = </t>
  </si>
  <si>
    <t xml:space="preserve">QMR Trial 1 = </t>
  </si>
  <si>
    <t>TEH Trial 1 =</t>
  </si>
  <si>
    <t xml:space="preserve">TFire = </t>
  </si>
  <si>
    <t>TCR Trial 1 =</t>
  </si>
  <si>
    <t>TPR Trial 1 =</t>
  </si>
  <si>
    <t>TMR Trial 1 =</t>
  </si>
  <si>
    <t xml:space="preserve">QNR Trial 2 = </t>
  </si>
  <si>
    <t xml:space="preserve">QEH Trial 2 = </t>
  </si>
  <si>
    <t xml:space="preserve">QCR Trial 2 = </t>
  </si>
  <si>
    <t xml:space="preserve">QPR Trial 2 = </t>
  </si>
  <si>
    <t xml:space="preserve">QMR Trial 2 = </t>
  </si>
  <si>
    <t>TNR Trial 2 =</t>
  </si>
  <si>
    <t>TEH Trial 2 =</t>
  </si>
  <si>
    <t>TCR Trial 2 =</t>
  </si>
  <si>
    <t>TPR Trial 2 =</t>
  </si>
  <si>
    <t>TMR Trial 2 =</t>
  </si>
  <si>
    <t xml:space="preserve">QNR Trial 3 = </t>
  </si>
  <si>
    <t xml:space="preserve">QEH Trial 3 = </t>
  </si>
  <si>
    <t xml:space="preserve">  Equipment Rupture at Saturation Conditions</t>
  </si>
  <si>
    <t>Potential Exposure of Occupied Bldg to 1 psi?</t>
  </si>
  <si>
    <t>Public Required to Shelter Indoors</t>
  </si>
  <si>
    <t>7664-41-7</t>
  </si>
  <si>
    <t>Ammonia</t>
  </si>
  <si>
    <t>Mechanical Energy - Vapor Relief</t>
  </si>
  <si>
    <t>Benzoyl chloride</t>
  </si>
  <si>
    <t>98-88-4</t>
  </si>
  <si>
    <t>Risk Analysis Screening Tools</t>
  </si>
  <si>
    <t>Potential for "Pooling" of Reactants?</t>
  </si>
  <si>
    <t>Failure of Combustion Air Flow with Continued Addition of Fuel</t>
  </si>
  <si>
    <t>Loss or Depletion of Inhibitor results in Uncontrolled Exothermic Reaction</t>
  </si>
  <si>
    <t>IED_Rx_9</t>
  </si>
  <si>
    <t>IPLD_FE_8</t>
  </si>
  <si>
    <t>BPCS Instrument Loop Failure</t>
  </si>
  <si>
    <t>Operator Failure Action more than once per quarter</t>
  </si>
  <si>
    <t>Operator Failure Action once per quarter or less</t>
  </si>
  <si>
    <t>Unloading/Loading Hose Failure</t>
  </si>
  <si>
    <t>Canned/Magnetic Drive Pump Failure</t>
  </si>
  <si>
    <t>106-89-8</t>
  </si>
  <si>
    <t>74-84-0</t>
  </si>
  <si>
    <t>Number 18</t>
  </si>
  <si>
    <t>Number 20</t>
  </si>
  <si>
    <t>Downstream Pressure (gauge) =</t>
  </si>
  <si>
    <t>Ethyl Chloroformate</t>
  </si>
  <si>
    <t>Overpressure at Occ Bldg Center-Physical Explosion (psi)</t>
  </si>
  <si>
    <t>Overpressure at Occ Bldg Center-Reactive Explosion (psi)</t>
  </si>
  <si>
    <t>Second Phase Chemical 3?</t>
  </si>
  <si>
    <t>2.5 - 3</t>
  </si>
  <si>
    <t>3 - 4</t>
  </si>
  <si>
    <t>4 - 6</t>
  </si>
  <si>
    <t>8 - 10</t>
  </si>
  <si>
    <t xml:space="preserve">External Heat at Relief Set = </t>
  </si>
  <si>
    <t>Dust Deflagration Class</t>
  </si>
  <si>
    <t>Dust Minimum Ignition Energy</t>
  </si>
  <si>
    <t xml:space="preserve">Time to Relief = </t>
  </si>
  <si>
    <t>Chloromethylmethyl Ether</t>
  </si>
  <si>
    <t>Bromine</t>
  </si>
  <si>
    <t>Mechanical Intrgrity Initiating Event Factors:</t>
  </si>
  <si>
    <t xml:space="preserve"> </t>
  </si>
  <si>
    <t>Ground</t>
  </si>
  <si>
    <t>Casing Coolant Leak resulting in Corrosion and subsequent leak</t>
  </si>
  <si>
    <t>BTU/hr</t>
  </si>
  <si>
    <t>Dissolved Solids</t>
  </si>
  <si>
    <t>Solids (Organic)</t>
  </si>
  <si>
    <t>Nitrogen Dioxide</t>
  </si>
  <si>
    <t xml:space="preserve">Maximum Contained Mass = </t>
  </si>
  <si>
    <t>Chemical Exposure Index (CEI)</t>
  </si>
  <si>
    <t>Plant Section</t>
  </si>
  <si>
    <t xml:space="preserve">1/2 LFL Onsite Impact Area = </t>
  </si>
  <si>
    <t xml:space="preserve">Standard uninhibited polymerization data </t>
  </si>
  <si>
    <t xml:space="preserve">ERPG-2 (ppm) = </t>
  </si>
  <si>
    <t>Outdoors</t>
  </si>
  <si>
    <t>Access_List</t>
  </si>
  <si>
    <t>Adequate</t>
  </si>
  <si>
    <t>Partially Adequate</t>
  </si>
  <si>
    <t>Incl Mech Eng =</t>
  </si>
  <si>
    <t>0.20 to 0.35</t>
  </si>
  <si>
    <t>Acrylonitrile</t>
  </si>
  <si>
    <t>Tool</t>
  </si>
  <si>
    <t>Number Potential Impact by Liquid (or Vapor) Spray</t>
  </si>
  <si>
    <t>Equivalent Discharge Velocity</t>
  </si>
  <si>
    <t>Table 1 - Material Factor Table for Key Chemical</t>
  </si>
  <si>
    <t>Time to Rupture Temperature</t>
  </si>
  <si>
    <t xml:space="preserve">  Large Hole Size Leak (pipe or nozzle size)</t>
  </si>
  <si>
    <t xml:space="preserve">  Overflow / Relief Release</t>
  </si>
  <si>
    <t>Chemical</t>
  </si>
  <si>
    <t>Heat Up Time (min)</t>
  </si>
  <si>
    <t>Loss of electric heater control</t>
  </si>
  <si>
    <t>Gray = Consequence does not exceed threshold criteria for continuing with LOPA</t>
  </si>
  <si>
    <t>User Values</t>
  </si>
  <si>
    <t>High Temperature Closes Heating Media Valve</t>
  </si>
  <si>
    <t>Pressure Control failure with formation of Gaseous Products</t>
  </si>
  <si>
    <t>IED_Rx_2</t>
  </si>
  <si>
    <t>IED_Rx_3</t>
  </si>
  <si>
    <t>IED_Rx_4</t>
  </si>
  <si>
    <t>IED_Rx_5</t>
  </si>
  <si>
    <t>IED_Rx_6</t>
  </si>
  <si>
    <t>IED_Rx_7</t>
  </si>
  <si>
    <t>IED_Rx_8</t>
  </si>
  <si>
    <t>IPLD_FE_30</t>
  </si>
  <si>
    <t>Screener or Sieve (Solids)</t>
  </si>
  <si>
    <t>Standard</t>
  </si>
  <si>
    <t>Consider number of air changes per time desired of the equipment or building volume.</t>
  </si>
  <si>
    <t>cu m/min</t>
  </si>
  <si>
    <t>liter/min</t>
  </si>
  <si>
    <t>J.  Use of Fired Equipment</t>
  </si>
  <si>
    <t>Comments</t>
  </si>
  <si>
    <t xml:space="preserve">  Case Number   ………………………..</t>
  </si>
  <si>
    <t>CEI</t>
  </si>
  <si>
    <t>Date</t>
  </si>
  <si>
    <t>By</t>
  </si>
  <si>
    <t>All</t>
  </si>
  <si>
    <t>Ken First</t>
  </si>
  <si>
    <t>Total Reaction Heat</t>
  </si>
  <si>
    <t>Typically &lt; 1.0</t>
  </si>
  <si>
    <t xml:space="preserve">Mol Weight = </t>
  </si>
  <si>
    <t>Gas Generation (mole/liter)</t>
  </si>
  <si>
    <t>Double Containment</t>
  </si>
  <si>
    <t>BPCS Descriptions</t>
  </si>
  <si>
    <t xml:space="preserve">Fuel Reactivity = </t>
  </si>
  <si>
    <t>High Level closes Feed Valve or Shuts Off Feed Pump</t>
  </si>
  <si>
    <t xml:space="preserve">  Fraction Key Chemical</t>
  </si>
  <si>
    <t>Area</t>
  </si>
  <si>
    <t>Surface</t>
  </si>
  <si>
    <t>L/D</t>
  </si>
  <si>
    <t>Dimensionless</t>
  </si>
  <si>
    <t>lb/gal</t>
  </si>
  <si>
    <t>Conversion Table</t>
  </si>
  <si>
    <t>ft</t>
  </si>
  <si>
    <t>mm</t>
  </si>
  <si>
    <t>in</t>
  </si>
  <si>
    <t>cu ft</t>
  </si>
  <si>
    <t xml:space="preserve">Occupied Bldg 2 Type = </t>
  </si>
  <si>
    <t>Mech + Ht Trans</t>
  </si>
  <si>
    <t>Formaldehyde</t>
  </si>
  <si>
    <t>Liquid Head, Dh =</t>
  </si>
  <si>
    <t>DHv
(cal/g)
A Coeff</t>
  </si>
  <si>
    <t>Potential for Secondary Dust Explosion</t>
  </si>
  <si>
    <t>K</t>
  </si>
  <si>
    <t>M</t>
  </si>
  <si>
    <t>P</t>
  </si>
  <si>
    <t>Q</t>
  </si>
  <si>
    <t>R</t>
  </si>
  <si>
    <t>T</t>
  </si>
  <si>
    <t>Dryer-Mechanical (Solids)</t>
  </si>
  <si>
    <t>Time at Risk or Other Condition</t>
  </si>
  <si>
    <t>Reactivity Data</t>
  </si>
  <si>
    <t>Hydraulic surge pressure exceeds the Maximum Allowable Working Pressure</t>
  </si>
  <si>
    <t>Hydraulic surge pressure does Not exceed the Maximum Allowable Working Pressure</t>
  </si>
  <si>
    <t>Operator leaves Drain or Vent Open following infrequent maintenance</t>
  </si>
  <si>
    <t>5 mesh</t>
  </si>
  <si>
    <t>9 mesh</t>
  </si>
  <si>
    <t>16 mesh</t>
  </si>
  <si>
    <t>841 micron</t>
  </si>
  <si>
    <t>4 mm</t>
  </si>
  <si>
    <t>2 mm</t>
  </si>
  <si>
    <t>1 mm</t>
  </si>
  <si>
    <t>20 mesh</t>
  </si>
  <si>
    <t xml:space="preserve">Conversion at Relief Set = </t>
  </si>
  <si>
    <t xml:space="preserve">First Order Rate at Relief Set = </t>
  </si>
  <si>
    <t>Liquid in Vapor Feed</t>
  </si>
  <si>
    <t>Potential Dust Deflag outside of Equipment</t>
  </si>
  <si>
    <t>NFPA Flammability Rating</t>
  </si>
  <si>
    <t>Uncontrolled Reaction - Catalyst or Impurity</t>
  </si>
  <si>
    <t>Downstream Pressure Units</t>
  </si>
  <si>
    <t xml:space="preserve">Initial Temperature = </t>
  </si>
  <si>
    <t xml:space="preserve">Rate at Initial Temp = </t>
  </si>
  <si>
    <t>Maximum Feed Rate</t>
  </si>
  <si>
    <t>Time to Relief (or MAWP) Temperature</t>
  </si>
  <si>
    <t>In Operation &lt; 10%</t>
  </si>
  <si>
    <t>Typical Value</t>
  </si>
  <si>
    <t>Reaction-High Rate</t>
  </si>
  <si>
    <t>Reaction-Low Rate</t>
  </si>
  <si>
    <t>Reaction-Wrong Concentration</t>
  </si>
  <si>
    <t>Reaction-Contaminants</t>
  </si>
  <si>
    <t>Mass Rate</t>
  </si>
  <si>
    <t>cu ft/min</t>
  </si>
  <si>
    <t>Pressure-Low</t>
  </si>
  <si>
    <t>Pressure-High</t>
  </si>
  <si>
    <t>Tetrachloroethylene (Perchloroethylene)</t>
  </si>
  <si>
    <t>Heat of Reaction
(cal/gm mix)</t>
  </si>
  <si>
    <t>Isobutene</t>
  </si>
  <si>
    <t>Flammable Release Inside a Building for Low or Normal Ease of Ignition</t>
  </si>
  <si>
    <t>Double Mech</t>
  </si>
  <si>
    <t>Mag Drive or Canned</t>
  </si>
  <si>
    <t>Feed_List</t>
  </si>
  <si>
    <t>Continuous</t>
  </si>
  <si>
    <t>Batch</t>
  </si>
  <si>
    <t>Vent_List</t>
  </si>
  <si>
    <t xml:space="preserve">Reaction Index = </t>
  </si>
  <si>
    <t>Automated purge immediately prior to light off (5 volumes) - burner and stack dampers must be verified open</t>
  </si>
  <si>
    <t>Methyl Isobutyl Ketone</t>
  </si>
  <si>
    <t>624-83-9</t>
  </si>
  <si>
    <t>74-93-1</t>
  </si>
  <si>
    <t>Spray Distance</t>
  </si>
  <si>
    <t>BldgType_List</t>
  </si>
  <si>
    <t>108-83-8</t>
  </si>
  <si>
    <t>Di-isobutylene</t>
  </si>
  <si>
    <t xml:space="preserve">QEH Trial 4 = </t>
  </si>
  <si>
    <t xml:space="preserve">QCR Trial 4 = </t>
  </si>
  <si>
    <t xml:space="preserve">Length </t>
  </si>
  <si>
    <t xml:space="preserve">Volume </t>
  </si>
  <si>
    <t>H.  Corrosion or Erosion</t>
  </si>
  <si>
    <t>kPa</t>
  </si>
  <si>
    <t>psi</t>
  </si>
  <si>
    <t>sq ft</t>
  </si>
  <si>
    <t>Phosophorous Trichloride</t>
  </si>
  <si>
    <t xml:space="preserve">  Extremely Large Hole Size Leak (pipe or nozzle size)</t>
  </si>
  <si>
    <t>Chemical Exposure Hazard Level</t>
  </si>
  <si>
    <t>Dermal Toxicity</t>
  </si>
  <si>
    <t>0.25 to 2.00</t>
  </si>
  <si>
    <t>0.20 to 0.30</t>
  </si>
  <si>
    <t>cal/gm-mix</t>
  </si>
  <si>
    <t>Total Heat at Relief</t>
  </si>
  <si>
    <t>Seal_List</t>
  </si>
  <si>
    <t xml:space="preserve"> ppm</t>
  </si>
  <si>
    <t xml:space="preserve"> vol %</t>
  </si>
  <si>
    <t>Environmental Contamination of Local Groundwater</t>
  </si>
  <si>
    <t>Water</t>
  </si>
  <si>
    <t xml:space="preserve">NFPA Health = </t>
  </si>
  <si>
    <t xml:space="preserve">NFPA Reactivity = </t>
  </si>
  <si>
    <t>Maximum Feed Rate Units</t>
  </si>
  <si>
    <t xml:space="preserve">Reactivity Data </t>
  </si>
  <si>
    <t>Dike Area</t>
  </si>
  <si>
    <t>Post Reaction Heating to Relief Temp</t>
  </si>
  <si>
    <t>OVERFILL</t>
  </si>
  <si>
    <t>Coolant Area Units</t>
  </si>
  <si>
    <t>Coolant Heat Transfer Units</t>
  </si>
  <si>
    <t>Particle Size at 10% Fraction</t>
  </si>
  <si>
    <t>Maximum Feed Press =</t>
  </si>
  <si>
    <t>Process/Operating Conditions</t>
  </si>
  <si>
    <t xml:space="preserve">Operating Pressure = </t>
  </si>
  <si>
    <t>Acrolein</t>
  </si>
  <si>
    <t>Estimated Building Explosion Panel Vent Area</t>
  </si>
  <si>
    <t>Release Rate</t>
  </si>
  <si>
    <t>IEF=1 as determined by Tech Center &amp; Process Safety</t>
  </si>
  <si>
    <t>IEF=0 as determined by Tech Center &amp; Process Safety</t>
  </si>
  <si>
    <t>IEF=3 as determined by Tech Center &amp; Process Safety</t>
  </si>
  <si>
    <t>IEF=4 as determined by Tech Center &amp; Process Safety</t>
  </si>
  <si>
    <t>IEF=5 as determined by Tech Center &amp; Process Safety</t>
  </si>
  <si>
    <t>Mechanical Loading Arm Failure</t>
  </si>
  <si>
    <t xml:space="preserve">Equipment Type = </t>
  </si>
  <si>
    <t xml:space="preserve">Equipment Volume = </t>
  </si>
  <si>
    <t xml:space="preserve">Full Vacuum Rated? </t>
  </si>
  <si>
    <t xml:space="preserve">Insulated? </t>
  </si>
  <si>
    <t>Class 2</t>
  </si>
  <si>
    <t>Good Warning Properties?</t>
  </si>
  <si>
    <t>Bag/Pak Dumping (Solids)</t>
  </si>
  <si>
    <t>Protection</t>
  </si>
  <si>
    <t>Scenarios Related to General Loss of Containment</t>
  </si>
  <si>
    <t>Excessive Pressure from Downstream Equipment exceeds the Maximum Allowable Working Pressure</t>
  </si>
  <si>
    <t>Solids Part Size at 10% Fract (micron)</t>
  </si>
  <si>
    <t>Dust-Flam Vapor Hybrid?</t>
  </si>
  <si>
    <t>Time to Relief Set Pressure or Burst</t>
  </si>
  <si>
    <t>Fraction of Reaction Heat for Pooling</t>
  </si>
  <si>
    <t>Initiating Event General Description</t>
  </si>
  <si>
    <t>SCENARIO NO</t>
  </si>
  <si>
    <t>vol %</t>
  </si>
  <si>
    <t>Discharge_List</t>
  </si>
  <si>
    <t>Outdoors-Upwards</t>
  </si>
  <si>
    <t>Outdoors to Ground</t>
  </si>
  <si>
    <t>Peak Hydraulic Surge Pressure</t>
  </si>
  <si>
    <t>Hydraulic Surge</t>
  </si>
  <si>
    <t>Thermal Burns</t>
  </si>
  <si>
    <t>Adjustment for Operation &gt; 60 C</t>
  </si>
  <si>
    <t>Probability of Exposure Detail</t>
  </si>
  <si>
    <t>Probability of Ignition Desc</t>
  </si>
  <si>
    <t>Probability of Ignition Detail</t>
  </si>
  <si>
    <t xml:space="preserve">Liq C B = </t>
  </si>
  <si>
    <t xml:space="preserve">Lat Ht A = </t>
  </si>
  <si>
    <t>Second Phase Chemical 4?</t>
  </si>
  <si>
    <t>Aquatic Tox Risk Statement</t>
  </si>
  <si>
    <t>Heating Media Temp Units</t>
  </si>
  <si>
    <t>Total Release Quantity</t>
  </si>
  <si>
    <t>Fraction of Reaction Heat for "Pooling"</t>
  </si>
  <si>
    <t xml:space="preserve">POE for Secondary Dust Explosion = </t>
  </si>
  <si>
    <t>Acetic Anhydride</t>
  </si>
  <si>
    <t>Material of Construction</t>
  </si>
  <si>
    <t>Source/Vapor Balance</t>
  </si>
  <si>
    <t>Scrubber System</t>
  </si>
  <si>
    <t>Fired Equip (TOX- Flare)</t>
  </si>
  <si>
    <t>Fired Equipment - Combustion Unit</t>
  </si>
  <si>
    <t>SD_Rx_8</t>
  </si>
  <si>
    <t>SD_Rx_9</t>
  </si>
  <si>
    <t>SD_Rx_10</t>
  </si>
  <si>
    <t>SD_Rx_11</t>
  </si>
  <si>
    <t>SD_Rx_12</t>
  </si>
  <si>
    <t>SD_Rx_13</t>
  </si>
  <si>
    <t>SD_Rx_14</t>
  </si>
  <si>
    <t>SD_Rx_15</t>
  </si>
  <si>
    <t xml:space="preserve">Number Potential Enclosed Process Area Impact = </t>
  </si>
  <si>
    <t>107-39-1</t>
  </si>
  <si>
    <t>Diketene</t>
  </si>
  <si>
    <t>674-82-8</t>
  </si>
  <si>
    <t>68-12-2</t>
  </si>
  <si>
    <t xml:space="preserve">Potential for Corrosion Under Insulation? </t>
  </si>
  <si>
    <t>External Heat Input = Mis-Loading Reaction Heat</t>
  </si>
  <si>
    <t>Piping or Equipment Failure (Very Large Hole Size)</t>
  </si>
  <si>
    <t>Spray Impact Area</t>
  </si>
  <si>
    <t>Vapor Mol Weight</t>
  </si>
  <si>
    <t>Psat &gt; Rupture Pressure 20% Level?</t>
  </si>
  <si>
    <t>Input Units</t>
  </si>
  <si>
    <t>Estimation of Gas Generation</t>
  </si>
  <si>
    <t>atm</t>
  </si>
  <si>
    <t>m</t>
  </si>
  <si>
    <t>Kg/sec</t>
  </si>
  <si>
    <t xml:space="preserve">Release thru Vent System = </t>
  </si>
  <si>
    <t>Potential to Enter Waterway?</t>
  </si>
  <si>
    <t>Factor</t>
  </si>
  <si>
    <t>C/min</t>
  </si>
  <si>
    <t>Area_List</t>
  </si>
  <si>
    <t>Mass_List</t>
  </si>
  <si>
    <t>Vol_List</t>
  </si>
  <si>
    <t>Dist_List</t>
  </si>
  <si>
    <t>EquipVol_List</t>
  </si>
  <si>
    <t>Press_List</t>
  </si>
  <si>
    <t>Size_List</t>
  </si>
  <si>
    <t>Dust Minimum Ignition Energy (mJ)</t>
  </si>
  <si>
    <t>cal/gm</t>
  </si>
  <si>
    <t>Special Process Hazards Factor (F2)   …………………</t>
  </si>
  <si>
    <t>Equipment Tag</t>
  </si>
  <si>
    <t>Coolant Heat Transfer Area</t>
  </si>
  <si>
    <t xml:space="preserve">Area </t>
  </si>
  <si>
    <t xml:space="preserve">Mass </t>
  </si>
  <si>
    <t xml:space="preserve">Flow Rate </t>
  </si>
  <si>
    <t xml:space="preserve">Pressure </t>
  </si>
  <si>
    <t>Second Phase Reactants?</t>
  </si>
  <si>
    <t>Toxic</t>
  </si>
  <si>
    <t>Max Adiabatic Pressure =</t>
  </si>
  <si>
    <t>Failure of Floating Roof allowing Pressure Damage</t>
  </si>
  <si>
    <t xml:space="preserve">Equation Coefficient, b = </t>
  </si>
  <si>
    <t>Enclosed Process Area Volume</t>
  </si>
  <si>
    <t>Enclosed Process Area Volume Units</t>
  </si>
  <si>
    <t>Distance to Fence Line</t>
  </si>
  <si>
    <t>Data for Graph</t>
  </si>
  <si>
    <t>Incident with Potential for Class Action Lawsuit</t>
  </si>
  <si>
    <t>Off-Site Toxic Release</t>
  </si>
  <si>
    <t>Indoor Toxic Release</t>
  </si>
  <si>
    <t>ESTIMATED FIRE &amp; EXPLOSION INDEX</t>
  </si>
  <si>
    <t>Solids Spill</t>
  </si>
  <si>
    <t xml:space="preserve">Initiating Event
</t>
  </si>
  <si>
    <t>Lb</t>
  </si>
  <si>
    <t>Thionyl Chloride</t>
  </si>
  <si>
    <t>Toluene</t>
  </si>
  <si>
    <t>Equipment Rupture - Detonation/Deflagration</t>
  </si>
  <si>
    <t xml:space="preserve">Reaction Scenario Type = </t>
  </si>
  <si>
    <t>Site/Location Data</t>
  </si>
  <si>
    <t>IED_Gen_26</t>
  </si>
  <si>
    <t>IED_Gen_27</t>
  </si>
  <si>
    <t>IED_Gen_28</t>
  </si>
  <si>
    <t>IED_Gen_29</t>
  </si>
  <si>
    <t>IED_Gen_30</t>
  </si>
  <si>
    <t>IED_Gen_31</t>
  </si>
  <si>
    <t>IED_Gen_32</t>
  </si>
  <si>
    <t>IED_Gen_33</t>
  </si>
  <si>
    <t>IED_Gen_40</t>
  </si>
  <si>
    <t>IED_Gen_41</t>
  </si>
  <si>
    <t>IED_Gen_43</t>
  </si>
  <si>
    <t>IED_Gen_44</t>
  </si>
  <si>
    <t>IED_Gen_45</t>
  </si>
  <si>
    <t>IED_Gen_46</t>
  </si>
  <si>
    <t>IED_Gen_47</t>
  </si>
  <si>
    <t>IED_Gen_48</t>
  </si>
  <si>
    <t>IED_Gen_50</t>
  </si>
  <si>
    <t>IED_Gen_51</t>
  </si>
  <si>
    <t>IED_Gen_52</t>
  </si>
  <si>
    <t>Temp with External Heat</t>
  </si>
  <si>
    <t>Temp with Fire</t>
  </si>
  <si>
    <t>Temp with Catalyst</t>
  </si>
  <si>
    <t>Reaction with Catalyst</t>
  </si>
  <si>
    <t>Temp with Pooling</t>
  </si>
  <si>
    <t>Motor Power</t>
  </si>
  <si>
    <t>Motor Power Units</t>
  </si>
  <si>
    <t>Operator fails to loosen bung on drum before heating</t>
  </si>
  <si>
    <t>PFD=.1 Internal mechanical trip independent of SIS or BPCS</t>
  </si>
  <si>
    <t>changes/hr</t>
  </si>
  <si>
    <t>Vapor Pressure</t>
  </si>
  <si>
    <t>Output Value</t>
  </si>
  <si>
    <t>Use System Separators</t>
  </si>
  <si>
    <t>Decimal Separator</t>
  </si>
  <si>
    <t>Thousands Separator</t>
  </si>
  <si>
    <t>Indoor Population Limit</t>
  </si>
  <si>
    <t>people</t>
  </si>
  <si>
    <t>Pressure Damage</t>
  </si>
  <si>
    <t>Vacuum Damage</t>
  </si>
  <si>
    <t>For No Penalty Use 0.00</t>
  </si>
  <si>
    <t>Maximum Temperature at Relief Set Pressure is less than TNR or Fire Duration Not Sufficient to Reach TNR</t>
  </si>
  <si>
    <t>TCR Trial 3=</t>
  </si>
  <si>
    <t>TPR Trial 3 =</t>
  </si>
  <si>
    <t>TMR Trial 3 =</t>
  </si>
  <si>
    <t>Connection Failure</t>
  </si>
  <si>
    <t>Low Speed Rotating Equipment?</t>
  </si>
  <si>
    <t>Rate for TMR (deg C/min)</t>
  </si>
  <si>
    <t>Equipment Rupture at Fire Conditions</t>
  </si>
  <si>
    <t>Enclosed Process Area Ventilation Rate (changes/r)</t>
  </si>
  <si>
    <t>Downstream Pressure =</t>
  </si>
  <si>
    <t>sq m</t>
  </si>
  <si>
    <t>cu m</t>
  </si>
  <si>
    <t>T_List</t>
  </si>
  <si>
    <t>Motor_List</t>
  </si>
  <si>
    <t>Rate_List</t>
  </si>
  <si>
    <t>TRate_List</t>
  </si>
  <si>
    <t>F/min</t>
  </si>
  <si>
    <t>Energy_List</t>
  </si>
  <si>
    <t xml:space="preserve">Initial Rate </t>
  </si>
  <si>
    <t>Very Toxic</t>
  </si>
  <si>
    <t>F.  Drainage and Spill Control</t>
  </si>
  <si>
    <t>MATERIAL FACTOR (per Table 1 Criteria)</t>
  </si>
  <si>
    <t>Penalty Factor Used</t>
  </si>
  <si>
    <t>Multiple of Reaction Heat for Mis-Loading</t>
  </si>
  <si>
    <t>Typically &gt; 1.0</t>
  </si>
  <si>
    <t>Max. Downstream Pressure</t>
  </si>
  <si>
    <t>Flow-Loss of Containment</t>
  </si>
  <si>
    <t>Ethane</t>
  </si>
  <si>
    <t>Ethanol</t>
  </si>
  <si>
    <t>Psat at Heat T &gt; Relief Set Pressure?</t>
  </si>
  <si>
    <t>Volume Rate</t>
  </si>
  <si>
    <t>ELECTRONIC DOCUMENT CHANGE HISTORY</t>
  </si>
  <si>
    <t>Reaction Data Reference</t>
  </si>
  <si>
    <t>IEF=2 as determined by Tech Center &amp; Process Safety</t>
  </si>
  <si>
    <t>USER DEFINED Enabling Factor = 2</t>
  </si>
  <si>
    <t>USER DEFINED Enabling Factor = 1</t>
  </si>
  <si>
    <t>NFPA Rating for Reactivity is 2 or higher with no Reaction Information available</t>
  </si>
  <si>
    <t>Damage to Expensive Rotating Equipment</t>
  </si>
  <si>
    <t>Liquid feed to compressor causing equipment damage</t>
  </si>
  <si>
    <t>Improper connection of hose or wand resulting in solids spill</t>
  </si>
  <si>
    <t>Leak of Fuel Valve with release through Bleed to atmosphere</t>
  </si>
  <si>
    <t>Feeding more fuel than expected may result in equipment damage if condition is left unchecked for an extended period of time</t>
  </si>
  <si>
    <t>Accumulation of unburned fuel may cause an undesired fire or explosion.  The fuel and air valves should be in their proper firing positions</t>
  </si>
  <si>
    <t>Chemical Exposure</t>
  </si>
  <si>
    <t>Outcome Descriptors</t>
  </si>
  <si>
    <t>Process upset that results in a changes in particle size or fluidization characteristics</t>
  </si>
  <si>
    <t>SD_Gen_6</t>
  </si>
  <si>
    <t>Potential for accumulation of Electrostatic charge from flowing liquid inside of process equipment</t>
  </si>
  <si>
    <t>Potential for accumulation of Electrostatic charge from flowing solids inside of process equipment</t>
  </si>
  <si>
    <t>Uncontrolled Reaction - Fire Induced</t>
  </si>
  <si>
    <t>Uncontrolled Reaction - Incompatible Materials</t>
  </si>
  <si>
    <t>Uncontrolled Reaction - Thermal Initiation</t>
  </si>
  <si>
    <t>Fuel Accumulation during Operation</t>
  </si>
  <si>
    <t>Soil Remediation Required for Spills?</t>
  </si>
  <si>
    <t>Release</t>
  </si>
  <si>
    <t>High pressure in flare header shuts off feeds</t>
  </si>
  <si>
    <t xml:space="preserve">QNR Trial 1 = </t>
  </si>
  <si>
    <t>Relief Set Pressure</t>
  </si>
  <si>
    <t>Fraction Chemical 2</t>
  </si>
  <si>
    <t>Remote Start Pump?</t>
  </si>
  <si>
    <t>Type</t>
  </si>
  <si>
    <t>SD_Rx_1</t>
  </si>
  <si>
    <t>IED_Rx_1</t>
  </si>
  <si>
    <t>General BPCS Failure Descriptors</t>
  </si>
  <si>
    <t>Frequency of Pool Fire</t>
  </si>
  <si>
    <t>Frequency Factor</t>
  </si>
  <si>
    <t>Document Owner:</t>
  </si>
  <si>
    <t>USER DEFINED INCIDENT</t>
  </si>
  <si>
    <t>Second Phase Chemical 2?</t>
  </si>
  <si>
    <t>Process Units Hazard Factor (F1 X F2 = F3)   …………………..</t>
  </si>
  <si>
    <t>Graphite Disk</t>
  </si>
  <si>
    <t>Max Adiabatic Temp</t>
  </si>
  <si>
    <t>Pressure Relief Line</t>
  </si>
  <si>
    <t>Pump</t>
  </si>
  <si>
    <t>Heat Exchanger</t>
  </si>
  <si>
    <t>592-41-6</t>
  </si>
  <si>
    <t>302-01-2</t>
  </si>
  <si>
    <t>1333-74-0</t>
  </si>
  <si>
    <t>7647-01-0</t>
  </si>
  <si>
    <t>127-18-4</t>
  </si>
  <si>
    <t>Tetrafluoroethylene</t>
  </si>
  <si>
    <t>USER DEFINED - EVENT TYPE</t>
  </si>
  <si>
    <t>PHYSICAL PROPERTIES</t>
  </si>
  <si>
    <t xml:space="preserve">  Molecular Weight</t>
  </si>
  <si>
    <t xml:space="preserve">  Scenario Description</t>
  </si>
  <si>
    <t>Operator leaves valves closed following infrequent maintenance allowing vacuum during emptying of equipment</t>
  </si>
  <si>
    <t>Environmental Contamination Confined to Site</t>
  </si>
  <si>
    <t>74-82-8</t>
  </si>
  <si>
    <t>67-56-1</t>
  </si>
  <si>
    <t>Methyl Amine</t>
  </si>
  <si>
    <t>74-89-5</t>
  </si>
  <si>
    <t>Limiting Pressure-Volume Energy for Deflagration</t>
  </si>
  <si>
    <t>Total Flammable Mass in Fireball</t>
  </si>
  <si>
    <t xml:space="preserve">TNR with Cooling =  </t>
  </si>
  <si>
    <t>Operator leaves Suction or Discharge Valves closed following batch transfer resulting in Seal Failure (both Suction and Discharge closed for Rupture)</t>
  </si>
  <si>
    <t>Note: Building Explosion Vent Area for Flammable Vapors with Flame Speed less than 59 cm/sec</t>
  </si>
  <si>
    <t>Stirred Reactor/Crystallizer</t>
  </si>
  <si>
    <t>USER DEFINED - EQUIPMENT</t>
  </si>
  <si>
    <t>3rd Party Intervention</t>
  </si>
  <si>
    <t xml:space="preserve">TNR = </t>
  </si>
  <si>
    <t>Location_List</t>
  </si>
  <si>
    <t>Sulfuryl Chloride</t>
  </si>
  <si>
    <t>Tetrahydrofuran</t>
  </si>
  <si>
    <t>Initiating Event Factor --&gt;</t>
  </si>
  <si>
    <r>
      <t xml:space="preserve">Equivalent Vapor </t>
    </r>
    <r>
      <rPr>
        <b/>
        <sz val="10"/>
        <rFont val="Arial Narrow"/>
        <family val="2"/>
      </rPr>
      <t>LFL</t>
    </r>
  </si>
  <si>
    <t>Natural Distaster (Storm, Earthquake, etc.)</t>
  </si>
  <si>
    <t>Level-High</t>
  </si>
  <si>
    <t>Timer closes pilot fuel after specified interval</t>
  </si>
  <si>
    <t>Primary Fuel Block Valves are Closed and Bleed Open while down.</t>
  </si>
  <si>
    <t>Storage Hopper (Solids)</t>
  </si>
  <si>
    <t>Mill/Grinder-Fluidized (Solids)</t>
  </si>
  <si>
    <t>420 micron</t>
  </si>
  <si>
    <t>Number 40</t>
  </si>
  <si>
    <t>Excessive Heat Input - Pool Fire Exposure</t>
  </si>
  <si>
    <t>Indoors</t>
  </si>
  <si>
    <t>Condensing without Inerts</t>
  </si>
  <si>
    <t>Shell &amp; Tube Liquid Heating</t>
  </si>
  <si>
    <t>Shell &amp; Tube Vapor Heating</t>
  </si>
  <si>
    <t>Occupants at Risk</t>
  </si>
  <si>
    <t>Fired Equipment - Process Heater</t>
  </si>
  <si>
    <t>m3</t>
  </si>
  <si>
    <t>m2</t>
  </si>
  <si>
    <t>Operator Response to Alarm Descriptions</t>
  </si>
  <si>
    <t>124-38-9</t>
  </si>
  <si>
    <t>75-15-0</t>
  </si>
  <si>
    <t>Approximate Building Vent Panel Area</t>
  </si>
  <si>
    <t>Original Tool Initiating Event General Description</t>
  </si>
  <si>
    <t>Overflow - Flooding or Plugging</t>
  </si>
  <si>
    <t>Loss of Quench Fluid flow causing damage to quench unit</t>
  </si>
  <si>
    <t>Scenarios Related to Flare or Thermal Oxidizer</t>
  </si>
  <si>
    <t>Shut off boiler feed block valve upon low feed pressure</t>
  </si>
  <si>
    <t>Pump Failure causing loss of flow or backflow</t>
  </si>
  <si>
    <t>High Firebox or Vent Stack temperature with Operator Response to check fuel flow</t>
  </si>
  <si>
    <t>SD_FE_2</t>
  </si>
  <si>
    <t>SD_FE_4</t>
  </si>
  <si>
    <t>SD_FE_5</t>
  </si>
  <si>
    <t>SD_FE_8</t>
  </si>
  <si>
    <t>SD_FE_6</t>
  </si>
  <si>
    <t>SD_FE_10</t>
  </si>
  <si>
    <t>SD_FE_11</t>
  </si>
  <si>
    <t>SD_FE_12</t>
  </si>
  <si>
    <t>SD_FE_13</t>
  </si>
  <si>
    <t>SD_FE_14</t>
  </si>
  <si>
    <t>SD_FE_20</t>
  </si>
  <si>
    <t>SD_FE_21</t>
  </si>
  <si>
    <t>SD_FE_22</t>
  </si>
  <si>
    <t>IED_Gen_2</t>
  </si>
  <si>
    <t>IED_Gen_3</t>
  </si>
  <si>
    <t>IED_Gen_4</t>
  </si>
  <si>
    <t>IED_Gen_5</t>
  </si>
  <si>
    <t>IED_Gen_6</t>
  </si>
  <si>
    <t>IED_Gen_7</t>
  </si>
  <si>
    <t>IED_Gen_8</t>
  </si>
  <si>
    <t>IED_Gen_9</t>
  </si>
  <si>
    <t>IED_Gen_10</t>
  </si>
  <si>
    <t>IED_Gen_12</t>
  </si>
  <si>
    <t>IED_Gen_11</t>
  </si>
  <si>
    <t>IED_Gen_13</t>
  </si>
  <si>
    <t>IED_Gen_20</t>
  </si>
  <si>
    <t>IED_Gen_21</t>
  </si>
  <si>
    <t>IED_Gen_22</t>
  </si>
  <si>
    <t>IED_Gen_23</t>
  </si>
  <si>
    <t>IED_Gen_24</t>
  </si>
  <si>
    <t>IED_Gen_25</t>
  </si>
  <si>
    <t>Regulator Fails causing high flow or pressure</t>
  </si>
  <si>
    <t>IED_Gen_54</t>
  </si>
  <si>
    <t>IED_Gen_55</t>
  </si>
  <si>
    <t>IED_Gen_56</t>
  </si>
  <si>
    <t>IED_Gen_58</t>
  </si>
  <si>
    <t>IED_Gen_60</t>
  </si>
  <si>
    <t>IED_Gen_57</t>
  </si>
  <si>
    <t>IED_Gen_61</t>
  </si>
  <si>
    <t>IED_Gen_62</t>
  </si>
  <si>
    <t>IED_Gen_63</t>
  </si>
  <si>
    <t>IED_Gen_64</t>
  </si>
  <si>
    <t>IED_Gen_65</t>
  </si>
  <si>
    <t>IED_Gen_66</t>
  </si>
  <si>
    <t>IED_Gen_67</t>
  </si>
  <si>
    <t>IED_Gen_68</t>
  </si>
  <si>
    <t>IPLD_Gen_2</t>
  </si>
  <si>
    <t>IPLD_Gen_3</t>
  </si>
  <si>
    <t>IPLD_Gen_4</t>
  </si>
  <si>
    <t>IPLD_Gen_10</t>
  </si>
  <si>
    <t>IPLD_Gen_11</t>
  </si>
  <si>
    <t>IPLD_Gen_12</t>
  </si>
  <si>
    <t>IPLD_Gen_20</t>
  </si>
  <si>
    <t>IED_FE_2</t>
  </si>
  <si>
    <t>IED_FE_3</t>
  </si>
  <si>
    <t>IED_FE_4</t>
  </si>
  <si>
    <t>IED_FE_5</t>
  </si>
  <si>
    <t>IED_FE_6</t>
  </si>
  <si>
    <t>IED_FE_7</t>
  </si>
  <si>
    <t>IED_FE_8</t>
  </si>
  <si>
    <t>IED_FE_9</t>
  </si>
  <si>
    <t>IED_FE_10</t>
  </si>
  <si>
    <t>IED_FE_12</t>
  </si>
  <si>
    <t>IED_FE_20</t>
  </si>
  <si>
    <t>IED_FE_21</t>
  </si>
  <si>
    <t>IED_FE_22</t>
  </si>
  <si>
    <t>IED_FE_23</t>
  </si>
  <si>
    <t>IED_FE_30</t>
  </si>
  <si>
    <t>Gas Generation precedes Exotherm?</t>
  </si>
  <si>
    <t>Gas Generation Precedes Exotherm?</t>
  </si>
  <si>
    <t>High Speed Rotating Equipment?</t>
  </si>
  <si>
    <t>TNR Trial 1 =</t>
  </si>
  <si>
    <t>Data for TNR</t>
  </si>
  <si>
    <t>Data for TNR with Coolant</t>
  </si>
  <si>
    <t xml:space="preserve">QEH Trial 1 = </t>
  </si>
  <si>
    <t>Effective Fill and Surface Area</t>
  </si>
  <si>
    <t>Incident Requiring Significant Off-Site Remediation</t>
  </si>
  <si>
    <t xml:space="preserve">Physical State = </t>
  </si>
  <si>
    <t>Hazard Distance</t>
  </si>
  <si>
    <t>Number of Flanges or Nozzles</t>
  </si>
  <si>
    <t>Reaction with Pooling</t>
  </si>
  <si>
    <t>Reaction with Mis-Loading</t>
  </si>
  <si>
    <t>Temp with Mis-Loading</t>
  </si>
  <si>
    <t>Limit</t>
  </si>
  <si>
    <t>Assess Reactive Scenarios Only?</t>
  </si>
  <si>
    <t>IED_FE_31</t>
  </si>
  <si>
    <t>IPLD_FE_2</t>
  </si>
  <si>
    <t>IPLD_FE_3</t>
  </si>
  <si>
    <t>IPLD_FE_4</t>
  </si>
  <si>
    <t>IPLD_FE_5</t>
  </si>
  <si>
    <t>IPLD_FE_6</t>
  </si>
  <si>
    <t>IPLD_FE_7</t>
  </si>
  <si>
    <t>IPLD_FE_10</t>
  </si>
  <si>
    <t>IPLD_FE_20</t>
  </si>
  <si>
    <t>IPLD_FE_21</t>
  </si>
  <si>
    <t>IPLD_FE_22</t>
  </si>
  <si>
    <t>Trimethylamine</t>
  </si>
  <si>
    <t xml:space="preserve">Total Inventory = </t>
  </si>
  <si>
    <t>cal/gm-min</t>
  </si>
  <si>
    <t>No</t>
  </si>
  <si>
    <t>Physical Damage or Puncture</t>
  </si>
  <si>
    <t>Frequent Turnaround or Cleanout?</t>
  </si>
  <si>
    <t>Insul_List</t>
  </si>
  <si>
    <t>Fireproof</t>
  </si>
  <si>
    <t>Failure of Liquid Level in knock out drum</t>
  </si>
  <si>
    <t>Failure of scrubbing fluid flow</t>
  </si>
  <si>
    <t>Chlorine</t>
  </si>
  <si>
    <t>74-86-2</t>
  </si>
  <si>
    <t>107-02-8</t>
  </si>
  <si>
    <t>Pressure-Volume Energy</t>
  </si>
  <si>
    <t xml:space="preserve">Physical Explosion Distance to 1 psi = </t>
  </si>
  <si>
    <t xml:space="preserve">Physical Explosion Distance to 0.3 psi = </t>
  </si>
  <si>
    <t>Limiting Volume if Equipment Type is Pump</t>
  </si>
  <si>
    <t>Vapor</t>
  </si>
  <si>
    <t>Propylene Glycol</t>
  </si>
  <si>
    <t>Documents Updated?</t>
  </si>
  <si>
    <t>0.25 to 0.50</t>
  </si>
  <si>
    <t>Base Factor   …………………………………..</t>
  </si>
  <si>
    <t>General Process Hazards Factor (F1)   ……………….</t>
  </si>
  <si>
    <t>0.20 to 0.80</t>
  </si>
  <si>
    <t>0.30 to 0.80</t>
  </si>
  <si>
    <t>0.20 to 0.40</t>
  </si>
  <si>
    <t>0.25 to 1.25</t>
  </si>
  <si>
    <t>0.25 to 0.9</t>
  </si>
  <si>
    <t>Ease of Ignition</t>
  </si>
  <si>
    <t>ERPG-2 (ppm)</t>
  </si>
  <si>
    <t>ERPG-3 (ppm)</t>
  </si>
  <si>
    <t>High Fuel Flow or Energy Content</t>
  </si>
  <si>
    <t>Pressure - Adiabatic Rx</t>
  </si>
  <si>
    <t>deg C</t>
  </si>
  <si>
    <t xml:space="preserve">Max Temperature = </t>
  </si>
  <si>
    <t>Probability of Enclosed Toxic Exposure Factor</t>
  </si>
  <si>
    <t xml:space="preserve">Time for Depressurization = </t>
  </si>
  <si>
    <t>Probability of Exposure for
Layers of Protection Analysis</t>
  </si>
  <si>
    <t>Initiating Event Description</t>
  </si>
  <si>
    <t>Operator leaves valves closed allowing vacuum during emptying of equipment</t>
  </si>
  <si>
    <t>Derail device, wheel chocks, etc. to prevent movement of cars or trucks</t>
  </si>
  <si>
    <t xml:space="preserve">Heat Transfer </t>
  </si>
  <si>
    <t xml:space="preserve">Density </t>
  </si>
  <si>
    <t xml:space="preserve">Heat Capacity </t>
  </si>
  <si>
    <t xml:space="preserve">Enthalpy </t>
  </si>
  <si>
    <t>Equipment Rupture at Operating Conditions</t>
  </si>
  <si>
    <t>Equipment Rupture - Deflagration</t>
  </si>
  <si>
    <t xml:space="preserve">Number of Occupants Bldg 2 = </t>
  </si>
  <si>
    <t>Occupied Building 2 Type</t>
  </si>
  <si>
    <t>Occupants at Risk Building 2</t>
  </si>
  <si>
    <t>EQUIPMENT INFORMATION</t>
  </si>
  <si>
    <t>Vapor Press
(atm)
C Coeff</t>
  </si>
  <si>
    <t>Number 30</t>
  </si>
  <si>
    <t>28 mesh</t>
  </si>
  <si>
    <t>Potential for Asphyxiation in Process Area?</t>
  </si>
  <si>
    <t xml:space="preserve">Tsat at Relief Pressure = </t>
  </si>
  <si>
    <t xml:space="preserve">Temp of No Return, TNR = </t>
  </si>
  <si>
    <t xml:space="preserve">Tsat at Burst Pressure = </t>
  </si>
  <si>
    <t>Observed Press (atm abs) and Temp (C)</t>
  </si>
  <si>
    <t>Temperature, C</t>
  </si>
  <si>
    <t>Dichlorophenol (2,4-)</t>
  </si>
  <si>
    <t>Exclude MI Scenarios?</t>
  </si>
  <si>
    <t>Methane</t>
  </si>
  <si>
    <t>Case</t>
  </si>
  <si>
    <t>Risk Trigger(s)</t>
  </si>
  <si>
    <t>CEI &amp; FEI Summary</t>
  </si>
  <si>
    <t>Venting of untreated vapors</t>
  </si>
  <si>
    <t>SD_Gen_39</t>
  </si>
  <si>
    <t>SD_Gen_40</t>
  </si>
  <si>
    <t>Thermal Expansion of hydraulically full equipment leading to excessive pressure</t>
  </si>
  <si>
    <t>Loss of vacuum during solids transport with minimal release of material</t>
  </si>
  <si>
    <t>SD_D_8</t>
  </si>
  <si>
    <t xml:space="preserve">Reaction Explosion Distance to 0.3 psi = </t>
  </si>
  <si>
    <t xml:space="preserve">Max Pressure = </t>
  </si>
  <si>
    <t xml:space="preserve">Max Adiabatic Temp = </t>
  </si>
  <si>
    <t>Kwatt /sq m C</t>
  </si>
  <si>
    <t>cal/gm C</t>
  </si>
  <si>
    <t>Reactive Only Scenarios?</t>
  </si>
  <si>
    <t>Reactive Relief with Fire</t>
  </si>
  <si>
    <t>ESTIMATED CHEMICAL EXPOSURE INDEX</t>
  </si>
  <si>
    <t>Pool Fire Probability of Ignition</t>
  </si>
  <si>
    <t>Probability of Explosion</t>
  </si>
  <si>
    <t>Probability of Ignition</t>
  </si>
  <si>
    <t>Propane</t>
  </si>
  <si>
    <t>SD_Gen_68</t>
  </si>
  <si>
    <t>SD_FE_23</t>
  </si>
  <si>
    <t>Static Discharge inside Non-Conductive Tank</t>
  </si>
  <si>
    <t xml:space="preserve">Type of Relief Device: </t>
  </si>
  <si>
    <t>BTU</t>
  </si>
  <si>
    <t>Scenario Comments</t>
  </si>
  <si>
    <t>Kcal/hr sq m C</t>
  </si>
  <si>
    <t>Natural Convection Heat Loss</t>
  </si>
  <si>
    <t>Dowtherm-J</t>
  </si>
  <si>
    <t xml:space="preserve">Initial Quantity in Pool = </t>
  </si>
  <si>
    <t>Heat Exchanger Tube Failure</t>
  </si>
  <si>
    <t>Liq Density
(g/cc)
B Coeff</t>
  </si>
  <si>
    <t>Liq Cp
(cal/g-C)
A Coeff</t>
  </si>
  <si>
    <t>Liq Cp
(cal/g-C)
B Coeff</t>
  </si>
  <si>
    <t>PVRV</t>
  </si>
  <si>
    <t>Distance to Severe Burns from Fireball</t>
  </si>
  <si>
    <t>Initiating Event Factor Calc for Human Error</t>
  </si>
  <si>
    <t>Operation above Reaction TNR</t>
  </si>
  <si>
    <t>Adjusted Factors</t>
  </si>
  <si>
    <t>Fluidized Equipment with Leak Potential?</t>
  </si>
  <si>
    <t>High Primary Fuel or Waste Flow causing over firing and damage to the combustion chamber</t>
  </si>
  <si>
    <t>Loss of combustion air from Blower or Damper failure with continued addition of fuel</t>
  </si>
  <si>
    <t>Loss of vacuum control from Blower or Damper failure</t>
  </si>
  <si>
    <t>Failure of pilot regulator extinguishing the flame prior to lighting primary fuel. (Time at risk may apply if pilot remains lit during normal operation.)</t>
  </si>
  <si>
    <t>Failure of Primary Fuel Flow during ignition extinguishing the flame with potential for delayed re-ignition.  (Credit for time at risk for infrequent Light Off may apply.)</t>
  </si>
  <si>
    <t>Failure of pilot or ignitor control allows venting of unburned vapors</t>
  </si>
  <si>
    <t>Failure of tracing causes water in seal pot to freeze</t>
  </si>
  <si>
    <t>Failure of agitator or mixer</t>
  </si>
  <si>
    <t>630-08-0</t>
  </si>
  <si>
    <t>Overpressure at Occ Bldg Distance-Physical Explosion (psi)</t>
  </si>
  <si>
    <t>Protection Gap</t>
  </si>
  <si>
    <t>Equipment Data</t>
  </si>
  <si>
    <t xml:space="preserve">MAWP = </t>
  </si>
  <si>
    <t>liter</t>
  </si>
  <si>
    <t>Kg</t>
  </si>
  <si>
    <t>Kcal/sec</t>
  </si>
  <si>
    <t>Safety Valve</t>
  </si>
  <si>
    <t>Time to (or MAWP) Relief Temperature</t>
  </si>
  <si>
    <t>Percent of Time in Operation</t>
  </si>
  <si>
    <t>Row Modifying</t>
  </si>
  <si>
    <t>Operator leaves Vent closed following infrequent maintenance</t>
  </si>
  <si>
    <t xml:space="preserve">Max Pad Gas Pressure (gauge)= </t>
  </si>
  <si>
    <t xml:space="preserve">Maximum Pad Gas Rate = </t>
  </si>
  <si>
    <t>ppm</t>
  </si>
  <si>
    <t>Scenario / Cross Ref</t>
  </si>
  <si>
    <t>Convective Heat Loss Coeff</t>
  </si>
  <si>
    <t>Piping or Equipment Leak (Very Small Hole Size)</t>
  </si>
  <si>
    <t>Double Mechanical Seal Failure</t>
  </si>
  <si>
    <t>Reactants in Separate Liquid Phase?</t>
  </si>
  <si>
    <t>Formic Acid</t>
  </si>
  <si>
    <t>Equipment Vents to</t>
  </si>
  <si>
    <t>Corrosive</t>
  </si>
  <si>
    <t>Second Phase Chemical 1?</t>
  </si>
  <si>
    <t>Dike system with effective drainage to remote containment and routine inspection</t>
  </si>
  <si>
    <t xml:space="preserve">MAWP (gauge) = </t>
  </si>
  <si>
    <t xml:space="preserve">Operating Pressure (gauge) = </t>
  </si>
  <si>
    <t>Plugged or Frozen Vent Line</t>
  </si>
  <si>
    <t xml:space="preserve">Total Rx Heat at Relief Set = </t>
  </si>
  <si>
    <t>BPCS Independent of Initiating Event</t>
  </si>
  <si>
    <t xml:space="preserve">Hole Size = </t>
  </si>
  <si>
    <t>No Relief Device Indicated</t>
  </si>
  <si>
    <t>Reactivity Descriptors</t>
  </si>
  <si>
    <t>Noted as a Condensed Phase Detonable Material</t>
  </si>
  <si>
    <t>149 micron</t>
  </si>
  <si>
    <t>Number 100</t>
  </si>
  <si>
    <t>Equipment Rupture at Saturation Conditions</t>
  </si>
  <si>
    <t>Type of Equipment</t>
  </si>
  <si>
    <t xml:space="preserve">Saturation Temperature = </t>
  </si>
  <si>
    <t>LFL (vol %)</t>
  </si>
  <si>
    <t>Total Release Quantity Exceeds Criteria for VCE?</t>
  </si>
  <si>
    <t xml:space="preserve">Bldg Expl Overpressure at Center of Occ Bldg,  psi = </t>
  </si>
  <si>
    <t>Overpressure at Occ Building Center (psi)</t>
  </si>
  <si>
    <t>Severe Burns Impact Area</t>
  </si>
  <si>
    <t>Methyl Chloride</t>
  </si>
  <si>
    <t>Loading Arm</t>
  </si>
  <si>
    <t>Operating Discipline/Procedures</t>
  </si>
  <si>
    <t>Single Mech</t>
  </si>
  <si>
    <t>Consequence Does Not Exceed Threshold Criteria for Continuing with LOPA</t>
  </si>
  <si>
    <t xml:space="preserve">Dike Area = </t>
  </si>
  <si>
    <t xml:space="preserve">Leak Duration = </t>
  </si>
  <si>
    <t>Fired Equipment - Fire Tube Combustion Unit</t>
  </si>
  <si>
    <t xml:space="preserve">Relief Device, Cd = </t>
  </si>
  <si>
    <t>Liquid Head Units</t>
  </si>
  <si>
    <t>Maximum Feed Press</t>
  </si>
  <si>
    <t>Pressure-Rx with MisLoading</t>
  </si>
  <si>
    <t>Scrubber or Containment</t>
  </si>
  <si>
    <t>Connection_List</t>
  </si>
  <si>
    <t>Hose</t>
  </si>
  <si>
    <t>Exothermic Reaction or formation of gaseous products with Potential from Fire Heat Input</t>
  </si>
  <si>
    <t>SD_Rx_19</t>
  </si>
  <si>
    <t>Maximum Temperature at Relief Set Pressure is less than the Temperature of No Return or Fire Duration Not Sufficient to Reach Reaction Conditions</t>
  </si>
  <si>
    <t>USER DEFINED HOLE SIZE</t>
  </si>
  <si>
    <t>Vinyl Acetate</t>
  </si>
  <si>
    <t>Rotating Equipment Damage</t>
  </si>
  <si>
    <t>L</t>
  </si>
  <si>
    <t>D</t>
  </si>
  <si>
    <t>Volume</t>
  </si>
  <si>
    <t>Units</t>
  </si>
  <si>
    <t>Equipment maintained inert?</t>
  </si>
  <si>
    <t>Output Units</t>
  </si>
  <si>
    <t>Hose or loading arm pressure test before each use</t>
  </si>
  <si>
    <t>Max. Contained Mass Quantity</t>
  </si>
  <si>
    <t xml:space="preserve">Entrance Type = </t>
  </si>
  <si>
    <t>Time from 90% Full to Overflow</t>
  </si>
  <si>
    <t xml:space="preserve">Time to Overflow = </t>
  </si>
  <si>
    <t>Sight Glass?</t>
  </si>
  <si>
    <t>Relief Discharge Location</t>
  </si>
  <si>
    <t xml:space="preserve">Max Vapor Release Rate  = </t>
  </si>
  <si>
    <t>cu m/hr</t>
  </si>
  <si>
    <t>Square Edged or Short Pipe</t>
  </si>
  <si>
    <t>Fired Equipment - Flare</t>
  </si>
  <si>
    <t>Flaming Liquid Release</t>
  </si>
  <si>
    <t>Volume and Mass Flow rate of Air
at Standard Temperature and Pressure</t>
  </si>
  <si>
    <t>Proposed IPL Descriptions used within Scenario Identification</t>
  </si>
  <si>
    <t>Relief Device Descriptors</t>
  </si>
  <si>
    <t>High Outlet Temperature Alarm with Operator Response to check fuel flow.</t>
  </si>
  <si>
    <t>Late Ignition for Building or Vapor Cloud Explosion Not Applicable as Early Ignition Has Occurred</t>
  </si>
  <si>
    <t>56-23-5</t>
  </si>
  <si>
    <t>7782-50-5</t>
  </si>
  <si>
    <t>79-04-9</t>
  </si>
  <si>
    <t>Chloroform</t>
  </si>
  <si>
    <t>67-66-3</t>
  </si>
  <si>
    <t>107-30-2</t>
  </si>
  <si>
    <t>76-06-2</t>
  </si>
  <si>
    <t>Units In</t>
  </si>
  <si>
    <t>SI to Units</t>
  </si>
  <si>
    <t>Input to SI</t>
  </si>
  <si>
    <t>Value In</t>
  </si>
  <si>
    <t>Value Out</t>
  </si>
  <si>
    <t>hr</t>
  </si>
  <si>
    <t>day</t>
  </si>
  <si>
    <t xml:space="preserve">Limiting Reaction Rate = </t>
  </si>
  <si>
    <t>Matl_Construction_List</t>
  </si>
  <si>
    <t>Cast Iron</t>
  </si>
  <si>
    <t>Carbon Steel</t>
  </si>
  <si>
    <t>Stainless Steel</t>
  </si>
  <si>
    <t>Glass-Lined Steel</t>
  </si>
  <si>
    <t>Corrosion Resistant Alloy</t>
  </si>
  <si>
    <t>Plastic-Lined Steel</t>
  </si>
  <si>
    <t>Non-Metalic (FRP, etc.)</t>
  </si>
  <si>
    <t>Name</t>
  </si>
  <si>
    <t xml:space="preserve">Change Procedure:  </t>
  </si>
  <si>
    <t>NFPA Reactivity Rating</t>
  </si>
  <si>
    <t>Chloroacetyl Chloride</t>
  </si>
  <si>
    <t>Chloropicrin</t>
  </si>
  <si>
    <t>High Level in Knock Out Pot closes feed valve</t>
  </si>
  <si>
    <t>Open emergency water on loss of quench flow</t>
  </si>
  <si>
    <t>Total Airborne Release =</t>
  </si>
  <si>
    <t>Methyl Mercaptan</t>
  </si>
  <si>
    <t>Less than 10%</t>
  </si>
  <si>
    <t>Energy Summary - Heat Transfer</t>
  </si>
  <si>
    <t xml:space="preserve">Motor Power = </t>
  </si>
  <si>
    <t>Class 3</t>
  </si>
  <si>
    <t>Mech Energy</t>
  </si>
  <si>
    <t xml:space="preserve"> Heat Transfer</t>
  </si>
  <si>
    <t>Human Error Comments</t>
  </si>
  <si>
    <t>Temperature (C)</t>
  </si>
  <si>
    <t xml:space="preserve">Relief System Release Location = </t>
  </si>
  <si>
    <t>Potential Dust Deflag within Equipment</t>
  </si>
  <si>
    <t>Rupture Distance to 1 psi Overpressure</t>
  </si>
  <si>
    <t>Pad Gas Sweep</t>
  </si>
  <si>
    <t>Kcal/gm mole</t>
  </si>
  <si>
    <t>Time to Maximum Rate at Specified Starting Temperatures</t>
  </si>
  <si>
    <t>Alternate</t>
  </si>
  <si>
    <t xml:space="preserve"> Internal Obstacle Density</t>
  </si>
  <si>
    <t>Equipment Deflagration Volume</t>
  </si>
  <si>
    <t xml:space="preserve">Explosion Distance to 10 psi = </t>
  </si>
  <si>
    <t>Action Set Point</t>
  </si>
  <si>
    <t>VERY LARGE</t>
  </si>
  <si>
    <t>EXTREMELY LARGE</t>
  </si>
  <si>
    <t xml:space="preserve">SIS Function A
</t>
  </si>
  <si>
    <t xml:space="preserve">SIS Function B
</t>
  </si>
  <si>
    <t>Approval</t>
  </si>
  <si>
    <t>Process Safety</t>
  </si>
  <si>
    <t>Process Automation</t>
  </si>
  <si>
    <t>Probability of Onsite Toxic Exposure Factor</t>
  </si>
  <si>
    <t>Internal Equipment Deflagration</t>
  </si>
  <si>
    <t xml:space="preserve">Deflagration Explosion Energy = </t>
  </si>
  <si>
    <t>Total Airborne Quantity</t>
  </si>
  <si>
    <t>Maximum Airborne Rate</t>
  </si>
  <si>
    <t>TNT Model Parameter A</t>
  </si>
  <si>
    <t>TNT Model Parameter B</t>
  </si>
  <si>
    <t>TNT Model Parameter C</t>
  </si>
  <si>
    <t>Maximum Cooling Capacity</t>
  </si>
  <si>
    <t>Dust Min Ignition Energy (mJ)</t>
  </si>
  <si>
    <t xml:space="preserve">Liquid Rate, L = </t>
  </si>
  <si>
    <t xml:space="preserve">Number Potential Offsite Impact = </t>
  </si>
  <si>
    <t>Fraction Key Chemical</t>
  </si>
  <si>
    <t>Pentane</t>
  </si>
  <si>
    <t>U_List</t>
  </si>
  <si>
    <t>0.10 to 0.75</t>
  </si>
  <si>
    <t>0.15 to 1.15</t>
  </si>
  <si>
    <t xml:space="preserve">Explosion Distance to 0.3 psi = </t>
  </si>
  <si>
    <r>
      <t xml:space="preserve">Equivalent Vapor </t>
    </r>
    <r>
      <rPr>
        <b/>
        <sz val="10"/>
        <rFont val="Arial Narrow"/>
        <family val="2"/>
      </rPr>
      <t>ERPG-3</t>
    </r>
  </si>
  <si>
    <t>Surface Roughness</t>
  </si>
  <si>
    <t xml:space="preserve">Concentration at Distance to Occ Bldg = </t>
  </si>
  <si>
    <t>SRPS-1 Detail Description</t>
  </si>
  <si>
    <t>Hydrogen Cyanide</t>
  </si>
  <si>
    <t>Hydrogen Fluoride</t>
  </si>
  <si>
    <t>Hydrogen Peroxide</t>
  </si>
  <si>
    <t>HCFC 142B (Chloro-1,1-Difluoroethane, 1-)</t>
  </si>
  <si>
    <t>Environmental Damage</t>
  </si>
  <si>
    <t>Sulfur Dioxide</t>
  </si>
  <si>
    <t>Sulfuric Acid</t>
  </si>
  <si>
    <t>Vap Pres C =</t>
  </si>
  <si>
    <t>Time to Deplete Remaining Inventory =</t>
  </si>
  <si>
    <t>Time to Deplete Contained Mass =</t>
  </si>
  <si>
    <t>Heat Transfer Area</t>
  </si>
  <si>
    <t>Overall U</t>
  </si>
  <si>
    <t>NH</t>
  </si>
  <si>
    <t>NF</t>
  </si>
  <si>
    <t>NR</t>
  </si>
  <si>
    <t>Dermal Tox Risk Statement</t>
  </si>
  <si>
    <t>Lb/sec</t>
  </si>
  <si>
    <t>Diisobutyl Ketone</t>
  </si>
  <si>
    <t>Dimethylamine (anhy)</t>
  </si>
  <si>
    <t>Time to Deplete Vapor Space =</t>
  </si>
  <si>
    <t>Heptane</t>
  </si>
  <si>
    <t>Hexane</t>
  </si>
  <si>
    <t>Hydrogen</t>
  </si>
  <si>
    <t>Hydrogen Chloride (anhy)</t>
  </si>
  <si>
    <t>Included?</t>
  </si>
  <si>
    <t>Limiting Rate (cal/gm min)</t>
  </si>
  <si>
    <t>Location</t>
  </si>
  <si>
    <t>Overall U Units</t>
  </si>
  <si>
    <t>Heating Media Temp</t>
  </si>
  <si>
    <t>LOPA GAP ANALYSIS</t>
  </si>
  <si>
    <t xml:space="preserve">Reaction Explosion Distance to 1 psi = </t>
  </si>
  <si>
    <t>Drain or Vent Valve left open following loading/unloading or batch transfer</t>
  </si>
  <si>
    <t>Damage or Puncture during Bag or Pack Handling</t>
  </si>
  <si>
    <t>Loss of Containment - Drum or Bottle Filling</t>
  </si>
  <si>
    <t>Loss of Containment  -Sight Glass Failure</t>
  </si>
  <si>
    <t xml:space="preserve">QPR Trial 4 = </t>
  </si>
  <si>
    <t xml:space="preserve">QMR Trial 4 = </t>
  </si>
  <si>
    <t>TNR Trial 4 =</t>
  </si>
  <si>
    <t>TEH Trial 4 =</t>
  </si>
  <si>
    <t>TCR Trial 4=</t>
  </si>
  <si>
    <t>TPR Trial 4 =</t>
  </si>
  <si>
    <t>TMR Trial 4 =</t>
  </si>
  <si>
    <t>Air in vent with flow below minimum flame speed allowing flash back of flame into vent header</t>
  </si>
  <si>
    <t>Initiating Events for
Layers of Protection Analysis</t>
  </si>
  <si>
    <t>(cm)</t>
  </si>
  <si>
    <t>(in)</t>
  </si>
  <si>
    <t>E</t>
  </si>
  <si>
    <t>F</t>
  </si>
  <si>
    <t>G</t>
  </si>
  <si>
    <t>H</t>
  </si>
  <si>
    <t>J</t>
  </si>
  <si>
    <t>Process Safety Name</t>
  </si>
  <si>
    <t>Process Safety Date</t>
  </si>
  <si>
    <t>74-87-3</t>
  </si>
  <si>
    <t>m/sec</t>
  </si>
  <si>
    <t>Number 10</t>
  </si>
  <si>
    <t xml:space="preserve">Equation Coefficient, a = </t>
  </si>
  <si>
    <t>Drain or Vent</t>
  </si>
  <si>
    <t xml:space="preserve">Relief Vapor Discharge Velocity = </t>
  </si>
  <si>
    <t>Effective Contained Mass =</t>
  </si>
  <si>
    <t>In Operation &lt; 1% and Occurs &lt; 1/Qtr</t>
  </si>
  <si>
    <t>Less Than 1% &amp; 1/Qtr</t>
  </si>
  <si>
    <t>Fraction Chemical 3</t>
  </si>
  <si>
    <t>Fraction Chemical 4</t>
  </si>
  <si>
    <t>Name Chemical 2</t>
  </si>
  <si>
    <t>No. Enclosed Area Personnel</t>
  </si>
  <si>
    <t>SIS Function A</t>
  </si>
  <si>
    <t>SIS Function B</t>
  </si>
  <si>
    <t>Property Damage or Business Loss</t>
  </si>
  <si>
    <t xml:space="preserve">Maximum Fire Duration = </t>
  </si>
  <si>
    <t>Piping noted as not vulnerable to damage</t>
  </si>
  <si>
    <t>Spill caused by Truck or car movement while transfer is in progress</t>
  </si>
  <si>
    <t>Initiating Event Descriptions used within Scenario Identification</t>
  </si>
  <si>
    <t>Convective HT Coefficient =</t>
  </si>
  <si>
    <t>Loss of Vacuum - Thermal Oxidizer</t>
  </si>
  <si>
    <t xml:space="preserve">Ambient Temperature &gt; TNR? </t>
  </si>
  <si>
    <t xml:space="preserve">Operating Temperature &gt; TNR? </t>
  </si>
  <si>
    <t xml:space="preserve">Heating Media Temperature &gt; TNR? </t>
  </si>
  <si>
    <t>0.30 to 1.25</t>
  </si>
  <si>
    <t xml:space="preserve">  Solids Spill</t>
  </si>
  <si>
    <t>Vapor Cloud Explosion</t>
  </si>
  <si>
    <t>Building Explosion</t>
  </si>
  <si>
    <t>X</t>
  </si>
  <si>
    <t>Mol
Wt</t>
  </si>
  <si>
    <t>gm/liter</t>
  </si>
  <si>
    <t>mmHg</t>
  </si>
  <si>
    <t>SD_Rx_6</t>
  </si>
  <si>
    <t>SD_Rx_7</t>
  </si>
  <si>
    <t>Vapor Cloud Explosion to 1 psi Off-site?</t>
  </si>
  <si>
    <t>Overpressure at Occ Bldg Distance-Reactive Explosion (psi)</t>
  </si>
  <si>
    <t>Other Flammable in Area</t>
  </si>
  <si>
    <t>Floating Roof Tank</t>
  </si>
  <si>
    <t>Butyl Acrylate</t>
  </si>
  <si>
    <t>Carbon Monoxide</t>
  </si>
  <si>
    <t xml:space="preserve">  Equivalent Pipe or Nozzle Size (in) = </t>
  </si>
  <si>
    <t>User Value</t>
  </si>
  <si>
    <t>Potential Mis-Loading of Reactants?</t>
  </si>
  <si>
    <t>SRPS-1 General Description</t>
  </si>
  <si>
    <t>Rupture at Fire Conditions</t>
  </si>
  <si>
    <t>SIF Number</t>
  </si>
  <si>
    <t>sec</t>
  </si>
  <si>
    <t>Kcal</t>
  </si>
  <si>
    <t>Physical State</t>
  </si>
  <si>
    <t>Liquids or Vapors</t>
  </si>
  <si>
    <t>Solids</t>
  </si>
  <si>
    <t>Class 1</t>
  </si>
  <si>
    <t xml:space="preserve">Enclosed Process Ventilation = </t>
  </si>
  <si>
    <t xml:space="preserve">QCR Trial 5 = </t>
  </si>
  <si>
    <t xml:space="preserve">QPR Trial 5 = </t>
  </si>
  <si>
    <t xml:space="preserve">QMR Trial 5 = </t>
  </si>
  <si>
    <t>TNR Trial 5 =</t>
  </si>
  <si>
    <t>TEH Trial 5 =</t>
  </si>
  <si>
    <t>TCR Trial 5 =</t>
  </si>
  <si>
    <t>TPR Trial 5 =</t>
  </si>
  <si>
    <t>TMR Trial 5 =</t>
  </si>
  <si>
    <t xml:space="preserve">QEH Trial 6 = </t>
  </si>
  <si>
    <t xml:space="preserve">QCR Trial 6 = </t>
  </si>
  <si>
    <t>Times per Year Action Executed</t>
  </si>
  <si>
    <t>Maleic Anhydride</t>
  </si>
  <si>
    <t>Low Level in Seal Pot with Operator Response to Shut Down Pump</t>
  </si>
  <si>
    <t>IPLD_Gen_21</t>
  </si>
  <si>
    <t>USER DEFINED</t>
  </si>
  <si>
    <t xml:space="preserve">Estimated Gas Generation, k = </t>
  </si>
  <si>
    <t>Scenarios Related to Process Conditions</t>
  </si>
  <si>
    <t>Equipment is rated for Full Vacuum</t>
  </si>
  <si>
    <t>Vacuum Damage of Process Equipment</t>
  </si>
  <si>
    <t>Failure from corrosion, alignment, low flow, etc.</t>
  </si>
  <si>
    <t>&lt; $50M</t>
  </si>
  <si>
    <t>Methanol</t>
  </si>
  <si>
    <t xml:space="preserve">Dust Distance to 1 psi Overpressure = </t>
  </si>
  <si>
    <t>Screwed Piping?</t>
  </si>
  <si>
    <t>Discharge Velocity and Spray Distance</t>
  </si>
  <si>
    <t>General Utility Failure</t>
  </si>
  <si>
    <t>Probability of Chemical Exposure Factor</t>
  </si>
  <si>
    <t>Probability of Flash Fire Exposure Factor</t>
  </si>
  <si>
    <t>Second Liq Phase</t>
  </si>
  <si>
    <t>Phosgene</t>
  </si>
  <si>
    <t>Time to Rupture</t>
  </si>
  <si>
    <t>Layers of Protection Required</t>
  </si>
  <si>
    <t>Key Chemical</t>
  </si>
  <si>
    <t>Acetic Acid</t>
  </si>
  <si>
    <t>Vapor Displacement from Liquid Filling</t>
  </si>
  <si>
    <t>USER DEFINED VAPOR VENT RATE</t>
  </si>
  <si>
    <t>I.  Leakage - Joints and Packing</t>
  </si>
  <si>
    <t>Fired Equipment within Process Area</t>
  </si>
  <si>
    <t>Hydrazine</t>
  </si>
  <si>
    <t>Conveyor-Pneumatic (Solids)</t>
  </si>
  <si>
    <t>Overheating of quench and potential vapor release</t>
  </si>
  <si>
    <t>Poor distribution of Quench Fluid causing damage to quench equipment</t>
  </si>
  <si>
    <t>Toluene Diisocyanate, 2,6-</t>
  </si>
  <si>
    <t>91-08-7</t>
  </si>
  <si>
    <t xml:space="preserve">Dust Fireball Impact Area = </t>
  </si>
  <si>
    <t xml:space="preserve">Number Potential Dust Fireball Impact = </t>
  </si>
  <si>
    <t>Worst Case Scenario for Further Analysis</t>
  </si>
  <si>
    <t>Dens A =</t>
  </si>
  <si>
    <t>Dens B =</t>
  </si>
  <si>
    <t xml:space="preserve">Liq C A = </t>
  </si>
  <si>
    <t xml:space="preserve">Relief Discharge Elevation = </t>
  </si>
  <si>
    <t>Personnel Routinely in Immediate Area?</t>
  </si>
  <si>
    <t>Relief Discharge Elevation</t>
  </si>
  <si>
    <t>Relief Discharge Elevation Units</t>
  </si>
  <si>
    <t>Type of Feed (Batch or Continuous)</t>
  </si>
  <si>
    <t>Sight Glass Used?</t>
  </si>
  <si>
    <t>Input Value</t>
  </si>
  <si>
    <t>Equipment Volume Units</t>
  </si>
  <si>
    <t>MAWP</t>
  </si>
  <si>
    <t>Hexene, 1-</t>
  </si>
  <si>
    <t xml:space="preserve">Occupied Bldg Type = </t>
  </si>
  <si>
    <t xml:space="preserve">Equipment Location = </t>
  </si>
  <si>
    <t>Occupied Building Type</t>
  </si>
  <si>
    <t>Convective Heat Loss Rate</t>
  </si>
  <si>
    <t>Temperature</t>
  </si>
  <si>
    <t xml:space="preserve">POI for Equipment Deflagration = </t>
  </si>
  <si>
    <t>TARGET FACTOR DESCRIPTORS</t>
  </si>
  <si>
    <t xml:space="preserve">  </t>
  </si>
  <si>
    <t>Maximum Feed Press (gauge) =</t>
  </si>
  <si>
    <t>C</t>
  </si>
  <si>
    <t>Alarm Action Set Point</t>
  </si>
  <si>
    <t>Average Heat Transfer Rate to Relief =</t>
  </si>
  <si>
    <t>108-05-4</t>
  </si>
  <si>
    <t>75-01-4</t>
  </si>
  <si>
    <t>Overfill or Backflow of liquid with spill rate equal to the feed rate to a maximum quantity of the available inventory minus contained mass</t>
  </si>
  <si>
    <t>Excessive Vent Flow - Displacement from Liquid Filling</t>
  </si>
  <si>
    <t>Leak of Flammable Material or Material above its Flash Point which may ignite</t>
  </si>
  <si>
    <t>Ethylene Oxide</t>
  </si>
  <si>
    <t xml:space="preserve">Coolant Area = </t>
  </si>
  <si>
    <t xml:space="preserve">Liquid Capacity = </t>
  </si>
  <si>
    <t xml:space="preserve">Vapor Capacity = </t>
  </si>
  <si>
    <t>Loss of Containment - Heat Exchanger Tube Failure</t>
  </si>
  <si>
    <t>Loss of Containment - Full Size Failure of Relief Device</t>
  </si>
  <si>
    <t>Loss of Containment - Relief Device Leakage</t>
  </si>
  <si>
    <t>Failure of Temperature Control</t>
  </si>
  <si>
    <t>Failure of Heating/Cooling Media Flow</t>
  </si>
  <si>
    <t>Failure of Flow Control</t>
  </si>
  <si>
    <t>Failure of Level Control</t>
  </si>
  <si>
    <t>Failure of Speed Control</t>
  </si>
  <si>
    <t>SD_Gen_11</t>
  </si>
  <si>
    <t>SD_Gen_13</t>
  </si>
  <si>
    <t>Plant Section
or
Sub-Area</t>
  </si>
  <si>
    <t>Cross Ref</t>
  </si>
  <si>
    <t>Comparison with Last Run</t>
  </si>
  <si>
    <t>CEI Worst Case Scenario Description</t>
  </si>
  <si>
    <t>Radius of Exposure</t>
  </si>
  <si>
    <t>Potential Damage of Occupied Bldg?</t>
  </si>
  <si>
    <t xml:space="preserve">Building Explosion Distance to 1 psi = </t>
  </si>
  <si>
    <t>Explosion Parameters</t>
  </si>
  <si>
    <t>Relief_List</t>
  </si>
  <si>
    <t>Rupture Disk</t>
  </si>
  <si>
    <t>Proper position on Primary Fuel Valve necessary for Fuel Block Valves to remain open</t>
  </si>
  <si>
    <t>Flame Detector Closes all Fuel Valves if no flame detected within time interval</t>
  </si>
  <si>
    <t>Hazard Distance/Outcome Selection</t>
  </si>
  <si>
    <t xml:space="preserve">QNR Trial 5 = </t>
  </si>
  <si>
    <t xml:space="preserve">QEH Trial 5 = </t>
  </si>
  <si>
    <t>Overfill thru Relief Velocity and Spray Distance</t>
  </si>
  <si>
    <t xml:space="preserve">Thermal Inertia (ARC or other), f = </t>
  </si>
  <si>
    <t>Accumulation of Untreated Vent or Waste</t>
  </si>
  <si>
    <t>Piping or Equipment Failure (Extremely Large Hole Size)</t>
  </si>
  <si>
    <t>Acetylene</t>
  </si>
  <si>
    <t>Acrylic Acid</t>
  </si>
  <si>
    <r>
      <t xml:space="preserve">Table / </t>
    </r>
    <r>
      <rPr>
        <b/>
        <sz val="10"/>
        <rFont val="Arial Narrow"/>
        <family val="2"/>
      </rPr>
      <t>User</t>
    </r>
  </si>
  <si>
    <t>Maximum Inert Press =</t>
  </si>
  <si>
    <t>74-85-1</t>
  </si>
  <si>
    <t>75-21-8</t>
  </si>
  <si>
    <t>50-00-0</t>
  </si>
  <si>
    <t>64-18-6</t>
  </si>
  <si>
    <t>79-10-7</t>
  </si>
  <si>
    <t>107-13-1</t>
  </si>
  <si>
    <t>Allyl Chloride</t>
  </si>
  <si>
    <t>107-05-1</t>
  </si>
  <si>
    <t>Failure from corrosion, fatigue, etc.</t>
  </si>
  <si>
    <t>Pressure Relief Device Description</t>
  </si>
  <si>
    <t>SIS-1 Descriptions</t>
  </si>
  <si>
    <t>Kwatt</t>
  </si>
  <si>
    <t>Estimation of Activation Energy from ARC Data</t>
  </si>
  <si>
    <t>297 micron</t>
  </si>
  <si>
    <t>Feed through Dip Pipe or Bottom Fill?</t>
  </si>
  <si>
    <t>CAS Number</t>
  </si>
  <si>
    <t/>
  </si>
  <si>
    <t>Table 2 - Material Factor Temperature Adjustment</t>
  </si>
  <si>
    <t>Instability</t>
  </si>
  <si>
    <t>Flammability</t>
  </si>
  <si>
    <t>Flammability and Instability Ranking</t>
  </si>
  <si>
    <t>Fraction Conversion</t>
  </si>
  <si>
    <t>Chemical Data</t>
  </si>
  <si>
    <t>Excessive Heat Input - Mechanical</t>
  </si>
  <si>
    <t>Condensed Phase Detonable?</t>
  </si>
  <si>
    <t>Loss of instrument air, inert gas, power, etc. resulting in low vent flow or air ingress</t>
  </si>
  <si>
    <t>gm/ml</t>
  </si>
  <si>
    <t xml:space="preserve">Vapor Pressure = </t>
  </si>
  <si>
    <t>Propylene</t>
  </si>
  <si>
    <t>Propylene Oxide</t>
  </si>
  <si>
    <t>Pyridine</t>
  </si>
  <si>
    <t>Styrene</t>
  </si>
  <si>
    <t>Reactivity Data Input</t>
  </si>
  <si>
    <t>Probability of Exposure Desc</t>
  </si>
  <si>
    <t>DHv
(cal/g)
C Coeff</t>
  </si>
  <si>
    <t>General Operator Error Descriptors</t>
  </si>
  <si>
    <t>General BPCS Descriptors</t>
  </si>
  <si>
    <t>General SRPS Descriptors</t>
  </si>
  <si>
    <t>General Operator Response to Alarm Descriptors</t>
  </si>
  <si>
    <t>General IPL Descriptors</t>
  </si>
  <si>
    <t>Path:</t>
  </si>
  <si>
    <t>Initiating Event (Cause)</t>
  </si>
  <si>
    <t>Occupied Bldg Ventilation Rate (changes/hr)</t>
  </si>
  <si>
    <t>Contained Mass Quantity</t>
  </si>
  <si>
    <t>SD_Gen_7</t>
  </si>
  <si>
    <t>Scenario Addressed as Uncontrolled Reaction - Thermal Initiation</t>
  </si>
  <si>
    <t>SD_Rx_16</t>
  </si>
  <si>
    <t>Insufficient Quantity of Flammable in immediate area for pool fire is noted and Chemical handled is Not flammable or combustible</t>
  </si>
  <si>
    <t>SD_Rx_17</t>
  </si>
  <si>
    <t xml:space="preserve">Heat </t>
  </si>
  <si>
    <t xml:space="preserve">Energy </t>
  </si>
  <si>
    <t>CHEMICAL EXPOSURE INDEX</t>
  </si>
  <si>
    <t>EMERGENCY RESPONSE PLANNING</t>
  </si>
  <si>
    <t xml:space="preserve">  NFPA Health Rating</t>
  </si>
  <si>
    <t>RCTest_List</t>
  </si>
  <si>
    <t>ARC</t>
  </si>
  <si>
    <t>DSC</t>
  </si>
  <si>
    <t>Coolant Heat Transfer Coefficient</t>
  </si>
  <si>
    <t>Vapor Press
(atm)
A Coeff</t>
  </si>
  <si>
    <t>Average Nozzle or Pipe</t>
  </si>
  <si>
    <t>cu ft/hr</t>
  </si>
  <si>
    <t>SD_Gen_69</t>
  </si>
  <si>
    <t>SD_Gen_70</t>
  </si>
  <si>
    <t>Damage during Drum or Iso Handling</t>
  </si>
  <si>
    <t>Loss of Containment for Full Bore Pipe or Equipment Nozzle Hole Size</t>
  </si>
  <si>
    <t>SD_MI_8</t>
  </si>
  <si>
    <t>SD_Gen_71</t>
  </si>
  <si>
    <t>No Agitator Seal indicated</t>
  </si>
  <si>
    <t>Short piping run or piping located indoors such that collision or damage unlikely</t>
  </si>
  <si>
    <t>SD_T_8</t>
  </si>
  <si>
    <t>SD_Rx_18</t>
  </si>
  <si>
    <t>OUTCOME DESCRIPTORS</t>
  </si>
  <si>
    <t>Reactive Relief with "Pooling"</t>
  </si>
  <si>
    <t>Process Description</t>
  </si>
  <si>
    <t>within 20 m (65 ft)</t>
  </si>
  <si>
    <t>within 30 m (100 ft)</t>
  </si>
  <si>
    <t>greater than 30 m (100 ft)</t>
  </si>
  <si>
    <t>YN_List</t>
  </si>
  <si>
    <t>Equipment Explosion</t>
  </si>
  <si>
    <t>Parameter Deviation</t>
  </si>
  <si>
    <t>Initial Temp</t>
  </si>
  <si>
    <t>(deg C)</t>
  </si>
  <si>
    <t xml:space="preserve">Rate at Initial Temp </t>
  </si>
  <si>
    <t>Error Message</t>
  </si>
  <si>
    <t xml:space="preserve">Bldg Expl Overpressure at Distance to Occ Bldg,  psi = </t>
  </si>
  <si>
    <t xml:space="preserve">Building Explosion Distance to 0.3 psi = </t>
  </si>
  <si>
    <t>Particle Size at 10% Fraction (micron)</t>
  </si>
  <si>
    <t>Reaction-Wrong Reaction</t>
  </si>
  <si>
    <t>Potential for Water Contamination?</t>
  </si>
  <si>
    <t>Incident with Significant National Media Attention</t>
  </si>
  <si>
    <t>External Heat Input = Catalyzed Reaction Heat</t>
  </si>
  <si>
    <t>External Heat Input = Pooling Reaction Heat</t>
  </si>
  <si>
    <t>Conversion</t>
  </si>
  <si>
    <t xml:space="preserve">Reactivity Parameter = </t>
  </si>
  <si>
    <t>100 mesh</t>
  </si>
  <si>
    <t>74 micron</t>
  </si>
  <si>
    <t>Number 200</t>
  </si>
  <si>
    <t>DISTANCES</t>
  </si>
  <si>
    <t xml:space="preserve">Number Total Vapor Cloud Explosion Impact = </t>
  </si>
  <si>
    <t>Flow-High</t>
  </si>
  <si>
    <t>Flow-No</t>
  </si>
  <si>
    <t>PROBABILITY OF EXPOSURE (Presence Factor)</t>
  </si>
  <si>
    <t xml:space="preserve">Limit Conversion = </t>
  </si>
  <si>
    <t xml:space="preserve">ERPG-3 (ppm) = </t>
  </si>
  <si>
    <t xml:space="preserve">LFL (Vol %) = </t>
  </si>
  <si>
    <t>LFL
(vol %)</t>
  </si>
  <si>
    <t>SIF ID:</t>
  </si>
  <si>
    <t>Set Point:</t>
  </si>
  <si>
    <t>Comments:</t>
  </si>
  <si>
    <t>Operator fails to ensure a proper connection before starting material transfer</t>
  </si>
  <si>
    <t>Spill resulting from container movement while transfer is in progress</t>
  </si>
  <si>
    <t>Channeling of scrubbing fluid with reduced efficiency</t>
  </si>
  <si>
    <t>Carbon Disulfide</t>
  </si>
  <si>
    <t>Total Inventory</t>
  </si>
  <si>
    <t>Dust-Flammable Vapor Hybrid?</t>
  </si>
  <si>
    <t>Probability of Physical Explosion Exposure Factor</t>
  </si>
  <si>
    <t>Average Mol Wt of Vapor</t>
  </si>
  <si>
    <t>116-14-3</t>
  </si>
  <si>
    <t>109-99-9</t>
  </si>
  <si>
    <t>7719-09-7</t>
  </si>
  <si>
    <t>Titanium Tetrachloride</t>
  </si>
  <si>
    <t>7550-45-0</t>
  </si>
  <si>
    <t>108-88-3</t>
  </si>
  <si>
    <t>Toluene Diisocyanate, 2,4-</t>
  </si>
  <si>
    <t>584-84-9</t>
  </si>
  <si>
    <t xml:space="preserve">No Potential Onsite Outdoor Impact = </t>
  </si>
  <si>
    <t xml:space="preserve">Number Potential Onsite Indoor Impact = </t>
  </si>
  <si>
    <t>Estimated Occupied Building Vulnerability</t>
  </si>
  <si>
    <t xml:space="preserve">Number Occupied Building Impact = </t>
  </si>
  <si>
    <t xml:space="preserve">Lat Ht C = </t>
  </si>
  <si>
    <t xml:space="preserve">Number Total Building Explosion Impact = </t>
  </si>
  <si>
    <t>Initiating Event</t>
  </si>
  <si>
    <t>Fire and Explosion Index (F3 X MF)   ………...…….</t>
  </si>
  <si>
    <t>C.  Operation In or Near Flammable Range</t>
  </si>
  <si>
    <t xml:space="preserve">Equipment Vents to .. = </t>
  </si>
  <si>
    <t>Chemical Mixture Data</t>
  </si>
  <si>
    <t xml:space="preserve">QNR Trial 4 = </t>
  </si>
  <si>
    <t>Potential for Pooling of Reactants?</t>
  </si>
  <si>
    <t>Reaction Plus Fire</t>
  </si>
  <si>
    <t>UFL (vol %)</t>
  </si>
  <si>
    <t xml:space="preserve">UFL (Vol %) = </t>
  </si>
  <si>
    <t>AutoIgnition Temperature (C) =</t>
  </si>
  <si>
    <t>AutoIgnition Temp (C)</t>
  </si>
  <si>
    <t>Consequence Analysis 
Reference</t>
  </si>
  <si>
    <t>Probability of Ignition for
Layers of Protection Analysis</t>
  </si>
  <si>
    <t xml:space="preserve">Heating Media Temperature = </t>
  </si>
  <si>
    <t xml:space="preserve">Effective Fill Fraction = </t>
  </si>
  <si>
    <t>Loss of scrubbing fluid from pump failure</t>
  </si>
  <si>
    <t>PFD=.01 Internal mechanical trip independent of SIS or BPCS</t>
  </si>
  <si>
    <t>Solids Mean Particle Size</t>
  </si>
  <si>
    <t>Quantity of Flammable/Unstable Material</t>
  </si>
  <si>
    <t>Regulator Failure</t>
  </si>
  <si>
    <t>Combination PSV</t>
  </si>
  <si>
    <t>Combination Disks</t>
  </si>
  <si>
    <t>Reaction-Thermal Initiated</t>
  </si>
  <si>
    <t>Pressure-Rx Thermal Initiated</t>
  </si>
  <si>
    <t>Pressure-Rx with Fire</t>
  </si>
  <si>
    <t>Pressure-Rx with Catalyst</t>
  </si>
  <si>
    <t>On-Site Toxic Release</t>
  </si>
  <si>
    <t>Access for Emergency Services?</t>
  </si>
  <si>
    <t>Flow-Low</t>
  </si>
  <si>
    <t>Level-Low</t>
  </si>
  <si>
    <t>IED_MI_2</t>
  </si>
  <si>
    <t>Failure from corrosion, fatigue, etc. (with penalty for CUI)</t>
  </si>
  <si>
    <t>IED_MI_3</t>
  </si>
  <si>
    <t>Failure from corrosion, fatigue, etc. (with penalty for corrosive service)</t>
  </si>
  <si>
    <t>IED_MI_4</t>
  </si>
  <si>
    <t>Failure from corrosion, fatigue, etc. (with penalties for CUI and corrosive service)</t>
  </si>
  <si>
    <t>IPLD_MI_1</t>
  </si>
  <si>
    <t>This Worksheet for Calculation Only - Results are Not Saved.  Print this page if a copy is needed.</t>
  </si>
  <si>
    <t>Pool Fire Frequency Inputs</t>
  </si>
  <si>
    <t>Pool Fire Frequency Scenario 1</t>
  </si>
  <si>
    <t>Pool Fire Frequency Scenario 2</t>
  </si>
  <si>
    <t>Pool Fire Frequency Scenario 3</t>
  </si>
  <si>
    <t>Pool Fire Frequency Scenario 4</t>
  </si>
  <si>
    <t>Pool Fire Frequency Scenario 5</t>
  </si>
  <si>
    <t>Pool Fire Frequency Scenario 6</t>
  </si>
  <si>
    <t>Pool Fire Frequency Scenario 7</t>
  </si>
  <si>
    <t>Pool Fire Frequency Scenario 8</t>
  </si>
  <si>
    <t>Pool Fire Frequency Scenario 9</t>
  </si>
  <si>
    <t>Pool Fire Frequency Scenario 10</t>
  </si>
  <si>
    <t>Relative Volatility</t>
  </si>
  <si>
    <t>Wt Fraction Feed</t>
  </si>
  <si>
    <t xml:space="preserve">Vapor Mixture Properties:  </t>
  </si>
  <si>
    <t xml:space="preserve">Chemical Name = </t>
  </si>
  <si>
    <t xml:space="preserve"> micron</t>
  </si>
  <si>
    <t xml:space="preserve"> mJoule</t>
  </si>
  <si>
    <t>Flash Point =</t>
  </si>
  <si>
    <t xml:space="preserve">Vap Pres A = </t>
  </si>
  <si>
    <t xml:space="preserve">Vap Pres B = </t>
  </si>
  <si>
    <t xml:space="preserve">Vap Pres C = </t>
  </si>
  <si>
    <t xml:space="preserve">Dens A = </t>
  </si>
  <si>
    <t xml:space="preserve">Dens B = </t>
  </si>
  <si>
    <t xml:space="preserve">Dust Deflagration Class </t>
  </si>
  <si>
    <t xml:space="preserve">AutoIgnition Temperature = </t>
  </si>
  <si>
    <t xml:space="preserve">Dermal Toxicity = </t>
  </si>
  <si>
    <t xml:space="preserve">Aquatic Toxicity = </t>
  </si>
  <si>
    <t xml:space="preserve">Liquid Conductivity </t>
  </si>
  <si>
    <t>Chemical 1</t>
  </si>
  <si>
    <t>Chemical 2</t>
  </si>
  <si>
    <t>Chemical 3</t>
  </si>
  <si>
    <t>Chemical 4</t>
  </si>
  <si>
    <t>Summary of Chemical Properties</t>
  </si>
  <si>
    <t xml:space="preserve">Liquid Density at Operating Temp = </t>
  </si>
  <si>
    <t xml:space="preserve">Heat of Vaporization at Boiling Point = </t>
  </si>
  <si>
    <t xml:space="preserve">Liq Heat Capacity at Boiling Point = </t>
  </si>
  <si>
    <t xml:space="preserve">Sum = </t>
  </si>
  <si>
    <t>Units Conversion</t>
  </si>
  <si>
    <t xml:space="preserve">Melting Point = </t>
  </si>
  <si>
    <t xml:space="preserve">Flash Point = </t>
  </si>
  <si>
    <t xml:space="preserve">Solids Mean Particle Size = </t>
  </si>
  <si>
    <t xml:space="preserve">Dust Min Ignition Energy = </t>
  </si>
  <si>
    <t xml:space="preserve">Vapor Pressure at Operating Temp = </t>
  </si>
  <si>
    <t xml:space="preserve">Liquid Conductivity = </t>
  </si>
  <si>
    <t xml:space="preserve">Liq Heat Capacity at Op Temp = </t>
  </si>
  <si>
    <t xml:space="preserve"> based on "worst" of individual components</t>
  </si>
  <si>
    <t>Dust Characteristics</t>
  </si>
  <si>
    <t>Mixture Properties</t>
  </si>
  <si>
    <t xml:space="preserve">Melting Point, TM (deg C) = </t>
  </si>
  <si>
    <t xml:space="preserve">Boil Point, TB (deg C)= </t>
  </si>
  <si>
    <t xml:space="preserve">Lower Flammable Limit, LFL (vol %) = </t>
  </si>
  <si>
    <t xml:space="preserve">Upper Flammable Limit, UFL (vol %)= </t>
  </si>
  <si>
    <t xml:space="preserve">AutoIgnition Temperature (deg C) = </t>
  </si>
  <si>
    <t xml:space="preserve">Solids Mean Particle Size (micron) </t>
  </si>
  <si>
    <t xml:space="preserve">Dust Min Ignition Energy (mJoule) </t>
  </si>
  <si>
    <t xml:space="preserve">ERPG-1 or Odor (ppm) =  </t>
  </si>
  <si>
    <t xml:space="preserve">Particle Size at 10% Fraction (micron) </t>
  </si>
  <si>
    <r>
      <t xml:space="preserve">Chemicals </t>
    </r>
    <r>
      <rPr>
        <b/>
        <i/>
        <sz val="8"/>
        <rFont val="Arial Narrow"/>
        <family val="2"/>
      </rPr>
      <t>(the first chemical listed is the 'key' chemical)</t>
    </r>
  </si>
  <si>
    <t xml:space="preserve">Wt Fraction Feed = </t>
  </si>
  <si>
    <t xml:space="preserve">sum = </t>
  </si>
  <si>
    <t>Chemicals</t>
  </si>
  <si>
    <t>Moles Feed/Mass</t>
  </si>
  <si>
    <t>Mol Fraction Vapor</t>
  </si>
  <si>
    <t>Mass Vapor</t>
  </si>
  <si>
    <t xml:space="preserve">Coefficient A = </t>
  </si>
  <si>
    <t xml:space="preserve">Coefficient B = </t>
  </si>
  <si>
    <t>Liquid Heat Capacity = A + B*T</t>
  </si>
  <si>
    <t>Density = A - B*T</t>
  </si>
  <si>
    <t>Heat of Vaporization = A - B*T</t>
  </si>
  <si>
    <t xml:space="preserve">Mixture Estimates: </t>
  </si>
  <si>
    <t xml:space="preserve">Vapor Mol Weight = </t>
  </si>
  <si>
    <t>Mixture Estimates</t>
  </si>
  <si>
    <t xml:space="preserve">Particle Size at 10% Fraction = </t>
  </si>
  <si>
    <r>
      <t xml:space="preserve">Standard Mixture </t>
    </r>
    <r>
      <rPr>
        <b/>
        <i/>
        <sz val="8"/>
        <rFont val="Arial Narrow"/>
        <family val="2"/>
      </rPr>
      <t>(the key chemical has been defined as a mixture)</t>
    </r>
  </si>
  <si>
    <t xml:space="preserve">Not “Sustained Burning”? </t>
  </si>
  <si>
    <r>
      <t>Mixture LFL
1 / (y</t>
    </r>
    <r>
      <rPr>
        <b/>
        <vertAlign val="subscript"/>
        <sz val="10"/>
        <rFont val="Arial Narrow"/>
        <family val="2"/>
      </rPr>
      <t>i</t>
    </r>
    <r>
      <rPr>
        <b/>
        <sz val="10"/>
        <rFont val="Arial Narrow"/>
        <family val="2"/>
      </rPr>
      <t xml:space="preserve"> / LFL</t>
    </r>
    <r>
      <rPr>
        <b/>
        <vertAlign val="subscript"/>
        <sz val="10"/>
        <rFont val="Arial Narrow"/>
        <family val="2"/>
      </rPr>
      <t>i</t>
    </r>
    <r>
      <rPr>
        <b/>
        <sz val="10"/>
        <rFont val="Arial Narrow"/>
        <family val="2"/>
      </rPr>
      <t>)</t>
    </r>
  </si>
  <si>
    <r>
      <t>Mixture UFL
1 / (y</t>
    </r>
    <r>
      <rPr>
        <b/>
        <vertAlign val="subscript"/>
        <sz val="10"/>
        <rFont val="Arial Narrow"/>
        <family val="2"/>
      </rPr>
      <t>i</t>
    </r>
    <r>
      <rPr>
        <b/>
        <sz val="10"/>
        <rFont val="Arial Narrow"/>
        <family val="2"/>
      </rPr>
      <t xml:space="preserve"> / UFL</t>
    </r>
    <r>
      <rPr>
        <b/>
        <vertAlign val="subscript"/>
        <sz val="10"/>
        <rFont val="Arial Narrow"/>
        <family val="2"/>
      </rPr>
      <t>i</t>
    </r>
    <r>
      <rPr>
        <b/>
        <sz val="10"/>
        <rFont val="Arial Narrow"/>
        <family val="2"/>
      </rPr>
      <t>)</t>
    </r>
  </si>
  <si>
    <t>Liq Density at T</t>
  </si>
  <si>
    <t>Ht Capacity at T</t>
  </si>
  <si>
    <r>
      <t>Liq Density at T+</t>
    </r>
    <r>
      <rPr>
        <b/>
        <sz val="10"/>
        <rFont val="Symbol"/>
        <family val="1"/>
        <charset val="2"/>
      </rPr>
      <t>D</t>
    </r>
    <r>
      <rPr>
        <b/>
        <sz val="10"/>
        <rFont val="Arial Narrow"/>
        <family val="2"/>
      </rPr>
      <t>T</t>
    </r>
  </si>
  <si>
    <r>
      <t>Ht Capacity at T+</t>
    </r>
    <r>
      <rPr>
        <b/>
        <sz val="10"/>
        <rFont val="Symbol"/>
        <family val="1"/>
        <charset val="2"/>
      </rPr>
      <t>D</t>
    </r>
    <r>
      <rPr>
        <b/>
        <sz val="10"/>
        <rFont val="Arial Narrow"/>
        <family val="2"/>
      </rPr>
      <t>T</t>
    </r>
  </si>
  <si>
    <r>
      <t>Vapor Press at T+</t>
    </r>
    <r>
      <rPr>
        <b/>
        <sz val="10"/>
        <rFont val="Symbol"/>
        <family val="1"/>
        <charset val="2"/>
      </rPr>
      <t>D</t>
    </r>
    <r>
      <rPr>
        <b/>
        <sz val="10"/>
        <rFont val="Arial Narrow"/>
        <family val="2"/>
      </rPr>
      <t>T</t>
    </r>
  </si>
  <si>
    <t>Vapor Press at T</t>
  </si>
  <si>
    <t xml:space="preserve">Normal Boiling Point = </t>
  </si>
  <si>
    <t xml:space="preserve"> deg C</t>
  </si>
  <si>
    <t xml:space="preserve"> atm</t>
  </si>
  <si>
    <t xml:space="preserve"> cal/gm C</t>
  </si>
  <si>
    <t xml:space="preserve"> kg/liter</t>
  </si>
  <si>
    <t xml:space="preserve"> cal/gm</t>
  </si>
  <si>
    <t>Mol Fraction Feed</t>
  </si>
  <si>
    <t>Liquid Phase A</t>
  </si>
  <si>
    <t>Liquid Phase B</t>
  </si>
  <si>
    <t>Moles Liquid-A</t>
  </si>
  <si>
    <t>Mol Fraction Liquid-A</t>
  </si>
  <si>
    <t>Moles Liquid-B</t>
  </si>
  <si>
    <t>Mol Fraction Liquid-B</t>
  </si>
  <si>
    <t>Molecular Weight</t>
  </si>
  <si>
    <t>Wt Fraction Vapor</t>
  </si>
  <si>
    <t>Estimation of Vapor Composition</t>
  </si>
  <si>
    <t>Correlation of Mixture Density and Thermal Properties</t>
  </si>
  <si>
    <t xml:space="preserve">Vapor Pressure </t>
  </si>
  <si>
    <t xml:space="preserve">Liquid Density </t>
  </si>
  <si>
    <t xml:space="preserve">Heat of Vaporization </t>
  </si>
  <si>
    <t xml:space="preserve"> cal/gm mol  C</t>
  </si>
  <si>
    <t xml:space="preserve"> cal/gm mol</t>
  </si>
  <si>
    <t>Separation Factors</t>
  </si>
  <si>
    <t xml:space="preserve">Liquid Density = </t>
  </si>
  <si>
    <t xml:space="preserve">Vapor Density = </t>
  </si>
  <si>
    <t xml:space="preserve">Liquid Heat Capacity = </t>
  </si>
  <si>
    <t xml:space="preserve">Estimated Vapor Heat Capacity = </t>
  </si>
  <si>
    <t xml:space="preserve">Heat of Vaporization  = </t>
  </si>
  <si>
    <t>Estimated of Mixture Properties over Temperature Range of</t>
  </si>
  <si>
    <t>Kg/cu m</t>
  </si>
  <si>
    <t>Kg/liter</t>
  </si>
  <si>
    <r>
      <t>Flash Fraction, F</t>
    </r>
    <r>
      <rPr>
        <vertAlign val="subscript"/>
        <sz val="10"/>
        <rFont val="Arial Narrow"/>
        <family val="2"/>
      </rPr>
      <t>V</t>
    </r>
    <r>
      <rPr>
        <sz val="10"/>
        <rFont val="Arial Narrow"/>
        <family val="2"/>
      </rPr>
      <t xml:space="preserve"> =</t>
    </r>
  </si>
  <si>
    <t>Avg Molar Liquid Heat Capacity, Cs =</t>
  </si>
  <si>
    <t xml:space="preserve">Feed Mol Weight = </t>
  </si>
  <si>
    <t>Chemical Name Entered</t>
  </si>
  <si>
    <t>Chemical 1 Name from Chemical Table</t>
  </si>
  <si>
    <t>Chemical 2 Name from Chemical Table</t>
  </si>
  <si>
    <t>Chemical 3 Name from Chemical Table</t>
  </si>
  <si>
    <t>Chemical 4 Name from Chemical Table</t>
  </si>
  <si>
    <t xml:space="preserve">Chemical Name as Mixture in Chemical Property Table </t>
  </si>
  <si>
    <t>Second Liq Phase?</t>
  </si>
  <si>
    <t>Name Chemical 1</t>
  </si>
  <si>
    <t xml:space="preserve">Mixture azeotrope? </t>
  </si>
  <si>
    <t>Chemical 5</t>
  </si>
  <si>
    <t>Chemical 5 Name from Chemical Table</t>
  </si>
  <si>
    <t>Fraction Chemical 5</t>
  </si>
  <si>
    <t>Name Chemical 5</t>
  </si>
  <si>
    <t>Second Phase Chemical 5?</t>
  </si>
  <si>
    <t xml:space="preserve"> based on "minimum" of individual components</t>
  </si>
  <si>
    <t xml:space="preserve"> Aerosol Temperature</t>
  </si>
  <si>
    <t>Detected Onset Temperature (deg C)</t>
  </si>
  <si>
    <t>Detected Onset Rate (deg C/min)</t>
  </si>
  <si>
    <t>Melting
Point
(deg C)</t>
  </si>
  <si>
    <t>Flash
Point
(deg C)</t>
  </si>
  <si>
    <t>Autoignition Temp
(deg C)</t>
  </si>
  <si>
    <t>Boiling
Point
(deg C)</t>
  </si>
  <si>
    <t xml:space="preserve">Default Pool Fire Probability Spill plus Ignition </t>
  </si>
  <si>
    <t xml:space="preserve"> Total Leak Duration = </t>
  </si>
  <si>
    <t>Temperature after Flash</t>
  </si>
  <si>
    <t>Aerosol Temperature</t>
  </si>
  <si>
    <t xml:space="preserve">Maximum Pool Area = </t>
  </si>
  <si>
    <t xml:space="preserve">Pool Temperature During Filling = </t>
  </si>
  <si>
    <r>
      <t>m</t>
    </r>
    <r>
      <rPr>
        <vertAlign val="superscript"/>
        <sz val="10"/>
        <rFont val="Arial Narrow"/>
        <family val="2"/>
      </rPr>
      <t>2</t>
    </r>
  </si>
  <si>
    <t>Leak Rate during Depletion of Contained Mass</t>
  </si>
  <si>
    <t>Leak Rate during Depletion of Remaining Inventory</t>
  </si>
  <si>
    <t xml:space="preserve">Pool Temperature for Remainder of Scenario = </t>
  </si>
  <si>
    <t xml:space="preserve">Pool Evaporation Rate for Remainder of Scenario = </t>
  </si>
  <si>
    <t xml:space="preserve">Final Quantity in Pool = </t>
  </si>
  <si>
    <t xml:space="preserve">Discharge Coefficient, Cd = </t>
  </si>
  <si>
    <t>Mol Fraction Rainout =</t>
  </si>
  <si>
    <t xml:space="preserve">Mol Fraction Droplet Evaporation, Fd = </t>
  </si>
  <si>
    <t xml:space="preserve">Maximum Airborne Rate = </t>
  </si>
  <si>
    <t>Kg/Kg mol</t>
  </si>
  <si>
    <t>Average Mol Weight of Vapor</t>
  </si>
  <si>
    <t>Release Time-Scale Factor</t>
  </si>
  <si>
    <t>Time-Scaled Equivalent Vapor ERPG-2</t>
  </si>
  <si>
    <t>Time-Scaled Equivalent Vapor ERPG-3</t>
  </si>
  <si>
    <t xml:space="preserve">Equivalent Vapor LFL </t>
  </si>
  <si>
    <r>
      <t xml:space="preserve">Ave Molar Heat of Vaporization, </t>
    </r>
    <r>
      <rPr>
        <sz val="10"/>
        <rFont val="Symbol"/>
        <family val="1"/>
        <charset val="2"/>
      </rPr>
      <t>l</t>
    </r>
    <r>
      <rPr>
        <sz val="10"/>
        <rFont val="Arial Narrow"/>
        <family val="2"/>
      </rPr>
      <t xml:space="preserve"> = </t>
    </r>
  </si>
  <si>
    <t>Est Molar Vapor Heat Capacity, Cs =</t>
  </si>
  <si>
    <t>Mol Fraction Vapor Release Condensed =</t>
  </si>
  <si>
    <t>Total Non-Condensed Airborne Release =</t>
  </si>
  <si>
    <t>Mol Fraction Flashed</t>
  </si>
  <si>
    <t>Flash Fire (LFL/4) =</t>
  </si>
  <si>
    <t>Estimated Indoor Toxic Vulnerability</t>
  </si>
  <si>
    <t xml:space="preserve">Fraction of Leak Duration to Fill Liquid Pool = </t>
  </si>
  <si>
    <t xml:space="preserve">Pool Evaporation Rate during Filling = </t>
  </si>
  <si>
    <t xml:space="preserve">Mol Weight of Vessel or Equipment Head Space = </t>
  </si>
  <si>
    <t>Avg Mw of Initial Vapor</t>
  </si>
  <si>
    <t xml:space="preserve">Temperature after Depressurization = </t>
  </si>
  <si>
    <t xml:space="preserve">Mol Fraction Liquid Vaporized = </t>
  </si>
  <si>
    <t>Mol Weight</t>
  </si>
  <si>
    <t xml:space="preserve">Relief Headspace Vapor Capacity = </t>
  </si>
  <si>
    <t xml:space="preserve">Total Flashed Liquid from Depressurization = </t>
  </si>
  <si>
    <t>Total Airborne Release</t>
  </si>
  <si>
    <t xml:space="preserve">Mol Weight of Gas Pad = </t>
  </si>
  <si>
    <r>
      <t>m</t>
    </r>
    <r>
      <rPr>
        <vertAlign val="superscript"/>
        <sz val="10"/>
        <rFont val="Arial Narrow"/>
        <family val="2"/>
      </rPr>
      <t>3</t>
    </r>
  </si>
  <si>
    <t>Fire Parameters</t>
  </si>
  <si>
    <t xml:space="preserve">Equipment Elevation to Surface = </t>
  </si>
  <si>
    <t xml:space="preserve">Elevation of Nearest Work Area = </t>
  </si>
  <si>
    <t>Elevation of Nearest Work Area</t>
  </si>
  <si>
    <t>Elevation of Nearest Work Area Units</t>
  </si>
  <si>
    <t>Elevation of Ventilation Inlet</t>
  </si>
  <si>
    <t>Elevation of Ventilation Inlet Units</t>
  </si>
  <si>
    <t>Equipment Elevation to Surface</t>
  </si>
  <si>
    <t>Equipment Elevation to Surface Units</t>
  </si>
  <si>
    <t>Elevation of Occ Bldg Ventilation Inlet =</t>
  </si>
  <si>
    <t>Reviewed by:</t>
  </si>
  <si>
    <t xml:space="preserve">Review Date:  </t>
  </si>
  <si>
    <t xml:space="preserve">  Review Date:</t>
  </si>
  <si>
    <t>FEI Reviewed by:</t>
  </si>
  <si>
    <t>FEI Review Date</t>
  </si>
  <si>
    <t>CEI Reviewed by:</t>
  </si>
  <si>
    <t>CEI Review Date</t>
  </si>
  <si>
    <t>Instantaneous</t>
  </si>
  <si>
    <t>Indoor Wind Speed</t>
  </si>
  <si>
    <t>Convective Heat Loss Coeff-Insulated</t>
  </si>
  <si>
    <t>Convective Heat Loss Coeff-Uninsulated</t>
  </si>
  <si>
    <t>Fraction Combustible Consumed in Pool Fire</t>
  </si>
  <si>
    <t>Fire and Explosion Parameters</t>
  </si>
  <si>
    <t>Gasoline</t>
  </si>
  <si>
    <t>Phosphine</t>
  </si>
  <si>
    <t>7803-51-2</t>
  </si>
  <si>
    <r>
      <t>Feed LFL
1 / (y</t>
    </r>
    <r>
      <rPr>
        <b/>
        <vertAlign val="subscript"/>
        <sz val="10"/>
        <rFont val="Arial Narrow"/>
        <family val="2"/>
      </rPr>
      <t>i</t>
    </r>
    <r>
      <rPr>
        <b/>
        <sz val="10"/>
        <rFont val="Arial Narrow"/>
        <family val="2"/>
      </rPr>
      <t xml:space="preserve"> / LFL</t>
    </r>
    <r>
      <rPr>
        <b/>
        <vertAlign val="subscript"/>
        <sz val="10"/>
        <rFont val="Arial Narrow"/>
        <family val="2"/>
      </rPr>
      <t>i</t>
    </r>
    <r>
      <rPr>
        <b/>
        <sz val="10"/>
        <rFont val="Arial Narrow"/>
        <family val="2"/>
      </rPr>
      <t>)</t>
    </r>
  </si>
  <si>
    <t xml:space="preserve">Total Liquid Mass = </t>
  </si>
  <si>
    <t xml:space="preserve">Liquid/Initial Vapor Density at Relief Conditions = </t>
  </si>
  <si>
    <t xml:space="preserve">Churn-Turbulent Void Fraction Limit = </t>
  </si>
  <si>
    <t>Minimum Operating Fill Fraction</t>
  </si>
  <si>
    <t>Maximum Operating Fill Fraction</t>
  </si>
  <si>
    <t xml:space="preserve">Discharge Velocity = </t>
  </si>
  <si>
    <t>Release Velocity</t>
  </si>
  <si>
    <t>Distance to Nearest Work Area</t>
  </si>
  <si>
    <t>Distance to Nearest Work Area Units</t>
  </si>
  <si>
    <t>Maximum Outdoor Ground Level Concentration</t>
  </si>
  <si>
    <t xml:space="preserve">Molar Relief Device Capacity = </t>
  </si>
  <si>
    <t xml:space="preserve">Molar Required Vapor Relief Rate = </t>
  </si>
  <si>
    <t xml:space="preserve">Mol Fraction Vaporized from Depressurization = </t>
  </si>
  <si>
    <t xml:space="preserve">Fraction Flash+Aerosol for Liquid Swell = </t>
  </si>
  <si>
    <t xml:space="preserve">Total Release Duration = </t>
  </si>
  <si>
    <t xml:space="preserve">Molar Liquid Rate from Swell =  </t>
  </si>
  <si>
    <t xml:space="preserve">Mol Fraction Contained Mass Vaporized = </t>
  </si>
  <si>
    <t>Two-Phase Liquid Released from Swell =</t>
  </si>
  <si>
    <t>RELEASE ABOVE LIQUID LEVEL</t>
  </si>
  <si>
    <t>Total Released Vapor</t>
  </si>
  <si>
    <t>Mixture ERPG-2 (ppm)</t>
  </si>
  <si>
    <t xml:space="preserve"> atm absolute</t>
  </si>
  <si>
    <t xml:space="preserve">Temperature at Burst Pressure Initial Trials = </t>
  </si>
  <si>
    <t>Boiling Pt * Mole Fr</t>
  </si>
  <si>
    <t>Rupture at Peak Temperature</t>
  </si>
  <si>
    <t>Equipment Rupture at Peak Temperature</t>
  </si>
  <si>
    <t xml:space="preserve">  Equipment Rupture at Peak Temperature Conditions</t>
  </si>
  <si>
    <t>Burst Pressure (gauge)-For Explosion Energy</t>
  </si>
  <si>
    <t>Tpeak at Burst Pressure</t>
  </si>
  <si>
    <t>Burst Pressure (gauge)-for Chemical Release</t>
  </si>
  <si>
    <t xml:space="preserve">Tpeak at Relief Pressure = </t>
  </si>
  <si>
    <t xml:space="preserve">Limit for Flashing Liquid L = </t>
  </si>
  <si>
    <t>Pad Gas Name</t>
  </si>
  <si>
    <t>Time to Deplete Remaining Contained Mass =</t>
  </si>
  <si>
    <t xml:space="preserve">Flash Fraction from Relief Despressurization = </t>
  </si>
  <si>
    <t xml:space="preserve">Heating Overall U = </t>
  </si>
  <si>
    <t xml:space="preserve">Cooling Transfer Area = </t>
  </si>
  <si>
    <t xml:space="preserve">Cooling Overall U = </t>
  </si>
  <si>
    <t xml:space="preserve">Cooling Media T = </t>
  </si>
  <si>
    <t>Coolant Temperature Units</t>
  </si>
  <si>
    <t>Coolant Temperature</t>
  </si>
  <si>
    <t xml:space="preserve">Coolant Temperature = </t>
  </si>
  <si>
    <t xml:space="preserve">Heating Transfer Area = </t>
  </si>
  <si>
    <t>Import from Previous Study</t>
  </si>
  <si>
    <t xml:space="preserve">Chemical Comments: </t>
  </si>
  <si>
    <t xml:space="preserve">Select Default Units: </t>
  </si>
  <si>
    <t xml:space="preserve">Study File: </t>
  </si>
  <si>
    <t>Equipment Description</t>
  </si>
  <si>
    <t>Equipment Parameters</t>
  </si>
  <si>
    <t xml:space="preserve">Equipment or Piping Connection = </t>
  </si>
  <si>
    <t>Other Equipment Parameters</t>
  </si>
  <si>
    <t>Heat Transfer Parameters</t>
  </si>
  <si>
    <t>Relief Device Parameters</t>
  </si>
  <si>
    <t>Number of Flanges or Nozzles =</t>
  </si>
  <si>
    <t>Plant Layout Input</t>
  </si>
  <si>
    <t>Enclosed Process Area Data</t>
  </si>
  <si>
    <t>Occupied Building Data</t>
  </si>
  <si>
    <t>Environmental Inputs</t>
  </si>
  <si>
    <t xml:space="preserve">Plant Section or Sub-Area: </t>
  </si>
  <si>
    <t xml:space="preserve">P&amp;ID Number: </t>
  </si>
  <si>
    <t>Effective Egress from Work Area?</t>
  </si>
  <si>
    <t>Chemical Data Input</t>
  </si>
  <si>
    <t>Vessel/Tank Parameters</t>
  </si>
  <si>
    <t>Input Information</t>
  </si>
  <si>
    <t>Evaluations and Reports</t>
  </si>
  <si>
    <t xml:space="preserve">Equipment Identification: </t>
  </si>
  <si>
    <r>
      <t>Operating Pressure</t>
    </r>
    <r>
      <rPr>
        <i/>
        <sz val="8"/>
        <rFont val="Arial Narrow"/>
        <family val="2"/>
      </rPr>
      <t xml:space="preserve"> (gauge)</t>
    </r>
    <r>
      <rPr>
        <sz val="10"/>
        <rFont val="Arial Narrow"/>
        <family val="2"/>
      </rPr>
      <t xml:space="preserve"> = </t>
    </r>
  </si>
  <si>
    <t>Transportation Equipment or Piping Parameters</t>
  </si>
  <si>
    <t xml:space="preserve">Equipment Identification = </t>
  </si>
  <si>
    <t>Conductive Dip Pipe or Bottom Fill?</t>
  </si>
  <si>
    <t xml:space="preserve">Equipment Type: </t>
  </si>
  <si>
    <t xml:space="preserve">Distance to Nearest Fired Equipment = </t>
  </si>
  <si>
    <t xml:space="preserve">Distance to Property Limit or Fence Line = </t>
  </si>
  <si>
    <t xml:space="preserve">Location: </t>
  </si>
  <si>
    <t>Occupied Bldg Name</t>
  </si>
  <si>
    <t>Occupied Bldg2 Name</t>
  </si>
  <si>
    <t>Reaction Data Input and Evaluation</t>
  </si>
  <si>
    <r>
      <t xml:space="preserve">Liquid Head within Equipment, </t>
    </r>
    <r>
      <rPr>
        <sz val="10"/>
        <rFont val="Symbol"/>
        <family val="1"/>
        <charset val="2"/>
      </rPr>
      <t>D</t>
    </r>
    <r>
      <rPr>
        <sz val="10"/>
        <rFont val="Arial Narrow"/>
        <family val="2"/>
      </rPr>
      <t>h =</t>
    </r>
  </si>
  <si>
    <t>Non-Ignitable Atmosphere Maintained?</t>
  </si>
  <si>
    <t>Congestion_List</t>
  </si>
  <si>
    <t>Operating Procedures</t>
  </si>
  <si>
    <t>Location Information</t>
  </si>
  <si>
    <t xml:space="preserve">Key Chemical = </t>
  </si>
  <si>
    <t>Equipment Tag =</t>
  </si>
  <si>
    <t>Automated EBV to limit spill quantity?</t>
  </si>
  <si>
    <t>ESTIMATED FIRE &amp; EXPLOSION INDEX CALCULATIONS</t>
  </si>
  <si>
    <t>ESTIMATED CHEMICAL EXPOSURE INDEX CALCULATIONS</t>
  </si>
  <si>
    <t xml:space="preserve">  Equivalent Pipe or Nozzle Size (mm) = </t>
  </si>
  <si>
    <t>Liquid Leak Rate, L =</t>
  </si>
  <si>
    <t>Limiting Inventory =</t>
  </si>
  <si>
    <t xml:space="preserve">Heat of Vaporization at Op Temp = </t>
  </si>
  <si>
    <t xml:space="preserve">  Overall Fraction Flashed+Droplet Evaporation</t>
  </si>
  <si>
    <t xml:space="preserve">  Flashed Fraction</t>
  </si>
  <si>
    <t>Fraction Flashed+Droplet Evaporation =</t>
  </si>
  <si>
    <t>Estimated Pool Area =</t>
  </si>
  <si>
    <t>Pool Evaporation Rate =</t>
  </si>
  <si>
    <t>Total Airborne Quantity =</t>
  </si>
  <si>
    <t>CEI - Case 1 =</t>
  </si>
  <si>
    <t>HD2 - Case 1 =</t>
  </si>
  <si>
    <t>HD3 - Case 1 =</t>
  </si>
  <si>
    <t>Case 2 - Overfill or Overflow</t>
  </si>
  <si>
    <t>Vapor Leak Rate, V =</t>
  </si>
  <si>
    <t xml:space="preserve">Relief Diameter = </t>
  </si>
  <si>
    <t>Estimated Relief Vapor Capacity, V =</t>
  </si>
  <si>
    <t>Potential for Pool Fire Exposure =</t>
  </si>
  <si>
    <t>Estimated Fire Heat Input =</t>
  </si>
  <si>
    <t>CEI - Case 2 =</t>
  </si>
  <si>
    <t>HD2 - Case 2 =</t>
  </si>
  <si>
    <t>HD3 - Case 2 =</t>
  </si>
  <si>
    <t>CEI - Case 3 =</t>
  </si>
  <si>
    <t>HD2 - Case 3 =</t>
  </si>
  <si>
    <t>HD3 - Case 3 =</t>
  </si>
  <si>
    <t>CEI - Case 4 =</t>
  </si>
  <si>
    <t>HD2 - Case 4 =</t>
  </si>
  <si>
    <t>HD3 - Case 4 =</t>
  </si>
  <si>
    <t xml:space="preserve">Relief Design Actual Flow Rate = </t>
  </si>
  <si>
    <t>Relief Design Actual Flow Rate</t>
  </si>
  <si>
    <t>Relief Design Actual Flow Units</t>
  </si>
  <si>
    <t xml:space="preserve">Relief Actual Flow Rate = </t>
  </si>
  <si>
    <t>Total Released in 15 minutes =</t>
  </si>
  <si>
    <t>Release Rate Limit (Inventory/5 min) =</t>
  </si>
  <si>
    <t>Limited Relief Vapor Rate, V =</t>
  </si>
  <si>
    <t>Worst Case CEI Data to Save to Equipment Table - Case</t>
  </si>
  <si>
    <t xml:space="preserve">CEI UNITS: </t>
  </si>
  <si>
    <t>Worst CEI Case</t>
  </si>
  <si>
    <t>CEI CASE DATA - SUMMARY</t>
  </si>
  <si>
    <t>Leak Rate, L or V =</t>
  </si>
  <si>
    <t>Considered Toxic by a Regulatory Agency?</t>
  </si>
  <si>
    <r>
      <t>Feed Mixture ER-3
1 / (y</t>
    </r>
    <r>
      <rPr>
        <b/>
        <vertAlign val="subscript"/>
        <sz val="10"/>
        <rFont val="Arial Narrow"/>
        <family val="2"/>
      </rPr>
      <t>i</t>
    </r>
    <r>
      <rPr>
        <b/>
        <sz val="10"/>
        <rFont val="Arial Narrow"/>
        <family val="2"/>
      </rPr>
      <t xml:space="preserve"> / ER-3</t>
    </r>
    <r>
      <rPr>
        <b/>
        <vertAlign val="subscript"/>
        <sz val="10"/>
        <rFont val="Arial Narrow"/>
        <family val="2"/>
      </rPr>
      <t>i</t>
    </r>
    <r>
      <rPr>
        <b/>
        <sz val="10"/>
        <rFont val="Arial Narrow"/>
        <family val="2"/>
      </rPr>
      <t>)</t>
    </r>
  </si>
  <si>
    <t>Pressure</t>
  </si>
  <si>
    <t xml:space="preserve">Mechanical Energy Tmax at Low Level = </t>
  </si>
  <si>
    <t>Time to Relief Temp at Low Level</t>
  </si>
  <si>
    <t>Time to Rupture Temp at Low Level</t>
  </si>
  <si>
    <t>Maximum Ambient Conditions</t>
  </si>
  <si>
    <t>Potential for Pool Fire</t>
  </si>
  <si>
    <t>minutes</t>
  </si>
  <si>
    <t>Time to Rupture Temp at LowLevel</t>
  </si>
  <si>
    <t>Time to Relief Temp at Low Level =</t>
  </si>
  <si>
    <t>Psat &gt; Relief Set Pressure Low Level?</t>
  </si>
  <si>
    <t>Maximum Feed Pressure</t>
  </si>
  <si>
    <t>Maximum Gas Pad Pressure</t>
  </si>
  <si>
    <t>Maximum Downstream Equipment Pressure</t>
  </si>
  <si>
    <t>Combustible Dust?</t>
  </si>
  <si>
    <t>Aquatic Toxicity Classification</t>
  </si>
  <si>
    <r>
      <t>Dermal Toxicity Classification</t>
    </r>
    <r>
      <rPr>
        <i/>
        <sz val="8"/>
        <rFont val="Arial Narrow"/>
        <family val="2"/>
      </rPr>
      <t xml:space="preserve"> (or Corrosive to Human Tissue)</t>
    </r>
  </si>
  <si>
    <t>Highly Volatile or Gaseous Products Generated?</t>
  </si>
  <si>
    <t>Potential for Mixing Incompatible Materials?</t>
  </si>
  <si>
    <t>Summary of Equipment and Process Conditions</t>
  </si>
  <si>
    <t>Hazard Screening</t>
  </si>
  <si>
    <t>Summary of Chemical Information</t>
  </si>
  <si>
    <t>Potential for Uncontrolled Reaction</t>
  </si>
  <si>
    <t>Release Rate,  Kg/sec</t>
  </si>
  <si>
    <t>Equivalent Hole Size,  cm</t>
  </si>
  <si>
    <t>Flash + Aerosol Evaporation Fraction</t>
  </si>
  <si>
    <t>Estimated Pool Temperature, C</t>
  </si>
  <si>
    <t>Total Airborne Rate,  kg/sec</t>
  </si>
  <si>
    <t>Release Temperature, C</t>
  </si>
  <si>
    <t>Total Airborne Quantity, Kg</t>
  </si>
  <si>
    <t xml:space="preserve">Physical State at Release Conditions </t>
  </si>
  <si>
    <t>Release Pressure, barg</t>
  </si>
  <si>
    <t>Release Duration, min</t>
  </si>
  <si>
    <t>Heat Input, Kcal/min</t>
  </si>
  <si>
    <r>
      <t>people/m</t>
    </r>
    <r>
      <rPr>
        <b/>
        <vertAlign val="superscript"/>
        <sz val="10"/>
        <rFont val="Arial Narrow"/>
        <family val="2"/>
      </rPr>
      <t>2</t>
    </r>
  </si>
  <si>
    <t>Maximum Outdoor Population Density</t>
  </si>
  <si>
    <t>USER DEFINED HOLE SIZE (top)</t>
  </si>
  <si>
    <t>Medium Hole Size Leak (top)</t>
  </si>
  <si>
    <t>Full Bore Pipe or Nozzle Leak</t>
  </si>
  <si>
    <t>Very Large Hole Leak (top)</t>
  </si>
  <si>
    <t>Full Bore Pipe or Nozzle Leak (top)</t>
  </si>
  <si>
    <t>Vapor Displacement from Liquid Fill</t>
  </si>
  <si>
    <t>Airborne Quantity Composition:</t>
  </si>
  <si>
    <t>Exceeds Threshold Criteria</t>
  </si>
  <si>
    <t>Lower Flammable Limit at Initial Composition, vol %</t>
  </si>
  <si>
    <t>Note Chemical Information in Bold</t>
  </si>
  <si>
    <t>Extremely Large Hole Leak (top)</t>
  </si>
  <si>
    <t>Liquid Spray Distance</t>
  </si>
  <si>
    <t>Number Potential Impact by Vapor Spray</t>
  </si>
  <si>
    <t>Spray Distance, m</t>
  </si>
  <si>
    <t>Overfill Release</t>
  </si>
  <si>
    <t>Pad Gas Flow Failure</t>
  </si>
  <si>
    <t>USER DEFINED LIQUID RATE</t>
  </si>
  <si>
    <t>Vapor Vent - Fire</t>
  </si>
  <si>
    <t>Vapor Vent - Heat Transfer</t>
  </si>
  <si>
    <t>Vapor Vent - Mechanical Energy</t>
  </si>
  <si>
    <t>Vapor Vent - Reaction with Pooling</t>
  </si>
  <si>
    <t>Vapor Vent - Reaction with Fire</t>
  </si>
  <si>
    <t>Vapor Vent - Reaction with Mis-Loading</t>
  </si>
  <si>
    <t>Vapor Vent - Reaction with Catalyst</t>
  </si>
  <si>
    <t>Property</t>
  </si>
  <si>
    <t>Point 1</t>
  </si>
  <si>
    <t>Point 2</t>
  </si>
  <si>
    <t>Calculate Physical Property Constants from Data Points</t>
  </si>
  <si>
    <t>User Supplied Values</t>
  </si>
  <si>
    <t>A Coeff</t>
  </si>
  <si>
    <t>B Coeff</t>
  </si>
  <si>
    <t>C Coeff</t>
  </si>
  <si>
    <t xml:space="preserve">Session Date: </t>
  </si>
  <si>
    <t xml:space="preserve">Participants: </t>
  </si>
  <si>
    <t>Update Previously Saved Information</t>
  </si>
  <si>
    <t>Equipment Input</t>
  </si>
  <si>
    <t>Complete</t>
  </si>
  <si>
    <t>To modify information, select a cell in row to be updated and hit "Load Selected" button</t>
  </si>
  <si>
    <t>Process Conditions Input</t>
  </si>
  <si>
    <t xml:space="preserve">Key Chemical: </t>
  </si>
  <si>
    <t xml:space="preserve">Reg. Agency Considers Toxic?  </t>
  </si>
  <si>
    <t>Min</t>
  </si>
  <si>
    <t>Occupied Bldg Distance to Center</t>
  </si>
  <si>
    <t>Occupied Bldg Center Units</t>
  </si>
  <si>
    <t xml:space="preserve">Distance to Center of Occupied  Bldg = </t>
  </si>
  <si>
    <t xml:space="preserve">Distance to Center of Occ  Bldg2 = </t>
  </si>
  <si>
    <t>Occupied Bldg2 Same Direction</t>
  </si>
  <si>
    <t>Elevation of Occ Bldg2 Vent Inlet</t>
  </si>
  <si>
    <t>Elevation of Occ Bldg2 Vent Inlet Units</t>
  </si>
  <si>
    <t>Distance to Center of Occ  Bldg2</t>
  </si>
  <si>
    <t>Distance to Center of Occ  Bldg2 Units</t>
  </si>
  <si>
    <t>Occupied Bldg2 Ventilation Rate</t>
  </si>
  <si>
    <t>Centralized Ventilation Shut-Off Bldg2</t>
  </si>
  <si>
    <t>Distance to Center of Occ  Bldg2 =</t>
  </si>
  <si>
    <t xml:space="preserve">Estimated Boiling Point, C = </t>
  </si>
  <si>
    <t>Vapor Pressure (absolute)</t>
  </si>
  <si>
    <t>Liquid Density</t>
  </si>
  <si>
    <t>Liquid Heat Capacity</t>
  </si>
  <si>
    <t>Heat of Vaporization</t>
  </si>
  <si>
    <t>Material Thermal Conductivity</t>
  </si>
  <si>
    <t>Reaction Heat (cal/gm-min)</t>
  </si>
  <si>
    <t>watt / m C</t>
  </si>
  <si>
    <t>F-K Critical Diameter</t>
  </si>
  <si>
    <t>Catalyzed Reaction</t>
  </si>
  <si>
    <t>Estimation of Frank-Kamenetskii Critical Diameter (Slab)</t>
  </si>
  <si>
    <t>Reaction plus External Heat</t>
  </si>
  <si>
    <t>Potential Catalyzed Reaction?</t>
  </si>
  <si>
    <t xml:space="preserve">Equipment Mass = </t>
  </si>
  <si>
    <t>Replacement Cost &amp; Business Loss</t>
  </si>
  <si>
    <t>Equipment Mass</t>
  </si>
  <si>
    <t>Equipment Mass Units</t>
  </si>
  <si>
    <t>Sizing Flowrate*</t>
  </si>
  <si>
    <t>Chemical Name</t>
  </si>
  <si>
    <t>LFL (Vol %)</t>
  </si>
  <si>
    <t>Temperature at Inlet of Relief Device</t>
  </si>
  <si>
    <t>meters</t>
  </si>
  <si>
    <t>Density of Relief Stream at Exit</t>
  </si>
  <si>
    <t>Density of Air at Ambient Temperature (25 C)</t>
  </si>
  <si>
    <t>Estimated Viscosity of Exiting Relief Vapor</t>
  </si>
  <si>
    <t>cP</t>
  </si>
  <si>
    <t>Discharge Velocity - Actual Flowrate (exit conditions)</t>
  </si>
  <si>
    <t>Reynolds Number at Actual Flowrate (Re = d v r / m)</t>
  </si>
  <si>
    <t>Discharge Velocity - Sizing Flowrate (exit conditions)</t>
  </si>
  <si>
    <t>Reynolds Number at Sizing Flowrate (Re = d v r / m)</t>
  </si>
  <si>
    <t>times LFL</t>
  </si>
  <si>
    <t>times ER-3</t>
  </si>
  <si>
    <t>times Time-Scaled ER-3</t>
  </si>
  <si>
    <t>Pad Gas</t>
  </si>
  <si>
    <t>Relief Device Identification</t>
  </si>
  <si>
    <t xml:space="preserve">Relief Device Identification: </t>
  </si>
  <si>
    <t>Estimated Actual Flowrate</t>
  </si>
  <si>
    <t>Uncontrolled Reaction - with External Heat</t>
  </si>
  <si>
    <t>Uncontrolled Reaction - Adiabatic Conditions</t>
  </si>
  <si>
    <t>Quantity during Initial Depressurization (Rupture Disk)</t>
  </si>
  <si>
    <t>Potential for Liquid or 2-Phase Release</t>
  </si>
  <si>
    <t>Vapor Wt Fract</t>
  </si>
  <si>
    <t>Overpressure Cases Considered</t>
  </si>
  <si>
    <t xml:space="preserve">Heating Media P = </t>
  </si>
  <si>
    <t>Heating Media Name</t>
  </si>
  <si>
    <t>Heating Media Pressure</t>
  </si>
  <si>
    <t>Heating Media Pressure Units</t>
  </si>
  <si>
    <t>Heating Media Source Pressure</t>
  </si>
  <si>
    <t>Maximum from Heating Media Temperature</t>
  </si>
  <si>
    <t xml:space="preserve">Number of Tubes = </t>
  </si>
  <si>
    <t>Tube Diameter</t>
  </si>
  <si>
    <t>Tube Diameter Units</t>
  </si>
  <si>
    <t>No of Tubes</t>
  </si>
  <si>
    <t>Effluent Results Case 14</t>
  </si>
  <si>
    <t>Effluent Results Case 15</t>
  </si>
  <si>
    <t>Pump Deadhead</t>
  </si>
  <si>
    <t>Pump_List</t>
  </si>
  <si>
    <t>Centrifugal</t>
  </si>
  <si>
    <t>Positive Displacement</t>
  </si>
  <si>
    <t>Pump Type =</t>
  </si>
  <si>
    <t>Pump Type</t>
  </si>
  <si>
    <t>Overall Chemical Hazard Level</t>
  </si>
  <si>
    <t xml:space="preserve">Heat Transfer Fluid </t>
  </si>
  <si>
    <t xml:space="preserve">Pad Gas Properties </t>
  </si>
  <si>
    <t>Ceramic or Graphite</t>
  </si>
  <si>
    <t xml:space="preserve"> min</t>
  </si>
  <si>
    <t xml:space="preserve"> C/min</t>
  </si>
  <si>
    <t xml:space="preserve">Pad Gas Name = </t>
  </si>
  <si>
    <t xml:space="preserve">Heat Transfer Fluid Name = </t>
  </si>
  <si>
    <t xml:space="preserve">Heat Transfer Fluid State = </t>
  </si>
  <si>
    <t>Flash Pt (C )</t>
  </si>
  <si>
    <t xml:space="preserve">Upstream Pressure (gauge) = </t>
  </si>
  <si>
    <t xml:space="preserve">Release Temperature = </t>
  </si>
  <si>
    <t>RELIEF DEVICE</t>
  </si>
  <si>
    <t>TUBE LEAK (Process)</t>
  </si>
  <si>
    <t xml:space="preserve">Tube (or Leak) Diameter = </t>
  </si>
  <si>
    <t>Toxic Infiltration</t>
  </si>
  <si>
    <t>Heat Exchanger Tube Leak &gt; 100 tubes</t>
  </si>
  <si>
    <t>Heat Exchanger Tube Leak &lt; 100 tubes</t>
  </si>
  <si>
    <t>Maximum Back Flow Rate =</t>
  </si>
  <si>
    <t xml:space="preserve">Maximum Feed or Flow Rate = </t>
  </si>
  <si>
    <t>Maximum Back Flow Rate</t>
  </si>
  <si>
    <t>Volumetric Backflow Rate</t>
  </si>
  <si>
    <t>Maximum Back Flow Units</t>
  </si>
  <si>
    <t>BACKFLOW</t>
  </si>
  <si>
    <t>Backflow</t>
  </si>
  <si>
    <t>Maximum Allowable Leak Rate (MALR)</t>
  </si>
  <si>
    <t>Maximum Allowable Response Time (MART)</t>
  </si>
  <si>
    <t>There are generally three cases to consider:</t>
  </si>
  <si>
    <t>Ignition Factor</t>
  </si>
  <si>
    <t>Alternate POE Factor</t>
  </si>
  <si>
    <t xml:space="preserve">Equipment Volume: </t>
  </si>
  <si>
    <t xml:space="preserve">Boiling Point at MAWP or Relief Set: </t>
  </si>
  <si>
    <t xml:space="preserve">Level Alarm Set Point: </t>
  </si>
  <si>
    <t xml:space="preserve"> Fraction Full</t>
  </si>
  <si>
    <t xml:space="preserve"> Kg</t>
  </si>
  <si>
    <t xml:space="preserve">Heating Media Temperature: </t>
  </si>
  <si>
    <t xml:space="preserve">Heat Transfer Area: </t>
  </si>
  <si>
    <t xml:space="preserve">Heat Transfer Coefficient: </t>
  </si>
  <si>
    <t xml:space="preserve">Heat Capacity: </t>
  </si>
  <si>
    <t xml:space="preserve"> Kwatt</t>
  </si>
  <si>
    <t>Overheating Scenario:</t>
  </si>
  <si>
    <t xml:space="preserve">Overall Heat or Mechanical Energy Input: </t>
  </si>
  <si>
    <t xml:space="preserve"> Joule/gm C</t>
  </si>
  <si>
    <t>Heat Transfer</t>
  </si>
  <si>
    <t>Mechanical Energy</t>
  </si>
  <si>
    <t>Fire</t>
  </si>
  <si>
    <t xml:space="preserve">Normal Operating Temperature: </t>
  </si>
  <si>
    <t xml:space="preserve">Equipment Contained Mass at High Level: </t>
  </si>
  <si>
    <t xml:space="preserve">Equipment Contained Mass at Low Level: </t>
  </si>
  <si>
    <r>
      <t xml:space="preserve"> Kwatt/m</t>
    </r>
    <r>
      <rPr>
        <vertAlign val="superscript"/>
        <sz val="10"/>
        <rFont val="Arial Narrow"/>
        <family val="2"/>
      </rPr>
      <t>2</t>
    </r>
    <r>
      <rPr>
        <sz val="10"/>
        <rFont val="Arial Narrow"/>
        <family val="2"/>
      </rPr>
      <t xml:space="preserve"> C</t>
    </r>
  </si>
  <si>
    <t>Overflow</t>
  </si>
  <si>
    <t>Liquid Overfilling Scenario:</t>
  </si>
  <si>
    <t xml:space="preserve">Normal Operating Pressure: </t>
  </si>
  <si>
    <t xml:space="preserve">Maximum Pad Gas Flowrate: </t>
  </si>
  <si>
    <t xml:space="preserve">MAWP or Relief Set Pressure: </t>
  </si>
  <si>
    <t xml:space="preserve">Maximum Pad Gas Pressure: </t>
  </si>
  <si>
    <t xml:space="preserve">Maximum Source Pressure: </t>
  </si>
  <si>
    <t xml:space="preserve"> atm gauge</t>
  </si>
  <si>
    <t xml:space="preserve"> liter</t>
  </si>
  <si>
    <t xml:space="preserve">Pressure Alarm Set Point: </t>
  </si>
  <si>
    <t xml:space="preserve">Temperature Alarm Set Point: </t>
  </si>
  <si>
    <t xml:space="preserve">Time to Relief Set or MAWP: </t>
  </si>
  <si>
    <t xml:space="preserve">Temperature of No Return: </t>
  </si>
  <si>
    <t>Adiabatic Reaction</t>
  </si>
  <si>
    <t>Reaction + Ext Heat</t>
  </si>
  <si>
    <t>Reaction + Fire</t>
  </si>
  <si>
    <t>Reaction + Catalyst</t>
  </si>
  <si>
    <t>Reaction + Pooling</t>
  </si>
  <si>
    <t>Reaction + Misloading</t>
  </si>
  <si>
    <t xml:space="preserve">Rx Heat Rate at Alarm Point: </t>
  </si>
  <si>
    <t xml:space="preserve">Sensor Time Constant: </t>
  </si>
  <si>
    <t xml:space="preserve"> Kg/min</t>
  </si>
  <si>
    <t xml:space="preserve">Sensor Lag: </t>
  </si>
  <si>
    <t xml:space="preserve">Max Allowable Response Time: </t>
  </si>
  <si>
    <t xml:space="preserve">Max Allowable Response Time at High Level: </t>
  </si>
  <si>
    <t xml:space="preserve">Max Allowable Response Time at Low Level: </t>
  </si>
  <si>
    <t xml:space="preserve">Boiling Pt at MAWP or Relief Set: </t>
  </si>
  <si>
    <t xml:space="preserve">Required Alarm Set Point: </t>
  </si>
  <si>
    <t xml:space="preserve">Max Mechanical Energy Temperature at High Level: </t>
  </si>
  <si>
    <t xml:space="preserve">Max Mechanical Energy Temperature at Low Level: </t>
  </si>
  <si>
    <t>(Excludes Gas Generation)</t>
  </si>
  <si>
    <t>Vapor Relief Vent - Fire</t>
  </si>
  <si>
    <t>Vapor Relief Vent - Heat Transfer</t>
  </si>
  <si>
    <t>Vapor Relief Vent - Mechanical Energy</t>
  </si>
  <si>
    <t>Vapor Relief Vent - Reaction</t>
  </si>
  <si>
    <t>Vapor Relief Vent - Reaction with Fire</t>
  </si>
  <si>
    <t>Vapor Relief Vent - Reaction with Catalyst</t>
  </si>
  <si>
    <t>Vapor Relief Vent - Reaction with Pooling</t>
  </si>
  <si>
    <t>Vapor Relief Vent - Reaction with Mis-Loading</t>
  </si>
  <si>
    <t>Reactive Relief - Adiabatic</t>
  </si>
  <si>
    <t>Tube Hole Size Leak (Heat Transfer Fluid)</t>
  </si>
  <si>
    <t xml:space="preserve">Lower Flammable Limit at Initial Vapor Composition: </t>
  </si>
  <si>
    <t xml:space="preserve">Approximate Flash + Pool Evaporation Fractions: </t>
  </si>
  <si>
    <t xml:space="preserve">Leak Location: </t>
  </si>
  <si>
    <t xml:space="preserve">Indoor Process Volume: </t>
  </si>
  <si>
    <r>
      <t xml:space="preserve"> m</t>
    </r>
    <r>
      <rPr>
        <vertAlign val="superscript"/>
        <sz val="10"/>
        <rFont val="Arial Narrow"/>
        <family val="2"/>
      </rPr>
      <t>3</t>
    </r>
  </si>
  <si>
    <t>Equipment Surface Area:</t>
  </si>
  <si>
    <t xml:space="preserve">Heat Transfer Fluid: </t>
  </si>
  <si>
    <t xml:space="preserve">Heat Transfer Fluid Temperature: </t>
  </si>
  <si>
    <t>Heat Transfer:</t>
  </si>
  <si>
    <t>Reaction:</t>
  </si>
  <si>
    <t xml:space="preserve">Heat of Reaction: </t>
  </si>
  <si>
    <t xml:space="preserve"> Kjoule/Kg Reaction Mixture</t>
  </si>
  <si>
    <t xml:space="preserve">Fraction Limiting Reagent within Reaction Mixture: </t>
  </si>
  <si>
    <t>Boiling Point at MAWP or Relief Set</t>
  </si>
  <si>
    <t xml:space="preserve">Process Heat Capacity: </t>
  </si>
  <si>
    <t xml:space="preserve"> Kjoule</t>
  </si>
  <si>
    <t xml:space="preserve">Contained Mass: </t>
  </si>
  <si>
    <t xml:space="preserve">Total 24 hour Heat Input: </t>
  </si>
  <si>
    <t xml:space="preserve">Reaction Temperature of No Return: </t>
  </si>
  <si>
    <t>Pressure &lt; MAWP or Relief Set</t>
  </si>
  <si>
    <t>Level &lt; Overfill</t>
  </si>
  <si>
    <t xml:space="preserve">Maximum Allowable Heating Media Leak Rate: </t>
  </si>
  <si>
    <t xml:space="preserve">Maximum Allowable Reagent Addition Rate: </t>
  </si>
  <si>
    <t>Maximum Allowable Heating Media Leak Rate:</t>
  </si>
  <si>
    <t>Maximum Allowable Reagent Addition Rate:</t>
  </si>
  <si>
    <t xml:space="preserve">Vapor Density at Ambient Conditions = </t>
  </si>
  <si>
    <t xml:space="preserve">Initial Liquid Fill Fraction: </t>
  </si>
  <si>
    <t xml:space="preserve">Maximum Allowable Pad Gas Leak Rate: </t>
  </si>
  <si>
    <t>Pad Gas or Vapor Overpressure:</t>
  </si>
  <si>
    <t xml:space="preserve">Maximum Allowable Liquid Fill Rate: </t>
  </si>
  <si>
    <t xml:space="preserve">Maximum Contained Mass: </t>
  </si>
  <si>
    <t>Diaphragm-Limited Source Pressure</t>
  </si>
  <si>
    <t>Seal or Containment Type =</t>
  </si>
  <si>
    <t>Relief Discharges to:</t>
  </si>
  <si>
    <t>Vent Header to Blow-down Tank</t>
  </si>
  <si>
    <t xml:space="preserve">Relief Set Pressure (gauge) = </t>
  </si>
  <si>
    <t xml:space="preserve">Relief Size (equiv. diameter) = </t>
  </si>
  <si>
    <t>Pump or Compressor Suction</t>
  </si>
  <si>
    <t>Degree of Equipment Congestion in Area?</t>
  </si>
  <si>
    <r>
      <t>Activity Coefficient
1 / (y</t>
    </r>
    <r>
      <rPr>
        <b/>
        <vertAlign val="subscript"/>
        <sz val="10"/>
        <rFont val="Arial Narrow"/>
        <family val="2"/>
      </rPr>
      <t>i</t>
    </r>
    <r>
      <rPr>
        <b/>
        <sz val="10"/>
        <rFont val="Arial Narrow"/>
        <family val="2"/>
      </rPr>
      <t xml:space="preserve"> / ER-3</t>
    </r>
    <r>
      <rPr>
        <b/>
        <vertAlign val="subscript"/>
        <sz val="10"/>
        <rFont val="Arial Narrow"/>
        <family val="2"/>
      </rPr>
      <t>i</t>
    </r>
    <r>
      <rPr>
        <b/>
        <sz val="10"/>
        <rFont val="Arial Narrow"/>
        <family val="2"/>
      </rPr>
      <t>)</t>
    </r>
  </si>
  <si>
    <r>
      <t xml:space="preserve">                Estimated Total Vapor Pressure, </t>
    </r>
    <r>
      <rPr>
        <b/>
        <sz val="10"/>
        <rFont val="Symbol"/>
        <family val="1"/>
        <charset val="2"/>
      </rPr>
      <t>P</t>
    </r>
    <r>
      <rPr>
        <b/>
        <sz val="10"/>
        <rFont val="Arial Narrow"/>
        <family val="2"/>
      </rPr>
      <t xml:space="preserve"> = (x'</t>
    </r>
    <r>
      <rPr>
        <b/>
        <vertAlign val="subscript"/>
        <sz val="10"/>
        <rFont val="Arial Narrow"/>
        <family val="2"/>
      </rPr>
      <t>key</t>
    </r>
    <r>
      <rPr>
        <b/>
        <sz val="10"/>
        <rFont val="Arial Narrow"/>
        <family val="2"/>
      </rPr>
      <t xml:space="preserve"> + x''</t>
    </r>
    <r>
      <rPr>
        <b/>
        <vertAlign val="subscript"/>
        <sz val="10"/>
        <rFont val="Arial Narrow"/>
        <family val="2"/>
      </rPr>
      <t>key</t>
    </r>
    <r>
      <rPr>
        <b/>
        <sz val="10"/>
        <rFont val="Arial Narrow"/>
        <family val="2"/>
      </rPr>
      <t>) P</t>
    </r>
    <r>
      <rPr>
        <b/>
        <vertAlign val="superscript"/>
        <sz val="10"/>
        <rFont val="Arial Narrow"/>
        <family val="2"/>
      </rPr>
      <t>0</t>
    </r>
    <r>
      <rPr>
        <b/>
        <vertAlign val="subscript"/>
        <sz val="10"/>
        <rFont val="Arial Narrow"/>
        <family val="2"/>
      </rPr>
      <t>key</t>
    </r>
    <r>
      <rPr>
        <b/>
        <sz val="10"/>
        <rFont val="Arial Narrow"/>
        <family val="2"/>
      </rPr>
      <t xml:space="preserve"> / y</t>
    </r>
    <r>
      <rPr>
        <b/>
        <vertAlign val="subscript"/>
        <sz val="10"/>
        <rFont val="Arial Narrow"/>
        <family val="2"/>
      </rPr>
      <t xml:space="preserve">key
</t>
    </r>
    <r>
      <rPr>
        <b/>
        <i/>
        <sz val="8"/>
        <rFont val="Arial Narrow"/>
        <family val="2"/>
      </rPr>
      <t>where x'</t>
    </r>
    <r>
      <rPr>
        <b/>
        <i/>
        <vertAlign val="subscript"/>
        <sz val="8"/>
        <rFont val="Arial Narrow"/>
        <family val="2"/>
      </rPr>
      <t>key</t>
    </r>
    <r>
      <rPr>
        <b/>
        <i/>
        <sz val="8"/>
        <rFont val="Arial Narrow"/>
        <family val="2"/>
      </rPr>
      <t xml:space="preserve"> , x''key is mol fraction in key liquid phase(s) and P</t>
    </r>
    <r>
      <rPr>
        <b/>
        <i/>
        <vertAlign val="superscript"/>
        <sz val="8"/>
        <rFont val="Arial Narrow"/>
        <family val="2"/>
      </rPr>
      <t>0</t>
    </r>
    <r>
      <rPr>
        <b/>
        <i/>
        <vertAlign val="subscript"/>
        <sz val="8"/>
        <rFont val="Arial Narrow"/>
        <family val="2"/>
      </rPr>
      <t>key</t>
    </r>
    <r>
      <rPr>
        <b/>
        <i/>
        <sz val="8"/>
        <rFont val="Arial Narrow"/>
        <family val="2"/>
      </rPr>
      <t xml:space="preserve"> is vapor pressure of key</t>
    </r>
  </si>
  <si>
    <t>Mechanical Seal</t>
  </si>
  <si>
    <t>Gasket</t>
  </si>
  <si>
    <t>Hazard Class Calculation</t>
  </si>
  <si>
    <t>Ht Trans Fluid</t>
  </si>
  <si>
    <t xml:space="preserve">Boiling Point </t>
  </si>
  <si>
    <t xml:space="preserve">NFPA-Health </t>
  </si>
  <si>
    <t xml:space="preserve">NFPA-Stability </t>
  </si>
  <si>
    <t xml:space="preserve">ERPG-3 </t>
  </si>
  <si>
    <t xml:space="preserve">Hazard Class </t>
  </si>
  <si>
    <t>Vapor Relief Vent - Reaction with External Heat</t>
  </si>
  <si>
    <t>Reactive Relief - External Heat</t>
  </si>
  <si>
    <t>Limited Release Velocity</t>
  </si>
  <si>
    <t>Release Location</t>
  </si>
  <si>
    <t>Release Effluent Location</t>
  </si>
  <si>
    <t>Effective Release Elevation (Outdoor Only)</t>
  </si>
  <si>
    <t>Elevation Correction at Fence Line</t>
  </si>
  <si>
    <t>Elevation Correction at Outdoor Work Area</t>
  </si>
  <si>
    <t>Elevation Correction at Occupied Bldg 1</t>
  </si>
  <si>
    <t xml:space="preserve">Concentration at Distance to Fence Line = </t>
  </si>
  <si>
    <t xml:space="preserve">Heat Exchanger Tube Diameter = </t>
  </si>
  <si>
    <t xml:space="preserve">  Seal Failure</t>
  </si>
  <si>
    <t xml:space="preserve">  Drain Valve</t>
  </si>
  <si>
    <t>Relief Device</t>
  </si>
  <si>
    <t xml:space="preserve">Heat Transfer Fluid Pressure (gauge) = </t>
  </si>
  <si>
    <t>Backflow Release</t>
  </si>
  <si>
    <t>Tube Failure (Process)</t>
  </si>
  <si>
    <t>Tube Failure (Heating Media)</t>
  </si>
  <si>
    <t>TUBE LEAK (Heating Media)</t>
  </si>
  <si>
    <t>Relief Device (top)</t>
  </si>
  <si>
    <t>Vapor Vent - Adiabatic Reaction</t>
  </si>
  <si>
    <t>Vapor Vent - Reaction with External Heat</t>
  </si>
  <si>
    <t>Equipment Rupture at Operating Temperature</t>
  </si>
  <si>
    <t>Equipment Rupture - Internal Deflagration</t>
  </si>
  <si>
    <t>Equipment Rupture at Saturation Temperature</t>
  </si>
  <si>
    <t xml:space="preserve">Probability of Ignition Factor (Indoor) = </t>
  </si>
  <si>
    <t>ER-2 for Vapor Composition, ppm by volume</t>
  </si>
  <si>
    <t>ER-3 for Vapor Composition, ppm by volume</t>
  </si>
  <si>
    <t>LFL for Vapor Composition, % by volume</t>
  </si>
  <si>
    <t>Max Distance to Time-Scaled ER-2, m</t>
  </si>
  <si>
    <t>Concentration at Distance to Fence Line, ppm</t>
  </si>
  <si>
    <t>Concentration at Distance to Unrestricted Work Area, ppm</t>
  </si>
  <si>
    <t>Concentration within Enclosed Process Area, ppm</t>
  </si>
  <si>
    <t>Conc within Enclosed Process Area w/Ventilation, ppm</t>
  </si>
  <si>
    <t>Distance to Direct Blast Impact (10 psi), m</t>
  </si>
  <si>
    <t>Distance to 1 psi Overpressure, m</t>
  </si>
  <si>
    <t>Distance to Severe Thermal Radiation Impact, m</t>
  </si>
  <si>
    <t>Maximum Ground Elevation Concentration, ppm</t>
  </si>
  <si>
    <t>Not Sustained Burning?</t>
  </si>
  <si>
    <t>Starting Chemical That is Similar</t>
  </si>
  <si>
    <t>Properties of User Chemical to be Saved</t>
  </si>
  <si>
    <t>User Chemical Data Input</t>
  </si>
  <si>
    <t>Low Temperature Embrittlement</t>
  </si>
  <si>
    <t>Outdoor Flash Fire (LFL/4) =</t>
  </si>
  <si>
    <t>Maximum Pool Evaporation Rate,  kg/sec</t>
  </si>
  <si>
    <t>kg/sec</t>
  </si>
  <si>
    <t>Average Molecular Weight of Released Vapor</t>
  </si>
  <si>
    <t xml:space="preserve">Relief Headspace Vapor Velocity = </t>
  </si>
  <si>
    <t>Liquid</t>
  </si>
  <si>
    <t>times Time-Scaled ER-2</t>
  </si>
  <si>
    <t>Pad Gas Release</t>
  </si>
  <si>
    <r>
      <t>API 521 Reynolds No Criteria, Re &gt; 15400 (</t>
    </r>
    <r>
      <rPr>
        <sz val="9"/>
        <rFont val="Symbol"/>
        <family val="1"/>
        <charset val="2"/>
      </rPr>
      <t>r</t>
    </r>
    <r>
      <rPr>
        <vertAlign val="subscript"/>
        <sz val="9"/>
        <rFont val="Arial Narrow"/>
        <family val="2"/>
      </rPr>
      <t>j</t>
    </r>
    <r>
      <rPr>
        <sz val="9"/>
        <rFont val="Arial Narrow"/>
        <family val="2"/>
      </rPr>
      <t>/</t>
    </r>
    <r>
      <rPr>
        <sz val="9"/>
        <rFont val="Symbol"/>
        <family val="1"/>
        <charset val="2"/>
      </rPr>
      <t>r</t>
    </r>
    <r>
      <rPr>
        <vertAlign val="subscript"/>
        <sz val="7.65"/>
        <rFont val="Arial Narrow"/>
        <family val="2"/>
      </rPr>
      <t>a</t>
    </r>
    <r>
      <rPr>
        <sz val="7.65"/>
        <rFont val="Arial Narrow"/>
        <family val="2"/>
      </rPr>
      <t>) at Actual</t>
    </r>
  </si>
  <si>
    <r>
      <t>API 521 Reynolds No Criteria, Re &gt; 15400 (</t>
    </r>
    <r>
      <rPr>
        <sz val="9"/>
        <rFont val="Symbol"/>
        <family val="1"/>
        <charset val="2"/>
      </rPr>
      <t>r</t>
    </r>
    <r>
      <rPr>
        <vertAlign val="subscript"/>
        <sz val="9"/>
        <rFont val="Arial Narrow"/>
        <family val="2"/>
      </rPr>
      <t>j</t>
    </r>
    <r>
      <rPr>
        <sz val="9"/>
        <rFont val="Arial Narrow"/>
        <family val="2"/>
      </rPr>
      <t>/</t>
    </r>
    <r>
      <rPr>
        <sz val="9"/>
        <rFont val="Symbol"/>
        <family val="1"/>
        <charset val="2"/>
      </rPr>
      <t>r</t>
    </r>
    <r>
      <rPr>
        <vertAlign val="subscript"/>
        <sz val="7.65"/>
        <rFont val="Arial Narrow"/>
        <family val="2"/>
      </rPr>
      <t>a</t>
    </r>
    <r>
      <rPr>
        <sz val="7.65"/>
        <rFont val="Arial Narrow"/>
        <family val="2"/>
      </rPr>
      <t>) at Sizing</t>
    </r>
  </si>
  <si>
    <t>Fraction Key Chemical in Airborne Vapor</t>
  </si>
  <si>
    <t xml:space="preserve">Probability of Ignition
</t>
  </si>
  <si>
    <t>Access LOPA Workbook from Scenario Results</t>
  </si>
  <si>
    <r>
      <t xml:space="preserve">Maximum from Liquid Displacement </t>
    </r>
    <r>
      <rPr>
        <sz val="8"/>
        <rFont val="Arial Narrow"/>
        <family val="2"/>
      </rPr>
      <t xml:space="preserve"> </t>
    </r>
    <r>
      <rPr>
        <i/>
        <sz val="8"/>
        <rFont val="Arial Narrow"/>
        <family val="2"/>
      </rPr>
      <t>(based on 9 X compression or feed pressure)</t>
    </r>
  </si>
  <si>
    <t xml:space="preserve">Toxic Exposure Duration = </t>
  </si>
  <si>
    <t xml:space="preserve">Concentration at Distance to Outdoor Work Area = </t>
  </si>
  <si>
    <t xml:space="preserve">Heating Media Vapor Capacity = </t>
  </si>
  <si>
    <t>Sight Glass Failure</t>
  </si>
  <si>
    <t>Duration of  Continued Feed =</t>
  </si>
  <si>
    <t>Piping Parameters</t>
  </si>
  <si>
    <t>CONSEQUENCE SUMMARY</t>
  </si>
  <si>
    <t>Relative Chemical</t>
  </si>
  <si>
    <t>Vapor Pressure A</t>
  </si>
  <si>
    <t>Vapor Pressure B</t>
  </si>
  <si>
    <t>Vapor Pressure C</t>
  </si>
  <si>
    <t>Rel Vapor Press 1</t>
  </si>
  <si>
    <t>Operating Pressure Limit</t>
  </si>
  <si>
    <t>Liquid Velocity for Rupture Cases</t>
  </si>
  <si>
    <t>Equivalent Release Velocity at Operating Temp</t>
  </si>
  <si>
    <t>Equivalent Release Velocity at Saturation Temp</t>
  </si>
  <si>
    <t>Equivalent Release Velocity at Fire Conditions</t>
  </si>
  <si>
    <t>Logic Solver</t>
  </si>
  <si>
    <t>Two PRDs in Series w/o Adequate Pressure Check</t>
  </si>
  <si>
    <t>Two PRDs in Series with Adequate Pressure Check</t>
  </si>
  <si>
    <t>Two Independent PRDs on Separate Nozzles w/o Independence Audit</t>
  </si>
  <si>
    <t>Two Independent PRDs on Separate Nozzles with Independence Audit</t>
  </si>
  <si>
    <t>Mechanical Failure (eg. leading to spark or hot spot within equipment)</t>
  </si>
  <si>
    <t>Loss of Mixing or Agitation</t>
  </si>
  <si>
    <t>Explosion Panels meeting NFPA 68 or equivalent (excluding High Flame Speed Vapor or Class 3 Dust)</t>
  </si>
  <si>
    <t xml:space="preserve">Est Mixture Flash Point = </t>
  </si>
  <si>
    <t>Suggested Scenarios from the RAST Library</t>
  </si>
  <si>
    <t>Max Contained Mass Quantity</t>
  </si>
  <si>
    <t>Material Balance Summary</t>
  </si>
  <si>
    <t>Damage from Movement</t>
  </si>
  <si>
    <t>Pump (blower, compressor, etc.) Failure</t>
  </si>
  <si>
    <t>Mechanical Failure</t>
  </si>
  <si>
    <t>Probability of Ignition (POI)</t>
  </si>
  <si>
    <t>Probability of Explosion (POX)</t>
  </si>
  <si>
    <t>Prob of Exposure (proximity based)</t>
  </si>
  <si>
    <t>Human Failure Action more than once per quarter</t>
  </si>
  <si>
    <t>Human Failure Action once per quarter or less</t>
  </si>
  <si>
    <t>Flare or Incinerator</t>
  </si>
  <si>
    <t>Data Source:</t>
  </si>
  <si>
    <r>
      <t xml:space="preserve">Heat of Reaction, </t>
    </r>
    <r>
      <rPr>
        <sz val="10"/>
        <rFont val="Symbol"/>
        <family val="1"/>
        <charset val="2"/>
      </rPr>
      <t>D</t>
    </r>
    <r>
      <rPr>
        <sz val="10"/>
        <rFont val="Arial Narrow"/>
        <family val="2"/>
      </rPr>
      <t xml:space="preserve">HR (cal/g mix) = </t>
    </r>
  </si>
  <si>
    <r>
      <t xml:space="preserve">Activation Energy, </t>
    </r>
    <r>
      <rPr>
        <sz val="9"/>
        <rFont val="Symbol"/>
        <family val="1"/>
        <charset val="2"/>
      </rPr>
      <t>D</t>
    </r>
    <r>
      <rPr>
        <sz val="9"/>
        <rFont val="Arial Narrow"/>
        <family val="2"/>
      </rPr>
      <t xml:space="preserve">E (Kcal/g mole) = </t>
    </r>
  </si>
  <si>
    <t xml:space="preserve">Gas Generation, k (g mole/cc mix) = </t>
  </si>
  <si>
    <t>cal/g mix-min</t>
  </si>
  <si>
    <t>Uncontrolled Reaction - Adiabatic</t>
  </si>
  <si>
    <t xml:space="preserve">Time to Backflow = </t>
  </si>
  <si>
    <t xml:space="preserve">  Backflow / Relief Release</t>
  </si>
  <si>
    <t>Low Pressure Tank with Weak Seam Roof?</t>
  </si>
  <si>
    <t>Vent Release</t>
  </si>
  <si>
    <t>Flash Fire Potential (LFL/4) =</t>
  </si>
  <si>
    <t>Consider Dike or Bund Failure for Vessel Rupture?</t>
  </si>
  <si>
    <t xml:space="preserve">Total Flammable Release = </t>
  </si>
  <si>
    <t>SD_Gen_5</t>
  </si>
  <si>
    <t>Aerosol Droplet Size</t>
  </si>
  <si>
    <t>Potential For Combustible Aerosol</t>
  </si>
  <si>
    <t>Total Airborne Release, Total AQ =</t>
  </si>
  <si>
    <t xml:space="preserve">Total Airborne Rate, AQ Rate  = </t>
  </si>
  <si>
    <r>
      <t xml:space="preserve">Equivalent Vapor </t>
    </r>
    <r>
      <rPr>
        <b/>
        <sz val="10"/>
        <rFont val="Arial Narrow"/>
        <family val="2"/>
      </rPr>
      <t>ERPG-2</t>
    </r>
  </si>
  <si>
    <t>Credits</t>
  </si>
  <si>
    <t>Guidance for Selection of LOPA Scenario Cases for Analysis</t>
  </si>
  <si>
    <t>Max. Onsite Outdoor Population Density</t>
  </si>
  <si>
    <t>RAST RELIEF EFFLUENT SCREENING</t>
  </si>
  <si>
    <r>
      <rPr>
        <b/>
        <sz val="12"/>
        <rFont val="Arial Narrow"/>
        <family val="2"/>
      </rPr>
      <t xml:space="preserve">        </t>
    </r>
    <r>
      <rPr>
        <b/>
        <u/>
        <sz val="12"/>
        <rFont val="Arial Narrow"/>
        <family val="2"/>
      </rPr>
      <t>HAZARD SUMMARY</t>
    </r>
  </si>
  <si>
    <t>Flammable</t>
  </si>
  <si>
    <t>Reactive</t>
  </si>
  <si>
    <t>Corrosive to Tissue</t>
  </si>
  <si>
    <t>Environmental</t>
  </si>
  <si>
    <t>Relief Scenarios Considered:</t>
  </si>
  <si>
    <t>Reactivity Category =</t>
  </si>
  <si>
    <t xml:space="preserve">Reactivity Category = </t>
  </si>
  <si>
    <t>Reactivity Risk Statement</t>
  </si>
  <si>
    <t>ReactiveCategory_List</t>
  </si>
  <si>
    <t>Explosive</t>
  </si>
  <si>
    <t>Extremely Explosive</t>
  </si>
  <si>
    <t>Oxidizer</t>
  </si>
  <si>
    <t>Water Reactive</t>
  </si>
  <si>
    <t>First Pass Screen</t>
  </si>
  <si>
    <t>Estimated Actual or Rated Flowrate</t>
  </si>
  <si>
    <t xml:space="preserve">Details for Relief Scenario: </t>
  </si>
  <si>
    <t>List of Relief Effluent Scenario Cases:</t>
  </si>
  <si>
    <r>
      <t xml:space="preserve">Relief Orifice Diameter, </t>
    </r>
    <r>
      <rPr>
        <i/>
        <sz val="10"/>
        <rFont val="Arial Narrow"/>
        <family val="2"/>
      </rPr>
      <t>cm</t>
    </r>
    <r>
      <rPr>
        <sz val="10"/>
        <rFont val="Arial Narrow"/>
        <family val="2"/>
      </rPr>
      <t xml:space="preserve"> =</t>
    </r>
  </si>
  <si>
    <r>
      <t xml:space="preserve">Relief Set Pressure, </t>
    </r>
    <r>
      <rPr>
        <i/>
        <sz val="10"/>
        <rFont val="Arial Narrow"/>
        <family val="2"/>
      </rPr>
      <t>barg</t>
    </r>
    <r>
      <rPr>
        <sz val="10"/>
        <rFont val="Arial Narrow"/>
        <family val="2"/>
      </rPr>
      <t xml:space="preserve"> = </t>
    </r>
  </si>
  <si>
    <r>
      <t xml:space="preserve">Horizontal Distance To Nearest Fence Line, </t>
    </r>
    <r>
      <rPr>
        <i/>
        <sz val="10"/>
        <rFont val="Arial Narrow"/>
        <family val="2"/>
      </rPr>
      <t>m</t>
    </r>
    <r>
      <rPr>
        <sz val="10"/>
        <rFont val="Arial Narrow"/>
        <family val="2"/>
      </rPr>
      <t xml:space="preserve"> = </t>
    </r>
  </si>
  <si>
    <r>
      <t>Horizontal Distance To Nearest Work Area,</t>
    </r>
    <r>
      <rPr>
        <i/>
        <sz val="10"/>
        <rFont val="Arial Narrow"/>
        <family val="2"/>
      </rPr>
      <t xml:space="preserve"> m</t>
    </r>
    <r>
      <rPr>
        <sz val="10"/>
        <rFont val="Arial Narrow"/>
        <family val="2"/>
      </rPr>
      <t xml:space="preserve"> = </t>
    </r>
  </si>
  <si>
    <r>
      <t xml:space="preserve">Horizontal Distance To Occupied Building, </t>
    </r>
    <r>
      <rPr>
        <i/>
        <sz val="10"/>
        <rFont val="Arial Narrow"/>
        <family val="2"/>
      </rPr>
      <t>m</t>
    </r>
    <r>
      <rPr>
        <sz val="10"/>
        <rFont val="Arial Narrow"/>
        <family val="2"/>
      </rPr>
      <t xml:space="preserve"> = </t>
    </r>
  </si>
  <si>
    <r>
      <t xml:space="preserve">ID of Discharge Piping (final segment), </t>
    </r>
    <r>
      <rPr>
        <i/>
        <sz val="10"/>
        <rFont val="Arial Narrow"/>
        <family val="2"/>
      </rPr>
      <t>cm</t>
    </r>
    <r>
      <rPr>
        <sz val="10"/>
        <rFont val="Arial Narrow"/>
        <family val="2"/>
      </rPr>
      <t xml:space="preserve"> = </t>
    </r>
  </si>
  <si>
    <r>
      <t xml:space="preserve">System Inventory, </t>
    </r>
    <r>
      <rPr>
        <i/>
        <sz val="10"/>
        <rFont val="Arial Narrow"/>
        <family val="2"/>
      </rPr>
      <t>kg</t>
    </r>
    <r>
      <rPr>
        <sz val="10"/>
        <rFont val="Arial Narrow"/>
        <family val="2"/>
      </rPr>
      <t xml:space="preserve"> = </t>
    </r>
  </si>
  <si>
    <t>Release Duration</t>
  </si>
  <si>
    <t>kg</t>
  </si>
  <si>
    <t>Mixture LFL</t>
  </si>
  <si>
    <t>Equivalent Values for the Vapor Mixture (Ideal Gas)</t>
  </si>
  <si>
    <t>Is liquid being vaporized during this scenario?</t>
  </si>
  <si>
    <t>Quantity Released during Initial Depressurization (Rupture Disk Only)</t>
  </si>
  <si>
    <t>Estimated Sizing Flowrate</t>
  </si>
  <si>
    <t>Vapor Composition</t>
  </si>
  <si>
    <t>Vaporized Liquid?</t>
  </si>
  <si>
    <t>Modulating Relief Device</t>
  </si>
  <si>
    <t xml:space="preserve">Discharge Orientation: </t>
  </si>
  <si>
    <t>SD_Gen_72</t>
  </si>
  <si>
    <t>SD_Gen_73</t>
  </si>
  <si>
    <t>Heat Exchanger Tube Failure leaking Heat Transfer Fluid into the Process</t>
  </si>
  <si>
    <t>Heat Exchanger Tube Failure leaking Process into Heat Transfer Fluid</t>
  </si>
  <si>
    <t xml:space="preserve">  Tube Failure Release - Process Fluid</t>
  </si>
  <si>
    <t xml:space="preserve">  Tube Failure Release - Heat Transfer Fluid</t>
  </si>
  <si>
    <t>Liquid Wt Fract</t>
  </si>
  <si>
    <t>Potential for Aerosol or Mist?</t>
  </si>
  <si>
    <t>Potential for Aerosol or Mist (Internal to Equipment)?</t>
  </si>
  <si>
    <t>BPCS Status</t>
  </si>
  <si>
    <t>Op Response Status</t>
  </si>
  <si>
    <t>SIS A Status</t>
  </si>
  <si>
    <t>SIS B Status</t>
  </si>
  <si>
    <t>PRD Status</t>
  </si>
  <si>
    <t>SPRS 1 Status</t>
  </si>
  <si>
    <t>SPRS 2 Status</t>
  </si>
  <si>
    <t>SPRS 3 Status</t>
  </si>
  <si>
    <t>SPRS3</t>
  </si>
  <si>
    <t xml:space="preserve">User Equipment Max. Wetted Area = </t>
  </si>
  <si>
    <t xml:space="preserve">Estimated Equipment Max Wetted Area = </t>
  </si>
  <si>
    <t>Automated EBVs to limit spill quantity?</t>
  </si>
  <si>
    <t>Quantity of "Other" Flammables in Immediate Area</t>
  </si>
  <si>
    <t>Flammable in Adjacent Area</t>
  </si>
  <si>
    <t>Flammable in Immediate Area</t>
  </si>
  <si>
    <t>Flammable in Immediate Area Units</t>
  </si>
  <si>
    <t>Flammable in Adjacent Area Units</t>
  </si>
  <si>
    <t xml:space="preserve">Estimated Max Wetted Surface Area = </t>
  </si>
  <si>
    <t xml:space="preserve">Equipment Max Wetted Surface Area = </t>
  </si>
  <si>
    <t xml:space="preserve">Containment or Dike Surface Area = </t>
  </si>
  <si>
    <t>Vessel/Tank Considered as "Storage"?</t>
  </si>
  <si>
    <t>Vessel/ Tank Considered as Storage?</t>
  </si>
  <si>
    <t>Quantity of Flammables in Adjacent Area</t>
  </si>
  <si>
    <t>Adjacent Dike Area</t>
  </si>
  <si>
    <t>Adjacent Dike Area Units</t>
  </si>
  <si>
    <t xml:space="preserve">Adjacent Containment or Dike Surface Area = </t>
  </si>
  <si>
    <t xml:space="preserve">Minimum Component ER-3 = </t>
  </si>
  <si>
    <t xml:space="preserve">Equipment Item </t>
  </si>
  <si>
    <t xml:space="preserve">Equipment Type </t>
  </si>
  <si>
    <t xml:space="preserve">Location </t>
  </si>
  <si>
    <t xml:space="preserve">Vessel or Equipment Volume </t>
  </si>
  <si>
    <t xml:space="preserve">Vessel or Equipment Maximum Wetted Mass </t>
  </si>
  <si>
    <t xml:space="preserve">Maximum Allowable Working Pressure </t>
  </si>
  <si>
    <t xml:space="preserve">Maximum Wetted Surface Area </t>
  </si>
  <si>
    <t xml:space="preserve">Equipment Elevation to Surface </t>
  </si>
  <si>
    <t xml:space="preserve">Credit Fireproof Insultation? </t>
  </si>
  <si>
    <t xml:space="preserve">Credit Drainage to Reduce Fire Heat rate? </t>
  </si>
  <si>
    <t xml:space="preserve">Operating Temperature </t>
  </si>
  <si>
    <t>Reaction Temperature of No Return (if applicable)</t>
  </si>
  <si>
    <t xml:space="preserve">Temperature at Relief Set Pressure </t>
  </si>
  <si>
    <t xml:space="preserve">Temperature at Failure or Burst Pressure </t>
  </si>
  <si>
    <t xml:space="preserve">Containment or Dike Surface Area </t>
  </si>
  <si>
    <t xml:space="preserve">Adjacent Containment or Dike Surface Area </t>
  </si>
  <si>
    <t xml:space="preserve">Quantity of "Other" Flammables in Immediate Area </t>
  </si>
  <si>
    <t xml:space="preserve">Quantity of Flammables in Adjacent Area </t>
  </si>
  <si>
    <t xml:space="preserve">Vessel/Tank Considered as "Storage"? </t>
  </si>
  <si>
    <t xml:space="preserve">QFire =  </t>
  </si>
  <si>
    <t xml:space="preserve"> =</t>
  </si>
  <si>
    <t>Maximum Fire Duration based on Containment Surface Area:</t>
  </si>
  <si>
    <t xml:space="preserve">Fire Duration = </t>
  </si>
  <si>
    <t>Maximum Indirect Fire Duration based on Adjacent Containment Surface Area:</t>
  </si>
  <si>
    <t xml:space="preserve">Area of Burning Pool for Fully Engulfed = </t>
  </si>
  <si>
    <t xml:space="preserve">Leak Rate for Fully Engulfed = </t>
  </si>
  <si>
    <t xml:space="preserve">Maximum Flammable Inventory = </t>
  </si>
  <si>
    <t xml:space="preserve">Maximum Depth within Confined Area = </t>
  </si>
  <si>
    <t xml:space="preserve">Average Mass for Self Leakage = </t>
  </si>
  <si>
    <t xml:space="preserve">at </t>
  </si>
  <si>
    <t xml:space="preserve">Average Wetted Equip Mass for Self Leakage = </t>
  </si>
  <si>
    <t xml:space="preserve">Average Heat Adsorption for Self Leakage = </t>
  </si>
  <si>
    <t>Heat-up Times</t>
  </si>
  <si>
    <t xml:space="preserve">Time to Temperature of No Return = </t>
  </si>
  <si>
    <t>Basis</t>
  </si>
  <si>
    <t>Kg mol/sec</t>
  </si>
  <si>
    <t>Fire Heat Adsorption Summary for</t>
  </si>
  <si>
    <r>
      <t>Fire Sizing Vent Rate = Q</t>
    </r>
    <r>
      <rPr>
        <b/>
        <i/>
        <vertAlign val="subscript"/>
        <sz val="11"/>
        <color theme="1"/>
        <rFont val="Arial Narrow"/>
        <family val="2"/>
      </rPr>
      <t>Fire</t>
    </r>
    <r>
      <rPr>
        <b/>
        <i/>
        <sz val="11"/>
        <color theme="1"/>
        <rFont val="Arial Narrow"/>
        <family val="2"/>
      </rPr>
      <t xml:space="preserve"> / Heat of Vaporization:</t>
    </r>
  </si>
  <si>
    <r>
      <t>Q</t>
    </r>
    <r>
      <rPr>
        <vertAlign val="subscript"/>
        <sz val="10"/>
        <color theme="1"/>
        <rFont val="Arial Narrow"/>
        <family val="2"/>
      </rPr>
      <t>Fire</t>
    </r>
    <r>
      <rPr>
        <sz val="10"/>
        <color theme="1"/>
        <rFont val="Arial Narrow"/>
        <family val="2"/>
      </rPr>
      <t xml:space="preserve"> / </t>
    </r>
    <r>
      <rPr>
        <sz val="10"/>
        <color theme="1"/>
        <rFont val="Symbol"/>
        <family val="1"/>
        <charset val="2"/>
      </rPr>
      <t>D</t>
    </r>
    <r>
      <rPr>
        <sz val="10"/>
        <color theme="1"/>
        <rFont val="Arial Narrow"/>
        <family val="2"/>
      </rPr>
      <t>H</t>
    </r>
    <r>
      <rPr>
        <vertAlign val="subscript"/>
        <sz val="10"/>
        <color theme="1"/>
        <rFont val="Arial Narrow"/>
        <family val="2"/>
      </rPr>
      <t>V</t>
    </r>
    <r>
      <rPr>
        <sz val="10"/>
        <color theme="1"/>
        <rFont val="Arial Narrow"/>
        <family val="2"/>
      </rPr>
      <t xml:space="preserve"> =  </t>
    </r>
  </si>
  <si>
    <r>
      <t>Maximum Fire Duration based on Self Leak Rate and Pool Area = 2*Vol</t>
    </r>
    <r>
      <rPr>
        <b/>
        <i/>
        <vertAlign val="superscript"/>
        <sz val="10"/>
        <color theme="1"/>
        <rFont val="Arial Narrow"/>
        <family val="2"/>
      </rPr>
      <t>2/3</t>
    </r>
    <r>
      <rPr>
        <b/>
        <i/>
        <sz val="10"/>
        <color theme="1"/>
        <rFont val="Arial Narrow"/>
        <family val="2"/>
      </rPr>
      <t>:</t>
    </r>
  </si>
  <si>
    <t xml:space="preserve">  Kg </t>
  </si>
  <si>
    <t xml:space="preserve">Mass Times Heat Capacity = </t>
  </si>
  <si>
    <t xml:space="preserve">Mass Times Heat Capacity self Leakage = </t>
  </si>
  <si>
    <t>time to TNR</t>
  </si>
  <si>
    <t>time to Relief</t>
  </si>
  <si>
    <t>time to Rupture</t>
  </si>
  <si>
    <t xml:space="preserve">Direct M Cp / Q = </t>
  </si>
  <si>
    <t xml:space="preserve">Self Leakage M Cp / Q = </t>
  </si>
  <si>
    <t xml:space="preserve">Indirect M Cp / Q = </t>
  </si>
  <si>
    <t xml:space="preserve">Heat-up Time Basis = </t>
  </si>
  <si>
    <t xml:space="preserve"> Kcal/Kg C</t>
  </si>
  <si>
    <t xml:space="preserve">Indirect Fire Only? </t>
  </si>
  <si>
    <t xml:space="preserve">Burst Pressure Fire (gauge) = </t>
  </si>
  <si>
    <t xml:space="preserve">Elevation greater than Max for Fire? </t>
  </si>
  <si>
    <t>IPL Fully Implemented?</t>
  </si>
  <si>
    <t>Psat &gt; Rupture Pressure Low Level?</t>
  </si>
  <si>
    <t>Time to Deplete Contained Mass or Overfill =</t>
  </si>
  <si>
    <t>Fraction Release Not Consumed by Fire</t>
  </si>
  <si>
    <r>
      <t>m</t>
    </r>
    <r>
      <rPr>
        <vertAlign val="superscript"/>
        <sz val="10"/>
        <color theme="1"/>
        <rFont val="Arial Narrow"/>
        <family val="2"/>
      </rPr>
      <t>2</t>
    </r>
  </si>
  <si>
    <t>Pool Fire Evaluation Worksheet</t>
  </si>
  <si>
    <t>IPL Status? --&gt;</t>
  </si>
  <si>
    <t>Safety Analysis</t>
  </si>
  <si>
    <t xml:space="preserve">Concentration at Distance to Occ Bldg2 = </t>
  </si>
  <si>
    <t>Estimated Indoor Toxic Vulnerability - Bldg 2</t>
  </si>
  <si>
    <t>Elevation Correction at Occupied Bldg 2</t>
  </si>
  <si>
    <t>Overpressure at Occ Building 2 Center (psi)</t>
  </si>
  <si>
    <t xml:space="preserve">Expl Overpressure at Center of Occ Bldg 2,  psi = </t>
  </si>
  <si>
    <r>
      <t>m</t>
    </r>
    <r>
      <rPr>
        <b/>
        <vertAlign val="superscript"/>
        <sz val="10"/>
        <color indexed="8"/>
        <rFont val="Arial Narrow"/>
        <family val="2"/>
      </rPr>
      <t>3</t>
    </r>
  </si>
  <si>
    <t>Overpressure at Occ Building2 Center (psi)</t>
  </si>
  <si>
    <t>Number New IPL's Required</t>
  </si>
  <si>
    <t>Flammable Vapor Rate</t>
  </si>
  <si>
    <t>HD-2</t>
  </si>
  <si>
    <t>Both Suction &amp; Discharge</t>
  </si>
  <si>
    <t>Discharge Only</t>
  </si>
  <si>
    <t>Automated_Valve_List</t>
  </si>
  <si>
    <t>Time to Relief Set Pressure or Burst Pressure</t>
  </si>
  <si>
    <t>Positive Identification of Raw Materials prior to Unloading.</t>
  </si>
  <si>
    <t>Ammonia in Aqueous Solution*</t>
  </si>
  <si>
    <t>Hydrogen Chloride in Aqueous Solution*</t>
  </si>
  <si>
    <t>Sodium Hydroxide in Aqueous Solution*</t>
  </si>
  <si>
    <t>Sodium Chloride in Aqueous Solution*</t>
  </si>
  <si>
    <t>75-45-6</t>
  </si>
  <si>
    <t>Reference:</t>
  </si>
  <si>
    <t>To be Used ONLY in Aqueous Mixture</t>
  </si>
  <si>
    <t>Chemical Reference</t>
  </si>
  <si>
    <t>Hazard Distance, HD-2</t>
  </si>
  <si>
    <t>Layout Description</t>
  </si>
  <si>
    <t>Aqueous Solution</t>
  </si>
  <si>
    <t xml:space="preserve">Entered Relief Design Actual Flow Rate (kg/sec) = </t>
  </si>
  <si>
    <t>Comments or Reviewed By:</t>
  </si>
  <si>
    <t>Effluent Comments Case 1</t>
  </si>
  <si>
    <t>Effluent Comments Case 2</t>
  </si>
  <si>
    <t>Effluent Comments Case 3</t>
  </si>
  <si>
    <t>Effluent Comments Case 4</t>
  </si>
  <si>
    <t>Effluent Comments Case 5</t>
  </si>
  <si>
    <t>Effluent Comments Case 6</t>
  </si>
  <si>
    <t>Effluent Comments Case 7</t>
  </si>
  <si>
    <t>Effluent Comments Case 8</t>
  </si>
  <si>
    <t>Effluent Comments Case 9</t>
  </si>
  <si>
    <t>Effluent Comments Case 10</t>
  </si>
  <si>
    <t>Effluent Comments Case 11</t>
  </si>
  <si>
    <t>Effluent Comments Case 12</t>
  </si>
  <si>
    <t>Effluent Comments Case 13</t>
  </si>
  <si>
    <t>Effluent Comments Case 14</t>
  </si>
  <si>
    <t>Effluent Comments Case 15</t>
  </si>
  <si>
    <t>Effluent Results Case 16</t>
  </si>
  <si>
    <t xml:space="preserve">Prepared Date: </t>
  </si>
  <si>
    <t xml:space="preserve">Do Government Permits Require Effluent Treatment? </t>
  </si>
  <si>
    <t>Overpressure at Occ Bldg2 Center-Physical Explosion (psi)</t>
  </si>
  <si>
    <t>Overpressure at Occ Bldg2 Distance-Physical Explosion (psi)</t>
  </si>
  <si>
    <t>Overpressure at Occ Bldg2 Center-Reactive Explosion (psi)</t>
  </si>
  <si>
    <t>Overpressure at Occ Bldg2 Distance-Reactive Explosion (psi)</t>
  </si>
  <si>
    <t>IPLD_Gen_32</t>
  </si>
  <si>
    <t>Directed water spray that maintains equipment temperature below 100 C</t>
  </si>
  <si>
    <t>Blender/Mixer (Solids)</t>
  </si>
  <si>
    <t>Probabilty of Exposure</t>
  </si>
  <si>
    <t>Merge Data from Another Study into this Study</t>
  </si>
  <si>
    <t>bar(g)</t>
  </si>
  <si>
    <t>bar gauge</t>
  </si>
  <si>
    <t xml:space="preserve"> bar gauge</t>
  </si>
  <si>
    <t>Release Elevation</t>
  </si>
  <si>
    <t>Temperature-Low</t>
  </si>
  <si>
    <t>Low Temp Carbon Steel</t>
  </si>
  <si>
    <t>Equivalent Hole Diameter</t>
  </si>
  <si>
    <t>Tube Failure Release to Atmosphere?</t>
  </si>
  <si>
    <t>Maximum Allowable Leak Rate is the maximum flow that can leak by a valve used as the final element in a LOPA scenario without exceeding a threshold consequence criteria.</t>
  </si>
  <si>
    <t>Revised Target Factor</t>
  </si>
  <si>
    <t>Revised Probability of Ignition</t>
  </si>
  <si>
    <t>Revised Presence Factor</t>
  </si>
  <si>
    <t>Revised Target Factor General Description</t>
  </si>
  <si>
    <t>Revised Target Factor Detailed Description</t>
  </si>
  <si>
    <t>Revised POI General Description</t>
  </si>
  <si>
    <t>Revised POI Detailed Description</t>
  </si>
  <si>
    <t>Revised POE General Description</t>
  </si>
  <si>
    <t>Revised POE Detailed Description</t>
  </si>
  <si>
    <t>POI for Dust above MIT or Tip Speed &gt; 20 m/sec</t>
  </si>
  <si>
    <t>Mitigation System (Deluge, Foam, etc.) that results in ten-fold reduction in the consequence</t>
  </si>
  <si>
    <t>Restricted Access to a Hazardous Area</t>
  </si>
  <si>
    <t>Flow Restricting Orifice that results in ten-fold reduction in the consequence</t>
  </si>
  <si>
    <t>Pressure Relief Device Sized for Scenario and verified by qualified Relief Designer</t>
  </si>
  <si>
    <t>Explosion Panel Sized for Scenario and verified by qualified Relief Designer</t>
  </si>
  <si>
    <t>Vacuum Relief Device Sized for Scenario and verified by qualified Relief Designer</t>
  </si>
  <si>
    <t>IPLD_Gen_22</t>
  </si>
  <si>
    <t>Dike or Bund with Drainage to Remote Impoundment with sufficient Distance  to Eliminate Fire heat adsorption</t>
  </si>
  <si>
    <t>Effective Housekeeping Program to Prevent Secondary Dust Explosion Potential</t>
  </si>
  <si>
    <t>BTU/hr or</t>
  </si>
  <si>
    <t>IED_Gen_14</t>
  </si>
  <si>
    <t>Failure of Automated Block Valve in Batch Operation</t>
  </si>
  <si>
    <t>Review Date:</t>
  </si>
  <si>
    <t xml:space="preserve">Reviewed By: </t>
  </si>
  <si>
    <t>Effluent Comments Case 16</t>
  </si>
  <si>
    <t>Pool Fire Evaluation Review Date</t>
  </si>
  <si>
    <t>Pool Fire Evaluation Reviewed By</t>
  </si>
  <si>
    <r>
      <rPr>
        <b/>
        <sz val="16"/>
        <color theme="1"/>
        <rFont val="Arial Narrow"/>
        <family val="2"/>
      </rPr>
      <t>Summary of LOPA Scenarios Contributing to Pool Fir</t>
    </r>
    <r>
      <rPr>
        <b/>
        <i/>
        <sz val="16"/>
        <color theme="1"/>
        <rFont val="Arial Narrow"/>
        <family val="2"/>
      </rPr>
      <t xml:space="preserve">e - </t>
    </r>
    <r>
      <rPr>
        <b/>
        <i/>
        <sz val="16"/>
        <color rgb="FFC00000"/>
        <rFont val="Arial Narrow"/>
        <family val="2"/>
      </rPr>
      <t>Excluding Mitigating Protective Layers</t>
    </r>
    <r>
      <rPr>
        <b/>
        <i/>
        <sz val="16"/>
        <color theme="1"/>
        <rFont val="Arial Narrow"/>
        <family val="2"/>
      </rPr>
      <t>:</t>
    </r>
  </si>
  <si>
    <t xml:space="preserve">Vapor Cloud Mach No = </t>
  </si>
  <si>
    <t xml:space="preserve">Scaled Distance, R to 1 psi =  </t>
  </si>
  <si>
    <t>Scaled Distance to Occ Building Distance</t>
  </si>
  <si>
    <t>Scaled Distance to Occ Building Center</t>
  </si>
  <si>
    <t>Scaled Distance to Occ Building2 Center</t>
  </si>
  <si>
    <t>Scaled Distance to Occ Building2 Distance</t>
  </si>
  <si>
    <t xml:space="preserve">Building Explosion Mach No = </t>
  </si>
  <si>
    <t xml:space="preserve">Scaled Distance, R to 0.3 psi =  </t>
  </si>
  <si>
    <t xml:space="preserve">Scaled Overpressure at Center of Occ Bldg = </t>
  </si>
  <si>
    <t xml:space="preserve">Scaled Overpressure at Distance to Occ Bldg 2 = </t>
  </si>
  <si>
    <t xml:space="preserve">Scaled Overpressure at Center of Occ Bldg 2 = </t>
  </si>
  <si>
    <t xml:space="preserve">Scaled Distance to Occ Bldg = </t>
  </si>
  <si>
    <t>Vapor Cloud Explosion Mach No</t>
  </si>
  <si>
    <t>Building Explosion Mach No</t>
  </si>
  <si>
    <t>Equipment Head Space Deflagration Mach No</t>
  </si>
  <si>
    <t xml:space="preserve">Head Space Deflagration Overpressure at Distance to Occ Bldg,  psi = </t>
  </si>
  <si>
    <t xml:space="preserve">Head Space Deflagration Overpressure at Center of Occ Bldg,  psi = </t>
  </si>
  <si>
    <t xml:space="preserve">Head Space Deflagration Overpressure at Distance to Occ Bldg 2,  psi = </t>
  </si>
  <si>
    <t xml:space="preserve">Head Space Deflagration Overpressure at Center of Occ Bldg 2,  psi = </t>
  </si>
  <si>
    <t>To be Used ONLY in Sulfuric Acid Mixture</t>
  </si>
  <si>
    <t>Oleum</t>
  </si>
  <si>
    <t>Total Heat Input per Mass</t>
  </si>
  <si>
    <t>Kcal/gm</t>
  </si>
  <si>
    <t>Loss of Cooling for extended time allowing slow temperature increase</t>
  </si>
  <si>
    <t>IED_Gen_15</t>
  </si>
  <si>
    <t>Agitation or Pump Recirculation left running for extended time allowing slow temperature increase</t>
  </si>
  <si>
    <t>No Fired Equipment</t>
  </si>
  <si>
    <t>Piping Vulnerable to Damage?</t>
  </si>
  <si>
    <t>SD_Gen_74</t>
  </si>
  <si>
    <t>Operator opens Drain or Vent Open preparing for infrequent maintenance</t>
  </si>
  <si>
    <t>IED_Gen_34</t>
  </si>
  <si>
    <t>Credit Fire Heat Adsorption for Drainage/Indirect?</t>
  </si>
  <si>
    <t>Loss of Cooling results in Uncontrolled Exothermic Reaction</t>
  </si>
  <si>
    <t>IED_Rx_10</t>
  </si>
  <si>
    <t>Vapor Pressure plus pad gas exceeds Maximum Allowable Working Pressure or Relief Set Pressure at Maximum Temperature from Mechanical Energy Input</t>
  </si>
  <si>
    <t>Vapor Pressure plus pad gas Does Not exceed Maximum Allowable Working Pressure or Relief Set Pressure at Maximum Temperature from Mechanical Energy Input</t>
  </si>
  <si>
    <t>Vapor Pressure plus pad gas exceeds Maximum Allowable Working Pressure or Relief Set Pressure at Ambient or Heating Media Temperature</t>
  </si>
  <si>
    <t>Vapor Pressure plus pad gas Does Not exceed Maximum Allowable Working Pressure or Relief Set Pressure at Ambient or Heating Media Temperature</t>
  </si>
  <si>
    <t xml:space="preserve">       Maximum Fire Heat Adsorption (without drainage) = </t>
  </si>
  <si>
    <t>Methylene Chloride</t>
  </si>
  <si>
    <t>Methylene Chloride does not have a reported flash point</t>
  </si>
  <si>
    <t>Distance to Occupied Bldg</t>
  </si>
  <si>
    <t>Intended reaction for this Equipment?</t>
  </si>
  <si>
    <t>Intended Reaction for Equipment?</t>
  </si>
  <si>
    <t>Water in Sulfuric Acid Solution*</t>
  </si>
  <si>
    <t>gm mole/gm mix-min</t>
  </si>
  <si>
    <t>Estimated time to Relief Set or MAWP from Mechanical Energy at Low Level, min</t>
  </si>
  <si>
    <t>Estimated time to Relief Set or MAWP from Mechanical Energy at High Level, min</t>
  </si>
  <si>
    <t>Estimated time to Relief Set Pressure or MAWP from Heat Transfer at Low Level, min</t>
  </si>
  <si>
    <t>Explosion Summary:</t>
  </si>
  <si>
    <t>Airborne Quantity Summary:</t>
  </si>
  <si>
    <t>Estimated time to Relief Set Pressure or MAWP from Heat Transfer at High Level, min</t>
  </si>
  <si>
    <t>Internal Corrosive or Stress Cracking Potential?</t>
  </si>
  <si>
    <r>
      <t>Thermal Radiation Level, kw/m</t>
    </r>
    <r>
      <rPr>
        <vertAlign val="superscript"/>
        <sz val="10"/>
        <color theme="1"/>
        <rFont val="Arial Narrow"/>
        <family val="2"/>
      </rPr>
      <t>2</t>
    </r>
  </si>
  <si>
    <t>Distance from dike wall, m</t>
  </si>
  <si>
    <t>Non-Conductive Material of Construction</t>
  </si>
  <si>
    <t>Failure of grounding or other inability of equipment to dissipate static charge</t>
  </si>
  <si>
    <t>Failure of Pressure or NonCombustible Atmosphere Control</t>
  </si>
  <si>
    <t xml:space="preserve">Furthest Distance to Fence Line = </t>
  </si>
  <si>
    <t>Furthest Distance to Fence Line</t>
  </si>
  <si>
    <t>Furthest Distance to Fence Line Units</t>
  </si>
  <si>
    <t>Furthest Distance to Elevated Work Area</t>
  </si>
  <si>
    <t>Furthest Distance to Work Area Units</t>
  </si>
  <si>
    <t xml:space="preserve">Closest Distance to Work Area = </t>
  </si>
  <si>
    <t xml:space="preserve">Furthest Distance to Work Area = </t>
  </si>
  <si>
    <t>Estimated Concentration at Closest Distance to Nearest Elevated Work Area</t>
  </si>
  <si>
    <t xml:space="preserve">Concentration at Closest Distance to Outdoor Work Area = </t>
  </si>
  <si>
    <t>Elevation Correction at Outdoor Work Area2</t>
  </si>
  <si>
    <t xml:space="preserve">Concentration at Furthest Distance to Outdoor Work Area2 = </t>
  </si>
  <si>
    <t xml:space="preserve">Concentration at Distance to Outdoor Work Area2 = </t>
  </si>
  <si>
    <t>Maximum Outdoor Work Area Elevation Concentration</t>
  </si>
  <si>
    <t>MART:</t>
  </si>
  <si>
    <t>MALR:</t>
  </si>
  <si>
    <t>Instrumented Protective Layer Credits Taken</t>
  </si>
  <si>
    <r>
      <rPr>
        <b/>
        <i/>
        <sz val="10"/>
        <rFont val="Arial Narrow"/>
        <family val="2"/>
      </rPr>
      <t xml:space="preserve">b) </t>
    </r>
    <r>
      <rPr>
        <b/>
        <sz val="10"/>
        <rFont val="Arial Narrow"/>
        <family val="2"/>
      </rPr>
      <t xml:space="preserve">STOP </t>
    </r>
    <r>
      <rPr>
        <sz val="10"/>
        <rFont val="Arial Narrow"/>
        <family val="2"/>
      </rPr>
      <t>the scenario propagation by limiting the continued addition of material or energy to less than natural ability of the system to remove (such as the flow rate of heat transfer fluid that prevents further heating of the system).</t>
    </r>
  </si>
  <si>
    <r>
      <rPr>
        <b/>
        <i/>
        <sz val="10"/>
        <rFont val="Arial Narrow"/>
        <family val="2"/>
      </rPr>
      <t xml:space="preserve">c)  </t>
    </r>
    <r>
      <rPr>
        <b/>
        <sz val="10"/>
        <rFont val="Arial Narrow"/>
        <family val="2"/>
      </rPr>
      <t>DELAY</t>
    </r>
    <r>
      <rPr>
        <sz val="10"/>
        <rFont val="Arial Narrow"/>
        <family val="2"/>
      </rPr>
      <t xml:space="preserve"> the potential for catastrophic failure for a sufficiently long period of time (such as the flow rate which delays hydraulic overpressure for at least 24 hours) by limiting the continued addition of material or energy.</t>
    </r>
  </si>
  <si>
    <t>LIMIT - Allowable Release Rate of Hazardous Material:</t>
  </si>
  <si>
    <t>STOP - Allowable Addition Rate for Preventing Incident</t>
  </si>
  <si>
    <t>DELAY - Addition Rate to Delay Incident for 24 Hours</t>
  </si>
  <si>
    <t>Void Fraction</t>
  </si>
  <si>
    <t xml:space="preserve">Pool Area,  sq m </t>
  </si>
  <si>
    <t>Pad Gas Mol Fraction</t>
  </si>
  <si>
    <t>On-Site Toxic POE</t>
  </si>
  <si>
    <t>Flash Fire POE</t>
  </si>
  <si>
    <t>Chemical Exposure POE</t>
  </si>
  <si>
    <t>Physical Explosion POE</t>
  </si>
  <si>
    <t>Outdoor Toxic Exposure Duration</t>
  </si>
  <si>
    <t>Diethyl Benzene (m-)</t>
  </si>
  <si>
    <t>Date of Last Calc</t>
  </si>
  <si>
    <t>Update Notes and Comments for Entire Workbook</t>
  </si>
  <si>
    <t>Basis for Analysis</t>
  </si>
  <si>
    <r>
      <t>Kw/m</t>
    </r>
    <r>
      <rPr>
        <vertAlign val="superscript"/>
        <sz val="10"/>
        <rFont val="Arial Narrow"/>
        <family val="2"/>
      </rPr>
      <t>2</t>
    </r>
  </si>
  <si>
    <t>Notes or Comments:</t>
  </si>
  <si>
    <t>Dispersion Parameters:</t>
  </si>
  <si>
    <t>Explosion/Fire Parameters:</t>
  </si>
  <si>
    <t>Indoor Wind Speed Equivalent</t>
  </si>
  <si>
    <t>Toxicity Parameters:</t>
  </si>
  <si>
    <t>Workbook Reviewed by:</t>
  </si>
  <si>
    <t>Other Parameters:</t>
  </si>
  <si>
    <t>Kw/sq m C</t>
  </si>
  <si>
    <t>Input Status</t>
  </si>
  <si>
    <t>Data Entry Status or Notes:</t>
  </si>
  <si>
    <t>Comments or Warnings:</t>
  </si>
  <si>
    <t>Max No of Trials for Flash Routines</t>
  </si>
  <si>
    <t>Gain for Trial and Error Flash Routines</t>
  </si>
  <si>
    <t>Mass Fraction Vaporized</t>
  </si>
  <si>
    <t>Mol Fraction Flashed - Two-Phase Material</t>
  </si>
  <si>
    <t xml:space="preserve">Mol Fraction Droplet Evaporation Two-Phase, Fd = </t>
  </si>
  <si>
    <t>71-36-3</t>
  </si>
  <si>
    <t>64-17-5</t>
  </si>
  <si>
    <t>8006-61-9</t>
  </si>
  <si>
    <t>67-63-0</t>
  </si>
  <si>
    <t>Release Temperature</t>
  </si>
  <si>
    <t xml:space="preserve">Release Temperature (excluding pad gas) = </t>
  </si>
  <si>
    <t>IPLD_Gen_34</t>
  </si>
  <si>
    <t>Vapor Balanced with Feed Source to minimize potential for Overfill Release</t>
  </si>
  <si>
    <t>Tetrafluoroethane (1,1,1,2 - HFC 134a)</t>
  </si>
  <si>
    <t>Chlorodifluoro Methane (R 22)</t>
  </si>
  <si>
    <t>76-15-3</t>
  </si>
  <si>
    <t>Chloropentafluoro Ethane (R 115)</t>
  </si>
  <si>
    <t xml:space="preserve">Automatically Delete Eliminated Scenarios on Update? </t>
  </si>
  <si>
    <t>Auto Filter Scenario Results Settings</t>
  </si>
  <si>
    <t xml:space="preserve">Loaded Equipment </t>
  </si>
  <si>
    <t xml:space="preserve">IPL's Required </t>
  </si>
  <si>
    <t xml:space="preserve">Worst Scenario </t>
  </si>
  <si>
    <t>Estimated Fire Relief Vapor Rate to Atmosphere, V =</t>
  </si>
  <si>
    <t>Case 4 - Fire Relief Vapor Duty to Atmosphere</t>
  </si>
  <si>
    <t>Case 3 - Relief Device Vapor Capacity to Atmosphere</t>
  </si>
  <si>
    <t>Relief Device Vapor to Atmosphere</t>
  </si>
  <si>
    <t>Fire Exposure Vapor Relief to Atmosphere</t>
  </si>
  <si>
    <t>Temperature Alarm Set Point</t>
  </si>
  <si>
    <t xml:space="preserve">Heat Loss Rate at Temperature Alarm: </t>
  </si>
  <si>
    <t xml:space="preserve">Alarm Temperature: </t>
  </si>
  <si>
    <t xml:space="preserve">Total 24 hour Reaction Heat Input: </t>
  </si>
  <si>
    <t>Bellows or Expansion Joint Used?</t>
  </si>
  <si>
    <t>Bellows or Expansion Joint?</t>
  </si>
  <si>
    <r>
      <t>Detected Onset, T</t>
    </r>
    <r>
      <rPr>
        <vertAlign val="subscript"/>
        <sz val="10"/>
        <rFont val="Arial Narrow"/>
        <family val="2"/>
      </rPr>
      <t>0</t>
    </r>
    <r>
      <rPr>
        <sz val="10"/>
        <rFont val="Arial Narrow"/>
        <family val="2"/>
      </rPr>
      <t xml:space="preserve"> (C) = </t>
    </r>
  </si>
  <si>
    <r>
      <t>Detected Rate, R</t>
    </r>
    <r>
      <rPr>
        <vertAlign val="subscript"/>
        <sz val="10"/>
        <rFont val="Arial Narrow"/>
        <family val="2"/>
      </rPr>
      <t>0</t>
    </r>
    <r>
      <rPr>
        <sz val="10"/>
        <rFont val="Arial Narrow"/>
        <family val="2"/>
      </rPr>
      <t xml:space="preserve"> (C/min) = </t>
    </r>
  </si>
  <si>
    <r>
      <t xml:space="preserve">   </t>
    </r>
    <r>
      <rPr>
        <i/>
        <sz val="8"/>
        <rFont val="Arial Narrow"/>
        <family val="2"/>
      </rPr>
      <t>Assumed Outdoors if blank</t>
    </r>
  </si>
  <si>
    <t xml:space="preserve">Number Potential Outdoor Onsite Impact = </t>
  </si>
  <si>
    <t xml:space="preserve">Number Potential Toxic Infiltration Impact = </t>
  </si>
  <si>
    <t>Volumetric Inventory</t>
  </si>
  <si>
    <t>Heat Transfer Fluid Parameters (including mixtures)</t>
  </si>
  <si>
    <r>
      <t>y</t>
    </r>
    <r>
      <rPr>
        <vertAlign val="subscript"/>
        <sz val="10"/>
        <rFont val="Arial"/>
        <family val="2"/>
      </rPr>
      <t>i</t>
    </r>
    <r>
      <rPr>
        <sz val="10"/>
        <rFont val="Arial"/>
        <family val="2"/>
      </rPr>
      <t>*Mw</t>
    </r>
    <r>
      <rPr>
        <vertAlign val="subscript"/>
        <sz val="10"/>
        <rFont val="Arial"/>
        <family val="2"/>
      </rPr>
      <t>i</t>
    </r>
  </si>
  <si>
    <t>Fr *Dens A</t>
  </si>
  <si>
    <t>Fr* Dens B</t>
  </si>
  <si>
    <t>Fr* Liq C A</t>
  </si>
  <si>
    <t>Fr* Liq C B</t>
  </si>
  <si>
    <t>Fr*Lat Ht A</t>
  </si>
  <si>
    <t>Fr*Lat Ht B</t>
  </si>
  <si>
    <t>Fr*Lat Ht C</t>
  </si>
  <si>
    <t>Flash Pt</t>
  </si>
  <si>
    <r>
      <t>x</t>
    </r>
    <r>
      <rPr>
        <vertAlign val="subscript"/>
        <sz val="10"/>
        <rFont val="Arial"/>
        <family val="2"/>
      </rPr>
      <t>i</t>
    </r>
    <r>
      <rPr>
        <sz val="10"/>
        <rFont val="Arial"/>
        <family val="2"/>
      </rPr>
      <t>*Mw</t>
    </r>
    <r>
      <rPr>
        <vertAlign val="subscript"/>
        <sz val="10"/>
        <rFont val="Arial"/>
        <family val="2"/>
      </rPr>
      <t>i</t>
    </r>
  </si>
  <si>
    <t>NFPA-Flam</t>
  </si>
  <si>
    <t>Fract Flammable</t>
  </si>
  <si>
    <t>Ignition Ease</t>
  </si>
  <si>
    <t>Fuel React</t>
  </si>
  <si>
    <t>NFPA React</t>
  </si>
  <si>
    <t>NFPA Flam</t>
  </si>
  <si>
    <t>NFPA Health</t>
  </si>
  <si>
    <t>Dermal Tox</t>
  </si>
  <si>
    <t>Aquatic Tox</t>
  </si>
  <si>
    <t>Boiling Point</t>
  </si>
  <si>
    <t>Haz Class</t>
  </si>
  <si>
    <t xml:space="preserve">Conductivity = </t>
  </si>
  <si>
    <t>Ht Trans</t>
  </si>
  <si>
    <t>Fluid</t>
  </si>
  <si>
    <t xml:space="preserve">Autoignition Temp = </t>
  </si>
  <si>
    <t>Auto Ignition</t>
  </si>
  <si>
    <t xml:space="preserve">Minimum HT Fluid ER-3 = </t>
  </si>
  <si>
    <t>HT Fluid Thermal Burns</t>
  </si>
  <si>
    <t>HT Fluid Dermal Toxicity</t>
  </si>
  <si>
    <t>Heat Trans Fluid Hazard Level</t>
  </si>
  <si>
    <t xml:space="preserve">Est. Vapor Heat Capacity = </t>
  </si>
  <si>
    <t>Diaphragm Pump not susceptible to excessive pressure from Deadhead</t>
  </si>
  <si>
    <t>High Population Downstream of Facility?</t>
  </si>
  <si>
    <t>Probability</t>
  </si>
  <si>
    <t>Onsite Flammable Impact</t>
  </si>
  <si>
    <t>Onsite Chemical Exposure</t>
  </si>
  <si>
    <t xml:space="preserve">Onsite Direct Blast Impact </t>
  </si>
  <si>
    <t>Onsite Therm Rad Impact</t>
  </si>
  <si>
    <t xml:space="preserve">Occupied Building Toxic Impact </t>
  </si>
  <si>
    <t xml:space="preserve">Occupied Building Explosion Impact </t>
  </si>
  <si>
    <t xml:space="preserve">Offsite Toxic Impact </t>
  </si>
  <si>
    <t>Onsite Toxic Impact</t>
  </si>
  <si>
    <t>Number Potential Toxic Impact</t>
  </si>
  <si>
    <t>Number Potential Chemical Exposure Impact</t>
  </si>
  <si>
    <t>Number Potential Physical Explosion Impact</t>
  </si>
  <si>
    <r>
      <t xml:space="preserve">Estimated Aerosol Droplet Diameter, </t>
    </r>
    <r>
      <rPr>
        <i/>
        <sz val="10"/>
        <rFont val="Arial Narrow"/>
        <family val="2"/>
      </rPr>
      <t>micron</t>
    </r>
  </si>
  <si>
    <t>Use Time-based Release for Equipment Rupture?</t>
  </si>
  <si>
    <t xml:space="preserve">Use Time-based Release for Equipment Rupture? </t>
  </si>
  <si>
    <t>Release Duration for Equipment Rupture (sec)</t>
  </si>
  <si>
    <t xml:space="preserve">Fraction Reactive in Feed = </t>
  </si>
  <si>
    <t>MaxContained Mass of Flam or Reactive Material</t>
  </si>
  <si>
    <t>10 Min Spill Quantity of Flam or Reactive Material</t>
  </si>
  <si>
    <t>BPCS Control Action or Operator Response A</t>
  </si>
  <si>
    <t>BPCS Control Action or Operator Response B</t>
  </si>
  <si>
    <t>Dichloro-1,1,1-Trifluoroethane (2,2-)  (R 123)</t>
  </si>
  <si>
    <t>306-83-2</t>
  </si>
  <si>
    <t>Water Hammer and Thermal Expansion</t>
  </si>
  <si>
    <t>Thermal Expansion Potential</t>
  </si>
  <si>
    <t>Estimated Proximity POE</t>
  </si>
  <si>
    <t>Does Not Vent to Atmosphere</t>
  </si>
  <si>
    <t>Unit does not Vent to the Atmosphere</t>
  </si>
  <si>
    <t>SD_Gen_75</t>
  </si>
  <si>
    <t>Consider Dike or Bund Failure upon Vessel Rupture?</t>
  </si>
  <si>
    <t>Maximum Release Rate</t>
  </si>
  <si>
    <t>Release Pressure</t>
  </si>
  <si>
    <t>Liquid Pool Area</t>
  </si>
  <si>
    <t>Release Temperature (deg C)</t>
  </si>
  <si>
    <t>Duration at Max Release Rate (min)</t>
  </si>
  <si>
    <t>Total Release Duration (min)</t>
  </si>
  <si>
    <t>Release Temperature
(deg C)</t>
  </si>
  <si>
    <t>SD_Gen_41</t>
  </si>
  <si>
    <t>Lower Flammable Limit (vol %)</t>
  </si>
  <si>
    <r>
      <t>people/km</t>
    </r>
    <r>
      <rPr>
        <vertAlign val="superscript"/>
        <sz val="10"/>
        <rFont val="Arial Narrow"/>
        <family val="2"/>
      </rPr>
      <t>2</t>
    </r>
    <r>
      <rPr>
        <sz val="10"/>
        <rFont val="Arial Narrow"/>
        <family val="2"/>
      </rPr>
      <t xml:space="preserve"> </t>
    </r>
  </si>
  <si>
    <t>Distance</t>
  </si>
  <si>
    <t>Mass</t>
  </si>
  <si>
    <t>Flow</t>
  </si>
  <si>
    <t>Hole Diameter</t>
  </si>
  <si>
    <t>Release location</t>
  </si>
  <si>
    <t>Feed Composition</t>
  </si>
  <si>
    <t xml:space="preserve">Occupied Building Physical Explosion Impact </t>
  </si>
  <si>
    <t xml:space="preserve">Number Total Physical Explosion Impact = </t>
  </si>
  <si>
    <t>VCE or Building Explosion Distance to 1 psi Overpressure, m</t>
  </si>
  <si>
    <t>Butylene (1)</t>
  </si>
  <si>
    <t>106-98-9</t>
  </si>
  <si>
    <t>Butylene (1-)</t>
  </si>
  <si>
    <t>isoPropyl Chloride</t>
  </si>
  <si>
    <t>75-29-6</t>
  </si>
  <si>
    <t>IPLD_FE_9</t>
  </si>
  <si>
    <t>IsoOctane</t>
  </si>
  <si>
    <t>IsoPentane</t>
  </si>
  <si>
    <t>540-84-1</t>
  </si>
  <si>
    <t xml:space="preserve">Reported Mixture ER-3 = </t>
  </si>
  <si>
    <t xml:space="preserve">Mixture NFPA Reactivity = </t>
  </si>
  <si>
    <t>Mixture NFPA Stability Rating</t>
  </si>
  <si>
    <t>Equivalent Hole Diameter Units</t>
  </si>
  <si>
    <t>Total Release Quantity Units</t>
  </si>
  <si>
    <t>Release Pressure Units</t>
  </si>
  <si>
    <t>Maximum Release Rate Units</t>
  </si>
  <si>
    <t>Liquid Pool Area Units</t>
  </si>
  <si>
    <t>Total Airborne Quantity Units</t>
  </si>
  <si>
    <t>Max Airborne Rate Units</t>
  </si>
  <si>
    <t>Rupture Distance to Direct Blast Impact (Overpressure or Fragments) Units</t>
  </si>
  <si>
    <t>Rupture Distance to 1 psi Overpressure Units</t>
  </si>
  <si>
    <t>Flammable Vapor Rate Units</t>
  </si>
  <si>
    <t>Explosion Distance to 1 psi Overpressure Units</t>
  </si>
  <si>
    <t>Time to Relief Set Pressure or Burst Units</t>
  </si>
  <si>
    <t>Liquid Head, Dh</t>
  </si>
  <si>
    <t>Ht of Reaction, DHR (cal/gm)</t>
  </si>
  <si>
    <t>Thermal Inertia (ARC), f</t>
  </si>
  <si>
    <t>Sensor #1 ID</t>
  </si>
  <si>
    <t>Sensor #2 ID</t>
  </si>
  <si>
    <t>Final Element #1 ID</t>
  </si>
  <si>
    <t>Final Element #2 ID</t>
  </si>
  <si>
    <t>Sensor #3 ID</t>
  </si>
  <si>
    <t>Sensor #1:</t>
  </si>
  <si>
    <t>Sensor #2:</t>
  </si>
  <si>
    <t>FCE #1:</t>
  </si>
  <si>
    <t>FCE #2:</t>
  </si>
  <si>
    <t>Sensor #3:</t>
  </si>
  <si>
    <t>IED_Gen_16</t>
  </si>
  <si>
    <t>Loss of Condenser or Reflux Control</t>
  </si>
  <si>
    <t>Dust Accumulation in Process Area</t>
  </si>
  <si>
    <t>Propagation of Flame or Burning Ember</t>
  </si>
  <si>
    <t>Secondary Dust Release</t>
  </si>
  <si>
    <t>IED_D_6</t>
  </si>
  <si>
    <t>IED_D_7</t>
  </si>
  <si>
    <t>Accumulation of Dust on Rafters, Structural Members, and Surfaces.</t>
  </si>
  <si>
    <t>Propagation of Flame Front or Burning Ember providing an Ignition Source for Dust</t>
  </si>
  <si>
    <t>SD_D_9</t>
  </si>
  <si>
    <t>SD_D_10</t>
  </si>
  <si>
    <t>Taken</t>
  </si>
  <si>
    <t>Max Rx Temp</t>
  </si>
  <si>
    <t>Reaction Scenario based on Normal Operation Liquid Level:</t>
  </si>
  <si>
    <t>Instrumented</t>
  </si>
  <si>
    <t>Date Input Last Saved</t>
  </si>
  <si>
    <t>IED_Gen_69</t>
  </si>
  <si>
    <t>Failure or leakage of filling machine</t>
  </si>
  <si>
    <t>Maximum Pressure from Hydraulic Surge (Piping Only)</t>
  </si>
  <si>
    <t xml:space="preserve">Report Cases with NO IPL's Required? </t>
  </si>
  <si>
    <t>Load Equipment from Equipment Table</t>
  </si>
  <si>
    <t>Energy Rate Conversion Table</t>
  </si>
  <si>
    <t>Maximum Airborne Rate Units</t>
  </si>
  <si>
    <t>Time to Relief Set Pressure or Burst Pressure Units</t>
  </si>
  <si>
    <t xml:space="preserve">Boiling Point at Relief Set or MAWP = </t>
  </si>
  <si>
    <t xml:space="preserve">Boiling Point at Burst Pressure = </t>
  </si>
  <si>
    <t>Lower Mixture Correlating Temp</t>
  </si>
  <si>
    <t>Upper Mixture Correlation Temp</t>
  </si>
  <si>
    <t xml:space="preserve">User Specified Lower Mixture Correlating Temperature, C = </t>
  </si>
  <si>
    <t xml:space="preserve">User Specified Upper Mixture Correlating Temperature, C = </t>
  </si>
  <si>
    <t>Suggested IPLs</t>
  </si>
  <si>
    <t>Review of Operating Procedures for Selected Equipment Item by:</t>
  </si>
  <si>
    <t>OD for Selected Equipment Reviewed by:</t>
  </si>
  <si>
    <t>OD for Selected Equipment Review Date:</t>
  </si>
  <si>
    <t xml:space="preserve">Distance to Occupied Bldg 1 or Area = </t>
  </si>
  <si>
    <t xml:space="preserve">Elevation of Occ Bldg 1 Ventilation Inlet = </t>
  </si>
  <si>
    <t xml:space="preserve">Distance to Center of Occupied Bldg 1 = </t>
  </si>
  <si>
    <t xml:space="preserve">Occupied Building 2 Name = </t>
  </si>
  <si>
    <t xml:space="preserve">Occupied Building 1 Name = </t>
  </si>
  <si>
    <t>Centralized Ventilation Shut-Off Bldg 2?</t>
  </si>
  <si>
    <t xml:space="preserve">Occupied Bldg 2 Ventilation Rate = </t>
  </si>
  <si>
    <t>Occ Bldg 2 in Same Wind Direction?</t>
  </si>
  <si>
    <t xml:space="preserve">Relief Distance to Property Limit or Fence Line = </t>
  </si>
  <si>
    <t>Relief Distance to Occupied Bldg 2</t>
  </si>
  <si>
    <t xml:space="preserve">Relief Distance to Occupied Bldg 1 or Area = </t>
  </si>
  <si>
    <t>Relief Distance to Property Limit or Fence Line</t>
  </si>
  <si>
    <t>Relief Distance to Property Limit or Fence Line Units</t>
  </si>
  <si>
    <t>Relief Distance to Occupied Bldg 1 or Area</t>
  </si>
  <si>
    <t>Relief Distance to Occupied Bldg 1 or Area Units</t>
  </si>
  <si>
    <t>Relief Distance to Occupied Bldg 2 Units</t>
  </si>
  <si>
    <t xml:space="preserve">Relief Distance to Property Limit = </t>
  </si>
  <si>
    <t xml:space="preserve">Relief Distance to Occ Bldg 1 = </t>
  </si>
  <si>
    <t xml:space="preserve">Relief Distance to Occ Bldg 2 = </t>
  </si>
  <si>
    <t>Time at Risk / Other EF</t>
  </si>
  <si>
    <t>Suggested IPL's</t>
  </si>
  <si>
    <t xml:space="preserve">Relief Distance to Center of Occ Bldg 2 = </t>
  </si>
  <si>
    <t xml:space="preserve">Relief Distance to Occupied Bldg 2 = </t>
  </si>
  <si>
    <t xml:space="preserve">Relief Distance to Center Occ Bldg 1 = </t>
  </si>
  <si>
    <t xml:space="preserve">Relief Distance to Center Occ Bldg 2 = </t>
  </si>
  <si>
    <t>Relief Distance to Center Occ Bldg 1 or Area</t>
  </si>
  <si>
    <t>Relief Distance to Center Occ Bldg 1 or Area Units</t>
  </si>
  <si>
    <t>Relief Distance to Center Occupied Bldg 2</t>
  </si>
  <si>
    <t>Relief Distance to Center Occupied Bldg 2 Units</t>
  </si>
  <si>
    <t>Enter Distances from Relief Location ONLY if Different from Equipment Location</t>
  </si>
  <si>
    <t xml:space="preserve">Closest Distance From Relief to Elevated Work Area = </t>
  </si>
  <si>
    <t xml:space="preserve">Furthest Distance from Relief to Elevated Work Area = </t>
  </si>
  <si>
    <t>Occ Bldg 2 in Same Wind Direction for Relief?</t>
  </si>
  <si>
    <t xml:space="preserve">Relief Distance to Center of Occ Bldg 1 = </t>
  </si>
  <si>
    <t>Centralized Ventilation Shut-Off Bldg 1?</t>
  </si>
  <si>
    <t>Possible IPLs for Type of Scenario</t>
  </si>
  <si>
    <t xml:space="preserve">Description of Undesired Consequence
</t>
  </si>
  <si>
    <t>IPLD_Gen_37</t>
  </si>
  <si>
    <t>Ventilation System which is always running that prevents enclosed area  from reaching flammable or toxic concentrations</t>
  </si>
  <si>
    <t>IPLD_Gen_38</t>
  </si>
  <si>
    <t>IPLD_T_4</t>
  </si>
  <si>
    <t>Placement of wheel chocks, derail device or other device that will prevent movement of trucks or railcars</t>
  </si>
  <si>
    <t>IPLD_Gen_39</t>
  </si>
  <si>
    <t>Mechanical device to reduce flow velocity or device to increase valve closure time and eliminate potential for dynamic pressure surges in piping</t>
  </si>
  <si>
    <t>IPLD_Gen_13</t>
  </si>
  <si>
    <t>Low Flow of Coolant or Scrubbing Fluid Shuts Off Feed</t>
  </si>
  <si>
    <t>IPLD_Gen_14</t>
  </si>
  <si>
    <t>Low Pressure or Low Inert Flow Shuts Off Material Transfer</t>
  </si>
  <si>
    <t>IPLD_MI_2</t>
  </si>
  <si>
    <t>IPLD_Gen_15</t>
  </si>
  <si>
    <t>High Speed or High Vibration Shuts Off Rotating Equipment</t>
  </si>
  <si>
    <t>IPLD_Gen_16</t>
  </si>
  <si>
    <t>IPLD_FE_29</t>
  </si>
  <si>
    <t>Explosion/Flame Suppression or Isolation System that is effective in the specific vapor or dust servicer and routinely inspected</t>
  </si>
  <si>
    <t>High Temperature, Low Current, or Low Flow Shuts off Pump</t>
  </si>
  <si>
    <t>IPLD_Rx_1</t>
  </si>
  <si>
    <t>High Temperature Shuts off Reaction Feeds and/or Activates Emergency Cooling</t>
  </si>
  <si>
    <t xml:space="preserve">Dust-flammable hybrid? </t>
  </si>
  <si>
    <t>Parameters and Deviation</t>
  </si>
  <si>
    <t xml:space="preserve">Include Pool Fire Exposure in CEI Summary? </t>
  </si>
  <si>
    <t>User Defined Consequence</t>
  </si>
  <si>
    <t>User Defined Outcome Descriptors</t>
  </si>
  <si>
    <t>User Defined Outcome Descriptor</t>
  </si>
  <si>
    <t>Target Factor for selected Incident + Outcome from Scenario Analysis</t>
  </si>
  <si>
    <t>Target Factor for User Defined Consequence</t>
  </si>
  <si>
    <r>
      <t>Inventory Limit</t>
    </r>
    <r>
      <rPr>
        <i/>
        <sz val="10"/>
        <rFont val="Arial Narrow"/>
        <family val="2"/>
      </rPr>
      <t xml:space="preserve"> (blank is unlimited)</t>
    </r>
    <r>
      <rPr>
        <sz val="10"/>
        <rFont val="Arial Narrow"/>
        <family val="2"/>
      </rPr>
      <t xml:space="preserve"> = </t>
    </r>
  </si>
  <si>
    <t>25340-17-4</t>
  </si>
  <si>
    <t>SD_Gen_76</t>
  </si>
  <si>
    <t>Noted as Tube Failure Does not Result in Release to Atmosphere</t>
  </si>
  <si>
    <t>Pump / Agitator Parameters</t>
  </si>
  <si>
    <t>Pump Automated Suction or Discharge?</t>
  </si>
  <si>
    <t>Max Distance to Time-Scaled ER-3, m</t>
  </si>
  <si>
    <t>Rel Partial Pressure T</t>
  </si>
  <si>
    <r>
      <t>Rel Partial Pressure T+</t>
    </r>
    <r>
      <rPr>
        <b/>
        <sz val="10"/>
        <rFont val="Symbol"/>
        <family val="1"/>
        <charset val="2"/>
      </rPr>
      <t>D</t>
    </r>
    <r>
      <rPr>
        <b/>
        <sz val="10"/>
        <rFont val="Arial Narrow"/>
        <family val="2"/>
      </rPr>
      <t>T</t>
    </r>
  </si>
  <si>
    <t>Vapor Press at Op T</t>
  </si>
  <si>
    <r>
      <t>Vapor Press at T</t>
    </r>
    <r>
      <rPr>
        <b/>
        <vertAlign val="subscript"/>
        <sz val="10"/>
        <rFont val="Arial Narrow"/>
        <family val="2"/>
      </rPr>
      <t>1</t>
    </r>
  </si>
  <si>
    <t>Rel Partial Pressure Op T</t>
  </si>
  <si>
    <t>Operating Temperature exceeds the Temperature of No Return and Maximum Reaction Pressure may exceed the equipment Maximum Allowable Working Pressure or Relief Set Pressure</t>
  </si>
  <si>
    <t>Heating Media or Ambient Temperature exceeds the Temperature of No Return and Maximum Reaction Pressure may exceed the equipment Maximum Allowable Working Pressure or Relief Set Pressure</t>
  </si>
  <si>
    <t>Loss of Temperature Control with Maximum Heating Media or Ambient Temperature exceeding the Temperature of No Return</t>
  </si>
  <si>
    <t>Mol Fraction Vapor at T</t>
  </si>
  <si>
    <t>Relative Vap Press at T1</t>
  </si>
  <si>
    <t>Relative Vap Press at T2</t>
  </si>
  <si>
    <t>Relative Vap Press at Op T</t>
  </si>
  <si>
    <t>Alpha at T</t>
  </si>
  <si>
    <r>
      <t>Alpha at T+</t>
    </r>
    <r>
      <rPr>
        <b/>
        <sz val="10"/>
        <rFont val="Symbol"/>
        <family val="1"/>
        <charset val="2"/>
      </rPr>
      <t>D</t>
    </r>
    <r>
      <rPr>
        <b/>
        <sz val="10"/>
        <rFont val="Arial Narrow"/>
        <family val="2"/>
      </rPr>
      <t>T</t>
    </r>
  </si>
  <si>
    <t>d (Alpha) / dT</t>
  </si>
  <si>
    <t>d (Rel VP) / dT</t>
  </si>
  <si>
    <r>
      <t>y</t>
    </r>
    <r>
      <rPr>
        <vertAlign val="subscript"/>
        <sz val="10"/>
        <rFont val="Arial Narrow"/>
        <family val="2"/>
      </rPr>
      <t>rel</t>
    </r>
    <r>
      <rPr>
        <sz val="10"/>
        <rFont val="Arial Narrow"/>
        <family val="2"/>
      </rPr>
      <t xml:space="preserve"> at T</t>
    </r>
  </si>
  <si>
    <t>Alpha at Op T</t>
  </si>
  <si>
    <t xml:space="preserve">Probit A = </t>
  </si>
  <si>
    <t xml:space="preserve">Probit n = </t>
  </si>
  <si>
    <t xml:space="preserve">Probit B = </t>
  </si>
  <si>
    <t>Probit n</t>
  </si>
  <si>
    <t xml:space="preserve"> ppm </t>
  </si>
  <si>
    <t xml:space="preserve">From the above vapor composition: </t>
  </si>
  <si>
    <r>
      <t>Estimated 1 hour LC</t>
    </r>
    <r>
      <rPr>
        <i/>
        <vertAlign val="subscript"/>
        <sz val="10"/>
        <rFont val="Arial Narrow"/>
        <family val="2"/>
      </rPr>
      <t xml:space="preserve">1 </t>
    </r>
  </si>
  <si>
    <r>
      <t>Estimated 1 hour LC</t>
    </r>
    <r>
      <rPr>
        <i/>
        <vertAlign val="subscript"/>
        <sz val="10"/>
        <rFont val="Arial Narrow"/>
        <family val="2"/>
      </rPr>
      <t xml:space="preserve">50 </t>
    </r>
  </si>
  <si>
    <r>
      <t>Estimated LC</t>
    </r>
    <r>
      <rPr>
        <b/>
        <vertAlign val="subscript"/>
        <sz val="10"/>
        <rFont val="Arial Narrow"/>
        <family val="2"/>
      </rPr>
      <t>1</t>
    </r>
  </si>
  <si>
    <r>
      <t>Estimated LC</t>
    </r>
    <r>
      <rPr>
        <b/>
        <vertAlign val="subscript"/>
        <sz val="10"/>
        <rFont val="Arial Narrow"/>
        <family val="2"/>
      </rPr>
      <t>50</t>
    </r>
  </si>
  <si>
    <r>
      <t>Mixture LC</t>
    </r>
    <r>
      <rPr>
        <b/>
        <vertAlign val="subscript"/>
        <sz val="10"/>
        <rFont val="Arial Narrow"/>
        <family val="2"/>
      </rPr>
      <t>1</t>
    </r>
  </si>
  <si>
    <r>
      <t>Mixture LC</t>
    </r>
    <r>
      <rPr>
        <b/>
        <vertAlign val="subscript"/>
        <sz val="10"/>
        <rFont val="Arial Narrow"/>
        <family val="2"/>
      </rPr>
      <t>50</t>
    </r>
  </si>
  <si>
    <r>
      <t>Time to Temperature at Relief (</t>
    </r>
    <r>
      <rPr>
        <b/>
        <i/>
        <sz val="10"/>
        <color theme="1"/>
        <rFont val="Arial Narrow"/>
        <family val="2"/>
      </rPr>
      <t>non-reactive</t>
    </r>
    <r>
      <rPr>
        <b/>
        <sz val="10"/>
        <color theme="1"/>
        <rFont val="Arial Narrow"/>
        <family val="2"/>
      </rPr>
      <t xml:space="preserve">) = </t>
    </r>
  </si>
  <si>
    <r>
      <t>Time to Temperature at Failure (</t>
    </r>
    <r>
      <rPr>
        <b/>
        <i/>
        <sz val="10"/>
        <color theme="1"/>
        <rFont val="Arial Narrow"/>
        <family val="2"/>
      </rPr>
      <t>non-reactive</t>
    </r>
    <r>
      <rPr>
        <b/>
        <sz val="10"/>
        <color theme="1"/>
        <rFont val="Arial Narrow"/>
        <family val="2"/>
      </rPr>
      <t xml:space="preserve">) = </t>
    </r>
  </si>
  <si>
    <t>Reaction Heat Rate much lower than Heat Rate from Fire at Relief Conditions</t>
  </si>
  <si>
    <t>Heat of Reaction Low with little or no Gas Generation.  Scenario may represent a product quality issue.</t>
  </si>
  <si>
    <t>Heat of Reaction Low or Endothermic but Pressure from Gaseous Products may exceed the equipment Maximum Allowable Working Pressure or Relief Set Pressure</t>
  </si>
  <si>
    <t>Pressure Does Not exceed the equipment Maximum Allowable Working Pressure or Relief Set Pressure</t>
  </si>
  <si>
    <t>Sensor #4:</t>
  </si>
  <si>
    <t>Sensor #5:</t>
  </si>
  <si>
    <t>FCE #3:</t>
  </si>
  <si>
    <t>FCE #4:</t>
  </si>
  <si>
    <t>Logic Solver:</t>
  </si>
  <si>
    <t>Sensor #4 ID</t>
  </si>
  <si>
    <t>Sensor #5 ID</t>
  </si>
  <si>
    <t>Final Element #3 ID</t>
  </si>
  <si>
    <t>Final Element #4 ID</t>
  </si>
  <si>
    <t>Comment</t>
  </si>
  <si>
    <t>Time at Risk Desc</t>
  </si>
  <si>
    <t>Time at Risk Credit</t>
  </si>
  <si>
    <t>Time at Risk Over Written?</t>
  </si>
  <si>
    <t>Quality Control Warnings</t>
  </si>
  <si>
    <t>Issues to Resolve</t>
  </si>
  <si>
    <t>Notes / Comments</t>
  </si>
  <si>
    <t>Drainage_List</t>
  </si>
  <si>
    <t>Partial</t>
  </si>
  <si>
    <t>ExpJoint_List</t>
  </si>
  <si>
    <t>Dual Bellows w Detection</t>
  </si>
  <si>
    <t>Exothermic Reaction Type</t>
  </si>
  <si>
    <t>Exothermic_Reaction_Type</t>
  </si>
  <si>
    <t>Penalty</t>
  </si>
  <si>
    <t>Addition</t>
  </si>
  <si>
    <t>Addition with Strongly Reactive Acid</t>
  </si>
  <si>
    <t>Alkylation</t>
  </si>
  <si>
    <t>Condensation</t>
  </si>
  <si>
    <t>Esterification</t>
  </si>
  <si>
    <t>Halogenation</t>
  </si>
  <si>
    <t>Hydrogenation</t>
  </si>
  <si>
    <t>Hydrolysis</t>
  </si>
  <si>
    <t>Isomerization</t>
  </si>
  <si>
    <t>Neutralization</t>
  </si>
  <si>
    <t>Nitration</t>
  </si>
  <si>
    <t>Oxidation</t>
  </si>
  <si>
    <t>Oxidation with Vigorous Agents</t>
  </si>
  <si>
    <t>Polymerization</t>
  </si>
  <si>
    <t>Sulfonation</t>
  </si>
  <si>
    <t>Mild Exotherm</t>
  </si>
  <si>
    <t>Particularly Sensitive Exotherm</t>
  </si>
  <si>
    <t>No Exothermic Reaction</t>
  </si>
  <si>
    <t>Endothermic_Reaction_Type</t>
  </si>
  <si>
    <t>Calcination</t>
  </si>
  <si>
    <t>Electrolysis</t>
  </si>
  <si>
    <t>Pyrolysis or Cracking</t>
  </si>
  <si>
    <t>Pyrolysis with Direct Fired Heat</t>
  </si>
  <si>
    <t>Other Endothermic Reaction</t>
  </si>
  <si>
    <t>No Endothermic Reaction</t>
  </si>
  <si>
    <t>Flash Point</t>
  </si>
  <si>
    <t xml:space="preserve">Quantity Hot Oil Handled (for F&amp;E) = </t>
  </si>
  <si>
    <t>HotOil_List</t>
  </si>
  <si>
    <t>&lt;10000 gal (39 cu m)</t>
  </si>
  <si>
    <t>&lt;25000 gal (95 cu m)</t>
  </si>
  <si>
    <t>&gt;25000 gal (95 cu m)</t>
  </si>
  <si>
    <t>Quantity Hot Oil Handled (for F&amp;E)</t>
  </si>
  <si>
    <t xml:space="preserve">High Viscous Material (for F&amp;EI)? </t>
  </si>
  <si>
    <t>High Viscous Material?</t>
  </si>
  <si>
    <r>
      <t>Solids Bulk Density &gt;160 g/liter (&gt;10 lb/ft</t>
    </r>
    <r>
      <rPr>
        <i/>
        <vertAlign val="superscript"/>
        <sz val="10"/>
        <color rgb="FF00B050"/>
        <rFont val="Arial Narrow"/>
        <family val="2"/>
      </rPr>
      <t>3</t>
    </r>
    <r>
      <rPr>
        <i/>
        <sz val="10"/>
        <color rgb="FF00B050"/>
        <rFont val="Arial Narrow"/>
        <family val="2"/>
      </rPr>
      <t xml:space="preserve">)? </t>
    </r>
  </si>
  <si>
    <t>Foam/Fiber/Powder</t>
  </si>
  <si>
    <t>Dense&gt;40 mm thick</t>
  </si>
  <si>
    <t>Open&lt;40 mm thick</t>
  </si>
  <si>
    <t>Solids Hazard Class</t>
  </si>
  <si>
    <t xml:space="preserve">Dust/Solids Hazard Class = </t>
  </si>
  <si>
    <t>Critical to Control Exotherm</t>
  </si>
  <si>
    <t>Intended Exothermic Reaction (for F&amp;EI)</t>
  </si>
  <si>
    <t>Intended Endothermic Reaction (for F&amp;EI)</t>
  </si>
  <si>
    <r>
      <t xml:space="preserve">Estimated as the time between the alarm activation and the undesired consequence (typically activation of a relief device or equipment rupture).    Estimated as 0.5 times Process Safety Time to allow for Sensor Response, Decision Time, and Action Time.  </t>
    </r>
    <r>
      <rPr>
        <b/>
        <i/>
        <sz val="10"/>
        <color rgb="FF0070C0"/>
        <rFont val="Arial Narrow"/>
        <family val="2"/>
      </rPr>
      <t>Note that Heat Losses are Not Included in the Estimated Times.  MART for Pumps is found on the Pump Deadhead Report.</t>
    </r>
  </si>
  <si>
    <t>&lt;5000 gal (19 cu m)</t>
  </si>
  <si>
    <t>Corrosion_List</t>
  </si>
  <si>
    <t>Severe (&gt;1 mil/yr)</t>
  </si>
  <si>
    <t>Stress Cracking</t>
  </si>
  <si>
    <t>Single Bellows or Flex Hose</t>
  </si>
  <si>
    <t>Dual Bellows w/o Detection</t>
  </si>
  <si>
    <t>Joint with Rubber Boot</t>
  </si>
  <si>
    <t>0.10 to 1.50</t>
  </si>
  <si>
    <t>Moderate Exotherm</t>
  </si>
  <si>
    <t>This Version:</t>
  </si>
  <si>
    <t>LOPA Menu Filters:</t>
  </si>
  <si>
    <t xml:space="preserve">Elevation of Occ Bldg 2 Ventilation Inlet = </t>
  </si>
  <si>
    <t>Maximum Allowable Leakage Rate (MALR)</t>
  </si>
  <si>
    <t>Difluoro ethane (1,1-)  (Freon 152 a)</t>
  </si>
  <si>
    <t>75-37-6</t>
  </si>
  <si>
    <t>Static Discharge inside Equipment containing Non-Conductive Fluid</t>
  </si>
  <si>
    <t>Static Discharge inside Conductive Tank containing Conductive Fluid</t>
  </si>
  <si>
    <r>
      <t>Mol Fr Vapor at T+</t>
    </r>
    <r>
      <rPr>
        <b/>
        <sz val="10"/>
        <rFont val="Symbol"/>
        <family val="1"/>
        <charset val="2"/>
      </rPr>
      <t>D</t>
    </r>
    <r>
      <rPr>
        <b/>
        <sz val="10"/>
        <rFont val="Arial Narrow"/>
        <family val="2"/>
      </rPr>
      <t>T</t>
    </r>
  </si>
  <si>
    <t>ESTIMATED NUMBER OF PEOPLE IMPACTED</t>
  </si>
  <si>
    <t>Time-Scaled Equivalent Vapor LC-1</t>
  </si>
  <si>
    <t>Lethality Model a (Class F weather)</t>
  </si>
  <si>
    <t xml:space="preserve">Default Toxic Time-Scale Exponent (1/n) </t>
  </si>
  <si>
    <t xml:space="preserve">Convective Heat Loss Coeff-Insulated </t>
  </si>
  <si>
    <t xml:space="preserve">Convective Heat Loss Coeff-Uninsulated </t>
  </si>
  <si>
    <t>Distance to Offsite Zone 1</t>
  </si>
  <si>
    <t>Offsite Population Density to Zone 1</t>
  </si>
  <si>
    <t>Lethality Model b (Class F weather) Time-Scaled</t>
  </si>
  <si>
    <t>Equivalent Vapor LC-1 Concentration</t>
  </si>
  <si>
    <t>Equivalent Vapor LC-50 Concentration</t>
  </si>
  <si>
    <t>Fraction Indoor/Outdoor Concentration Limit</t>
  </si>
  <si>
    <t>Occupied Building Ventilation Default</t>
  </si>
  <si>
    <t>air change / hr</t>
  </si>
  <si>
    <t>Concentration at Lethality Limit=1 (Class D)</t>
  </si>
  <si>
    <t>Concentration at Lethality Limit=1 (Class F)</t>
  </si>
  <si>
    <t xml:space="preserve">Distance to Zone 1 = </t>
  </si>
  <si>
    <t>Distance to Offsite Zone 1A - Class F weather</t>
  </si>
  <si>
    <t>Offsite Impact Area Zone 1A times Lethality - F weather</t>
  </si>
  <si>
    <t>Offsite Impact Area Zone 1B times Lethality - F weather</t>
  </si>
  <si>
    <t>Distance to Offsite Zone 1A - Class F weather Indoors</t>
  </si>
  <si>
    <t xml:space="preserve">Number Potential Offsite Impact - Class F weather = </t>
  </si>
  <si>
    <t xml:space="preserve">Total Number Potential Offsite Impact = </t>
  </si>
  <si>
    <t>Offsite Impact Area Zone 2A times Lethality - F weather</t>
  </si>
  <si>
    <t>Offsite Impact Area Zone 2B times Lethality - F weather</t>
  </si>
  <si>
    <t>Offsite Impact Area Zone 1A times Lethality - F weather Indoors</t>
  </si>
  <si>
    <t>Offsite Impact Area Zone 1B times Lethality - F weather Indoors</t>
  </si>
  <si>
    <t>Offsite Impact Area Zone 2A times Lethality - F weather Indoors</t>
  </si>
  <si>
    <t>Offsite Impact Area Zone 2B times Lethality - F weather Indoors</t>
  </si>
  <si>
    <t>Max Distance to 1% Lethality - F Weather</t>
  </si>
  <si>
    <t>Enclosed Process Area Concentration =</t>
  </si>
  <si>
    <t xml:space="preserve">Estimated Average Indoor Concentration Bldg 2 = </t>
  </si>
  <si>
    <t>volume fraction</t>
  </si>
  <si>
    <t xml:space="preserve">Asphyxiation Limit </t>
  </si>
  <si>
    <t xml:space="preserve">Asphyxiation Screening </t>
  </si>
  <si>
    <t>Probit n from Data Table</t>
  </si>
  <si>
    <t>Probit A from Data Table</t>
  </si>
  <si>
    <t>Probit B from Data Table</t>
  </si>
  <si>
    <t>LC-1</t>
  </si>
  <si>
    <t>LC-50</t>
  </si>
  <si>
    <t xml:space="preserve">Table Probit n = </t>
  </si>
  <si>
    <t>Equipment Rupture at Peak Conditions</t>
  </si>
  <si>
    <t xml:space="preserve">HT Fluid ER-3 per Table = </t>
  </si>
  <si>
    <t xml:space="preserve">Estimated High Temperature Failure = </t>
  </si>
  <si>
    <t xml:space="preserve">Failure Temp = </t>
  </si>
  <si>
    <t>Failure Temp</t>
  </si>
  <si>
    <t>Failure Temp Units</t>
  </si>
  <si>
    <t xml:space="preserve">Drum Oven Volume = </t>
  </si>
  <si>
    <t>Drum Oven Volume</t>
  </si>
  <si>
    <t>Drum Oven Volume Units</t>
  </si>
  <si>
    <t xml:space="preserve">Distance to Severe Onsite Toxic Impact = </t>
  </si>
  <si>
    <t xml:space="preserve">Severe Onsite Toxic Impact Area = </t>
  </si>
  <si>
    <r>
      <t>Estimated 1 hour LC</t>
    </r>
    <r>
      <rPr>
        <vertAlign val="subscript"/>
        <sz val="10"/>
        <rFont val="Arial Narrow"/>
        <family val="2"/>
      </rPr>
      <t>1</t>
    </r>
  </si>
  <si>
    <r>
      <t>Estimated Time Scaled LC</t>
    </r>
    <r>
      <rPr>
        <vertAlign val="subscript"/>
        <sz val="10"/>
        <rFont val="Arial Narrow"/>
        <family val="2"/>
      </rPr>
      <t>1</t>
    </r>
  </si>
  <si>
    <r>
      <t>Estimated 1 hour LC</t>
    </r>
    <r>
      <rPr>
        <vertAlign val="subscript"/>
        <sz val="10"/>
        <rFont val="Arial Narrow"/>
        <family val="2"/>
      </rPr>
      <t>50</t>
    </r>
  </si>
  <si>
    <t>Distance to Time-Scaled LC-1 Concentration - D Weather Units</t>
  </si>
  <si>
    <t>Distance to Time-Scaled LC-1 Concentration - D Weather</t>
  </si>
  <si>
    <t>Distance to Time-Scaled LC-1 Concentration - F Weather</t>
  </si>
  <si>
    <t>Distance to Time-Scaled LC-1 Concentration - F Weather Units</t>
  </si>
  <si>
    <t>Estimated 1 hour LC-1 Concentration (ppm)</t>
  </si>
  <si>
    <t>Estimated 1 hour LC-50 Concentration (ppm)</t>
  </si>
  <si>
    <t>Estimated Time-Scaled LC-1 Concentration (ppm)</t>
  </si>
  <si>
    <t>Liquid Pool Radius</t>
  </si>
  <si>
    <t>Distance to Offsite Zone 1 Units</t>
  </si>
  <si>
    <t>Equipment Failure Conditions</t>
  </si>
  <si>
    <t>Multiple of MAWP Not-Anchored API</t>
  </si>
  <si>
    <t>Offsite Population Density Default</t>
  </si>
  <si>
    <t>Enclosed Process Area Population Default</t>
  </si>
  <si>
    <t>Head Space Deflagration Potential</t>
  </si>
  <si>
    <t xml:space="preserve">Estimated Embrittlement Temperature = </t>
  </si>
  <si>
    <t>Embrittlement Temp</t>
  </si>
  <si>
    <t>Embrittlement Temp Units</t>
  </si>
  <si>
    <t xml:space="preserve">Embrittlement Temp = </t>
  </si>
  <si>
    <t>Normal Boiling Point of Equipment Contents</t>
  </si>
  <si>
    <t>Minimum Coolant Temperature</t>
  </si>
  <si>
    <t>Max Reaction Temp Exceeds High Temperature Failure?</t>
  </si>
  <si>
    <t>Normal Operating Conditions</t>
  </si>
  <si>
    <t>Rotating Equipment?</t>
  </si>
  <si>
    <t>kw</t>
  </si>
  <si>
    <t>Equivalent Overflow Velocity</t>
  </si>
  <si>
    <t>Overflow Aerosol Droplet Size</t>
  </si>
  <si>
    <t>Equivalent Backflow Velocity</t>
  </si>
  <si>
    <t>Backflow Aerosol Droplet Size</t>
  </si>
  <si>
    <t>Spray Distance Overfill</t>
  </si>
  <si>
    <t>Spray Distance Backflow</t>
  </si>
  <si>
    <t>Dispersion Coefficient D Area - Rural</t>
  </si>
  <si>
    <t>Dispersion Coefficient D Area - Industrial</t>
  </si>
  <si>
    <t>Dispersion Coefficient D Area - Urban</t>
  </si>
  <si>
    <t>Daytime Atmospheric Stability Class</t>
  </si>
  <si>
    <t>Local Surface Roughness</t>
  </si>
  <si>
    <t>Night Atmospheric Stability Class</t>
  </si>
  <si>
    <t>Class F</t>
  </si>
  <si>
    <t xml:space="preserve">Type of Release </t>
  </si>
  <si>
    <t>Daytime Wind Speed for Vapor Dispersion</t>
  </si>
  <si>
    <t>Night Wind Speed for Vapor Dispersion</t>
  </si>
  <si>
    <t>Dispersion Coefficient 2 D Area - Rural</t>
  </si>
  <si>
    <t>Dispersion Coefficient 2 D Area - Industrial</t>
  </si>
  <si>
    <t>Dispersion Coefficient 2 D Area - Urban</t>
  </si>
  <si>
    <t>Daytime Weather Coefficients</t>
  </si>
  <si>
    <t>Night Weather Coefficients</t>
  </si>
  <si>
    <t>Instantaneus</t>
  </si>
  <si>
    <t>Daytime Solar Radiation</t>
  </si>
  <si>
    <t>Multiple of MAWP Pressure for ASME Vessel</t>
  </si>
  <si>
    <r>
      <t>kW/m</t>
    </r>
    <r>
      <rPr>
        <vertAlign val="superscript"/>
        <sz val="10"/>
        <rFont val="Arial Narrow"/>
        <family val="2"/>
      </rPr>
      <t>2</t>
    </r>
  </si>
  <si>
    <t>Gasket Failure Multiple of MAWP</t>
  </si>
  <si>
    <t>Flammability Screening Criteria</t>
  </si>
  <si>
    <t>Reactivity Screening Criteria</t>
  </si>
  <si>
    <t>Reaction Heat Screening Limit</t>
  </si>
  <si>
    <t>Gas Generation Screening Limit</t>
  </si>
  <si>
    <t>cal/g</t>
  </si>
  <si>
    <t>g mole/cc</t>
  </si>
  <si>
    <t>Fraction of Total Heat Limit</t>
  </si>
  <si>
    <t>Class D</t>
  </si>
  <si>
    <t>Industrial</t>
  </si>
  <si>
    <r>
      <t>people/km</t>
    </r>
    <r>
      <rPr>
        <vertAlign val="superscript"/>
        <sz val="10"/>
        <rFont val="Arial Narrow"/>
        <family val="2"/>
      </rPr>
      <t>2</t>
    </r>
  </si>
  <si>
    <t>Fraction of Time for Night Weather</t>
  </si>
  <si>
    <t>Distance to Offsite Zone 1A - Night weather</t>
  </si>
  <si>
    <t>Distance to Offsite Zone 1A - Daytime weather</t>
  </si>
  <si>
    <t>Offsite Impact Area Zone 1A times Lethality - Daytime weather</t>
  </si>
  <si>
    <t>Offsite Impact Area Zone 1A times Lethality - Night weather</t>
  </si>
  <si>
    <t>Offsite Impact Area Zone 1B times Lethality - Night weather</t>
  </si>
  <si>
    <t>Offsite Impact Area Zone 2A times Lethality - Night weather</t>
  </si>
  <si>
    <t>Offsite Impact Area Zone 2B times Lethality - Night weather</t>
  </si>
  <si>
    <t>Distance to Offsite Zone 1A - Night weather Indoors</t>
  </si>
  <si>
    <t>Offsite Impact Area Zone 1A times Lethality - Night weather Indoors</t>
  </si>
  <si>
    <t>Offsite Impact Area Zone 1B times Lethality - Night weather Indoors</t>
  </si>
  <si>
    <t>Offsite Impact Area Zone 2A times Lethality - Night weather Indoors</t>
  </si>
  <si>
    <t>Offsite Impact Area Zone 2B times Lethality - Night weather Indoors</t>
  </si>
  <si>
    <t xml:space="preserve">Number Potential Offsite Impact - Night weather = </t>
  </si>
  <si>
    <t>Distance to Offsite Zone 1A -  Night weather</t>
  </si>
  <si>
    <t>Distance to Offsite Zone 1A -  Night weather Indoors</t>
  </si>
  <si>
    <t xml:space="preserve">Number Potential Offsite Impact -  Night weather = </t>
  </si>
  <si>
    <t>Concentration at Lethality Limit=1 (Daytime weather)</t>
  </si>
  <si>
    <t>Lethality Model a (Night weather)</t>
  </si>
  <si>
    <t>Concentration at Lethality Limit=1 (Night Weather)</t>
  </si>
  <si>
    <t>Max Distance to 1% Lethality -Night Weather</t>
  </si>
  <si>
    <t>Cloud Area Parameter 1</t>
  </si>
  <si>
    <t>Cloud Area Parameter 2</t>
  </si>
  <si>
    <t xml:space="preserve">Fraction Combustible/Flammable in Feed = </t>
  </si>
  <si>
    <t>Total Flammable Airborne Rate</t>
  </si>
  <si>
    <t>Flammable Flash Point Screening Limit</t>
  </si>
  <si>
    <t>Flash Point Difference Limit</t>
  </si>
  <si>
    <t xml:space="preserve">Default Failure Temperature </t>
  </si>
  <si>
    <t>Instantaneous  - Initial Diameter Coefficient</t>
  </si>
  <si>
    <t>Potential For Pool Fire</t>
  </si>
  <si>
    <t>Flammable Potential</t>
  </si>
  <si>
    <t xml:space="preserve">Maximum Feed Temperature = </t>
  </si>
  <si>
    <t>Maximum Feed Temperature Units</t>
  </si>
  <si>
    <t>Maximum Feed Temperature</t>
  </si>
  <si>
    <t>Offsite Population Density Beyond Zone 1</t>
  </si>
  <si>
    <t>Instantaneous Duration Coefficient</t>
  </si>
  <si>
    <t>Failure Release Model Selected</t>
  </si>
  <si>
    <t>Exponent for Max Ground Concentration</t>
  </si>
  <si>
    <t>Release Model Selected</t>
  </si>
  <si>
    <t>Estimated Occupied Building 1 Vulnerability</t>
  </si>
  <si>
    <t>Max Airborne Rate  (blank if Instantaneous)</t>
  </si>
  <si>
    <t>Name of Building 1</t>
  </si>
  <si>
    <t>Name of Building 2</t>
  </si>
  <si>
    <t>Occ Bldgs 1 and 2 in Same Wind Direction?</t>
  </si>
  <si>
    <t>Occ Building 1 Name</t>
  </si>
  <si>
    <t>Occ Building 2 Name</t>
  </si>
  <si>
    <t>Occ Bldg 1 and Bldg 2 in Same Wind Direction?</t>
  </si>
  <si>
    <t>Equivalent Vapor ERPG-3</t>
  </si>
  <si>
    <t xml:space="preserve">Mixture NFPA Flammability = </t>
  </si>
  <si>
    <t>Mill/Grinder (solids)</t>
  </si>
  <si>
    <t xml:space="preserve">Effective "Wetted" Surface Area = </t>
  </si>
  <si>
    <t xml:space="preserve">Maximum Fill Fraction = </t>
  </si>
  <si>
    <t xml:space="preserve">Estimated Total Wetted Area = </t>
  </si>
  <si>
    <t xml:space="preserve">Limiting Maximum Fill Fraction = </t>
  </si>
  <si>
    <t xml:space="preserve">Limiting Minimum Fill Fraction = </t>
  </si>
  <si>
    <r>
      <t>people/km</t>
    </r>
    <r>
      <rPr>
        <vertAlign val="superscript"/>
        <sz val="10"/>
        <rFont val="Arial"/>
        <family val="2"/>
      </rPr>
      <t>2</t>
    </r>
  </si>
  <si>
    <t xml:space="preserve">Minimum Fill Fraction = </t>
  </si>
  <si>
    <r>
      <t>Kwatt / m</t>
    </r>
    <r>
      <rPr>
        <vertAlign val="superscript"/>
        <sz val="10"/>
        <rFont val="Arial Narrow"/>
        <family val="2"/>
      </rPr>
      <t>2</t>
    </r>
    <r>
      <rPr>
        <sz val="10"/>
        <rFont val="Arial Narrow"/>
        <family val="2"/>
      </rPr>
      <t xml:space="preserve"> C</t>
    </r>
  </si>
  <si>
    <r>
      <t>Kcal/m</t>
    </r>
    <r>
      <rPr>
        <vertAlign val="superscript"/>
        <sz val="10"/>
        <rFont val="Arial Narrow"/>
        <family val="2"/>
      </rPr>
      <t>2</t>
    </r>
    <r>
      <rPr>
        <sz val="10"/>
        <rFont val="Arial Narrow"/>
        <family val="2"/>
      </rPr>
      <t xml:space="preserve"> sec</t>
    </r>
  </si>
  <si>
    <t>Evaporation Parameters</t>
  </si>
  <si>
    <t>Physical Explosion Distance to 1 psi</t>
  </si>
  <si>
    <t>Max. Temperature Exceeds High Temperature Failure</t>
  </si>
  <si>
    <t>Min Temperature less than Embrittlement Temperature</t>
  </si>
  <si>
    <t>OnSite Population</t>
  </si>
  <si>
    <t>Onsite Population Density</t>
  </si>
  <si>
    <t>Indoor Population</t>
  </si>
  <si>
    <r>
      <t xml:space="preserve">Fraction Release </t>
    </r>
    <r>
      <rPr>
        <i/>
        <sz val="10"/>
        <rFont val="Arial Narrow"/>
        <family val="2"/>
      </rPr>
      <t>Not</t>
    </r>
    <r>
      <rPr>
        <sz val="10"/>
        <rFont val="Arial Narrow"/>
        <family val="2"/>
      </rPr>
      <t xml:space="preserve"> Consumed by Fire</t>
    </r>
  </si>
  <si>
    <t>Mixture NFPA Flammability Rating</t>
  </si>
  <si>
    <t>Outdoor Onsite Population Density Default</t>
  </si>
  <si>
    <t>Default Onsite Outdoor Population Density</t>
  </si>
  <si>
    <t>Night Wind Speed</t>
  </si>
  <si>
    <t>Daytime Solar Radiation to Outdoor Liquid Pool</t>
  </si>
  <si>
    <t>Default Offsite Population Density</t>
  </si>
  <si>
    <t>Equipment Failure Limits:</t>
  </si>
  <si>
    <t>Multiple of MAWP Anchored API Tank</t>
  </si>
  <si>
    <t>Default Failure Temperature</t>
  </si>
  <si>
    <t>Time-Scaled Equivalent Vapor LC-1 - Night</t>
  </si>
  <si>
    <t>Release Time-Scale Factor - Night</t>
  </si>
  <si>
    <t>Distance to Offsite Zone 1A - Daytime weather Indoors</t>
  </si>
  <si>
    <t>Offsite Impact Area Zone 1B times Lethality - Daytime weather</t>
  </si>
  <si>
    <t>Offsite Impact Area Zone 2A times Lethality - Daytime weather</t>
  </si>
  <si>
    <t>Offsite Impact Area Zone 2B times Lethality - Daytime weather</t>
  </si>
  <si>
    <t>Offsite Impact Area Zone 1A times Lethality - Daytime weather Indoors</t>
  </si>
  <si>
    <t>Offsite Impact Area Zone 1B times Lethality - Daytime weather Indoors</t>
  </si>
  <si>
    <t>Offsite Impact Area Zone 2A times Lethality - Daytime weather Indoors</t>
  </si>
  <si>
    <t>Offsite Impact Area Zone 2B times Lethality - Daytime weather Indoors</t>
  </si>
  <si>
    <t xml:space="preserve">Number Potential Offsite Impact - Daytime weather = </t>
  </si>
  <si>
    <t>Fraction Population Outdoors-Daytime</t>
  </si>
  <si>
    <t>Fraction Population Outdoors-Night</t>
  </si>
  <si>
    <t>Thermal Radiation Screening Limit</t>
  </si>
  <si>
    <t>Flow Limit for Severe Chemical Exposure</t>
  </si>
  <si>
    <t>Low Temp Limit for Frost Burns - Liquid</t>
  </si>
  <si>
    <t>Fraction LFL for Flash Fire Severe Impact</t>
  </si>
  <si>
    <t>Hazard Distance Limit for Severe Impact</t>
  </si>
  <si>
    <t>Hazard Distance Screening Limit</t>
  </si>
  <si>
    <t>TNT Model Parameters</t>
  </si>
  <si>
    <t>Building Type Factors</t>
  </si>
  <si>
    <t>BST Model Parameters</t>
  </si>
  <si>
    <t>Mach</t>
  </si>
  <si>
    <t>&gt;1</t>
  </si>
  <si>
    <t>BST Scaled Pressure Coefficient</t>
  </si>
  <si>
    <t>BST Scaled Pressure Exponent</t>
  </si>
  <si>
    <t>BST Scaled Pressure Limit</t>
  </si>
  <si>
    <t>Ignition Probability Criteria</t>
  </si>
  <si>
    <t xml:space="preserve">BST Scaled Pressure Coefficient for VCE = </t>
  </si>
  <si>
    <t xml:space="preserve">BST Scaled Pressure Exponent for VCE = </t>
  </si>
  <si>
    <t xml:space="preserve">BST Scaled Pressure Limit for VCE  = </t>
  </si>
  <si>
    <t>Direct Blast Impact Overpressure</t>
  </si>
  <si>
    <t>Estimated Maximum Headspace Deflagration Pressure</t>
  </si>
  <si>
    <t xml:space="preserve">Pmax at Heating Temperature = </t>
  </si>
  <si>
    <t xml:space="preserve">Maximum Feed Temperature &gt; TNR? </t>
  </si>
  <si>
    <t>Dust Particle Size Limit</t>
  </si>
  <si>
    <t>micron</t>
  </si>
  <si>
    <t xml:space="preserve">Reactive Potential-Adiabatic? </t>
  </si>
  <si>
    <t xml:space="preserve">Reactive Potential - Heat Transfer? </t>
  </si>
  <si>
    <t xml:space="preserve">Reactive Potential - Mechanical Energy? </t>
  </si>
  <si>
    <t>Flammable Potential - Heat Transfer</t>
  </si>
  <si>
    <t>Flammable Potential - Mechanical Energy</t>
  </si>
  <si>
    <t xml:space="preserve">Maximum Adiabatic Temperature Rise = </t>
  </si>
  <si>
    <t>Flammable Potential at Peak Temperature</t>
  </si>
  <si>
    <t>Flammable Potential at Relief Temperature</t>
  </si>
  <si>
    <t>Flammable Potential at Burst Temperature</t>
  </si>
  <si>
    <t xml:space="preserve">Must be Heated to be Flammable? </t>
  </si>
  <si>
    <t>Dust Screening Criteria</t>
  </si>
  <si>
    <t>mJ</t>
  </si>
  <si>
    <t>Minimum Ignition Energy Screening Limit</t>
  </si>
  <si>
    <t>High MIE Ignition Probability Limit</t>
  </si>
  <si>
    <t>Low MIE Ignition Probability Limit</t>
  </si>
  <si>
    <t>Limiting Maximum Fill Fraction</t>
  </si>
  <si>
    <t>Limiting Minimum Fill Fraction</t>
  </si>
  <si>
    <t>Overpressure at Occ Building 1 Distance (psi)</t>
  </si>
  <si>
    <t>Overpressure at Occ Bldg 1 Distance-Physical Explosion (psi)</t>
  </si>
  <si>
    <t>Overpressure at Occ Bldg 2 Distance-Physical Explosion (psi)</t>
  </si>
  <si>
    <t>Occupied Bldg1 and Bldg 2 in Same Wind Direction?</t>
  </si>
  <si>
    <t>Estimated Indoor Toxic Vulnerability Bldg 1</t>
  </si>
  <si>
    <t>Estimated Indoor Toxic Vulnerability Bldg 2</t>
  </si>
  <si>
    <t>Dust Fireball Distance Coefficient</t>
  </si>
  <si>
    <t>High Temp Thermal Burns Screening - Liquid</t>
  </si>
  <si>
    <t>High Temp Thermal Burns Severe - Liquid</t>
  </si>
  <si>
    <t>High Temp Thermal Burns Screening - Vapor</t>
  </si>
  <si>
    <t>High Temp Thermal Burns Severe - Vapor</t>
  </si>
  <si>
    <t>Thermal Expansion Screening</t>
  </si>
  <si>
    <t>Temperature Difference for Thermal Expansion</t>
  </si>
  <si>
    <t>Uninsulated Pipe Length for Thermal Expansion</t>
  </si>
  <si>
    <t>Activation Energy, DE (Kcal/mole)</t>
  </si>
  <si>
    <t>Max Distance to 1% Lethality -Night Weather (Indoors)</t>
  </si>
  <si>
    <t>Max Distance to 1% Lethality - F Weather (Indoors)</t>
  </si>
  <si>
    <t>Reaction</t>
  </si>
  <si>
    <t>Standard Hole Sizes</t>
  </si>
  <si>
    <t>Very Small</t>
  </si>
  <si>
    <t>Very Large</t>
  </si>
  <si>
    <t>Extremely Large</t>
  </si>
  <si>
    <t xml:space="preserve">Tracing? </t>
  </si>
  <si>
    <t>Potential for Adverse Local Publicity</t>
  </si>
  <si>
    <t>Very Small Hole Size Leak</t>
  </si>
  <si>
    <t>Mechanical Seal Failure</t>
  </si>
  <si>
    <t>Gasket Failure above Liquid Level</t>
  </si>
  <si>
    <t>USER DEFINED HOLE SIZE above Liquid Level</t>
  </si>
  <si>
    <t>Medium Hole Size Leak</t>
  </si>
  <si>
    <t>Medium Hole Size Leak above Liquid Level</t>
  </si>
  <si>
    <t>Full Bore Hole Size Leak</t>
  </si>
  <si>
    <t>Full Bore Hole Size Leak above Liquid Level</t>
  </si>
  <si>
    <t>Very Large Hole Size Leak</t>
  </si>
  <si>
    <t>Very Large Hole Size Leak above Liquid Level</t>
  </si>
  <si>
    <t>Extremely Large Hole Size Leak</t>
  </si>
  <si>
    <t>Extremely Large Hole Size Leak above Liquid Level</t>
  </si>
  <si>
    <t>Relief Size Release</t>
  </si>
  <si>
    <t>Relief Size Release above Liquid Level</t>
  </si>
  <si>
    <t>Tube Hole Size Leak (Process Fluid)</t>
  </si>
  <si>
    <t>Vessel/Tank Geometry?</t>
  </si>
  <si>
    <t>Tank_Geometry_List</t>
  </si>
  <si>
    <t>Flat Bottom</t>
  </si>
  <si>
    <t>Vertical</t>
  </si>
  <si>
    <t>Exposure Time-Scale Factor</t>
  </si>
  <si>
    <t>Exposure Time-Scale Factor - Night</t>
  </si>
  <si>
    <t>Casing or Containment Failure</t>
  </si>
  <si>
    <t>High Temperature Failure</t>
  </si>
  <si>
    <r>
      <t>m</t>
    </r>
    <r>
      <rPr>
        <b/>
        <vertAlign val="superscript"/>
        <sz val="10"/>
        <rFont val="Arial Narrow"/>
        <family val="2"/>
      </rPr>
      <t>3</t>
    </r>
  </si>
  <si>
    <r>
      <t>m</t>
    </r>
    <r>
      <rPr>
        <b/>
        <vertAlign val="superscript"/>
        <sz val="10"/>
        <rFont val="Arial Narrow"/>
        <family val="2"/>
      </rPr>
      <t>2</t>
    </r>
  </si>
  <si>
    <r>
      <t>Kg/sec m</t>
    </r>
    <r>
      <rPr>
        <b/>
        <vertAlign val="superscript"/>
        <sz val="10"/>
        <rFont val="Arial Narrow"/>
        <family val="2"/>
      </rPr>
      <t>2</t>
    </r>
  </si>
  <si>
    <t>Kg/Kg mole</t>
  </si>
  <si>
    <t>Vol %</t>
  </si>
  <si>
    <t>Lethality Model b (Class Daytime weather) Time-Scaled</t>
  </si>
  <si>
    <t>Lethality Model a (Class Daytime weather)</t>
  </si>
  <si>
    <t>Lethality Model b (Class Daytime weather)</t>
  </si>
  <si>
    <t>Ignitable Headspace</t>
  </si>
  <si>
    <t>Concentration at Jet Mixing Transition</t>
  </si>
  <si>
    <t>vol fraction</t>
  </si>
  <si>
    <t>kg/cm m</t>
  </si>
  <si>
    <t>Release Limit - Moderate</t>
  </si>
  <si>
    <t>Release Limit - High</t>
  </si>
  <si>
    <t>Release Limit - Low</t>
  </si>
  <si>
    <t>Release Limit - Very High</t>
  </si>
  <si>
    <t>Soil</t>
  </si>
  <si>
    <t>Release Limit - Extremely High</t>
  </si>
  <si>
    <t>Lethality Model a (Daytime weather)</t>
  </si>
  <si>
    <t>Lethality Model b (Daytime weather)</t>
  </si>
  <si>
    <t>Max Distance to 1% Lethality - Daytime weather</t>
  </si>
  <si>
    <t>Max Distance to 1% Lethality - Daytime weather (Indoors)</t>
  </si>
  <si>
    <t>Environmental Release Criteria - NFPA  Health 4 or Very Toxic/Fatal</t>
  </si>
  <si>
    <t>Averaging Time Correction for Flammables</t>
  </si>
  <si>
    <t>Approach to Ambient Temperature</t>
  </si>
  <si>
    <t>2 Saturation Limit at Ambient Temperature + Approach</t>
  </si>
  <si>
    <t>Mechanical Integrity Failure - Extremely Large</t>
  </si>
  <si>
    <t>Mechanical Integrity Failure - Very Large</t>
  </si>
  <si>
    <t>Mechanical Integrity Failure - Medium</t>
  </si>
  <si>
    <t>Mechanical Integrity Failure - Very Small</t>
  </si>
  <si>
    <t>Piping or Equipment Leak - Small</t>
  </si>
  <si>
    <t>Small</t>
  </si>
  <si>
    <t>Relief Device Failure</t>
  </si>
  <si>
    <t>Piping or Equipment Leak - Full Bore</t>
  </si>
  <si>
    <t>Vapor Quench</t>
  </si>
  <si>
    <t>Attended</t>
  </si>
  <si>
    <t>Egress</t>
  </si>
  <si>
    <t>FiredEq_ProcessArea</t>
  </si>
  <si>
    <t>Access</t>
  </si>
  <si>
    <t>Soil_Remediation</t>
  </si>
  <si>
    <t>Waterway</t>
  </si>
  <si>
    <t>Dike_Area_Input</t>
  </si>
  <si>
    <t>Drainage_Credit</t>
  </si>
  <si>
    <t>Flam_In_Area_Input</t>
  </si>
  <si>
    <t>Enclosed_Process_Volume_Input</t>
  </si>
  <si>
    <t>Enclosed_Ventilation_Rate</t>
  </si>
  <si>
    <t>Op_Number</t>
  </si>
  <si>
    <t>Occ_Bldg_Input</t>
  </si>
  <si>
    <t>Bldg_Type</t>
  </si>
  <si>
    <t>Ventilation_Rate</t>
  </si>
  <si>
    <t>Ventilation_ShutOff</t>
  </si>
  <si>
    <t>Occ_Bldg_Cntr_Input</t>
  </si>
  <si>
    <t>Occ_Bldg2_Input</t>
  </si>
  <si>
    <t>Occupants_atRisk</t>
  </si>
  <si>
    <t>Inventory_Input</t>
  </si>
  <si>
    <t>Dh_Input</t>
  </si>
  <si>
    <t>Max_Feed_P_Input</t>
  </si>
  <si>
    <t>Feedrate_Input</t>
  </si>
  <si>
    <t>Feed_Type</t>
  </si>
  <si>
    <t>Inert_Atm</t>
  </si>
  <si>
    <t>Downstr_P_Input</t>
  </si>
  <si>
    <t>Max_Inert_P_Input</t>
  </si>
  <si>
    <t>Inert_FeedRate_Input</t>
  </si>
  <si>
    <t>Overflow_Location</t>
  </si>
  <si>
    <t>Vibration</t>
  </si>
  <si>
    <t>Rupture_10min</t>
  </si>
  <si>
    <t>Operating_Time</t>
  </si>
  <si>
    <t>Frequent_Turnaround</t>
  </si>
  <si>
    <t>T_Input</t>
  </si>
  <si>
    <t>P_Input</t>
  </si>
  <si>
    <t>Mw_Mix</t>
  </si>
  <si>
    <t>TM_Feed</t>
  </si>
  <si>
    <t>TBp</t>
  </si>
  <si>
    <t>VP_A</t>
  </si>
  <si>
    <t>VP_B</t>
  </si>
  <si>
    <t>VP_C</t>
  </si>
  <si>
    <t>LD_A</t>
  </si>
  <si>
    <t>LD_B</t>
  </si>
  <si>
    <t>LHC_A</t>
  </si>
  <si>
    <t>LHC_B</t>
  </si>
  <si>
    <t>HVAP_A</t>
  </si>
  <si>
    <t>HVAP_B</t>
  </si>
  <si>
    <t>HVAP_C</t>
  </si>
  <si>
    <t>Flash_Pt_Feed</t>
  </si>
  <si>
    <t>LFL_Mix</t>
  </si>
  <si>
    <t>Ease_of_Ignition_Feed</t>
  </si>
  <si>
    <t>Flame_Speed_Feed</t>
  </si>
  <si>
    <t>Dust_Class_Feed</t>
  </si>
  <si>
    <t>Dust_Size_Feed</t>
  </si>
  <si>
    <t>Fraction_Dust_Feed</t>
  </si>
  <si>
    <t>Dust_MIE_Feed</t>
  </si>
  <si>
    <t>Dust_Hybrid_Feed</t>
  </si>
  <si>
    <t>ER2_Mix</t>
  </si>
  <si>
    <t>ER3_Mix</t>
  </si>
  <si>
    <t>NFPA_H_Max</t>
  </si>
  <si>
    <t>NFPA_F_Max</t>
  </si>
  <si>
    <t>NFPA_R_Max</t>
  </si>
  <si>
    <t>Dermal_Tox_Feed</t>
  </si>
  <si>
    <t>Aquatic_Tox_Feed</t>
  </si>
  <si>
    <t>Conductive_Feed</t>
  </si>
  <si>
    <t>Pad_MW</t>
  </si>
  <si>
    <t>Sum_WtFract</t>
  </si>
  <si>
    <t>WtFract_2</t>
  </si>
  <si>
    <t>WtFract_3</t>
  </si>
  <si>
    <t>WtFract_4</t>
  </si>
  <si>
    <t>WtFract_5</t>
  </si>
  <si>
    <t>Fract_Key_Chemical</t>
  </si>
  <si>
    <t>Test_Method</t>
  </si>
  <si>
    <t>DHR</t>
  </si>
  <si>
    <t>Act_Energy</t>
  </si>
  <si>
    <t>Tdet</t>
  </si>
  <si>
    <t>Rdet</t>
  </si>
  <si>
    <t>phi</t>
  </si>
  <si>
    <t>Gas_Gen</t>
  </si>
  <si>
    <t>Limiting_Rate</t>
  </si>
  <si>
    <t>Coolant_Area</t>
  </si>
  <si>
    <t>Coolant_U</t>
  </si>
  <si>
    <t>Coolant_Temp</t>
  </si>
  <si>
    <t>Catalyzed</t>
  </si>
  <si>
    <t>`</t>
  </si>
  <si>
    <t>Rx_Pooling</t>
  </si>
  <si>
    <t>Second_Phase</t>
  </si>
  <si>
    <t>Rx_Pooling_Factor</t>
  </si>
  <si>
    <t>Rx_MisLoading</t>
  </si>
  <si>
    <t>Rx_MisLoading_Factor</t>
  </si>
  <si>
    <t>Rx_Incompatible</t>
  </si>
  <si>
    <t>CP_Detonable</t>
  </si>
  <si>
    <t>Equipment_Tag</t>
  </si>
  <si>
    <t>Equipment_Type</t>
  </si>
  <si>
    <t>Exclude_MI</t>
  </si>
  <si>
    <t>Equipment_Volume</t>
  </si>
  <si>
    <t>MAWP_Input</t>
  </si>
  <si>
    <t>Relief_Set_Input</t>
  </si>
  <si>
    <t>Relief_Set</t>
  </si>
  <si>
    <t>Relief_Size_Input</t>
  </si>
  <si>
    <t>Relief_Type</t>
  </si>
  <si>
    <t>Relief_Discharge_Size_Input</t>
  </si>
  <si>
    <t>Relief_Elevation_Input</t>
  </si>
  <si>
    <t>Relief_Discharge_Location</t>
  </si>
  <si>
    <t>Public_Relief_Input</t>
  </si>
  <si>
    <t>Occ_Bldg_Relief_Input</t>
  </si>
  <si>
    <t>Occ_Bldg_Cntr_Relief_Input</t>
  </si>
  <si>
    <t>Occ_Bldg2_Relief_Input</t>
  </si>
  <si>
    <t>Occ_Bldg2_Cntr_Relief_Input</t>
  </si>
  <si>
    <t>Occ_Bldg2_Relief_Direction</t>
  </si>
  <si>
    <t>Vacuum_Rated</t>
  </si>
  <si>
    <t>Matl_Construction</t>
  </si>
  <si>
    <t>Dip_Pipe</t>
  </si>
  <si>
    <t>D_Input</t>
  </si>
  <si>
    <t>Flanges</t>
  </si>
  <si>
    <t>Drain_Input</t>
  </si>
  <si>
    <t>Pipe_Length_Input</t>
  </si>
  <si>
    <t>Pipe_Vulnerable</t>
  </si>
  <si>
    <t>Screwed_Connect</t>
  </si>
  <si>
    <t>Sight_Glass</t>
  </si>
  <si>
    <t>Connection_Type</t>
  </si>
  <si>
    <t>Bus_Loss</t>
  </si>
  <si>
    <t>Sur_Area_Input</t>
  </si>
  <si>
    <t>Insulation</t>
  </si>
  <si>
    <t>HT_Area_Input</t>
  </si>
  <si>
    <t>U_Input</t>
  </si>
  <si>
    <t>Heating_T_Input</t>
  </si>
  <si>
    <t>Motor_Input</t>
  </si>
  <si>
    <t>Pump_Valves</t>
  </si>
  <si>
    <t>Remote_Start</t>
  </si>
  <si>
    <t>Seal_Type</t>
  </si>
  <si>
    <t>Cell Name for Hyperlink</t>
  </si>
  <si>
    <t>Pool Fire Limit for Flammable in Area</t>
  </si>
  <si>
    <t xml:space="preserve">Vessel or Equipment Orientation </t>
  </si>
  <si>
    <t>Non-Anchored Flat Bottom</t>
  </si>
  <si>
    <t>Insultation Thermal Conductivity / Thickness</t>
  </si>
  <si>
    <t xml:space="preserve">Immediate Area Flammable Mass = </t>
  </si>
  <si>
    <t>Liquid Density of Other Flammable Material</t>
  </si>
  <si>
    <t>g/cc or Sp. Gravity</t>
  </si>
  <si>
    <t>Liquid Density of Other Flammables (g/cc)</t>
  </si>
  <si>
    <t xml:space="preserve">Fraction Surface at Low Liquid Level = </t>
  </si>
  <si>
    <r>
      <t>Maximum Fire Duration based on Leak of Other Flammables in Immediate Area and Pool Area = 2*Vol</t>
    </r>
    <r>
      <rPr>
        <b/>
        <i/>
        <vertAlign val="superscript"/>
        <sz val="10"/>
        <color theme="1"/>
        <rFont val="Arial Narrow"/>
        <family val="2"/>
      </rPr>
      <t>2/3</t>
    </r>
    <r>
      <rPr>
        <b/>
        <i/>
        <sz val="10"/>
        <color theme="1"/>
        <rFont val="Arial Narrow"/>
        <family val="2"/>
      </rPr>
      <t>:</t>
    </r>
  </si>
  <si>
    <t>Pool Diameter Coefficient</t>
  </si>
  <si>
    <t xml:space="preserve">Insulation Heat Reduction Factor = </t>
  </si>
  <si>
    <t>SMALL</t>
  </si>
  <si>
    <t xml:space="preserve">  Medium Hole Size Leak</t>
  </si>
  <si>
    <t xml:space="preserve">  Very Small Hole Size Leak</t>
  </si>
  <si>
    <t xml:space="preserve">  Small Hole Size Leak</t>
  </si>
  <si>
    <t>Small Hole Size Leak</t>
  </si>
  <si>
    <t>Small Hole Size Leak above Liquid Level</t>
  </si>
  <si>
    <t>Drain Valve Default</t>
  </si>
  <si>
    <t>Equipment</t>
  </si>
  <si>
    <t>Volume, Surface or Mass Parameters</t>
  </si>
  <si>
    <t>Pump Volume Parameter (based on Inlet Size)</t>
  </si>
  <si>
    <t>Pump Volume Parameter2 (based on Inlet Size)</t>
  </si>
  <si>
    <t>Surface Area Parameter</t>
  </si>
  <si>
    <t>Surface Area Parameter2</t>
  </si>
  <si>
    <t>Equipment Mass Parameter</t>
  </si>
  <si>
    <t>Equipment Mass Parameter2</t>
  </si>
  <si>
    <t>Surface Area Parameter3</t>
  </si>
  <si>
    <t>Equipment Mass Parameter3</t>
  </si>
  <si>
    <t xml:space="preserve">Estimated Tank or Equipment Mass = </t>
  </si>
  <si>
    <t>Operator closes valves on piping or equipment for infrequent maintenance</t>
  </si>
  <si>
    <t>Seal Leak</t>
  </si>
  <si>
    <t>Flash Back of Vent to Fired Equipment</t>
  </si>
  <si>
    <t>Failure of Flow or Level Control with Flooding of Column</t>
  </si>
  <si>
    <t>Estimated Maximum Fragment Range</t>
  </si>
  <si>
    <t>Maximum Distance to Direct Blast Impact (Overpressure or Fragments)</t>
  </si>
  <si>
    <t>Coefficient for Blast Fragment Range</t>
  </si>
  <si>
    <t>Brittle Material of Construction</t>
  </si>
  <si>
    <t>Other Brittle Material</t>
  </si>
  <si>
    <t>Potential for Reactive Detonation</t>
  </si>
  <si>
    <t>Potential Detonation Reaction Energy</t>
  </si>
  <si>
    <t>Mechanical Seal Failure above Liquid Level</t>
  </si>
  <si>
    <t xml:space="preserve">Mixture NFPA Health = </t>
  </si>
  <si>
    <t>Mixture NFPA Health Rating</t>
  </si>
  <si>
    <t>Maximum Pressure</t>
  </si>
  <si>
    <t>Maximum Pressure from Heat Transfer</t>
  </si>
  <si>
    <t>Max Pressure from Mechanical Energy - Low Level</t>
  </si>
  <si>
    <t>Max Pressure from Mechanical Energy - High Level</t>
  </si>
  <si>
    <t>Vapor Pressure from Mechanical Energy - Low Level</t>
  </si>
  <si>
    <t>Vapor Pressure from Mechanical Energy - High Level</t>
  </si>
  <si>
    <t>Relief Device Activation from Heat Transfer</t>
  </si>
  <si>
    <t>Relief Device Activation from Mechical Energy</t>
  </si>
  <si>
    <t>Tube Failure</t>
  </si>
  <si>
    <t>Maximum Source Pressure</t>
  </si>
  <si>
    <t xml:space="preserve">POI for Dust Spill = </t>
  </si>
  <si>
    <t>Screening Energy Limit for Rotating Equipment</t>
  </si>
  <si>
    <t>Original Tool Detail Description</t>
  </si>
  <si>
    <t>Reaction Parameter Limit</t>
  </si>
  <si>
    <t xml:space="preserve">Fire Duration Not Sufficient to Reach TNR? </t>
  </si>
  <si>
    <t xml:space="preserve">Fire Duration Not Sufficient for Relief Scenario? </t>
  </si>
  <si>
    <t xml:space="preserve">Fire Duration Not Sufficient for Rupture Scenario? </t>
  </si>
  <si>
    <t>Max Rx Press (atm)</t>
  </si>
  <si>
    <t>Thermal Expansion is unlikely as uninsulated outdoor piping is not long, the operating temperature does not indicate 'refrigerated' service, and tracing was not specified</t>
  </si>
  <si>
    <t>Operating Temperature indicates refrigerated service that may result in Thermal Expansion when warned to Ambient Temperature</t>
  </si>
  <si>
    <t>Pump running with Suction and Discharge closed</t>
  </si>
  <si>
    <t>Mag Drive or Canned Pump Containment leak</t>
  </si>
  <si>
    <t>Mechanical Seal Leak</t>
  </si>
  <si>
    <t>SD_Gen_77</t>
  </si>
  <si>
    <t>SD_Gen_78</t>
  </si>
  <si>
    <t>Mechanical Integrity Loss of Containment for Very Small Hole Size</t>
  </si>
  <si>
    <t>Mechanical Integrity Loss of Containment for Medium Hole Size</t>
  </si>
  <si>
    <t>Mechanical Integrity Loss of Containment for Very Large Hole Size</t>
  </si>
  <si>
    <t>Largest Pipe or Nozzle Size less than Very Large Hole Size</t>
  </si>
  <si>
    <t>Mechanical Integrity Loss of Containment for Extremely Large Hole Size</t>
  </si>
  <si>
    <t>Largest Pipe or Nozzle Size less than Extremely Large Hole Size</t>
  </si>
  <si>
    <t>Loss of Containment equivalent to Small Hole Size Leak</t>
  </si>
  <si>
    <t>Y</t>
  </si>
  <si>
    <t xml:space="preserve">Heating Fluid Temperature = </t>
  </si>
  <si>
    <t>Coolant_Temp_Input</t>
  </si>
  <si>
    <t>Equipment Limiting Fill Fractions</t>
  </si>
  <si>
    <t>Screening Energy Limit for Vibration Evaluation</t>
  </si>
  <si>
    <t>Toxic Infiltration Impacts - Building 1</t>
  </si>
  <si>
    <t>Explosion Impacts - Building 1</t>
  </si>
  <si>
    <t>Explosion Impacts - Building 2</t>
  </si>
  <si>
    <t>Physical Explosion Impacts - Building 1</t>
  </si>
  <si>
    <t>Physical Explosion Impacts - Building 2</t>
  </si>
  <si>
    <t>Toxic Infiltration Impacts - Building 2</t>
  </si>
  <si>
    <t>Small Hole Size Leak (top)</t>
  </si>
  <si>
    <t>Loss of Agitation or Low Temperature causes accumulation of unreacted material</t>
  </si>
  <si>
    <t>Estimated Equip Mass based on C. Steel</t>
  </si>
  <si>
    <t xml:space="preserve">Estimated Equipment Mass = </t>
  </si>
  <si>
    <t>Estimated Indoor Toxic Vulnerability - Bldg 1</t>
  </si>
  <si>
    <t xml:space="preserve">Pooling Reactive Potential? </t>
  </si>
  <si>
    <t xml:space="preserve">MisLoading Reactive Potential? </t>
  </si>
  <si>
    <t>Scenario is addressed as Fire Induced Reaction</t>
  </si>
  <si>
    <t>Other Dispersion Parameters</t>
  </si>
  <si>
    <t xml:space="preserve">Onsite Outdoor Exposure Duration Limit  </t>
  </si>
  <si>
    <t>General Parameters</t>
  </si>
  <si>
    <t>Chemical Exposure Screening Criteria</t>
  </si>
  <si>
    <t>Others Parameters</t>
  </si>
  <si>
    <t>Consequence Parameters</t>
  </si>
  <si>
    <t>Human Harm</t>
  </si>
  <si>
    <t>Business Loss</t>
  </si>
  <si>
    <t>Environmental Impact</t>
  </si>
  <si>
    <t>Loss of Instrument Air to Fail Closed Automated Valves resulting in pump running while blocked in.  Time at Risk may apply.</t>
  </si>
  <si>
    <t>Operator leaves Suction and Discharge Valves closed following infrequent maintenance resulting in pump running while blocked in</t>
  </si>
  <si>
    <t>Loss of Instrument Air to Fail Closed Automated Valves resulting in seal failure from no flow.  Time at Risk may apply.</t>
  </si>
  <si>
    <t>IED_Gen_70</t>
  </si>
  <si>
    <t>IED_Gen_71</t>
  </si>
  <si>
    <t>Operator leaves Discharge Valve closed following infrequent maintenance resulting Seal Failure from no flow.</t>
  </si>
  <si>
    <t>Minimum Ambient Temperature</t>
  </si>
  <si>
    <t>Tracing ?</t>
  </si>
  <si>
    <r>
      <t>Elevation of Relief Discharge above Ground,</t>
    </r>
    <r>
      <rPr>
        <i/>
        <sz val="8"/>
        <rFont val="Arial Narrow"/>
        <family val="2"/>
      </rPr>
      <t xml:space="preserve"> m</t>
    </r>
    <r>
      <rPr>
        <sz val="8"/>
        <rFont val="Arial Narrow"/>
        <family val="2"/>
      </rPr>
      <t xml:space="preserve"> = </t>
    </r>
  </si>
  <si>
    <r>
      <t xml:space="preserve">Elevation of Nearest Work Area above Ground, </t>
    </r>
    <r>
      <rPr>
        <i/>
        <sz val="8"/>
        <rFont val="Arial Narrow"/>
        <family val="2"/>
      </rPr>
      <t>m</t>
    </r>
    <r>
      <rPr>
        <sz val="8"/>
        <rFont val="Arial Narrow"/>
        <family val="2"/>
      </rPr>
      <t xml:space="preserve"> = </t>
    </r>
  </si>
  <si>
    <t>Enclosed Process Ventilation Default</t>
  </si>
  <si>
    <t>Population Parameters:</t>
  </si>
  <si>
    <t>Fraction Night Weather for Offsite</t>
  </si>
  <si>
    <t>Day Fraction Population Outdoors</t>
  </si>
  <si>
    <t>Night Fraction Population Outdoors</t>
  </si>
  <si>
    <t>Day Wind Speed</t>
  </si>
  <si>
    <t>Day Atmospheric Stability Class</t>
  </si>
  <si>
    <t>Vapor Cloud Explosion Limiting Quantity</t>
  </si>
  <si>
    <t>Total Release Quantity &amp; Total Release Quantity Units</t>
  </si>
  <si>
    <t>Probability of Ignition Used</t>
  </si>
  <si>
    <t>IPL1 General Description</t>
  </si>
  <si>
    <t>IPL1 Credit Factor</t>
  </si>
  <si>
    <t>IPL2 General Description</t>
  </si>
  <si>
    <t>IPL2 Credit Factor</t>
  </si>
  <si>
    <t>IPL3 General Description</t>
  </si>
  <si>
    <t>IPL3 Credit Factor</t>
  </si>
  <si>
    <t>IPL4 General Description</t>
  </si>
  <si>
    <t>IPL4 Credit Factor</t>
  </si>
  <si>
    <t>IPL5 General Description</t>
  </si>
  <si>
    <t>IPL5 Credit Factor</t>
  </si>
  <si>
    <t>IPL6 Credit Factor</t>
  </si>
  <si>
    <t>IPL6 General Description</t>
  </si>
  <si>
    <t>IPL7 Credit Factor</t>
  </si>
  <si>
    <t>IPL7 General Description</t>
  </si>
  <si>
    <t>IPL8 Credit Factor</t>
  </si>
  <si>
    <t>IPL8 General Description</t>
  </si>
  <si>
    <t>Temperature-High</t>
  </si>
  <si>
    <t>Enclosed Concentration w Ventilation =</t>
  </si>
  <si>
    <t>Enclosed Process Area Concentration w/o Ventilation (ppm)</t>
  </si>
  <si>
    <t>IPLD_Gen_41</t>
  </si>
  <si>
    <t>IPLD_Gen_42</t>
  </si>
  <si>
    <t>Discharge to Tox or Flare Reduces Release to Atmosphere</t>
  </si>
  <si>
    <t>Discharge to Scrubber Reduces Release to Atmosphere</t>
  </si>
  <si>
    <t>IPLD_MI_3</t>
  </si>
  <si>
    <t>Use of Extraordinary Equipment or Piping Design to reduce failure frequency</t>
  </si>
  <si>
    <t>Enclosed Process Area Concentration w Ventilation (ppm)</t>
  </si>
  <si>
    <t xml:space="preserve">Release Pipe Diameter = </t>
  </si>
  <si>
    <t>Dimethyl Dichlorosilane</t>
  </si>
  <si>
    <t>75-78-5</t>
  </si>
  <si>
    <t>Trimethyl Chlorosilane</t>
  </si>
  <si>
    <t>75-77-4</t>
  </si>
  <si>
    <t>Time to ER-3 for Building 1</t>
  </si>
  <si>
    <t>Time to ER-3 for Building 2</t>
  </si>
  <si>
    <t>Time to ER-3 Enclosed Process Area w/o Ventilation</t>
  </si>
  <si>
    <t>Time to ER-3 Enclosed Process Area w Ventilation</t>
  </si>
  <si>
    <t xml:space="preserve">Reaction with Heat Input w/o Adiabatic? </t>
  </si>
  <si>
    <t>Equipment Failure above Design Temperature</t>
  </si>
  <si>
    <t>SD_Rx_20</t>
  </si>
  <si>
    <t>Loss of tracing with melting point above the minimum ambient temperature causes frozen piping or equipment and thermal expansion during thawing</t>
  </si>
  <si>
    <t xml:space="preserve">Gas Gen Rate at Relief = </t>
  </si>
  <si>
    <t>The Operating Temperature, Heating Media Temperature, or Maximum Mechanical Energy Temperature is below the Temperature of No Return or Maximum Reaction Pressure Does Not exceed the equipment Maximum Allowable Working Pressure or Relief Set Pressure.  Scenario may represent a product quality issue.</t>
  </si>
  <si>
    <t>Mass Limit for Severe Chemical Exposure</t>
  </si>
  <si>
    <t>Compressor or Blower</t>
  </si>
  <si>
    <t>Turbine or Gas Expander</t>
  </si>
  <si>
    <t>Spray Distance Rellief Vapor</t>
  </si>
  <si>
    <t>Estimated Relief Capacity at Set Pressure</t>
  </si>
  <si>
    <t>Flash Fire or Fireball</t>
  </si>
  <si>
    <t xml:space="preserve">     Max Distance to 1% Lethality for 1.5 F weather, m </t>
  </si>
  <si>
    <t>Maximum Fragment Range, m</t>
  </si>
  <si>
    <t>Maximum Fragment Range</t>
  </si>
  <si>
    <t>IPLD_Gen_17</t>
  </si>
  <si>
    <t>High Pressure or Level in Secondary Containment Shuts off Pump and Feed</t>
  </si>
  <si>
    <t>Discharge Velocity Heat Transfer Fluid</t>
  </si>
  <si>
    <t>Heat Transfer Fluid Spray Distance</t>
  </si>
  <si>
    <t>SD_MI_9</t>
  </si>
  <si>
    <t>SD_MI_10</t>
  </si>
  <si>
    <t>IED_Gen_35</t>
  </si>
  <si>
    <t>IED_Gen_36</t>
  </si>
  <si>
    <t>Failure from wear, fatigue, alignment, or loss of lubrication.</t>
  </si>
  <si>
    <t>Potential for Vibration Fatigue Failure of Rotating Equipment</t>
  </si>
  <si>
    <t>Potential for Vibration Fatigue Failure of Rotating Equipment Entered as "No"</t>
  </si>
  <si>
    <t>Loss of Alignment or Equipment Support causing Vibration or Excessive Movement</t>
  </si>
  <si>
    <t>SD_Gen_42</t>
  </si>
  <si>
    <t>SD_D_11</t>
  </si>
  <si>
    <t>Dust Size or Minimum Ignition Energy such that Creation of Secondary Dust Explosion Unlikely</t>
  </si>
  <si>
    <t>Exhaustion of Scrubbing Media</t>
  </si>
  <si>
    <t>SD_Gen_43</t>
  </si>
  <si>
    <t>SD_Gen_61</t>
  </si>
  <si>
    <t>Loss of Scrubbing or Quench media flow with release of untreated vent</t>
  </si>
  <si>
    <t>Consumption of Scrubbing or Quench Media with release of untreated vent</t>
  </si>
  <si>
    <t>IED_Gen_17</t>
  </si>
  <si>
    <t>Vent to Scrubber, Adsorber or Quench is not a Vapor</t>
  </si>
  <si>
    <t>Frictional Heat results in Decomposition or Ignition of Solid Material</t>
  </si>
  <si>
    <t>IED_D_8</t>
  </si>
  <si>
    <t>Failure of Seals, Bearings from Dust Build-up</t>
  </si>
  <si>
    <t>SD_MI_11</t>
  </si>
  <si>
    <t>SD_Rx_21</t>
  </si>
  <si>
    <t>Reaction Input of Gas Generation precedes Exotherm of "Yes" with Maximum Pressure from Gas Generation exceeding Equipment Design Limits</t>
  </si>
  <si>
    <t>Failure of flexible connection from vibration, wear, or fatigue resulting in a solids spill</t>
  </si>
  <si>
    <t>SD_Gen_44</t>
  </si>
  <si>
    <t>Motor Power below Rotating Equipment Vibration or Damage Limit</t>
  </si>
  <si>
    <t>SD_Rx_22</t>
  </si>
  <si>
    <t>Exothermic Reaction or formation of gaseous products with Potential for Pooling of Reactants Noted but Limiting Reaction Rate Not Entered</t>
  </si>
  <si>
    <t>Maximum Feed Temperature Exceeds Temperature limits of Equipment</t>
  </si>
  <si>
    <t>Maximum Feed Temperature Does Not Exceed Temperature limits of Equipment</t>
  </si>
  <si>
    <t>Apply Screwed Connection Penalty?</t>
  </si>
  <si>
    <t>bis-Chloromethyl Ether</t>
  </si>
  <si>
    <t>542-88-1</t>
  </si>
  <si>
    <t>Number of Flanges Below Liquid for Vessels</t>
  </si>
  <si>
    <t xml:space="preserve">Total Flashed Liquid from Depressurize or Displacement = </t>
  </si>
  <si>
    <t>Screwed_List</t>
  </si>
  <si>
    <t>Through Very Small</t>
  </si>
  <si>
    <t>Through Medium</t>
  </si>
  <si>
    <t>Through Very Large</t>
  </si>
  <si>
    <t>Through Extremely Large</t>
  </si>
  <si>
    <t>No Penalty</t>
  </si>
  <si>
    <t>HD-3</t>
  </si>
  <si>
    <t>HD-2,3 and Distance to Fence Line Units</t>
  </si>
  <si>
    <t>Hazard Distance, HD-3</t>
  </si>
  <si>
    <t>Disk Relief Device</t>
  </si>
  <si>
    <t>Datatable Probit n</t>
  </si>
  <si>
    <t>Probit n Used</t>
  </si>
  <si>
    <t>SD_Gen_79</t>
  </si>
  <si>
    <t>IED_Gen_72</t>
  </si>
  <si>
    <t>Improper alignment of gasket or seal after changing filter element or media</t>
  </si>
  <si>
    <t>Leak of filter gasket or seal</t>
  </si>
  <si>
    <r>
      <t>Data Table LC</t>
    </r>
    <r>
      <rPr>
        <b/>
        <vertAlign val="subscript"/>
        <sz val="10"/>
        <rFont val="Arial Narrow"/>
        <family val="2"/>
      </rPr>
      <t>1</t>
    </r>
  </si>
  <si>
    <r>
      <t>Data Table LC</t>
    </r>
    <r>
      <rPr>
        <b/>
        <vertAlign val="subscript"/>
        <sz val="10"/>
        <rFont val="Arial Narrow"/>
        <family val="2"/>
      </rPr>
      <t>50</t>
    </r>
  </si>
  <si>
    <r>
      <t>LC</t>
    </r>
    <r>
      <rPr>
        <b/>
        <vertAlign val="subscript"/>
        <sz val="10"/>
        <rFont val="Arial Narrow"/>
        <family val="2"/>
      </rPr>
      <t>1</t>
    </r>
    <r>
      <rPr>
        <b/>
        <sz val="10"/>
        <rFont val="Arial Narrow"/>
        <family val="2"/>
      </rPr>
      <t xml:space="preserve"> Used</t>
    </r>
  </si>
  <si>
    <r>
      <t>LC</t>
    </r>
    <r>
      <rPr>
        <b/>
        <vertAlign val="subscript"/>
        <sz val="10"/>
        <rFont val="Arial Narrow"/>
        <family val="2"/>
      </rPr>
      <t>50</t>
    </r>
    <r>
      <rPr>
        <b/>
        <sz val="10"/>
        <rFont val="Arial Narrow"/>
        <family val="2"/>
      </rPr>
      <t xml:space="preserve"> Used</t>
    </r>
  </si>
  <si>
    <t>Release Duration at Max Release Rate (min)</t>
  </si>
  <si>
    <t>SD_Gen_45</t>
  </si>
  <si>
    <t>Distance to end of Offsite Zone 1</t>
  </si>
  <si>
    <t>Offsite Population Density within Zone 1</t>
  </si>
  <si>
    <t>Motor below Vibration Power Limit for Potential for Vibration Fatigue Failure of Rotating Equipment</t>
  </si>
  <si>
    <t>4170-30-3</t>
  </si>
  <si>
    <t>Diethyl Benzenes</t>
  </si>
  <si>
    <t>Max Distance to Time-Scaled ERPG-2, m</t>
  </si>
  <si>
    <t>Max Distance to Time-Scaled ERPG-3, m</t>
  </si>
  <si>
    <t>ERPG-2 for Vapor Composition, ppm by volume</t>
  </si>
  <si>
    <t>ERPG-3 for Vapor Composition, ppm by volume</t>
  </si>
  <si>
    <t>ERPG-2 at Initial Composition, ppm</t>
  </si>
  <si>
    <t>ERPG-3 at Initial Composition, ppm</t>
  </si>
  <si>
    <t>Tolerable Frequency Factor</t>
  </si>
  <si>
    <t>Tolerable Frequency Factor Used</t>
  </si>
  <si>
    <t>Revised Probability of Exposure</t>
  </si>
  <si>
    <t>Probability of Exposure Used</t>
  </si>
  <si>
    <t>LOPA Scenario ID,
or Comments</t>
  </si>
  <si>
    <t>Off-Site Toxic Tolerable Frequency Factor</t>
  </si>
  <si>
    <t>Correlation Offsite Tolerable Frequency Factor (Toxic)</t>
  </si>
  <si>
    <t>Onsite Tolerable Frequency Factor (Toxic)</t>
  </si>
  <si>
    <t>Enclosed Process Tolerable Frequency Factor (Toxic)</t>
  </si>
  <si>
    <t>Occupied Building Tolerable Frequency Factor (Toxic)</t>
  </si>
  <si>
    <t>Chemical Exposure Tolerable Frequency Factor</t>
  </si>
  <si>
    <t>Onsite Tolerable Frequency Factor (Flammable)</t>
  </si>
  <si>
    <t>Building Explosion Tolerable Frequency Factor</t>
  </si>
  <si>
    <t>Vapor Cloud Explosion Tolerable Frequency Factor</t>
  </si>
  <si>
    <t>Onsite Tolerable Frequency Factor (Physical Explosion)</t>
  </si>
  <si>
    <t>Reactive Explosion Tolerable Frequency Factor</t>
  </si>
  <si>
    <t>Severe Burns Tolerable Frequency Factor</t>
  </si>
  <si>
    <t>Manufacturing</t>
  </si>
  <si>
    <t>Manufacturing Name</t>
  </si>
  <si>
    <t>Manufacturing Date</t>
  </si>
  <si>
    <t>Mixture ERPG-2</t>
  </si>
  <si>
    <t>Mixture ERPG-3</t>
  </si>
  <si>
    <t>Sulfuryl Fluoride</t>
  </si>
  <si>
    <t>Summary of Risk Categories:</t>
  </si>
  <si>
    <t xml:space="preserve">Does Operations Support Venting to Atmosphere? </t>
  </si>
  <si>
    <t>Effluent Screening</t>
  </si>
  <si>
    <r>
      <t xml:space="preserve">Reynolds Number at Sizing Flowrate (Re = d v </t>
    </r>
    <r>
      <rPr>
        <sz val="9"/>
        <rFont val="Symbol"/>
        <family val="1"/>
        <charset val="2"/>
      </rPr>
      <t>r</t>
    </r>
    <r>
      <rPr>
        <sz val="9"/>
        <rFont val="Arial Narrow"/>
        <family val="2"/>
      </rPr>
      <t xml:space="preserve"> / m)</t>
    </r>
  </si>
  <si>
    <r>
      <t xml:space="preserve">Reynolds Number at Actual Flowrate (Re = d v </t>
    </r>
    <r>
      <rPr>
        <sz val="9"/>
        <rFont val="Symbol"/>
        <family val="1"/>
        <charset val="2"/>
      </rPr>
      <t>r</t>
    </r>
    <r>
      <rPr>
        <sz val="9"/>
        <rFont val="Arial Narrow"/>
        <family val="2"/>
      </rPr>
      <t xml:space="preserve"> / m)</t>
    </r>
  </si>
  <si>
    <r>
      <t>kg/m</t>
    </r>
    <r>
      <rPr>
        <vertAlign val="superscript"/>
        <sz val="10"/>
        <rFont val="Arial Narrow"/>
        <family val="2"/>
      </rPr>
      <t>3</t>
    </r>
  </si>
  <si>
    <t>times ERPG-3</t>
  </si>
  <si>
    <r>
      <t>API 521 Reynolds No Criteria, Re &gt; 15400 (</t>
    </r>
    <r>
      <rPr>
        <sz val="8"/>
        <rFont val="Symbol"/>
        <family val="1"/>
        <charset val="2"/>
      </rPr>
      <t>r</t>
    </r>
    <r>
      <rPr>
        <vertAlign val="subscript"/>
        <sz val="8"/>
        <rFont val="Arial Narrow"/>
        <family val="2"/>
      </rPr>
      <t>j</t>
    </r>
    <r>
      <rPr>
        <sz val="8"/>
        <rFont val="Arial Narrow"/>
        <family val="2"/>
      </rPr>
      <t>/</t>
    </r>
    <r>
      <rPr>
        <sz val="8"/>
        <rFont val="Symbol"/>
        <family val="1"/>
        <charset val="2"/>
      </rPr>
      <t>r</t>
    </r>
    <r>
      <rPr>
        <vertAlign val="subscript"/>
        <sz val="8"/>
        <rFont val="Arial Narrow"/>
        <family val="2"/>
      </rPr>
      <t>a</t>
    </r>
    <r>
      <rPr>
        <sz val="8"/>
        <rFont val="Arial Narrow"/>
        <family val="2"/>
      </rPr>
      <t>) at Actual</t>
    </r>
  </si>
  <si>
    <r>
      <t>API 521 Reynolds No Criteria, Re &gt; 15400 (</t>
    </r>
    <r>
      <rPr>
        <sz val="8"/>
        <rFont val="Symbol"/>
        <family val="1"/>
        <charset val="2"/>
      </rPr>
      <t>r</t>
    </r>
    <r>
      <rPr>
        <vertAlign val="subscript"/>
        <sz val="8"/>
        <rFont val="Arial Narrow"/>
        <family val="2"/>
      </rPr>
      <t>j</t>
    </r>
    <r>
      <rPr>
        <sz val="8"/>
        <rFont val="Arial Narrow"/>
        <family val="2"/>
      </rPr>
      <t>/</t>
    </r>
    <r>
      <rPr>
        <sz val="8"/>
        <rFont val="Symbol"/>
        <family val="1"/>
        <charset val="2"/>
      </rPr>
      <t>r</t>
    </r>
    <r>
      <rPr>
        <vertAlign val="subscript"/>
        <sz val="8"/>
        <rFont val="Arial Narrow"/>
        <family val="2"/>
      </rPr>
      <t>a</t>
    </r>
    <r>
      <rPr>
        <sz val="8"/>
        <rFont val="Arial Narrow"/>
        <family val="2"/>
      </rPr>
      <t>) at Sizing</t>
    </r>
  </si>
  <si>
    <t>Risk Analysis or Effluent Treatment System suggested</t>
  </si>
  <si>
    <t>Hazardous Warning Criteria</t>
  </si>
  <si>
    <t>Toxic or Flammable Screening Criteria</t>
  </si>
  <si>
    <t>Effluent Screening Summary</t>
  </si>
  <si>
    <t xml:space="preserve">Time Scale Factor </t>
  </si>
  <si>
    <r>
      <t>Default LC</t>
    </r>
    <r>
      <rPr>
        <b/>
        <vertAlign val="subscript"/>
        <sz val="10"/>
        <color rgb="FF0000FF"/>
        <rFont val="Arial Narrow"/>
        <family val="2"/>
      </rPr>
      <t xml:space="preserve">1 </t>
    </r>
    <r>
      <rPr>
        <b/>
        <sz val="10"/>
        <color rgb="FF0000FF"/>
        <rFont val="Arial Narrow"/>
        <family val="2"/>
      </rPr>
      <t xml:space="preserve">/ ERPG-3  </t>
    </r>
  </si>
  <si>
    <r>
      <t>Default LC</t>
    </r>
    <r>
      <rPr>
        <b/>
        <vertAlign val="subscript"/>
        <sz val="10"/>
        <color rgb="FF0000FF"/>
        <rFont val="Arial Narrow"/>
        <family val="2"/>
      </rPr>
      <t xml:space="preserve">50 </t>
    </r>
    <r>
      <rPr>
        <b/>
        <sz val="10"/>
        <color rgb="FF0000FF"/>
        <rFont val="Arial Narrow"/>
        <family val="2"/>
      </rPr>
      <t xml:space="preserve">/ ERPG-3  </t>
    </r>
  </si>
  <si>
    <t xml:space="preserve">Inhalation Toxic Screening Limit </t>
  </si>
  <si>
    <t>Potential Outcome / Tolerable Frequency Factors</t>
  </si>
  <si>
    <t>ERPG or LC Reference</t>
  </si>
  <si>
    <t>AIHA ERPG</t>
  </si>
  <si>
    <t>Hydrogen Chloride - 10% aqueous</t>
  </si>
  <si>
    <t>Hydrogen Chloride - 32% aqueous</t>
  </si>
  <si>
    <t>Ammonia - 20% aqueous</t>
  </si>
  <si>
    <t>Sodium Chloride - 10% aqueous</t>
  </si>
  <si>
    <t>Sodium Hydroxide - 25% aqueous</t>
  </si>
  <si>
    <t>Sodium Hydroxide - 50% aqueous</t>
  </si>
  <si>
    <t>Sulfuric Acid - 90% aqueous</t>
  </si>
  <si>
    <t>Acetonitrile</t>
  </si>
  <si>
    <t>75-05-8</t>
  </si>
  <si>
    <t>Acrylamide</t>
  </si>
  <si>
    <t>79-06-1</t>
  </si>
  <si>
    <t>Allyl Alcohol</t>
  </si>
  <si>
    <t>107-18-6</t>
  </si>
  <si>
    <t>Allylamine</t>
  </si>
  <si>
    <t>107-11-9</t>
  </si>
  <si>
    <t>Amino ethyl Piperazine</t>
  </si>
  <si>
    <t>140-31-8</t>
  </si>
  <si>
    <t>Amyl Acetate</t>
  </si>
  <si>
    <t>628-63-7</t>
  </si>
  <si>
    <t>Biphenyl</t>
  </si>
  <si>
    <t>92-52-4</t>
  </si>
  <si>
    <t>Butyl Acetate, sec-</t>
  </si>
  <si>
    <t>105-46-4</t>
  </si>
  <si>
    <t>Butyl Acetate, tert-</t>
  </si>
  <si>
    <t>540-88-5</t>
  </si>
  <si>
    <t>Butyl Hydroperoxide (tertiary)</t>
  </si>
  <si>
    <t>75-91-2</t>
  </si>
  <si>
    <t>Butyl Methacrylate, n-</t>
  </si>
  <si>
    <t>97-88-1</t>
  </si>
  <si>
    <t>Butylene Oxide (1,2-)</t>
  </si>
  <si>
    <t>106-88-7</t>
  </si>
  <si>
    <t>Chloro-1-Propene (2-)</t>
  </si>
  <si>
    <t>557-98-2</t>
  </si>
  <si>
    <t>Chloroacetic Acid</t>
  </si>
  <si>
    <t>79-11-8</t>
  </si>
  <si>
    <t>Chlorobenzene</t>
  </si>
  <si>
    <t>108-90-7</t>
  </si>
  <si>
    <t>Crotonaldehyde, trans-</t>
  </si>
  <si>
    <t>123-73-9</t>
  </si>
  <si>
    <t>Crotonic Acid</t>
  </si>
  <si>
    <t>3724-65-0</t>
  </si>
  <si>
    <t>Cumene</t>
  </si>
  <si>
    <t>98-82-8</t>
  </si>
  <si>
    <t>Cyanamide</t>
  </si>
  <si>
    <t>420-04-2</t>
  </si>
  <si>
    <t>Cyanoacetamide</t>
  </si>
  <si>
    <t>107-91-5</t>
  </si>
  <si>
    <t>Dichlorophenoxy acetic acid (2,4-)</t>
  </si>
  <si>
    <t>94-75-7</t>
  </si>
  <si>
    <t>Dichloropropane (1,2-) (Propylene Dichloride)</t>
  </si>
  <si>
    <t>78-87-5</t>
  </si>
  <si>
    <t>Dichloropropene (1,3)</t>
  </si>
  <si>
    <t>542-75-6</t>
  </si>
  <si>
    <t>Dicyclopentadiene</t>
  </si>
  <si>
    <t>77-73-6</t>
  </si>
  <si>
    <t>Diethanol amine</t>
  </si>
  <si>
    <t>111-42-2</t>
  </si>
  <si>
    <t>141-93-5</t>
  </si>
  <si>
    <t>Diethyl Ketone</t>
  </si>
  <si>
    <t>96-22-0</t>
  </si>
  <si>
    <t>Diethyl Sulfate</t>
  </si>
  <si>
    <t>64-67-5</t>
  </si>
  <si>
    <t>Diethylamine</t>
  </si>
  <si>
    <t>109-89-7</t>
  </si>
  <si>
    <t>Diethylbenzene</t>
  </si>
  <si>
    <t>Diethylene Triamine</t>
  </si>
  <si>
    <t>111-40-0</t>
  </si>
  <si>
    <t>Dimethyl Acetamide</t>
  </si>
  <si>
    <t>127-19-5</t>
  </si>
  <si>
    <t>Dimethyl Chlorosilane</t>
  </si>
  <si>
    <t>1066-35-9</t>
  </si>
  <si>
    <t>Dimethyl Sulphate</t>
  </si>
  <si>
    <t>77-78-1</t>
  </si>
  <si>
    <t>Dimethylsulfoxide (DMSO)</t>
  </si>
  <si>
    <t>67-68-5</t>
  </si>
  <si>
    <t>Dioctylphthalate</t>
  </si>
  <si>
    <t>117-84-0</t>
  </si>
  <si>
    <t>Diphenyl Methane</t>
  </si>
  <si>
    <t>101-81-5</t>
  </si>
  <si>
    <t>Diphenyl Oxide</t>
  </si>
  <si>
    <t>101-84-8</t>
  </si>
  <si>
    <t>Divinyl Benzene</t>
  </si>
  <si>
    <t>1321-74-0</t>
  </si>
  <si>
    <t>DNOSBP</t>
  </si>
  <si>
    <t>88-85-7</t>
  </si>
  <si>
    <t>Dowanol EB (2-butoxyethanol)</t>
  </si>
  <si>
    <t>111-76-2</t>
  </si>
  <si>
    <t>Dowanol PM</t>
  </si>
  <si>
    <t>107-98-2</t>
  </si>
  <si>
    <t>Ethanolamine</t>
  </si>
  <si>
    <t>141-43-5</t>
  </si>
  <si>
    <t>Ethyl Chloroacetate</t>
  </si>
  <si>
    <t>105-39-5</t>
  </si>
  <si>
    <t>Ethyl Hexonic Acid</t>
  </si>
  <si>
    <t>149-57-5</t>
  </si>
  <si>
    <t>Ethyl Hexyl Acrylate</t>
  </si>
  <si>
    <t>103-11-7</t>
  </si>
  <si>
    <t>Ethyl Toluene</t>
  </si>
  <si>
    <t>611-14-3</t>
  </si>
  <si>
    <t>Ethyl Vinylether</t>
  </si>
  <si>
    <t>109-92-2</t>
  </si>
  <si>
    <t>Ethylene Dichloride</t>
  </si>
  <si>
    <t>107-06-2</t>
  </si>
  <si>
    <t>Ethylene Glycol</t>
  </si>
  <si>
    <t>107-21-1</t>
  </si>
  <si>
    <t>Glycerine</t>
  </si>
  <si>
    <t>56-81-5</t>
  </si>
  <si>
    <t>Glycidol</t>
  </si>
  <si>
    <t>556-52-5</t>
  </si>
  <si>
    <t>Hexanol, 2-</t>
  </si>
  <si>
    <t>626-93-7</t>
  </si>
  <si>
    <t>Hexanol, n-</t>
  </si>
  <si>
    <t>111-27-3</t>
  </si>
  <si>
    <t>Hydrogen Bromide</t>
  </si>
  <si>
    <t>10035-10-6</t>
  </si>
  <si>
    <t>Isobutyraldehyde</t>
  </si>
  <si>
    <t>78-84-2</t>
  </si>
  <si>
    <t>Isophorone</t>
  </si>
  <si>
    <t>78-59-1</t>
  </si>
  <si>
    <t>Kerosine Solvent</t>
  </si>
  <si>
    <t>8008-20-6</t>
  </si>
  <si>
    <t>Methacrylic Acid</t>
  </si>
  <si>
    <t>79-41-4</t>
  </si>
  <si>
    <t>Methacrylonitrile</t>
  </si>
  <si>
    <t>126-98-7</t>
  </si>
  <si>
    <t>Methyl Acrylate</t>
  </si>
  <si>
    <t>96-33-3</t>
  </si>
  <si>
    <t>Methyl Dichlorosilane</t>
  </si>
  <si>
    <t>75-54-7</t>
  </si>
  <si>
    <t>Methyl Methacrylate</t>
  </si>
  <si>
    <t>80-62-6</t>
  </si>
  <si>
    <t>Methyl Styrene (alpha)</t>
  </si>
  <si>
    <t>98-83-9</t>
  </si>
  <si>
    <t>Methyl Trichlorosilane</t>
  </si>
  <si>
    <t>75-79-6</t>
  </si>
  <si>
    <t>Mineral Oil</t>
  </si>
  <si>
    <t>8020-83-5</t>
  </si>
  <si>
    <t>N,N-dimethylethanolamine</t>
  </si>
  <si>
    <t>108-01-0</t>
  </si>
  <si>
    <t>Naphthalene</t>
  </si>
  <si>
    <t>91-20-3</t>
  </si>
  <si>
    <t>Nitroethane</t>
  </si>
  <si>
    <t>79-24-3</t>
  </si>
  <si>
    <t>Nitromethane</t>
  </si>
  <si>
    <t>75-52-5</t>
  </si>
  <si>
    <t>Nitropropane, 1-</t>
  </si>
  <si>
    <t>108-03-2</t>
  </si>
  <si>
    <t>Nitropropane, 2-</t>
  </si>
  <si>
    <t>79-46-9</t>
  </si>
  <si>
    <t>Octane</t>
  </si>
  <si>
    <t>111-65-9</t>
  </si>
  <si>
    <t>Pentanedione, 2, 4-</t>
  </si>
  <si>
    <t>123-54-6</t>
  </si>
  <si>
    <t>Phenanthrene</t>
  </si>
  <si>
    <t>85-01-8</t>
  </si>
  <si>
    <t>Phosophorous Oxychloride</t>
  </si>
  <si>
    <t>10025-87-3</t>
  </si>
  <si>
    <t>Picoline (3-Picoline, Beta)</t>
  </si>
  <si>
    <t>108-99-6</t>
  </si>
  <si>
    <t>Piperazine</t>
  </si>
  <si>
    <t>110-85-0</t>
  </si>
  <si>
    <t>Propionaldehyde</t>
  </si>
  <si>
    <t>123-38-6</t>
  </si>
  <si>
    <t>Propionic Acid</t>
  </si>
  <si>
    <t>79-09-4</t>
  </si>
  <si>
    <t>Propyl Bromide, n-</t>
  </si>
  <si>
    <t>106-94-5</t>
  </si>
  <si>
    <t>Sulfolane</t>
  </si>
  <si>
    <t>126-33-0</t>
  </si>
  <si>
    <t>2699-79-8</t>
  </si>
  <si>
    <t>t-Butyl Catechol</t>
  </si>
  <si>
    <t>98-29-3</t>
  </si>
  <si>
    <t>Tetrachloroethane, 1,1,1,2-</t>
  </si>
  <si>
    <t>630-20-6</t>
  </si>
  <si>
    <t>Tetradecane (n-)</t>
  </si>
  <si>
    <t>629-59-4</t>
  </si>
  <si>
    <t>Tetraethylene Glycol</t>
  </si>
  <si>
    <t>112-60-7</t>
  </si>
  <si>
    <t>Tetralin</t>
  </si>
  <si>
    <t>119-64-2</t>
  </si>
  <si>
    <t>Tetramethyl Benzene (1,2,4,5-)</t>
  </si>
  <si>
    <t>95-93-2</t>
  </si>
  <si>
    <t>Tetramethyl Silane</t>
  </si>
  <si>
    <t>75-76-3</t>
  </si>
  <si>
    <t>Trichloropropane (1,2,3-)</t>
  </si>
  <si>
    <t>96-18-4</t>
  </si>
  <si>
    <t>Triethanolamine</t>
  </si>
  <si>
    <t>102-71-6</t>
  </si>
  <si>
    <t>Triethyl Aluminum</t>
  </si>
  <si>
    <t>97-93-8</t>
  </si>
  <si>
    <t>Triethylamine</t>
  </si>
  <si>
    <t>121-44-8</t>
  </si>
  <si>
    <t>Triethylbenzene</t>
  </si>
  <si>
    <t>Triethylenetetramine</t>
  </si>
  <si>
    <t>112-24-3</t>
  </si>
  <si>
    <t>Tripropylene Glycol</t>
  </si>
  <si>
    <t>24800-44-0</t>
  </si>
  <si>
    <t>EPA AEGL</t>
  </si>
  <si>
    <t>PAC-29</t>
  </si>
  <si>
    <t>DOE PAC-29</t>
  </si>
  <si>
    <t>Diethylbenzene (mixed isomers)</t>
  </si>
  <si>
    <t>Dimethylamine</t>
  </si>
  <si>
    <t>Dinoseb</t>
  </si>
  <si>
    <t>Ethyl Toluene (o-)</t>
  </si>
  <si>
    <t>Gasoline (automotive)</t>
  </si>
  <si>
    <t>Hydrogen Chloride</t>
  </si>
  <si>
    <t>isoPropyl amine</t>
  </si>
  <si>
    <t>Kerosine (Jet Fuel)</t>
  </si>
  <si>
    <t>Octane (n-)</t>
  </si>
  <si>
    <t>Pentane (n-)</t>
  </si>
  <si>
    <t>109-66-0</t>
  </si>
  <si>
    <t>Tetrafluoroethane (1,1,1,2 - R 134)</t>
  </si>
  <si>
    <t>359-35-3</t>
  </si>
  <si>
    <t>Triethylbenzene (mixed isomers)</t>
  </si>
  <si>
    <t>25340-18-5</t>
  </si>
  <si>
    <t>Est Conc at Dist to Fence Line and Ground Elev at Specified Rate</t>
  </si>
  <si>
    <t>Est Conc at Closest Distance to Elev Work Area at Specified Rate</t>
  </si>
  <si>
    <t>Est Conc at Distance and Elev of Occupied Bldg at Specified Rate</t>
  </si>
  <si>
    <t>Discharge Elevation Above Roof or Work Platform</t>
  </si>
  <si>
    <r>
      <t xml:space="preserve">Ventilation Elev of Occupied Bldg above Ground, </t>
    </r>
    <r>
      <rPr>
        <i/>
        <sz val="8"/>
        <rFont val="Arial Narrow"/>
        <family val="2"/>
      </rPr>
      <t>m</t>
    </r>
    <r>
      <rPr>
        <sz val="8"/>
        <rFont val="Arial Narrow"/>
        <family val="2"/>
      </rPr>
      <t xml:space="preserve"> = </t>
    </r>
  </si>
  <si>
    <t>Estimated Conc at Distance to Fence Line and Ground Elevation</t>
  </si>
  <si>
    <t>Estimated Conc at Closest Distance to Elevated Work Area</t>
  </si>
  <si>
    <t>Estimated Conc at Distance and Elev of Nearest Occupied Building</t>
  </si>
  <si>
    <t>Max. Time-Scaled ERPG-2 Distance</t>
  </si>
  <si>
    <t>Max. Time-Scaled  ERPG-2 Distance</t>
  </si>
  <si>
    <t>times ERPG-2</t>
  </si>
  <si>
    <t>Multiple of LFL for Effluent Screening</t>
  </si>
  <si>
    <t>Relief Effluent Screening based on ERPG-2 Concentration Beyond the Property Limit - or:</t>
  </si>
  <si>
    <t>Multiple of Time-Scaled ERPG-3 for Onsite Toxic</t>
  </si>
  <si>
    <t>Multiple of Time-Scaled ERPG-3 for Toxic Infiltration</t>
  </si>
  <si>
    <t>Relief Device Effluent Screening Criteria</t>
  </si>
  <si>
    <t>Horizontal Distance from Occupied Building</t>
  </si>
  <si>
    <t>Max. Time-Scaled  ERPG-3 Distance</t>
  </si>
  <si>
    <t>Max. Time-Scaled ERPG-3 Distance</t>
  </si>
  <si>
    <t xml:space="preserve">Max HD ERPG-2 = </t>
  </si>
  <si>
    <t>Potential for Off-Site Exposure to &gt; ERPG-2?</t>
  </si>
  <si>
    <t xml:space="preserve">Max HD ERPG-3 = </t>
  </si>
  <si>
    <t>Potential for Off-Site Exposure to &gt; ERPG-3?</t>
  </si>
  <si>
    <t>Potential Exposure to ERPG-3 Indoor Process Area?</t>
  </si>
  <si>
    <t xml:space="preserve">HD ERPG-2 = </t>
  </si>
  <si>
    <t xml:space="preserve">HD ERPG-3 = </t>
  </si>
  <si>
    <t>Time-Scaled ERPG-3 (ppm)</t>
  </si>
  <si>
    <t>Distance to Time-Scaled ERPG-3 Concentration (HD3)</t>
  </si>
  <si>
    <t>Time-Scaled ERPG-2 (ppm)</t>
  </si>
  <si>
    <t>Distance to Time-Scaled ERPG-2 Concentration (HD2)</t>
  </si>
  <si>
    <t>Distance to Time-Scaled ERPG-2 Concentration (HD2) Units</t>
  </si>
  <si>
    <r>
      <t>Mixture ERPG-2
1 / (y</t>
    </r>
    <r>
      <rPr>
        <b/>
        <vertAlign val="subscript"/>
        <sz val="10"/>
        <rFont val="Arial Narrow"/>
        <family val="2"/>
      </rPr>
      <t>i</t>
    </r>
    <r>
      <rPr>
        <b/>
        <sz val="10"/>
        <rFont val="Arial Narrow"/>
        <family val="2"/>
      </rPr>
      <t xml:space="preserve"> / ER-2</t>
    </r>
    <r>
      <rPr>
        <b/>
        <vertAlign val="subscript"/>
        <sz val="10"/>
        <rFont val="Arial Narrow"/>
        <family val="2"/>
      </rPr>
      <t>i</t>
    </r>
    <r>
      <rPr>
        <b/>
        <sz val="10"/>
        <rFont val="Arial Narrow"/>
        <family val="2"/>
      </rPr>
      <t>)</t>
    </r>
  </si>
  <si>
    <r>
      <t>Mixture ERPG-3
1 / (y</t>
    </r>
    <r>
      <rPr>
        <b/>
        <vertAlign val="subscript"/>
        <sz val="10"/>
        <rFont val="Arial Narrow"/>
        <family val="2"/>
      </rPr>
      <t>i</t>
    </r>
    <r>
      <rPr>
        <b/>
        <sz val="10"/>
        <rFont val="Arial Narrow"/>
        <family val="2"/>
      </rPr>
      <t xml:space="preserve"> / ER-3</t>
    </r>
    <r>
      <rPr>
        <b/>
        <vertAlign val="subscript"/>
        <sz val="10"/>
        <rFont val="Arial Narrow"/>
        <family val="2"/>
      </rPr>
      <t>i</t>
    </r>
    <r>
      <rPr>
        <b/>
        <sz val="10"/>
        <rFont val="Arial Narrow"/>
        <family val="2"/>
      </rPr>
      <t>)</t>
    </r>
  </si>
  <si>
    <r>
      <t>Feed ERPG-2
1 / (y</t>
    </r>
    <r>
      <rPr>
        <b/>
        <vertAlign val="subscript"/>
        <sz val="10"/>
        <rFont val="Arial Narrow"/>
        <family val="2"/>
      </rPr>
      <t>i</t>
    </r>
    <r>
      <rPr>
        <b/>
        <sz val="10"/>
        <rFont val="Arial Narrow"/>
        <family val="2"/>
      </rPr>
      <t xml:space="preserve"> / ER-2</t>
    </r>
    <r>
      <rPr>
        <b/>
        <vertAlign val="subscript"/>
        <sz val="10"/>
        <rFont val="Arial Narrow"/>
        <family val="2"/>
      </rPr>
      <t>i</t>
    </r>
    <r>
      <rPr>
        <b/>
        <sz val="10"/>
        <rFont val="Arial Narrow"/>
        <family val="2"/>
      </rPr>
      <t>)</t>
    </r>
  </si>
  <si>
    <r>
      <t>Feed ERPG-3
1 / (y</t>
    </r>
    <r>
      <rPr>
        <b/>
        <vertAlign val="subscript"/>
        <sz val="10"/>
        <rFont val="Arial Narrow"/>
        <family val="2"/>
      </rPr>
      <t>i</t>
    </r>
    <r>
      <rPr>
        <b/>
        <sz val="10"/>
        <rFont val="Arial Narrow"/>
        <family val="2"/>
      </rPr>
      <t xml:space="preserve"> / ER-3</t>
    </r>
    <r>
      <rPr>
        <b/>
        <vertAlign val="subscript"/>
        <sz val="10"/>
        <rFont val="Arial Narrow"/>
        <family val="2"/>
      </rPr>
      <t>i</t>
    </r>
    <r>
      <rPr>
        <b/>
        <sz val="10"/>
        <rFont val="Arial Narrow"/>
        <family val="2"/>
      </rPr>
      <t>)</t>
    </r>
  </si>
  <si>
    <r>
      <t>Mixture ERPG-1
1 / (y</t>
    </r>
    <r>
      <rPr>
        <b/>
        <vertAlign val="subscript"/>
        <sz val="10"/>
        <rFont val="Arial Narrow"/>
        <family val="2"/>
      </rPr>
      <t>i</t>
    </r>
    <r>
      <rPr>
        <b/>
        <sz val="10"/>
        <rFont val="Arial Narrow"/>
        <family val="2"/>
      </rPr>
      <t xml:space="preserve"> / ER-1</t>
    </r>
    <r>
      <rPr>
        <b/>
        <vertAlign val="subscript"/>
        <sz val="10"/>
        <rFont val="Arial Narrow"/>
        <family val="2"/>
      </rPr>
      <t>i</t>
    </r>
    <r>
      <rPr>
        <b/>
        <sz val="10"/>
        <rFont val="Arial Narrow"/>
        <family val="2"/>
      </rPr>
      <t>)</t>
    </r>
  </si>
  <si>
    <t>Fully Meets Relief Design Criteria (No evidence of buildup)</t>
  </si>
  <si>
    <t>Extraordinary Equipment or Piping Design</t>
  </si>
  <si>
    <t>Human Response to Abnormal Condition &gt;24 hours to respond (multiple sensors)</t>
  </si>
  <si>
    <t>Extraordinary Inspection for High Consequence, Low Failure Probability Equipment</t>
  </si>
  <si>
    <t>Time-Scaled ERPF-3 (ppm)</t>
  </si>
  <si>
    <t>Distance to ERPG-2 Concentration (HD2) Units</t>
  </si>
  <si>
    <t>Distance to ERPG-3 Concentration (HD3)</t>
  </si>
  <si>
    <t>Distance to ERPG-2 Concentration (HD2)</t>
  </si>
  <si>
    <t>Distance to ERPG-3 Concentration (HD3) Units</t>
  </si>
  <si>
    <t>CONSEQUENCE TOLERABLE FREQUENCY DESCRIPTORS</t>
  </si>
  <si>
    <t>$50 M to $500 M</t>
  </si>
  <si>
    <t>$500 M to $5 MM</t>
  </si>
  <si>
    <t>$5 MM to $50 MM</t>
  </si>
  <si>
    <t>1 - Other Safety related protection systems (PFD=0.1)</t>
  </si>
  <si>
    <t>2 - Other Safety related protection systems (PFD=0.01)</t>
  </si>
  <si>
    <t>3 - Other Safety related protection systems (PFD=0.001)</t>
  </si>
  <si>
    <t>Effluent Treatment System (Scrubber, Flare TOX, etc.) that is both capable and reliable</t>
  </si>
  <si>
    <t>Human Response to Abnormal Condition Alarm &gt; 1/4 hr to respond</t>
  </si>
  <si>
    <t>Human Response to Clearly Identified Abnormal Condition with Simple Well-Documented Action</t>
  </si>
  <si>
    <t>Tolerable Frequency Factor Correction</t>
  </si>
  <si>
    <t>Distance to Severe Toxic Impact (Multiple of ERPG-3 Concentration) Units</t>
  </si>
  <si>
    <t xml:space="preserve">Max TFF = </t>
  </si>
  <si>
    <t>Scenario Frequency Factor</t>
  </si>
  <si>
    <t>IPL Type</t>
  </si>
  <si>
    <t>IPL Column</t>
  </si>
  <si>
    <t>Scenario No</t>
  </si>
  <si>
    <t>Credit Factor</t>
  </si>
  <si>
    <t>IPL Status</t>
  </si>
  <si>
    <t>Control Loop ID or Alarm ID or SIF Number</t>
  </si>
  <si>
    <t>Revised LOPA Tolerable Frequency Factor</t>
  </si>
  <si>
    <r>
      <t xml:space="preserve">LOPA Tolerable Frequency Factor
</t>
    </r>
    <r>
      <rPr>
        <sz val="8"/>
        <color indexed="56"/>
        <rFont val="Arial Narrow"/>
        <family val="2"/>
      </rPr>
      <t>(chemicals, quantity involved,
and basis for calculations)</t>
    </r>
  </si>
  <si>
    <t>Control Loop/ Alarm ID:</t>
  </si>
  <si>
    <t>BPCS Control or 
Human Response
 to Alarm</t>
  </si>
  <si>
    <t>BPCS Control or Human Response to Alarm Instrument Details</t>
  </si>
  <si>
    <t xml:space="preserve">
Tolerable Frequency Factor or Consequence Severity</t>
  </si>
  <si>
    <t>Frequency Versus Severity - After IPL Completion</t>
  </si>
  <si>
    <t>Frequency Versus Severity - Current IPL Completion</t>
  </si>
  <si>
    <t>Current IPL Implemented</t>
  </si>
  <si>
    <t>After IPL Implemented</t>
  </si>
  <si>
    <t>per year</t>
  </si>
  <si>
    <t xml:space="preserve">ERPG-3 at Initial Vapor Composition: </t>
  </si>
  <si>
    <t>="Chemical is Flammable: Operating Temperature exceeds Flash Point less "&amp;FlashPt_Difference_Limit&amp;" C or Flash Point less than "&amp;Flammable_FP_Limit&amp;" C or Flammable material is handled/stored in immediate area"</t>
  </si>
  <si>
    <t>="Chemical is Not Flammable or Combustible: Flash Point is unknown or exceeds "&amp;FlashPt_Difference_Limit&amp;" C above the Maximum Temperature"</t>
  </si>
  <si>
    <t>="Chemical is Flammable or Combustible:  Maximum Operating, Mechanical Energy or Heating Media Temperature exceeds Flash Point less "&amp;FlashPt_Difference_Limit&amp;" C"</t>
  </si>
  <si>
    <t>="Heating Media Temperature exceeds the chemical flash point less "&amp;FlashPt_Difference_Limit&amp;" C or Flammable material is handled/stored in immediate "area</t>
  </si>
  <si>
    <t>Potential for Insulation or Packing Fire</t>
  </si>
  <si>
    <t xml:space="preserve">Potential = </t>
  </si>
  <si>
    <t xml:space="preserve">Britton's Method, Z = </t>
  </si>
  <si>
    <t>Rupture Overpressure at  Typical Construction Occupied Bldg 1 (psi)</t>
  </si>
  <si>
    <t>Rupture Overpressure at  Typical Construction Occupied Bldg 2 (psi)</t>
  </si>
  <si>
    <t>Explosion Overpressure at Typical Construction Occupied Bldg 1 (psi)</t>
  </si>
  <si>
    <t>Explosion Overpressure at Typical Construction Occupied Bldg 2 (psi)</t>
  </si>
  <si>
    <t>Typical Construction</t>
  </si>
  <si>
    <t>Low Strength</t>
  </si>
  <si>
    <t>Pump Volume (including piping to block valves), liter</t>
  </si>
  <si>
    <t>Estimated</t>
  </si>
  <si>
    <t>User Entry</t>
  </si>
  <si>
    <t xml:space="preserve">Pump Volume = </t>
  </si>
  <si>
    <t xml:space="preserve">Pump Surface = </t>
  </si>
  <si>
    <r>
      <t>Pump Surface (including piping to block valves), m</t>
    </r>
    <r>
      <rPr>
        <i/>
        <vertAlign val="superscript"/>
        <sz val="8"/>
        <color rgb="FF5F5F5F"/>
        <rFont val="Arial Narrow"/>
        <family val="2"/>
      </rPr>
      <t>2</t>
    </r>
  </si>
  <si>
    <t>User Pump Volume (liter)</t>
  </si>
  <si>
    <t>User Pump Surface (sq m)</t>
  </si>
  <si>
    <t>LC1 from CCPS Probits</t>
  </si>
  <si>
    <t>LC50 from CCPS Probits</t>
  </si>
  <si>
    <t>Dimetrhyl Disulfide</t>
  </si>
  <si>
    <t>624-92-0</t>
  </si>
  <si>
    <t>Dimethyl Disulfide</t>
  </si>
  <si>
    <t>Aerosol Droplet Size at Operating Temp</t>
  </si>
  <si>
    <t>Aerosol Droplet Size at Saturation</t>
  </si>
  <si>
    <t>Discharge Coefficients</t>
  </si>
  <si>
    <t>Rounded Entrance</t>
  </si>
  <si>
    <t xml:space="preserve">Estimated Max Contents Temp - Direct = </t>
  </si>
  <si>
    <t xml:space="preserve">Estimated Max Contents Temp - Self Leak = </t>
  </si>
  <si>
    <t xml:space="preserve">Estimated Max Contents Temp - Indirect = </t>
  </si>
  <si>
    <t xml:space="preserve">Estimated Max Contents Temperature = </t>
  </si>
  <si>
    <t>To propose changes to the spreadsheet,  submitting a request to CCPS and/or EPSC.</t>
  </si>
  <si>
    <t>Risk Analysis Screening Tool</t>
  </si>
  <si>
    <t>CCPS and EPSC</t>
  </si>
  <si>
    <t>This electronic spreadsheet is READ-ONLY.  Do not make changes to this spreadsheet.  This spreadsheet may be copied onto a personal hard drive or another file server, retaining the READ-ONLY designation.  This electronic version is a CCPS/EPSC document.</t>
  </si>
  <si>
    <t xml:space="preserve">Pad Gas Vented from Vapor Displacement = </t>
  </si>
  <si>
    <t>Max Misloading Reaction Temp</t>
  </si>
  <si>
    <t>Penalty for Small Screwed Piping</t>
  </si>
  <si>
    <t>Drain or Vent Leak</t>
  </si>
  <si>
    <t>SD_Gen_46</t>
  </si>
  <si>
    <t>Dust Fireball Tolerable Frequency</t>
  </si>
  <si>
    <t>Dust Chemical Exposure Tolerable Frequency</t>
  </si>
  <si>
    <t>Building Explosion Tolerable Frequency</t>
  </si>
  <si>
    <t>SD_Rx_23</t>
  </si>
  <si>
    <t>Potential for Spontaneous Reaction if sufficient solids build-up on hot surface</t>
  </si>
  <si>
    <t>IED_Rx_11</t>
  </si>
  <si>
    <t>Loss of Temperature or Feed Control allowing Significant Build-up of Solids on Heat Transfer Surface</t>
  </si>
  <si>
    <t>Solids Thermal Conductivity (Watt/m C)</t>
  </si>
  <si>
    <t>Very Large Hole Leak</t>
  </si>
  <si>
    <t>Extremely Large Hole Leak</t>
  </si>
  <si>
    <t>Material of Construction Penalty</t>
  </si>
  <si>
    <t>Spill To Soil</t>
  </si>
  <si>
    <t xml:space="preserve"> NFPA Health Rating for Spills to Ground</t>
  </si>
  <si>
    <t>Horizontal</t>
  </si>
  <si>
    <t>Drain or Vent Leak above Liquid Level</t>
  </si>
  <si>
    <t>Drain or Vent Valve left open following infrequent maintenance, purging or cleaning</t>
  </si>
  <si>
    <t>Maximum Feed or Downstream Pressure does not exceed the Maximum Allowable Working Pressure or Relief Set Pressure</t>
  </si>
  <si>
    <t>SD_Gen_47</t>
  </si>
  <si>
    <t>SD_Gen_48</t>
  </si>
  <si>
    <t>Compression of Pad Gas as Feed or Downstream Pressure exceeds the Maximum Allowable Working Pressure or Relief Set Pressure for Low Design Pressure Equipment.</t>
  </si>
  <si>
    <t>Maximum Feed Pressure or Downstream Equipment Pressure is not sufficient to active Relief Device resulting in Overfill</t>
  </si>
  <si>
    <t>Onsite Tolerable Frequency Factor (Reactive Physical Explosion)</t>
  </si>
  <si>
    <t>Excessive Vapor Feed Flow</t>
  </si>
  <si>
    <t>Excessive Pad Gas Pressure</t>
  </si>
  <si>
    <t>Maximum Pad Gas Pressure Exceeds the Maximum Allowable Working Pressure or Relief Set Pressure</t>
  </si>
  <si>
    <t>Maximum Pad Gas Pressure Does Not Exceed the Maximum Allowable Working Pressure or Relief Set Pressure</t>
  </si>
  <si>
    <t>Maximum Vapor Feed Pressure exceeds the Maximum Allowable Working Pressure</t>
  </si>
  <si>
    <t>Maximum Vapor Feed Pressure Does Not exceeds the Maximum Allowable Working Pressure</t>
  </si>
  <si>
    <t>Maximum Source Pressure exceeds the Maximum Allowable Working Pressure or Relief Set Pressure</t>
  </si>
  <si>
    <t>SD_Gen_49</t>
  </si>
  <si>
    <t>Maximum Source Pressure Does Not exceed the Maximum Allowable Working Pressure or Relief Set Pressure</t>
  </si>
  <si>
    <t>Pad Gas Compression</t>
  </si>
  <si>
    <r>
      <t>ln (y</t>
    </r>
    <r>
      <rPr>
        <i/>
        <vertAlign val="subscript"/>
        <sz val="10"/>
        <rFont val="Arial Narrow"/>
        <family val="2"/>
      </rPr>
      <t>rel</t>
    </r>
    <r>
      <rPr>
        <i/>
        <sz val="10"/>
        <rFont val="Arial Narrow"/>
        <family val="2"/>
      </rPr>
      <t>)</t>
    </r>
    <r>
      <rPr>
        <i/>
        <vertAlign val="subscript"/>
        <sz val="10"/>
        <rFont val="Arial Narrow"/>
        <family val="2"/>
      </rPr>
      <t xml:space="preserve"> </t>
    </r>
    <r>
      <rPr>
        <i/>
        <sz val="10"/>
        <rFont val="Arial Narrow"/>
        <family val="2"/>
      </rPr>
      <t xml:space="preserve">= a + b / (T+273-C): </t>
    </r>
  </si>
  <si>
    <t>Propanol, 1-</t>
  </si>
  <si>
    <t>71-23-8</t>
  </si>
  <si>
    <t>Flash Routine Convergence Error</t>
  </si>
  <si>
    <t xml:space="preserve">Vapor Coefficients as Pseudo-Single Chemical: </t>
  </si>
  <si>
    <t xml:space="preserve">Boiling Point Pseudo-Single Chemical = </t>
  </si>
  <si>
    <t>Liquid Mole Fraction</t>
  </si>
  <si>
    <r>
      <t>Partial Press at T</t>
    </r>
    <r>
      <rPr>
        <b/>
        <vertAlign val="subscript"/>
        <sz val="10"/>
        <rFont val="Arial Narrow"/>
        <family val="2"/>
      </rPr>
      <t>1</t>
    </r>
  </si>
  <si>
    <r>
      <t>Partial Press at T</t>
    </r>
    <r>
      <rPr>
        <b/>
        <vertAlign val="subscript"/>
        <sz val="10"/>
        <rFont val="Arial Narrow"/>
        <family val="2"/>
      </rPr>
      <t>2</t>
    </r>
  </si>
  <si>
    <t xml:space="preserve">Sum </t>
  </si>
  <si>
    <t>Heat Transfer Chemicals</t>
  </si>
  <si>
    <r>
      <t>Partial Press at T</t>
    </r>
    <r>
      <rPr>
        <b/>
        <vertAlign val="subscript"/>
        <sz val="10"/>
        <rFont val="Arial Narrow"/>
        <family val="2"/>
      </rPr>
      <t>amb</t>
    </r>
  </si>
  <si>
    <t xml:space="preserve">Model as a single Pseudo-Chemical?  </t>
  </si>
  <si>
    <t>Feed_1</t>
  </si>
  <si>
    <t>Feed_2</t>
  </si>
  <si>
    <t>Feed_3</t>
  </si>
  <si>
    <t>Feed_4</t>
  </si>
  <si>
    <t>Feed_5</t>
  </si>
  <si>
    <t>Alpha_1</t>
  </si>
  <si>
    <t>Alpha_2</t>
  </si>
  <si>
    <t>Alpha_3</t>
  </si>
  <si>
    <t>Alpha_4</t>
  </si>
  <si>
    <t>Alpha_5</t>
  </si>
  <si>
    <t>Rel_1</t>
  </si>
  <si>
    <t>Rel_5</t>
  </si>
  <si>
    <t>Rel_2</t>
  </si>
  <si>
    <t>Rel_3</t>
  </si>
  <si>
    <t>Rel_4</t>
  </si>
  <si>
    <t>Act_1</t>
  </si>
  <si>
    <t>Act_5</t>
  </si>
  <si>
    <t>Act_2</t>
  </si>
  <si>
    <t>Act_3</t>
  </si>
  <si>
    <t>Act_4</t>
  </si>
  <si>
    <t>Mw_1</t>
  </si>
  <si>
    <t>Mw_2</t>
  </si>
  <si>
    <t>Mw_3</t>
  </si>
  <si>
    <t>Mw_4</t>
  </si>
  <si>
    <t>Mw_5</t>
  </si>
  <si>
    <t>Act_Rel</t>
  </si>
  <si>
    <t>WFeed_1</t>
  </si>
  <si>
    <t>WFeed_2</t>
  </si>
  <si>
    <t>WFeed_3</t>
  </si>
  <si>
    <t>WFeed_4</t>
  </si>
  <si>
    <t>WFeed_5</t>
  </si>
  <si>
    <t>Molar_Cs</t>
  </si>
  <si>
    <t>Molar_HtVap</t>
  </si>
  <si>
    <t>Model as a single Pseudo Chemical?</t>
  </si>
  <si>
    <t>Flash Convergence Errors</t>
  </si>
  <si>
    <t>Gasoline is a mixture whose composition variers seasonally.</t>
  </si>
  <si>
    <t>Gasoline is a mixture whose composition variers among suppliers</t>
  </si>
  <si>
    <t>Limiting Velocity for Two-Phase Relief</t>
  </si>
  <si>
    <t>Fraction of LFL Limit for Building Explosion</t>
  </si>
  <si>
    <t>Fill Indoor Process Volume to &gt; LFL Limit?</t>
  </si>
  <si>
    <t>Peak Deflagration Pressure</t>
  </si>
  <si>
    <t>Multiple of MAWP Pressure at Burst for Fire</t>
  </si>
  <si>
    <r>
      <t>LC</t>
    </r>
    <r>
      <rPr>
        <vertAlign val="subscript"/>
        <sz val="10"/>
        <rFont val="Arial Narrow"/>
        <family val="2"/>
      </rPr>
      <t>01</t>
    </r>
    <r>
      <rPr>
        <sz val="10"/>
        <rFont val="Arial Narrow"/>
        <family val="2"/>
      </rPr>
      <t xml:space="preserve"> per Approved Probit Model (ppm) = </t>
    </r>
  </si>
  <si>
    <r>
      <t>LC</t>
    </r>
    <r>
      <rPr>
        <vertAlign val="subscript"/>
        <sz val="10"/>
        <rFont val="Arial Narrow"/>
        <family val="2"/>
      </rPr>
      <t>50</t>
    </r>
    <r>
      <rPr>
        <sz val="10"/>
        <rFont val="Arial Narrow"/>
        <family val="2"/>
      </rPr>
      <t xml:space="preserve"> per Approved Probit Model (ppm) = </t>
    </r>
  </si>
  <si>
    <t xml:space="preserve">Maximum Release Duration Limit </t>
  </si>
  <si>
    <t>Remainder of Max_Duration sec Scenario =</t>
  </si>
  <si>
    <t>Remainder of Scenario =</t>
  </si>
  <si>
    <r>
      <t>Initiating Event</t>
    </r>
    <r>
      <rPr>
        <b/>
        <i/>
        <sz val="10"/>
        <rFont val="Arial Narrow"/>
        <family val="2"/>
      </rPr>
      <t xml:space="preserve">
Values updated on Scenario Identification Worksheet</t>
    </r>
  </si>
  <si>
    <t>Physical Explosion</t>
  </si>
  <si>
    <t>Final Release of Version 1.0 for CCPS and EPSC</t>
  </si>
  <si>
    <t>Default Toxic Time-Scale Exponent (1/n)</t>
  </si>
  <si>
    <t>Maximum Release Duration Limit</t>
  </si>
  <si>
    <t>Direct Blast Impact Overpressure Screening</t>
  </si>
  <si>
    <t>Thermal Parameters:</t>
  </si>
  <si>
    <r>
      <t>Default LC</t>
    </r>
    <r>
      <rPr>
        <vertAlign val="subscript"/>
        <sz val="10"/>
        <rFont val="Arial Narrow"/>
        <family val="2"/>
      </rPr>
      <t>1</t>
    </r>
    <r>
      <rPr>
        <sz val="10"/>
        <rFont val="Arial Narrow"/>
        <family val="2"/>
      </rPr>
      <t>/ERPG-3</t>
    </r>
  </si>
  <si>
    <r>
      <t>Default LC</t>
    </r>
    <r>
      <rPr>
        <vertAlign val="subscript"/>
        <sz val="10"/>
        <rFont val="Arial Narrow"/>
        <family val="2"/>
      </rPr>
      <t>50</t>
    </r>
    <r>
      <rPr>
        <sz val="10"/>
        <rFont val="Arial Narrow"/>
        <family val="2"/>
      </rPr>
      <t>/ERPG-3</t>
    </r>
  </si>
  <si>
    <t>Kw/sq m</t>
  </si>
  <si>
    <r>
      <rPr>
        <i/>
        <sz val="10"/>
        <rFont val="Arial Narrow"/>
        <family val="2"/>
      </rPr>
      <t xml:space="preserve">                         </t>
    </r>
    <r>
      <rPr>
        <i/>
        <u/>
        <sz val="10"/>
        <rFont val="Arial Narrow"/>
        <family val="2"/>
      </rPr>
      <t>Standard Reporting Units for Scenario Results</t>
    </r>
  </si>
  <si>
    <t>Averaging Time Correction for Flammable</t>
  </si>
  <si>
    <t>Note:  10 Minutes Averaging Time for Toxics</t>
  </si>
  <si>
    <t>Low Temp Thermal Burns Screening - Liquid</t>
  </si>
  <si>
    <t>TOLERABLE FREQUENCY FACTORS</t>
  </si>
  <si>
    <t>Rotating Equipment Screening Parameters</t>
  </si>
  <si>
    <t>Default Population Densities</t>
  </si>
  <si>
    <t>Please do not distribute this software freely to colleagues, as this software is subject to updates in the future through the CCPS/EPSC RAST User’s Group pending potential improvements and when addressing program-related issues.  If you have received this program without downloading from the CCPS Website, please do so that your User name can be entered into the RAST User database for future update communications.  Thank you.</t>
  </si>
  <si>
    <t>American Institute of Chemical Engineers and European Process Safety Center</t>
  </si>
  <si>
    <t xml:space="preserve">Ambient Temperature = </t>
  </si>
  <si>
    <t>Ambient Temperature Default</t>
  </si>
  <si>
    <t>Ambient Temperature Units</t>
  </si>
  <si>
    <t>General Guidance and "Helpful Hints" for Hazard Evaluation Input Information</t>
  </si>
  <si>
    <t>Ground Heat Transfer Coefficient for Pool Evaporation</t>
  </si>
  <si>
    <t>Droplet Heat Transfer Coefficient for Aerosol Evaporation</t>
  </si>
  <si>
    <t>Time to LC-1 for Occupied Building 1 (sec)</t>
  </si>
  <si>
    <t>Time to LC-1 for Occupied Building 2 (sec)</t>
  </si>
  <si>
    <t>Time to LC-1 within Enclosed Process Area w Ventilation</t>
  </si>
  <si>
    <t>Time to Reach LC-1 Enclosed Process Area w/o Ventilation (sec)</t>
  </si>
  <si>
    <t>Time to Reach LC-1 Enclosed Process Area w Ventilation (sec)</t>
  </si>
  <si>
    <t>Time to LC-1 within Enclosed Process Area</t>
  </si>
  <si>
    <t xml:space="preserve">Time to LC-1 for Occ Bldg = </t>
  </si>
  <si>
    <t xml:space="preserve">Time to LC-1 for Occ Bldg 2 = </t>
  </si>
  <si>
    <t>Fraction of LFL for Location of VCE Epicenter</t>
  </si>
  <si>
    <t>Release Duration, sec</t>
  </si>
  <si>
    <r>
      <t>Maximum Pool Evaporation Rate,  kg/sec m</t>
    </r>
    <r>
      <rPr>
        <vertAlign val="superscript"/>
        <sz val="10"/>
        <rFont val="Arial Narrow"/>
        <family val="2"/>
      </rPr>
      <t>2</t>
    </r>
  </si>
  <si>
    <t>Fraction of Enclosed Process as Toxic Impact Area</t>
  </si>
  <si>
    <t>Distance to Lower Flammable Limit (LFL) Concentration</t>
  </si>
  <si>
    <t xml:space="preserve">Estimated VCE Flammable Cloud Volume = </t>
  </si>
  <si>
    <t>HD-LFL</t>
  </si>
  <si>
    <t>LFL Distance for Low Ignition Probability</t>
  </si>
  <si>
    <t>LFL Distance for Moderate Ignition Probability</t>
  </si>
  <si>
    <t>LFL Distance for Low Explosion Probability</t>
  </si>
  <si>
    <t>LFL Distance for Moderate Explosion Probability</t>
  </si>
  <si>
    <t>Strong Ignition Source within LFL Cloud or Release above AIT</t>
  </si>
  <si>
    <t>Distance to LFL Concentration Units</t>
  </si>
  <si>
    <t>Distance to Severe Flammable Impact (Fraction LFL, BLEVE, or Dust Fireball) Units</t>
  </si>
  <si>
    <t>Considered Condensed Phase Explosive?</t>
  </si>
  <si>
    <t xml:space="preserve">Time-scaled LC-50 Onsite Impact Area = </t>
  </si>
  <si>
    <t>Equipment Rupture at Detonation/Deflagration</t>
  </si>
  <si>
    <t xml:space="preserve">Max Distance to LC-50 Daytime (Onsite) = </t>
  </si>
  <si>
    <t xml:space="preserve">Average Offsite Lethality / Centerline Lethality </t>
  </si>
  <si>
    <t xml:space="preserve">Average Cloud Concentration / Min Concentration </t>
  </si>
  <si>
    <t>Release Calculations
Special Calculations</t>
  </si>
  <si>
    <t>Version 1.1: Changed Ambient Temperature to User Variable.  Corrected several cell comments.  Corrected flash plus aerosol fraction for explosion on Hazard and Consequence worksheet.  Added Explosion Energy per Volume and Explosion Energy Limit to Administrative Parameters and updated Release Calculations and Special Calcs worksheets.  Modified Ground Heat Transfer Coefficient for pool evaporation to account for boiling liquid pools (denoted as flash fraction &gt; 0 and temperature entering pool &lt; ambient).  Updated Aerosol heat balance to include both evaporative cooling and heat transfer to surrounding air.  Corrected initial concentration for rupture at peak temperature.  Updated distance to flash fire zone to be distance to a multiple of LFL as set by the Administrator rather than fixed at 1/2 LFL.  Corrected max limit for outdoor flammable cloud.  Updated building construction type to only typical and low strength.  Updated Vapor Cloud volume to use a concentration set by administrator of fraction of LFL with default of 1.  Reparied Low Consequece Factors for onsite and enclosed process area toxic impact.  Corrected scaled distance to Occupied Building 2 for Vapor Cloud Explosion.  Changed Probability of Explosion to reference Distance to LFL rather than Release Rate.  Added correction factor for offsite toxic estimate of people impacted to account for the average lethality / lethality at centerline of cloud.</t>
  </si>
  <si>
    <t>Reguatory Toxic?</t>
  </si>
  <si>
    <t xml:space="preserve">Toxic Inhalation Hazard Material? </t>
  </si>
  <si>
    <t>Liquid Density at Burst Temperature</t>
  </si>
  <si>
    <t>Loss Event</t>
  </si>
  <si>
    <r>
      <t xml:space="preserve">RAST identifies "worst case" scenarios based on  the Highest Number of Protective Layers Needed to close the LOPA Gap (and the worst consequence if more than one case results in the same Highest Number of Protective Layers needed) within a group of scenarios having the same Scenario Type and Loss Event.  (This technique is a variation of Barrier Analysis and sometimes shown graphically as a "Bow Tie Diagram".)  The need to analyze scenarios other than the "worst case" depends on the types of Protective Layers used.
There are three basic types of Independent Protective Layers (IPLs):  Pro-Initiating (prevents the Initiating Event), Preventative (stops the event sequence) and Mitigating (lessens the consequence or prevents only one of several outcome).
Examples of PrPro-Initiating IPLs would be:
• Ensuring plugs or blinds on all terminal valve  for “Drain of Vent left Open” scenarios
• Inspection, sandblast and re-painting of piping every 7 years or less for “Mechanical Integrity” scenarios
• Locking device on valves for “Human Error …” Initiating Events opening the wrong valve
• Daily walkthrough to check for drips and small leaks for “Pump Seal Failure” scenarios
</t>
    </r>
    <r>
      <rPr>
        <i/>
        <sz val="11"/>
        <rFont val="Arial Narrow"/>
        <family val="2"/>
      </rPr>
      <t>Note that these IPLs are only effective for one specific Initiating Event (or Scenario Type) and not others.</t>
    </r>
  </si>
  <si>
    <t>Results for Loss Event</t>
  </si>
  <si>
    <t>A Loss Event within Upstream Equipment that could Result in Propagation of Flame Front or Burning Ember</t>
  </si>
  <si>
    <t>USER DEFINED LOSS EVENT</t>
  </si>
  <si>
    <t>Loss Event A</t>
  </si>
  <si>
    <t>Loss Event B</t>
  </si>
  <si>
    <t>Relief Effluent Loss Event? --&gt;</t>
  </si>
  <si>
    <t>An Loss Event within Upstream Equipment that could Dislodge Accumulated Dust creating Secondary Dust Event</t>
  </si>
  <si>
    <t>Temperature 1 and 2</t>
  </si>
  <si>
    <t>Endothermic Reaction Type</t>
  </si>
  <si>
    <t>Maximum Distance to LFL Concentration, m</t>
  </si>
  <si>
    <t>VCE or Building Explosion Energy, kcal</t>
  </si>
  <si>
    <t>Overpressure at Center of Occupied Building 1, psi</t>
  </si>
  <si>
    <t>Rupture Explosion Energy, kcal</t>
  </si>
  <si>
    <t>VCE Explosion Energy, kcal</t>
  </si>
  <si>
    <t>Building Explosion Energy, kcal</t>
  </si>
  <si>
    <t>Loss Range</t>
  </si>
  <si>
    <t>Environment</t>
  </si>
  <si>
    <t>Release criteria for NFPA Health 2 or Harmful is 100 X lower than above</t>
  </si>
  <si>
    <t xml:space="preserve">Note: Release criteria for NFPA Health 3 or Toxic is 10 X lower than above </t>
  </si>
  <si>
    <t>Consequence Severity Description</t>
  </si>
  <si>
    <t>Frequency</t>
  </si>
  <si>
    <t>Legend</t>
  </si>
  <si>
    <t>Acceptable</t>
  </si>
  <si>
    <t>Unacceptable</t>
  </si>
  <si>
    <t>10^-2/year</t>
  </si>
  <si>
    <t>10^-3/year</t>
  </si>
  <si>
    <t>10^-4/year</t>
  </si>
  <si>
    <t>10^-5/year</t>
  </si>
  <si>
    <t>10^-6/year</t>
  </si>
  <si>
    <t xml:space="preserve">Low </t>
  </si>
  <si>
    <t>Low Consequence</t>
  </si>
  <si>
    <t>High Consequence</t>
  </si>
  <si>
    <t>Low Frequency</t>
  </si>
  <si>
    <t>High Frequency</t>
  </si>
  <si>
    <t xml:space="preserve">Study Parameter Notes: </t>
  </si>
  <si>
    <t>IPL Credits Notes</t>
  </si>
  <si>
    <t xml:space="preserve"> GHS Risk Phrase for Ingestion or Aquatic Tox</t>
  </si>
  <si>
    <t>VCE/Bldg Explosion</t>
  </si>
  <si>
    <t>Incident Outcome</t>
  </si>
  <si>
    <t>Hazard Distance Criteria for Human Harm</t>
  </si>
  <si>
    <t xml:space="preserve">Estimated Total Number Potential Offsite Impact = </t>
  </si>
  <si>
    <t>HD Correlation Offsite Tolerable Frequency Factor (Toxic)</t>
  </si>
  <si>
    <t>HD Correlation Onsite Tolerable Frequency Factor (Toxic)</t>
  </si>
  <si>
    <t>HD Correlation Enclosed Process Tolerable Frequency Factor (Toxic)</t>
  </si>
  <si>
    <t>HD Correlation Occupied Building Tolerable Frequency Factor (Toxic)</t>
  </si>
  <si>
    <t>HD Correlation Onsite Tolerable Frequency Factor (Flammable)</t>
  </si>
  <si>
    <t>Concentration / LFL</t>
  </si>
  <si>
    <t>HD Correlation Chemical Exposure Tolerable Frequency Factor</t>
  </si>
  <si>
    <t>HD Correlation Building Explosion Tolerable Frequency Factor</t>
  </si>
  <si>
    <t>HD Correlation Vapor Cloud Explosion Tolerable Frequency Factor</t>
  </si>
  <si>
    <t>Hd Correlation Enclosed Process Tolerable Frequency Factor (Toxic)</t>
  </si>
  <si>
    <t>Physical Explosion Tolerable Frequency Factor (including Onsite)</t>
  </si>
  <si>
    <t>Indoor Flash Fire</t>
  </si>
  <si>
    <t>Outdoor Flash Fire</t>
  </si>
  <si>
    <t>Fireball or BLEVE</t>
  </si>
  <si>
    <t>HD Correlation Severe Burns Tolerable Frequency Factor</t>
  </si>
  <si>
    <t>HD Correlation Probability of Flash Fire Exposure Factor</t>
  </si>
  <si>
    <t>HD Correlation Onsite Tolerable Frequency Factor (Physical Explosion)</t>
  </si>
  <si>
    <t>HD Correlation Physical Explosion Tolerable Frequency Factor</t>
  </si>
  <si>
    <t>Chemical Reaction Energy (Detonation or Deflagration)</t>
  </si>
  <si>
    <t>HD Correlation Onsite Tolerable Frequency Factor (Rx Explosion)</t>
  </si>
  <si>
    <t>HD Correlation Reactive Explosion Tolerable Frequency Factor</t>
  </si>
  <si>
    <t>HC Correlation Onsite Tolerable Frequency Factor (Toxic)</t>
  </si>
  <si>
    <t>Maximum Fragment Range Units</t>
  </si>
  <si>
    <t xml:space="preserve">Maximum Fragment Range = </t>
  </si>
  <si>
    <t>People Impacted</t>
  </si>
  <si>
    <t>-10 C or 14 F. Used to estimate freezing in outdoor equipment</t>
  </si>
  <si>
    <t>For a cloudless summer day. 'Per Guidelines for Chemical Process Quantitative Risk Analysis, 2nd, CCPS (2000)</t>
  </si>
  <si>
    <t>Corrects for average lethality at a downwind distance relative to the maximum lethality at the cloud centerline.  Used in the integration of lethality with distance to determine number of people impacted.</t>
  </si>
  <si>
    <t>Used for estimating cloud volume above a specified minimum concentration.</t>
  </si>
  <si>
    <t>If ERPG 3 &gt; this value, material not considered toxic, unless material is marked Yes to "Reg. agency considers toxic" in Chemical Data tab</t>
  </si>
  <si>
    <t>Minimum distance to appropriate concentration (e.g. LFL) required for release to be have severe impact (e.g. fatality)</t>
  </si>
  <si>
    <t>Default values unless values entered on Process Conditions worksheet</t>
  </si>
  <si>
    <t>67 HP. Power threshold for major damage of rotating equipment</t>
  </si>
  <si>
    <t>Exposure to 55 C  (131F) can cause  irreversible harm in about 20-30 seconds (Ref. 26)</t>
  </si>
  <si>
    <t>Severe frostbite within seconds for liquid exposures</t>
  </si>
  <si>
    <t>Incapacitation within one hour per HSC.  Is assumed minimal human impact below this vapor temperature at 1 hour exposure.</t>
  </si>
  <si>
    <t>Incapacitation within 10 minutes per HSC.   Used for severe human impact screening limit'</t>
  </si>
  <si>
    <t>Threshold flowrate for thermal hazard scenarios combined with Mass limit)</t>
  </si>
  <si>
    <t>Injury within 30 seconds.  Sometimes used as thermal radiation limit without protective equipment</t>
  </si>
  <si>
    <t>Threshold temperature difference for thermal expansion scenarios</t>
  </si>
  <si>
    <t>Minimum length required for consideration of thermal expansion to bare outdoor pipe scenarios</t>
  </si>
  <si>
    <t>Threshold heat of reaction below which reactivity hazard is considered minimal (corresponds to reaction being able to raise temperature at least 25C)</t>
  </si>
  <si>
    <t xml:space="preserve">Threshold gas generation below which reactivity hazard is considered minimal </t>
  </si>
  <si>
    <t>Threshold index value for a propagating reaction (deflagration or detonation). See reaction hazard section of CHEF Manual</t>
  </si>
  <si>
    <t>0.39 in. to represent an equivalent size gasket blow out between adjacent flange bolts</t>
  </si>
  <si>
    <t>0.39 in. to represent a pump mechanical seal</t>
  </si>
  <si>
    <t>0.39 in. Default unless a value is entered on Equipment Input worksheet</t>
  </si>
  <si>
    <t>Lowest multiple of MAWP for potential failure (&gt; 10 % probability)</t>
  </si>
  <si>
    <t>Temperature where most materials of construction would fail or significantly weaken used as a default if a value is not entered on the Equipment Input worksheet.</t>
  </si>
  <si>
    <t>Screening limit for superficial velocity where 2-phase flow is considered.</t>
  </si>
  <si>
    <t>OSHA PSM 1910.106 for flammables vent = 12 ft.</t>
  </si>
  <si>
    <t>per API 521 5.8.2.2</t>
  </si>
  <si>
    <t>Multiple of ERPG-3 concentration outdoors considered to be low risk of significant consequence</t>
  </si>
  <si>
    <t>Multiple of ERPG-3 indoor concentration considered to be low risk of significant consequence</t>
  </si>
  <si>
    <r>
      <t>Total off-site population density.  For outdoor toxic exposure, roughly 20 to 25% of personnel are assumed outdoors.  1500 people/km</t>
    </r>
    <r>
      <rPr>
        <vertAlign val="superscript"/>
        <sz val="10"/>
        <rFont val="Arial Narrow"/>
        <family val="2"/>
      </rPr>
      <t>2</t>
    </r>
    <r>
      <rPr>
        <sz val="10"/>
        <rFont val="Arial Narrow"/>
        <family val="2"/>
      </rPr>
      <t xml:space="preserve"> typical sub-urban value.</t>
    </r>
  </si>
  <si>
    <t>Fraction of hazardous material consumed in a fire such that only 1-this fraction remains in a vapor cloud.</t>
  </si>
  <si>
    <t>kcal</t>
  </si>
  <si>
    <t>Vapor Cloud Explosion Limiting Quantity - High Energy</t>
  </si>
  <si>
    <t>Typical Volumetric Combustion Energy</t>
  </si>
  <si>
    <t>Vapor Cloud Explosion Energy Limit</t>
  </si>
  <si>
    <r>
      <t>kcal/m</t>
    </r>
    <r>
      <rPr>
        <vertAlign val="superscript"/>
        <sz val="10"/>
        <rFont val="Arial Narrow"/>
        <family val="2"/>
      </rPr>
      <t>3</t>
    </r>
  </si>
  <si>
    <t>Consensus standards on upper size limit for combustible dust</t>
  </si>
  <si>
    <t xml:space="preserve">Per NFPA 68, Ref. 7. </t>
  </si>
  <si>
    <t>Very Difficult to ignite Ref. 23</t>
  </si>
  <si>
    <t>400 C or 752 F.  Is typical value for many hydrocarbons and used as a default if no value is entered on the Chemical Data worksheet</t>
  </si>
  <si>
    <t>100 kg or 220 lbs.   Minimum quantity for consideration of pool fire.</t>
  </si>
  <si>
    <t>10 atm or 147 psi. Peak Deflagration estimate from atmospheric pressure</t>
  </si>
  <si>
    <t>Blast overpressure where severe human impact (including fatality) without projectiles is assumed.</t>
  </si>
  <si>
    <t>Human harm consequence is not considered below this value.  The default is currently 0.001 people</t>
  </si>
  <si>
    <t>Represents the tolerable frequency for the specified description related to potential for human harm.  In this example 0.01/year for adverse local publicity of the specific risk scenario.</t>
  </si>
  <si>
    <t>Represents the tolerable frequency for the specified description related to potential for human harm.  In this example 0.001/year for public required to seek shelter of the specific risk scenario.</t>
  </si>
  <si>
    <t>This factor allows the tolerable frequency for offsite human impacts to be less than onsite impacts.  In this example, the tolerable frequency for offsite impacts is 1 order of magnitude lower than for onsite impacts</t>
  </si>
  <si>
    <t>Lower distance to LFL concentration has lower likelihood of explosion.  These values assume release into an outdoor electrically classified area.</t>
  </si>
  <si>
    <t>Tolerable Frequency Factor (TFF) is the -log10 of the tolerable frequency. For example 2 indicates a tolerable frequency of 0.01/year.  The values below should be adjusted to reflect company's risk requirements.</t>
  </si>
  <si>
    <t>Up to 7 severity levels can be entered.  In this example, Severity Level-6 is one order of magnitude lower based on an offsite correction factor of 1.</t>
  </si>
  <si>
    <t>Overpressure/ Correction - Building 1 or 2</t>
  </si>
  <si>
    <t>Distance to Severe Burns  (m)</t>
  </si>
  <si>
    <t>Spray Distance  (m)</t>
  </si>
  <si>
    <t>Easy to moderate ignition ease (upper limit of human spark) Ref. 23</t>
  </si>
  <si>
    <t>Human Harm based on Number of People Severely Impacted</t>
  </si>
  <si>
    <t>Select Consequence Severity Criteria for Human Harm:</t>
  </si>
  <si>
    <t>Select Criteria for Estimating Tolerable Frequency for Human Harm.  There are two options: Estimated number of people severely impacted OR hazard distance</t>
  </si>
  <si>
    <t>Release criteria for spills to waterways with high downstream population is  10 X higher than above</t>
  </si>
  <si>
    <r>
      <rPr>
        <b/>
        <u/>
        <sz val="14"/>
        <color rgb="FFC00000"/>
        <rFont val="Arial Narrow"/>
        <family val="2"/>
      </rPr>
      <t>General Comments for Administrative Parameters</t>
    </r>
    <r>
      <rPr>
        <b/>
        <sz val="14"/>
        <color rgb="FFC00000"/>
        <rFont val="Arial Narrow"/>
        <family val="2"/>
      </rPr>
      <t>:  There are two levels of parameters.  Those in yellow cells reflect parameters that would more likely need to be updated to meet a company's protocol and risk criteria.  Those in green cells are generally based on literature values or correlation coefficients and not typically changed.</t>
    </r>
  </si>
  <si>
    <t>Little or no quantitative guidance in the literature for environmental impact.  This table represents a first draft based on a spill to either soil or water of the following quantities of highly hazardous materials.  These spill quantities are used in RAST for Environmental Damage according to the Table Below.  If the question "High Population Downstream of Facility?" on the Plant Layout worksheet is entered as "Yes", spills to a waterway are elevated by one criteria.</t>
  </si>
  <si>
    <t>Consequence Severity for Human Harm Based on::</t>
  </si>
  <si>
    <t>Comments for Hazard Distance Criteria for Human Harm</t>
  </si>
  <si>
    <t>Tolerable Frequency Factors based on Environmental Spill Criteria
(table to left)</t>
  </si>
  <si>
    <t xml:space="preserve">Physical Explosion Distance to 10 psi = </t>
  </si>
  <si>
    <t>LOPA Tolerable Frequency Factors Based On</t>
  </si>
  <si>
    <t>Concentration within Occupied Bldg 1, ppm</t>
  </si>
  <si>
    <t>Concentration within Occupied Bldg 2, ppm</t>
  </si>
  <si>
    <t>Overpressure at Center of Occupied Building 2, psi</t>
  </si>
  <si>
    <t>Blast Overpressure at Center of Occupied Building 1, psi</t>
  </si>
  <si>
    <t>Blast Overpressure at Center of Occupied Building 2, psi</t>
  </si>
  <si>
    <t>7=IF(Location="Indoors",'Release Calculations'!$AE217,'Release Calculations'!$AE235)</t>
  </si>
  <si>
    <t>Occupied Building Toxic Impact</t>
  </si>
  <si>
    <t xml:space="preserve">Tolerable frequency for the maximum property damage and business loss resulting from a LOPA scenario.  Note that the criteria under "Loss Range" may be updated in addition to the Tolerable frequency.  This example indicates less than $50,000 business loss would be a tolerable frequency of 0.01/year.  </t>
  </si>
  <si>
    <t>Risk Matrix Comments</t>
  </si>
  <si>
    <t>TFF Correction for Off-Site Impacts</t>
  </si>
  <si>
    <t>10^-7/year</t>
  </si>
  <si>
    <t>Version 2.0: Updated estimated volume of flammable cloud to release quantity divided by average concentration.  Corrected number of people impacted and probability of exposure for personnel routinely in immediate vacinity.  Added Regulatory Toxic classification to Chemical Properties datasheet.  Updated Class F weather to better account for initial dilution.  Updated vessel burst energy to account for flashing liquid.  Added Risk Matrix visual to Workbook Notes worksheet.  Added feature to allow Consequence Severity for Human Harm by Hazard Distance in addition to Number of People Impacted.</t>
  </si>
  <si>
    <t>Distance to LC-50 (m)</t>
  </si>
  <si>
    <t>Max Distance to Estimated LC-50 Concentration, m</t>
  </si>
  <si>
    <t>Concentration within Occupied Building 1 (ppm)</t>
  </si>
  <si>
    <t>Concentration within Occupied Building 2 (ppm)</t>
  </si>
  <si>
    <t>Estimated LC-50 Concentration, ppm</t>
  </si>
  <si>
    <r>
      <rPr>
        <b/>
        <sz val="10"/>
        <rFont val="Arial Narrow"/>
        <family val="2"/>
      </rPr>
      <t>Dispersion Summary</t>
    </r>
    <r>
      <rPr>
        <sz val="10"/>
        <rFont val="Arial Narrow"/>
        <family val="2"/>
      </rPr>
      <t xml:space="preserve"> </t>
    </r>
    <r>
      <rPr>
        <sz val="8"/>
        <rFont val="Arial Narrow"/>
        <family val="2"/>
      </rPr>
      <t>(Atmospheric Stability Class D with 3 m/sec wind except as noted)</t>
    </r>
    <r>
      <rPr>
        <sz val="10"/>
        <rFont val="Arial Narrow"/>
        <family val="2"/>
      </rPr>
      <t>:</t>
    </r>
  </si>
  <si>
    <t>Incident Outcome and Consequence Summary:</t>
  </si>
  <si>
    <t>Concentration / LC-50</t>
  </si>
  <si>
    <t>Distance to LC-1 (1.5 F weather) beyond Fence Line (m)</t>
  </si>
  <si>
    <t>ERPG-3</t>
  </si>
  <si>
    <t>Indoor Toxic</t>
  </si>
  <si>
    <t>Off-site Toxic</t>
  </si>
  <si>
    <t>On-Site Toxic</t>
  </si>
  <si>
    <t>Concentration / LC-1</t>
  </si>
  <si>
    <t>Estimated LC-1 Concentration, ppm</t>
  </si>
  <si>
    <t>Estimated Number of People Impacted</t>
  </si>
  <si>
    <t>&gt; $50 MM</t>
  </si>
  <si>
    <t>Highest Consequence Severity Level Human Harm?</t>
  </si>
  <si>
    <t>Highest Consequence Severity Level Environment?</t>
  </si>
  <si>
    <t>Highest Consequence Severity Level Bus Loss?</t>
  </si>
  <si>
    <t>Upper Flammable Limit Default (Fraction)</t>
  </si>
  <si>
    <t>US EPA alternative weather condition (3D) for RMP modeling.</t>
  </si>
  <si>
    <t>US EPA worst case weather condition (1.5F) for RMP modeling.</t>
  </si>
  <si>
    <t>Autoignition Temperature Default</t>
  </si>
  <si>
    <t>Difference of 5 C or 9 F. Reflects inaccuracies in FP measurement</t>
  </si>
  <si>
    <t>1 hour. Typical assumption in release modeling programs. Calculated duration will be less if vessel inventory insufficient for a 1 hour release.</t>
  </si>
  <si>
    <t>Average concentration within an enclosed volume or building needs to be greater than this multiple of LFL to consider building explosion in the analysis.</t>
  </si>
  <si>
    <t>Parameters for trial and error flash routine (convergence errors are flagged in Scenario Results worksheet)</t>
  </si>
  <si>
    <t>Daytime stability that provides the least mixing and hence longest dispersion distances</t>
  </si>
  <si>
    <t>Difficult to ignite Ref. 23</t>
  </si>
  <si>
    <t>3HP. Minimum power threshold for mechanical energy scenarios</t>
  </si>
  <si>
    <r>
      <t xml:space="preserve">RAST allows for 4 to 6 consequence severity levels with one additional level if the Severity Criteria for Human Harm is "Estimated Number of People Impacted" and the </t>
    </r>
    <r>
      <rPr>
        <i/>
        <sz val="12"/>
        <rFont val="Arial Narrow"/>
        <family val="2"/>
      </rPr>
      <t>TFF Correction for Off-site Impacts</t>
    </r>
    <r>
      <rPr>
        <sz val="12"/>
        <rFont val="Arial Narrow"/>
        <family val="2"/>
      </rPr>
      <t xml:space="preserve"> is entered as 1.  (The TFF Correction will result in the Tolerable Frequency being one order-of-magnitude lower for the same estimated number of people impacted off-site than on-site.)
To utilize less than six severity levels, enter the same Tolerable Frequency Factor for one or more table entries, keeping all TFF values in ascending order.</t>
    </r>
  </si>
  <si>
    <t>Tolerable frequency for the maximum number of onsite people seriously impacted (up to and including fatality).  This example indicates less than 1% of a single fatality might imply a moderate injury with tolerable frequency of 0.01/year.  Note that both the number of people impacted and tolerable frequency should be adjusted to reflect the company's risk requirements.</t>
  </si>
  <si>
    <t>Tolerable frequency for the maximum number of onsite people seriously impacted (up to and including fatality).  This example indicates less than 10% of a single fatality might imply a serious irreversible injury with tolerable frequency of 0.001/year.  Note that both the number of people impacted and tolerable frequency should be adjusted to reflect the company's risk requirements.</t>
  </si>
  <si>
    <t>Tolerable frequency for the maximum number of onsite people seriously impacted (up to and including fatality).  This example indicates less than a single onsite fatality as a tolerable frequency of 0.0001/year.  Note that both the number of people impacted and tolerable frequency should be adjusted to reflect the company's risk requirements.</t>
  </si>
  <si>
    <t>Tolerable frequency for the maximum number of onsite people seriously impacted (up to and including fatality).  This example indicates less than 10 onsite fatalities as a tolerable frequency of 0.00001/year.  Note that both the number of people impacted and tolerable frequency should be adjusted to reflect the company's risk requirements.</t>
  </si>
  <si>
    <t>Note that only 6 levels (versus 7 maximum) have been used in this default risk matrix.  This unused level should have the same criteria as that of the next lowest severity</t>
  </si>
  <si>
    <t>Threshold fraction (=5%) of total heat input needed from reaction for labeling as a reaction hazard scenario</t>
  </si>
  <si>
    <t>Human Harm Screening at Less Than</t>
  </si>
  <si>
    <t>0.39 in.  Used for general Mechanical Failure scenarios including Loading Arm failure</t>
  </si>
  <si>
    <r>
      <t xml:space="preserve">The above table represents consequence severity for human harm based on hazard distances or relative hazard concentrations for each Incident Outcome.  It is intended to be used where a direct reference to human harm is not desirable.  Tolerable Frequency Factors are intended to be comparable to the Estimated Number of People Severely Impacted.  For Onsite Toxic, Flash Fire or Physical Explosion criteria, the Tolerable Frequency is a minimum of "Low" if "Personnel Routinely in Immediate Area?" on the Plant Layout worksheet is answered "Yes".  (Adjustment for "Time at Risk" should be addressed as a Conditional Modifier of the Risk Analysis if appropriate.)  Other adjustments for higher or lower population density for offsite consequences or higher or lower occupancy in buildings should be addressed through use of </t>
    </r>
    <r>
      <rPr>
        <b/>
        <sz val="12"/>
        <rFont val="Arial Narrow"/>
        <family val="2"/>
      </rPr>
      <t>Conditional Modifiers</t>
    </r>
    <r>
      <rPr>
        <sz val="12"/>
        <rFont val="Arial Narrow"/>
        <family val="2"/>
      </rPr>
      <t xml:space="preserve"> in the Risk Analysis).</t>
    </r>
  </si>
  <si>
    <t>Tolerable frequency for the maximum property damage resulting from a LOPA scenario.  This example indicates between $50,000 and $500,000 business loss would be a tolerable frequency of 0.001/year.  Note that both business loss and tolerable frequency should be adjusted to reflect the company's risk requirements.</t>
  </si>
  <si>
    <t>Tolerable frequency for the maximum property damage resulting from a LOPA scenario.  This example indicates between $500,000 and $5,000,000 business loss would be a tolerable frequency of 0.0001/year.  Note that both business loss and tolerable frequency should be adjusted to reflect the company's risk requirements.</t>
  </si>
  <si>
    <t>Tolerable frequency for the maximum property damage resulting from a LOPA scenario.  This example indicates between $5,000,000 and $50,000,000 business loss would be a tolerable frequency of 0.00001/year.  Note that both business loss and tolerable frequency should be adjusted to reflect the company's risk requirements.</t>
  </si>
  <si>
    <t>Tolerable frequency for the maximum property damage resulting from a LOPA scenario.  This example indicates between $50,000,000 and $500,000,000 business loss would be a tolerable frequency of 0.000001/year.  Note that both business loss and tolerable frequency should be adjusted to reflect the company's risk requirements.</t>
  </si>
  <si>
    <t>Tolerable frequency for the maximum property damage resulting from a LOPA scenario.  This example indicates greater than $500,000,000  business loss would be a tolerable frequency of 10-7/year.  Note that both business loss and tolerable frequency should be adjusted to reflect the company's risk requirements.</t>
  </si>
  <si>
    <t>Tolerable frequency for the corresponding Environmental Damage description (to the left).  This example indicates an agency reportable incident would be a tolerable frequency of 0.01/year.  Note that both environmental damage and tolerable frequency should be adjusted to reflect the company's risk requirements.</t>
  </si>
  <si>
    <t>Tolerable frequency for the corresponding Environmental Damage description (to the left).  This example indicates an agency reportable incident would be a tolerable frequency of 0.001/year.  Note that both environmental damage and tolerable frequency should be adjusted to reflect the company's risk requirements.</t>
  </si>
  <si>
    <t>Tolerable frequency for the corresponding Environmental Damage description (to the left).  This example indicates an agency reportable incident would be a tolerable frequency of 0.0001/year.  Note that both environmental damage and tolerable frequency should be adjusted to reflect the company's risk requirements.</t>
  </si>
  <si>
    <t>Parameters used in evaluation of offsite toxic releases.  Both day and night weather conditions are used in addition to the fraction of personnel outdoors.</t>
  </si>
  <si>
    <t>Tolerable frequency for the corresponding Environmental Damage description (to the left).  This example indicates an agency reportable incident would be a tolerable frequency of 0.00001/year.  Note that both environmental damage and tolerable frequency should be adjusted to reflect the company's risk requirements.</t>
  </si>
  <si>
    <t>Outdoor on-site population density.  Typical values are 50 to 500 people/km2 outdoors during the peak daytime activities.</t>
  </si>
  <si>
    <t>Risk Matrix - Consequence times Frequency</t>
  </si>
  <si>
    <t>Nighttime stability that provides the least mixing and hence longest dispersion distances</t>
  </si>
  <si>
    <t>Exposure to 70 C (158F)  can cause immediate 2nd &amp; 3rd degree burns (Ref. 26)</t>
  </si>
  <si>
    <t>Fraction of LFL concentration considered to be de minimis risk</t>
  </si>
  <si>
    <t>Hole sizes used to perform mechanical integrity frequency factors estimated in the Special Calcs worksheet</t>
  </si>
  <si>
    <t>It is suggested that a representative of the company (referred as a RAST "Technical Administrator") update the risk criteria and risk matrix to reflect the company's risk tolerance criteria.  The Technical Administrator should also update the number of severity and frequency levels for consistency of users of the RAST within the company.  The human harm criteria may be expressed as number of people severely impacted (the current default) or by the characteristics of the chemical release such as distance from the release point to a hazardous concentration.</t>
  </si>
  <si>
    <t>Risk Matrix:  Risk = Consequence Severity times Frequency</t>
  </si>
  <si>
    <t xml:space="preserve">Temperature at Relief Set Pressure Initial Trials = </t>
  </si>
  <si>
    <t xml:space="preserve">Heat Transfer Fluid = </t>
  </si>
  <si>
    <t xml:space="preserve">NFPA-Flammability </t>
  </si>
  <si>
    <t>1.  General Process Hazards</t>
  </si>
  <si>
    <t>2. Special Process Hazards</t>
  </si>
  <si>
    <t>Catastrophic Failure High Temperature</t>
  </si>
  <si>
    <t>Effluent Screening Notes:</t>
  </si>
  <si>
    <t>Max Distance to LC-50, m</t>
  </si>
  <si>
    <t>One-hour LC-1 Concentration, ppm by volume</t>
  </si>
  <si>
    <t>One-hour ERPG-3 for Vapor Composition, ppm by volume</t>
  </si>
  <si>
    <t>one-hour ERPG-3</t>
  </si>
  <si>
    <t>Reference</t>
  </si>
  <si>
    <t>Guidelines for IE and IPL in LOPA pg 64</t>
  </si>
  <si>
    <t>Guidelines for IE and IPL in LOPA pg 68,70</t>
  </si>
  <si>
    <t>Guidelines for IE and IPL in LOPA pg 72</t>
  </si>
  <si>
    <t>Guidelines for IE and IPL in LOPA pg 74</t>
  </si>
  <si>
    <t>Guidelines for IE and IPL in LOPA pg 80</t>
  </si>
  <si>
    <t>Guidelines for IE and IPL in LOPA pg 82</t>
  </si>
  <si>
    <t>Guidelines for IE and IPL in LOPA pg 92</t>
  </si>
  <si>
    <t>Guidelines for IE and IPL in LOPA pg 94</t>
  </si>
  <si>
    <t>End-of-Line Deflagration Flame Arrestor which prevents propagation to equipment</t>
  </si>
  <si>
    <t>Guidelines for IE and IPL in LOPA pg 124</t>
  </si>
  <si>
    <t>Overflow Line with no Impediment to Flow</t>
  </si>
  <si>
    <t>Guidelines for IE and IPL in LOPA pg 132</t>
  </si>
  <si>
    <t>Guidelines for IE and IPL in LOPA pg 138, 140</t>
  </si>
  <si>
    <t>Guidelines for IE and IPL in LOPA pg 154, 156</t>
  </si>
  <si>
    <t>Guidelines for IE and IPL in LOPA pg 159-160</t>
  </si>
  <si>
    <t>Guidelines for IE and IPL in LOPA pg 180, 184, 192</t>
  </si>
  <si>
    <t>Guidelines for IE and IPL in LOPA pg 194</t>
  </si>
  <si>
    <t>Guidelines for IE and IPL in LOPA pg 208</t>
  </si>
  <si>
    <t>Guidelines for IE and IPL in LOPA pg 214</t>
  </si>
  <si>
    <t>Guidelines for IE and IPL in LOPA pg 244</t>
  </si>
  <si>
    <t>Guidelines for IE and IPL in LOPA pg 256</t>
  </si>
  <si>
    <t>Guidelines for IE and IPL in LOPA pg 258</t>
  </si>
  <si>
    <t>Hazard Distance Comments</t>
  </si>
  <si>
    <t>ERPG-2</t>
  </si>
  <si>
    <t>Default Table values reflect Hazard Distance correlation based on typical enclosed process area or occupied building at 10 occupants, 0.0002 people/m^2 onsite outdoor population density, and 0.0015 people/m^2 offsite population density with 0.1 fraction people outdoors.</t>
  </si>
  <si>
    <r>
      <t xml:space="preserve">Examples of Preventive IPLs would be:
• High Temperature shuts off Heating Media valve
• High Level Interlock shuts off Feed Pump
• High Level Alarms with Operator response to shut off Feed Pump
• Addition of inhibitor to reactive system
</t>
    </r>
    <r>
      <rPr>
        <i/>
        <sz val="11"/>
        <rFont val="Arial Narrow"/>
        <family val="2"/>
      </rPr>
      <t>Note that these IPLs are effective for ALL Initiating Events and for ALL possible Event Outcomes.</t>
    </r>
    <r>
      <rPr>
        <sz val="11"/>
        <rFont val="Arial Narrow"/>
        <family val="2"/>
      </rPr>
      <t xml:space="preserve">
Example of Mitigating IPLs would be:
• Sprinkler, Deluge, Foam systems for Fire Scenarios (these don’t prevent the fire from occurring)
• Shut off of Building Ventilation to minimize exposure of occupants
• Relief Device to prevent catastrophic failure of equipment
• Dike to contain a spill and minimize potential for ground water contamination
</t>
    </r>
    <r>
      <rPr>
        <i/>
        <sz val="11"/>
        <rFont val="Arial Narrow"/>
        <family val="2"/>
      </rPr>
      <t>Note that these IPLs either reduce the consequence OR are only effective for a Specific Outcome (ventilation shut off is effective only for building occupants not personnel in the process area, sprinkler/deluge is only effective if the release is ignited and not for toxic impacts if not ignited, etc.)</t>
    </r>
  </si>
  <si>
    <t>When selecting which scenario cases to analyze (and in minimizing the total number of protective layers needed)  focus on Preventive IPLs.  If including more than one Mitigating IPLs, scenario cases with different Outcome of the Loss Event or release (flash fire, on-site toxic, environmental impact, etc.) should be analyzed.  If including more than one Pre-Initiating IPL, scenario cases with other Initiating Events that could lead to the same loss event (Human Error opening valve A, Human Error opening Valve B, Basic Control Failure, etc.) should be analyzed. 
Note that if other related scenarios (such as those with the same loss event) utilize the same Preventative IPLs, the Probability of Failure on Demand (PFD) for may need to be adjusted for the summation of Initiating Event frequencies of the related scenarios.  Many, however, consider that use of order of magnitude values represents sufficient conservatism that PFD adjustment may not be needed.</t>
  </si>
  <si>
    <t>USER DEFINED IEF=0</t>
  </si>
  <si>
    <t>USER DEFINED IEF=1</t>
  </si>
  <si>
    <t>USER DEFINED IEF=2</t>
  </si>
  <si>
    <t>USER DEFINED IEF=3</t>
  </si>
  <si>
    <t>USER DEFINED IEF=4</t>
  </si>
  <si>
    <t>USER DEFINED IEF=5</t>
  </si>
  <si>
    <t>USER DEFINED POI Factor = 0</t>
  </si>
  <si>
    <t>USER DEFINED POI Factor = 1</t>
  </si>
  <si>
    <t>USER DEFINED POI Factor = 2</t>
  </si>
  <si>
    <t>USER DEFINED POI Factor = 3</t>
  </si>
  <si>
    <t>POE of 0.01</t>
  </si>
  <si>
    <t>POE of 0.1</t>
  </si>
  <si>
    <t>25 C or 77 F. Ambient temperature for heat loss calculation.  Used if value not entered in Process Conditions tab</t>
  </si>
  <si>
    <t>Used for estimating evaporation from indoor liquid pools.  See Ref. 6 of Tech Manual</t>
  </si>
  <si>
    <t>Coefficient for heat transfer to surroundings if insulated.  Based on value entered for insulation reduction factor in Equipment Parameters tab</t>
  </si>
  <si>
    <t xml:space="preserve">Coefficient for heat transfer to surroundings if not insulated.  See typical values of heat transfer units in RAST Input Guidance tab </t>
  </si>
  <si>
    <t xml:space="preserve">Maximum time assumed for outdoor toxic exposures, anticipating people are not stationary when working outdoors.  </t>
  </si>
  <si>
    <t xml:space="preserve">Used to screen out asphyxiation hazards for O2 concentrations above this value.  Onset of some un-noticeable adverse physiological events . Ref. 23. </t>
  </si>
  <si>
    <t>De minimis distance to appropriate concentration (e.g. LFL) required for release to be considered hazardous</t>
  </si>
  <si>
    <t>Temperature at twice the saturation concentration used for estimating condensation of low volatility release</t>
  </si>
  <si>
    <t>Roughness of the surface impacts dispersion distances.  Typical value used for a chemical plant or residential area (see dispersion module in CHEF Manual for details)</t>
  </si>
  <si>
    <t>Flowrate coefficients for nozzle discharge.  0.61 and 1 are suggested values per CCPS literature.</t>
  </si>
  <si>
    <t>Minimum mass required  for thermal hazard scenarios (combined with flow limit) for significant fraction of human body exposed.</t>
  </si>
  <si>
    <t>Default ventilation rate for enclosed process areas, used if not entered in Plant Layout.  Based on typical mechanical ventilation rate for an office building.</t>
  </si>
  <si>
    <t>Based on typical ventilation rate for Default ventilation rate for enclosed process areas, used if not entered in Plant Layout.  homes or structures without mechanical ventilation</t>
  </si>
  <si>
    <t>Default value of 2 operations personnel in the process area at any time if the No. Enclosed Area Personnel input is blank in Plant Layout.</t>
  </si>
  <si>
    <t>LFL fraction assumed as basis for distance to severe flash fire impacts for outdoor personnel.  Typical range is 0.5-1.0.   0.5 gives the largest distance to fire impact.</t>
  </si>
  <si>
    <t>Upper flammable limit (mol fraction) used as a basis for generating scenario comments when predicted to be above UFL.</t>
  </si>
  <si>
    <r>
      <t>840 kcal/m</t>
    </r>
    <r>
      <rPr>
        <vertAlign val="superscript"/>
        <sz val="10"/>
        <rFont val="Arial Narrow"/>
        <family val="2"/>
      </rPr>
      <t>3</t>
    </r>
    <r>
      <rPr>
        <sz val="10"/>
        <rFont val="Arial Narrow"/>
        <family val="2"/>
      </rPr>
      <t xml:space="preserve"> or 3500 kJ/m</t>
    </r>
    <r>
      <rPr>
        <vertAlign val="superscript"/>
        <sz val="10"/>
        <rFont val="Arial Narrow"/>
        <family val="2"/>
      </rPr>
      <t>3</t>
    </r>
    <r>
      <rPr>
        <sz val="10"/>
        <rFont val="Arial Narrow"/>
        <family val="2"/>
      </rPr>
      <t>.  Combustion explosion energy per volume assuming a stoichiometric mixture of fuel and air.  Reference CCPS</t>
    </r>
  </si>
  <si>
    <t>Upper limit to explosion energy to recognize the explosion efficiency drops off for very large clouds</t>
  </si>
  <si>
    <t>Overfill or Backflow</t>
  </si>
  <si>
    <t>Flow-Backflow</t>
  </si>
  <si>
    <t>Recommendations</t>
  </si>
  <si>
    <t>Release Calculations
Scenario List</t>
  </si>
  <si>
    <t>Scenario Recommendations</t>
  </si>
  <si>
    <t>Existing Safeguards</t>
  </si>
  <si>
    <t>Scenario Existing Safeguards</t>
  </si>
  <si>
    <t>SIS - SIL 1+</t>
  </si>
  <si>
    <t>SIS - SIL 2+</t>
  </si>
  <si>
    <t>USER DEFINED Enabling Factor = 1.5</t>
  </si>
  <si>
    <t>USER DEFINED Enabling Factor = 0.5</t>
  </si>
  <si>
    <t>USER DEFINED Enabling Factor = -0.5</t>
  </si>
  <si>
    <t>POE of 0.03</t>
  </si>
  <si>
    <t>POE of 0.3</t>
  </si>
  <si>
    <t>Basic LOPA Menu</t>
  </si>
  <si>
    <t>Removed spray distance from LFL distance above liquid level.  Added columns to Scenario List to capture Recommendations and Action Items.  Updated rupture to use plume or continuous model if greater than 97% of airborne quantity is from pool evaporation only.</t>
  </si>
  <si>
    <t>Entered Scenario Group Existing Safeguards</t>
  </si>
  <si>
    <t>Entered Scenario Group Recommendations</t>
  </si>
  <si>
    <t>Scenario Group Existing Safeguards Saved</t>
  </si>
  <si>
    <t>Scenario Group Recommendations Saved</t>
  </si>
  <si>
    <t>Scenario Group Existing Safeguards Loaded</t>
  </si>
  <si>
    <t>Scenario Group Recommendations Loaded</t>
  </si>
  <si>
    <t>Evaluation Node:</t>
  </si>
  <si>
    <t>Node Design Intent Summary:</t>
  </si>
  <si>
    <t>Node Design Intent Summary</t>
  </si>
  <si>
    <t>Initial Design Intent</t>
  </si>
  <si>
    <t>Vapor Dispersion</t>
  </si>
  <si>
    <t>Source Model</t>
  </si>
  <si>
    <t>Initial Concentration</t>
  </si>
  <si>
    <t>Initial Vapor Release Density</t>
  </si>
  <si>
    <t>Buoyancy Parameter</t>
  </si>
  <si>
    <t>Ambient Air Density</t>
  </si>
  <si>
    <t>Dense Plume Coefficient a - Daytime</t>
  </si>
  <si>
    <t>Dense Puff Coefficient a - Daytime</t>
  </si>
  <si>
    <t>Dense Puff Coefficient b - Daytime</t>
  </si>
  <si>
    <t>Dense Plume Coefficient b - Daytime</t>
  </si>
  <si>
    <t>Dense Puff Coefficient a - Night</t>
  </si>
  <si>
    <t>Dense Puff Coefficient b - Night</t>
  </si>
  <si>
    <t>Dense Plume Coefficient a - Night</t>
  </si>
  <si>
    <t>Dense Plume Coefficient b - Night</t>
  </si>
  <si>
    <t>Dense Plume Correlating Parameter - Daytime</t>
  </si>
  <si>
    <t>Dense Plume Transition Concentration - Daytime</t>
  </si>
  <si>
    <t>Dense Puff Correlating Parameter - Daytime</t>
  </si>
  <si>
    <t>Dense Puff Transition Concentration - Daytime</t>
  </si>
  <si>
    <t>Dense Plume Correlating Parameter - Night</t>
  </si>
  <si>
    <t>Dense Plume Transition Concentration - Night</t>
  </si>
  <si>
    <t>Dense Puff Correlating Parameter - Night</t>
  </si>
  <si>
    <t>Dense Puff Transition Concentration - Night</t>
  </si>
  <si>
    <t>Dense Plume Transition Distance - Daytime</t>
  </si>
  <si>
    <t>Dense Puff Transition Distance - Daytime</t>
  </si>
  <si>
    <t>Dense Plume Transition Distance - Night</t>
  </si>
  <si>
    <t>Dense Puff Transition Distance - Night</t>
  </si>
  <si>
    <t>NB Plume Transition Distance - Daytime</t>
  </si>
  <si>
    <t>NB Puff Transition Distance - Daytime</t>
  </si>
  <si>
    <t>NB Plume Transition Distance - Night</t>
  </si>
  <si>
    <t>NB Puff Transition Distance - Night</t>
  </si>
  <si>
    <t>Distances used for Combined Dense and Neutrally Buoyant Dispersion Correlation</t>
  </si>
  <si>
    <t>Combined Vapor Plume Model Coefficient a - Daytime</t>
  </si>
  <si>
    <t>Combined Vapor Plume Model Coefficient b - Daytime</t>
  </si>
  <si>
    <t>Combined Vapor Puff Model Coefficient a - Daytime</t>
  </si>
  <si>
    <t>Combined Vapor Puff Model Coefficient b - Daytime</t>
  </si>
  <si>
    <t>Plume or Puff Model Applies - Daytime?</t>
  </si>
  <si>
    <t>Plume or Puff Model Applies - Night?</t>
  </si>
  <si>
    <t>Concentration used for Dense Gas Dispersion Correlation</t>
  </si>
  <si>
    <r>
      <t>ln (Concentration, C</t>
    </r>
    <r>
      <rPr>
        <vertAlign val="subscript"/>
        <sz val="10"/>
        <rFont val="Arial Narrow"/>
        <family val="2"/>
      </rPr>
      <t>m</t>
    </r>
    <r>
      <rPr>
        <sz val="10"/>
        <rFont val="Arial Narrow"/>
        <family val="2"/>
      </rPr>
      <t>/C</t>
    </r>
    <r>
      <rPr>
        <vertAlign val="subscript"/>
        <sz val="10"/>
        <rFont val="Arial Narrow"/>
        <family val="2"/>
      </rPr>
      <t>0</t>
    </r>
    <r>
      <rPr>
        <sz val="10"/>
        <rFont val="Arial Narrow"/>
        <family val="2"/>
      </rPr>
      <t xml:space="preserve"> = 0.01)</t>
    </r>
  </si>
  <si>
    <r>
      <t>ln (Concentration, C</t>
    </r>
    <r>
      <rPr>
        <vertAlign val="subscript"/>
        <sz val="10"/>
        <rFont val="Arial Narrow"/>
        <family val="2"/>
      </rPr>
      <t>m</t>
    </r>
    <r>
      <rPr>
        <sz val="10"/>
        <rFont val="Arial Narrow"/>
        <family val="2"/>
      </rPr>
      <t>/C</t>
    </r>
    <r>
      <rPr>
        <vertAlign val="subscript"/>
        <sz val="10"/>
        <rFont val="Arial Narrow"/>
        <family val="2"/>
      </rPr>
      <t>0</t>
    </r>
    <r>
      <rPr>
        <sz val="10"/>
        <rFont val="Arial Narrow"/>
        <family val="2"/>
      </rPr>
      <t xml:space="preserve"> = 0.1)</t>
    </r>
  </si>
  <si>
    <r>
      <t>ln (Concentration, C</t>
    </r>
    <r>
      <rPr>
        <vertAlign val="subscript"/>
        <sz val="10"/>
        <rFont val="Arial Narrow"/>
        <family val="2"/>
      </rPr>
      <t>m</t>
    </r>
    <r>
      <rPr>
        <sz val="10"/>
        <rFont val="Arial Narrow"/>
        <family val="2"/>
      </rPr>
      <t>/C</t>
    </r>
    <r>
      <rPr>
        <vertAlign val="subscript"/>
        <sz val="10"/>
        <rFont val="Arial Narrow"/>
        <family val="2"/>
      </rPr>
      <t>0</t>
    </r>
    <r>
      <rPr>
        <sz val="10"/>
        <rFont val="Arial Narrow"/>
        <family val="2"/>
      </rPr>
      <t xml:space="preserve"> = 0.05)</t>
    </r>
  </si>
  <si>
    <r>
      <t>ln (Concentration, C</t>
    </r>
    <r>
      <rPr>
        <vertAlign val="subscript"/>
        <sz val="10"/>
        <rFont val="Arial Narrow"/>
        <family val="2"/>
      </rPr>
      <t>m</t>
    </r>
    <r>
      <rPr>
        <sz val="10"/>
        <rFont val="Arial Narrow"/>
        <family val="2"/>
      </rPr>
      <t>/C</t>
    </r>
    <r>
      <rPr>
        <vertAlign val="subscript"/>
        <sz val="10"/>
        <rFont val="Arial Narrow"/>
        <family val="2"/>
      </rPr>
      <t>0</t>
    </r>
    <r>
      <rPr>
        <sz val="10"/>
        <rFont val="Arial Narrow"/>
        <family val="2"/>
      </rPr>
      <t xml:space="preserve"> = 0.02)</t>
    </r>
  </si>
  <si>
    <r>
      <t>ln (Concentration, C</t>
    </r>
    <r>
      <rPr>
        <vertAlign val="subscript"/>
        <sz val="10"/>
        <rFont val="Arial Narrow"/>
        <family val="2"/>
      </rPr>
      <t>m</t>
    </r>
    <r>
      <rPr>
        <sz val="10"/>
        <rFont val="Arial Narrow"/>
        <family val="2"/>
      </rPr>
      <t>/C</t>
    </r>
    <r>
      <rPr>
        <vertAlign val="subscript"/>
        <sz val="10"/>
        <rFont val="Arial Narrow"/>
        <family val="2"/>
      </rPr>
      <t>0</t>
    </r>
    <r>
      <rPr>
        <sz val="10"/>
        <rFont val="Arial Narrow"/>
        <family val="2"/>
      </rPr>
      <t xml:space="preserve"> = 0.001)</t>
    </r>
  </si>
  <si>
    <r>
      <t>ln (Concentration, C</t>
    </r>
    <r>
      <rPr>
        <vertAlign val="subscript"/>
        <sz val="10"/>
        <rFont val="Arial Narrow"/>
        <family val="2"/>
      </rPr>
      <t>m</t>
    </r>
    <r>
      <rPr>
        <sz val="10"/>
        <rFont val="Arial Narrow"/>
        <family val="2"/>
      </rPr>
      <t>/C</t>
    </r>
    <r>
      <rPr>
        <vertAlign val="subscript"/>
        <sz val="10"/>
        <rFont val="Arial Narrow"/>
        <family val="2"/>
      </rPr>
      <t>0</t>
    </r>
    <r>
      <rPr>
        <sz val="10"/>
        <rFont val="Arial Narrow"/>
        <family val="2"/>
      </rPr>
      <t xml:space="preserve"> = 0.005)</t>
    </r>
  </si>
  <si>
    <r>
      <t>ln (Concentration, C</t>
    </r>
    <r>
      <rPr>
        <vertAlign val="subscript"/>
        <sz val="10"/>
        <rFont val="Arial Narrow"/>
        <family val="2"/>
      </rPr>
      <t>m</t>
    </r>
    <r>
      <rPr>
        <sz val="10"/>
        <rFont val="Arial Narrow"/>
        <family val="2"/>
      </rPr>
      <t>/C</t>
    </r>
    <r>
      <rPr>
        <vertAlign val="subscript"/>
        <sz val="10"/>
        <rFont val="Arial Narrow"/>
        <family val="2"/>
      </rPr>
      <t>0</t>
    </r>
    <r>
      <rPr>
        <sz val="10"/>
        <rFont val="Arial Narrow"/>
        <family val="2"/>
      </rPr>
      <t xml:space="preserve"> = 0.002)</t>
    </r>
  </si>
  <si>
    <t>ln Distance 10 m for Combined Dispersion Correlation</t>
  </si>
  <si>
    <t>ln Distance 20 m for Combined Dispersion Correlation</t>
  </si>
  <si>
    <t>ln Distance 50 m for Combined Dispersion Correlation</t>
  </si>
  <si>
    <t>ln Distance 100 m for Combined Dispersion Correlation</t>
  </si>
  <si>
    <t>ln Distance 200 m for Combined Dispersion Correlation</t>
  </si>
  <si>
    <t>ln Distance 500 m for Combined Dispersion Correlation</t>
  </si>
  <si>
    <t>ln Distance 1000 m for Combined Dispersion Correlation</t>
  </si>
  <si>
    <t>ln Distance 2000 m for Combined Dispersion Correlation</t>
  </si>
  <si>
    <t>ln Distance 5000 m for Combined Dispersion Correlation</t>
  </si>
  <si>
    <t>ln Distance 10000 m for Combined Dispersion Correlation</t>
  </si>
  <si>
    <t>ln Concentration at Distance 10 m</t>
  </si>
  <si>
    <t>ln Concentration at Distance 20 m</t>
  </si>
  <si>
    <t>ln Concentration at Distance 50 m</t>
  </si>
  <si>
    <t>ln Concentration at Distance 100 m</t>
  </si>
  <si>
    <t>ln Concentration at Distance 200 m</t>
  </si>
  <si>
    <t>ln Concentration at Distance 500 m</t>
  </si>
  <si>
    <t>ln Concentration at Distance 1000 m</t>
  </si>
  <si>
    <t>ln Concentration at Distance 2000 m</t>
  </si>
  <si>
    <t>ln Concentration at Distance 5000 m</t>
  </si>
  <si>
    <t>ln Concentration at Distance 10000 m</t>
  </si>
  <si>
    <r>
      <t>kg/m</t>
    </r>
    <r>
      <rPr>
        <b/>
        <vertAlign val="superscript"/>
        <sz val="10"/>
        <rFont val="Arial Narrow"/>
        <family val="2"/>
      </rPr>
      <t>3</t>
    </r>
  </si>
  <si>
    <r>
      <t>m/sec</t>
    </r>
    <r>
      <rPr>
        <b/>
        <vertAlign val="superscript"/>
        <sz val="10"/>
        <rFont val="Arial Narrow"/>
        <family val="2"/>
      </rPr>
      <t>2</t>
    </r>
  </si>
  <si>
    <t>Combined Vapor Plume Model Coefficient a - Night</t>
  </si>
  <si>
    <t>Combined Vapor Plume Model Coefficient b - Night</t>
  </si>
  <si>
    <t>Combined Vapor Puff Model Coefficient a - Night</t>
  </si>
  <si>
    <t>Combined Vapor Puff Model Coefficient b - Night</t>
  </si>
  <si>
    <t>ln Distance at Cm/C0 = 0.1</t>
  </si>
  <si>
    <t>ln Distance at Cm/C0 = 0.05</t>
  </si>
  <si>
    <t>ln Distance at Cm/C0 = 0.02</t>
  </si>
  <si>
    <t>ln Distance at Cm/C0 = 0.01</t>
  </si>
  <si>
    <t>ln Distance at Cm/C0 = 0.005</t>
  </si>
  <si>
    <t>ln Distance at Cm/C0 = 0.002</t>
  </si>
  <si>
    <t>Distance Correction for Initial Concentration - Plume Daytime</t>
  </si>
  <si>
    <t>ln Distance at Cm/C0 = 0.001</t>
  </si>
  <si>
    <t>Distance Correction for Initial Concentration - Puff Daytime</t>
  </si>
  <si>
    <t>Distance Correction for Initial Concentration - Plume Night</t>
  </si>
  <si>
    <t>Distance Correction for Initial Concentration - Puff Night</t>
  </si>
  <si>
    <t>Time-Scaled Equivalent LC-50 limited to 10 min</t>
  </si>
  <si>
    <t>Outdoor Flash Fire HD-0.5 LFL</t>
  </si>
  <si>
    <t>0.5 LFL Onsite Impact Area =</t>
  </si>
  <si>
    <t xml:space="preserve">Initial Pad Gas as </t>
  </si>
  <si>
    <t xml:space="preserve">Pad Gas as </t>
  </si>
  <si>
    <t xml:space="preserve">Vapor Moles Pad Gas as </t>
  </si>
  <si>
    <t xml:space="preserve">Mol Fraction Pad Gas as </t>
  </si>
  <si>
    <t xml:space="preserve">Mol Fraction/ERPG-2 Pad Gas as </t>
  </si>
  <si>
    <t xml:space="preserve">Mol Fraction/ERPG-3 Pad Gas as </t>
  </si>
  <si>
    <t xml:space="preserve">Mol Fraction/LFL Pad Gas as </t>
  </si>
  <si>
    <t xml:space="preserve">Mol Fraction/LC-1 Pad Gas as </t>
  </si>
  <si>
    <t xml:space="preserve">Mol Fraction/LC-50 Pad Gas as </t>
  </si>
  <si>
    <t xml:space="preserve">Mol Fraction/Time-Scaled LC-1 Pad Gas as </t>
  </si>
  <si>
    <t xml:space="preserve">Entrance Type or Chemical = </t>
  </si>
  <si>
    <t>Outdoor Flash Fire 0.5 HD-LFL</t>
  </si>
  <si>
    <t>Distance to 4 Kw/m2 Thermal Radiation</t>
  </si>
  <si>
    <t>4 Kw/m2 Thermal Radiation Off-site?</t>
  </si>
  <si>
    <t>Consider as an Attended Operation?</t>
  </si>
  <si>
    <r>
      <t xml:space="preserve">Neutrally Buoyant Plume </t>
    </r>
    <r>
      <rPr>
        <b/>
        <sz val="10"/>
        <rFont val="Symbol"/>
        <family val="1"/>
        <charset val="2"/>
      </rPr>
      <t>s</t>
    </r>
    <r>
      <rPr>
        <b/>
        <vertAlign val="subscript"/>
        <sz val="10"/>
        <rFont val="Arial Narrow"/>
        <family val="2"/>
      </rPr>
      <t>Y</t>
    </r>
    <r>
      <rPr>
        <b/>
        <sz val="10"/>
        <rFont val="Arial Narrow"/>
        <family val="2"/>
      </rPr>
      <t xml:space="preserve"> A, </t>
    </r>
    <r>
      <rPr>
        <b/>
        <sz val="10"/>
        <rFont val="Symbol"/>
        <family val="1"/>
        <charset val="2"/>
      </rPr>
      <t>s</t>
    </r>
    <r>
      <rPr>
        <b/>
        <vertAlign val="subscript"/>
        <sz val="10"/>
        <rFont val="Arial Narrow"/>
        <family val="2"/>
      </rPr>
      <t>Y</t>
    </r>
    <r>
      <rPr>
        <b/>
        <sz val="10"/>
        <rFont val="Arial Narrow"/>
        <family val="2"/>
      </rPr>
      <t xml:space="preserve"> B Coefficients</t>
    </r>
  </si>
  <si>
    <r>
      <t xml:space="preserve">Neutrally Buoyant Plume </t>
    </r>
    <r>
      <rPr>
        <b/>
        <sz val="10"/>
        <rFont val="Symbol"/>
        <family val="1"/>
        <charset val="2"/>
      </rPr>
      <t>s</t>
    </r>
    <r>
      <rPr>
        <b/>
        <vertAlign val="subscript"/>
        <sz val="10"/>
        <rFont val="Arial Narrow"/>
        <family val="2"/>
      </rPr>
      <t>Z</t>
    </r>
    <r>
      <rPr>
        <b/>
        <sz val="10"/>
        <rFont val="Arial Narrow"/>
        <family val="2"/>
      </rPr>
      <t xml:space="preserve"> A, </t>
    </r>
    <r>
      <rPr>
        <b/>
        <sz val="10"/>
        <rFont val="Symbol"/>
        <family val="1"/>
        <charset val="2"/>
      </rPr>
      <t>s</t>
    </r>
    <r>
      <rPr>
        <b/>
        <vertAlign val="subscript"/>
        <sz val="10"/>
        <rFont val="Arial Narrow"/>
        <family val="2"/>
      </rPr>
      <t>Z</t>
    </r>
    <r>
      <rPr>
        <b/>
        <sz val="10"/>
        <rFont val="Arial Narrow"/>
        <family val="2"/>
      </rPr>
      <t xml:space="preserve"> B Coefficients</t>
    </r>
  </si>
  <si>
    <r>
      <t xml:space="preserve">Neutrally Buoyant Puff </t>
    </r>
    <r>
      <rPr>
        <b/>
        <sz val="10"/>
        <rFont val="Symbol"/>
        <family val="1"/>
        <charset val="2"/>
      </rPr>
      <t>s</t>
    </r>
    <r>
      <rPr>
        <b/>
        <vertAlign val="subscript"/>
        <sz val="10"/>
        <rFont val="Arial Narrow"/>
        <family val="2"/>
      </rPr>
      <t>X</t>
    </r>
    <r>
      <rPr>
        <b/>
        <sz val="10"/>
        <rFont val="Arial Narrow"/>
        <family val="2"/>
      </rPr>
      <t xml:space="preserve"> A, </t>
    </r>
    <r>
      <rPr>
        <b/>
        <sz val="10"/>
        <rFont val="Symbol"/>
        <family val="1"/>
        <charset val="2"/>
      </rPr>
      <t>s</t>
    </r>
    <r>
      <rPr>
        <b/>
        <vertAlign val="subscript"/>
        <sz val="10"/>
        <rFont val="Arial Narrow"/>
        <family val="2"/>
      </rPr>
      <t>X</t>
    </r>
    <r>
      <rPr>
        <b/>
        <sz val="10"/>
        <rFont val="Arial Narrow"/>
        <family val="2"/>
      </rPr>
      <t xml:space="preserve"> B Coefficients</t>
    </r>
  </si>
  <si>
    <r>
      <t xml:space="preserve">Neutrally Buoyant Puff </t>
    </r>
    <r>
      <rPr>
        <b/>
        <sz val="10"/>
        <rFont val="Symbol"/>
        <family val="1"/>
        <charset val="2"/>
      </rPr>
      <t>s</t>
    </r>
    <r>
      <rPr>
        <b/>
        <vertAlign val="subscript"/>
        <sz val="10"/>
        <rFont val="Arial Narrow"/>
        <family val="2"/>
      </rPr>
      <t>Y</t>
    </r>
    <r>
      <rPr>
        <b/>
        <sz val="10"/>
        <rFont val="Arial Narrow"/>
        <family val="2"/>
      </rPr>
      <t xml:space="preserve"> A, </t>
    </r>
    <r>
      <rPr>
        <b/>
        <sz val="10"/>
        <rFont val="Symbol"/>
        <family val="1"/>
        <charset val="2"/>
      </rPr>
      <t>s</t>
    </r>
    <r>
      <rPr>
        <b/>
        <vertAlign val="subscript"/>
        <sz val="10"/>
        <rFont val="Arial Narrow"/>
        <family val="2"/>
      </rPr>
      <t>Y</t>
    </r>
    <r>
      <rPr>
        <b/>
        <sz val="10"/>
        <rFont val="Arial Narrow"/>
        <family val="2"/>
      </rPr>
      <t xml:space="preserve"> B Coefficients</t>
    </r>
  </si>
  <si>
    <r>
      <t xml:space="preserve">Neutrally Buoyant Puff </t>
    </r>
    <r>
      <rPr>
        <b/>
        <sz val="10"/>
        <rFont val="Symbol"/>
        <family val="1"/>
        <charset val="2"/>
      </rPr>
      <t>s</t>
    </r>
    <r>
      <rPr>
        <b/>
        <vertAlign val="subscript"/>
        <sz val="10"/>
        <rFont val="Arial Narrow"/>
        <family val="2"/>
      </rPr>
      <t>Z</t>
    </r>
    <r>
      <rPr>
        <b/>
        <sz val="10"/>
        <rFont val="Arial Narrow"/>
        <family val="2"/>
      </rPr>
      <t xml:space="preserve"> A, </t>
    </r>
    <r>
      <rPr>
        <b/>
        <sz val="10"/>
        <rFont val="Symbol"/>
        <family val="1"/>
        <charset val="2"/>
      </rPr>
      <t>s</t>
    </r>
    <r>
      <rPr>
        <b/>
        <vertAlign val="subscript"/>
        <sz val="10"/>
        <rFont val="Arial Narrow"/>
        <family val="2"/>
      </rPr>
      <t>Z</t>
    </r>
    <r>
      <rPr>
        <b/>
        <sz val="10"/>
        <rFont val="Arial Narrow"/>
        <family val="2"/>
      </rPr>
      <t xml:space="preserve"> B Coefficients</t>
    </r>
  </si>
  <si>
    <t>Neutrally Buoyant Plume A and B Coefficients - Daytime</t>
  </si>
  <si>
    <t>Neutrally Buoyant Puff A and B Coefficients - Daytime</t>
  </si>
  <si>
    <t>Neutrally Buoyant Plume A and B Coefficients - Night</t>
  </si>
  <si>
    <t>Neutrally Buoyant Puff A and B Coefficients - Night</t>
  </si>
  <si>
    <t>Distance to Maximum Ground Elevation Concentration</t>
  </si>
  <si>
    <t>Distance to Maximum Ground Level Concentration</t>
  </si>
  <si>
    <t>Release Calculations
Special Calcs</t>
  </si>
  <si>
    <t>Updated Dispersion calculations to better address dense gas region.  Now each type of release has a separate dispersion correlation for plume and puff as a combined dense gas and neutrally boyant models.</t>
  </si>
  <si>
    <t>Further Analysis</t>
  </si>
  <si>
    <t>Select Scenario for Further Analysis</t>
  </si>
  <si>
    <t>Scenario Selected for Further Analysis Saved</t>
  </si>
  <si>
    <t>Entered Scenario Selected for Further Analysis</t>
  </si>
  <si>
    <t>Scenarios in gray were suggested to be excluded for reason noted under Scenario Comments.  Study Team should review each to determine if excluding from Risk Analysis is appropriate.</t>
  </si>
  <si>
    <t>Session Date:</t>
  </si>
  <si>
    <t>Session Participants:</t>
  </si>
  <si>
    <t>Team Selection of LOPA Scenarios</t>
  </si>
  <si>
    <t>Never</t>
  </si>
  <si>
    <t>Scenario Selected for Further Analysis Loaded</t>
  </si>
  <si>
    <t>Flash Routine Error</t>
  </si>
  <si>
    <t>Droplet Evaporation Routine Error</t>
  </si>
  <si>
    <t>Pool Evaporation Routine Error</t>
  </si>
  <si>
    <t>Condensation Routine Error</t>
  </si>
  <si>
    <t>Total Release Quantity, kg</t>
  </si>
  <si>
    <t>IEF=0 pending more detailed evaluation</t>
  </si>
  <si>
    <t>IEF=1 pending more detailed evaluation</t>
  </si>
  <si>
    <t>IEF=2 pending more detailed evaluation</t>
  </si>
  <si>
    <t>IEF=3 pending more detailed evaluation</t>
  </si>
  <si>
    <t>IEF=4 pending more detailed evaluation</t>
  </si>
  <si>
    <t>IEF=5 pending more detailed evaluation</t>
  </si>
  <si>
    <t>Initial Volumetric Flow</t>
  </si>
  <si>
    <t>Initial Vapor Volume</t>
  </si>
  <si>
    <r>
      <t>m</t>
    </r>
    <r>
      <rPr>
        <b/>
        <vertAlign val="superscript"/>
        <sz val="10"/>
        <rFont val="Arial Narrow"/>
        <family val="2"/>
      </rPr>
      <t>3</t>
    </r>
    <r>
      <rPr>
        <b/>
        <sz val="10"/>
        <rFont val="Arial Narrow"/>
        <family val="2"/>
      </rPr>
      <t>/sec</t>
    </r>
  </si>
  <si>
    <t>Maximum Error</t>
  </si>
  <si>
    <t>Number Potential Fireball or Flash Fire Impact</t>
  </si>
  <si>
    <t>Release Calculations
Consequence Summary</t>
  </si>
  <si>
    <t>Updated volumetric flow for the dense gas dispersion calculations to account for initial dilution from jet mixing.  Added estimated number of serious onsite impacts to the Consequence Summary report if the reporting option is "Estimated Number of People Impacted" rather than "Hazard Distance".</t>
  </si>
  <si>
    <t>Release Calculations</t>
  </si>
  <si>
    <t>Corrected typographical error in subroutine call for rupture flash calculation</t>
  </si>
  <si>
    <t>Guidelines for IE and IPL in LOPA pg 182</t>
  </si>
  <si>
    <t>Guidelines for IE and IPL in LOPA pg 260</t>
  </si>
  <si>
    <t>Guidelines for IE and IPL in LOPA pg 240</t>
  </si>
  <si>
    <t xml:space="preserve">Exclude Mech/Asset Integrity Scenarios? </t>
  </si>
  <si>
    <t>Release Calculations
User Scenario</t>
  </si>
  <si>
    <t>Corrected typographical error in cell formula related to toxic infiltration for overflow event.  Corrected locked cell in User Scenario.  Corrected Averaging Time for Distance to LFL.  Corrected macro for User Scenario regarding hidden worksheets.  Corrected enclosed area concentration for rupture cases with high ventilation rate.  Corrected concentration to elevate work area.</t>
  </si>
  <si>
    <t>Concentration of Interest - Puff (volume fraction)</t>
  </si>
  <si>
    <r>
      <rPr>
        <b/>
        <i/>
        <sz val="14"/>
        <rFont val="Arial Narrow"/>
        <family val="2"/>
      </rPr>
      <t>Disclaimer:</t>
    </r>
    <r>
      <rPr>
        <b/>
        <i/>
        <sz val="12"/>
        <rFont val="Arial Narrow"/>
        <family val="2"/>
      </rPr>
      <t xml:space="preserve">
It is sincerely hoped that the information presented in this document and associated software will lead to an even better safety record for the entire industry; however, neither the American Institute of Chemical Engineers, its consultants, CCPS Technical Steering Committee and Subcommittee members, their employers, their employers officers and directors, nor The Dow Chemical Company, its employees, officers and directors, warrant or represent, expressly or by implication, the correctness or accuracy of the content of the information presented in this document and associated software. The default values used in both the RAST and CHEF tools, at the time the software was issued, have been based on engineering judgement, industry guidance, and industry practice.  As between (1) American Institute of Chemical Engineers, its consultants, CCPS Technical Steering Committee and Subcommittee members, their employers, their employer’s officers and directors, and The Dow Chemical Company, its employees, officers and directors, and (2) the user of this document, the user accepts any and all legal liability or responsibility whatsoever for the consequence of its use, misuse, changes with the document or tools.</t>
    </r>
  </si>
  <si>
    <t>Hydraulic Overpressure</t>
  </si>
  <si>
    <t>SD_Gen_80</t>
  </si>
  <si>
    <t>Positive Displacement Pump may exceed the Maximum Allowable Working Pressure or Relief Set Pressure</t>
  </si>
  <si>
    <t>Failure of Positive Displacement Pump Control</t>
  </si>
  <si>
    <t>IED_Gen_49</t>
  </si>
  <si>
    <t>Updated User Scenario for User Specified Hole Size to allow input of Pressure and Temperature to be used for this case.  Updated Gasket Failure to use Burst Pressure rather than Operating Pressure for estimating release rate.  Updated the scenario identification to use small hole size leak for loss effect for several previous gasket failure scenarios that utilize operating pressure and operating temperature to estimate leak rate.</t>
  </si>
  <si>
    <t>Release Calculations
Scenario Identification
User Scenario</t>
  </si>
  <si>
    <t>Release Calculations
Plant Layout</t>
  </si>
  <si>
    <t>Offsite Occupied Building Type =</t>
  </si>
  <si>
    <t xml:space="preserve">Fraction Offsite Area with Occupied Buildings = </t>
  </si>
  <si>
    <t>Offsite_Building_Type</t>
  </si>
  <si>
    <t>Fraction of Offsite Area with Occupied Building</t>
  </si>
  <si>
    <t>Estimated Offsite Explosion Impacts</t>
  </si>
  <si>
    <t>Estimated Offsite Physical Explosion Impacts</t>
  </si>
  <si>
    <t>Gasket at Op Press</t>
  </si>
  <si>
    <t>IED_Gen_37</t>
  </si>
  <si>
    <t xml:space="preserve">  Gasket Failure at Op Press</t>
  </si>
  <si>
    <t>Aerosol Droplet Diameter Limit</t>
  </si>
  <si>
    <r>
      <t xml:space="preserve">Combustible aerosol droplets greater than this are not likely to ignite and propagate a flame - </t>
    </r>
    <r>
      <rPr>
        <b/>
        <sz val="10"/>
        <rFont val="Arial Narrow"/>
        <family val="2"/>
      </rPr>
      <t>No Longer Used</t>
    </r>
  </si>
  <si>
    <t>Fraction Offsite Area with Occupied Buildings</t>
  </si>
  <si>
    <t>Number Offsite People Zone 1</t>
  </si>
  <si>
    <t>Number Offsite People Zone 2</t>
  </si>
  <si>
    <t xml:space="preserve">Estimated Offsite People Impact = </t>
  </si>
  <si>
    <t>Gasket Failure at Op Press</t>
  </si>
  <si>
    <t xml:space="preserve">User Defined Pressure = </t>
  </si>
  <si>
    <t xml:space="preserve">User Defined Temperature = </t>
  </si>
  <si>
    <t>USER DEFINED VAPOR RATE at Relief Temp</t>
  </si>
  <si>
    <t>USER DEFINED VAPOR VENT RATE at Relief Temp</t>
  </si>
  <si>
    <t>Two-Phase Flashing Density</t>
  </si>
  <si>
    <t>Two-Phase Flashing Velocity</t>
  </si>
  <si>
    <t>kg/liter</t>
  </si>
  <si>
    <t xml:space="preserve"> Discharge Velocity, m/sec</t>
  </si>
  <si>
    <t>Dense Gas Surface Roughness Parameters</t>
  </si>
  <si>
    <t>Time at Risk or Other Enabling Condition / Conditional Modifier</t>
  </si>
  <si>
    <t>Estimated Offsite Toxic Impacts</t>
  </si>
  <si>
    <t>Jet Mixing Distance (Outdoor Only)</t>
  </si>
  <si>
    <t>Jet Mixing Transition Distance (Outdoor Only)</t>
  </si>
  <si>
    <t>Added input fields for fraction of offsite region with occupied buildings and offsite building type to the Plant Layout worksheet.  Updated Release calculations to estimate the number of offsite personnel impacted from explosion impacts to occupied buildings.  Added gasket failure between MAWP and Burst Pressure to list of loss event type.  Added input for pressure and temperature for user define hole size under user scenario.  Repaired aerosol calculation for flashing liquid.  Updated reference distance for determining continuous versus instantaneous dispersion model.  Corrected jet mixing term for relief effluent.</t>
  </si>
  <si>
    <r>
      <rPr>
        <b/>
        <sz val="14"/>
        <rFont val="Arial Narrow"/>
        <family val="2"/>
      </rPr>
      <t>Welcome to RAST (Risk Analysis Screening Tool).</t>
    </r>
    <r>
      <rPr>
        <b/>
        <sz val="12"/>
        <rFont val="Arial Narrow"/>
        <family val="2"/>
      </rPr>
      <t xml:space="preserve">
The RAST software and its associated CHEF documentation were developed through the collaborative efforts of volunteers from member companies of the Center for Chemical Process Safety (CCPS) and the European Process Safety Centre (EPSC).  Special appreciation is extended to the Dow Chemical Company for donating RAST/CHEF for global use and for providing the resources to help modify the software and documentation such that companies can tailor the RAST software to meet their company-specific risk tolerance levels.  It is sincerely hoped that companies using RAST and CHEF during their hazard identification and risks analysis studies will be able to improve their process safety performance.   </t>
    </r>
  </si>
  <si>
    <t>Session Participants</t>
  </si>
  <si>
    <r>
      <t>Bulk Density &lt; 10 lf/ft</t>
    </r>
    <r>
      <rPr>
        <vertAlign val="superscript"/>
        <sz val="10"/>
        <rFont val="Arial Narrow"/>
        <family val="2"/>
      </rPr>
      <t>3</t>
    </r>
    <r>
      <rPr>
        <sz val="10"/>
        <rFont val="Arial Narrow"/>
        <family val="2"/>
      </rPr>
      <t>?</t>
    </r>
  </si>
  <si>
    <t>Access by Emergency Services</t>
  </si>
  <si>
    <t>Centralized Vintilation Shut-off?</t>
  </si>
  <si>
    <t>Distance to Occupied Bldg 2 Units</t>
  </si>
  <si>
    <t>Distance to Occupied Bldg Units</t>
  </si>
  <si>
    <t>Government Permits Require Effluent Treatment?</t>
  </si>
  <si>
    <t>Leadership Support for Atmospheric Venting?</t>
  </si>
  <si>
    <t>Ht of Vaporize at T</t>
  </si>
  <si>
    <r>
      <t>Ht of Vaporize at T+</t>
    </r>
    <r>
      <rPr>
        <b/>
        <sz val="10"/>
        <rFont val="Symbol"/>
        <family val="1"/>
        <charset val="2"/>
      </rPr>
      <t>D</t>
    </r>
    <r>
      <rPr>
        <b/>
        <sz val="10"/>
        <rFont val="Arial Narrow"/>
        <family val="2"/>
      </rPr>
      <t>T</t>
    </r>
  </si>
  <si>
    <t>Nat Conv Loss with Insulation</t>
  </si>
  <si>
    <t>Typical Outlet Size (in)</t>
  </si>
  <si>
    <t>Overall Heat Transfer Coefficients Vary Significantly - Above Reflects "Order of Magnitude" Values</t>
  </si>
  <si>
    <t>Solids Particle Size and US Sieve Series</t>
  </si>
  <si>
    <t>Dimensions, Volume, and Surface Area</t>
  </si>
  <si>
    <t>Revised Tolerable Frequency Factor</t>
  </si>
  <si>
    <t xml:space="preserve">Liquid Feed rate: </t>
  </si>
  <si>
    <r>
      <rPr>
        <b/>
        <i/>
        <sz val="10"/>
        <rFont val="Arial Narrow"/>
        <family val="2"/>
      </rPr>
      <t>a)</t>
    </r>
    <r>
      <rPr>
        <sz val="10"/>
        <rFont val="Arial Narrow"/>
        <family val="2"/>
      </rPr>
      <t xml:space="preserve"> </t>
    </r>
    <r>
      <rPr>
        <b/>
        <sz val="10"/>
        <rFont val="Arial Narrow"/>
        <family val="2"/>
      </rPr>
      <t>LIMIT</t>
    </r>
    <r>
      <rPr>
        <sz val="10"/>
        <rFont val="Arial Narrow"/>
        <family val="2"/>
      </rPr>
      <t xml:space="preserve"> the release rate of hazardous material such that the consequence has been essentially eliminated (this is typically based on distance to time-scaled LC-50 or a multiple of LFL concentration is less than a specified hazard de minimis distance).</t>
    </r>
  </si>
  <si>
    <t>Material of Construction with Operating Temperature or normal Boiling Point below Embrittlement Temperature</t>
  </si>
  <si>
    <t>Chemical handled is not a Liquid under specificized process conditions</t>
  </si>
  <si>
    <t>Chemical Handled is not a Solid under specificized process conditions</t>
  </si>
  <si>
    <t>Chemical is handled/stored at sufficiently high temperature such that vapor composition is above the flammable limits or fuel rich</t>
  </si>
  <si>
    <t>Failure of flow or intensity control resulting in lower electrostatic charge dissipation</t>
  </si>
  <si>
    <t>Loss of pH or other Composition Control allowing Scrubbing or Quench Media to be Exhausted</t>
  </si>
  <si>
    <t>Piping is outdoors, not insulated, with significant length such that potential for Thermal Expansion may lead to excessive pressure</t>
  </si>
  <si>
    <t>Operator inadvertently closes discharge valve or leaves discharge closed following infrequent maintenance</t>
  </si>
  <si>
    <t>Sprinkler, Deluge or Foam system that effectively extinguishes a fire that may overheat chemicals contained in process or storage equipment.</t>
  </si>
  <si>
    <t>Leak of combustible material (requires Hot Surface, Lightning Strike, etc. For ignition)</t>
  </si>
  <si>
    <t>Pump Deadhead Analysis not required for Pumps of 3 HP or less</t>
  </si>
  <si>
    <t>Rating for Full vacuum Not Entered for Low Design Pressure Equipment</t>
  </si>
  <si>
    <t>Failure of Heat Exchanger Tube from thermal stress, fatigue, etc.</t>
  </si>
  <si>
    <t>Overfill of Large Atmospheric Tank with Potential for Vessel Rupture</t>
  </si>
  <si>
    <t>Use of Extraordinary Corrosion Resistant Alloy to reduce failure frequency</t>
  </si>
  <si>
    <t>Use of Extraordinary Inspection as API 570 Class 1 for Piping or 100% Internal and External per 10 years or less for Vessels</t>
  </si>
  <si>
    <t>Tube or Mechanical Failure resulting in leak into Combustion Unit with Equipment Damage or Catastrophic Failure</t>
  </si>
  <si>
    <t>Backflow to Deaerator or Head Tank resulting in Overfill or Catastrophic Failure</t>
  </si>
  <si>
    <t>Inadvertent addition of tools or maintenance materials</t>
  </si>
  <si>
    <t>Comprehensive housekeeping program that ensures minimal dust accumulation and includes areas that may not normally be visible</t>
  </si>
  <si>
    <t>Breakage of rotating blade or internal parts due to alignment, wear, or fatigue</t>
  </si>
  <si>
    <t>Particle Size sufficiently large that suspension of dust to a flammable concentration is not feasible</t>
  </si>
  <si>
    <t>Failure of Hose from fatigue, etc.</t>
  </si>
  <si>
    <t>Failure of Loading Arm from fatigue, etc.</t>
  </si>
  <si>
    <t>Driver inadvertently moves truck or car</t>
  </si>
  <si>
    <t>Maximum Reaction Temperature exceeds Temperature Design Limit</t>
  </si>
  <si>
    <t>Spill of material while dumping bags or packs</t>
  </si>
  <si>
    <t>Go to from User Scenario Toggle</t>
  </si>
  <si>
    <t>Pyrophoric or High Ease of Ignition</t>
  </si>
  <si>
    <t>This worksheet contains all options and values used within the LOPA worksheet.  The worksheet utilizes "named ranges" so care must be taken when adding or deleting items from the tables below (it will be best to insert in the middle of a list so that the range name is preserved).  All description and factors in yellow may be updated to reflect a company's specific LOPA protocol.  The Tolerable Frequency descriptions and factors are updated on the Study Parameters worksheet while the Initiating Event initial descriptions are updated on the Scenario Identification Worksheet.  A notes field is available on the left to capture differences between company values and RAST defaults.  These notes may be imported to future versions of RAST to capture which administrative values should be changed upon updating the tool.</t>
  </si>
  <si>
    <t>60 C or 140 F. No flammability hazard if FP above this AND maximum process temperature is &lt; (FP - FP Difference Limit) AND no hot surfaces in immediate area &gt; (FP - FP Difference Limit). Basis: Definition of flammable per European Dangerous Substances Act and Class2  combustible liquid per NFPA.</t>
  </si>
  <si>
    <t>Used as screening limit for serious impact for exposure to O2 level below this value.  Level for increased pulse and breathing rate, impaired thinking and attention, reduced coordination. Ref. 23.</t>
  </si>
  <si>
    <t xml:space="preserve">Used to scale dose based on exposure time.  Used  If Probit equation factors not entered in Chemical Data tab. Equivalent to n=2 (Typical values are 0.6-3). </t>
  </si>
  <si>
    <t>Default fraction of offsite area containing occupied building</t>
  </si>
  <si>
    <t xml:space="preserve">Used if Probit equation factors not entered in Chemical Data tab. </t>
  </si>
  <si>
    <t>Continued Feed rate Vaporized during incident =</t>
  </si>
  <si>
    <t xml:space="preserve">Estimated Superficial Velocity = </t>
  </si>
  <si>
    <t xml:space="preserve">Feed rate, L or V= </t>
  </si>
  <si>
    <t>Remainder of Adjuration sec Scenario =</t>
  </si>
  <si>
    <t>Concentration at Zero Distance</t>
  </si>
  <si>
    <t>Distance at Maximum Ground Level Concentration</t>
  </si>
  <si>
    <t xml:space="preserve">Estimated Average Indoor Concentration Bldg 1 = </t>
  </si>
  <si>
    <t>Distance to Offsite Zone 1A - Class Daytime weather</t>
  </si>
  <si>
    <t>Distance to Offsite Zone 1A - Class Daytime weather Indoors</t>
  </si>
  <si>
    <t xml:space="preserve">Number Potential Offsite Impact - Class Daytime weather = </t>
  </si>
  <si>
    <t>HD 10 psi (1 psi if brittle) Physical Explosion</t>
  </si>
  <si>
    <t>Lethality Model b (Night weather) Time-Scaled</t>
  </si>
  <si>
    <t>HD 10 psi Physical Explosion</t>
  </si>
  <si>
    <t xml:space="preserve">Bldg Explosion Distance to 0.3 psi = </t>
  </si>
  <si>
    <t xml:space="preserve">Bldg Explosion Distance to 1 psi = </t>
  </si>
  <si>
    <t>All Worksheets</t>
  </si>
  <si>
    <t>Checked spelling and grammer except for variable names.  Corrected several misspelled words.</t>
  </si>
  <si>
    <t>Filling Displacement</t>
  </si>
  <si>
    <t>Relief</t>
  </si>
  <si>
    <t>LC-50 Concentration (On-site only), ppm by volume</t>
  </si>
  <si>
    <t>Structural Frame</t>
  </si>
  <si>
    <t>Offsite Building a Coefficient</t>
  </si>
  <si>
    <t>Version 4.2 - Corrected equation coefficient for hole calculation liquid and flashing liquid flow and added "structural frame" option to building construction type.  Corrected ERPG values for Ethylene Glycol.  Blocked exponent of negative number on Release Calculation worksheet for excessive pad gas.</t>
  </si>
  <si>
    <t>Macro Duplicate Scenario</t>
  </si>
  <si>
    <t>Release Calculations
Equipment Table
Hazards &amp; Consequences</t>
  </si>
  <si>
    <t>100 kg or 220 lbs. Ref. 24.  Total release quantity below which VCE is not considered</t>
  </si>
  <si>
    <t>10 kg or 22 lbs. Ref. 24  Total release quantity below which VCE is not considered</t>
  </si>
  <si>
    <t>Limited Airborne Rate</t>
  </si>
  <si>
    <t>Version 4.3 - Fixed macro so that duplicated scenarios from Scenario Results worksheet appear on Scenario List worksheet.</t>
  </si>
  <si>
    <t>Copyright © 2025</t>
  </si>
  <si>
    <t>kg/min</t>
  </si>
  <si>
    <t>Mechanical Seal
(above liquid level)</t>
  </si>
  <si>
    <t>Gasket Failure at Op Press
(above liquid level)</t>
  </si>
  <si>
    <t>Drain or Vent
(above liquid level)</t>
  </si>
  <si>
    <t>Very High Severity</t>
  </si>
  <si>
    <t>High Severity</t>
  </si>
  <si>
    <t>Extremely High Severity</t>
  </si>
  <si>
    <t>Catastrophic Severity</t>
  </si>
  <si>
    <t>Moderate Severity</t>
  </si>
  <si>
    <t>Version 4.4 - Blocked results from Jet Mixing and Flash Calculations from values less than zero or concentration greater than 1.  Corrected cell reference in Equipment Table and Hazards &amp; Consequences worksheets.  Updated parameters in Relief Effluent worksheet.  Corrected macro for updating scenario list.  Updated estimate for toxic infiltration for Buildings 1 and 2.</t>
  </si>
  <si>
    <t>Update default Risk Matrix and MI failure frequency</t>
  </si>
  <si>
    <t>Version 4.5 - Updates Risk Matrix Severity Categories to match CCPS LOPA book.  Updated MI failure frequency to correlate IOGP Processs Release Frequencies report 434-01.  Found Stale Value value issue.</t>
  </si>
  <si>
    <t>Macros</t>
  </si>
  <si>
    <t>Kevin Hersey</t>
  </si>
  <si>
    <t>Version 4.5 - Fixed bug in macro which was causing calculation to be on manual after going to or updating Scenario List macro.  Also update several place where macrorunning was being reset and causing calculations to be in automatic slowing execution of updating scenarios.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</si>
</sst>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0.0"/>
    <numFmt numFmtId="165" formatCode="#,##0.000"/>
    <numFmt numFmtId="166" formatCode="#,##0.0000"/>
    <numFmt numFmtId="167" formatCode="0.00000"/>
    <numFmt numFmtId="168" formatCode="0.0000"/>
    <numFmt numFmtId="169" formatCode="0.000"/>
    <numFmt numFmtId="170" formatCode="0.0"/>
    <numFmt numFmtId="171" formatCode="0.0E+00"/>
    <numFmt numFmtId="172" formatCode="0.0000000"/>
    <numFmt numFmtId="173" formatCode="0.000000"/>
    <numFmt numFmtId="174" formatCode="&quot;Tolerable Frequency Factor &quot;0"/>
    <numFmt numFmtId="175" formatCode="&quot;POI Probability Factor &quot;0"/>
    <numFmt numFmtId="176" formatCode="&quot;POE Probability Factor &quot;0"/>
    <numFmt numFmtId="177" formatCode="#,##0.00000"/>
    <numFmt numFmtId="178" formatCode="0.00000000"/>
    <numFmt numFmtId="179" formatCode="0.000E+00"/>
  </numFmts>
  <fonts count="298" x14ac:knownFonts="1">
    <font>
      <sz val="10"/>
      <name val="Arial"/>
    </font>
    <font>
      <sz val="10"/>
      <color theme="1"/>
      <name val="Arial"/>
      <family val="2"/>
    </font>
    <font>
      <sz val="10"/>
      <name val="Arial"/>
      <family val="2"/>
    </font>
    <font>
      <sz val="8"/>
      <name val="Arial"/>
      <family val="2"/>
    </font>
    <font>
      <sz val="10"/>
      <name val="Arial Narrow"/>
      <family val="2"/>
    </font>
    <font>
      <b/>
      <sz val="12"/>
      <name val="Arial Narrow"/>
      <family val="2"/>
    </font>
    <font>
      <b/>
      <i/>
      <sz val="10"/>
      <name val="Arial Narrow"/>
      <family val="2"/>
    </font>
    <font>
      <b/>
      <sz val="10"/>
      <name val="Arial Narrow"/>
      <family val="2"/>
    </font>
    <font>
      <sz val="10"/>
      <color indexed="10"/>
      <name val="Arial Narrow"/>
      <family val="2"/>
    </font>
    <font>
      <vertAlign val="superscript"/>
      <sz val="10"/>
      <name val="Arial Narrow"/>
      <family val="2"/>
    </font>
    <font>
      <u/>
      <sz val="10"/>
      <color indexed="12"/>
      <name val="Arial"/>
      <family val="2"/>
    </font>
    <font>
      <i/>
      <sz val="10"/>
      <name val="Arial Narrow"/>
      <family val="2"/>
    </font>
    <font>
      <sz val="8"/>
      <name val="Arial Narrow"/>
      <family val="2"/>
    </font>
    <font>
      <sz val="9"/>
      <name val="Arial Narrow"/>
      <family val="2"/>
    </font>
    <font>
      <sz val="10"/>
      <color indexed="12"/>
      <name val="Arial Narrow"/>
      <family val="2"/>
    </font>
    <font>
      <b/>
      <sz val="10"/>
      <color indexed="81"/>
      <name val="Symbol"/>
      <family val="1"/>
      <charset val="2"/>
    </font>
    <font>
      <sz val="10"/>
      <color indexed="81"/>
      <name val="Arabic Transparent"/>
      <charset val="178"/>
    </font>
    <font>
      <sz val="10"/>
      <color indexed="81"/>
      <name val="Tahoma"/>
      <family val="2"/>
    </font>
    <font>
      <sz val="7"/>
      <color indexed="81"/>
      <name val="Tahoma"/>
      <family val="2"/>
    </font>
    <font>
      <b/>
      <sz val="10"/>
      <color indexed="12"/>
      <name val="Arial Narrow"/>
      <family val="2"/>
    </font>
    <font>
      <b/>
      <sz val="10"/>
      <name val="Arial"/>
      <family val="2"/>
    </font>
    <font>
      <b/>
      <sz val="8"/>
      <color indexed="81"/>
      <name val="Tahoma"/>
      <family val="2"/>
    </font>
    <font>
      <b/>
      <vertAlign val="superscript"/>
      <sz val="8"/>
      <color indexed="81"/>
      <name val="Tahoma"/>
      <family val="2"/>
    </font>
    <font>
      <b/>
      <sz val="8"/>
      <color indexed="81"/>
      <name val="Symbol"/>
      <family val="1"/>
      <charset val="2"/>
    </font>
    <font>
      <b/>
      <sz val="10"/>
      <color indexed="81"/>
      <name val="Tahoma"/>
      <family val="2"/>
    </font>
    <font>
      <b/>
      <i/>
      <sz val="8"/>
      <name val="Arial Narrow"/>
      <family val="2"/>
    </font>
    <font>
      <b/>
      <sz val="8"/>
      <color indexed="81"/>
      <name val="Arial Narrow"/>
      <family val="2"/>
    </font>
    <font>
      <b/>
      <sz val="10"/>
      <color indexed="81"/>
      <name val="Arial Narrow"/>
      <family val="2"/>
    </font>
    <font>
      <b/>
      <vertAlign val="superscript"/>
      <sz val="10"/>
      <color indexed="81"/>
      <name val="Arial Narrow"/>
      <family val="2"/>
    </font>
    <font>
      <sz val="10"/>
      <color indexed="81"/>
      <name val="Arial Narrow"/>
      <family val="2"/>
    </font>
    <font>
      <sz val="10"/>
      <name val="Arial"/>
      <family val="2"/>
    </font>
    <font>
      <b/>
      <sz val="8"/>
      <color indexed="12"/>
      <name val="Arial Narrow"/>
      <family val="2"/>
    </font>
    <font>
      <b/>
      <sz val="10"/>
      <color indexed="10"/>
      <name val="Arial Narrow"/>
      <family val="2"/>
    </font>
    <font>
      <b/>
      <vertAlign val="subscript"/>
      <sz val="10"/>
      <color indexed="81"/>
      <name val="Arial Narrow"/>
      <family val="2"/>
    </font>
    <font>
      <b/>
      <i/>
      <sz val="10"/>
      <color indexed="81"/>
      <name val="Arial Narrow"/>
      <family val="2"/>
    </font>
    <font>
      <b/>
      <sz val="10"/>
      <color indexed="9"/>
      <name val="Arial Narrow"/>
      <family val="2"/>
    </font>
    <font>
      <b/>
      <sz val="8"/>
      <name val="Arial Narrow"/>
      <family val="2"/>
    </font>
    <font>
      <i/>
      <sz val="8"/>
      <name val="Arial Narrow"/>
      <family val="2"/>
    </font>
    <font>
      <b/>
      <i/>
      <sz val="8"/>
      <color indexed="81"/>
      <name val="Arial Narrow"/>
      <family val="2"/>
    </font>
    <font>
      <b/>
      <sz val="9"/>
      <color indexed="81"/>
      <name val="Tahoma"/>
      <family val="2"/>
    </font>
    <font>
      <sz val="9"/>
      <color indexed="81"/>
      <name val="Tahoma"/>
      <family val="2"/>
    </font>
    <font>
      <sz val="10"/>
      <color indexed="8"/>
      <name val="Arial Narrow"/>
      <family val="2"/>
    </font>
    <font>
      <b/>
      <sz val="14"/>
      <name val="Arial Narrow"/>
      <family val="2"/>
    </font>
    <font>
      <b/>
      <u/>
      <sz val="10"/>
      <color indexed="81"/>
      <name val="Arial Narrow"/>
      <family val="2"/>
    </font>
    <font>
      <b/>
      <u/>
      <vertAlign val="superscript"/>
      <sz val="10"/>
      <color indexed="81"/>
      <name val="Arial Narrow"/>
      <family val="2"/>
    </font>
    <font>
      <sz val="14"/>
      <name val="Arial Narrow"/>
      <family val="2"/>
    </font>
    <font>
      <u/>
      <sz val="10"/>
      <name val="Arial Narrow"/>
      <family val="2"/>
    </font>
    <font>
      <sz val="8"/>
      <color indexed="12"/>
      <name val="Arial Narrow"/>
      <family val="2"/>
    </font>
    <font>
      <b/>
      <sz val="16"/>
      <name val="Arial Narrow"/>
      <family val="2"/>
    </font>
    <font>
      <b/>
      <sz val="10"/>
      <color indexed="8"/>
      <name val="Arial Narrow"/>
      <family val="2"/>
    </font>
    <font>
      <b/>
      <sz val="8"/>
      <color indexed="8"/>
      <name val="Arial Narrow"/>
      <family val="2"/>
    </font>
    <font>
      <sz val="8"/>
      <color indexed="81"/>
      <name val="Tahoma"/>
      <family val="2"/>
    </font>
    <font>
      <b/>
      <sz val="10"/>
      <color indexed="60"/>
      <name val="Arial Narrow"/>
      <family val="2"/>
    </font>
    <font>
      <b/>
      <u/>
      <sz val="8"/>
      <color indexed="81"/>
      <name val="Tahoma"/>
      <family val="2"/>
    </font>
    <font>
      <u/>
      <sz val="10"/>
      <color indexed="12"/>
      <name val="Arial Narrow"/>
      <family val="2"/>
    </font>
    <font>
      <b/>
      <sz val="8"/>
      <color indexed="56"/>
      <name val="Arial Narrow"/>
      <family val="2"/>
    </font>
    <font>
      <b/>
      <sz val="12"/>
      <color indexed="56"/>
      <name val="Arial Narrow"/>
      <family val="2"/>
    </font>
    <font>
      <b/>
      <sz val="8"/>
      <color indexed="10"/>
      <name val="Arial Narrow"/>
      <family val="2"/>
    </font>
    <font>
      <b/>
      <sz val="12"/>
      <color indexed="12"/>
      <name val="Arial Narrow"/>
      <family val="2"/>
    </font>
    <font>
      <sz val="8"/>
      <color indexed="56"/>
      <name val="Arial Narrow"/>
      <family val="2"/>
    </font>
    <font>
      <sz val="8"/>
      <color indexed="55"/>
      <name val="Arial Narrow"/>
      <family val="2"/>
    </font>
    <font>
      <sz val="8"/>
      <color indexed="8"/>
      <name val="Arial Narrow"/>
      <family val="2"/>
    </font>
    <font>
      <sz val="10"/>
      <name val="Symbol"/>
      <family val="1"/>
      <charset val="2"/>
    </font>
    <font>
      <sz val="9"/>
      <name val="Symbol"/>
      <family val="1"/>
      <charset val="2"/>
    </font>
    <font>
      <b/>
      <i/>
      <sz val="10"/>
      <color indexed="8"/>
      <name val="Arial Narrow"/>
      <family val="2"/>
    </font>
    <font>
      <i/>
      <sz val="10"/>
      <name val="Arial"/>
      <family val="2"/>
    </font>
    <font>
      <i/>
      <sz val="10"/>
      <name val="Arial"/>
      <family val="2"/>
    </font>
    <font>
      <b/>
      <sz val="12"/>
      <name val="Arial"/>
      <family val="2"/>
    </font>
    <font>
      <b/>
      <i/>
      <sz val="14"/>
      <name val="Arial Narrow"/>
      <family val="2"/>
    </font>
    <font>
      <b/>
      <sz val="24"/>
      <name val="Showcard Gothic"/>
      <family val="5"/>
    </font>
    <font>
      <b/>
      <i/>
      <sz val="10"/>
      <name val="Arial"/>
      <family val="2"/>
    </font>
    <font>
      <sz val="12"/>
      <name val="Arial"/>
      <family val="2"/>
    </font>
    <font>
      <b/>
      <i/>
      <u/>
      <sz val="10"/>
      <name val="Arial"/>
      <family val="2"/>
    </font>
    <font>
      <i/>
      <u/>
      <sz val="10"/>
      <name val="Arial Narrow"/>
      <family val="2"/>
    </font>
    <font>
      <b/>
      <u/>
      <sz val="10"/>
      <name val="Arial Narrow"/>
      <family val="2"/>
    </font>
    <font>
      <i/>
      <sz val="9"/>
      <name val="Arial Narrow"/>
      <family val="2"/>
    </font>
    <font>
      <sz val="9"/>
      <color indexed="12"/>
      <name val="Arial Narrow"/>
      <family val="2"/>
    </font>
    <font>
      <sz val="11"/>
      <name val="Arial"/>
      <family val="2"/>
    </font>
    <font>
      <b/>
      <sz val="9"/>
      <name val="Arial"/>
      <family val="2"/>
    </font>
    <font>
      <b/>
      <sz val="9"/>
      <name val="Arial Narrow"/>
      <family val="2"/>
    </font>
    <font>
      <b/>
      <sz val="10"/>
      <color indexed="48"/>
      <name val="Arial Narrow"/>
      <family val="2"/>
    </font>
    <font>
      <i/>
      <sz val="10"/>
      <color rgb="FFC00000"/>
      <name val="Arial Narrow"/>
      <family val="2"/>
    </font>
    <font>
      <vertAlign val="subscript"/>
      <sz val="10"/>
      <name val="Arial Narrow"/>
      <family val="2"/>
    </font>
    <font>
      <b/>
      <vertAlign val="superscript"/>
      <sz val="10"/>
      <name val="Arial Narrow"/>
      <family val="2"/>
    </font>
    <font>
      <b/>
      <sz val="10"/>
      <color rgb="FF0000FF"/>
      <name val="Arial Narrow"/>
      <family val="2"/>
    </font>
    <font>
      <b/>
      <i/>
      <sz val="12"/>
      <name val="Arial Narrow"/>
      <family val="2"/>
    </font>
    <font>
      <b/>
      <sz val="9"/>
      <color indexed="81"/>
      <name val="Arial Narrow"/>
      <family val="2"/>
    </font>
    <font>
      <b/>
      <vertAlign val="subscript"/>
      <sz val="10"/>
      <name val="Arial Narrow"/>
      <family val="2"/>
    </font>
    <font>
      <i/>
      <u/>
      <sz val="8"/>
      <name val="Arial Narrow"/>
      <family val="2"/>
    </font>
    <font>
      <i/>
      <u/>
      <sz val="8"/>
      <name val="Arial"/>
      <family val="2"/>
    </font>
    <font>
      <b/>
      <i/>
      <sz val="10"/>
      <color rgb="FF0000FF"/>
      <name val="Arial Narrow"/>
      <family val="2"/>
    </font>
    <font>
      <b/>
      <sz val="10"/>
      <name val="Symbol"/>
      <family val="1"/>
      <charset val="2"/>
    </font>
    <font>
      <sz val="9"/>
      <color indexed="81"/>
      <name val="Arial Narrow"/>
      <family val="2"/>
    </font>
    <font>
      <i/>
      <sz val="9"/>
      <color indexed="81"/>
      <name val="Arial Narrow"/>
      <family val="2"/>
    </font>
    <font>
      <b/>
      <i/>
      <u/>
      <sz val="10"/>
      <name val="Arial Narrow"/>
      <family val="2"/>
    </font>
    <font>
      <b/>
      <i/>
      <vertAlign val="subscript"/>
      <sz val="8"/>
      <name val="Arial Narrow"/>
      <family val="2"/>
    </font>
    <font>
      <b/>
      <i/>
      <vertAlign val="superscript"/>
      <sz val="8"/>
      <name val="Arial Narrow"/>
      <family val="2"/>
    </font>
    <font>
      <i/>
      <vertAlign val="subscript"/>
      <sz val="10"/>
      <name val="Arial Narrow"/>
      <family val="2"/>
    </font>
    <font>
      <u/>
      <sz val="10"/>
      <name val="Arial"/>
      <family val="2"/>
    </font>
    <font>
      <sz val="9"/>
      <name val="Arial"/>
      <family val="2"/>
    </font>
    <font>
      <vertAlign val="subscript"/>
      <sz val="9"/>
      <name val="Arial Narrow"/>
      <family val="2"/>
    </font>
    <font>
      <b/>
      <sz val="10"/>
      <color theme="1"/>
      <name val="Arial Narrow"/>
      <family val="2"/>
    </font>
    <font>
      <sz val="10"/>
      <color theme="1"/>
      <name val="Arial Narrow"/>
      <family val="2"/>
    </font>
    <font>
      <b/>
      <sz val="10"/>
      <color rgb="FFC00000"/>
      <name val="Arial Narrow"/>
      <family val="2"/>
    </font>
    <font>
      <b/>
      <i/>
      <sz val="9"/>
      <name val="Arial Narrow"/>
      <family val="2"/>
    </font>
    <font>
      <b/>
      <sz val="10"/>
      <color rgb="FF0033CC"/>
      <name val="Arial Narrow"/>
      <family val="2"/>
    </font>
    <font>
      <b/>
      <sz val="10"/>
      <color rgb="FF0033CC"/>
      <name val="Arial"/>
      <family val="2"/>
    </font>
    <font>
      <b/>
      <sz val="10"/>
      <color rgb="FFFF0000"/>
      <name val="Arial Narrow"/>
      <family val="2"/>
    </font>
    <font>
      <sz val="10"/>
      <color rgb="FF0000FF"/>
      <name val="Arial Narrow"/>
      <family val="2"/>
    </font>
    <font>
      <sz val="10"/>
      <color rgb="FF0000FF"/>
      <name val="Arial"/>
      <family val="2"/>
    </font>
    <font>
      <b/>
      <i/>
      <u/>
      <sz val="14"/>
      <name val="Arial Narrow"/>
      <family val="2"/>
    </font>
    <font>
      <i/>
      <sz val="10"/>
      <color indexed="8"/>
      <name val="Arial Narrow"/>
      <family val="2"/>
    </font>
    <font>
      <b/>
      <i/>
      <u/>
      <sz val="12"/>
      <name val="Arial Narrow"/>
      <family val="2"/>
    </font>
    <font>
      <sz val="10"/>
      <color theme="0"/>
      <name val="Arial Narrow"/>
      <family val="2"/>
    </font>
    <font>
      <sz val="10"/>
      <color rgb="FF0033CC"/>
      <name val="Arial Narrow"/>
      <family val="2"/>
    </font>
    <font>
      <i/>
      <sz val="9"/>
      <color rgb="FF0033CC"/>
      <name val="Arial Narrow"/>
      <family val="2"/>
    </font>
    <font>
      <i/>
      <sz val="9"/>
      <name val="Arial"/>
      <family val="2"/>
    </font>
    <font>
      <i/>
      <sz val="10"/>
      <color rgb="FFC00000"/>
      <name val="Arial"/>
      <family val="2"/>
    </font>
    <font>
      <i/>
      <sz val="10"/>
      <color rgb="FF0033CC"/>
      <name val="Arial Narrow"/>
      <family val="2"/>
    </font>
    <font>
      <b/>
      <u/>
      <sz val="12"/>
      <name val="Arial Narrow"/>
      <family val="2"/>
    </font>
    <font>
      <b/>
      <sz val="8"/>
      <name val="Arial"/>
      <family val="2"/>
    </font>
    <font>
      <b/>
      <i/>
      <sz val="8"/>
      <color rgb="FFFF0000"/>
      <name val="Arial Narrow"/>
      <family val="2"/>
    </font>
    <font>
      <sz val="10"/>
      <color rgb="FFFF0000"/>
      <name val="Arial Narrow"/>
      <family val="2"/>
    </font>
    <font>
      <i/>
      <sz val="8"/>
      <color rgb="FF0070C0"/>
      <name val="Arial Narrow"/>
      <family val="2"/>
    </font>
    <font>
      <i/>
      <sz val="10"/>
      <color rgb="FF0000FF"/>
      <name val="Arial Narrow"/>
      <family val="2"/>
    </font>
    <font>
      <sz val="9"/>
      <color theme="1"/>
      <name val="Arial Narrow"/>
      <family val="2"/>
    </font>
    <font>
      <sz val="7.65"/>
      <name val="Arial Narrow"/>
      <family val="2"/>
    </font>
    <font>
      <vertAlign val="subscript"/>
      <sz val="7.65"/>
      <name val="Arial Narrow"/>
      <family val="2"/>
    </font>
    <font>
      <i/>
      <sz val="9"/>
      <color rgb="FFC00000"/>
      <name val="Arial Narrow"/>
      <family val="2"/>
    </font>
    <font>
      <b/>
      <sz val="8"/>
      <color rgb="FF0000FF"/>
      <name val="Arial Narrow"/>
      <family val="2"/>
    </font>
    <font>
      <b/>
      <i/>
      <sz val="9"/>
      <color rgb="FFFF0000"/>
      <name val="Arial Narrow"/>
      <family val="2"/>
    </font>
    <font>
      <b/>
      <i/>
      <sz val="9"/>
      <color rgb="FF0000FF"/>
      <name val="Arial Narrow"/>
      <family val="2"/>
    </font>
    <font>
      <sz val="8"/>
      <color rgb="FFFF0000"/>
      <name val="Arial Narrow"/>
      <family val="2"/>
    </font>
    <font>
      <sz val="8"/>
      <color theme="1"/>
      <name val="Arial Narrow"/>
      <family val="2"/>
    </font>
    <font>
      <b/>
      <sz val="10"/>
      <color theme="0"/>
      <name val="Arial Narrow"/>
      <family val="2"/>
    </font>
    <font>
      <b/>
      <sz val="10"/>
      <color rgb="FF0000FF"/>
      <name val="Arial"/>
      <family val="2"/>
    </font>
    <font>
      <sz val="10"/>
      <color rgb="FFC00000"/>
      <name val="Arial Narrow"/>
      <family val="2"/>
    </font>
    <font>
      <i/>
      <sz val="10"/>
      <color rgb="FF0000FF"/>
      <name val="Arial"/>
      <family val="2"/>
    </font>
    <font>
      <sz val="8"/>
      <color rgb="FF0000FF"/>
      <name val="Arial Narrow"/>
      <family val="2"/>
    </font>
    <font>
      <sz val="11"/>
      <name val="Arial Narrow"/>
      <family val="2"/>
    </font>
    <font>
      <sz val="8"/>
      <color theme="0"/>
      <name val="Arial Narrow"/>
      <family val="2"/>
    </font>
    <font>
      <i/>
      <sz val="10"/>
      <color theme="0" tint="-0.34998626667073579"/>
      <name val="Arial Narrow"/>
      <family val="2"/>
    </font>
    <font>
      <i/>
      <u/>
      <sz val="14"/>
      <name val="Arial Narrow"/>
      <family val="2"/>
    </font>
    <font>
      <i/>
      <sz val="11"/>
      <name val="Arial Narrow"/>
      <family val="2"/>
    </font>
    <font>
      <sz val="10"/>
      <name val="Wingdings"/>
      <charset val="2"/>
    </font>
    <font>
      <sz val="10"/>
      <color rgb="FF00B050"/>
      <name val="Arial Narrow"/>
      <family val="2"/>
    </font>
    <font>
      <b/>
      <sz val="10"/>
      <color rgb="FF00B050"/>
      <name val="Arial Narrow"/>
      <family val="2"/>
    </font>
    <font>
      <b/>
      <sz val="10"/>
      <color rgb="FFFF0000"/>
      <name val="Arial"/>
      <family val="2"/>
    </font>
    <font>
      <sz val="10"/>
      <color rgb="FFFF0000"/>
      <name val="Arial"/>
      <family val="2"/>
    </font>
    <font>
      <b/>
      <i/>
      <sz val="11"/>
      <color theme="1"/>
      <name val="Arial Narrow"/>
      <family val="2"/>
    </font>
    <font>
      <i/>
      <sz val="10"/>
      <color theme="1"/>
      <name val="Arial Narrow"/>
      <family val="2"/>
    </font>
    <font>
      <b/>
      <i/>
      <sz val="10"/>
      <color theme="1"/>
      <name val="Arial Narrow"/>
      <family val="2"/>
    </font>
    <font>
      <sz val="10"/>
      <color theme="1"/>
      <name val="Calibri"/>
      <family val="2"/>
      <scheme val="minor"/>
    </font>
    <font>
      <i/>
      <sz val="8"/>
      <color theme="1"/>
      <name val="Arial Narrow"/>
      <family val="2"/>
    </font>
    <font>
      <b/>
      <i/>
      <u/>
      <sz val="10"/>
      <color theme="1"/>
      <name val="Arial Narrow"/>
      <family val="2"/>
    </font>
    <font>
      <b/>
      <i/>
      <sz val="10"/>
      <color rgb="FF008000"/>
      <name val="Arial Narrow"/>
      <family val="2"/>
    </font>
    <font>
      <b/>
      <i/>
      <sz val="10"/>
      <color rgb="FFC00000"/>
      <name val="Arial Narrow"/>
      <family val="2"/>
    </font>
    <font>
      <vertAlign val="subscript"/>
      <sz val="10"/>
      <color theme="1"/>
      <name val="Arial Narrow"/>
      <family val="2"/>
    </font>
    <font>
      <sz val="10"/>
      <color theme="1"/>
      <name val="Symbol"/>
      <family val="1"/>
      <charset val="2"/>
    </font>
    <font>
      <b/>
      <i/>
      <vertAlign val="subscript"/>
      <sz val="11"/>
      <color theme="1"/>
      <name val="Arial Narrow"/>
      <family val="2"/>
    </font>
    <font>
      <b/>
      <i/>
      <vertAlign val="superscript"/>
      <sz val="10"/>
      <color theme="1"/>
      <name val="Arial Narrow"/>
      <family val="2"/>
    </font>
    <font>
      <u/>
      <sz val="8"/>
      <name val="Arial Narrow"/>
      <family val="2"/>
    </font>
    <font>
      <vertAlign val="superscript"/>
      <sz val="10"/>
      <color theme="1"/>
      <name val="Arial Narrow"/>
      <family val="2"/>
    </font>
    <font>
      <b/>
      <i/>
      <u/>
      <sz val="16"/>
      <name val="Arial Narrow"/>
      <family val="2"/>
    </font>
    <font>
      <i/>
      <sz val="8"/>
      <color indexed="22"/>
      <name val="Arial Narrow"/>
      <family val="2"/>
    </font>
    <font>
      <b/>
      <vertAlign val="superscript"/>
      <sz val="10"/>
      <color indexed="8"/>
      <name val="Arial Narrow"/>
      <family val="2"/>
    </font>
    <font>
      <sz val="10"/>
      <color theme="0"/>
      <name val="Arial"/>
      <family val="2"/>
    </font>
    <font>
      <b/>
      <i/>
      <sz val="10"/>
      <color theme="0" tint="-0.499984740745262"/>
      <name val="Arial Narrow"/>
      <family val="2"/>
    </font>
    <font>
      <i/>
      <sz val="10"/>
      <color theme="0" tint="-0.499984740745262"/>
      <name val="Arial"/>
      <family val="2"/>
    </font>
    <font>
      <b/>
      <sz val="9"/>
      <color theme="1"/>
      <name val="Arial Narrow"/>
      <family val="2"/>
    </font>
    <font>
      <b/>
      <sz val="14"/>
      <color rgb="FF0033CC"/>
      <name val="Arial Narrow"/>
      <family val="2"/>
    </font>
    <font>
      <b/>
      <i/>
      <sz val="16"/>
      <color theme="1"/>
      <name val="Arial Narrow"/>
      <family val="2"/>
    </font>
    <font>
      <b/>
      <sz val="16"/>
      <color theme="1"/>
      <name val="Arial Narrow"/>
      <family val="2"/>
    </font>
    <font>
      <b/>
      <i/>
      <sz val="16"/>
      <color rgb="FFC00000"/>
      <name val="Arial Narrow"/>
      <family val="2"/>
    </font>
    <font>
      <vertAlign val="superscript"/>
      <sz val="10"/>
      <color indexed="81"/>
      <name val="Arial Narrow"/>
      <family val="2"/>
    </font>
    <font>
      <i/>
      <sz val="10"/>
      <color theme="1"/>
      <name val="Arial"/>
      <family val="2"/>
    </font>
    <font>
      <b/>
      <sz val="10"/>
      <color rgb="FF339966"/>
      <name val="Arial"/>
      <family val="2"/>
    </font>
    <font>
      <sz val="8"/>
      <color rgb="FF000000"/>
      <name val="Arial"/>
      <family val="2"/>
    </font>
    <font>
      <sz val="8"/>
      <color rgb="FF808000"/>
      <name val="Arial"/>
      <family val="2"/>
    </font>
    <font>
      <b/>
      <sz val="10"/>
      <color rgb="FF808000"/>
      <name val="Arial"/>
      <family val="2"/>
    </font>
    <font>
      <sz val="8"/>
      <color rgb="FFFF0000"/>
      <name val="Arial"/>
      <family val="2"/>
    </font>
    <font>
      <i/>
      <sz val="8"/>
      <color rgb="FF808000"/>
      <name val="Arial"/>
      <family val="2"/>
    </font>
    <font>
      <b/>
      <sz val="8"/>
      <color rgb="FFFF0000"/>
      <name val="Arial Narrow"/>
      <family val="2"/>
    </font>
    <font>
      <b/>
      <sz val="9"/>
      <color rgb="FF0000FF"/>
      <name val="Arial"/>
      <family val="2"/>
    </font>
    <font>
      <sz val="8"/>
      <color rgb="FF0000FF"/>
      <name val="Arial"/>
      <family val="2"/>
    </font>
    <font>
      <b/>
      <sz val="8"/>
      <color rgb="FF808000"/>
      <name val="Arial Narrow"/>
      <family val="2"/>
    </font>
    <font>
      <b/>
      <sz val="10"/>
      <color rgb="FF008000"/>
      <name val="Arial"/>
      <family val="2"/>
    </font>
    <font>
      <b/>
      <sz val="11"/>
      <color rgb="FF008000"/>
      <name val="Arial"/>
      <family val="2"/>
    </font>
    <font>
      <b/>
      <sz val="10"/>
      <color rgb="FF808000"/>
      <name val="Arial Narrow"/>
      <family val="2"/>
    </font>
    <font>
      <b/>
      <sz val="10"/>
      <color rgb="FF000000"/>
      <name val="Arial"/>
      <family val="2"/>
    </font>
    <font>
      <sz val="12"/>
      <color rgb="FF0000FF"/>
      <name val="Arial"/>
      <family val="2"/>
    </font>
    <font>
      <b/>
      <sz val="12"/>
      <color rgb="FFFF0000"/>
      <name val="Arial"/>
      <family val="2"/>
    </font>
    <font>
      <b/>
      <sz val="12"/>
      <color rgb="FF339966"/>
      <name val="Arial"/>
      <family val="2"/>
    </font>
    <font>
      <sz val="12"/>
      <color rgb="FFFF0000"/>
      <name val="Arial"/>
      <family val="2"/>
    </font>
    <font>
      <b/>
      <sz val="10"/>
      <color rgb="FF0070C0"/>
      <name val="Arial Narrow"/>
      <family val="2"/>
    </font>
    <font>
      <b/>
      <sz val="10"/>
      <color rgb="FFC00000"/>
      <name val="Arial"/>
      <family val="2"/>
    </font>
    <font>
      <b/>
      <i/>
      <sz val="10"/>
      <color rgb="FFC00000"/>
      <name val="Arial"/>
      <family val="2"/>
    </font>
    <font>
      <i/>
      <sz val="8"/>
      <color rgb="FFC00000"/>
      <name val="Arial Narrow"/>
      <family val="2"/>
    </font>
    <font>
      <vertAlign val="subscript"/>
      <sz val="10"/>
      <name val="Arial"/>
      <family val="2"/>
    </font>
    <font>
      <sz val="12"/>
      <name val="Arial Narrow"/>
      <family val="2"/>
    </font>
    <font>
      <i/>
      <sz val="9"/>
      <color rgb="FF0000FF"/>
      <name val="Arial Narrow"/>
      <family val="2"/>
    </font>
    <font>
      <i/>
      <sz val="10"/>
      <color rgb="FFFF0000"/>
      <name val="Arial Narrow"/>
      <family val="2"/>
    </font>
    <font>
      <b/>
      <sz val="10"/>
      <color rgb="FFFFCC99"/>
      <name val="Arial Narrow"/>
      <family val="2"/>
    </font>
    <font>
      <b/>
      <sz val="8"/>
      <color rgb="FFFFFF99"/>
      <name val="Arial Narrow"/>
      <family val="2"/>
    </font>
    <font>
      <i/>
      <sz val="10"/>
      <color rgb="FF339966"/>
      <name val="Arial"/>
      <family val="2"/>
    </font>
    <font>
      <b/>
      <sz val="10"/>
      <color indexed="56"/>
      <name val="Arial Narrow"/>
      <family val="2"/>
    </font>
    <font>
      <sz val="10"/>
      <color rgb="FF000000"/>
      <name val="Arial"/>
      <family val="2"/>
    </font>
    <font>
      <u/>
      <sz val="10"/>
      <color theme="1"/>
      <name val="Arial Narrow"/>
      <family val="2"/>
    </font>
    <font>
      <i/>
      <sz val="10"/>
      <color rgb="FF00B050"/>
      <name val="Arial Narrow"/>
      <family val="2"/>
    </font>
    <font>
      <i/>
      <vertAlign val="superscript"/>
      <sz val="10"/>
      <color rgb="FF00B050"/>
      <name val="Arial Narrow"/>
      <family val="2"/>
    </font>
    <font>
      <i/>
      <sz val="10"/>
      <color rgb="FF00B050"/>
      <name val="Arial"/>
      <family val="2"/>
    </font>
    <font>
      <sz val="10"/>
      <color theme="0" tint="-0.34998626667073579"/>
      <name val="Arial Narrow"/>
      <family val="2"/>
    </font>
    <font>
      <i/>
      <sz val="10"/>
      <color rgb="FF33CC33"/>
      <name val="Arial Narrow"/>
      <family val="2"/>
    </font>
    <font>
      <i/>
      <sz val="10"/>
      <color rgb="FF33CC33"/>
      <name val="Arial"/>
      <family val="2"/>
    </font>
    <font>
      <b/>
      <i/>
      <sz val="10"/>
      <color rgb="FF0070C0"/>
      <name val="Arial Narrow"/>
      <family val="2"/>
    </font>
    <font>
      <b/>
      <vertAlign val="subscript"/>
      <sz val="10"/>
      <color rgb="FF0000FF"/>
      <name val="Arial Narrow"/>
      <family val="2"/>
    </font>
    <font>
      <b/>
      <sz val="9"/>
      <color rgb="FF0000FF"/>
      <name val="Arial Narrow"/>
      <family val="2"/>
    </font>
    <font>
      <vertAlign val="superscript"/>
      <sz val="10"/>
      <name val="Arial"/>
      <family val="2"/>
    </font>
    <font>
      <b/>
      <sz val="10"/>
      <color rgb="FF33CC33"/>
      <name val="Arial Narrow"/>
      <family val="2"/>
    </font>
    <font>
      <b/>
      <i/>
      <sz val="10"/>
      <color rgb="FF33CC33"/>
      <name val="Arial Narrow"/>
      <family val="2"/>
    </font>
    <font>
      <b/>
      <vertAlign val="superscript"/>
      <sz val="9"/>
      <color indexed="81"/>
      <name val="Tahoma"/>
      <family val="2"/>
    </font>
    <font>
      <b/>
      <i/>
      <sz val="8"/>
      <color rgb="FF0000FF"/>
      <name val="Arial Narrow"/>
      <family val="2"/>
    </font>
    <font>
      <i/>
      <sz val="10"/>
      <color rgb="FF5F5F5F"/>
      <name val="Arial Narrow"/>
      <family val="2"/>
    </font>
    <font>
      <sz val="10"/>
      <color rgb="FF5F5F5F"/>
      <name val="Arial"/>
      <family val="2"/>
    </font>
    <font>
      <i/>
      <sz val="10"/>
      <color theme="0" tint="-0.34998626667073579"/>
      <name val="Arial"/>
      <family val="2"/>
    </font>
    <font>
      <i/>
      <sz val="10"/>
      <color theme="0" tint="-0.499984740745262"/>
      <name val="Arial Narrow"/>
      <family val="2"/>
    </font>
    <font>
      <i/>
      <sz val="12"/>
      <name val="Arial"/>
      <family val="2"/>
    </font>
    <font>
      <sz val="11"/>
      <color indexed="81"/>
      <name val="Arial Narrow"/>
      <family val="2"/>
    </font>
    <font>
      <u/>
      <sz val="10"/>
      <color theme="0"/>
      <name val="Arial Narrow"/>
      <family val="2"/>
    </font>
    <font>
      <sz val="11"/>
      <color rgb="FF000000"/>
      <name val="Arial"/>
      <family val="2"/>
    </font>
    <font>
      <b/>
      <sz val="11"/>
      <color rgb="FF339966"/>
      <name val="Arial"/>
      <family val="2"/>
    </font>
    <font>
      <b/>
      <sz val="10"/>
      <color rgb="FF00B050"/>
      <name val="Arial"/>
      <family val="2"/>
    </font>
    <font>
      <sz val="8"/>
      <name val="Symbol"/>
      <family val="1"/>
      <charset val="2"/>
    </font>
    <font>
      <vertAlign val="subscript"/>
      <sz val="8"/>
      <name val="Arial Narrow"/>
      <family val="2"/>
    </font>
    <font>
      <i/>
      <sz val="10"/>
      <color theme="1" tint="0.34998626667073579"/>
      <name val="Arial Narrow"/>
      <family val="2"/>
    </font>
    <font>
      <b/>
      <sz val="10"/>
      <color rgb="FFFFCC66"/>
      <name val="Arial Narrow"/>
      <family val="2"/>
    </font>
    <font>
      <sz val="14"/>
      <name val="Arial"/>
      <family val="2"/>
    </font>
    <font>
      <b/>
      <sz val="11"/>
      <name val="Arial Narrow"/>
      <family val="2"/>
    </font>
    <font>
      <i/>
      <sz val="12"/>
      <name val="Arial Narrow"/>
      <family val="2"/>
    </font>
    <font>
      <b/>
      <sz val="10"/>
      <color rgb="FF008080"/>
      <name val="Arial"/>
      <family val="2"/>
    </font>
    <font>
      <i/>
      <sz val="8"/>
      <color rgb="FF5F5F5F"/>
      <name val="Arial Narrow"/>
      <family val="2"/>
    </font>
    <font>
      <i/>
      <vertAlign val="superscript"/>
      <sz val="8"/>
      <color rgb="FF5F5F5F"/>
      <name val="Arial Narrow"/>
      <family val="2"/>
    </font>
    <font>
      <b/>
      <i/>
      <sz val="7"/>
      <color rgb="FFFF0000"/>
      <name val="Arial Narrow"/>
      <family val="2"/>
    </font>
    <font>
      <b/>
      <u/>
      <sz val="9"/>
      <color indexed="81"/>
      <name val="Tahoma"/>
      <family val="2"/>
    </font>
    <font>
      <sz val="10"/>
      <name val="Arial"/>
      <family val="2"/>
    </font>
    <font>
      <b/>
      <i/>
      <sz val="12"/>
      <name val="Arial"/>
      <family val="2"/>
    </font>
    <font>
      <b/>
      <i/>
      <sz val="10"/>
      <name val="Arial"/>
      <family val="2"/>
    </font>
    <font>
      <i/>
      <sz val="10"/>
      <name val="Arial"/>
      <family val="2"/>
    </font>
    <font>
      <b/>
      <sz val="24"/>
      <name val="Showcard Gothic"/>
      <family val="5"/>
    </font>
    <font>
      <sz val="10"/>
      <name val="Arial"/>
      <family val="2"/>
    </font>
    <font>
      <b/>
      <i/>
      <sz val="12"/>
      <name val="Arial Narrow"/>
      <family val="2"/>
    </font>
    <font>
      <u/>
      <sz val="10"/>
      <name val="Arial"/>
      <family val="2"/>
    </font>
    <font>
      <i/>
      <sz val="10"/>
      <name val="Arial Narrow"/>
      <family val="2"/>
    </font>
    <font>
      <sz val="10"/>
      <name val="Arial Narrow"/>
      <family val="2"/>
    </font>
    <font>
      <b/>
      <sz val="10"/>
      <color rgb="FFC00000"/>
      <name val="Arial"/>
      <family val="2"/>
    </font>
    <font>
      <sz val="10"/>
      <color indexed="12"/>
      <name val="Arial Narrow"/>
      <family val="2"/>
    </font>
    <font>
      <sz val="10"/>
      <color rgb="FF0000FF"/>
      <name val="Arial Narrow"/>
      <family val="2"/>
    </font>
    <font>
      <sz val="10"/>
      <color rgb="FF0000FF"/>
      <name val="Arial"/>
      <family val="2"/>
    </font>
    <font>
      <b/>
      <sz val="10"/>
      <name val="Arial Narrow"/>
      <family val="2"/>
    </font>
    <font>
      <b/>
      <sz val="10"/>
      <color indexed="12"/>
      <name val="Arial Narrow"/>
      <family val="2"/>
    </font>
    <font>
      <b/>
      <sz val="10"/>
      <name val="Arial"/>
      <family val="2"/>
    </font>
    <font>
      <b/>
      <sz val="10"/>
      <color rgb="FF0000FF"/>
      <name val="Arial Narrow"/>
      <family val="2"/>
    </font>
    <font>
      <b/>
      <i/>
      <u/>
      <sz val="12"/>
      <name val="Arial Narrow"/>
      <family val="2"/>
    </font>
    <font>
      <b/>
      <i/>
      <sz val="12"/>
      <name val="Arial"/>
      <family val="2"/>
    </font>
    <font>
      <i/>
      <sz val="8"/>
      <name val="Arial Narrow"/>
      <family val="2"/>
    </font>
    <font>
      <b/>
      <sz val="12"/>
      <color theme="0"/>
      <name val="Arial Narrow"/>
      <family val="2"/>
    </font>
    <font>
      <b/>
      <sz val="8"/>
      <color rgb="FF008000"/>
      <name val="Arial"/>
      <family val="2"/>
    </font>
    <font>
      <b/>
      <sz val="24"/>
      <color rgb="FFC00000"/>
      <name val="Showcard Gothic"/>
      <family val="5"/>
    </font>
    <font>
      <sz val="10"/>
      <color rgb="FFC00000"/>
      <name val="Arial"/>
      <family val="2"/>
    </font>
    <font>
      <b/>
      <sz val="12"/>
      <color rgb="FFC00000"/>
      <name val="Arial Narrow"/>
      <family val="2"/>
    </font>
    <font>
      <b/>
      <sz val="10"/>
      <color rgb="FF008000"/>
      <name val="Arial Narrow"/>
      <family val="2"/>
    </font>
    <font>
      <sz val="10"/>
      <color rgb="FFFF0000"/>
      <name val="Arial Rounded MT Bold"/>
      <family val="2"/>
    </font>
    <font>
      <b/>
      <i/>
      <u/>
      <sz val="11"/>
      <color theme="1"/>
      <name val="Arial Narrow"/>
      <family val="2"/>
    </font>
    <font>
      <b/>
      <i/>
      <u/>
      <sz val="11"/>
      <color theme="1"/>
      <name val="Calibri"/>
      <family val="2"/>
      <scheme val="minor"/>
    </font>
    <font>
      <sz val="11"/>
      <color theme="1"/>
      <name val="Arial Narrow"/>
      <family val="2"/>
    </font>
    <font>
      <b/>
      <sz val="14"/>
      <color theme="0"/>
      <name val="Arial Narrow"/>
      <family val="2"/>
    </font>
    <font>
      <b/>
      <i/>
      <sz val="12"/>
      <color theme="0"/>
      <name val="Arial Narrow"/>
      <family val="2"/>
    </font>
    <font>
      <sz val="10"/>
      <color rgb="FFFFFF00"/>
      <name val="Arial Narrow"/>
      <family val="2"/>
    </font>
    <font>
      <sz val="10"/>
      <color rgb="FFFFFF00"/>
      <name val="Arial"/>
      <family val="2"/>
    </font>
    <font>
      <u/>
      <sz val="10"/>
      <color indexed="8"/>
      <name val="Arial Narrow"/>
      <family val="2"/>
    </font>
    <font>
      <b/>
      <i/>
      <sz val="14"/>
      <color theme="3"/>
      <name val="Arial Narrow"/>
      <family val="2"/>
    </font>
    <font>
      <i/>
      <sz val="14"/>
      <name val="Arial Narrow"/>
      <family val="2"/>
    </font>
    <font>
      <sz val="10"/>
      <color theme="3"/>
      <name val="Arial Narrow"/>
      <family val="2"/>
    </font>
    <font>
      <b/>
      <sz val="14"/>
      <color rgb="FFC00000"/>
      <name val="Arial Narrow"/>
      <family val="2"/>
    </font>
    <font>
      <b/>
      <sz val="14"/>
      <color rgb="FFC00000"/>
      <name val="Arial"/>
      <family val="2"/>
    </font>
    <font>
      <b/>
      <u/>
      <sz val="14"/>
      <color rgb="FFC00000"/>
      <name val="Arial Narrow"/>
      <family val="2"/>
    </font>
    <font>
      <b/>
      <i/>
      <sz val="14"/>
      <color rgb="FFC00000"/>
      <name val="Arial Narrow"/>
      <family val="2"/>
    </font>
    <font>
      <b/>
      <i/>
      <sz val="14"/>
      <color rgb="FFC00000"/>
      <name val="Arial"/>
      <family val="2"/>
    </font>
    <font>
      <i/>
      <sz val="10"/>
      <color rgb="FF0070C0"/>
      <name val="Arial Narrow"/>
      <family val="2"/>
    </font>
    <font>
      <b/>
      <sz val="8"/>
      <color rgb="FF0033CC"/>
      <name val="Arial Narrow"/>
      <family val="2"/>
    </font>
    <font>
      <i/>
      <sz val="10"/>
      <color rgb="FF0070C0"/>
      <name val="Arial"/>
      <family val="2"/>
    </font>
    <font>
      <sz val="10"/>
      <color rgb="FF0033CC"/>
      <name val="Arial"/>
      <family val="2"/>
    </font>
    <font>
      <b/>
      <i/>
      <sz val="9"/>
      <color rgb="FFC00000"/>
      <name val="Arial Narrow"/>
      <family val="2"/>
    </font>
    <font>
      <strike/>
      <sz val="10"/>
      <name val="Arial Narrow"/>
      <family val="2"/>
    </font>
    <font>
      <b/>
      <i/>
      <sz val="10"/>
      <color rgb="FFFF0000"/>
      <name val="Arial Narrow"/>
      <family val="2"/>
    </font>
    <font>
      <i/>
      <sz val="8"/>
      <name val="Arial"/>
      <family val="2"/>
    </font>
    <font>
      <sz val="10"/>
      <name val="Arial"/>
      <family val="2"/>
    </font>
    <font>
      <i/>
      <sz val="8"/>
      <color rgb="FFFF0000"/>
      <name val="Arial Narrow"/>
      <family val="2"/>
    </font>
  </fonts>
  <fills count="59">
    <fill>
      <patternFill patternType="none"/>
    </fill>
    <fill>
      <patternFill patternType="gray125"/>
    </fill>
    <fill>
      <patternFill patternType="solid">
        <fgColor indexed="13"/>
        <bgColor indexed="64"/>
      </patternFill>
    </fill>
    <fill>
      <patternFill patternType="solid">
        <fgColor indexed="15"/>
        <bgColor indexed="64"/>
      </patternFill>
    </fill>
    <fill>
      <patternFill patternType="solid">
        <fgColor indexed="52"/>
        <bgColor indexed="64"/>
      </patternFill>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9"/>
        <bgColor indexed="64"/>
      </patternFill>
    </fill>
    <fill>
      <patternFill patternType="solid">
        <fgColor indexed="44"/>
        <bgColor indexed="64"/>
      </patternFill>
    </fill>
    <fill>
      <patternFill patternType="solid">
        <fgColor indexed="45"/>
        <bgColor indexed="64"/>
      </patternFill>
    </fill>
    <fill>
      <patternFill patternType="solid">
        <fgColor indexed="62"/>
        <bgColor indexed="64"/>
      </patternFill>
    </fill>
    <fill>
      <patternFill patternType="solid">
        <fgColor indexed="10"/>
        <bgColor indexed="64"/>
      </patternFill>
    </fill>
    <fill>
      <patternFill patternType="solid">
        <fgColor rgb="FFFFFF99"/>
        <bgColor indexed="64"/>
      </patternFill>
    </fill>
    <fill>
      <patternFill patternType="solid">
        <fgColor theme="0"/>
        <bgColor indexed="64"/>
      </patternFill>
    </fill>
    <fill>
      <patternFill patternType="solid">
        <fgColor rgb="FFFFFF00"/>
        <bgColor indexed="64"/>
      </patternFill>
    </fill>
    <fill>
      <patternFill patternType="solid">
        <fgColor rgb="FFCCFFFF"/>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CC99"/>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0000"/>
        <bgColor indexed="64"/>
      </patternFill>
    </fill>
    <fill>
      <patternFill patternType="solid">
        <fgColor rgb="FFC0C0C0"/>
        <bgColor indexed="64"/>
      </patternFill>
    </fill>
    <fill>
      <patternFill patternType="solid">
        <fgColor theme="4" tint="0.79998168889431442"/>
        <bgColor indexed="64"/>
      </patternFill>
    </fill>
    <fill>
      <patternFill patternType="solid">
        <fgColor rgb="FFFF9900"/>
        <bgColor indexed="64"/>
      </patternFill>
    </fill>
    <fill>
      <patternFill patternType="solid">
        <fgColor rgb="FFFFCCCC"/>
        <bgColor indexed="64"/>
      </patternFill>
    </fill>
    <fill>
      <patternFill patternType="solid">
        <fgColor rgb="FFFFCC66"/>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CCFFCC"/>
        <bgColor indexed="64"/>
      </patternFill>
    </fill>
    <fill>
      <patternFill patternType="solid">
        <fgColor theme="9" tint="0.59999389629810485"/>
        <bgColor indexed="64"/>
      </patternFill>
    </fill>
    <fill>
      <patternFill patternType="solid">
        <fgColor rgb="FF92CDDC"/>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66"/>
        <bgColor indexed="64"/>
      </patternFill>
    </fill>
    <fill>
      <patternFill patternType="solid">
        <fgColor rgb="FFC4D79B"/>
        <bgColor indexed="64"/>
      </patternFill>
    </fill>
    <fill>
      <patternFill patternType="solid">
        <fgColor theme="3" tint="0.79998168889431442"/>
        <bgColor indexed="64"/>
      </patternFill>
    </fill>
    <fill>
      <patternFill patternType="solid">
        <fgColor rgb="FF92D050"/>
        <bgColor indexed="64"/>
      </patternFill>
    </fill>
    <fill>
      <patternFill patternType="solid">
        <fgColor rgb="FFFFC000"/>
        <bgColor indexed="64"/>
      </patternFill>
    </fill>
    <fill>
      <patternFill patternType="solid">
        <fgColor rgb="FF0000FF"/>
        <bgColor indexed="64"/>
      </patternFill>
    </fill>
    <fill>
      <patternFill patternType="solid">
        <fgColor rgb="FFFCD5B4"/>
        <bgColor indexed="64"/>
      </patternFill>
    </fill>
    <fill>
      <patternFill patternType="solid">
        <fgColor rgb="FFB7DEE8"/>
        <bgColor indexed="64"/>
      </patternFill>
    </fill>
    <fill>
      <patternFill patternType="solid">
        <fgColor rgb="FFFABF8F"/>
        <bgColor indexed="64"/>
      </patternFill>
    </fill>
    <fill>
      <patternFill patternType="solid">
        <fgColor rgb="FFD8E4BC"/>
        <bgColor indexed="64"/>
      </patternFill>
    </fill>
    <fill>
      <patternFill patternType="solid">
        <fgColor rgb="FFDAEEF3"/>
        <bgColor indexed="64"/>
      </patternFill>
    </fill>
    <fill>
      <patternFill patternType="solid">
        <fgColor theme="0" tint="-0.34998626667073579"/>
        <bgColor indexed="64"/>
      </patternFill>
    </fill>
    <fill>
      <patternFill patternType="solid">
        <fgColor theme="7" tint="0.79998168889431442"/>
        <bgColor indexed="64"/>
      </patternFill>
    </fill>
  </fills>
  <borders count="415">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right/>
      <top style="thin">
        <color indexed="64"/>
      </top>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diagonal/>
    </border>
    <border>
      <left style="medium">
        <color auto="1"/>
      </left>
      <right style="thin">
        <color indexed="64"/>
      </right>
      <top style="medium">
        <color auto="1"/>
      </top>
      <bottom style="medium">
        <color auto="1"/>
      </bottom>
      <diagonal/>
    </border>
    <border>
      <left style="thin">
        <color indexed="64"/>
      </left>
      <right style="thin">
        <color indexed="64"/>
      </right>
      <top style="medium">
        <color auto="1"/>
      </top>
      <bottom style="medium">
        <color auto="1"/>
      </bottom>
      <diagonal/>
    </border>
    <border>
      <left style="thin">
        <color indexed="64"/>
      </left>
      <right style="thin">
        <color indexed="64"/>
      </right>
      <top style="thin">
        <color indexed="64"/>
      </top>
      <bottom/>
      <diagonal/>
    </border>
    <border>
      <left style="thin">
        <color auto="1"/>
      </left>
      <right style="thin">
        <color indexed="64"/>
      </right>
      <top/>
      <bottom style="thin">
        <color auto="1"/>
      </bottom>
      <diagonal/>
    </border>
    <border>
      <left style="thin">
        <color auto="1"/>
      </left>
      <right style="thin">
        <color auto="1"/>
      </right>
      <top/>
      <bottom/>
      <diagonal/>
    </border>
    <border>
      <left style="thin">
        <color auto="1"/>
      </left>
      <right style="thin">
        <color auto="1"/>
      </right>
      <top style="thin">
        <color auto="1"/>
      </top>
      <bottom style="thin">
        <color indexed="64"/>
      </bottom>
      <diagonal/>
    </border>
    <border>
      <left style="medium">
        <color indexed="64"/>
      </left>
      <right style="thin">
        <color auto="1"/>
      </right>
      <top style="thin">
        <color auto="1"/>
      </top>
      <bottom style="medium">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auto="1"/>
      </top>
      <bottom style="medium">
        <color indexed="64"/>
      </bottom>
      <diagonal/>
    </border>
    <border>
      <left style="thin">
        <color auto="1"/>
      </left>
      <right style="thin">
        <color indexed="64"/>
      </right>
      <top style="thin">
        <color auto="1"/>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style="medium">
        <color indexed="64"/>
      </right>
      <top style="thin">
        <color indexed="64"/>
      </top>
      <bottom style="thin">
        <color indexed="64"/>
      </bottom>
      <diagonal/>
    </border>
    <border>
      <left style="medium">
        <color indexed="64"/>
      </left>
      <right style="thin">
        <color auto="1"/>
      </right>
      <top style="thin">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diagonal/>
    </border>
    <border>
      <left style="medium">
        <color indexed="64"/>
      </left>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indexed="64"/>
      </left>
      <right style="medium">
        <color indexed="64"/>
      </right>
      <top style="thin">
        <color indexed="64"/>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indexed="64"/>
      </left>
      <right/>
      <top/>
      <bottom/>
      <diagonal/>
    </border>
    <border>
      <left style="medium">
        <color indexed="64"/>
      </left>
      <right style="medium">
        <color indexed="64"/>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thin">
        <color auto="1"/>
      </right>
      <top style="thin">
        <color auto="1"/>
      </top>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indexed="64"/>
      </top>
      <bottom/>
      <diagonal/>
    </border>
    <border>
      <left style="thin">
        <color auto="1"/>
      </left>
      <right style="medium">
        <color indexed="64"/>
      </right>
      <top style="medium">
        <color indexed="64"/>
      </top>
      <bottom style="medium">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auto="1"/>
      </left>
      <right style="thin">
        <color auto="1"/>
      </right>
      <top style="thin">
        <color auto="1"/>
      </top>
      <bottom style="thin">
        <color auto="1"/>
      </bottom>
      <diagonal/>
    </border>
    <border>
      <left/>
      <right style="medium">
        <color indexed="64"/>
      </right>
      <top style="thin">
        <color auto="1"/>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style="thin">
        <color indexed="64"/>
      </right>
      <top style="thin">
        <color auto="1"/>
      </top>
      <bottom/>
      <diagonal/>
    </border>
    <border>
      <left style="medium">
        <color indexed="64"/>
      </left>
      <right/>
      <top/>
      <bottom style="thin">
        <color indexed="64"/>
      </bottom>
      <diagonal/>
    </border>
    <border>
      <left/>
      <right style="medium">
        <color auto="1"/>
      </right>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bottom style="medium">
        <color indexed="64"/>
      </bottom>
      <diagonal/>
    </border>
    <border>
      <left style="thin">
        <color auto="1"/>
      </left>
      <right style="thin">
        <color auto="1"/>
      </right>
      <top style="thin">
        <color auto="1"/>
      </top>
      <bottom style="thin">
        <color auto="1"/>
      </bottom>
      <diagonal/>
    </border>
    <border>
      <left/>
      <right style="medium">
        <color indexed="64"/>
      </right>
      <top style="thin">
        <color auto="1"/>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indexed="64"/>
      </bottom>
      <diagonal/>
    </border>
    <border>
      <left/>
      <right style="medium">
        <color indexed="64"/>
      </right>
      <top style="thin">
        <color auto="1"/>
      </top>
      <bottom style="thin">
        <color indexed="64"/>
      </bottom>
      <diagonal/>
    </border>
    <border>
      <left/>
      <right style="thin">
        <color auto="1"/>
      </right>
      <top style="thin">
        <color auto="1"/>
      </top>
      <bottom style="thin">
        <color indexed="64"/>
      </bottom>
      <diagonal/>
    </border>
    <border>
      <left style="thin">
        <color auto="1"/>
      </left>
      <right style="thin">
        <color auto="1"/>
      </right>
      <top style="thin">
        <color auto="1"/>
      </top>
      <bottom/>
      <diagonal/>
    </border>
    <border>
      <left style="thin">
        <color auto="1"/>
      </left>
      <right style="thin">
        <color auto="1"/>
      </right>
      <top style="thin">
        <color auto="1"/>
      </top>
      <bottom/>
      <diagonal/>
    </border>
    <border>
      <left/>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auto="1"/>
      </top>
      <bottom/>
      <diagonal/>
    </border>
    <border>
      <left/>
      <right style="thin">
        <color indexed="12"/>
      </right>
      <top/>
      <bottom style="thin">
        <color indexed="12"/>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indexed="64"/>
      </top>
      <bottom style="thin">
        <color auto="1"/>
      </bottom>
      <diagonal/>
    </border>
    <border>
      <left style="thin">
        <color indexed="64"/>
      </left>
      <right/>
      <top style="thin">
        <color indexed="64"/>
      </top>
      <bottom style="thin">
        <color auto="1"/>
      </bottom>
      <diagonal/>
    </border>
    <border>
      <left/>
      <right style="thin">
        <color auto="1"/>
      </right>
      <top style="thin">
        <color indexed="64"/>
      </top>
      <bottom style="thin">
        <color auto="1"/>
      </bottom>
      <diagonal/>
    </border>
    <border>
      <left/>
      <right/>
      <top style="thin">
        <color indexed="64"/>
      </top>
      <bottom style="thin">
        <color auto="1"/>
      </bottom>
      <diagonal/>
    </border>
    <border>
      <left style="thin">
        <color auto="1"/>
      </left>
      <right style="thin">
        <color auto="1"/>
      </right>
      <top style="thin">
        <color auto="1"/>
      </top>
      <bottom style="thin">
        <color indexed="64"/>
      </bottom>
      <diagonal/>
    </border>
    <border>
      <left style="medium">
        <color indexed="64"/>
      </left>
      <right style="medium">
        <color indexed="64"/>
      </right>
      <top style="thin">
        <color auto="1"/>
      </top>
      <bottom/>
      <diagonal/>
    </border>
    <border>
      <left style="thin">
        <color auto="1"/>
      </left>
      <right style="thin">
        <color auto="1"/>
      </right>
      <top style="thin">
        <color auto="1"/>
      </top>
      <bottom style="thin">
        <color auto="1"/>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medium">
        <color indexed="64"/>
      </left>
      <right style="medium">
        <color indexed="64"/>
      </right>
      <top style="thin">
        <color auto="1"/>
      </top>
      <bottom style="thin">
        <color indexed="64"/>
      </bottom>
      <diagonal/>
    </border>
    <border>
      <left style="thin">
        <color auto="1"/>
      </left>
      <right style="thin">
        <color auto="1"/>
      </right>
      <top style="thin">
        <color auto="1"/>
      </top>
      <bottom style="thin">
        <color indexed="64"/>
      </bottom>
      <diagonal/>
    </border>
    <border>
      <left style="medium">
        <color indexed="64"/>
      </left>
      <right style="medium">
        <color indexed="64"/>
      </right>
      <top style="thin">
        <color auto="1"/>
      </top>
      <bottom/>
      <diagonal/>
    </border>
    <border>
      <left style="medium">
        <color indexed="64"/>
      </left>
      <right style="medium">
        <color indexed="64"/>
      </right>
      <top style="thin">
        <color auto="1"/>
      </top>
      <bottom style="medium">
        <color indexed="64"/>
      </bottom>
      <diagonal/>
    </border>
    <border>
      <left style="thin">
        <color indexed="64"/>
      </left>
      <right style="thin">
        <color indexed="64"/>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top/>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style="thin">
        <color auto="1"/>
      </left>
      <right style="medium">
        <color indexed="64"/>
      </right>
      <top/>
      <bottom style="medium">
        <color indexed="64"/>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auto="1"/>
      </left>
      <right style="thin">
        <color indexed="64"/>
      </right>
      <top/>
      <bottom style="thin">
        <color indexed="64"/>
      </bottom>
      <diagonal/>
    </border>
    <border>
      <left style="thin">
        <color indexed="64"/>
      </left>
      <right style="thin">
        <color indexed="64"/>
      </right>
      <top/>
      <bottom style="medium">
        <color indexed="64"/>
      </bottom>
      <diagonal/>
    </border>
    <border>
      <left style="thin">
        <color auto="1"/>
      </left>
      <right style="thin">
        <color indexed="64"/>
      </right>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auto="1"/>
      </left>
      <right style="thin">
        <color auto="1"/>
      </right>
      <top/>
      <bottom style="thin">
        <color auto="1"/>
      </bottom>
      <diagonal/>
    </border>
    <border>
      <left/>
      <right style="medium">
        <color auto="1"/>
      </right>
      <top/>
      <bottom style="thin">
        <color indexed="64"/>
      </bottom>
      <diagonal/>
    </border>
    <border>
      <left style="thin">
        <color indexed="64"/>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auto="1"/>
      </left>
      <right style="thin">
        <color indexed="64"/>
      </right>
      <top style="medium">
        <color auto="1"/>
      </top>
      <bottom style="medium">
        <color auto="1"/>
      </bottom>
      <diagonal/>
    </border>
    <border>
      <left style="thin">
        <color indexed="64"/>
      </left>
      <right style="medium">
        <color auto="1"/>
      </right>
      <top style="medium">
        <color auto="1"/>
      </top>
      <bottom style="medium">
        <color auto="1"/>
      </bottom>
      <diagonal/>
    </border>
    <border>
      <left/>
      <right/>
      <top style="thin">
        <color indexed="64"/>
      </top>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auto="1"/>
      </top>
      <bottom style="thin">
        <color auto="1"/>
      </bottom>
      <diagonal/>
    </border>
    <border>
      <left style="thin">
        <color auto="1"/>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auto="1"/>
      </left>
      <right style="thin">
        <color auto="1"/>
      </right>
      <top style="thin">
        <color auto="1"/>
      </top>
      <bottom style="thin">
        <color auto="1"/>
      </bottom>
      <diagonal/>
    </border>
    <border>
      <left/>
      <right/>
      <top style="thin">
        <color indexed="64"/>
      </top>
      <bottom/>
      <diagonal/>
    </border>
    <border>
      <left style="thin">
        <color indexed="64"/>
      </left>
      <right style="thin">
        <color auto="1"/>
      </right>
      <top style="medium">
        <color indexed="64"/>
      </top>
      <bottom/>
      <diagonal/>
    </border>
    <border>
      <left style="thin">
        <color indexed="64"/>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auto="1"/>
      </right>
      <top/>
      <bottom style="thin">
        <color auto="1"/>
      </bottom>
      <diagonal/>
    </border>
    <border>
      <left style="thin">
        <color auto="1"/>
      </left>
      <right style="thin">
        <color auto="1"/>
      </right>
      <top style="thin">
        <color auto="1"/>
      </top>
      <bottom style="thin">
        <color indexed="64"/>
      </bottom>
      <diagonal/>
    </border>
    <border>
      <left/>
      <right style="thin">
        <color auto="1"/>
      </right>
      <top style="thin">
        <color auto="1"/>
      </top>
      <bottom style="thin">
        <color indexed="64"/>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auto="1"/>
      </top>
      <bottom style="thin">
        <color indexed="64"/>
      </bottom>
      <diagonal/>
    </border>
    <border>
      <left style="medium">
        <color indexed="64"/>
      </left>
      <right style="medium">
        <color indexed="64"/>
      </right>
      <top style="thin">
        <color auto="1"/>
      </top>
      <bottom/>
      <diagonal/>
    </border>
    <border>
      <left style="medium">
        <color indexed="64"/>
      </left>
      <right style="medium">
        <color indexed="64"/>
      </right>
      <top style="thin">
        <color auto="1"/>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auto="1"/>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auto="1"/>
      </top>
      <bottom style="thin">
        <color indexed="64"/>
      </bottom>
      <diagonal/>
    </border>
    <border>
      <left style="thin">
        <color indexed="64"/>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indexed="64"/>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indexed="64"/>
      </top>
      <bottom style="thin">
        <color indexed="64"/>
      </bottom>
      <diagonal/>
    </border>
    <border>
      <left/>
      <right style="thin">
        <color auto="1"/>
      </right>
      <top style="thin">
        <color indexed="64"/>
      </top>
      <bottom style="thin">
        <color indexed="64"/>
      </bottom>
      <diagonal/>
    </border>
    <border>
      <left style="thin">
        <color auto="1"/>
      </left>
      <right style="thin">
        <color auto="1"/>
      </right>
      <top/>
      <bottom style="thin">
        <color auto="1"/>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style="thin">
        <color indexed="64"/>
      </left>
      <right/>
      <top style="thin">
        <color auto="1"/>
      </top>
      <bottom style="thin">
        <color indexed="64"/>
      </bottom>
      <diagonal/>
    </border>
    <border>
      <left style="thin">
        <color indexed="64"/>
      </left>
      <right style="thin">
        <color indexed="64"/>
      </right>
      <top style="thin">
        <color auto="1"/>
      </top>
      <bottom style="thin">
        <color auto="1"/>
      </bottom>
      <diagonal/>
    </border>
    <border>
      <left/>
      <right style="thin">
        <color indexed="64"/>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indexed="64"/>
      </bottom>
      <diagonal/>
    </border>
    <border>
      <left/>
      <right/>
      <top style="thin">
        <color indexed="64"/>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auto="1"/>
      </right>
      <top style="thin">
        <color auto="1"/>
      </top>
      <bottom style="thin">
        <color indexed="64"/>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auto="1"/>
      </right>
      <top style="thin">
        <color auto="1"/>
      </top>
      <bottom style="thin">
        <color indexed="64"/>
      </bottom>
      <diagonal/>
    </border>
    <border>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indexed="64"/>
      </bottom>
      <diagonal/>
    </border>
    <border>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medium">
        <color indexed="64"/>
      </left>
      <right style="thin">
        <color indexed="64"/>
      </right>
      <top style="thin">
        <color indexed="64"/>
      </top>
      <bottom/>
      <diagonal/>
    </border>
    <border>
      <left/>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bottom style="thin">
        <color indexed="64"/>
      </bottom>
      <diagonal/>
    </border>
    <border>
      <left style="thin">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top style="thin">
        <color indexed="64"/>
      </top>
      <bottom/>
      <diagonal/>
    </border>
    <border>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auto="1"/>
      </left>
      <right style="medium">
        <color auto="1"/>
      </right>
      <top style="medium">
        <color auto="1"/>
      </top>
      <bottom style="medium">
        <color auto="1"/>
      </bottom>
      <diagonal/>
    </border>
    <border>
      <left style="thin">
        <color auto="1"/>
      </left>
      <right style="thin">
        <color auto="1"/>
      </right>
      <top/>
      <bottom style="thin">
        <color indexed="64"/>
      </bottom>
      <diagonal/>
    </border>
    <border>
      <left style="thin">
        <color auto="1"/>
      </left>
      <right style="thin">
        <color auto="1"/>
      </right>
      <top/>
      <bottom style="thin">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thin">
        <color auto="1"/>
      </top>
      <bottom style="thin">
        <color indexed="64"/>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medium">
        <color indexed="64"/>
      </left>
      <right style="medium">
        <color indexed="64"/>
      </right>
      <top style="thin">
        <color auto="1"/>
      </top>
      <bottom/>
      <diagonal/>
    </border>
    <border>
      <left style="medium">
        <color auto="1"/>
      </left>
      <right style="thin">
        <color auto="1"/>
      </right>
      <top style="medium">
        <color auto="1"/>
      </top>
      <bottom style="medium">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indexed="64"/>
      </bottom>
      <diagonal/>
    </border>
    <border>
      <left style="thin">
        <color auto="1"/>
      </left>
      <right style="medium">
        <color auto="1"/>
      </right>
      <top style="medium">
        <color auto="1"/>
      </top>
      <bottom style="medium">
        <color auto="1"/>
      </bottom>
      <diagonal/>
    </border>
    <border>
      <left style="thin">
        <color auto="1"/>
      </left>
      <right style="thin">
        <color auto="1"/>
      </right>
      <top style="thin">
        <color auto="1"/>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6">
    <xf numFmtId="0" fontId="0" fillId="0" borderId="0"/>
    <xf numFmtId="0" fontId="10" fillId="0" borderId="0" applyNumberFormat="0" applyFill="0" applyBorder="0" applyAlignment="0" applyProtection="0">
      <alignment vertical="top"/>
      <protection locked="0"/>
    </xf>
    <xf numFmtId="0" fontId="2" fillId="0" borderId="0"/>
    <xf numFmtId="0" fontId="2" fillId="0" borderId="0"/>
    <xf numFmtId="0" fontId="2" fillId="0" borderId="0"/>
    <xf numFmtId="43" fontId="296" fillId="0" borderId="0" applyFont="0" applyFill="0" applyBorder="0" applyAlignment="0" applyProtection="0"/>
  </cellStyleXfs>
  <cellXfs count="4583">
    <xf numFmtId="0" fontId="0" fillId="0" borderId="0" xfId="0"/>
    <xf numFmtId="0" fontId="4" fillId="2" borderId="0" xfId="0" applyFont="1" applyFill="1" applyAlignment="1">
      <alignment horizontal="center" vertical="center"/>
    </xf>
    <xf numFmtId="0" fontId="4" fillId="3" borderId="0" xfId="0" applyFont="1" applyFill="1" applyAlignment="1">
      <alignment horizontal="center" vertical="center"/>
    </xf>
    <xf numFmtId="0" fontId="4" fillId="4" borderId="0" xfId="0" applyFont="1" applyFill="1" applyAlignment="1">
      <alignment horizontal="center" vertical="center"/>
    </xf>
    <xf numFmtId="0" fontId="4" fillId="0" borderId="1" xfId="0" applyFont="1" applyBorder="1" applyAlignment="1">
      <alignment horizontal="center" vertical="center"/>
    </xf>
    <xf numFmtId="0" fontId="4" fillId="7" borderId="0" xfId="0" applyFont="1" applyFill="1" applyAlignment="1">
      <alignment horizontal="center" vertical="center"/>
    </xf>
    <xf numFmtId="0" fontId="4" fillId="8" borderId="1" xfId="0" applyFont="1" applyFill="1" applyBorder="1" applyAlignment="1">
      <alignment horizontal="center" vertical="center"/>
    </xf>
    <xf numFmtId="0" fontId="41" fillId="0" borderId="0" xfId="0" applyFont="1" applyAlignment="1">
      <alignment vertical="center"/>
    </xf>
    <xf numFmtId="0" fontId="4" fillId="8" borderId="1" xfId="0" applyFont="1" applyFill="1" applyBorder="1" applyAlignment="1" applyProtection="1">
      <alignment horizontal="center" vertical="center"/>
      <protection hidden="1"/>
    </xf>
    <xf numFmtId="0" fontId="12" fillId="0" borderId="0" xfId="0" applyFont="1" applyAlignment="1" applyProtection="1">
      <alignment vertical="center"/>
      <protection hidden="1"/>
    </xf>
    <xf numFmtId="0" fontId="4" fillId="6" borderId="1" xfId="0" applyFont="1" applyFill="1" applyBorder="1" applyAlignment="1">
      <alignment horizontal="center" vertical="center"/>
    </xf>
    <xf numFmtId="0" fontId="6" fillId="0" borderId="0" xfId="0" applyFont="1" applyAlignment="1">
      <alignment horizontal="center" vertical="center"/>
    </xf>
    <xf numFmtId="0" fontId="12" fillId="0" borderId="0" xfId="0" applyFont="1" applyAlignment="1">
      <alignment horizontal="center" vertical="center" wrapText="1"/>
    </xf>
    <xf numFmtId="0" fontId="12" fillId="0" borderId="1" xfId="0" applyFont="1" applyBorder="1" applyAlignment="1">
      <alignment horizontal="center" vertical="center" wrapText="1"/>
    </xf>
    <xf numFmtId="0" fontId="7" fillId="5" borderId="12" xfId="0" applyFont="1" applyFill="1" applyBorder="1" applyAlignment="1">
      <alignment horizontal="center" vertical="center" wrapText="1"/>
    </xf>
    <xf numFmtId="3" fontId="4" fillId="0" borderId="16" xfId="0" applyNumberFormat="1" applyFont="1" applyBorder="1" applyAlignment="1">
      <alignment horizontal="center" vertical="center"/>
    </xf>
    <xf numFmtId="3" fontId="7" fillId="0" borderId="14" xfId="0" applyNumberFormat="1" applyFont="1" applyBorder="1" applyAlignment="1">
      <alignment horizontal="center" vertical="center"/>
    </xf>
    <xf numFmtId="3" fontId="7" fillId="0" borderId="15" xfId="0" applyNumberFormat="1" applyFont="1" applyBorder="1" applyAlignment="1">
      <alignment horizontal="center" vertical="center"/>
    </xf>
    <xf numFmtId="0" fontId="52" fillId="3" borderId="0" xfId="0" applyFont="1" applyFill="1" applyAlignment="1">
      <alignment horizontal="left" vertical="center"/>
    </xf>
    <xf numFmtId="0" fontId="4" fillId="0" borderId="0" xfId="0" applyFont="1" applyAlignment="1">
      <alignment horizontal="center" vertical="center"/>
    </xf>
    <xf numFmtId="11" fontId="7" fillId="0" borderId="18" xfId="0" applyNumberFormat="1" applyFont="1" applyBorder="1" applyAlignment="1">
      <alignment horizontal="center" vertical="center"/>
    </xf>
    <xf numFmtId="2" fontId="7" fillId="0" borderId="15" xfId="0" applyNumberFormat="1" applyFont="1" applyBorder="1" applyAlignment="1">
      <alignment horizontal="center" vertical="center"/>
    </xf>
    <xf numFmtId="0" fontId="41" fillId="0" borderId="16" xfId="0" applyFont="1" applyBorder="1" applyAlignment="1">
      <alignment horizontal="center" vertical="center"/>
    </xf>
    <xf numFmtId="0" fontId="4" fillId="0" borderId="16" xfId="0" applyFont="1" applyBorder="1" applyAlignment="1">
      <alignment horizontal="center" vertical="center"/>
    </xf>
    <xf numFmtId="0" fontId="7" fillId="0" borderId="19" xfId="0" applyFont="1" applyBorder="1" applyAlignment="1">
      <alignment horizontal="centerContinuous" vertical="center"/>
    </xf>
    <xf numFmtId="0" fontId="7" fillId="0" borderId="20" xfId="0" applyFont="1" applyBorder="1" applyAlignment="1">
      <alignment horizontal="center" vertical="center"/>
    </xf>
    <xf numFmtId="0" fontId="4" fillId="0" borderId="0" xfId="0" applyFont="1" applyAlignment="1">
      <alignment vertical="center"/>
    </xf>
    <xf numFmtId="0" fontId="48" fillId="0" borderId="0" xfId="0" applyFont="1" applyAlignment="1">
      <alignment horizontal="centerContinuous" vertical="center" wrapText="1"/>
    </xf>
    <xf numFmtId="0" fontId="7" fillId="6" borderId="1" xfId="0" applyFont="1" applyFill="1" applyBorder="1" applyAlignment="1">
      <alignment horizontal="center" vertical="center" wrapText="1"/>
    </xf>
    <xf numFmtId="0" fontId="7" fillId="0" borderId="0" xfId="0" applyFont="1" applyAlignment="1">
      <alignment horizontal="center" vertical="center" wrapText="1"/>
    </xf>
    <xf numFmtId="0" fontId="4" fillId="7" borderId="0" xfId="0" applyFont="1" applyFill="1" applyAlignment="1">
      <alignment vertical="center"/>
    </xf>
    <xf numFmtId="0" fontId="4" fillId="7" borderId="0" xfId="0" applyFont="1" applyFill="1" applyAlignment="1">
      <alignment horizontal="left" vertical="center"/>
    </xf>
    <xf numFmtId="0" fontId="12" fillId="0" borderId="0" xfId="0" applyFont="1" applyAlignment="1">
      <alignment vertical="center"/>
    </xf>
    <xf numFmtId="0" fontId="4" fillId="0" borderId="0" xfId="0" applyFont="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xf>
    <xf numFmtId="3" fontId="4" fillId="8" borderId="1" xfId="0" applyNumberFormat="1" applyFont="1" applyFill="1" applyBorder="1" applyAlignment="1">
      <alignment horizontal="center" vertical="center"/>
    </xf>
    <xf numFmtId="0" fontId="7" fillId="6" borderId="1" xfId="0" applyFont="1" applyFill="1" applyBorder="1" applyAlignment="1">
      <alignment horizontal="center" vertical="center"/>
    </xf>
    <xf numFmtId="0" fontId="4" fillId="2" borderId="0" xfId="0" applyFont="1" applyFill="1" applyAlignment="1">
      <alignment horizontal="center" vertical="center" wrapText="1"/>
    </xf>
    <xf numFmtId="0" fontId="7" fillId="0" borderId="1" xfId="0" applyFont="1" applyBorder="1" applyAlignment="1">
      <alignment horizontal="center" vertical="center"/>
    </xf>
    <xf numFmtId="0" fontId="4" fillId="0" borderId="0" xfId="0" applyFont="1" applyAlignment="1">
      <alignment horizontal="left" vertical="center"/>
    </xf>
    <xf numFmtId="0" fontId="36" fillId="6" borderId="31" xfId="0" applyFont="1" applyFill="1" applyBorder="1" applyAlignment="1" applyProtection="1">
      <alignment horizontal="center" wrapText="1"/>
      <protection hidden="1"/>
    </xf>
    <xf numFmtId="0" fontId="31" fillId="6" borderId="32" xfId="0" applyFont="1" applyFill="1" applyBorder="1" applyAlignment="1" applyProtection="1">
      <alignment horizontal="centerContinuous" vertical="center" wrapText="1"/>
      <protection hidden="1"/>
    </xf>
    <xf numFmtId="0" fontId="31" fillId="6" borderId="33" xfId="0" applyFont="1" applyFill="1" applyBorder="1" applyAlignment="1" applyProtection="1">
      <alignment horizontal="centerContinuous" vertical="center" wrapText="1"/>
      <protection hidden="1"/>
    </xf>
    <xf numFmtId="0" fontId="55" fillId="6" borderId="21" xfId="0" applyFont="1" applyFill="1" applyBorder="1" applyAlignment="1" applyProtection="1">
      <alignment horizontal="center" vertical="center" wrapText="1"/>
      <protection hidden="1"/>
    </xf>
    <xf numFmtId="0" fontId="55" fillId="11" borderId="34" xfId="0" applyFont="1" applyFill="1" applyBorder="1" applyAlignment="1" applyProtection="1">
      <alignment horizontal="centerContinuous" vertical="center" wrapText="1"/>
      <protection hidden="1"/>
    </xf>
    <xf numFmtId="0" fontId="55" fillId="11" borderId="35" xfId="0" applyFont="1" applyFill="1" applyBorder="1" applyAlignment="1" applyProtection="1">
      <alignment horizontal="centerContinuous" vertical="center" wrapText="1"/>
      <protection hidden="1"/>
    </xf>
    <xf numFmtId="0" fontId="31" fillId="6" borderId="21" xfId="0" applyFont="1" applyFill="1" applyBorder="1" applyAlignment="1" applyProtection="1">
      <alignment horizontal="center" vertical="center" wrapText="1"/>
      <protection hidden="1"/>
    </xf>
    <xf numFmtId="0" fontId="36" fillId="11" borderId="34" xfId="0" applyFont="1" applyFill="1" applyBorder="1" applyAlignment="1" applyProtection="1">
      <alignment horizontal="centerContinuous" vertical="center" wrapText="1"/>
      <protection hidden="1"/>
    </xf>
    <xf numFmtId="0" fontId="36" fillId="11" borderId="36" xfId="0" applyFont="1" applyFill="1" applyBorder="1" applyAlignment="1" applyProtection="1">
      <alignment horizontal="centerContinuous" vertical="center" wrapText="1"/>
      <protection hidden="1"/>
    </xf>
    <xf numFmtId="0" fontId="31" fillId="5" borderId="37" xfId="0" applyFont="1" applyFill="1" applyBorder="1" applyAlignment="1" applyProtection="1">
      <alignment horizontal="center" vertical="center" wrapText="1"/>
      <protection hidden="1"/>
    </xf>
    <xf numFmtId="0" fontId="31" fillId="5" borderId="7" xfId="0" applyFont="1" applyFill="1" applyBorder="1" applyAlignment="1" applyProtection="1">
      <alignment horizontal="center" vertical="center" wrapText="1"/>
      <protection hidden="1"/>
    </xf>
    <xf numFmtId="0" fontId="12" fillId="8" borderId="41" xfId="0" applyFont="1" applyFill="1" applyBorder="1" applyAlignment="1" applyProtection="1">
      <alignment horizontal="left" vertical="top"/>
      <protection hidden="1"/>
    </xf>
    <xf numFmtId="0" fontId="60" fillId="12" borderId="2" xfId="0" applyFont="1" applyFill="1" applyBorder="1" applyAlignment="1" applyProtection="1">
      <alignment horizontal="center" vertical="center"/>
      <protection hidden="1"/>
    </xf>
    <xf numFmtId="0" fontId="12" fillId="8" borderId="27" xfId="0" applyFont="1" applyFill="1" applyBorder="1" applyAlignment="1" applyProtection="1">
      <alignment horizontal="left" vertical="top"/>
      <protection hidden="1"/>
    </xf>
    <xf numFmtId="0" fontId="12" fillId="8" borderId="1" xfId="0" applyFont="1" applyFill="1" applyBorder="1" applyAlignment="1" applyProtection="1">
      <alignment horizontal="left" vertical="top"/>
      <protection hidden="1"/>
    </xf>
    <xf numFmtId="0" fontId="12" fillId="8" borderId="1" xfId="0" applyFont="1" applyFill="1" applyBorder="1" applyAlignment="1" applyProtection="1">
      <alignment vertical="top" wrapText="1"/>
      <protection hidden="1"/>
    </xf>
    <xf numFmtId="1" fontId="50" fillId="12" borderId="2" xfId="0" applyNumberFormat="1" applyFont="1" applyFill="1" applyBorder="1" applyAlignment="1" applyProtection="1">
      <alignment horizontal="center" vertical="center" wrapText="1"/>
      <protection hidden="1"/>
    </xf>
    <xf numFmtId="1" fontId="50" fillId="6" borderId="27" xfId="0" applyNumberFormat="1" applyFont="1" applyFill="1" applyBorder="1" applyAlignment="1" applyProtection="1">
      <alignment horizontal="center" vertical="center" wrapText="1"/>
      <protection locked="0"/>
    </xf>
    <xf numFmtId="0" fontId="55" fillId="6" borderId="32" xfId="0" applyFont="1" applyFill="1" applyBorder="1" applyAlignment="1" applyProtection="1">
      <alignment horizontal="centerContinuous" vertical="center" wrapText="1"/>
      <protection hidden="1"/>
    </xf>
    <xf numFmtId="0" fontId="55" fillId="6" borderId="33" xfId="0" applyFont="1" applyFill="1" applyBorder="1" applyAlignment="1" applyProtection="1">
      <alignment horizontal="centerContinuous" vertical="center" wrapText="1"/>
      <protection hidden="1"/>
    </xf>
    <xf numFmtId="0" fontId="56" fillId="6" borderId="45" xfId="0" applyFont="1" applyFill="1" applyBorder="1" applyAlignment="1" applyProtection="1">
      <alignment horizontal="centerContinuous" vertical="center" wrapText="1"/>
      <protection hidden="1"/>
    </xf>
    <xf numFmtId="0" fontId="58" fillId="6" borderId="41" xfId="0" applyFont="1" applyFill="1" applyBorder="1" applyAlignment="1" applyProtection="1">
      <alignment horizontal="centerContinuous" vertical="center" wrapText="1"/>
      <protection hidden="1"/>
    </xf>
    <xf numFmtId="0" fontId="7" fillId="8" borderId="28" xfId="0" applyFont="1" applyFill="1" applyBorder="1" applyAlignment="1">
      <alignment horizontal="center" vertical="center"/>
    </xf>
    <xf numFmtId="0" fontId="7" fillId="0" borderId="1" xfId="0" applyFont="1" applyBorder="1" applyAlignment="1">
      <alignment horizontal="left" vertical="center"/>
    </xf>
    <xf numFmtId="0" fontId="7" fillId="0" borderId="0" xfId="0" applyFont="1" applyAlignment="1">
      <alignment horizontal="left" vertical="center"/>
    </xf>
    <xf numFmtId="0" fontId="6" fillId="8" borderId="1" xfId="0" applyFont="1" applyFill="1" applyBorder="1" applyAlignment="1">
      <alignment horizontal="center" vertical="center"/>
    </xf>
    <xf numFmtId="0" fontId="4" fillId="8" borderId="1" xfId="0" applyFont="1" applyFill="1" applyBorder="1" applyAlignment="1">
      <alignment horizontal="left" vertical="center"/>
    </xf>
    <xf numFmtId="0" fontId="7" fillId="0" borderId="0" xfId="0" applyFont="1" applyAlignment="1">
      <alignment horizontal="left" vertical="center" wrapText="1"/>
    </xf>
    <xf numFmtId="0" fontId="7" fillId="0" borderId="0" xfId="0" applyFont="1" applyAlignment="1">
      <alignment horizontal="right" vertical="center"/>
    </xf>
    <xf numFmtId="0" fontId="4" fillId="0" borderId="43" xfId="0" applyFont="1" applyBorder="1" applyAlignment="1">
      <alignment horizontal="center" vertical="center" wrapText="1"/>
    </xf>
    <xf numFmtId="0" fontId="7" fillId="0" borderId="0" xfId="0" applyFont="1" applyAlignment="1">
      <alignment vertical="center"/>
    </xf>
    <xf numFmtId="0" fontId="4" fillId="0" borderId="0" xfId="0" applyFont="1" applyAlignment="1">
      <alignment horizontal="right" vertical="center"/>
    </xf>
    <xf numFmtId="0" fontId="41" fillId="0" borderId="47" xfId="0" applyFont="1" applyBorder="1" applyAlignment="1">
      <alignment vertical="center"/>
    </xf>
    <xf numFmtId="0" fontId="4" fillId="0" borderId="9" xfId="0" applyFont="1" applyBorder="1" applyAlignment="1">
      <alignment horizontal="center" vertical="center"/>
    </xf>
    <xf numFmtId="0" fontId="41" fillId="0" borderId="9" xfId="0" applyFont="1" applyBorder="1" applyAlignment="1">
      <alignment vertical="center"/>
    </xf>
    <xf numFmtId="0" fontId="4" fillId="0" borderId="48" xfId="0" applyFont="1" applyBorder="1" applyAlignment="1">
      <alignment horizontal="center" vertical="center"/>
    </xf>
    <xf numFmtId="0" fontId="4" fillId="0" borderId="40" xfId="0" applyFont="1" applyBorder="1" applyAlignment="1">
      <alignment horizontal="center" vertical="center"/>
    </xf>
    <xf numFmtId="0" fontId="4" fillId="0" borderId="40" xfId="0" applyFont="1" applyBorder="1" applyAlignment="1">
      <alignment vertical="center"/>
    </xf>
    <xf numFmtId="0" fontId="4" fillId="0" borderId="49" xfId="0" applyFont="1" applyBorder="1" applyAlignment="1">
      <alignment horizontal="center" vertical="center"/>
    </xf>
    <xf numFmtId="0" fontId="4" fillId="0" borderId="46" xfId="0" applyFont="1" applyBorder="1" applyAlignment="1">
      <alignment horizontal="centerContinuous" vertical="center"/>
    </xf>
    <xf numFmtId="0" fontId="4" fillId="4" borderId="0" xfId="0" applyFont="1" applyFill="1" applyAlignment="1">
      <alignment vertical="center"/>
    </xf>
    <xf numFmtId="0" fontId="7" fillId="10" borderId="12" xfId="0" applyFont="1" applyFill="1" applyBorder="1" applyAlignment="1">
      <alignment horizontal="center" vertical="center"/>
    </xf>
    <xf numFmtId="0" fontId="4" fillId="3" borderId="0" xfId="0" applyFont="1" applyFill="1" applyAlignment="1">
      <alignment vertical="center"/>
    </xf>
    <xf numFmtId="0" fontId="4" fillId="0" borderId="4" xfId="0" applyFont="1" applyBorder="1" applyAlignment="1">
      <alignment horizontal="center" vertical="center"/>
    </xf>
    <xf numFmtId="0" fontId="7" fillId="0" borderId="16" xfId="0" applyFont="1" applyBorder="1" applyAlignment="1">
      <alignment horizontal="center" vertical="center"/>
    </xf>
    <xf numFmtId="2" fontId="4" fillId="0" borderId="15" xfId="0" applyNumberFormat="1" applyFont="1" applyBorder="1" applyAlignment="1">
      <alignment horizontal="center" vertical="center"/>
    </xf>
    <xf numFmtId="1" fontId="4" fillId="0" borderId="15" xfId="0" applyNumberFormat="1" applyFont="1" applyBorder="1" applyAlignment="1">
      <alignment horizontal="center" vertical="center"/>
    </xf>
    <xf numFmtId="1" fontId="7" fillId="0" borderId="14" xfId="0" applyNumberFormat="1" applyFont="1" applyBorder="1" applyAlignment="1">
      <alignment horizontal="center" vertical="center"/>
    </xf>
    <xf numFmtId="0" fontId="4" fillId="0" borderId="20" xfId="0" applyFont="1" applyBorder="1" applyAlignment="1">
      <alignment horizontal="center" vertical="center"/>
    </xf>
    <xf numFmtId="3" fontId="4" fillId="0" borderId="15" xfId="0" applyNumberFormat="1" applyFont="1" applyBorder="1" applyAlignment="1">
      <alignment horizontal="center" vertical="center"/>
    </xf>
    <xf numFmtId="0" fontId="41" fillId="0" borderId="16" xfId="0" applyFont="1" applyBorder="1" applyAlignment="1">
      <alignment vertical="center"/>
    </xf>
    <xf numFmtId="0" fontId="7" fillId="0" borderId="4" xfId="0" applyFont="1" applyBorder="1" applyAlignment="1">
      <alignment horizontal="center" vertical="center"/>
    </xf>
    <xf numFmtId="1" fontId="7" fillId="0" borderId="18" xfId="0" applyNumberFormat="1" applyFont="1" applyBorder="1" applyAlignment="1">
      <alignment horizontal="center" vertical="center"/>
    </xf>
    <xf numFmtId="1" fontId="7" fillId="0" borderId="15" xfId="0" applyNumberFormat="1" applyFont="1" applyBorder="1" applyAlignment="1">
      <alignment horizontal="center" vertical="center"/>
    </xf>
    <xf numFmtId="3" fontId="4" fillId="0" borderId="18" xfId="0" applyNumberFormat="1" applyFont="1" applyBorder="1" applyAlignment="1">
      <alignment horizontal="center" vertical="center"/>
    </xf>
    <xf numFmtId="3" fontId="4" fillId="0" borderId="50" xfId="0" applyNumberFormat="1" applyFont="1" applyBorder="1" applyAlignment="1">
      <alignment horizontal="center" vertical="center"/>
    </xf>
    <xf numFmtId="2" fontId="41" fillId="0" borderId="15" xfId="0" applyNumberFormat="1" applyFont="1" applyBorder="1" applyAlignment="1">
      <alignment horizontal="center" vertical="center"/>
    </xf>
    <xf numFmtId="3" fontId="7" fillId="0" borderId="20" xfId="0" applyNumberFormat="1" applyFont="1" applyBorder="1" applyAlignment="1">
      <alignment horizontal="center" vertical="center"/>
    </xf>
    <xf numFmtId="3" fontId="7" fillId="0" borderId="50" xfId="0" applyNumberFormat="1" applyFont="1" applyBorder="1" applyAlignment="1">
      <alignment horizontal="center" vertical="center"/>
    </xf>
    <xf numFmtId="3" fontId="7" fillId="0" borderId="16" xfId="0" applyNumberFormat="1" applyFont="1" applyBorder="1" applyAlignment="1">
      <alignment horizontal="center" vertical="center"/>
    </xf>
    <xf numFmtId="1" fontId="7" fillId="0" borderId="4" xfId="0" applyNumberFormat="1" applyFont="1" applyBorder="1" applyAlignment="1">
      <alignment horizontal="center" vertical="center"/>
    </xf>
    <xf numFmtId="3" fontId="7" fillId="0" borderId="18" xfId="0" applyNumberFormat="1" applyFont="1" applyBorder="1" applyAlignment="1">
      <alignment horizontal="center" vertical="center"/>
    </xf>
    <xf numFmtId="4" fontId="4" fillId="0" borderId="16" xfId="0" applyNumberFormat="1" applyFont="1" applyBorder="1" applyAlignment="1">
      <alignment horizontal="center" vertical="center"/>
    </xf>
    <xf numFmtId="0" fontId="41" fillId="0" borderId="20" xfId="0" applyFont="1" applyBorder="1" applyAlignment="1">
      <alignment vertical="center"/>
    </xf>
    <xf numFmtId="1" fontId="4" fillId="0" borderId="18" xfId="0" applyNumberFormat="1" applyFont="1" applyBorder="1" applyAlignment="1">
      <alignment horizontal="center" vertical="center"/>
    </xf>
    <xf numFmtId="2" fontId="41" fillId="0" borderId="16" xfId="0" applyNumberFormat="1" applyFont="1" applyBorder="1" applyAlignment="1">
      <alignment horizontal="center" vertical="center"/>
    </xf>
    <xf numFmtId="1" fontId="4" fillId="0" borderId="16" xfId="0" applyNumberFormat="1" applyFont="1" applyBorder="1" applyAlignment="1">
      <alignment horizontal="center" vertical="center"/>
    </xf>
    <xf numFmtId="2" fontId="4" fillId="0" borderId="50" xfId="0" applyNumberFormat="1" applyFont="1" applyBorder="1" applyAlignment="1">
      <alignment horizontal="center" vertical="center"/>
    </xf>
    <xf numFmtId="164" fontId="4" fillId="0" borderId="50" xfId="0" applyNumberFormat="1" applyFont="1" applyBorder="1" applyAlignment="1">
      <alignment horizontal="center" vertical="center"/>
    </xf>
    <xf numFmtId="2" fontId="7" fillId="0" borderId="50" xfId="0" applyNumberFormat="1" applyFont="1" applyBorder="1" applyAlignment="1">
      <alignment horizontal="center" vertical="center"/>
    </xf>
    <xf numFmtId="2" fontId="4" fillId="0" borderId="18" xfId="0" applyNumberFormat="1" applyFont="1" applyBorder="1" applyAlignment="1">
      <alignment horizontal="center" vertical="center"/>
    </xf>
    <xf numFmtId="0" fontId="49" fillId="0" borderId="1" xfId="0" applyFont="1" applyBorder="1" applyAlignment="1">
      <alignment horizontal="center" vertical="center"/>
    </xf>
    <xf numFmtId="0" fontId="4" fillId="0" borderId="12" xfId="0" applyFont="1" applyBorder="1" applyAlignment="1">
      <alignment horizontal="center" vertical="center"/>
    </xf>
    <xf numFmtId="1" fontId="4" fillId="0" borderId="1" xfId="0" applyNumberFormat="1" applyFont="1" applyBorder="1" applyAlignment="1">
      <alignment horizontal="center" vertical="center"/>
    </xf>
    <xf numFmtId="0" fontId="4" fillId="0" borderId="42" xfId="0" applyFont="1" applyBorder="1" applyAlignment="1">
      <alignment horizontal="center" vertical="center"/>
    </xf>
    <xf numFmtId="2" fontId="4" fillId="0" borderId="1" xfId="0" applyNumberFormat="1" applyFont="1" applyBorder="1" applyAlignment="1">
      <alignment horizontal="center" vertical="center"/>
    </xf>
    <xf numFmtId="164" fontId="4" fillId="0" borderId="18" xfId="0" applyNumberFormat="1" applyFont="1" applyBorder="1" applyAlignment="1">
      <alignment horizontal="center" vertical="center"/>
    </xf>
    <xf numFmtId="3" fontId="4" fillId="0" borderId="4" xfId="0" applyNumberFormat="1" applyFont="1" applyBorder="1" applyAlignment="1">
      <alignment horizontal="center" vertical="center"/>
    </xf>
    <xf numFmtId="0" fontId="7" fillId="0" borderId="12" xfId="0" applyFont="1" applyBorder="1" applyAlignment="1">
      <alignment horizontal="center" vertical="center"/>
    </xf>
    <xf numFmtId="2" fontId="41" fillId="0" borderId="50" xfId="0" applyNumberFormat="1" applyFont="1" applyBorder="1" applyAlignment="1">
      <alignment horizontal="center" vertical="center"/>
    </xf>
    <xf numFmtId="0" fontId="7" fillId="0" borderId="17" xfId="0" applyFont="1" applyBorder="1" applyAlignment="1">
      <alignment horizontal="center" vertical="center"/>
    </xf>
    <xf numFmtId="0" fontId="4" fillId="2" borderId="0" xfId="0" applyFont="1" applyFill="1" applyAlignment="1">
      <alignment vertical="center"/>
    </xf>
    <xf numFmtId="0" fontId="7" fillId="0" borderId="0" xfId="0" applyFont="1" applyAlignment="1">
      <alignment horizontal="center" vertical="center" textRotation="90"/>
    </xf>
    <xf numFmtId="0" fontId="7" fillId="8" borderId="19" xfId="0" applyFont="1" applyFill="1" applyBorder="1" applyAlignment="1">
      <alignment horizontal="center" vertical="center"/>
    </xf>
    <xf numFmtId="0" fontId="7" fillId="8" borderId="0" xfId="0" applyFont="1" applyFill="1" applyAlignment="1">
      <alignment horizontal="center" vertical="center"/>
    </xf>
    <xf numFmtId="0" fontId="7" fillId="8" borderId="46" xfId="0" applyFont="1" applyFill="1" applyBorder="1" applyAlignment="1">
      <alignment horizontal="center" vertical="center"/>
    </xf>
    <xf numFmtId="0" fontId="7" fillId="8" borderId="30" xfId="0" applyFont="1" applyFill="1" applyBorder="1" applyAlignment="1">
      <alignment horizontal="center" vertical="center"/>
    </xf>
    <xf numFmtId="0" fontId="7" fillId="8" borderId="24" xfId="0" applyFont="1" applyFill="1" applyBorder="1" applyAlignment="1">
      <alignment horizontal="center" vertical="center"/>
    </xf>
    <xf numFmtId="0" fontId="7" fillId="8" borderId="25" xfId="0" applyFont="1" applyFill="1" applyBorder="1" applyAlignment="1">
      <alignment horizontal="center" vertical="center"/>
    </xf>
    <xf numFmtId="0" fontId="7" fillId="8" borderId="26" xfId="0" applyFont="1" applyFill="1" applyBorder="1" applyAlignment="1">
      <alignment horizontal="center" vertical="center"/>
    </xf>
    <xf numFmtId="0" fontId="7" fillId="8" borderId="13" xfId="0" applyFont="1" applyFill="1" applyBorder="1" applyAlignment="1">
      <alignment horizontal="center" vertical="center"/>
    </xf>
    <xf numFmtId="2" fontId="4" fillId="0" borderId="0" xfId="0" applyNumberFormat="1" applyFont="1" applyAlignment="1">
      <alignment horizontal="center" vertical="center"/>
    </xf>
    <xf numFmtId="0" fontId="36" fillId="0" borderId="1" xfId="0" applyFont="1" applyBorder="1" applyAlignment="1">
      <alignment horizontal="center" vertical="center"/>
    </xf>
    <xf numFmtId="0" fontId="36" fillId="0" borderId="0" xfId="0" applyFont="1" applyAlignment="1">
      <alignment horizontal="center" vertical="center"/>
    </xf>
    <xf numFmtId="0" fontId="4" fillId="0" borderId="30" xfId="0" applyFont="1" applyBorder="1" applyAlignment="1">
      <alignment horizontal="centerContinuous" vertical="center"/>
    </xf>
    <xf numFmtId="0" fontId="4" fillId="0" borderId="30" xfId="0" applyFont="1" applyBorder="1" applyAlignment="1">
      <alignment horizontal="center" vertical="center"/>
    </xf>
    <xf numFmtId="0" fontId="4" fillId="2" borderId="0" xfId="0" applyFont="1" applyFill="1" applyAlignment="1">
      <alignment horizontal="centerContinuous" vertical="center"/>
    </xf>
    <xf numFmtId="11" fontId="7" fillId="0" borderId="4" xfId="0" applyNumberFormat="1" applyFont="1" applyBorder="1" applyAlignment="1">
      <alignment horizontal="center" vertical="center"/>
    </xf>
    <xf numFmtId="0" fontId="7" fillId="5" borderId="12" xfId="0" applyFont="1" applyFill="1" applyBorder="1" applyAlignment="1">
      <alignment horizontal="center" vertical="center"/>
    </xf>
    <xf numFmtId="0" fontId="4" fillId="0" borderId="47" xfId="0" applyFont="1" applyBorder="1" applyAlignment="1">
      <alignment horizontal="center" vertical="center"/>
    </xf>
    <xf numFmtId="0" fontId="7" fillId="6" borderId="10" xfId="0" applyFont="1" applyFill="1" applyBorder="1" applyAlignment="1" applyProtection="1">
      <alignment horizontal="left" vertical="center" wrapText="1"/>
      <protection hidden="1"/>
    </xf>
    <xf numFmtId="0" fontId="12" fillId="0" borderId="40" xfId="0" applyFont="1" applyBorder="1" applyAlignment="1" applyProtection="1">
      <alignment vertical="center"/>
      <protection hidden="1"/>
    </xf>
    <xf numFmtId="0" fontId="12" fillId="0" borderId="47" xfId="0" applyFont="1" applyBorder="1" applyAlignment="1" applyProtection="1">
      <alignment vertical="center"/>
      <protection hidden="1"/>
    </xf>
    <xf numFmtId="0" fontId="12" fillId="0" borderId="0" xfId="0" applyFont="1" applyAlignment="1" applyProtection="1">
      <alignment vertical="center" wrapText="1"/>
      <protection hidden="1"/>
    </xf>
    <xf numFmtId="0" fontId="36" fillId="6" borderId="51" xfId="0" applyFont="1" applyFill="1" applyBorder="1" applyAlignment="1" applyProtection="1">
      <alignment horizontal="center" vertical="center" wrapText="1"/>
      <protection hidden="1"/>
    </xf>
    <xf numFmtId="0" fontId="55" fillId="6" borderId="39" xfId="0" applyFont="1" applyFill="1" applyBorder="1" applyAlignment="1" applyProtection="1">
      <alignment horizontal="center" vertical="center"/>
      <protection hidden="1"/>
    </xf>
    <xf numFmtId="0" fontId="4" fillId="6" borderId="1" xfId="0" applyFont="1" applyFill="1" applyBorder="1" applyAlignment="1">
      <alignment horizontal="center" vertical="center" wrapText="1"/>
    </xf>
    <xf numFmtId="0" fontId="5" fillId="2" borderId="0" xfId="0" applyFont="1" applyFill="1" applyAlignment="1">
      <alignment horizontal="centerContinuous" vertical="center"/>
    </xf>
    <xf numFmtId="0" fontId="7" fillId="0" borderId="0" xfId="0" applyFont="1" applyAlignment="1">
      <alignment vertical="center" textRotation="90"/>
    </xf>
    <xf numFmtId="0" fontId="4" fillId="0" borderId="0" xfId="0" applyFont="1" applyAlignment="1" applyProtection="1">
      <alignment horizontal="left" vertical="center"/>
      <protection hidden="1"/>
    </xf>
    <xf numFmtId="0" fontId="4" fillId="0" borderId="0" xfId="0" applyFont="1" applyAlignment="1" applyProtection="1">
      <alignment horizontal="center" vertical="center" wrapText="1"/>
      <protection hidden="1"/>
    </xf>
    <xf numFmtId="0" fontId="4" fillId="0" borderId="0" xfId="0" applyFont="1" applyAlignment="1" applyProtection="1">
      <alignment vertical="center"/>
      <protection hidden="1"/>
    </xf>
    <xf numFmtId="0" fontId="7" fillId="0" borderId="0" xfId="0" applyFont="1" applyAlignment="1" applyProtection="1">
      <alignment vertical="center"/>
      <protection hidden="1"/>
    </xf>
    <xf numFmtId="2" fontId="7" fillId="6" borderId="1" xfId="0" applyNumberFormat="1" applyFont="1" applyFill="1" applyBorder="1" applyAlignment="1" applyProtection="1">
      <alignment horizontal="left" vertical="center" wrapText="1"/>
      <protection hidden="1"/>
    </xf>
    <xf numFmtId="0" fontId="7" fillId="6" borderId="1" xfId="0" applyFont="1" applyFill="1" applyBorder="1" applyAlignment="1" applyProtection="1">
      <alignment horizontal="left" vertical="center" wrapText="1"/>
      <protection hidden="1"/>
    </xf>
    <xf numFmtId="0" fontId="32" fillId="2" borderId="0" xfId="0" applyFont="1" applyFill="1" applyAlignment="1">
      <alignment horizontal="center" vertical="center"/>
    </xf>
    <xf numFmtId="0" fontId="32" fillId="2" borderId="0" xfId="0" applyFont="1" applyFill="1" applyAlignment="1">
      <alignment vertical="center"/>
    </xf>
    <xf numFmtId="0" fontId="7" fillId="8" borderId="1" xfId="0" applyFont="1" applyFill="1" applyBorder="1" applyAlignment="1" applyProtection="1">
      <alignment horizontal="center" vertical="center" wrapText="1"/>
      <protection hidden="1"/>
    </xf>
    <xf numFmtId="0" fontId="4" fillId="0" borderId="1" xfId="0" applyFont="1" applyBorder="1" applyAlignment="1">
      <alignment vertical="center"/>
    </xf>
    <xf numFmtId="0" fontId="46" fillId="7" borderId="0" xfId="0" applyFont="1" applyFill="1" applyAlignment="1">
      <alignment horizontal="left" vertical="center"/>
    </xf>
    <xf numFmtId="0" fontId="4" fillId="6" borderId="42" xfId="0" applyFont="1" applyFill="1" applyBorder="1" applyAlignment="1">
      <alignment horizontal="center" vertical="center"/>
    </xf>
    <xf numFmtId="0" fontId="7" fillId="6" borderId="28" xfId="0" applyFont="1" applyFill="1" applyBorder="1" applyAlignment="1">
      <alignment horizontal="center" vertical="center"/>
    </xf>
    <xf numFmtId="0" fontId="4" fillId="0" borderId="25" xfId="0" applyFont="1" applyBorder="1" applyAlignment="1">
      <alignment horizontal="center" vertical="center"/>
    </xf>
    <xf numFmtId="0" fontId="4" fillId="0" borderId="0" xfId="0" applyFont="1" applyAlignment="1" applyProtection="1">
      <alignment vertical="center"/>
      <protection locked="0"/>
    </xf>
    <xf numFmtId="0" fontId="7" fillId="8" borderId="42" xfId="0" applyFont="1" applyFill="1" applyBorder="1" applyAlignment="1">
      <alignment horizontal="left" vertical="center"/>
    </xf>
    <xf numFmtId="0" fontId="4" fillId="6" borderId="42" xfId="0" applyFont="1" applyFill="1" applyBorder="1" applyAlignment="1">
      <alignment horizontal="left" vertical="center"/>
    </xf>
    <xf numFmtId="0" fontId="4" fillId="6" borderId="28" xfId="0" applyFont="1" applyFill="1" applyBorder="1" applyAlignment="1">
      <alignment vertical="center"/>
    </xf>
    <xf numFmtId="0" fontId="4" fillId="6" borderId="29" xfId="0" applyFont="1" applyFill="1" applyBorder="1" applyAlignment="1">
      <alignment vertical="center"/>
    </xf>
    <xf numFmtId="0" fontId="4" fillId="0" borderId="1" xfId="0" applyFont="1" applyBorder="1" applyAlignment="1">
      <alignment horizontal="center" vertical="center" wrapText="1"/>
    </xf>
    <xf numFmtId="0" fontId="4" fillId="0" borderId="1" xfId="0" applyFont="1" applyBorder="1" applyAlignment="1">
      <alignment vertical="center" wrapText="1"/>
    </xf>
    <xf numFmtId="0" fontId="14" fillId="0" borderId="1" xfId="0" applyFont="1" applyBorder="1" applyAlignment="1" applyProtection="1">
      <alignment horizontal="center" vertical="center"/>
      <protection locked="0"/>
    </xf>
    <xf numFmtId="0" fontId="4" fillId="0" borderId="26" xfId="0" applyFont="1" applyBorder="1" applyAlignment="1">
      <alignment horizontal="center" vertical="center"/>
    </xf>
    <xf numFmtId="0" fontId="4" fillId="0" borderId="13" xfId="0" applyFont="1" applyBorder="1" applyAlignment="1">
      <alignment horizontal="center" vertical="center"/>
    </xf>
    <xf numFmtId="0" fontId="4" fillId="0" borderId="43" xfId="0" applyFont="1" applyBorder="1" applyAlignment="1">
      <alignment vertical="center"/>
    </xf>
    <xf numFmtId="0" fontId="4" fillId="0" borderId="24" xfId="0" applyFont="1" applyBorder="1" applyAlignment="1">
      <alignment vertical="center"/>
    </xf>
    <xf numFmtId="0" fontId="4" fillId="0" borderId="25" xfId="0" applyFont="1" applyBorder="1" applyAlignment="1">
      <alignment vertical="center"/>
    </xf>
    <xf numFmtId="0" fontId="4" fillId="0" borderId="13" xfId="0" applyFont="1" applyBorder="1" applyAlignment="1">
      <alignment vertical="center"/>
    </xf>
    <xf numFmtId="0" fontId="4" fillId="0" borderId="0" xfId="0" applyFont="1" applyAlignment="1">
      <alignment vertical="center" wrapText="1"/>
    </xf>
    <xf numFmtId="0" fontId="4" fillId="0" borderId="26" xfId="0" applyFont="1" applyBorder="1" applyAlignment="1">
      <alignment horizontal="left" vertical="center"/>
    </xf>
    <xf numFmtId="0" fontId="7" fillId="0" borderId="10" xfId="0" applyFont="1" applyBorder="1" applyAlignment="1">
      <alignment horizontal="center" vertical="center"/>
    </xf>
    <xf numFmtId="0" fontId="49" fillId="0" borderId="27" xfId="0" applyFont="1" applyBorder="1" applyAlignment="1">
      <alignment horizontal="center" vertical="center"/>
    </xf>
    <xf numFmtId="0" fontId="4" fillId="10" borderId="26" xfId="0" applyFont="1" applyFill="1" applyBorder="1" applyAlignment="1">
      <alignment horizontal="center" vertical="center"/>
    </xf>
    <xf numFmtId="0" fontId="4" fillId="10" borderId="13" xfId="0" applyFont="1" applyFill="1" applyBorder="1" applyAlignment="1">
      <alignment horizontal="center" vertical="center"/>
    </xf>
    <xf numFmtId="0" fontId="4" fillId="0" borderId="23" xfId="0" applyFont="1" applyBorder="1" applyAlignment="1">
      <alignment horizontal="right" vertical="center"/>
    </xf>
    <xf numFmtId="0" fontId="4" fillId="0" borderId="27" xfId="0" applyFont="1" applyBorder="1" applyAlignment="1">
      <alignment horizontal="right" vertical="center"/>
    </xf>
    <xf numFmtId="0" fontId="7" fillId="10" borderId="1" xfId="0" applyFont="1" applyFill="1" applyBorder="1" applyAlignment="1">
      <alignment horizontal="center" vertical="center"/>
    </xf>
    <xf numFmtId="0" fontId="4" fillId="4" borderId="0" xfId="0" applyFont="1" applyFill="1" applyAlignment="1">
      <alignment horizontal="left" vertical="center"/>
    </xf>
    <xf numFmtId="0" fontId="4" fillId="0" borderId="42" xfId="0" applyFont="1" applyBorder="1" applyAlignment="1">
      <alignment horizontal="center" vertical="center" wrapText="1"/>
    </xf>
    <xf numFmtId="0" fontId="4" fillId="0" borderId="1" xfId="0" applyFont="1" applyBorder="1" applyAlignment="1">
      <alignment horizontal="left" vertical="center"/>
    </xf>
    <xf numFmtId="0" fontId="7" fillId="6" borderId="1" xfId="0" applyFont="1" applyFill="1" applyBorder="1" applyAlignment="1">
      <alignment horizontal="center" vertical="center" textRotation="90"/>
    </xf>
    <xf numFmtId="0" fontId="7" fillId="6" borderId="1" xfId="0" applyFont="1" applyFill="1" applyBorder="1" applyAlignment="1">
      <alignment horizontal="left" vertical="center" wrapText="1"/>
    </xf>
    <xf numFmtId="0" fontId="7" fillId="6" borderId="1" xfId="0" applyFont="1" applyFill="1" applyBorder="1" applyAlignment="1">
      <alignment horizontal="left" vertical="center" textRotation="90"/>
    </xf>
    <xf numFmtId="0" fontId="6" fillId="0" borderId="1" xfId="0" applyFont="1" applyBorder="1" applyAlignment="1">
      <alignment horizontal="center" vertical="center"/>
    </xf>
    <xf numFmtId="0" fontId="4" fillId="0" borderId="41" xfId="0" applyFont="1" applyBorder="1" applyAlignment="1">
      <alignment horizontal="center" vertical="center"/>
    </xf>
    <xf numFmtId="0" fontId="19" fillId="0" borderId="49" xfId="0" applyFont="1" applyBorder="1" applyAlignment="1" applyProtection="1">
      <alignment horizontal="center" vertical="center"/>
      <protection locked="0"/>
    </xf>
    <xf numFmtId="0" fontId="19" fillId="0" borderId="1" xfId="0" applyFont="1" applyBorder="1" applyAlignment="1" applyProtection="1">
      <alignment horizontal="center" vertical="center"/>
      <protection locked="0"/>
    </xf>
    <xf numFmtId="0" fontId="19" fillId="0" borderId="27" xfId="0" applyFont="1" applyBorder="1" applyAlignment="1" applyProtection="1">
      <alignment horizontal="center" vertical="center"/>
      <protection locked="0"/>
    </xf>
    <xf numFmtId="0" fontId="19" fillId="0" borderId="9" xfId="0" applyFont="1" applyBorder="1" applyAlignment="1" applyProtection="1">
      <alignment horizontal="center" vertical="center"/>
      <protection locked="0"/>
    </xf>
    <xf numFmtId="0" fontId="7" fillId="0" borderId="9" xfId="0" applyFont="1" applyBorder="1" applyAlignment="1">
      <alignment horizontal="center" vertical="center"/>
    </xf>
    <xf numFmtId="0" fontId="19" fillId="0" borderId="9" xfId="0" applyFont="1" applyBorder="1" applyAlignment="1">
      <alignment horizontal="center" vertical="center"/>
    </xf>
    <xf numFmtId="0" fontId="7" fillId="0" borderId="48" xfId="0" applyFont="1" applyBorder="1" applyAlignment="1">
      <alignment horizontal="center" vertical="center"/>
    </xf>
    <xf numFmtId="0" fontId="19" fillId="0" borderId="48" xfId="0" applyFont="1" applyBorder="1" applyAlignment="1" applyProtection="1">
      <alignment horizontal="center" vertical="center"/>
      <protection locked="0"/>
    </xf>
    <xf numFmtId="0" fontId="4" fillId="0" borderId="19" xfId="0" applyFont="1" applyBorder="1" applyAlignment="1">
      <alignment horizontal="center" vertical="center"/>
    </xf>
    <xf numFmtId="0" fontId="4" fillId="0" borderId="43" xfId="0" applyFont="1" applyBorder="1" applyAlignment="1">
      <alignment horizontal="center" vertical="center"/>
    </xf>
    <xf numFmtId="0" fontId="14" fillId="0" borderId="0" xfId="0" applyFont="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24" xfId="0" applyFont="1" applyBorder="1" applyAlignment="1">
      <alignment horizontal="center" vertical="center"/>
    </xf>
    <xf numFmtId="0" fontId="7" fillId="0" borderId="25" xfId="0" applyFont="1" applyBorder="1" applyAlignment="1">
      <alignment horizontal="center" vertical="center"/>
    </xf>
    <xf numFmtId="0" fontId="14" fillId="0" borderId="1" xfId="0" applyFont="1" applyBorder="1" applyAlignment="1">
      <alignment horizontal="center" vertical="center"/>
    </xf>
    <xf numFmtId="0" fontId="14" fillId="0" borderId="0" xfId="0" applyFont="1" applyAlignment="1">
      <alignment horizontal="right" vertical="center"/>
    </xf>
    <xf numFmtId="49" fontId="4" fillId="0" borderId="1" xfId="0" applyNumberFormat="1" applyFont="1" applyBorder="1" applyAlignment="1">
      <alignment horizontal="center" vertical="center"/>
    </xf>
    <xf numFmtId="0" fontId="4" fillId="0" borderId="27" xfId="0" applyFont="1" applyBorder="1" applyAlignment="1">
      <alignment horizontal="center" vertical="center"/>
    </xf>
    <xf numFmtId="0" fontId="32" fillId="0" borderId="1" xfId="0" applyFont="1" applyBorder="1" applyAlignment="1" applyProtection="1">
      <alignment horizontal="center" vertical="center"/>
      <protection locked="0"/>
    </xf>
    <xf numFmtId="0" fontId="19" fillId="0" borderId="13" xfId="0" applyFont="1" applyBorder="1" applyAlignment="1" applyProtection="1">
      <alignment horizontal="center" vertical="center"/>
      <protection locked="0"/>
    </xf>
    <xf numFmtId="0" fontId="19" fillId="0" borderId="42" xfId="0" applyFont="1" applyBorder="1" applyAlignment="1" applyProtection="1">
      <alignment horizontal="center" vertical="center"/>
      <protection locked="0"/>
    </xf>
    <xf numFmtId="0" fontId="4" fillId="0" borderId="10" xfId="0" applyFont="1" applyBorder="1" applyAlignment="1">
      <alignment horizontal="right" vertical="center" wrapText="1"/>
    </xf>
    <xf numFmtId="0" fontId="4" fillId="0" borderId="46" xfId="0" applyFont="1" applyBorder="1" applyAlignment="1">
      <alignment horizontal="left" vertical="center"/>
    </xf>
    <xf numFmtId="0" fontId="4" fillId="0" borderId="46" xfId="0" applyFont="1" applyBorder="1" applyAlignment="1">
      <alignment horizontal="right" vertical="center"/>
    </xf>
    <xf numFmtId="0" fontId="4" fillId="0" borderId="30" xfId="0" applyFont="1" applyBorder="1" applyAlignment="1">
      <alignment horizontal="left" vertical="center"/>
    </xf>
    <xf numFmtId="0" fontId="4" fillId="0" borderId="26" xfId="0" applyFont="1" applyBorder="1" applyAlignment="1">
      <alignment vertical="center"/>
    </xf>
    <xf numFmtId="0" fontId="4" fillId="0" borderId="25" xfId="0" applyFont="1" applyBorder="1" applyAlignment="1">
      <alignment horizontal="left" vertical="center"/>
    </xf>
    <xf numFmtId="0" fontId="54" fillId="0" borderId="0" xfId="1" applyFont="1" applyAlignment="1" applyProtection="1">
      <alignment horizontal="left" vertical="center"/>
    </xf>
    <xf numFmtId="0" fontId="5" fillId="10" borderId="10" xfId="0" applyFont="1" applyFill="1" applyBorder="1" applyAlignment="1" applyProtection="1">
      <alignment horizontal="center" vertical="center"/>
      <protection locked="0"/>
    </xf>
    <xf numFmtId="0" fontId="5" fillId="10" borderId="10" xfId="0" applyFont="1" applyFill="1" applyBorder="1" applyAlignment="1" applyProtection="1">
      <alignment horizontal="center" vertical="center" wrapText="1"/>
      <protection locked="0"/>
    </xf>
    <xf numFmtId="0" fontId="7" fillId="0" borderId="28" xfId="0" applyFont="1" applyBorder="1" applyAlignment="1">
      <alignment horizontal="center" vertical="center"/>
    </xf>
    <xf numFmtId="0" fontId="4" fillId="0" borderId="1" xfId="0" applyFont="1" applyBorder="1" applyAlignment="1">
      <alignment horizontal="left" vertical="center" wrapText="1"/>
    </xf>
    <xf numFmtId="0" fontId="6" fillId="0" borderId="0" xfId="0" applyFont="1" applyAlignment="1">
      <alignment vertical="center"/>
    </xf>
    <xf numFmtId="1" fontId="4" fillId="0" borderId="0" xfId="0" applyNumberFormat="1" applyFont="1" applyAlignment="1">
      <alignment horizontal="center" vertical="center"/>
    </xf>
    <xf numFmtId="0" fontId="45" fillId="0" borderId="0" xfId="0" applyFont="1" applyAlignment="1">
      <alignment horizontal="center" vertical="center"/>
    </xf>
    <xf numFmtId="0" fontId="4" fillId="0" borderId="29" xfId="0" applyFont="1" applyBorder="1" applyAlignment="1">
      <alignment vertical="center" wrapText="1"/>
    </xf>
    <xf numFmtId="14" fontId="4" fillId="0" borderId="1" xfId="0" applyNumberFormat="1" applyFont="1" applyBorder="1" applyAlignment="1">
      <alignment horizontal="center" vertical="center" wrapText="1"/>
    </xf>
    <xf numFmtId="170" fontId="4" fillId="0" borderId="18" xfId="0" applyNumberFormat="1" applyFont="1" applyBorder="1" applyAlignment="1">
      <alignment horizontal="center" vertical="center"/>
    </xf>
    <xf numFmtId="2" fontId="7" fillId="0" borderId="18" xfId="0" applyNumberFormat="1" applyFont="1" applyBorder="1" applyAlignment="1">
      <alignment horizontal="center" vertical="center"/>
    </xf>
    <xf numFmtId="168" fontId="41" fillId="0" borderId="15" xfId="0" applyNumberFormat="1" applyFont="1" applyBorder="1" applyAlignment="1">
      <alignment horizontal="center" vertical="center"/>
    </xf>
    <xf numFmtId="2" fontId="4" fillId="3" borderId="0" xfId="0" applyNumberFormat="1" applyFont="1" applyFill="1" applyAlignment="1">
      <alignment vertical="center"/>
    </xf>
    <xf numFmtId="2" fontId="4" fillId="4" borderId="0" xfId="0" applyNumberFormat="1" applyFont="1" applyFill="1" applyAlignment="1">
      <alignment vertical="center"/>
    </xf>
    <xf numFmtId="168" fontId="4" fillId="4" borderId="0" xfId="0" applyNumberFormat="1" applyFont="1" applyFill="1" applyAlignment="1">
      <alignment vertical="center"/>
    </xf>
    <xf numFmtId="168" fontId="4" fillId="3" borderId="0" xfId="0" applyNumberFormat="1" applyFont="1" applyFill="1" applyAlignment="1">
      <alignment vertical="center"/>
    </xf>
    <xf numFmtId="1" fontId="7" fillId="0" borderId="1" xfId="0" applyNumberFormat="1" applyFont="1" applyBorder="1" applyAlignment="1">
      <alignment horizontal="center" vertical="center"/>
    </xf>
    <xf numFmtId="0" fontId="4" fillId="7" borderId="1" xfId="0" applyFont="1" applyFill="1" applyBorder="1" applyAlignment="1">
      <alignment horizontal="center" vertical="center"/>
    </xf>
    <xf numFmtId="169" fontId="41" fillId="0" borderId="15" xfId="0" applyNumberFormat="1" applyFont="1" applyBorder="1" applyAlignment="1">
      <alignment horizontal="center" vertical="center"/>
    </xf>
    <xf numFmtId="1" fontId="49" fillId="0" borderId="14" xfId="0" applyNumberFormat="1" applyFont="1" applyBorder="1" applyAlignment="1">
      <alignment horizontal="center" vertical="center"/>
    </xf>
    <xf numFmtId="0" fontId="4" fillId="6" borderId="42" xfId="0" applyFont="1" applyFill="1" applyBorder="1" applyAlignment="1" applyProtection="1">
      <alignment horizontal="center" vertical="center"/>
      <protection hidden="1"/>
    </xf>
    <xf numFmtId="0" fontId="6" fillId="0" borderId="0" xfId="0" applyFont="1" applyAlignment="1">
      <alignment horizontal="right" vertical="center"/>
    </xf>
    <xf numFmtId="0" fontId="7" fillId="10" borderId="28" xfId="0" applyFont="1" applyFill="1" applyBorder="1" applyAlignment="1">
      <alignment horizontal="right" vertical="center"/>
    </xf>
    <xf numFmtId="0" fontId="4" fillId="10" borderId="42" xfId="0" applyFont="1" applyFill="1" applyBorder="1" applyAlignment="1">
      <alignment horizontal="center" vertical="center"/>
    </xf>
    <xf numFmtId="0" fontId="7" fillId="10" borderId="29" xfId="0" applyFont="1" applyFill="1" applyBorder="1" applyAlignment="1">
      <alignment horizontal="center" vertical="center"/>
    </xf>
    <xf numFmtId="0" fontId="4" fillId="8" borderId="1" xfId="0" applyFont="1" applyFill="1" applyBorder="1" applyAlignment="1">
      <alignment horizontal="right" vertical="center"/>
    </xf>
    <xf numFmtId="1" fontId="4" fillId="0" borderId="1" xfId="0" applyNumberFormat="1" applyFont="1" applyBorder="1" applyAlignment="1">
      <alignment horizontal="right" vertical="center"/>
    </xf>
    <xf numFmtId="0" fontId="4" fillId="0" borderId="1" xfId="0" applyFont="1" applyBorder="1" applyAlignment="1">
      <alignment horizontal="right" vertical="center"/>
    </xf>
    <xf numFmtId="1" fontId="12" fillId="10" borderId="28" xfId="0" applyNumberFormat="1" applyFont="1" applyFill="1" applyBorder="1" applyAlignment="1" applyProtection="1">
      <alignment vertical="center"/>
      <protection hidden="1"/>
    </xf>
    <xf numFmtId="1" fontId="12" fillId="10" borderId="29" xfId="0" applyNumberFormat="1" applyFont="1" applyFill="1" applyBorder="1" applyAlignment="1" applyProtection="1">
      <alignment vertical="center"/>
      <protection hidden="1"/>
    </xf>
    <xf numFmtId="0" fontId="7" fillId="10" borderId="28" xfId="0" applyFont="1" applyFill="1" applyBorder="1" applyAlignment="1">
      <alignment horizontal="centerContinuous" vertical="center"/>
    </xf>
    <xf numFmtId="0" fontId="7" fillId="10" borderId="42" xfId="0" applyFont="1" applyFill="1" applyBorder="1" applyAlignment="1">
      <alignment horizontal="centerContinuous" vertical="center"/>
    </xf>
    <xf numFmtId="0" fontId="36" fillId="0" borderId="1" xfId="0" applyFont="1" applyBorder="1" applyAlignment="1">
      <alignment horizontal="left" vertical="top" wrapText="1"/>
    </xf>
    <xf numFmtId="0" fontId="12" fillId="0" borderId="29" xfId="0" applyFont="1" applyBorder="1" applyAlignment="1" applyProtection="1">
      <alignment vertical="center"/>
      <protection hidden="1"/>
    </xf>
    <xf numFmtId="0" fontId="12" fillId="0" borderId="56" xfId="0" applyFont="1" applyBorder="1" applyAlignment="1" applyProtection="1">
      <alignment vertical="center"/>
      <protection hidden="1"/>
    </xf>
    <xf numFmtId="1" fontId="7" fillId="7" borderId="1" xfId="0" applyNumberFormat="1" applyFont="1" applyFill="1" applyBorder="1" applyAlignment="1">
      <alignment horizontal="center" vertical="center"/>
    </xf>
    <xf numFmtId="0" fontId="7" fillId="7" borderId="0" xfId="0" applyFont="1" applyFill="1" applyAlignment="1">
      <alignment horizontal="center" vertical="center" wrapText="1"/>
    </xf>
    <xf numFmtId="0" fontId="7" fillId="7" borderId="0" xfId="0" applyFont="1" applyFill="1" applyAlignment="1">
      <alignment horizontal="center" vertical="center" textRotation="90" wrapText="1"/>
    </xf>
    <xf numFmtId="169" fontId="7" fillId="7" borderId="0" xfId="0" applyNumberFormat="1" applyFont="1" applyFill="1" applyAlignment="1">
      <alignment horizontal="center" vertical="center"/>
    </xf>
    <xf numFmtId="3" fontId="4" fillId="7" borderId="0" xfId="0" applyNumberFormat="1" applyFont="1" applyFill="1" applyAlignment="1">
      <alignment horizontal="center" vertical="center"/>
    </xf>
    <xf numFmtId="3" fontId="4" fillId="7" borderId="0" xfId="0" applyNumberFormat="1" applyFont="1" applyFill="1" applyAlignment="1" applyProtection="1">
      <alignment horizontal="center" vertical="center"/>
      <protection locked="0"/>
    </xf>
    <xf numFmtId="0" fontId="0" fillId="7" borderId="0" xfId="0" applyFill="1"/>
    <xf numFmtId="170" fontId="7" fillId="0" borderId="12" xfId="0" applyNumberFormat="1" applyFont="1" applyBorder="1" applyAlignment="1">
      <alignment horizontal="center" vertical="center"/>
    </xf>
    <xf numFmtId="0" fontId="4" fillId="7" borderId="16" xfId="0" applyFont="1" applyFill="1" applyBorder="1" applyAlignment="1">
      <alignment horizontal="center" vertical="center"/>
    </xf>
    <xf numFmtId="0" fontId="7" fillId="7" borderId="16" xfId="0" applyFont="1" applyFill="1" applyBorder="1" applyAlignment="1">
      <alignment horizontal="center" vertical="center"/>
    </xf>
    <xf numFmtId="170" fontId="4" fillId="0" borderId="1" xfId="0" applyNumberFormat="1" applyFont="1" applyBorder="1" applyAlignment="1">
      <alignment horizontal="center" vertical="center"/>
    </xf>
    <xf numFmtId="2" fontId="4" fillId="3" borderId="0" xfId="0" applyNumberFormat="1" applyFont="1" applyFill="1" applyAlignment="1">
      <alignment horizontal="center" vertical="center"/>
    </xf>
    <xf numFmtId="0" fontId="20" fillId="7" borderId="1" xfId="0" applyFont="1" applyFill="1" applyBorder="1" applyAlignment="1">
      <alignment horizontal="center" vertical="center"/>
    </xf>
    <xf numFmtId="0" fontId="20" fillId="7" borderId="0" xfId="0" applyFont="1" applyFill="1" applyAlignment="1">
      <alignment horizontal="center" vertical="center"/>
    </xf>
    <xf numFmtId="0" fontId="20" fillId="7" borderId="0" xfId="0" applyFont="1" applyFill="1" applyAlignment="1">
      <alignment horizontal="center" vertical="center" wrapText="1"/>
    </xf>
    <xf numFmtId="0" fontId="20" fillId="7" borderId="56" xfId="0" applyFont="1" applyFill="1" applyBorder="1" applyAlignment="1">
      <alignment horizontal="center" vertical="center"/>
    </xf>
    <xf numFmtId="170" fontId="20" fillId="7" borderId="0" xfId="0" applyNumberFormat="1" applyFont="1" applyFill="1" applyAlignment="1">
      <alignment horizontal="right" vertical="center"/>
    </xf>
    <xf numFmtId="0" fontId="20" fillId="7" borderId="0" xfId="0" applyFont="1" applyFill="1" applyAlignment="1">
      <alignment horizontal="right" vertical="center"/>
    </xf>
    <xf numFmtId="0" fontId="49" fillId="0" borderId="50" xfId="0" applyFont="1" applyBorder="1" applyAlignment="1">
      <alignment horizontal="center" vertical="center"/>
    </xf>
    <xf numFmtId="49" fontId="36" fillId="0" borderId="1" xfId="0" applyNumberFormat="1" applyFont="1" applyBorder="1" applyAlignment="1" applyProtection="1">
      <alignment horizontal="center" vertical="center"/>
      <protection locked="0"/>
    </xf>
    <xf numFmtId="49" fontId="36" fillId="0" borderId="23" xfId="0" applyNumberFormat="1" applyFont="1" applyBorder="1" applyAlignment="1" applyProtection="1">
      <alignment horizontal="center" vertical="center"/>
      <protection locked="0"/>
    </xf>
    <xf numFmtId="0" fontId="0" fillId="0" borderId="0" xfId="0" applyAlignment="1">
      <alignment horizontal="center" vertical="center"/>
    </xf>
    <xf numFmtId="0" fontId="0" fillId="0" borderId="0" xfId="0" applyAlignment="1">
      <alignment vertical="center"/>
    </xf>
    <xf numFmtId="0" fontId="7" fillId="0" borderId="28" xfId="0" applyFont="1" applyBorder="1" applyAlignment="1">
      <alignment horizontal="centerContinuous" vertical="center" wrapText="1"/>
    </xf>
    <xf numFmtId="0" fontId="7" fillId="0" borderId="42" xfId="0" applyFont="1" applyBorder="1" applyAlignment="1">
      <alignment horizontal="centerContinuous" vertical="center" wrapText="1"/>
    </xf>
    <xf numFmtId="0" fontId="7" fillId="0" borderId="28" xfId="0" applyFont="1" applyBorder="1" applyAlignment="1">
      <alignment horizontal="centerContinuous" vertical="center"/>
    </xf>
    <xf numFmtId="0" fontId="7" fillId="0" borderId="10" xfId="0" applyFont="1" applyBorder="1" applyAlignment="1">
      <alignment horizontal="centerContinuous" vertical="center"/>
    </xf>
    <xf numFmtId="0" fontId="7" fillId="0" borderId="29" xfId="0" applyFont="1" applyBorder="1" applyAlignment="1">
      <alignment horizontal="centerContinuous" vertical="center"/>
    </xf>
    <xf numFmtId="0" fontId="7" fillId="0" borderId="42" xfId="0" applyFont="1" applyBorder="1" applyAlignment="1">
      <alignment horizontal="centerContinuous" vertical="center"/>
    </xf>
    <xf numFmtId="0" fontId="7" fillId="0" borderId="29" xfId="0" applyFont="1" applyBorder="1" applyAlignment="1">
      <alignment horizontal="centerContinuous" vertical="center" wrapText="1"/>
    </xf>
    <xf numFmtId="0" fontId="7" fillId="0" borderId="46" xfId="0" applyFont="1" applyBorder="1" applyAlignment="1">
      <alignment horizontal="centerContinuous" vertical="center"/>
    </xf>
    <xf numFmtId="0" fontId="7" fillId="0" borderId="30" xfId="0" applyFont="1" applyBorder="1" applyAlignment="1">
      <alignment horizontal="centerContinuous" vertical="center"/>
    </xf>
    <xf numFmtId="0" fontId="4" fillId="0" borderId="42" xfId="0" applyFont="1" applyBorder="1" applyAlignment="1">
      <alignment horizontal="centerContinuous" vertical="center"/>
    </xf>
    <xf numFmtId="168" fontId="4" fillId="0" borderId="1" xfId="0" applyNumberFormat="1" applyFont="1" applyBorder="1" applyAlignment="1">
      <alignment horizontal="center" vertical="center"/>
    </xf>
    <xf numFmtId="0" fontId="6" fillId="7" borderId="1" xfId="0" applyFont="1" applyFill="1" applyBorder="1" applyAlignment="1">
      <alignment horizontal="center" vertical="center"/>
    </xf>
    <xf numFmtId="49" fontId="72" fillId="0" borderId="0" xfId="0" applyNumberFormat="1" applyFont="1" applyAlignment="1">
      <alignment horizontal="center" vertical="center" wrapText="1"/>
    </xf>
    <xf numFmtId="49" fontId="0" fillId="0" borderId="0" xfId="0" applyNumberFormat="1" applyAlignment="1">
      <alignment vertical="center" wrapText="1"/>
    </xf>
    <xf numFmtId="49" fontId="66" fillId="0" borderId="0" xfId="0" applyNumberFormat="1" applyFont="1" applyAlignment="1">
      <alignment vertical="center" wrapText="1"/>
    </xf>
    <xf numFmtId="49" fontId="0" fillId="0" borderId="40" xfId="0" applyNumberFormat="1" applyBorder="1" applyAlignment="1">
      <alignment vertical="center" wrapText="1"/>
    </xf>
    <xf numFmtId="49" fontId="0" fillId="0" borderId="9" xfId="0" applyNumberFormat="1" applyBorder="1" applyAlignment="1">
      <alignment vertical="center" wrapText="1"/>
    </xf>
    <xf numFmtId="49" fontId="72" fillId="0" borderId="9" xfId="0" applyNumberFormat="1" applyFont="1" applyBorder="1" applyAlignment="1">
      <alignment horizontal="center" vertical="center" wrapText="1"/>
    </xf>
    <xf numFmtId="49" fontId="0" fillId="0" borderId="47" xfId="0" applyNumberFormat="1" applyBorder="1" applyAlignment="1">
      <alignment vertical="center" wrapText="1"/>
    </xf>
    <xf numFmtId="49" fontId="72" fillId="0" borderId="47" xfId="0" applyNumberFormat="1" applyFont="1" applyBorder="1" applyAlignment="1">
      <alignment horizontal="center" vertical="center" wrapText="1"/>
    </xf>
    <xf numFmtId="49" fontId="0" fillId="0" borderId="48" xfId="0" applyNumberFormat="1" applyBorder="1" applyAlignment="1">
      <alignment vertical="center" wrapText="1"/>
    </xf>
    <xf numFmtId="49" fontId="0" fillId="0" borderId="49" xfId="0" applyNumberFormat="1" applyBorder="1" applyAlignment="1">
      <alignment vertical="center" wrapText="1"/>
    </xf>
    <xf numFmtId="49" fontId="0" fillId="0" borderId="0" xfId="0" applyNumberFormat="1" applyAlignment="1">
      <alignment horizontal="center" vertical="center" wrapText="1"/>
    </xf>
    <xf numFmtId="49" fontId="0" fillId="0" borderId="38" xfId="0" applyNumberFormat="1" applyBorder="1" applyAlignment="1">
      <alignment horizontal="center" vertical="center" wrapText="1"/>
    </xf>
    <xf numFmtId="49" fontId="0" fillId="0" borderId="2" xfId="0" applyNumberFormat="1" applyBorder="1" applyAlignment="1">
      <alignment horizontal="center" vertical="center" wrapText="1"/>
    </xf>
    <xf numFmtId="49" fontId="0" fillId="0" borderId="3" xfId="0" applyNumberFormat="1" applyBorder="1" applyAlignment="1">
      <alignment horizontal="center" vertical="center" wrapText="1"/>
    </xf>
    <xf numFmtId="49" fontId="0" fillId="0" borderId="47" xfId="0" applyNumberFormat="1" applyBorder="1" applyAlignment="1">
      <alignment horizontal="center" vertical="center" wrapText="1"/>
    </xf>
    <xf numFmtId="49" fontId="0" fillId="6" borderId="52" xfId="0" applyNumberFormat="1" applyFill="1" applyBorder="1" applyAlignment="1">
      <alignment horizontal="center" vertical="center" wrapText="1"/>
    </xf>
    <xf numFmtId="49" fontId="72" fillId="6" borderId="59" xfId="0" applyNumberFormat="1" applyFont="1" applyFill="1" applyBorder="1" applyAlignment="1">
      <alignment horizontal="center" vertical="center" wrapText="1"/>
    </xf>
    <xf numFmtId="49" fontId="0" fillId="6" borderId="59" xfId="0" applyNumberFormat="1" applyFill="1" applyBorder="1" applyAlignment="1">
      <alignment vertical="center" wrapText="1"/>
    </xf>
    <xf numFmtId="49" fontId="72" fillId="6" borderId="6" xfId="0" applyNumberFormat="1" applyFont="1" applyFill="1" applyBorder="1" applyAlignment="1">
      <alignment horizontal="center" vertical="center" wrapText="1"/>
    </xf>
    <xf numFmtId="49" fontId="0" fillId="0" borderId="40" xfId="0" applyNumberFormat="1" applyBorder="1" applyAlignment="1">
      <alignment horizontal="center" vertical="center" wrapText="1"/>
    </xf>
    <xf numFmtId="49" fontId="0" fillId="6" borderId="6" xfId="0" applyNumberFormat="1" applyFill="1" applyBorder="1" applyAlignment="1">
      <alignment vertical="center" wrapText="1"/>
    </xf>
    <xf numFmtId="49" fontId="30" fillId="0" borderId="0" xfId="0" applyNumberFormat="1" applyFont="1" applyAlignment="1">
      <alignment vertical="center" wrapText="1"/>
    </xf>
    <xf numFmtId="49" fontId="72" fillId="0" borderId="40" xfId="0" applyNumberFormat="1" applyFont="1" applyBorder="1" applyAlignment="1">
      <alignment horizontal="center" vertical="center" wrapText="1"/>
    </xf>
    <xf numFmtId="49" fontId="72" fillId="0" borderId="49" xfId="0" applyNumberFormat="1" applyFont="1" applyBorder="1" applyAlignment="1">
      <alignment horizontal="center" vertical="center" wrapText="1"/>
    </xf>
    <xf numFmtId="49" fontId="0" fillId="0" borderId="3" xfId="0" applyNumberFormat="1" applyBorder="1" applyAlignment="1">
      <alignment vertical="center" wrapText="1"/>
    </xf>
    <xf numFmtId="49" fontId="0" fillId="2" borderId="0" xfId="0" applyNumberFormat="1" applyFill="1" applyAlignment="1">
      <alignment horizontal="center" vertical="center" wrapText="1"/>
    </xf>
    <xf numFmtId="49" fontId="72" fillId="2" borderId="0" xfId="0" applyNumberFormat="1" applyFont="1" applyFill="1" applyAlignment="1">
      <alignment horizontal="center" vertical="center" wrapText="1"/>
    </xf>
    <xf numFmtId="49" fontId="0" fillId="2" borderId="0" xfId="0" applyNumberFormat="1" applyFill="1" applyAlignment="1">
      <alignment vertical="center" wrapText="1"/>
    </xf>
    <xf numFmtId="2" fontId="4" fillId="0" borderId="16" xfId="0" applyNumberFormat="1" applyFont="1" applyBorder="1" applyAlignment="1">
      <alignment horizontal="center" vertical="center"/>
    </xf>
    <xf numFmtId="0" fontId="77" fillId="0" borderId="0" xfId="0" applyFont="1" applyAlignment="1">
      <alignment vertical="center"/>
    </xf>
    <xf numFmtId="0" fontId="77" fillId="7" borderId="0" xfId="0" applyFont="1" applyFill="1" applyAlignment="1">
      <alignment horizontal="center" vertical="center"/>
    </xf>
    <xf numFmtId="0" fontId="77" fillId="7" borderId="0" xfId="0" applyFont="1" applyFill="1" applyAlignment="1">
      <alignment vertical="center"/>
    </xf>
    <xf numFmtId="0" fontId="71" fillId="0" borderId="0" xfId="0" applyFont="1" applyAlignment="1">
      <alignment horizontal="left" vertical="center"/>
    </xf>
    <xf numFmtId="0" fontId="50" fillId="6" borderId="42" xfId="0" applyFont="1" applyFill="1" applyBorder="1" applyAlignment="1" applyProtection="1">
      <alignment horizontal="center" vertical="center" wrapText="1"/>
      <protection hidden="1"/>
    </xf>
    <xf numFmtId="172" fontId="4" fillId="0" borderId="0" xfId="0" applyNumberFormat="1" applyFont="1" applyAlignment="1">
      <alignment horizontal="center" vertical="center"/>
    </xf>
    <xf numFmtId="0" fontId="2" fillId="0" borderId="40" xfId="0" applyFont="1" applyBorder="1" applyAlignment="1">
      <alignment vertical="center" wrapText="1"/>
    </xf>
    <xf numFmtId="49" fontId="2" fillId="0" borderId="0" xfId="0" applyNumberFormat="1" applyFont="1" applyAlignment="1">
      <alignment horizontal="center" vertical="center" wrapText="1"/>
    </xf>
    <xf numFmtId="0" fontId="2" fillId="0" borderId="0" xfId="0" applyFont="1" applyAlignment="1">
      <alignment vertical="center" wrapText="1"/>
    </xf>
    <xf numFmtId="49" fontId="2" fillId="0" borderId="49" xfId="0" applyNumberFormat="1" applyFont="1" applyBorder="1" applyAlignment="1">
      <alignment vertical="center" wrapText="1"/>
    </xf>
    <xf numFmtId="0" fontId="80" fillId="7" borderId="1" xfId="0" applyFont="1" applyFill="1" applyBorder="1" applyAlignment="1" applyProtection="1">
      <alignment horizontal="center" vertical="center"/>
      <protection locked="0"/>
    </xf>
    <xf numFmtId="0" fontId="7" fillId="7" borderId="1" xfId="0" applyFont="1" applyFill="1" applyBorder="1" applyAlignment="1">
      <alignment horizontal="center" vertical="center"/>
    </xf>
    <xf numFmtId="0" fontId="13" fillId="7" borderId="1" xfId="0" applyFont="1" applyFill="1" applyBorder="1" applyAlignment="1">
      <alignment horizontal="center" vertical="center" wrapText="1"/>
    </xf>
    <xf numFmtId="0" fontId="4" fillId="7" borderId="0" xfId="0" applyFont="1" applyFill="1" applyAlignment="1">
      <alignment horizontal="right" vertical="center"/>
    </xf>
    <xf numFmtId="0" fontId="4" fillId="0" borderId="66" xfId="0" applyFont="1" applyBorder="1" applyAlignment="1">
      <alignment horizontal="center" vertical="center"/>
    </xf>
    <xf numFmtId="0" fontId="0" fillId="17" borderId="0" xfId="0" applyFill="1"/>
    <xf numFmtId="0" fontId="4" fillId="17" borderId="0" xfId="0" applyFont="1" applyFill="1" applyAlignment="1">
      <alignment vertical="center"/>
    </xf>
    <xf numFmtId="0" fontId="4" fillId="7" borderId="48" xfId="0" applyFont="1" applyFill="1" applyBorder="1" applyAlignment="1">
      <alignment vertical="center"/>
    </xf>
    <xf numFmtId="0" fontId="4" fillId="7" borderId="49" xfId="0" applyFont="1" applyFill="1" applyBorder="1" applyAlignment="1">
      <alignment vertical="center"/>
    </xf>
    <xf numFmtId="0" fontId="4" fillId="7" borderId="9" xfId="0" applyFont="1" applyFill="1" applyBorder="1" applyAlignment="1">
      <alignment vertical="center"/>
    </xf>
    <xf numFmtId="0" fontId="11" fillId="18" borderId="0" xfId="0" applyFont="1" applyFill="1" applyAlignment="1">
      <alignment horizontal="right" vertical="center"/>
    </xf>
    <xf numFmtId="0" fontId="4" fillId="0" borderId="70" xfId="0" applyFont="1" applyBorder="1" applyAlignment="1">
      <alignment horizontal="center" vertical="center"/>
    </xf>
    <xf numFmtId="0" fontId="4" fillId="7" borderId="2" xfId="0" applyFont="1" applyFill="1" applyBorder="1" applyAlignment="1">
      <alignment vertical="center"/>
    </xf>
    <xf numFmtId="0" fontId="4" fillId="18" borderId="0" xfId="0" applyFont="1" applyFill="1" applyAlignment="1">
      <alignment vertical="center"/>
    </xf>
    <xf numFmtId="0" fontId="4" fillId="18" borderId="0" xfId="0" applyFont="1" applyFill="1" applyAlignment="1">
      <alignment horizontal="right" vertical="center"/>
    </xf>
    <xf numFmtId="0" fontId="4" fillId="6" borderId="70" xfId="0" applyFont="1" applyFill="1" applyBorder="1" applyAlignment="1" applyProtection="1">
      <alignment horizontal="center" vertical="center"/>
      <protection hidden="1"/>
    </xf>
    <xf numFmtId="0" fontId="14" fillId="0" borderId="69" xfId="0" applyFont="1" applyBorder="1" applyAlignment="1" applyProtection="1">
      <alignment horizontal="center" vertical="center"/>
      <protection locked="0"/>
    </xf>
    <xf numFmtId="0" fontId="4" fillId="0" borderId="53" xfId="0" applyFont="1" applyBorder="1" applyAlignment="1">
      <alignment horizontal="center" vertical="center"/>
    </xf>
    <xf numFmtId="0" fontId="4" fillId="0" borderId="53" xfId="0" applyFont="1" applyBorder="1" applyAlignment="1">
      <alignment horizontal="center" vertical="center" wrapText="1"/>
    </xf>
    <xf numFmtId="0" fontId="4" fillId="0" borderId="44" xfId="0" applyFont="1" applyBorder="1" applyAlignment="1">
      <alignment horizontal="center" vertical="center"/>
    </xf>
    <xf numFmtId="168" fontId="4" fillId="0" borderId="70" xfId="0" applyNumberFormat="1" applyFont="1" applyBorder="1" applyAlignment="1">
      <alignment horizontal="center" vertical="center"/>
    </xf>
    <xf numFmtId="0" fontId="85" fillId="7" borderId="0" xfId="0" applyFont="1" applyFill="1" applyAlignment="1">
      <alignment vertical="center"/>
    </xf>
    <xf numFmtId="166" fontId="4" fillId="0" borderId="70" xfId="0" applyNumberFormat="1" applyFont="1" applyBorder="1" applyAlignment="1">
      <alignment horizontal="center" vertical="center"/>
    </xf>
    <xf numFmtId="2" fontId="4" fillId="0" borderId="70" xfId="0" applyNumberFormat="1" applyFont="1" applyBorder="1" applyAlignment="1">
      <alignment horizontal="center" vertical="center"/>
    </xf>
    <xf numFmtId="169" fontId="4" fillId="7" borderId="70" xfId="0" applyNumberFormat="1" applyFont="1" applyFill="1" applyBorder="1" applyAlignment="1">
      <alignment horizontal="center" vertical="center"/>
    </xf>
    <xf numFmtId="167" fontId="4" fillId="7" borderId="70" xfId="0" applyNumberFormat="1" applyFont="1" applyFill="1" applyBorder="1" applyAlignment="1">
      <alignment horizontal="center" vertical="center"/>
    </xf>
    <xf numFmtId="0" fontId="12" fillId="7" borderId="0" xfId="0" applyFont="1" applyFill="1" applyAlignment="1">
      <alignment horizontal="right" vertical="center"/>
    </xf>
    <xf numFmtId="2" fontId="4" fillId="7" borderId="70" xfId="0" applyNumberFormat="1" applyFont="1" applyFill="1" applyBorder="1" applyAlignment="1">
      <alignment horizontal="center" vertical="center"/>
    </xf>
    <xf numFmtId="0" fontId="37" fillId="7" borderId="0" xfId="0" applyFont="1" applyFill="1" applyAlignment="1">
      <alignment horizontal="center" vertical="center"/>
    </xf>
    <xf numFmtId="0" fontId="4" fillId="7" borderId="16" xfId="0" applyFont="1" applyFill="1" applyBorder="1" applyAlignment="1">
      <alignment horizontal="right" vertical="center"/>
    </xf>
    <xf numFmtId="0" fontId="4" fillId="0" borderId="16" xfId="0" applyFont="1" applyBorder="1" applyAlignment="1">
      <alignment horizontal="right" vertical="center"/>
    </xf>
    <xf numFmtId="0" fontId="4" fillId="0" borderId="16" xfId="0" applyFont="1" applyBorder="1" applyAlignment="1">
      <alignment horizontal="right" vertical="center" wrapText="1"/>
    </xf>
    <xf numFmtId="168" fontId="4" fillId="7" borderId="70" xfId="0" applyNumberFormat="1" applyFont="1" applyFill="1" applyBorder="1" applyAlignment="1">
      <alignment horizontal="center" vertical="center"/>
    </xf>
    <xf numFmtId="168" fontId="4" fillId="7" borderId="74" xfId="0" applyNumberFormat="1" applyFont="1" applyFill="1" applyBorder="1" applyAlignment="1">
      <alignment horizontal="center" vertical="center"/>
    </xf>
    <xf numFmtId="168" fontId="4" fillId="0" borderId="74" xfId="0" applyNumberFormat="1" applyFont="1" applyBorder="1" applyAlignment="1">
      <alignment horizontal="center" vertical="center"/>
    </xf>
    <xf numFmtId="169" fontId="7" fillId="0" borderId="12" xfId="0" applyNumberFormat="1" applyFont="1" applyBorder="1" applyAlignment="1">
      <alignment horizontal="center" vertical="center"/>
    </xf>
    <xf numFmtId="169" fontId="7" fillId="7" borderId="12" xfId="0" applyNumberFormat="1" applyFont="1" applyFill="1" applyBorder="1" applyAlignment="1">
      <alignment horizontal="center" vertical="center"/>
    </xf>
    <xf numFmtId="170" fontId="7" fillId="7" borderId="12" xfId="0" applyNumberFormat="1" applyFont="1" applyFill="1" applyBorder="1" applyAlignment="1">
      <alignment horizontal="center" vertical="center"/>
    </xf>
    <xf numFmtId="170" fontId="7" fillId="7" borderId="59" xfId="0" applyNumberFormat="1" applyFont="1" applyFill="1" applyBorder="1" applyAlignment="1">
      <alignment horizontal="center" vertical="center"/>
    </xf>
    <xf numFmtId="2" fontId="7" fillId="0" borderId="12" xfId="0" applyNumberFormat="1" applyFont="1" applyBorder="1" applyAlignment="1">
      <alignment horizontal="center" vertical="center"/>
    </xf>
    <xf numFmtId="170" fontId="4" fillId="7" borderId="66" xfId="0" applyNumberFormat="1" applyFont="1" applyFill="1" applyBorder="1" applyAlignment="1">
      <alignment horizontal="center" vertical="center"/>
    </xf>
    <xf numFmtId="0" fontId="85" fillId="7" borderId="0" xfId="0" applyFont="1" applyFill="1" applyAlignment="1">
      <alignment horizontal="right" vertical="center"/>
    </xf>
    <xf numFmtId="0" fontId="74" fillId="7" borderId="76" xfId="0" applyFont="1" applyFill="1" applyBorder="1" applyAlignment="1">
      <alignment horizontal="center" vertical="center"/>
    </xf>
    <xf numFmtId="168" fontId="4" fillId="0" borderId="66" xfId="0" applyNumberFormat="1" applyFont="1" applyBorder="1" applyAlignment="1">
      <alignment horizontal="center" vertical="center"/>
    </xf>
    <xf numFmtId="168" fontId="7" fillId="0" borderId="12" xfId="0" applyNumberFormat="1" applyFont="1" applyBorder="1" applyAlignment="1">
      <alignment horizontal="center" vertical="center"/>
    </xf>
    <xf numFmtId="168" fontId="4" fillId="7" borderId="42" xfId="0" applyNumberFormat="1" applyFont="1" applyFill="1" applyBorder="1" applyAlignment="1">
      <alignment horizontal="center" vertical="center"/>
    </xf>
    <xf numFmtId="4" fontId="7" fillId="7" borderId="50" xfId="0" applyNumberFormat="1" applyFont="1" applyFill="1" applyBorder="1" applyAlignment="1">
      <alignment horizontal="center" vertical="center"/>
    </xf>
    <xf numFmtId="0" fontId="85" fillId="7" borderId="0" xfId="0" applyFont="1" applyFill="1" applyAlignment="1">
      <alignment horizontal="center" vertical="center"/>
    </xf>
    <xf numFmtId="0" fontId="11" fillId="7" borderId="0" xfId="0" applyFont="1" applyFill="1" applyAlignment="1">
      <alignment vertical="center"/>
    </xf>
    <xf numFmtId="170" fontId="7" fillId="7" borderId="0" xfId="0" applyNumberFormat="1" applyFont="1" applyFill="1" applyAlignment="1">
      <alignment horizontal="center" vertical="center"/>
    </xf>
    <xf numFmtId="168" fontId="4" fillId="0" borderId="29" xfId="0" applyNumberFormat="1" applyFont="1" applyBorder="1" applyAlignment="1">
      <alignment horizontal="center" vertical="center"/>
    </xf>
    <xf numFmtId="168" fontId="11" fillId="0" borderId="1" xfId="0" applyNumberFormat="1" applyFont="1" applyBorder="1" applyAlignment="1">
      <alignment horizontal="center" vertical="center"/>
    </xf>
    <xf numFmtId="169" fontId="4" fillId="7" borderId="0" xfId="0" applyNumberFormat="1" applyFont="1" applyFill="1" applyAlignment="1">
      <alignment horizontal="center" vertical="center"/>
    </xf>
    <xf numFmtId="168" fontId="4" fillId="7" borderId="0" xfId="0" applyNumberFormat="1" applyFont="1" applyFill="1" applyAlignment="1">
      <alignment horizontal="center" vertical="center"/>
    </xf>
    <xf numFmtId="169" fontId="4" fillId="0" borderId="0" xfId="0" applyNumberFormat="1" applyFont="1" applyAlignment="1">
      <alignment horizontal="center" vertical="center"/>
    </xf>
    <xf numFmtId="168" fontId="4" fillId="0" borderId="0" xfId="0" applyNumberFormat="1" applyFont="1" applyAlignment="1">
      <alignment horizontal="center" vertical="center"/>
    </xf>
    <xf numFmtId="170" fontId="4" fillId="0" borderId="0" xfId="0" applyNumberFormat="1" applyFont="1" applyAlignment="1">
      <alignment horizontal="center" vertical="center"/>
    </xf>
    <xf numFmtId="0" fontId="94" fillId="7" borderId="0" xfId="0" applyFont="1" applyFill="1" applyAlignment="1">
      <alignment horizontal="center" vertical="center"/>
    </xf>
    <xf numFmtId="2" fontId="4" fillId="7" borderId="0" xfId="0" applyNumberFormat="1" applyFont="1" applyFill="1" applyAlignment="1">
      <alignment horizontal="center" vertical="center"/>
    </xf>
    <xf numFmtId="168" fontId="4" fillId="17" borderId="70" xfId="0" applyNumberFormat="1" applyFont="1" applyFill="1" applyBorder="1" applyAlignment="1">
      <alignment horizontal="center" vertical="center"/>
    </xf>
    <xf numFmtId="170" fontId="11" fillId="0" borderId="0" xfId="0" applyNumberFormat="1" applyFont="1" applyAlignment="1">
      <alignment horizontal="center" vertical="center"/>
    </xf>
    <xf numFmtId="168" fontId="4" fillId="17" borderId="0" xfId="0" applyNumberFormat="1" applyFont="1" applyFill="1" applyAlignment="1">
      <alignment horizontal="center" vertical="center"/>
    </xf>
    <xf numFmtId="0" fontId="0" fillId="0" borderId="0" xfId="0" applyAlignment="1">
      <alignment horizontal="left"/>
    </xf>
    <xf numFmtId="0" fontId="89" fillId="0" borderId="0" xfId="0" applyFont="1" applyAlignment="1">
      <alignment horizontal="center" vertical="center"/>
    </xf>
    <xf numFmtId="168" fontId="4" fillId="17" borderId="28" xfId="0" applyNumberFormat="1" applyFont="1" applyFill="1" applyBorder="1" applyAlignment="1">
      <alignment horizontal="center" vertical="center"/>
    </xf>
    <xf numFmtId="0" fontId="4" fillId="17" borderId="0" xfId="0" applyFont="1" applyFill="1" applyAlignment="1">
      <alignment horizontal="right" vertical="center"/>
    </xf>
    <xf numFmtId="2" fontId="7" fillId="17" borderId="70" xfId="0" applyNumberFormat="1" applyFont="1" applyFill="1" applyBorder="1" applyAlignment="1">
      <alignment horizontal="center" vertical="center"/>
    </xf>
    <xf numFmtId="170" fontId="7" fillId="17" borderId="70" xfId="0" applyNumberFormat="1" applyFont="1" applyFill="1" applyBorder="1" applyAlignment="1">
      <alignment horizontal="center" vertical="center"/>
    </xf>
    <xf numFmtId="0" fontId="4" fillId="17" borderId="0" xfId="0" applyFont="1" applyFill="1" applyAlignment="1">
      <alignment horizontal="center" vertical="center"/>
    </xf>
    <xf numFmtId="169" fontId="4" fillId="6" borderId="70" xfId="0" applyNumberFormat="1" applyFont="1" applyFill="1" applyBorder="1" applyAlignment="1" applyProtection="1">
      <alignment horizontal="center" vertical="center"/>
      <protection hidden="1"/>
    </xf>
    <xf numFmtId="2" fontId="4" fillId="6" borderId="70" xfId="0" applyNumberFormat="1" applyFont="1" applyFill="1" applyBorder="1" applyAlignment="1" applyProtection="1">
      <alignment horizontal="center" vertical="center"/>
      <protection hidden="1"/>
    </xf>
    <xf numFmtId="167" fontId="4" fillId="6" borderId="70" xfId="0" applyNumberFormat="1" applyFont="1" applyFill="1" applyBorder="1" applyAlignment="1" applyProtection="1">
      <alignment horizontal="center" vertical="center"/>
      <protection hidden="1"/>
    </xf>
    <xf numFmtId="170" fontId="4" fillId="6" borderId="70" xfId="0" applyNumberFormat="1" applyFont="1" applyFill="1" applyBorder="1" applyAlignment="1" applyProtection="1">
      <alignment horizontal="center" vertical="center"/>
      <protection hidden="1"/>
    </xf>
    <xf numFmtId="0" fontId="4" fillId="21" borderId="16" xfId="0" applyFont="1" applyFill="1" applyBorder="1" applyAlignment="1">
      <alignment vertical="center"/>
    </xf>
    <xf numFmtId="0" fontId="7" fillId="7" borderId="50" xfId="0" applyFont="1" applyFill="1" applyBorder="1" applyAlignment="1">
      <alignment horizontal="center" vertical="center"/>
    </xf>
    <xf numFmtId="0" fontId="79" fillId="5" borderId="12" xfId="0" applyFont="1" applyFill="1" applyBorder="1" applyAlignment="1">
      <alignment horizontal="center" vertical="center" wrapText="1"/>
    </xf>
    <xf numFmtId="0" fontId="25" fillId="7" borderId="0" xfId="0" applyFont="1" applyFill="1" applyAlignment="1">
      <alignment horizontal="right" vertical="center"/>
    </xf>
    <xf numFmtId="0" fontId="25" fillId="7" borderId="0" xfId="0" applyFont="1" applyFill="1" applyAlignment="1">
      <alignment horizontal="center" vertical="center"/>
    </xf>
    <xf numFmtId="2" fontId="7" fillId="7" borderId="12" xfId="0" applyNumberFormat="1" applyFont="1" applyFill="1" applyBorder="1" applyAlignment="1">
      <alignment horizontal="center" vertical="center"/>
    </xf>
    <xf numFmtId="0" fontId="4" fillId="7" borderId="79" xfId="0" applyFont="1" applyFill="1" applyBorder="1" applyAlignment="1">
      <alignment horizontal="center" vertical="center"/>
    </xf>
    <xf numFmtId="0" fontId="101" fillId="0" borderId="22" xfId="0" applyFont="1" applyBorder="1" applyAlignment="1">
      <alignment horizontal="center" vertical="center"/>
    </xf>
    <xf numFmtId="2" fontId="7" fillId="7" borderId="0" xfId="0" applyNumberFormat="1" applyFont="1" applyFill="1" applyAlignment="1">
      <alignment horizontal="center" vertical="center"/>
    </xf>
    <xf numFmtId="0" fontId="75" fillId="7" borderId="0" xfId="0" applyFont="1" applyFill="1" applyAlignment="1">
      <alignment vertical="center"/>
    </xf>
    <xf numFmtId="0" fontId="101" fillId="17" borderId="79" xfId="0" applyFont="1" applyFill="1" applyBorder="1" applyAlignment="1">
      <alignment horizontal="center" vertical="center"/>
    </xf>
    <xf numFmtId="0" fontId="101" fillId="0" borderId="80" xfId="0" applyFont="1" applyBorder="1" applyAlignment="1">
      <alignment horizontal="center" vertical="center"/>
    </xf>
    <xf numFmtId="0" fontId="11" fillId="7" borderId="0" xfId="0" applyFont="1" applyFill="1" applyAlignment="1">
      <alignment horizontal="right" vertical="center"/>
    </xf>
    <xf numFmtId="0" fontId="12" fillId="7" borderId="0" xfId="0" applyFont="1" applyFill="1" applyAlignment="1">
      <alignment horizontal="center" vertical="center"/>
    </xf>
    <xf numFmtId="0" fontId="12" fillId="7" borderId="0" xfId="0" applyFont="1" applyFill="1" applyAlignment="1">
      <alignment horizontal="left" vertical="center"/>
    </xf>
    <xf numFmtId="0" fontId="7" fillId="7" borderId="79" xfId="0" applyFont="1" applyFill="1" applyBorder="1" applyAlignment="1">
      <alignment horizontal="center" vertical="center"/>
    </xf>
    <xf numFmtId="0" fontId="4" fillId="0" borderId="79" xfId="0" applyFont="1" applyBorder="1" applyAlignment="1">
      <alignment horizontal="center" vertical="center"/>
    </xf>
    <xf numFmtId="0" fontId="7" fillId="22" borderId="64" xfId="0" applyFont="1" applyFill="1" applyBorder="1" applyAlignment="1">
      <alignment horizontal="center" vertical="center" wrapText="1"/>
    </xf>
    <xf numFmtId="168" fontId="4" fillId="0" borderId="85" xfId="0" applyNumberFormat="1" applyFont="1" applyBorder="1" applyAlignment="1">
      <alignment horizontal="center" vertical="center"/>
    </xf>
    <xf numFmtId="0" fontId="11" fillId="7" borderId="3" xfId="0" applyFont="1" applyFill="1" applyBorder="1" applyAlignment="1">
      <alignment horizontal="center" vertical="center"/>
    </xf>
    <xf numFmtId="0" fontId="11" fillId="7" borderId="47" xfId="0" applyFont="1" applyFill="1" applyBorder="1" applyAlignment="1">
      <alignment horizontal="center" vertical="center"/>
    </xf>
    <xf numFmtId="0" fontId="11" fillId="7" borderId="48" xfId="0" applyFont="1" applyFill="1" applyBorder="1" applyAlignment="1">
      <alignment horizontal="center" vertical="center"/>
    </xf>
    <xf numFmtId="168" fontId="4" fillId="7" borderId="79" xfId="0" applyNumberFormat="1" applyFont="1" applyFill="1" applyBorder="1" applyAlignment="1">
      <alignment horizontal="center" vertical="center"/>
    </xf>
    <xf numFmtId="0" fontId="101" fillId="0" borderId="71" xfId="0" applyFont="1" applyBorder="1" applyAlignment="1">
      <alignment horizontal="center" vertical="center"/>
    </xf>
    <xf numFmtId="0" fontId="101" fillId="0" borderId="79" xfId="0" applyFont="1" applyBorder="1" applyAlignment="1">
      <alignment horizontal="center" vertical="center"/>
    </xf>
    <xf numFmtId="0" fontId="7" fillId="7" borderId="0" xfId="0" applyFont="1" applyFill="1" applyAlignment="1">
      <alignment horizontal="center" vertical="center"/>
    </xf>
    <xf numFmtId="168" fontId="4" fillId="7" borderId="0" xfId="0" applyNumberFormat="1" applyFont="1" applyFill="1" applyAlignment="1">
      <alignment horizontal="right" vertical="center"/>
    </xf>
    <xf numFmtId="0" fontId="4" fillId="17" borderId="9" xfId="0" applyFont="1" applyFill="1" applyBorder="1" applyAlignment="1">
      <alignment vertical="center"/>
    </xf>
    <xf numFmtId="0" fontId="7" fillId="17" borderId="0" xfId="0" applyFont="1" applyFill="1" applyAlignment="1">
      <alignment horizontal="right" vertical="center"/>
    </xf>
    <xf numFmtId="0" fontId="4" fillId="17" borderId="43" xfId="0" applyFont="1" applyFill="1" applyBorder="1" applyAlignment="1">
      <alignment horizontal="center" vertical="center"/>
    </xf>
    <xf numFmtId="2" fontId="4" fillId="17" borderId="27" xfId="0" applyNumberFormat="1" applyFont="1" applyFill="1" applyBorder="1" applyAlignment="1">
      <alignment horizontal="center" vertical="center"/>
    </xf>
    <xf numFmtId="0" fontId="4" fillId="17" borderId="26" xfId="0" applyFont="1" applyFill="1" applyBorder="1" applyAlignment="1">
      <alignment horizontal="center" vertical="center"/>
    </xf>
    <xf numFmtId="2" fontId="4" fillId="17" borderId="1" xfId="0" applyNumberFormat="1" applyFont="1" applyFill="1" applyBorder="1" applyAlignment="1">
      <alignment horizontal="center" vertical="center"/>
    </xf>
    <xf numFmtId="0" fontId="4" fillId="17" borderId="24" xfId="0" applyFont="1" applyFill="1" applyBorder="1" applyAlignment="1">
      <alignment horizontal="center" vertical="center"/>
    </xf>
    <xf numFmtId="0" fontId="4" fillId="17" borderId="13" xfId="0" applyFont="1" applyFill="1" applyBorder="1" applyAlignment="1">
      <alignment horizontal="center" vertical="center"/>
    </xf>
    <xf numFmtId="0" fontId="4" fillId="17" borderId="1" xfId="0" applyFont="1" applyFill="1" applyBorder="1" applyAlignment="1">
      <alignment horizontal="center" vertical="center"/>
    </xf>
    <xf numFmtId="1" fontId="4" fillId="17" borderId="1" xfId="0" applyNumberFormat="1" applyFont="1" applyFill="1" applyBorder="1" applyAlignment="1">
      <alignment horizontal="center" vertical="center"/>
    </xf>
    <xf numFmtId="0" fontId="7" fillId="17" borderId="10" xfId="0" applyFont="1" applyFill="1" applyBorder="1" applyAlignment="1">
      <alignment horizontal="center" vertical="center"/>
    </xf>
    <xf numFmtId="0" fontId="4" fillId="17" borderId="23" xfId="0" applyFont="1" applyFill="1" applyBorder="1" applyAlignment="1">
      <alignment horizontal="center" vertical="center"/>
    </xf>
    <xf numFmtId="0" fontId="7" fillId="17" borderId="23" xfId="0" applyFont="1" applyFill="1" applyBorder="1" applyAlignment="1">
      <alignment horizontal="center" vertical="center"/>
    </xf>
    <xf numFmtId="0" fontId="4" fillId="17" borderId="27" xfId="0" applyFont="1" applyFill="1" applyBorder="1" applyAlignment="1">
      <alignment horizontal="center" vertical="center"/>
    </xf>
    <xf numFmtId="0" fontId="4" fillId="17" borderId="26" xfId="0" applyFont="1" applyFill="1" applyBorder="1" applyAlignment="1">
      <alignment horizontal="left" vertical="center"/>
    </xf>
    <xf numFmtId="0" fontId="4" fillId="17" borderId="28" xfId="0" applyFont="1" applyFill="1" applyBorder="1" applyAlignment="1">
      <alignment horizontal="center" vertical="center"/>
    </xf>
    <xf numFmtId="0" fontId="4" fillId="17" borderId="42" xfId="0" applyFont="1" applyFill="1" applyBorder="1" applyAlignment="1">
      <alignment horizontal="center" vertical="center"/>
    </xf>
    <xf numFmtId="0" fontId="4" fillId="17" borderId="19" xfId="0" applyFont="1" applyFill="1" applyBorder="1" applyAlignment="1">
      <alignment horizontal="center" vertical="center"/>
    </xf>
    <xf numFmtId="0" fontId="41" fillId="17" borderId="43" xfId="0" applyFont="1" applyFill="1" applyBorder="1" applyAlignment="1">
      <alignment horizontal="center" vertical="center"/>
    </xf>
    <xf numFmtId="0" fontId="41" fillId="17" borderId="24" xfId="0" applyFont="1" applyFill="1" applyBorder="1" applyAlignment="1">
      <alignment horizontal="center" vertical="center"/>
    </xf>
    <xf numFmtId="0" fontId="4" fillId="17" borderId="30" xfId="0" applyFont="1" applyFill="1" applyBorder="1" applyAlignment="1">
      <alignment horizontal="center" vertical="center"/>
    </xf>
    <xf numFmtId="2" fontId="4" fillId="17" borderId="23" xfId="0" applyNumberFormat="1" applyFont="1" applyFill="1" applyBorder="1" applyAlignment="1">
      <alignment horizontal="center" vertical="center"/>
    </xf>
    <xf numFmtId="1" fontId="4" fillId="17" borderId="27" xfId="0" applyNumberFormat="1" applyFont="1" applyFill="1" applyBorder="1" applyAlignment="1">
      <alignment horizontal="center" vertical="center"/>
    </xf>
    <xf numFmtId="0" fontId="41" fillId="17" borderId="26" xfId="0" applyFont="1" applyFill="1" applyBorder="1" applyAlignment="1">
      <alignment vertical="center"/>
    </xf>
    <xf numFmtId="0" fontId="41" fillId="17" borderId="0" xfId="0" applyFont="1" applyFill="1" applyAlignment="1">
      <alignment vertical="center"/>
    </xf>
    <xf numFmtId="0" fontId="7" fillId="17" borderId="43" xfId="0" applyFont="1" applyFill="1" applyBorder="1" applyAlignment="1">
      <alignment horizontal="center" vertical="center"/>
    </xf>
    <xf numFmtId="0" fontId="7" fillId="17" borderId="24" xfId="0" applyFont="1" applyFill="1" applyBorder="1" applyAlignment="1">
      <alignment horizontal="center" vertical="center"/>
    </xf>
    <xf numFmtId="0" fontId="7" fillId="17" borderId="1" xfId="0" applyFont="1" applyFill="1" applyBorder="1" applyAlignment="1">
      <alignment horizontal="center" vertical="center"/>
    </xf>
    <xf numFmtId="1" fontId="7" fillId="17" borderId="1" xfId="0" applyNumberFormat="1" applyFont="1" applyFill="1" applyBorder="1" applyAlignment="1">
      <alignment horizontal="center" vertical="center"/>
    </xf>
    <xf numFmtId="2" fontId="41" fillId="17" borderId="1" xfId="0" applyNumberFormat="1" applyFont="1" applyFill="1" applyBorder="1" applyAlignment="1">
      <alignment horizontal="center" vertical="center"/>
    </xf>
    <xf numFmtId="0" fontId="7" fillId="17" borderId="2" xfId="0" applyFont="1" applyFill="1" applyBorder="1" applyAlignment="1">
      <alignment horizontal="center" vertical="center"/>
    </xf>
    <xf numFmtId="1" fontId="49" fillId="17" borderId="1" xfId="0" applyNumberFormat="1" applyFont="1" applyFill="1" applyBorder="1" applyAlignment="1">
      <alignment horizontal="center" vertical="center"/>
    </xf>
    <xf numFmtId="0" fontId="4" fillId="17" borderId="23" xfId="0" applyFont="1" applyFill="1" applyBorder="1" applyAlignment="1">
      <alignment horizontal="right" vertical="center"/>
    </xf>
    <xf numFmtId="0" fontId="41" fillId="17" borderId="23" xfId="0" applyFont="1" applyFill="1" applyBorder="1" applyAlignment="1">
      <alignment horizontal="right" vertical="center"/>
    </xf>
    <xf numFmtId="0" fontId="4" fillId="17" borderId="27" xfId="0" applyFont="1" applyFill="1" applyBorder="1" applyAlignment="1">
      <alignment horizontal="right" vertical="center"/>
    </xf>
    <xf numFmtId="170" fontId="7" fillId="0" borderId="50" xfId="0" applyNumberFormat="1" applyFont="1" applyBorder="1" applyAlignment="1">
      <alignment horizontal="center" vertical="center"/>
    </xf>
    <xf numFmtId="1" fontId="7" fillId="0" borderId="16" xfId="0" applyNumberFormat="1" applyFont="1" applyBorder="1" applyAlignment="1">
      <alignment horizontal="center" vertical="center"/>
    </xf>
    <xf numFmtId="0" fontId="7" fillId="19" borderId="12" xfId="0" applyFont="1" applyFill="1" applyBorder="1" applyAlignment="1">
      <alignment horizontal="center" vertical="center"/>
    </xf>
    <xf numFmtId="170" fontId="4" fillId="0" borderId="50" xfId="0" applyNumberFormat="1" applyFont="1" applyBorder="1" applyAlignment="1">
      <alignment horizontal="center" vertical="center"/>
    </xf>
    <xf numFmtId="0" fontId="7" fillId="7" borderId="4" xfId="0" applyFont="1" applyFill="1" applyBorder="1" applyAlignment="1">
      <alignment horizontal="center" vertical="center"/>
    </xf>
    <xf numFmtId="0" fontId="6" fillId="2" borderId="0" xfId="0" applyFont="1" applyFill="1" applyAlignment="1">
      <alignment horizontal="right" vertical="center"/>
    </xf>
    <xf numFmtId="0" fontId="49" fillId="0" borderId="16" xfId="0" applyFont="1" applyBorder="1" applyAlignment="1">
      <alignment horizontal="center" vertical="center"/>
    </xf>
    <xf numFmtId="170" fontId="7" fillId="0" borderId="18" xfId="0" applyNumberFormat="1" applyFont="1" applyBorder="1" applyAlignment="1">
      <alignment horizontal="center" vertical="center"/>
    </xf>
    <xf numFmtId="0" fontId="7" fillId="24" borderId="12" xfId="0" applyFont="1" applyFill="1" applyBorder="1" applyAlignment="1">
      <alignment horizontal="center" vertical="center"/>
    </xf>
    <xf numFmtId="0" fontId="7" fillId="10" borderId="4" xfId="0" applyFont="1" applyFill="1" applyBorder="1" applyAlignment="1">
      <alignment horizontal="center" vertical="center"/>
    </xf>
    <xf numFmtId="0" fontId="104" fillId="4" borderId="0" xfId="0" applyFont="1" applyFill="1" applyAlignment="1">
      <alignment vertical="center" wrapText="1"/>
    </xf>
    <xf numFmtId="170" fontId="4" fillId="0" borderId="27" xfId="0" applyNumberFormat="1" applyFont="1" applyBorder="1" applyAlignment="1">
      <alignment horizontal="center" vertical="center"/>
    </xf>
    <xf numFmtId="0" fontId="4" fillId="0" borderId="92" xfId="0" applyFont="1" applyBorder="1" applyAlignment="1">
      <alignment horizontal="center" vertical="center"/>
    </xf>
    <xf numFmtId="0" fontId="4" fillId="6" borderId="92" xfId="0" applyFont="1" applyFill="1" applyBorder="1" applyAlignment="1">
      <alignment horizontal="center" vertical="center"/>
    </xf>
    <xf numFmtId="0" fontId="13" fillId="0" borderId="92" xfId="0" applyFont="1" applyBorder="1" applyAlignment="1">
      <alignment horizontal="center" vertical="center"/>
    </xf>
    <xf numFmtId="0" fontId="105" fillId="0" borderId="92" xfId="0" applyFont="1" applyBorder="1" applyAlignment="1" applyProtection="1">
      <alignment vertical="center"/>
      <protection locked="0"/>
    </xf>
    <xf numFmtId="2" fontId="75" fillId="4" borderId="0" xfId="0" applyNumberFormat="1" applyFont="1" applyFill="1" applyAlignment="1">
      <alignment vertical="center"/>
    </xf>
    <xf numFmtId="1" fontId="49" fillId="0" borderId="12" xfId="0" applyNumberFormat="1" applyFont="1" applyBorder="1" applyAlignment="1">
      <alignment horizontal="center" vertical="center"/>
    </xf>
    <xf numFmtId="1" fontId="7" fillId="0" borderId="93" xfId="0" applyNumberFormat="1" applyFont="1" applyBorder="1" applyAlignment="1">
      <alignment horizontal="center" vertical="center"/>
    </xf>
    <xf numFmtId="0" fontId="49" fillId="0" borderId="92" xfId="0" applyFont="1" applyBorder="1" applyAlignment="1">
      <alignment horizontal="center" vertical="center"/>
    </xf>
    <xf numFmtId="0" fontId="7" fillId="17" borderId="94" xfId="0" applyFont="1" applyFill="1" applyBorder="1" applyAlignment="1">
      <alignment horizontal="center" vertical="center"/>
    </xf>
    <xf numFmtId="0" fontId="7" fillId="17" borderId="67" xfId="0" applyFont="1" applyFill="1" applyBorder="1" applyAlignment="1">
      <alignment horizontal="center" vertical="center"/>
    </xf>
    <xf numFmtId="169" fontId="4" fillId="0" borderId="50" xfId="0" applyNumberFormat="1" applyFont="1" applyBorder="1" applyAlignment="1">
      <alignment horizontal="center" vertical="center"/>
    </xf>
    <xf numFmtId="170" fontId="7" fillId="7" borderId="95" xfId="0" applyNumberFormat="1" applyFont="1" applyFill="1" applyBorder="1" applyAlignment="1">
      <alignment horizontal="center" vertical="center"/>
    </xf>
    <xf numFmtId="0" fontId="4" fillId="0" borderId="95" xfId="0" applyFont="1" applyBorder="1" applyAlignment="1">
      <alignment horizontal="center" vertical="center"/>
    </xf>
    <xf numFmtId="0" fontId="0" fillId="0" borderId="0" xfId="0" applyAlignment="1">
      <alignment wrapText="1"/>
    </xf>
    <xf numFmtId="0" fontId="13" fillId="7" borderId="0" xfId="0" applyFont="1" applyFill="1" applyAlignment="1">
      <alignment horizontal="right" vertical="center"/>
    </xf>
    <xf numFmtId="0" fontId="6" fillId="0" borderId="12" xfId="0" applyFont="1" applyBorder="1" applyAlignment="1">
      <alignment horizontal="center" vertical="center"/>
    </xf>
    <xf numFmtId="165" fontId="7" fillId="7" borderId="12" xfId="0" applyNumberFormat="1" applyFont="1" applyFill="1" applyBorder="1" applyAlignment="1">
      <alignment horizontal="center" vertical="center"/>
    </xf>
    <xf numFmtId="170" fontId="4" fillId="7" borderId="95" xfId="0" applyNumberFormat="1" applyFont="1" applyFill="1" applyBorder="1" applyAlignment="1">
      <alignment horizontal="center" vertical="center"/>
    </xf>
    <xf numFmtId="170" fontId="7" fillId="7" borderId="52" xfId="0" applyNumberFormat="1" applyFont="1" applyFill="1" applyBorder="1" applyAlignment="1">
      <alignment horizontal="center" vertical="center"/>
    </xf>
    <xf numFmtId="0" fontId="7" fillId="8" borderId="91" xfId="0" applyFont="1" applyFill="1" applyBorder="1" applyAlignment="1">
      <alignment horizontal="center" vertical="center"/>
    </xf>
    <xf numFmtId="0" fontId="7" fillId="8" borderId="95" xfId="0" applyFont="1" applyFill="1" applyBorder="1" applyAlignment="1">
      <alignment horizontal="center" vertical="center"/>
    </xf>
    <xf numFmtId="0" fontId="7" fillId="0" borderId="95" xfId="0" applyFont="1" applyBorder="1" applyAlignment="1">
      <alignment horizontal="center" vertical="center"/>
    </xf>
    <xf numFmtId="0" fontId="4" fillId="0" borderId="95" xfId="0" applyFont="1" applyBorder="1" applyAlignment="1">
      <alignment horizontal="left" vertical="center"/>
    </xf>
    <xf numFmtId="0" fontId="4" fillId="8" borderId="95" xfId="0" applyFont="1" applyFill="1" applyBorder="1" applyAlignment="1">
      <alignment horizontal="center" vertical="center"/>
    </xf>
    <xf numFmtId="0" fontId="4" fillId="8" borderId="95" xfId="0" applyFont="1" applyFill="1" applyBorder="1" applyAlignment="1">
      <alignment horizontal="right" vertical="center"/>
    </xf>
    <xf numFmtId="2" fontId="7" fillId="17" borderId="89" xfId="0" applyNumberFormat="1" applyFont="1" applyFill="1" applyBorder="1" applyAlignment="1">
      <alignment horizontal="center" vertical="center"/>
    </xf>
    <xf numFmtId="2" fontId="4" fillId="17" borderId="89" xfId="0" applyNumberFormat="1" applyFont="1" applyFill="1" applyBorder="1" applyAlignment="1">
      <alignment horizontal="center" vertical="center"/>
    </xf>
    <xf numFmtId="0" fontId="4" fillId="17" borderId="67" xfId="0" applyFont="1" applyFill="1" applyBorder="1" applyAlignment="1">
      <alignment horizontal="center" vertical="center"/>
    </xf>
    <xf numFmtId="0" fontId="49" fillId="17" borderId="0" xfId="0" applyFont="1" applyFill="1" applyAlignment="1">
      <alignment horizontal="right" vertical="center"/>
    </xf>
    <xf numFmtId="170" fontId="4" fillId="17" borderId="89" xfId="0" applyNumberFormat="1" applyFont="1" applyFill="1" applyBorder="1" applyAlignment="1">
      <alignment horizontal="center"/>
    </xf>
    <xf numFmtId="170" fontId="4" fillId="17" borderId="0" xfId="0" applyNumberFormat="1" applyFont="1" applyFill="1" applyAlignment="1">
      <alignment horizontal="center"/>
    </xf>
    <xf numFmtId="170" fontId="4" fillId="17" borderId="89" xfId="0" applyNumberFormat="1" applyFont="1" applyFill="1" applyBorder="1" applyAlignment="1">
      <alignment horizontal="center" vertical="center"/>
    </xf>
    <xf numFmtId="0" fontId="2" fillId="0" borderId="0" xfId="0" applyFont="1"/>
    <xf numFmtId="0" fontId="11" fillId="0" borderId="16" xfId="0" applyFont="1" applyBorder="1" applyAlignment="1">
      <alignment horizontal="center" vertical="center"/>
    </xf>
    <xf numFmtId="0" fontId="11" fillId="0" borderId="50" xfId="0" applyFont="1" applyBorder="1" applyAlignment="1">
      <alignment horizontal="center" vertical="center"/>
    </xf>
    <xf numFmtId="0" fontId="7" fillId="17" borderId="0" xfId="0" applyFont="1" applyFill="1" applyAlignment="1">
      <alignment vertical="center"/>
    </xf>
    <xf numFmtId="0" fontId="7" fillId="3" borderId="0" xfId="0" applyFont="1" applyFill="1" applyAlignment="1">
      <alignment vertical="center"/>
    </xf>
    <xf numFmtId="11" fontId="7" fillId="19" borderId="18" xfId="0" applyNumberFormat="1" applyFont="1" applyFill="1" applyBorder="1" applyAlignment="1">
      <alignment horizontal="center" vertical="center"/>
    </xf>
    <xf numFmtId="170" fontId="7" fillId="0" borderId="1" xfId="0" applyNumberFormat="1" applyFont="1" applyBorder="1" applyAlignment="1">
      <alignment horizontal="center" vertical="center"/>
    </xf>
    <xf numFmtId="0" fontId="4" fillId="0" borderId="98" xfId="0" applyFont="1" applyBorder="1" applyAlignment="1">
      <alignment horizontal="center" vertical="center"/>
    </xf>
    <xf numFmtId="0" fontId="31" fillId="0" borderId="9" xfId="0" applyFont="1" applyBorder="1" applyAlignment="1" applyProtection="1">
      <alignment horizontal="center" vertical="center"/>
      <protection locked="0"/>
    </xf>
    <xf numFmtId="0" fontId="4" fillId="2" borderId="0" xfId="0" applyFont="1" applyFill="1" applyAlignment="1">
      <alignment horizontal="right" vertical="center"/>
    </xf>
    <xf numFmtId="0" fontId="6" fillId="7" borderId="12" xfId="0" applyFont="1" applyFill="1" applyBorder="1" applyAlignment="1">
      <alignment horizontal="center" vertical="center"/>
    </xf>
    <xf numFmtId="0" fontId="4" fillId="0" borderId="41" xfId="0" applyFont="1" applyBorder="1" applyAlignment="1">
      <alignment horizontal="center"/>
    </xf>
    <xf numFmtId="0" fontId="19" fillId="7" borderId="41" xfId="0" applyFont="1" applyFill="1" applyBorder="1" applyAlignment="1" applyProtection="1">
      <alignment horizontal="center" vertical="center"/>
      <protection locked="0"/>
    </xf>
    <xf numFmtId="0" fontId="4" fillId="0" borderId="38" xfId="0" applyFont="1" applyBorder="1" applyAlignment="1">
      <alignment horizontal="center" vertical="center"/>
    </xf>
    <xf numFmtId="0" fontId="0" fillId="18" borderId="0" xfId="0" applyFill="1"/>
    <xf numFmtId="0" fontId="7" fillId="18" borderId="0" xfId="0" applyFont="1" applyFill="1" applyAlignment="1">
      <alignment horizontal="right" vertical="center"/>
    </xf>
    <xf numFmtId="0" fontId="19" fillId="7" borderId="39" xfId="0" applyFont="1" applyFill="1" applyBorder="1" applyAlignment="1" applyProtection="1">
      <alignment horizontal="center" vertical="center"/>
      <protection locked="0"/>
    </xf>
    <xf numFmtId="0" fontId="110" fillId="18" borderId="0" xfId="0" applyFont="1" applyFill="1" applyAlignment="1">
      <alignment horizontal="center" vertical="center"/>
    </xf>
    <xf numFmtId="0" fontId="4" fillId="18" borderId="0" xfId="0" applyFont="1" applyFill="1" applyAlignment="1">
      <alignment horizontal="center" vertical="center"/>
    </xf>
    <xf numFmtId="1" fontId="4" fillId="0" borderId="82" xfId="0" applyNumberFormat="1" applyFont="1" applyBorder="1" applyAlignment="1">
      <alignment horizontal="center" vertical="center"/>
    </xf>
    <xf numFmtId="0" fontId="4" fillId="17" borderId="38" xfId="0" applyFont="1" applyFill="1" applyBorder="1" applyAlignment="1">
      <alignment horizontal="center" vertical="center"/>
    </xf>
    <xf numFmtId="1" fontId="4" fillId="0" borderId="99" xfId="0" applyNumberFormat="1" applyFont="1" applyBorder="1" applyAlignment="1">
      <alignment horizontal="center" vertical="center"/>
    </xf>
    <xf numFmtId="0" fontId="4" fillId="17" borderId="2" xfId="0" applyFont="1" applyFill="1" applyBorder="1" applyAlignment="1">
      <alignment horizontal="center" vertical="center"/>
    </xf>
    <xf numFmtId="0" fontId="4" fillId="17" borderId="3" xfId="0" applyFont="1" applyFill="1" applyBorder="1" applyAlignment="1">
      <alignment horizontal="center" vertical="center"/>
    </xf>
    <xf numFmtId="0" fontId="4" fillId="0" borderId="8" xfId="0" applyFont="1" applyBorder="1" applyAlignment="1">
      <alignment horizontal="center"/>
    </xf>
    <xf numFmtId="0" fontId="4" fillId="17" borderId="9" xfId="0" applyFont="1" applyFill="1" applyBorder="1" applyAlignment="1">
      <alignment horizontal="center" vertical="center"/>
    </xf>
    <xf numFmtId="0" fontId="0" fillId="17" borderId="9" xfId="0" applyFill="1" applyBorder="1"/>
    <xf numFmtId="0" fontId="19" fillId="17" borderId="9" xfId="0" applyFont="1" applyFill="1" applyBorder="1" applyAlignment="1" applyProtection="1">
      <alignment horizontal="center" vertical="center"/>
      <protection locked="0"/>
    </xf>
    <xf numFmtId="0" fontId="13" fillId="17" borderId="2" xfId="0" applyFont="1" applyFill="1" applyBorder="1" applyAlignment="1">
      <alignment horizontal="center" vertical="center"/>
    </xf>
    <xf numFmtId="0" fontId="7" fillId="17" borderId="9" xfId="0" applyFont="1" applyFill="1" applyBorder="1" applyAlignment="1">
      <alignment horizontal="center" vertical="center"/>
    </xf>
    <xf numFmtId="0" fontId="7" fillId="17" borderId="48" xfId="0" applyFont="1" applyFill="1" applyBorder="1" applyAlignment="1">
      <alignment horizontal="center" vertical="center"/>
    </xf>
    <xf numFmtId="0" fontId="19" fillId="17" borderId="100" xfId="0" applyFont="1" applyFill="1" applyBorder="1" applyAlignment="1" applyProtection="1">
      <alignment horizontal="center" vertical="center"/>
      <protection locked="0"/>
    </xf>
    <xf numFmtId="0" fontId="19" fillId="17" borderId="99" xfId="0" applyFont="1" applyFill="1" applyBorder="1" applyAlignment="1" applyProtection="1">
      <alignment horizontal="center" vertical="center"/>
      <protection locked="0"/>
    </xf>
    <xf numFmtId="0" fontId="19" fillId="17" borderId="41" xfId="0" applyFont="1" applyFill="1" applyBorder="1" applyAlignment="1" applyProtection="1">
      <alignment horizontal="center" vertical="center"/>
      <protection locked="0"/>
    </xf>
    <xf numFmtId="0" fontId="19" fillId="17" borderId="49" xfId="0" applyFont="1" applyFill="1" applyBorder="1" applyAlignment="1" applyProtection="1">
      <alignment horizontal="center" vertical="center"/>
      <protection locked="0"/>
    </xf>
    <xf numFmtId="0" fontId="19" fillId="17" borderId="82" xfId="0" applyFont="1" applyFill="1" applyBorder="1" applyAlignment="1" applyProtection="1">
      <alignment horizontal="center" vertical="center"/>
      <protection locked="0"/>
    </xf>
    <xf numFmtId="0" fontId="4" fillId="17" borderId="48" xfId="0" applyFont="1" applyFill="1" applyBorder="1" applyAlignment="1">
      <alignment horizontal="center" vertical="center"/>
    </xf>
    <xf numFmtId="0" fontId="0" fillId="17" borderId="49" xfId="0" applyFill="1" applyBorder="1"/>
    <xf numFmtId="0" fontId="4" fillId="23" borderId="0" xfId="0" applyFont="1" applyFill="1" applyAlignment="1">
      <alignment vertical="center"/>
    </xf>
    <xf numFmtId="0" fontId="37" fillId="23" borderId="0" xfId="0" applyFont="1" applyFill="1" applyAlignment="1">
      <alignment vertical="center"/>
    </xf>
    <xf numFmtId="0" fontId="110" fillId="2" borderId="0" xfId="0" applyFont="1" applyFill="1" applyAlignment="1">
      <alignment horizontal="center" vertical="center"/>
    </xf>
    <xf numFmtId="0" fontId="111" fillId="0" borderId="9" xfId="0" applyFont="1" applyBorder="1" applyAlignment="1">
      <alignment horizontal="center" vertical="center"/>
    </xf>
    <xf numFmtId="0" fontId="4" fillId="18" borderId="0" xfId="0" applyFont="1" applyFill="1"/>
    <xf numFmtId="0" fontId="4" fillId="18" borderId="0" xfId="0" applyFont="1" applyFill="1" applyAlignment="1">
      <alignment horizontal="right"/>
    </xf>
    <xf numFmtId="0" fontId="7" fillId="18" borderId="0" xfId="0" applyFont="1" applyFill="1" applyAlignment="1">
      <alignment horizontal="right"/>
    </xf>
    <xf numFmtId="0" fontId="19" fillId="17" borderId="66" xfId="0" applyFont="1" applyFill="1" applyBorder="1" applyAlignment="1" applyProtection="1">
      <alignment horizontal="center" vertical="center"/>
      <protection locked="0"/>
    </xf>
    <xf numFmtId="0" fontId="19" fillId="17" borderId="103" xfId="0" applyFont="1" applyFill="1" applyBorder="1" applyAlignment="1" applyProtection="1">
      <alignment horizontal="center" vertical="center"/>
      <protection locked="0"/>
    </xf>
    <xf numFmtId="0" fontId="19" fillId="17" borderId="104" xfId="0" applyFont="1" applyFill="1" applyBorder="1" applyAlignment="1" applyProtection="1">
      <alignment horizontal="center" vertical="center"/>
      <protection locked="0"/>
    </xf>
    <xf numFmtId="0" fontId="19" fillId="17" borderId="105" xfId="0" applyFont="1" applyFill="1" applyBorder="1" applyAlignment="1" applyProtection="1">
      <alignment horizontal="center" vertical="center"/>
      <protection locked="0"/>
    </xf>
    <xf numFmtId="0" fontId="4" fillId="0" borderId="105" xfId="0" applyFont="1" applyBorder="1" applyAlignment="1">
      <alignment horizontal="center"/>
    </xf>
    <xf numFmtId="0" fontId="4" fillId="0" borderId="107" xfId="0" applyFont="1" applyBorder="1" applyAlignment="1">
      <alignment horizontal="center"/>
    </xf>
    <xf numFmtId="170" fontId="4" fillId="0" borderId="66" xfId="0" applyNumberFormat="1" applyFont="1" applyBorder="1" applyAlignment="1">
      <alignment horizontal="center" vertical="center"/>
    </xf>
    <xf numFmtId="0" fontId="41" fillId="0" borderId="55" xfId="0" applyFont="1" applyBorder="1" applyAlignment="1">
      <alignment horizontal="center" vertical="center"/>
    </xf>
    <xf numFmtId="0" fontId="7" fillId="23" borderId="88" xfId="0" applyFont="1" applyFill="1" applyBorder="1" applyAlignment="1">
      <alignment horizontal="center" vertical="center"/>
    </xf>
    <xf numFmtId="0" fontId="75" fillId="7" borderId="0" xfId="0" applyFont="1" applyFill="1" applyAlignment="1">
      <alignment horizontal="right" vertical="center"/>
    </xf>
    <xf numFmtId="0" fontId="4" fillId="17" borderId="49" xfId="0" applyFont="1" applyFill="1" applyBorder="1" applyAlignment="1">
      <alignment horizontal="center" vertical="center"/>
    </xf>
    <xf numFmtId="0" fontId="0" fillId="17" borderId="48" xfId="0" applyFill="1" applyBorder="1"/>
    <xf numFmtId="0" fontId="4" fillId="23" borderId="0" xfId="0" applyFont="1" applyFill="1" applyAlignment="1">
      <alignment horizontal="right" vertical="center"/>
    </xf>
    <xf numFmtId="0" fontId="7" fillId="6" borderId="63" xfId="0" applyFont="1" applyFill="1" applyBorder="1" applyAlignment="1">
      <alignment horizontal="center" vertical="center"/>
    </xf>
    <xf numFmtId="0" fontId="14" fillId="0" borderId="8" xfId="0" applyFont="1" applyBorder="1" applyAlignment="1" applyProtection="1">
      <alignment horizontal="center" vertical="center"/>
      <protection locked="0"/>
    </xf>
    <xf numFmtId="0" fontId="4" fillId="0" borderId="111" xfId="0" applyFont="1" applyBorder="1" applyAlignment="1">
      <alignment horizontal="center" vertical="center"/>
    </xf>
    <xf numFmtId="170" fontId="37" fillId="17" borderId="0" xfId="0" applyNumberFormat="1" applyFont="1" applyFill="1" applyAlignment="1">
      <alignment horizontal="center" vertical="center"/>
    </xf>
    <xf numFmtId="0" fontId="4" fillId="17" borderId="0" xfId="0" applyFont="1" applyFill="1" applyAlignment="1">
      <alignment horizontal="left" vertical="center"/>
    </xf>
    <xf numFmtId="0" fontId="4" fillId="17" borderId="38" xfId="0" applyFont="1" applyFill="1" applyBorder="1" applyAlignment="1">
      <alignment vertical="center"/>
    </xf>
    <xf numFmtId="0" fontId="4" fillId="17" borderId="40" xfId="0" applyFont="1" applyFill="1" applyBorder="1" applyAlignment="1">
      <alignment vertical="center"/>
    </xf>
    <xf numFmtId="0" fontId="4" fillId="17" borderId="49" xfId="0" applyFont="1" applyFill="1" applyBorder="1" applyAlignment="1">
      <alignment vertical="center"/>
    </xf>
    <xf numFmtId="0" fontId="4" fillId="17" borderId="0" xfId="0" quotePrefix="1" applyFont="1" applyFill="1" applyAlignment="1">
      <alignment vertical="center"/>
    </xf>
    <xf numFmtId="0" fontId="37" fillId="17" borderId="0" xfId="0" applyFont="1" applyFill="1" applyAlignment="1">
      <alignment horizontal="center" vertical="center"/>
    </xf>
    <xf numFmtId="0" fontId="4" fillId="17" borderId="3" xfId="0" applyFont="1" applyFill="1" applyBorder="1" applyAlignment="1">
      <alignment vertical="center"/>
    </xf>
    <xf numFmtId="0" fontId="4" fillId="17" borderId="47" xfId="0" applyFont="1" applyFill="1" applyBorder="1" applyAlignment="1">
      <alignment vertical="center"/>
    </xf>
    <xf numFmtId="0" fontId="4" fillId="17" borderId="48" xfId="0" applyFont="1" applyFill="1" applyBorder="1" applyAlignment="1">
      <alignment vertical="center"/>
    </xf>
    <xf numFmtId="0" fontId="107" fillId="17" borderId="2" xfId="0" applyFont="1" applyFill="1" applyBorder="1" applyAlignment="1">
      <alignment vertical="center"/>
    </xf>
    <xf numFmtId="0" fontId="114" fillId="17" borderId="0" xfId="0" applyFont="1" applyFill="1" applyAlignment="1">
      <alignment vertical="center"/>
    </xf>
    <xf numFmtId="2" fontId="4" fillId="17" borderId="0" xfId="0" applyNumberFormat="1" applyFont="1" applyFill="1" applyAlignment="1">
      <alignment horizontal="center" vertical="center"/>
    </xf>
    <xf numFmtId="0" fontId="4" fillId="17" borderId="40" xfId="0" applyFont="1" applyFill="1" applyBorder="1" applyAlignment="1">
      <alignment horizontal="center" vertical="center"/>
    </xf>
    <xf numFmtId="2" fontId="4" fillId="17" borderId="40" xfId="0" applyNumberFormat="1" applyFont="1" applyFill="1" applyBorder="1" applyAlignment="1">
      <alignment horizontal="center" vertical="center"/>
    </xf>
    <xf numFmtId="0" fontId="4" fillId="17" borderId="40" xfId="0" applyFont="1" applyFill="1" applyBorder="1" applyAlignment="1">
      <alignment horizontal="right" vertical="center"/>
    </xf>
    <xf numFmtId="0" fontId="4" fillId="17" borderId="47" xfId="0" applyFont="1" applyFill="1" applyBorder="1" applyAlignment="1">
      <alignment horizontal="center" vertical="center"/>
    </xf>
    <xf numFmtId="0" fontId="75" fillId="17" borderId="0" xfId="0" applyFont="1" applyFill="1" applyAlignment="1">
      <alignment vertical="center"/>
    </xf>
    <xf numFmtId="0" fontId="41" fillId="17" borderId="2" xfId="0" applyFont="1" applyFill="1" applyBorder="1" applyAlignment="1">
      <alignment horizontal="center" vertical="center"/>
    </xf>
    <xf numFmtId="0" fontId="4" fillId="17" borderId="0" xfId="0" applyFont="1" applyFill="1" applyAlignment="1">
      <alignment vertical="center" wrapText="1"/>
    </xf>
    <xf numFmtId="0" fontId="11" fillId="17" borderId="0" xfId="0" applyFont="1" applyFill="1" applyAlignment="1">
      <alignment vertical="center"/>
    </xf>
    <xf numFmtId="170" fontId="4" fillId="17" borderId="113" xfId="0" applyNumberFormat="1" applyFont="1" applyFill="1" applyBorder="1" applyAlignment="1">
      <alignment horizontal="center" vertical="center"/>
    </xf>
    <xf numFmtId="0" fontId="4" fillId="17" borderId="113" xfId="0" applyFont="1" applyFill="1" applyBorder="1" applyAlignment="1">
      <alignment horizontal="center" vertical="center"/>
    </xf>
    <xf numFmtId="0" fontId="118" fillId="17" borderId="0" xfId="0" applyFont="1" applyFill="1" applyAlignment="1">
      <alignment horizontal="right" vertical="center"/>
    </xf>
    <xf numFmtId="0" fontId="114" fillId="17" borderId="0" xfId="0" applyFont="1" applyFill="1" applyAlignment="1">
      <alignment horizontal="center" vertical="center"/>
    </xf>
    <xf numFmtId="0" fontId="4" fillId="17" borderId="2" xfId="0" applyFont="1" applyFill="1" applyBorder="1" applyAlignment="1">
      <alignment vertical="top"/>
    </xf>
    <xf numFmtId="0" fontId="4" fillId="17" borderId="0" xfId="0" applyFont="1" applyFill="1" applyAlignment="1">
      <alignment vertical="top"/>
    </xf>
    <xf numFmtId="0" fontId="4" fillId="17" borderId="0" xfId="0" applyFont="1" applyFill="1" applyAlignment="1">
      <alignment horizontal="center" vertical="top"/>
    </xf>
    <xf numFmtId="0" fontId="74" fillId="17" borderId="0" xfId="0" applyFont="1" applyFill="1" applyAlignment="1">
      <alignment horizontal="center" vertical="center"/>
    </xf>
    <xf numFmtId="0" fontId="75" fillId="17" borderId="0" xfId="0" applyFont="1" applyFill="1" applyAlignment="1">
      <alignment horizontal="left" vertical="center" wrapText="1"/>
    </xf>
    <xf numFmtId="0" fontId="5" fillId="18" borderId="0" xfId="0" applyFont="1" applyFill="1" applyAlignment="1">
      <alignment horizontal="right" vertical="center"/>
    </xf>
    <xf numFmtId="0" fontId="4" fillId="18" borderId="0" xfId="0" applyFont="1" applyFill="1" applyAlignment="1">
      <alignment vertical="top"/>
    </xf>
    <xf numFmtId="0" fontId="117" fillId="17" borderId="0" xfId="0" applyFont="1" applyFill="1" applyAlignment="1">
      <alignment vertical="center" wrapText="1"/>
    </xf>
    <xf numFmtId="0" fontId="119" fillId="17" borderId="38" xfId="0" applyFont="1" applyFill="1" applyBorder="1" applyAlignment="1">
      <alignment horizontal="center"/>
    </xf>
    <xf numFmtId="0" fontId="2" fillId="17" borderId="49" xfId="0" applyFont="1" applyFill="1" applyBorder="1" applyAlignment="1">
      <alignment horizontal="center"/>
    </xf>
    <xf numFmtId="2" fontId="4" fillId="17" borderId="113" xfId="0" applyNumberFormat="1" applyFont="1" applyFill="1" applyBorder="1" applyAlignment="1">
      <alignment horizontal="center" vertical="center"/>
    </xf>
    <xf numFmtId="2" fontId="4" fillId="0" borderId="97" xfId="0" applyNumberFormat="1" applyFont="1" applyBorder="1" applyAlignment="1">
      <alignment horizontal="center" vertical="center"/>
    </xf>
    <xf numFmtId="3" fontId="4" fillId="17" borderId="113" xfId="0" applyNumberFormat="1" applyFont="1" applyFill="1" applyBorder="1" applyAlignment="1">
      <alignment horizontal="center" vertical="center"/>
    </xf>
    <xf numFmtId="1" fontId="4" fillId="17" borderId="113" xfId="0" applyNumberFormat="1" applyFont="1" applyFill="1" applyBorder="1" applyAlignment="1">
      <alignment horizontal="center" vertical="center"/>
    </xf>
    <xf numFmtId="11" fontId="4" fillId="17" borderId="113" xfId="0" applyNumberFormat="1" applyFont="1" applyFill="1" applyBorder="1" applyAlignment="1">
      <alignment horizontal="center" vertical="center"/>
    </xf>
    <xf numFmtId="0" fontId="4" fillId="3" borderId="40" xfId="0" applyFont="1" applyFill="1" applyBorder="1" applyAlignment="1">
      <alignment vertical="center"/>
    </xf>
    <xf numFmtId="0" fontId="4" fillId="3" borderId="47" xfId="0" applyFont="1" applyFill="1" applyBorder="1" applyAlignment="1">
      <alignment vertical="center"/>
    </xf>
    <xf numFmtId="0" fontId="11" fillId="0" borderId="4" xfId="0" applyFont="1" applyBorder="1" applyAlignment="1">
      <alignment horizontal="center" vertical="center"/>
    </xf>
    <xf numFmtId="0" fontId="11" fillId="0" borderId="20" xfId="0" applyFont="1" applyBorder="1" applyAlignment="1">
      <alignment horizontal="center" vertical="center"/>
    </xf>
    <xf numFmtId="0" fontId="114" fillId="17" borderId="0" xfId="0" applyFont="1" applyFill="1" applyAlignment="1">
      <alignment horizontal="right" vertical="center"/>
    </xf>
    <xf numFmtId="0" fontId="11" fillId="17" borderId="9" xfId="0" applyFont="1" applyFill="1" applyBorder="1" applyAlignment="1">
      <alignment vertical="center"/>
    </xf>
    <xf numFmtId="0" fontId="7" fillId="16" borderId="4" xfId="0" applyFont="1" applyFill="1" applyBorder="1" applyAlignment="1">
      <alignment horizontal="center" vertical="center" wrapText="1"/>
    </xf>
    <xf numFmtId="2" fontId="4" fillId="6" borderId="66" xfId="0" applyNumberFormat="1" applyFont="1" applyFill="1" applyBorder="1" applyAlignment="1" applyProtection="1">
      <alignment horizontal="center" vertical="center"/>
      <protection hidden="1"/>
    </xf>
    <xf numFmtId="0" fontId="4" fillId="0" borderId="116" xfId="0" applyFont="1" applyBorder="1" applyAlignment="1">
      <alignment horizontal="center" vertical="center"/>
    </xf>
    <xf numFmtId="0" fontId="7" fillId="6" borderId="64" xfId="0" applyFont="1" applyFill="1" applyBorder="1" applyAlignment="1">
      <alignment horizontal="center" vertical="center" wrapText="1"/>
    </xf>
    <xf numFmtId="0" fontId="14" fillId="0" borderId="113" xfId="0" applyFont="1" applyBorder="1" applyAlignment="1" applyProtection="1">
      <alignment horizontal="center" vertical="center"/>
      <protection locked="0"/>
    </xf>
    <xf numFmtId="0" fontId="14" fillId="0" borderId="115" xfId="0" applyFont="1" applyBorder="1" applyAlignment="1" applyProtection="1">
      <alignment horizontal="center" vertical="center"/>
      <protection locked="0"/>
    </xf>
    <xf numFmtId="2" fontId="4" fillId="6" borderId="117" xfId="0" applyNumberFormat="1" applyFont="1" applyFill="1" applyBorder="1" applyAlignment="1" applyProtection="1">
      <alignment horizontal="center" vertical="center"/>
      <protection hidden="1"/>
    </xf>
    <xf numFmtId="0" fontId="4" fillId="6" borderId="112" xfId="0" applyFont="1" applyFill="1" applyBorder="1" applyAlignment="1" applyProtection="1">
      <alignment horizontal="center" vertical="center"/>
      <protection hidden="1"/>
    </xf>
    <xf numFmtId="169" fontId="4" fillId="6" borderId="112" xfId="0" applyNumberFormat="1" applyFont="1" applyFill="1" applyBorder="1" applyAlignment="1" applyProtection="1">
      <alignment horizontal="center" vertical="center"/>
      <protection hidden="1"/>
    </xf>
    <xf numFmtId="2" fontId="4" fillId="6" borderId="112" xfId="0" applyNumberFormat="1" applyFont="1" applyFill="1" applyBorder="1" applyAlignment="1" applyProtection="1">
      <alignment horizontal="center" vertical="center"/>
      <protection hidden="1"/>
    </xf>
    <xf numFmtId="170" fontId="4" fillId="6" borderId="112" xfId="0" applyNumberFormat="1" applyFont="1" applyFill="1" applyBorder="1" applyAlignment="1" applyProtection="1">
      <alignment horizontal="center" vertical="center"/>
      <protection hidden="1"/>
    </xf>
    <xf numFmtId="167" fontId="4" fillId="6" borderId="112" xfId="0" applyNumberFormat="1" applyFont="1" applyFill="1" applyBorder="1" applyAlignment="1" applyProtection="1">
      <alignment horizontal="center" vertical="center"/>
      <protection hidden="1"/>
    </xf>
    <xf numFmtId="0" fontId="4" fillId="0" borderId="87" xfId="0" applyFont="1" applyBorder="1" applyAlignment="1">
      <alignment horizontal="center" vertical="center"/>
    </xf>
    <xf numFmtId="0" fontId="4" fillId="6" borderId="113" xfId="0" applyFont="1" applyFill="1" applyBorder="1" applyAlignment="1" applyProtection="1">
      <alignment horizontal="center" vertical="center"/>
      <protection hidden="1"/>
    </xf>
    <xf numFmtId="0" fontId="7" fillId="6" borderId="6" xfId="0" applyFont="1" applyFill="1" applyBorder="1" applyAlignment="1">
      <alignment horizontal="center" vertical="center" wrapText="1"/>
    </xf>
    <xf numFmtId="0" fontId="7" fillId="6" borderId="63" xfId="0" applyFont="1" applyFill="1" applyBorder="1" applyAlignment="1">
      <alignment horizontal="center" vertical="center" wrapText="1"/>
    </xf>
    <xf numFmtId="0" fontId="108" fillId="0" borderId="113" xfId="0" applyFont="1" applyBorder="1" applyAlignment="1" applyProtection="1">
      <alignment horizontal="center" vertical="center"/>
      <protection locked="0"/>
    </xf>
    <xf numFmtId="49" fontId="14" fillId="0" borderId="66" xfId="0" applyNumberFormat="1" applyFont="1" applyBorder="1" applyAlignment="1" applyProtection="1">
      <alignment horizontal="center" vertical="center"/>
      <protection locked="0"/>
    </xf>
    <xf numFmtId="0" fontId="4" fillId="0" borderId="113" xfId="0" applyFont="1" applyBorder="1" applyAlignment="1">
      <alignment horizontal="center" vertical="center"/>
    </xf>
    <xf numFmtId="0" fontId="4" fillId="6" borderId="113" xfId="0" applyFont="1" applyFill="1" applyBorder="1" applyAlignment="1">
      <alignment horizontal="center" vertical="center"/>
    </xf>
    <xf numFmtId="169" fontId="4" fillId="6" borderId="113" xfId="0" applyNumberFormat="1" applyFont="1" applyFill="1" applyBorder="1" applyAlignment="1">
      <alignment horizontal="center" vertical="center"/>
    </xf>
    <xf numFmtId="2" fontId="4" fillId="6" borderId="113" xfId="0" applyNumberFormat="1" applyFont="1" applyFill="1" applyBorder="1" applyAlignment="1">
      <alignment horizontal="center" vertical="center"/>
    </xf>
    <xf numFmtId="170" fontId="4" fillId="6" borderId="113" xfId="0" applyNumberFormat="1" applyFont="1" applyFill="1" applyBorder="1" applyAlignment="1">
      <alignment horizontal="center" vertical="center"/>
    </xf>
    <xf numFmtId="169" fontId="4" fillId="0" borderId="113" xfId="0" applyNumberFormat="1" applyFont="1" applyBorder="1" applyAlignment="1">
      <alignment horizontal="center" vertical="center"/>
    </xf>
    <xf numFmtId="167" fontId="4" fillId="6" borderId="113" xfId="0" applyNumberFormat="1" applyFont="1" applyFill="1" applyBorder="1" applyAlignment="1">
      <alignment horizontal="center" vertical="center"/>
    </xf>
    <xf numFmtId="170" fontId="4" fillId="0" borderId="113" xfId="0" applyNumberFormat="1" applyFont="1" applyBorder="1" applyAlignment="1">
      <alignment horizontal="center" vertical="center"/>
    </xf>
    <xf numFmtId="0" fontId="14" fillId="0" borderId="81" xfId="0" applyFont="1" applyBorder="1" applyAlignment="1" applyProtection="1">
      <alignment horizontal="center" vertical="center"/>
      <protection locked="0"/>
    </xf>
    <xf numFmtId="0" fontId="108" fillId="0" borderId="106" xfId="0" applyFont="1" applyBorder="1" applyAlignment="1" applyProtection="1">
      <alignment horizontal="center" vertical="center"/>
      <protection locked="0"/>
    </xf>
    <xf numFmtId="0" fontId="108" fillId="0" borderId="104" xfId="0" applyFont="1" applyBorder="1" applyAlignment="1" applyProtection="1">
      <alignment horizontal="center" vertical="center"/>
      <protection locked="0"/>
    </xf>
    <xf numFmtId="0" fontId="108" fillId="0" borderId="83" xfId="0" applyFont="1" applyBorder="1" applyAlignment="1" applyProtection="1">
      <alignment horizontal="center" vertical="center"/>
      <protection locked="0"/>
    </xf>
    <xf numFmtId="0" fontId="14" fillId="0" borderId="77" xfId="0" applyFont="1" applyBorder="1" applyAlignment="1" applyProtection="1">
      <alignment vertical="center" wrapText="1"/>
      <protection locked="0"/>
    </xf>
    <xf numFmtId="0" fontId="14" fillId="0" borderId="117" xfId="0" applyFont="1" applyBorder="1" applyAlignment="1" applyProtection="1">
      <alignment vertical="center" wrapText="1"/>
      <protection locked="0"/>
    </xf>
    <xf numFmtId="167" fontId="4" fillId="6" borderId="120" xfId="0" applyNumberFormat="1" applyFont="1" applyFill="1" applyBorder="1" applyAlignment="1" applyProtection="1">
      <alignment horizontal="center" vertical="center"/>
      <protection hidden="1"/>
    </xf>
    <xf numFmtId="0" fontId="14" fillId="0" borderId="120" xfId="0" applyFont="1" applyBorder="1" applyAlignment="1" applyProtection="1">
      <alignment horizontal="center" vertical="center"/>
      <protection locked="0"/>
    </xf>
    <xf numFmtId="0" fontId="4" fillId="6" borderId="27" xfId="0" applyFont="1" applyFill="1" applyBorder="1" applyAlignment="1" applyProtection="1">
      <alignment horizontal="center" vertical="center"/>
      <protection hidden="1"/>
    </xf>
    <xf numFmtId="0" fontId="14" fillId="0" borderId="27" xfId="0" applyFont="1" applyBorder="1" applyAlignment="1" applyProtection="1">
      <alignment horizontal="center" vertical="center"/>
      <protection locked="0"/>
    </xf>
    <xf numFmtId="0" fontId="4" fillId="6" borderId="117" xfId="0" applyFont="1" applyFill="1" applyBorder="1" applyAlignment="1" applyProtection="1">
      <alignment horizontal="center" vertical="center"/>
      <protection hidden="1"/>
    </xf>
    <xf numFmtId="0" fontId="4" fillId="0" borderId="72" xfId="0" applyFont="1" applyBorder="1" applyAlignment="1">
      <alignment horizontal="center" vertical="center"/>
    </xf>
    <xf numFmtId="0" fontId="4" fillId="6" borderId="41" xfId="0" applyFont="1" applyFill="1" applyBorder="1" applyAlignment="1" applyProtection="1">
      <alignment horizontal="center" vertical="center"/>
      <protection hidden="1"/>
    </xf>
    <xf numFmtId="0" fontId="14" fillId="0" borderId="41" xfId="0" applyFont="1" applyBorder="1" applyAlignment="1" applyProtection="1">
      <alignment horizontal="center" vertical="center"/>
      <protection locked="0"/>
    </xf>
    <xf numFmtId="0" fontId="4" fillId="6" borderId="101" xfId="0" applyFont="1" applyFill="1" applyBorder="1" applyAlignment="1" applyProtection="1">
      <alignment horizontal="center" vertical="center"/>
      <protection hidden="1"/>
    </xf>
    <xf numFmtId="0" fontId="4" fillId="6" borderId="104" xfId="0" applyFont="1" applyFill="1" applyBorder="1" applyAlignment="1" applyProtection="1">
      <alignment horizontal="center" vertical="center"/>
      <protection hidden="1"/>
    </xf>
    <xf numFmtId="0" fontId="14" fillId="0" borderId="104" xfId="0" applyFont="1" applyBorder="1" applyAlignment="1" applyProtection="1">
      <alignment horizontal="center" vertical="center"/>
      <protection locked="0"/>
    </xf>
    <xf numFmtId="0" fontId="4" fillId="6" borderId="54" xfId="0" applyFont="1" applyFill="1" applyBorder="1" applyAlignment="1" applyProtection="1">
      <alignment horizontal="center" vertical="center"/>
      <protection hidden="1"/>
    </xf>
    <xf numFmtId="0" fontId="4" fillId="16" borderId="113" xfId="0" applyFont="1" applyFill="1" applyBorder="1" applyAlignment="1" applyProtection="1">
      <alignment horizontal="center" vertical="center"/>
      <protection hidden="1"/>
    </xf>
    <xf numFmtId="0" fontId="4" fillId="16" borderId="119" xfId="0" applyFont="1" applyFill="1" applyBorder="1" applyAlignment="1" applyProtection="1">
      <alignment horizontal="center" vertical="center"/>
      <protection hidden="1"/>
    </xf>
    <xf numFmtId="0" fontId="4" fillId="6" borderId="119" xfId="0" applyFont="1" applyFill="1" applyBorder="1" applyAlignment="1" applyProtection="1">
      <alignment horizontal="center" vertical="center"/>
      <protection hidden="1"/>
    </xf>
    <xf numFmtId="0" fontId="7" fillId="2" borderId="0" xfId="0" applyFont="1" applyFill="1" applyAlignment="1">
      <alignment horizontal="center" vertical="center"/>
    </xf>
    <xf numFmtId="0" fontId="7" fillId="2" borderId="0" xfId="0" applyFont="1" applyFill="1" applyAlignment="1">
      <alignment horizontal="centerContinuous" vertical="center"/>
    </xf>
    <xf numFmtId="0" fontId="2" fillId="18" borderId="0" xfId="0" applyFont="1" applyFill="1"/>
    <xf numFmtId="0" fontId="110" fillId="2" borderId="0" xfId="0" applyFont="1" applyFill="1" applyAlignment="1">
      <alignment horizontal="center" vertical="top"/>
    </xf>
    <xf numFmtId="0" fontId="11" fillId="2" borderId="0" xfId="0" applyFont="1" applyFill="1" applyAlignment="1">
      <alignment horizontal="left" vertical="center"/>
    </xf>
    <xf numFmtId="0" fontId="19" fillId="0" borderId="103" xfId="0" applyFont="1" applyBorder="1" applyAlignment="1" applyProtection="1">
      <alignment horizontal="center" vertical="center"/>
      <protection locked="0"/>
    </xf>
    <xf numFmtId="0" fontId="6" fillId="7" borderId="0" xfId="0" applyFont="1" applyFill="1" applyAlignment="1">
      <alignment horizontal="center" vertical="center"/>
    </xf>
    <xf numFmtId="0" fontId="4" fillId="0" borderId="2" xfId="0" applyFont="1" applyBorder="1" applyAlignment="1">
      <alignment horizontal="center" vertical="center"/>
    </xf>
    <xf numFmtId="0" fontId="4" fillId="0" borderId="0" xfId="0" applyFont="1" applyAlignment="1">
      <alignment horizontal="left"/>
    </xf>
    <xf numFmtId="0" fontId="0" fillId="18" borderId="0" xfId="0" applyFill="1" applyAlignment="1">
      <alignment vertical="center"/>
    </xf>
    <xf numFmtId="170" fontId="7" fillId="7" borderId="122" xfId="0" applyNumberFormat="1" applyFont="1" applyFill="1" applyBorder="1" applyAlignment="1">
      <alignment horizontal="center" vertical="center"/>
    </xf>
    <xf numFmtId="0" fontId="4" fillId="7" borderId="119" xfId="0" applyFont="1" applyFill="1" applyBorder="1" applyAlignment="1">
      <alignment horizontal="center" vertical="center"/>
    </xf>
    <xf numFmtId="0" fontId="7" fillId="18" borderId="0" xfId="0" applyFont="1" applyFill="1" applyAlignment="1">
      <alignment horizontal="right" vertical="center" wrapText="1"/>
    </xf>
    <xf numFmtId="0" fontId="14" fillId="0" borderId="122" xfId="0" applyFont="1" applyBorder="1" applyAlignment="1" applyProtection="1">
      <alignment horizontal="center" vertical="center"/>
      <protection locked="0"/>
    </xf>
    <xf numFmtId="0" fontId="14" fillId="7" borderId="41" xfId="0" applyFont="1" applyFill="1" applyBorder="1" applyAlignment="1" applyProtection="1">
      <alignment horizontal="center" vertical="center"/>
      <protection locked="0"/>
    </xf>
    <xf numFmtId="0" fontId="14" fillId="7" borderId="122" xfId="0" applyFont="1" applyFill="1" applyBorder="1" applyAlignment="1" applyProtection="1">
      <alignment horizontal="center" vertical="center"/>
      <protection locked="0"/>
    </xf>
    <xf numFmtId="170" fontId="4" fillId="0" borderId="8" xfId="0" applyNumberFormat="1" applyFont="1" applyBorder="1" applyAlignment="1">
      <alignment horizontal="center" vertical="center"/>
    </xf>
    <xf numFmtId="170" fontId="4" fillId="0" borderId="83" xfId="0" applyNumberFormat="1" applyFont="1" applyBorder="1" applyAlignment="1">
      <alignment horizontal="center" vertical="center"/>
    </xf>
    <xf numFmtId="2" fontId="11" fillId="0" borderId="66" xfId="0" applyNumberFormat="1" applyFont="1" applyBorder="1" applyAlignment="1">
      <alignment horizontal="center" vertical="center"/>
    </xf>
    <xf numFmtId="0" fontId="14" fillId="18" borderId="0" xfId="0" applyFont="1" applyFill="1" applyAlignment="1" applyProtection="1">
      <alignment vertical="top"/>
      <protection locked="0"/>
    </xf>
    <xf numFmtId="0" fontId="73" fillId="18" borderId="0" xfId="0" applyFont="1" applyFill="1" applyAlignment="1">
      <alignment vertical="center" wrapText="1"/>
    </xf>
    <xf numFmtId="0" fontId="94" fillId="18" borderId="0" xfId="0" applyFont="1" applyFill="1" applyAlignment="1">
      <alignment vertical="center" wrapText="1"/>
    </xf>
    <xf numFmtId="0" fontId="4" fillId="18" borderId="0" xfId="0" applyFont="1" applyFill="1" applyAlignment="1">
      <alignment horizontal="left" vertical="center"/>
    </xf>
    <xf numFmtId="0" fontId="46" fillId="18" borderId="0" xfId="0" applyFont="1" applyFill="1" applyAlignment="1">
      <alignment horizontal="left" vertical="center"/>
    </xf>
    <xf numFmtId="0" fontId="4" fillId="18" borderId="0" xfId="0" applyFont="1" applyFill="1" applyAlignment="1">
      <alignment horizontal="left" vertical="center" wrapText="1"/>
    </xf>
    <xf numFmtId="0" fontId="19" fillId="17" borderId="27" xfId="0" applyFont="1" applyFill="1" applyBorder="1" applyAlignment="1" applyProtection="1">
      <alignment horizontal="center" vertical="center"/>
      <protection locked="0"/>
    </xf>
    <xf numFmtId="0" fontId="4" fillId="0" borderId="122" xfId="0" applyFont="1" applyBorder="1" applyAlignment="1">
      <alignment horizontal="center" vertical="center"/>
    </xf>
    <xf numFmtId="0" fontId="2" fillId="17" borderId="0" xfId="0" applyFont="1" applyFill="1"/>
    <xf numFmtId="170" fontId="0" fillId="17" borderId="122" xfId="0" applyNumberFormat="1" applyFill="1" applyBorder="1" applyAlignment="1">
      <alignment horizontal="center"/>
    </xf>
    <xf numFmtId="0" fontId="2" fillId="18" borderId="0" xfId="0" applyFont="1" applyFill="1" applyAlignment="1">
      <alignment horizontal="right"/>
    </xf>
    <xf numFmtId="0" fontId="4" fillId="0" borderId="3" xfId="0" applyFont="1" applyBorder="1" applyAlignment="1">
      <alignment horizontal="center" vertical="center"/>
    </xf>
    <xf numFmtId="0" fontId="4" fillId="6" borderId="122" xfId="0" applyFont="1" applyFill="1" applyBorder="1" applyAlignment="1" applyProtection="1">
      <alignment horizontal="center" vertical="center"/>
      <protection hidden="1"/>
    </xf>
    <xf numFmtId="0" fontId="4" fillId="0" borderId="120" xfId="0" applyFont="1" applyBorder="1" applyAlignment="1">
      <alignment horizontal="center" vertical="center"/>
    </xf>
    <xf numFmtId="0" fontId="4" fillId="0" borderId="5" xfId="0" applyFont="1" applyBorder="1" applyAlignment="1">
      <alignment horizontal="center" vertical="center"/>
    </xf>
    <xf numFmtId="0" fontId="4" fillId="6" borderId="8" xfId="0" applyFont="1" applyFill="1" applyBorder="1" applyAlignment="1" applyProtection="1">
      <alignment horizontal="center" vertical="center"/>
      <protection hidden="1"/>
    </xf>
    <xf numFmtId="0" fontId="4" fillId="0" borderId="81" xfId="0" applyFont="1" applyBorder="1" applyAlignment="1">
      <alignment horizontal="center" vertical="center"/>
    </xf>
    <xf numFmtId="0" fontId="4" fillId="6" borderId="106" xfId="0" applyFont="1" applyFill="1" applyBorder="1" applyAlignment="1" applyProtection="1">
      <alignment horizontal="center" vertical="center"/>
      <protection hidden="1"/>
    </xf>
    <xf numFmtId="0" fontId="7" fillId="0" borderId="122" xfId="0" applyFont="1" applyBorder="1" applyAlignment="1">
      <alignment horizontal="center" vertical="center"/>
    </xf>
    <xf numFmtId="0" fontId="4" fillId="2" borderId="0" xfId="0" quotePrefix="1" applyFont="1" applyFill="1" applyAlignment="1">
      <alignment vertical="center"/>
    </xf>
    <xf numFmtId="0" fontId="105" fillId="0" borderId="122" xfId="0" applyFont="1" applyBorder="1" applyAlignment="1" applyProtection="1">
      <alignment horizontal="center" vertical="center"/>
      <protection locked="0"/>
    </xf>
    <xf numFmtId="0" fontId="7" fillId="25" borderId="122" xfId="0" applyFont="1" applyFill="1" applyBorder="1" applyAlignment="1">
      <alignment horizontal="center" vertical="center"/>
    </xf>
    <xf numFmtId="2" fontId="4" fillId="0" borderId="23" xfId="0" applyNumberFormat="1" applyFont="1" applyBorder="1" applyAlignment="1">
      <alignment horizontal="center" vertical="center"/>
    </xf>
    <xf numFmtId="0" fontId="113" fillId="0" borderId="0" xfId="0" applyFont="1" applyAlignment="1">
      <alignment vertical="center"/>
    </xf>
    <xf numFmtId="0" fontId="113" fillId="0" borderId="0" xfId="0" applyFont="1" applyAlignment="1">
      <alignment horizontal="center" vertical="center"/>
    </xf>
    <xf numFmtId="0" fontId="19" fillId="7" borderId="124" xfId="0" applyFont="1" applyFill="1" applyBorder="1" applyAlignment="1" applyProtection="1">
      <alignment horizontal="center" vertical="center"/>
      <protection locked="0"/>
    </xf>
    <xf numFmtId="0" fontId="19" fillId="7" borderId="104" xfId="0" applyFont="1" applyFill="1" applyBorder="1" applyAlignment="1" applyProtection="1">
      <alignment horizontal="center" vertical="center"/>
      <protection locked="0"/>
    </xf>
    <xf numFmtId="0" fontId="4" fillId="0" borderId="124" xfId="0" applyFont="1" applyBorder="1" applyAlignment="1">
      <alignment horizontal="center" vertical="center"/>
    </xf>
    <xf numFmtId="0" fontId="4" fillId="6" borderId="124" xfId="0" applyFont="1" applyFill="1" applyBorder="1" applyAlignment="1">
      <alignment horizontal="center" vertical="center"/>
    </xf>
    <xf numFmtId="0" fontId="4" fillId="18" borderId="0" xfId="0" applyFont="1" applyFill="1" applyAlignment="1">
      <alignment horizontal="right" vertical="center" wrapText="1"/>
    </xf>
    <xf numFmtId="0" fontId="122" fillId="0" borderId="0" xfId="0" applyFont="1" applyAlignment="1">
      <alignment vertical="center"/>
    </xf>
    <xf numFmtId="168" fontId="7" fillId="0" borderId="1" xfId="0" applyNumberFormat="1" applyFont="1" applyBorder="1" applyAlignment="1">
      <alignment horizontal="center" vertical="center"/>
    </xf>
    <xf numFmtId="0" fontId="12" fillId="8" borderId="13" xfId="0" applyFont="1" applyFill="1" applyBorder="1" applyAlignment="1">
      <alignment horizontal="center" vertical="center"/>
    </xf>
    <xf numFmtId="169" fontId="4" fillId="7" borderId="118" xfId="0" applyNumberFormat="1" applyFont="1" applyFill="1" applyBorder="1" applyAlignment="1">
      <alignment horizontal="center" vertical="center"/>
    </xf>
    <xf numFmtId="0" fontId="7" fillId="18" borderId="0" xfId="0" applyFont="1" applyFill="1" applyAlignment="1">
      <alignment horizontal="center" vertical="center"/>
    </xf>
    <xf numFmtId="0" fontId="4" fillId="0" borderId="126" xfId="0" applyFont="1" applyBorder="1" applyAlignment="1">
      <alignment horizontal="center" vertical="center"/>
    </xf>
    <xf numFmtId="0" fontId="4" fillId="7" borderId="88" xfId="0" applyFont="1" applyFill="1" applyBorder="1" applyAlignment="1">
      <alignment horizontal="center" vertical="center"/>
    </xf>
    <xf numFmtId="0" fontId="4" fillId="0" borderId="88" xfId="0" applyFont="1" applyBorder="1" applyAlignment="1">
      <alignment horizontal="center" vertical="center"/>
    </xf>
    <xf numFmtId="0" fontId="4" fillId="0" borderId="128" xfId="0" applyFont="1" applyBorder="1" applyAlignment="1">
      <alignment horizontal="center" vertical="center"/>
    </xf>
    <xf numFmtId="0" fontId="7" fillId="10" borderId="2" xfId="0" applyFont="1" applyFill="1" applyBorder="1" applyAlignment="1">
      <alignment horizontal="center" vertical="center"/>
    </xf>
    <xf numFmtId="1" fontId="4" fillId="17" borderId="0" xfId="0" applyNumberFormat="1" applyFont="1" applyFill="1" applyAlignment="1">
      <alignment horizontal="center" vertical="center"/>
    </xf>
    <xf numFmtId="0" fontId="0" fillId="0" borderId="26" xfId="0" applyBorder="1" applyAlignment="1">
      <alignment horizontal="center" vertical="center"/>
    </xf>
    <xf numFmtId="0" fontId="19" fillId="7" borderId="133" xfId="0" applyFont="1" applyFill="1" applyBorder="1" applyAlignment="1" applyProtection="1">
      <alignment horizontal="center" vertical="center"/>
      <protection locked="0"/>
    </xf>
    <xf numFmtId="0" fontId="0" fillId="0" borderId="9" xfId="0" applyBorder="1"/>
    <xf numFmtId="0" fontId="4" fillId="7" borderId="129" xfId="0" applyFont="1" applyFill="1" applyBorder="1" applyAlignment="1">
      <alignment horizontal="center" vertical="center"/>
    </xf>
    <xf numFmtId="0" fontId="124" fillId="0" borderId="12" xfId="0" applyFont="1" applyBorder="1" applyAlignment="1">
      <alignment horizontal="center" vertical="center" wrapText="1"/>
    </xf>
    <xf numFmtId="0" fontId="90" fillId="0" borderId="20" xfId="0" applyFont="1" applyBorder="1" applyAlignment="1">
      <alignment horizontal="center" vertical="center" wrapText="1"/>
    </xf>
    <xf numFmtId="0" fontId="7" fillId="0" borderId="20" xfId="0" applyFont="1" applyBorder="1" applyAlignment="1">
      <alignment horizontal="center" vertical="center" wrapText="1"/>
    </xf>
    <xf numFmtId="0" fontId="7" fillId="10" borderId="12" xfId="0" applyFont="1" applyFill="1" applyBorder="1" applyAlignment="1">
      <alignment horizontal="center" vertical="center" wrapText="1"/>
    </xf>
    <xf numFmtId="2" fontId="4" fillId="0" borderId="129" xfId="0" applyNumberFormat="1" applyFont="1" applyBorder="1" applyAlignment="1">
      <alignment horizontal="center" vertical="center"/>
    </xf>
    <xf numFmtId="0" fontId="7" fillId="6" borderId="129" xfId="0" applyFont="1" applyFill="1" applyBorder="1" applyAlignment="1">
      <alignment horizontal="center" vertical="center" textRotation="90"/>
    </xf>
    <xf numFmtId="0" fontId="4" fillId="0" borderId="129" xfId="0" applyFont="1" applyBorder="1" applyAlignment="1">
      <alignment horizontal="center" vertical="center"/>
    </xf>
    <xf numFmtId="0" fontId="7" fillId="6" borderId="129" xfId="0" applyFont="1" applyFill="1" applyBorder="1" applyAlignment="1">
      <alignment horizontal="left" vertical="center" textRotation="90"/>
    </xf>
    <xf numFmtId="0" fontId="4" fillId="8" borderId="129" xfId="0" applyFont="1" applyFill="1" applyBorder="1" applyAlignment="1">
      <alignment horizontal="left" vertical="center"/>
    </xf>
    <xf numFmtId="0" fontId="7" fillId="0" borderId="129" xfId="0" applyFont="1" applyBorder="1" applyAlignment="1">
      <alignment horizontal="center" vertical="center"/>
    </xf>
    <xf numFmtId="0" fontId="7" fillId="8" borderId="129" xfId="0" applyFont="1" applyFill="1" applyBorder="1" applyAlignment="1">
      <alignment horizontal="center" vertical="center"/>
    </xf>
    <xf numFmtId="0" fontId="4" fillId="0" borderId="129" xfId="0" applyFont="1" applyBorder="1" applyAlignment="1">
      <alignment horizontal="right" vertical="center"/>
    </xf>
    <xf numFmtId="0" fontId="4" fillId="8" borderId="129" xfId="0" applyFont="1" applyFill="1" applyBorder="1" applyAlignment="1">
      <alignment horizontal="right" vertical="center"/>
    </xf>
    <xf numFmtId="0" fontId="4" fillId="6" borderId="129" xfId="0" applyFont="1" applyFill="1" applyBorder="1" applyAlignment="1">
      <alignment horizontal="center" vertical="center"/>
    </xf>
    <xf numFmtId="0" fontId="7" fillId="8" borderId="130" xfId="0" applyFont="1" applyFill="1" applyBorder="1" applyAlignment="1">
      <alignment horizontal="center" vertical="center"/>
    </xf>
    <xf numFmtId="0" fontId="7" fillId="8" borderId="135" xfId="0" applyFont="1" applyFill="1" applyBorder="1" applyAlignment="1">
      <alignment horizontal="center" vertical="center"/>
    </xf>
    <xf numFmtId="0" fontId="7" fillId="8" borderId="127" xfId="0" applyFont="1" applyFill="1" applyBorder="1" applyAlignment="1">
      <alignment horizontal="center" vertical="center"/>
    </xf>
    <xf numFmtId="0" fontId="7" fillId="0" borderId="139" xfId="0" applyFont="1" applyBorder="1" applyAlignment="1">
      <alignment horizontal="centerContinuous" vertical="center"/>
    </xf>
    <xf numFmtId="0" fontId="36" fillId="0" borderId="137" xfId="0" applyFont="1" applyBorder="1" applyAlignment="1">
      <alignment horizontal="center"/>
    </xf>
    <xf numFmtId="1" fontId="31" fillId="6" borderId="140" xfId="0" applyNumberFormat="1" applyFont="1" applyFill="1" applyBorder="1" applyAlignment="1" applyProtection="1">
      <alignment horizontal="center" vertical="center" wrapText="1"/>
      <protection locked="0"/>
    </xf>
    <xf numFmtId="0" fontId="4" fillId="2" borderId="0" xfId="0" applyFont="1" applyFill="1"/>
    <xf numFmtId="0" fontId="4" fillId="17" borderId="0" xfId="0" applyFont="1" applyFill="1"/>
    <xf numFmtId="0" fontId="4" fillId="7" borderId="0" xfId="0" applyFont="1" applyFill="1"/>
    <xf numFmtId="0" fontId="4" fillId="2" borderId="0" xfId="0" applyFont="1" applyFill="1" applyAlignment="1">
      <alignment wrapText="1"/>
    </xf>
    <xf numFmtId="0" fontId="4" fillId="17" borderId="0" xfId="0" applyFont="1" applyFill="1" applyAlignment="1">
      <alignment wrapText="1"/>
    </xf>
    <xf numFmtId="0" fontId="4" fillId="2" borderId="0" xfId="0" applyFont="1" applyFill="1" applyAlignment="1">
      <alignment horizontal="center"/>
    </xf>
    <xf numFmtId="0" fontId="4" fillId="2" borderId="0" xfId="0" applyFont="1" applyFill="1" applyAlignment="1">
      <alignment horizontal="right"/>
    </xf>
    <xf numFmtId="0" fontId="4" fillId="7" borderId="0" xfId="0" applyFont="1" applyFill="1" applyAlignment="1">
      <alignment horizontal="right"/>
    </xf>
    <xf numFmtId="0" fontId="4" fillId="7" borderId="137" xfId="0" applyFont="1" applyFill="1" applyBorder="1" applyAlignment="1">
      <alignment horizontal="center"/>
    </xf>
    <xf numFmtId="169" fontId="4" fillId="7" borderId="137" xfId="0" applyNumberFormat="1" applyFont="1" applyFill="1" applyBorder="1" applyAlignment="1">
      <alignment horizontal="center"/>
    </xf>
    <xf numFmtId="170" fontId="4" fillId="7" borderId="137" xfId="0" applyNumberFormat="1" applyFont="1" applyFill="1" applyBorder="1" applyAlignment="1">
      <alignment horizontal="center"/>
    </xf>
    <xf numFmtId="2" fontId="4" fillId="7" borderId="137" xfId="0" applyNumberFormat="1" applyFont="1" applyFill="1" applyBorder="1" applyAlignment="1">
      <alignment horizontal="center"/>
    </xf>
    <xf numFmtId="4" fontId="4" fillId="7" borderId="137" xfId="0" applyNumberFormat="1" applyFont="1" applyFill="1" applyBorder="1" applyAlignment="1">
      <alignment horizontal="center"/>
    </xf>
    <xf numFmtId="2" fontId="7" fillId="7" borderId="137" xfId="0" applyNumberFormat="1" applyFont="1" applyFill="1" applyBorder="1" applyAlignment="1">
      <alignment horizontal="center"/>
    </xf>
    <xf numFmtId="168" fontId="4" fillId="7" borderId="141" xfId="0" applyNumberFormat="1" applyFont="1" applyFill="1" applyBorder="1" applyAlignment="1">
      <alignment horizontal="center"/>
    </xf>
    <xf numFmtId="2" fontId="4" fillId="7" borderId="142" xfId="0" applyNumberFormat="1" applyFont="1" applyFill="1" applyBorder="1" applyAlignment="1">
      <alignment horizontal="center"/>
    </xf>
    <xf numFmtId="166" fontId="4" fillId="7" borderId="142" xfId="0" applyNumberFormat="1" applyFont="1" applyFill="1" applyBorder="1" applyAlignment="1">
      <alignment horizontal="center"/>
    </xf>
    <xf numFmtId="168" fontId="4" fillId="7" borderId="142" xfId="0" applyNumberFormat="1" applyFont="1" applyFill="1" applyBorder="1" applyAlignment="1">
      <alignment horizontal="center"/>
    </xf>
    <xf numFmtId="168" fontId="4" fillId="7" borderId="143" xfId="0" applyNumberFormat="1" applyFont="1" applyFill="1" applyBorder="1" applyAlignment="1">
      <alignment horizontal="center"/>
    </xf>
    <xf numFmtId="0" fontId="81" fillId="0" borderId="0" xfId="0" applyFont="1" applyAlignment="1">
      <alignment horizontal="center" vertical="center"/>
    </xf>
    <xf numFmtId="170" fontId="4" fillId="7" borderId="142" xfId="0" applyNumberFormat="1" applyFont="1" applyFill="1" applyBorder="1" applyAlignment="1">
      <alignment horizontal="center"/>
    </xf>
    <xf numFmtId="0" fontId="107" fillId="18" borderId="0" xfId="0" applyFont="1" applyFill="1"/>
    <xf numFmtId="0" fontId="6" fillId="18" borderId="0" xfId="0" applyFont="1" applyFill="1"/>
    <xf numFmtId="0" fontId="73" fillId="18" borderId="0" xfId="0" applyFont="1" applyFill="1" applyAlignment="1">
      <alignment horizontal="center"/>
    </xf>
    <xf numFmtId="0" fontId="81" fillId="18" borderId="0" xfId="0" applyFont="1" applyFill="1"/>
    <xf numFmtId="0" fontId="128" fillId="18" borderId="0" xfId="0" applyFont="1" applyFill="1"/>
    <xf numFmtId="0" fontId="25" fillId="18" borderId="0" xfId="0" applyFont="1" applyFill="1" applyAlignment="1">
      <alignment vertical="top"/>
    </xf>
    <xf numFmtId="0" fontId="7" fillId="18" borderId="0" xfId="0" applyFont="1" applyFill="1"/>
    <xf numFmtId="2" fontId="7" fillId="18" borderId="0" xfId="0" applyNumberFormat="1" applyFont="1" applyFill="1" applyAlignment="1">
      <alignment horizontal="center"/>
    </xf>
    <xf numFmtId="170" fontId="103" fillId="7" borderId="142" xfId="0" applyNumberFormat="1" applyFont="1" applyFill="1" applyBorder="1" applyAlignment="1">
      <alignment horizontal="center"/>
    </xf>
    <xf numFmtId="0" fontId="105" fillId="18" borderId="0" xfId="0" applyFont="1" applyFill="1" applyAlignment="1">
      <alignment horizontal="center"/>
    </xf>
    <xf numFmtId="0" fontId="7" fillId="8" borderId="144" xfId="0" applyFont="1" applyFill="1" applyBorder="1" applyAlignment="1">
      <alignment horizontal="center" vertical="center"/>
    </xf>
    <xf numFmtId="0" fontId="7" fillId="8" borderId="142" xfId="0" applyFont="1" applyFill="1" applyBorder="1" applyAlignment="1">
      <alignment horizontal="center" vertical="center"/>
    </xf>
    <xf numFmtId="0" fontId="7" fillId="0" borderId="142" xfId="0" applyFont="1" applyBorder="1" applyAlignment="1">
      <alignment horizontal="center" vertical="center"/>
    </xf>
    <xf numFmtId="0" fontId="4" fillId="18" borderId="0" xfId="0" applyFont="1" applyFill="1" applyAlignment="1">
      <alignment wrapText="1"/>
    </xf>
    <xf numFmtId="0" fontId="129" fillId="16" borderId="137" xfId="0" applyFont="1" applyFill="1" applyBorder="1" applyAlignment="1" applyProtection="1">
      <alignment horizontal="center" vertical="center" wrapText="1"/>
      <protection locked="0"/>
    </xf>
    <xf numFmtId="0" fontId="4" fillId="0" borderId="144" xfId="0" applyFont="1" applyBorder="1" applyAlignment="1">
      <alignment horizontal="centerContinuous" vertical="center"/>
    </xf>
    <xf numFmtId="0" fontId="4" fillId="0" borderId="146" xfId="0" applyFont="1" applyBorder="1" applyAlignment="1">
      <alignment horizontal="centerContinuous" vertical="center"/>
    </xf>
    <xf numFmtId="0" fontId="7" fillId="0" borderId="147" xfId="0" applyFont="1" applyBorder="1" applyAlignment="1">
      <alignment horizontal="centerContinuous" vertical="center"/>
    </xf>
    <xf numFmtId="0" fontId="7" fillId="0" borderId="148" xfId="0" applyFont="1" applyBorder="1" applyAlignment="1">
      <alignment horizontal="centerContinuous" vertical="center"/>
    </xf>
    <xf numFmtId="0" fontId="7" fillId="0" borderId="146" xfId="0" applyFont="1" applyBorder="1" applyAlignment="1">
      <alignment horizontal="centerContinuous" vertical="center"/>
    </xf>
    <xf numFmtId="169" fontId="4" fillId="17" borderId="142" xfId="0" applyNumberFormat="1" applyFont="1" applyFill="1" applyBorder="1" applyAlignment="1">
      <alignment horizontal="center" vertical="center"/>
    </xf>
    <xf numFmtId="0" fontId="4" fillId="7" borderId="142" xfId="0" applyFont="1" applyFill="1" applyBorder="1" applyAlignment="1">
      <alignment horizontal="center"/>
    </xf>
    <xf numFmtId="0" fontId="4" fillId="17" borderId="142" xfId="0" applyFont="1" applyFill="1" applyBorder="1" applyAlignment="1">
      <alignment horizontal="center" vertical="center"/>
    </xf>
    <xf numFmtId="2" fontId="4" fillId="7" borderId="142" xfId="0" applyNumberFormat="1" applyFont="1" applyFill="1" applyBorder="1" applyAlignment="1">
      <alignment horizontal="center" wrapText="1"/>
    </xf>
    <xf numFmtId="0" fontId="2" fillId="18" borderId="0" xfId="0" applyFont="1" applyFill="1" applyAlignment="1">
      <alignment horizontal="left"/>
    </xf>
    <xf numFmtId="2" fontId="11" fillId="7" borderId="142" xfId="0" applyNumberFormat="1" applyFont="1" applyFill="1" applyBorder="1" applyAlignment="1">
      <alignment horizontal="center"/>
    </xf>
    <xf numFmtId="170" fontId="4" fillId="17" borderId="142" xfId="0" applyNumberFormat="1" applyFont="1" applyFill="1" applyBorder="1" applyAlignment="1">
      <alignment horizontal="center" vertical="center"/>
    </xf>
    <xf numFmtId="0" fontId="81" fillId="18" borderId="0" xfId="0" applyFont="1" applyFill="1" applyAlignment="1">
      <alignment horizontal="center"/>
    </xf>
    <xf numFmtId="169" fontId="7" fillId="7" borderId="142" xfId="0" applyNumberFormat="1" applyFont="1" applyFill="1" applyBorder="1" applyAlignment="1">
      <alignment horizontal="center"/>
    </xf>
    <xf numFmtId="1" fontId="4" fillId="7" borderId="142" xfId="0" applyNumberFormat="1" applyFont="1" applyFill="1" applyBorder="1" applyAlignment="1">
      <alignment horizontal="center"/>
    </xf>
    <xf numFmtId="170" fontId="4" fillId="7" borderId="67" xfId="0" applyNumberFormat="1" applyFont="1" applyFill="1" applyBorder="1" applyAlignment="1">
      <alignment horizontal="center"/>
    </xf>
    <xf numFmtId="2" fontId="7" fillId="7" borderId="142" xfId="0" applyNumberFormat="1" applyFont="1" applyFill="1" applyBorder="1" applyAlignment="1">
      <alignment horizontal="center"/>
    </xf>
    <xf numFmtId="4" fontId="7" fillId="7" borderId="142" xfId="0" applyNumberFormat="1" applyFont="1" applyFill="1" applyBorder="1" applyAlignment="1">
      <alignment horizontal="center"/>
    </xf>
    <xf numFmtId="2" fontId="7" fillId="17" borderId="149" xfId="0" applyNumberFormat="1" applyFont="1" applyFill="1" applyBorder="1" applyAlignment="1">
      <alignment horizontal="center"/>
    </xf>
    <xf numFmtId="170" fontId="4" fillId="17" borderId="150" xfId="0" applyNumberFormat="1" applyFont="1" applyFill="1" applyBorder="1" applyAlignment="1">
      <alignment horizontal="center" vertical="center"/>
    </xf>
    <xf numFmtId="168" fontId="7" fillId="7" borderId="150" xfId="0" applyNumberFormat="1" applyFont="1" applyFill="1" applyBorder="1" applyAlignment="1">
      <alignment horizontal="center" vertical="center"/>
    </xf>
    <xf numFmtId="0" fontId="4" fillId="7" borderId="150" xfId="0" applyFont="1" applyFill="1" applyBorder="1" applyAlignment="1">
      <alignment horizontal="center"/>
    </xf>
    <xf numFmtId="168" fontId="7" fillId="7" borderId="151" xfId="0" applyNumberFormat="1" applyFont="1" applyFill="1" applyBorder="1" applyAlignment="1">
      <alignment horizontal="center"/>
    </xf>
    <xf numFmtId="2" fontId="7" fillId="7" borderId="150" xfId="0" applyNumberFormat="1" applyFont="1" applyFill="1" applyBorder="1" applyAlignment="1">
      <alignment horizontal="center"/>
    </xf>
    <xf numFmtId="0" fontId="13" fillId="2" borderId="0" xfId="0" applyFont="1" applyFill="1" applyAlignment="1">
      <alignment horizontal="center" vertical="center"/>
    </xf>
    <xf numFmtId="0" fontId="99" fillId="0" borderId="0" xfId="0" applyFont="1"/>
    <xf numFmtId="0" fontId="85" fillId="18" borderId="0" xfId="0" applyFont="1" applyFill="1" applyAlignment="1">
      <alignment vertical="center"/>
    </xf>
    <xf numFmtId="0" fontId="3" fillId="17" borderId="0" xfId="0" applyFont="1" applyFill="1"/>
    <xf numFmtId="0" fontId="3" fillId="18" borderId="0" xfId="0" applyFont="1" applyFill="1"/>
    <xf numFmtId="0" fontId="3" fillId="18" borderId="0" xfId="0" applyFont="1" applyFill="1" applyAlignment="1">
      <alignment vertical="center"/>
    </xf>
    <xf numFmtId="0" fontId="10" fillId="18" borderId="0" xfId="1" applyFill="1" applyAlignment="1" applyProtection="1">
      <alignment vertical="center" wrapText="1"/>
    </xf>
    <xf numFmtId="0" fontId="68" fillId="17" borderId="0" xfId="0" applyFont="1" applyFill="1"/>
    <xf numFmtId="0" fontId="132" fillId="18" borderId="0" xfId="0" applyFont="1" applyFill="1" applyAlignment="1" applyProtection="1">
      <alignment horizontal="center" vertical="center"/>
      <protection hidden="1"/>
    </xf>
    <xf numFmtId="0" fontId="4" fillId="18" borderId="0" xfId="0" applyFont="1" applyFill="1" applyAlignment="1">
      <alignment horizontal="left"/>
    </xf>
    <xf numFmtId="0" fontId="4" fillId="18" borderId="155" xfId="0" applyFont="1" applyFill="1" applyBorder="1" applyAlignment="1">
      <alignment horizontal="left"/>
    </xf>
    <xf numFmtId="0" fontId="7" fillId="0" borderId="67" xfId="0" applyFont="1" applyBorder="1" applyAlignment="1" applyProtection="1">
      <alignment horizontal="left" vertical="center"/>
      <protection locked="0"/>
    </xf>
    <xf numFmtId="0" fontId="25" fillId="0" borderId="48" xfId="0" applyFont="1" applyBorder="1" applyAlignment="1">
      <alignment horizontal="center" vertical="center"/>
    </xf>
    <xf numFmtId="0" fontId="73" fillId="7" borderId="0" xfId="0" applyFont="1" applyFill="1" applyAlignment="1">
      <alignment horizontal="center" vertical="center"/>
    </xf>
    <xf numFmtId="0" fontId="7" fillId="7" borderId="0" xfId="0" applyFont="1" applyFill="1" applyAlignment="1">
      <alignment horizontal="right" vertical="center"/>
    </xf>
    <xf numFmtId="2" fontId="4" fillId="20" borderId="129" xfId="0" applyNumberFormat="1" applyFont="1" applyFill="1" applyBorder="1" applyAlignment="1">
      <alignment horizontal="center" vertical="center"/>
    </xf>
    <xf numFmtId="2" fontId="7" fillId="17" borderId="15" xfId="0" applyNumberFormat="1" applyFont="1" applyFill="1" applyBorder="1" applyAlignment="1">
      <alignment horizontal="center" vertical="center"/>
    </xf>
    <xf numFmtId="2" fontId="7" fillId="17" borderId="97" xfId="0" applyNumberFormat="1" applyFont="1" applyFill="1" applyBorder="1" applyAlignment="1">
      <alignment horizontal="center" vertical="center"/>
    </xf>
    <xf numFmtId="1" fontId="7" fillId="17" borderId="16" xfId="0" applyNumberFormat="1" applyFont="1" applyFill="1" applyBorder="1" applyAlignment="1">
      <alignment horizontal="center" vertical="center"/>
    </xf>
    <xf numFmtId="0" fontId="4" fillId="17" borderId="4" xfId="0" applyFont="1" applyFill="1" applyBorder="1" applyAlignment="1">
      <alignment horizontal="center" vertical="center"/>
    </xf>
    <xf numFmtId="2" fontId="7" fillId="17" borderId="14" xfId="0" applyNumberFormat="1" applyFont="1" applyFill="1" applyBorder="1" applyAlignment="1">
      <alignment horizontal="center" vertical="center"/>
    </xf>
    <xf numFmtId="2" fontId="4" fillId="20" borderId="97" xfId="0" applyNumberFormat="1" applyFont="1" applyFill="1" applyBorder="1" applyAlignment="1">
      <alignment horizontal="center" vertical="center"/>
    </xf>
    <xf numFmtId="3" fontId="7" fillId="17" borderId="159" xfId="0" applyNumberFormat="1" applyFont="1" applyFill="1" applyBorder="1" applyAlignment="1">
      <alignment horizontal="center" vertical="center"/>
    </xf>
    <xf numFmtId="164" fontId="11" fillId="17" borderId="159" xfId="0" applyNumberFormat="1" applyFont="1" applyFill="1" applyBorder="1" applyAlignment="1">
      <alignment horizontal="center" vertical="center"/>
    </xf>
    <xf numFmtId="164" fontId="11" fillId="17" borderId="97" xfId="0" applyNumberFormat="1" applyFont="1" applyFill="1" applyBorder="1" applyAlignment="1">
      <alignment horizontal="center" vertical="center"/>
    </xf>
    <xf numFmtId="2" fontId="7" fillId="17" borderId="73" xfId="0" applyNumberFormat="1" applyFont="1" applyFill="1" applyBorder="1" applyAlignment="1">
      <alignment horizontal="center" vertical="center"/>
    </xf>
    <xf numFmtId="2" fontId="4" fillId="17" borderId="97" xfId="0" applyNumberFormat="1" applyFont="1" applyFill="1" applyBorder="1" applyAlignment="1">
      <alignment horizontal="center" vertical="center"/>
    </xf>
    <xf numFmtId="2" fontId="7" fillId="17" borderId="159" xfId="0" applyNumberFormat="1" applyFont="1" applyFill="1" applyBorder="1" applyAlignment="1">
      <alignment horizontal="center" vertical="center"/>
    </xf>
    <xf numFmtId="0" fontId="4" fillId="17" borderId="97" xfId="0" applyFont="1" applyFill="1" applyBorder="1" applyAlignment="1">
      <alignment horizontal="center" vertical="center"/>
    </xf>
    <xf numFmtId="2" fontId="7" fillId="0" borderId="97" xfId="0" applyNumberFormat="1" applyFont="1" applyBorder="1" applyAlignment="1">
      <alignment horizontal="center" vertical="center"/>
    </xf>
    <xf numFmtId="3" fontId="7" fillId="0" borderId="97" xfId="0" applyNumberFormat="1" applyFont="1" applyBorder="1" applyAlignment="1">
      <alignment horizontal="center" vertical="center"/>
    </xf>
    <xf numFmtId="169" fontId="7" fillId="17" borderId="18" xfId="0" applyNumberFormat="1" applyFont="1" applyFill="1" applyBorder="1" applyAlignment="1">
      <alignment horizontal="center" vertical="center"/>
    </xf>
    <xf numFmtId="169" fontId="7" fillId="17" borderId="97" xfId="0" applyNumberFormat="1" applyFont="1" applyFill="1" applyBorder="1" applyAlignment="1">
      <alignment horizontal="center" vertical="center"/>
    </xf>
    <xf numFmtId="1" fontId="7" fillId="17" borderId="159" xfId="0" applyNumberFormat="1" applyFont="1" applyFill="1" applyBorder="1" applyAlignment="1">
      <alignment horizontal="center" vertical="center"/>
    </xf>
    <xf numFmtId="3" fontId="7" fillId="17" borderId="16" xfId="0" applyNumberFormat="1" applyFont="1" applyFill="1" applyBorder="1" applyAlignment="1">
      <alignment horizontal="center" vertical="center"/>
    </xf>
    <xf numFmtId="3" fontId="7" fillId="17" borderId="97" xfId="0" applyNumberFormat="1" applyFont="1" applyFill="1" applyBorder="1" applyAlignment="1">
      <alignment horizontal="center" vertical="center"/>
    </xf>
    <xf numFmtId="0" fontId="11" fillId="17" borderId="4"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50" xfId="0" applyFont="1" applyFill="1" applyBorder="1" applyAlignment="1">
      <alignment horizontal="center" vertical="center"/>
    </xf>
    <xf numFmtId="0" fontId="7" fillId="17" borderId="16" xfId="0" applyFont="1" applyFill="1" applyBorder="1" applyAlignment="1">
      <alignment horizontal="center" vertical="center"/>
    </xf>
    <xf numFmtId="0" fontId="7" fillId="17" borderId="20" xfId="0" applyFont="1" applyFill="1" applyBorder="1" applyAlignment="1">
      <alignment horizontal="center" vertical="center"/>
    </xf>
    <xf numFmtId="0" fontId="7" fillId="17" borderId="4" xfId="0" applyFont="1" applyFill="1" applyBorder="1" applyAlignment="1">
      <alignment horizontal="center" vertical="center"/>
    </xf>
    <xf numFmtId="0" fontId="4" fillId="17" borderId="16" xfId="0" applyFont="1" applyFill="1" applyBorder="1" applyAlignment="1">
      <alignment horizontal="center" vertical="center"/>
    </xf>
    <xf numFmtId="4" fontId="4" fillId="17" borderId="4" xfId="0" applyNumberFormat="1" applyFont="1" applyFill="1" applyBorder="1" applyAlignment="1">
      <alignment horizontal="center" vertical="center"/>
    </xf>
    <xf numFmtId="3" fontId="7" fillId="17" borderId="18" xfId="0" applyNumberFormat="1" applyFont="1" applyFill="1" applyBorder="1" applyAlignment="1">
      <alignment horizontal="center" vertical="center"/>
    </xf>
    <xf numFmtId="2" fontId="41" fillId="17" borderId="97" xfId="0" applyNumberFormat="1" applyFont="1" applyFill="1" applyBorder="1" applyAlignment="1">
      <alignment horizontal="center" vertical="center"/>
    </xf>
    <xf numFmtId="3" fontId="7" fillId="17" borderId="20" xfId="0" applyNumberFormat="1" applyFont="1" applyFill="1" applyBorder="1" applyAlignment="1">
      <alignment horizontal="center" vertical="center"/>
    </xf>
    <xf numFmtId="170" fontId="7" fillId="17" borderId="18" xfId="0" applyNumberFormat="1" applyFont="1" applyFill="1" applyBorder="1" applyAlignment="1">
      <alignment horizontal="center" vertical="center"/>
    </xf>
    <xf numFmtId="0" fontId="4" fillId="3" borderId="16" xfId="0" applyFont="1" applyFill="1" applyBorder="1" applyAlignment="1">
      <alignment horizontal="center" vertical="center"/>
    </xf>
    <xf numFmtId="2" fontId="7" fillId="0" borderId="73" xfId="0" applyNumberFormat="1" applyFont="1" applyBorder="1" applyAlignment="1">
      <alignment horizontal="center" vertical="center"/>
    </xf>
    <xf numFmtId="2" fontId="7" fillId="17" borderId="18" xfId="0" applyNumberFormat="1" applyFont="1" applyFill="1" applyBorder="1" applyAlignment="1">
      <alignment horizontal="center" vertical="center"/>
    </xf>
    <xf numFmtId="2" fontId="7" fillId="17" borderId="158" xfId="0" applyNumberFormat="1" applyFont="1" applyFill="1" applyBorder="1" applyAlignment="1">
      <alignment horizontal="center" vertical="center"/>
    </xf>
    <xf numFmtId="2" fontId="4" fillId="17" borderId="158" xfId="0" applyNumberFormat="1" applyFont="1" applyFill="1" applyBorder="1" applyAlignment="1">
      <alignment horizontal="center" vertical="center"/>
    </xf>
    <xf numFmtId="0" fontId="41" fillId="17" borderId="158" xfId="0" applyFont="1" applyFill="1" applyBorder="1" applyAlignment="1">
      <alignment vertical="center"/>
    </xf>
    <xf numFmtId="3" fontId="7" fillId="17" borderId="158" xfId="0" applyNumberFormat="1" applyFont="1" applyFill="1" applyBorder="1" applyAlignment="1">
      <alignment horizontal="center" vertical="center"/>
    </xf>
    <xf numFmtId="0" fontId="4" fillId="0" borderId="158" xfId="0" applyFont="1" applyBorder="1" applyAlignment="1">
      <alignment horizontal="center" vertical="center"/>
    </xf>
    <xf numFmtId="0" fontId="41" fillId="17" borderId="97" xfId="0" applyFont="1" applyFill="1" applyBorder="1" applyAlignment="1">
      <alignment vertical="center"/>
    </xf>
    <xf numFmtId="2" fontId="41" fillId="0" borderId="129" xfId="0" applyNumberFormat="1" applyFont="1" applyBorder="1" applyAlignment="1">
      <alignment horizontal="center" vertical="center"/>
    </xf>
    <xf numFmtId="2" fontId="49" fillId="0" borderId="129" xfId="0" applyNumberFormat="1" applyFont="1" applyBorder="1" applyAlignment="1">
      <alignment horizontal="center" vertical="center"/>
    </xf>
    <xf numFmtId="170" fontId="4" fillId="4" borderId="0" xfId="0" applyNumberFormat="1" applyFont="1" applyFill="1" applyAlignment="1">
      <alignment vertical="center"/>
    </xf>
    <xf numFmtId="0" fontId="4" fillId="17" borderId="162" xfId="0" applyFont="1" applyFill="1" applyBorder="1" applyAlignment="1">
      <alignment horizontal="center" vertical="center"/>
    </xf>
    <xf numFmtId="1" fontId="4" fillId="17" borderId="162" xfId="0" applyNumberFormat="1" applyFont="1" applyFill="1" applyBorder="1" applyAlignment="1">
      <alignment horizontal="center" vertical="center"/>
    </xf>
    <xf numFmtId="3" fontId="4" fillId="17" borderId="162" xfId="0" applyNumberFormat="1" applyFont="1" applyFill="1" applyBorder="1" applyAlignment="1">
      <alignment horizontal="center" vertical="center"/>
    </xf>
    <xf numFmtId="0" fontId="79" fillId="18" borderId="0" xfId="0" applyFont="1" applyFill="1" applyAlignment="1">
      <alignment horizontal="right"/>
    </xf>
    <xf numFmtId="0" fontId="7" fillId="0" borderId="73" xfId="0" applyFont="1" applyBorder="1" applyAlignment="1">
      <alignment horizontal="center" vertical="center"/>
    </xf>
    <xf numFmtId="170" fontId="4" fillId="0" borderId="163" xfId="0" applyNumberFormat="1" applyFont="1" applyBorder="1" applyAlignment="1">
      <alignment horizontal="center" vertical="center"/>
    </xf>
    <xf numFmtId="1" fontId="7" fillId="0" borderId="163" xfId="0" applyNumberFormat="1" applyFont="1" applyBorder="1" applyAlignment="1">
      <alignment horizontal="center" vertical="center"/>
    </xf>
    <xf numFmtId="1" fontId="49" fillId="0" borderId="165" xfId="0" applyNumberFormat="1" applyFont="1" applyBorder="1" applyAlignment="1">
      <alignment horizontal="center" vertical="center"/>
    </xf>
    <xf numFmtId="2" fontId="4" fillId="0" borderId="163" xfId="0" applyNumberFormat="1" applyFont="1" applyBorder="1" applyAlignment="1">
      <alignment horizontal="center" vertical="center"/>
    </xf>
    <xf numFmtId="4" fontId="4" fillId="0" borderId="4" xfId="0" applyNumberFormat="1" applyFont="1" applyBorder="1" applyAlignment="1">
      <alignment horizontal="center" vertical="center"/>
    </xf>
    <xf numFmtId="170" fontId="7" fillId="0" borderId="163" xfId="0" applyNumberFormat="1" applyFont="1" applyBorder="1" applyAlignment="1">
      <alignment horizontal="center" vertical="center"/>
    </xf>
    <xf numFmtId="2" fontId="49" fillId="0" borderId="163" xfId="0" applyNumberFormat="1" applyFont="1" applyBorder="1" applyAlignment="1">
      <alignment horizontal="center" vertical="center"/>
    </xf>
    <xf numFmtId="169" fontId="49" fillId="0" borderId="163" xfId="0" applyNumberFormat="1" applyFont="1" applyBorder="1" applyAlignment="1">
      <alignment horizontal="center" vertical="center"/>
    </xf>
    <xf numFmtId="169" fontId="7" fillId="0" borderId="163" xfId="0" applyNumberFormat="1" applyFont="1" applyBorder="1" applyAlignment="1">
      <alignment horizontal="center" vertical="center"/>
    </xf>
    <xf numFmtId="164" fontId="11" fillId="0" borderId="163" xfId="0" applyNumberFormat="1" applyFont="1" applyBorder="1" applyAlignment="1">
      <alignment horizontal="center" vertical="center"/>
    </xf>
    <xf numFmtId="169" fontId="7" fillId="0" borderId="18" xfId="0" applyNumberFormat="1" applyFont="1" applyBorder="1" applyAlignment="1">
      <alignment horizontal="center" vertical="center"/>
    </xf>
    <xf numFmtId="0" fontId="7" fillId="0" borderId="164" xfId="0" applyFont="1" applyBorder="1" applyAlignment="1">
      <alignment horizontal="center" vertical="center"/>
    </xf>
    <xf numFmtId="0" fontId="7" fillId="8" borderId="164" xfId="0" applyFont="1" applyFill="1" applyBorder="1" applyAlignment="1">
      <alignment horizontal="center" vertical="center"/>
    </xf>
    <xf numFmtId="0" fontId="113" fillId="7" borderId="0" xfId="0" applyFont="1" applyFill="1" applyAlignment="1">
      <alignment vertical="center"/>
    </xf>
    <xf numFmtId="170" fontId="4" fillId="17" borderId="0" xfId="0" applyNumberFormat="1" applyFont="1" applyFill="1" applyAlignment="1">
      <alignment horizontal="center" vertical="center"/>
    </xf>
    <xf numFmtId="0" fontId="11" fillId="18" borderId="0" xfId="0" applyFont="1" applyFill="1" applyAlignment="1">
      <alignment horizontal="center" vertical="center"/>
    </xf>
    <xf numFmtId="170" fontId="4" fillId="0" borderId="124" xfId="0" applyNumberFormat="1" applyFont="1" applyBorder="1" applyAlignment="1">
      <alignment horizontal="center" vertical="center"/>
    </xf>
    <xf numFmtId="168" fontId="4" fillId="0" borderId="124" xfId="0" applyNumberFormat="1" applyFont="1" applyBorder="1" applyAlignment="1">
      <alignment horizontal="center" vertical="center"/>
    </xf>
    <xf numFmtId="0" fontId="4" fillId="0" borderId="124" xfId="0" applyFont="1" applyBorder="1" applyAlignment="1">
      <alignment horizontal="left" vertical="center"/>
    </xf>
    <xf numFmtId="0" fontId="12" fillId="0" borderId="124" xfId="0" applyFont="1" applyBorder="1" applyAlignment="1">
      <alignment horizontal="left" vertical="center"/>
    </xf>
    <xf numFmtId="0" fontId="12" fillId="0" borderId="126" xfId="0" applyFont="1" applyBorder="1" applyAlignment="1">
      <alignment horizontal="left" vertical="center"/>
    </xf>
    <xf numFmtId="0" fontId="13" fillId="0" borderId="124" xfId="0" applyFont="1" applyBorder="1" applyAlignment="1">
      <alignment horizontal="left" vertical="center"/>
    </xf>
    <xf numFmtId="0" fontId="12" fillId="0" borderId="128" xfId="0" applyFont="1" applyBorder="1" applyAlignment="1">
      <alignment horizontal="center" vertical="center"/>
    </xf>
    <xf numFmtId="0" fontId="13" fillId="0" borderId="126" xfId="0" applyFont="1" applyBorder="1" applyAlignment="1">
      <alignment horizontal="left" vertical="center"/>
    </xf>
    <xf numFmtId="0" fontId="12" fillId="0" borderId="126" xfId="0" applyFont="1" applyBorder="1" applyAlignment="1">
      <alignment horizontal="center" vertical="center"/>
    </xf>
    <xf numFmtId="0" fontId="102" fillId="0" borderId="124" xfId="0" applyFont="1" applyBorder="1" applyAlignment="1">
      <alignment horizontal="left" vertical="center"/>
    </xf>
    <xf numFmtId="0" fontId="125" fillId="0" borderId="124" xfId="0" applyFont="1" applyBorder="1" applyAlignment="1">
      <alignment horizontal="center" vertical="center" wrapText="1"/>
    </xf>
    <xf numFmtId="2" fontId="4" fillId="0" borderId="124" xfId="0" applyNumberFormat="1" applyFont="1" applyBorder="1" applyAlignment="1">
      <alignment horizontal="center" vertical="center"/>
    </xf>
    <xf numFmtId="169" fontId="4" fillId="0" borderId="124" xfId="0" applyNumberFormat="1" applyFont="1" applyBorder="1" applyAlignment="1">
      <alignment horizontal="center" vertical="center"/>
    </xf>
    <xf numFmtId="170" fontId="4" fillId="0" borderId="128" xfId="0" applyNumberFormat="1" applyFont="1" applyBorder="1" applyAlignment="1">
      <alignment horizontal="center" vertical="center"/>
    </xf>
    <xf numFmtId="1" fontId="4" fillId="7" borderId="174" xfId="0" applyNumberFormat="1" applyFont="1" applyFill="1" applyBorder="1" applyAlignment="1">
      <alignment horizontal="center"/>
    </xf>
    <xf numFmtId="0" fontId="105" fillId="7" borderId="4" xfId="0" applyFont="1" applyFill="1" applyBorder="1" applyAlignment="1" applyProtection="1">
      <alignment horizontal="center"/>
      <protection locked="0"/>
    </xf>
    <xf numFmtId="0" fontId="105" fillId="7" borderId="12" xfId="0" applyFont="1" applyFill="1" applyBorder="1" applyAlignment="1" applyProtection="1">
      <alignment horizontal="center"/>
      <protection locked="0"/>
    </xf>
    <xf numFmtId="2" fontId="4" fillId="7" borderId="174" xfId="0" applyNumberFormat="1" applyFont="1" applyFill="1" applyBorder="1" applyAlignment="1">
      <alignment horizontal="center"/>
    </xf>
    <xf numFmtId="0" fontId="4" fillId="7" borderId="174" xfId="0" applyFont="1" applyFill="1" applyBorder="1" applyAlignment="1" applyProtection="1">
      <alignment horizontal="center"/>
      <protection locked="0"/>
    </xf>
    <xf numFmtId="0" fontId="19" fillId="17" borderId="12" xfId="0" applyFont="1" applyFill="1" applyBorder="1" applyAlignment="1" applyProtection="1">
      <alignment horizontal="center" vertical="center"/>
      <protection locked="0"/>
    </xf>
    <xf numFmtId="0" fontId="4" fillId="7" borderId="174" xfId="0" applyFont="1" applyFill="1" applyBorder="1" applyAlignment="1">
      <alignment horizontal="center"/>
    </xf>
    <xf numFmtId="171" fontId="4" fillId="0" borderId="124" xfId="0" applyNumberFormat="1" applyFont="1" applyBorder="1" applyAlignment="1">
      <alignment horizontal="center" vertical="center"/>
    </xf>
    <xf numFmtId="0" fontId="13" fillId="0" borderId="172" xfId="0" applyFont="1" applyBorder="1" applyAlignment="1">
      <alignment horizontal="left" vertical="center"/>
    </xf>
    <xf numFmtId="0" fontId="4" fillId="0" borderId="172" xfId="0" applyFont="1" applyBorder="1" applyAlignment="1">
      <alignment horizontal="center" vertical="center"/>
    </xf>
    <xf numFmtId="0" fontId="12" fillId="0" borderId="172" xfId="0" applyFont="1" applyBorder="1" applyAlignment="1">
      <alignment horizontal="center" vertical="center"/>
    </xf>
    <xf numFmtId="170" fontId="4" fillId="0" borderId="126" xfId="0" applyNumberFormat="1" applyFont="1" applyBorder="1" applyAlignment="1">
      <alignment horizontal="center" vertical="center"/>
    </xf>
    <xf numFmtId="1" fontId="4" fillId="0" borderId="124" xfId="0" applyNumberFormat="1" applyFont="1" applyBorder="1" applyAlignment="1">
      <alignment horizontal="center" vertical="center"/>
    </xf>
    <xf numFmtId="170" fontId="4" fillId="0" borderId="172" xfId="0" applyNumberFormat="1" applyFont="1" applyBorder="1" applyAlignment="1">
      <alignment horizontal="center" vertical="center"/>
    </xf>
    <xf numFmtId="0" fontId="55" fillId="11" borderId="35" xfId="0" applyFont="1" applyFill="1" applyBorder="1" applyAlignment="1" applyProtection="1">
      <alignment horizontal="center" vertical="center" wrapText="1"/>
      <protection hidden="1"/>
    </xf>
    <xf numFmtId="0" fontId="129" fillId="6" borderId="77" xfId="0" applyFont="1" applyFill="1" applyBorder="1" applyAlignment="1" applyProtection="1">
      <alignment horizontal="center" vertical="center" wrapText="1"/>
      <protection locked="0"/>
    </xf>
    <xf numFmtId="0" fontId="85" fillId="18" borderId="0" xfId="0" applyFont="1" applyFill="1" applyAlignment="1">
      <alignment horizontal="left"/>
    </xf>
    <xf numFmtId="0" fontId="1" fillId="0" borderId="129" xfId="0" applyFont="1" applyBorder="1" applyAlignment="1">
      <alignment horizontal="center"/>
    </xf>
    <xf numFmtId="0" fontId="4" fillId="17" borderId="176" xfId="0" applyFont="1" applyFill="1" applyBorder="1" applyAlignment="1">
      <alignment horizontal="center" vertical="center"/>
    </xf>
    <xf numFmtId="11" fontId="7" fillId="0" borderId="163" xfId="0" applyNumberFormat="1" applyFont="1" applyBorder="1" applyAlignment="1">
      <alignment horizontal="center" vertical="center"/>
    </xf>
    <xf numFmtId="11" fontId="4" fillId="3" borderId="0" xfId="0" applyNumberFormat="1" applyFont="1" applyFill="1" applyAlignment="1">
      <alignment vertical="center"/>
    </xf>
    <xf numFmtId="11" fontId="7" fillId="0" borderId="50" xfId="0" applyNumberFormat="1" applyFont="1" applyBorder="1" applyAlignment="1">
      <alignment horizontal="center" vertical="center"/>
    </xf>
    <xf numFmtId="170" fontId="4" fillId="7" borderId="103" xfId="0" applyNumberFormat="1" applyFont="1" applyFill="1" applyBorder="1" applyAlignment="1">
      <alignment horizontal="center" vertical="center"/>
    </xf>
    <xf numFmtId="2" fontId="4" fillId="0" borderId="111" xfId="0" applyNumberFormat="1" applyFont="1" applyBorder="1" applyAlignment="1">
      <alignment horizontal="center" vertical="center"/>
    </xf>
    <xf numFmtId="2" fontId="4" fillId="7" borderId="103" xfId="0" applyNumberFormat="1" applyFont="1" applyFill="1" applyBorder="1" applyAlignment="1">
      <alignment horizontal="center" vertical="center"/>
    </xf>
    <xf numFmtId="2" fontId="4" fillId="7" borderId="111" xfId="0" applyNumberFormat="1" applyFont="1" applyFill="1" applyBorder="1" applyAlignment="1">
      <alignment horizontal="center" vertical="center"/>
    </xf>
    <xf numFmtId="0" fontId="4" fillId="7" borderId="103" xfId="0" applyFont="1" applyFill="1" applyBorder="1" applyAlignment="1">
      <alignment horizontal="center" vertical="center"/>
    </xf>
    <xf numFmtId="170" fontId="4" fillId="7" borderId="111" xfId="0" applyNumberFormat="1" applyFont="1" applyFill="1" applyBorder="1" applyAlignment="1">
      <alignment horizontal="center" vertical="center"/>
    </xf>
    <xf numFmtId="1" fontId="4" fillId="7" borderId="111" xfId="0" applyNumberFormat="1" applyFont="1" applyFill="1" applyBorder="1" applyAlignment="1">
      <alignment horizontal="center" vertical="center"/>
    </xf>
    <xf numFmtId="0" fontId="7" fillId="0" borderId="19" xfId="0" applyFont="1" applyBorder="1" applyAlignment="1">
      <alignment vertical="center"/>
    </xf>
    <xf numFmtId="2" fontId="12" fillId="0" borderId="1" xfId="0" applyNumberFormat="1" applyFont="1" applyBorder="1" applyAlignment="1">
      <alignment horizontal="center" vertical="center"/>
    </xf>
    <xf numFmtId="0" fontId="12" fillId="0" borderId="10" xfId="0" applyFont="1" applyBorder="1" applyAlignment="1">
      <alignment horizontal="center" vertical="center"/>
    </xf>
    <xf numFmtId="0" fontId="12" fillId="0" borderId="23" xfId="0" applyFont="1" applyBorder="1" applyAlignment="1">
      <alignment horizontal="center" vertical="center"/>
    </xf>
    <xf numFmtId="2" fontId="4" fillId="0" borderId="0" xfId="0" applyNumberFormat="1" applyFont="1" applyAlignment="1">
      <alignment vertical="center"/>
    </xf>
    <xf numFmtId="0" fontId="12" fillId="0" borderId="27" xfId="0" applyFont="1" applyBorder="1" applyAlignment="1">
      <alignment horizontal="center" vertical="center"/>
    </xf>
    <xf numFmtId="0" fontId="12" fillId="0" borderId="43" xfId="0" applyFont="1" applyBorder="1" applyAlignment="1">
      <alignment horizontal="right" vertical="center"/>
    </xf>
    <xf numFmtId="0" fontId="7" fillId="0" borderId="24" xfId="0" applyFont="1" applyBorder="1" applyAlignment="1">
      <alignment vertical="center"/>
    </xf>
    <xf numFmtId="0" fontId="7" fillId="0" borderId="25" xfId="0" applyFont="1" applyBorder="1" applyAlignment="1">
      <alignment vertical="center"/>
    </xf>
    <xf numFmtId="2" fontId="7" fillId="0" borderId="20" xfId="0" applyNumberFormat="1" applyFont="1" applyBorder="1" applyAlignment="1">
      <alignment horizontal="center" vertical="center"/>
    </xf>
    <xf numFmtId="4" fontId="4" fillId="0" borderId="0" xfId="0" applyNumberFormat="1" applyFont="1" applyAlignment="1">
      <alignment horizontal="center" vertical="center"/>
    </xf>
    <xf numFmtId="0" fontId="4" fillId="0" borderId="19" xfId="0" applyFont="1" applyBorder="1" applyAlignment="1">
      <alignment vertical="center"/>
    </xf>
    <xf numFmtId="0" fontId="4" fillId="0" borderId="46" xfId="0" applyFont="1" applyBorder="1" applyAlignment="1">
      <alignment vertical="center"/>
    </xf>
    <xf numFmtId="0" fontId="7" fillId="0" borderId="43" xfId="0" applyFont="1" applyBorder="1" applyAlignment="1">
      <alignment vertical="center"/>
    </xf>
    <xf numFmtId="0" fontId="12" fillId="0" borderId="26" xfId="0" applyFont="1" applyBorder="1" applyAlignment="1">
      <alignment horizontal="center" vertical="center" wrapText="1"/>
    </xf>
    <xf numFmtId="164" fontId="4" fillId="0" borderId="0" xfId="0" applyNumberFormat="1" applyFont="1" applyAlignment="1">
      <alignment horizontal="center" vertical="center"/>
    </xf>
    <xf numFmtId="2" fontId="4" fillId="18" borderId="0" xfId="0" applyNumberFormat="1" applyFont="1" applyFill="1" applyAlignment="1">
      <alignment vertical="center"/>
    </xf>
    <xf numFmtId="2" fontId="12" fillId="0" borderId="10" xfId="0" applyNumberFormat="1" applyFont="1" applyBorder="1" applyAlignment="1">
      <alignment horizontal="center" vertical="center"/>
    </xf>
    <xf numFmtId="0" fontId="12" fillId="0" borderId="1" xfId="0" applyFont="1" applyBorder="1" applyAlignment="1">
      <alignment horizontal="center" vertical="center"/>
    </xf>
    <xf numFmtId="0" fontId="12" fillId="0" borderId="0" xfId="0" applyFont="1" applyAlignment="1">
      <alignment horizontal="center" vertical="center"/>
    </xf>
    <xf numFmtId="2" fontId="4" fillId="0" borderId="26" xfId="0" applyNumberFormat="1" applyFont="1" applyBorder="1" applyAlignment="1">
      <alignment horizontal="center" vertical="center"/>
    </xf>
    <xf numFmtId="0" fontId="12" fillId="0" borderId="43" xfId="0" applyFont="1" applyBorder="1" applyAlignment="1">
      <alignment horizontal="right" vertical="top"/>
    </xf>
    <xf numFmtId="1" fontId="4" fillId="6" borderId="1" xfId="0" applyNumberFormat="1" applyFont="1" applyFill="1" applyBorder="1" applyAlignment="1">
      <alignment horizontal="center" vertical="center"/>
    </xf>
    <xf numFmtId="2" fontId="12" fillId="0" borderId="1" xfId="0" applyNumberFormat="1" applyFont="1" applyBorder="1" applyAlignment="1">
      <alignment horizontal="center" vertical="center" wrapText="1"/>
    </xf>
    <xf numFmtId="169" fontId="4" fillId="0" borderId="1" xfId="0" applyNumberFormat="1" applyFont="1" applyBorder="1" applyAlignment="1">
      <alignment horizontal="center" vertical="center"/>
    </xf>
    <xf numFmtId="0" fontId="12" fillId="0" borderId="28" xfId="0" applyFont="1" applyBorder="1" applyAlignment="1">
      <alignment horizontal="center" vertical="center"/>
    </xf>
    <xf numFmtId="1" fontId="12" fillId="0" borderId="0" xfId="0" applyNumberFormat="1" applyFont="1" applyAlignment="1">
      <alignment horizontal="center" vertical="center"/>
    </xf>
    <xf numFmtId="0" fontId="13" fillId="0" borderId="0" xfId="0" applyFont="1" applyAlignment="1">
      <alignment horizontal="left" vertical="center"/>
    </xf>
    <xf numFmtId="0" fontId="11" fillId="7" borderId="111" xfId="0" applyFont="1" applyFill="1" applyBorder="1" applyAlignment="1">
      <alignment horizontal="center" vertical="center"/>
    </xf>
    <xf numFmtId="2" fontId="4" fillId="0" borderId="27" xfId="0" applyNumberFormat="1" applyFont="1" applyBorder="1" applyAlignment="1">
      <alignment horizontal="center" vertical="center"/>
    </xf>
    <xf numFmtId="0" fontId="7" fillId="0" borderId="28" xfId="0" applyFont="1" applyBorder="1" applyAlignment="1">
      <alignment vertical="center"/>
    </xf>
    <xf numFmtId="0" fontId="7" fillId="0" borderId="29" xfId="0" applyFont="1" applyBorder="1" applyAlignment="1">
      <alignment vertical="center"/>
    </xf>
    <xf numFmtId="2" fontId="7" fillId="0" borderId="57" xfId="0" applyNumberFormat="1" applyFont="1" applyBorder="1" applyAlignment="1">
      <alignment horizontal="center" vertical="center"/>
    </xf>
    <xf numFmtId="0" fontId="73" fillId="0" borderId="0" xfId="0" applyFont="1" applyAlignment="1">
      <alignment horizontal="center" vertical="center"/>
    </xf>
    <xf numFmtId="0" fontId="73" fillId="0" borderId="0" xfId="0" applyFont="1" applyAlignment="1">
      <alignment vertical="center"/>
    </xf>
    <xf numFmtId="1" fontId="4" fillId="0" borderId="111" xfId="0" applyNumberFormat="1" applyFont="1" applyBorder="1" applyAlignment="1">
      <alignment horizontal="center" vertical="center"/>
    </xf>
    <xf numFmtId="0" fontId="5" fillId="0" borderId="28" xfId="0" applyFont="1" applyBorder="1" applyAlignment="1">
      <alignment vertical="center"/>
    </xf>
    <xf numFmtId="0" fontId="5" fillId="0" borderId="46" xfId="0" applyFont="1" applyBorder="1" applyAlignment="1">
      <alignment vertical="center"/>
    </xf>
    <xf numFmtId="1" fontId="5" fillId="0" borderId="12" xfId="0" applyNumberFormat="1" applyFont="1" applyBorder="1" applyAlignment="1">
      <alignment horizontal="center" vertical="center"/>
    </xf>
    <xf numFmtId="0" fontId="5" fillId="0" borderId="0" xfId="0" applyFont="1" applyAlignment="1">
      <alignment horizontal="center" vertical="center"/>
    </xf>
    <xf numFmtId="1" fontId="5" fillId="0" borderId="1" xfId="0" applyNumberFormat="1" applyFont="1" applyBorder="1" applyAlignment="1">
      <alignment horizontal="center" vertical="center"/>
    </xf>
    <xf numFmtId="0" fontId="12" fillId="0" borderId="0" xfId="0" applyFont="1" applyAlignment="1">
      <alignment horizontal="right" vertical="center"/>
    </xf>
    <xf numFmtId="1" fontId="7" fillId="0" borderId="111" xfId="0" applyNumberFormat="1" applyFont="1" applyBorder="1" applyAlignment="1">
      <alignment horizontal="center" vertical="center"/>
    </xf>
    <xf numFmtId="0" fontId="7" fillId="0" borderId="111" xfId="0" applyFont="1" applyBorder="1" applyAlignment="1">
      <alignment horizontal="center" vertical="center"/>
    </xf>
    <xf numFmtId="0" fontId="4" fillId="17" borderId="2" xfId="0" applyFont="1" applyFill="1" applyBorder="1" applyAlignment="1">
      <alignment vertical="center"/>
    </xf>
    <xf numFmtId="0" fontId="99" fillId="0" borderId="0" xfId="0" applyFont="1" applyAlignment="1">
      <alignment horizontal="center" vertical="center" wrapText="1"/>
    </xf>
    <xf numFmtId="0" fontId="65" fillId="17" borderId="0" xfId="0" applyFont="1" applyFill="1" applyAlignment="1">
      <alignment horizontal="center" vertical="top"/>
    </xf>
    <xf numFmtId="0" fontId="74" fillId="17" borderId="0" xfId="0" applyFont="1" applyFill="1" applyAlignment="1">
      <alignment horizontal="left" vertical="center"/>
    </xf>
    <xf numFmtId="0" fontId="74" fillId="17" borderId="0" xfId="0" applyFont="1" applyFill="1" applyAlignment="1">
      <alignment vertical="center"/>
    </xf>
    <xf numFmtId="170" fontId="4" fillId="17" borderId="182" xfId="0" applyNumberFormat="1" applyFont="1" applyFill="1" applyBorder="1" applyAlignment="1">
      <alignment horizontal="center" vertical="center"/>
    </xf>
    <xf numFmtId="0" fontId="4" fillId="17" borderId="182" xfId="0" applyFont="1" applyFill="1" applyBorder="1" applyAlignment="1">
      <alignment horizontal="center" vertical="center"/>
    </xf>
    <xf numFmtId="2" fontId="4" fillId="17" borderId="182" xfId="0" applyNumberFormat="1" applyFont="1" applyFill="1" applyBorder="1" applyAlignment="1">
      <alignment horizontal="center" vertical="center"/>
    </xf>
    <xf numFmtId="2" fontId="4" fillId="17" borderId="47" xfId="0" applyNumberFormat="1" applyFont="1" applyFill="1" applyBorder="1" applyAlignment="1">
      <alignment horizontal="center" vertical="center"/>
    </xf>
    <xf numFmtId="0" fontId="4" fillId="17" borderId="47" xfId="0" applyFont="1" applyFill="1" applyBorder="1" applyAlignment="1">
      <alignment horizontal="right" vertical="center"/>
    </xf>
    <xf numFmtId="0" fontId="19" fillId="0" borderId="180" xfId="0" applyFont="1" applyBorder="1" applyAlignment="1" applyProtection="1">
      <alignment horizontal="center" vertical="center"/>
      <protection locked="0"/>
    </xf>
    <xf numFmtId="0" fontId="14" fillId="26" borderId="66" xfId="0" applyFont="1" applyFill="1" applyBorder="1" applyAlignment="1">
      <alignment horizontal="center" vertical="center"/>
    </xf>
    <xf numFmtId="168" fontId="4" fillId="7" borderId="182" xfId="0" applyNumberFormat="1" applyFont="1" applyFill="1" applyBorder="1" applyAlignment="1">
      <alignment horizontal="center" vertical="center"/>
    </xf>
    <xf numFmtId="168" fontId="4" fillId="7" borderId="183" xfId="0" applyNumberFormat="1" applyFont="1" applyFill="1" applyBorder="1" applyAlignment="1">
      <alignment horizontal="center" vertical="center"/>
    </xf>
    <xf numFmtId="168" fontId="4" fillId="7" borderId="12" xfId="0" applyNumberFormat="1" applyFont="1" applyFill="1" applyBorder="1" applyAlignment="1">
      <alignment horizontal="center" vertical="center"/>
    </xf>
    <xf numFmtId="2" fontId="4" fillId="7" borderId="182" xfId="0" applyNumberFormat="1" applyFont="1" applyFill="1" applyBorder="1" applyAlignment="1">
      <alignment horizontal="center" vertical="center"/>
    </xf>
    <xf numFmtId="2" fontId="4" fillId="7" borderId="183" xfId="0" applyNumberFormat="1" applyFont="1" applyFill="1" applyBorder="1" applyAlignment="1">
      <alignment horizontal="center" vertical="center"/>
    </xf>
    <xf numFmtId="168" fontId="7" fillId="7" borderId="12" xfId="0" applyNumberFormat="1" applyFont="1" applyFill="1" applyBorder="1" applyAlignment="1">
      <alignment horizontal="center" vertical="center"/>
    </xf>
    <xf numFmtId="0" fontId="122" fillId="7" borderId="0" xfId="0" applyFont="1" applyFill="1" applyAlignment="1">
      <alignment horizontal="right" vertical="center"/>
    </xf>
    <xf numFmtId="0" fontId="122" fillId="7" borderId="0" xfId="0" applyFont="1" applyFill="1" applyAlignment="1">
      <alignment vertical="center"/>
    </xf>
    <xf numFmtId="3" fontId="7" fillId="0" borderId="4" xfId="0" applyNumberFormat="1" applyFont="1" applyBorder="1" applyAlignment="1">
      <alignment horizontal="center" vertical="center"/>
    </xf>
    <xf numFmtId="0" fontId="12" fillId="17" borderId="2" xfId="0" applyFont="1" applyFill="1" applyBorder="1" applyAlignment="1">
      <alignment horizontal="center" vertical="center"/>
    </xf>
    <xf numFmtId="0" fontId="7" fillId="6" borderId="184" xfId="0" applyFont="1" applyFill="1" applyBorder="1" applyAlignment="1">
      <alignment horizontal="center" vertical="center" textRotation="90"/>
    </xf>
    <xf numFmtId="0" fontId="7" fillId="8" borderId="184" xfId="0" applyFont="1" applyFill="1" applyBorder="1" applyAlignment="1">
      <alignment horizontal="center" vertical="center"/>
    </xf>
    <xf numFmtId="0" fontId="7" fillId="0" borderId="184" xfId="0" applyFont="1" applyBorder="1" applyAlignment="1">
      <alignment horizontal="center" vertical="center"/>
    </xf>
    <xf numFmtId="0" fontId="129" fillId="6" borderId="137" xfId="0" applyFont="1" applyFill="1" applyBorder="1" applyAlignment="1" applyProtection="1">
      <alignment horizontal="center" vertical="center" wrapText="1"/>
      <protection locked="0" hidden="1"/>
    </xf>
    <xf numFmtId="0" fontId="7" fillId="16" borderId="184" xfId="0" applyFont="1" applyFill="1" applyBorder="1" applyAlignment="1" applyProtection="1">
      <alignment horizontal="left" vertical="center" wrapText="1"/>
      <protection hidden="1"/>
    </xf>
    <xf numFmtId="0" fontId="4" fillId="7" borderId="184" xfId="0" applyFont="1" applyFill="1" applyBorder="1" applyAlignment="1" applyProtection="1">
      <alignment horizontal="center" vertical="center" wrapText="1"/>
      <protection hidden="1"/>
    </xf>
    <xf numFmtId="0" fontId="12" fillId="0" borderId="5" xfId="0" applyFont="1" applyBorder="1" applyAlignment="1" applyProtection="1">
      <alignment horizontal="center" vertical="center" wrapText="1"/>
      <protection hidden="1"/>
    </xf>
    <xf numFmtId="0" fontId="12" fillId="0" borderId="41" xfId="0" applyFont="1" applyBorder="1" applyAlignment="1" applyProtection="1">
      <alignment horizontal="center" vertical="center" wrapText="1"/>
      <protection hidden="1"/>
    </xf>
    <xf numFmtId="0" fontId="12" fillId="0" borderId="8" xfId="0" applyFont="1" applyBorder="1" applyAlignment="1" applyProtection="1">
      <alignment horizontal="center" vertical="center" wrapText="1"/>
      <protection hidden="1"/>
    </xf>
    <xf numFmtId="0" fontId="12" fillId="0" borderId="11" xfId="0" applyFont="1" applyBorder="1" applyAlignment="1" applyProtection="1">
      <alignment horizontal="center" vertical="center" wrapText="1"/>
      <protection hidden="1"/>
    </xf>
    <xf numFmtId="0" fontId="12" fillId="0" borderId="190" xfId="0" applyFont="1" applyBorder="1" applyAlignment="1" applyProtection="1">
      <alignment horizontal="center" vertical="center" wrapText="1"/>
      <protection hidden="1"/>
    </xf>
    <xf numFmtId="0" fontId="12" fillId="0" borderId="179" xfId="0" applyFont="1" applyBorder="1" applyAlignment="1" applyProtection="1">
      <alignment horizontal="center" vertical="center" wrapText="1"/>
      <protection hidden="1"/>
    </xf>
    <xf numFmtId="170" fontId="4" fillId="0" borderId="167" xfId="0" applyNumberFormat="1" applyFont="1" applyBorder="1" applyAlignment="1">
      <alignment horizontal="center" vertical="center"/>
    </xf>
    <xf numFmtId="170" fontId="12" fillId="0" borderId="167" xfId="0" applyNumberFormat="1" applyFont="1" applyBorder="1" applyAlignment="1">
      <alignment horizontal="center" vertical="center"/>
    </xf>
    <xf numFmtId="170" fontId="4" fillId="0" borderId="124" xfId="0" applyNumberFormat="1" applyFont="1" applyBorder="1" applyAlignment="1">
      <alignment horizontal="center" vertical="center" wrapText="1"/>
    </xf>
    <xf numFmtId="170" fontId="12" fillId="0" borderId="128" xfId="0" applyNumberFormat="1" applyFont="1" applyBorder="1" applyAlignment="1">
      <alignment horizontal="center" vertical="center"/>
    </xf>
    <xf numFmtId="3" fontId="12" fillId="0" borderId="124" xfId="0" applyNumberFormat="1" applyFont="1" applyBorder="1" applyAlignment="1">
      <alignment horizontal="center" vertical="center"/>
    </xf>
    <xf numFmtId="0" fontId="84" fillId="28" borderId="12" xfId="0" applyFont="1" applyFill="1" applyBorder="1" applyAlignment="1" applyProtection="1">
      <alignment horizontal="center"/>
      <protection locked="0"/>
    </xf>
    <xf numFmtId="0" fontId="4" fillId="0" borderId="193" xfId="0" applyFont="1" applyBorder="1" applyAlignment="1">
      <alignment horizontal="center" vertical="center"/>
    </xf>
    <xf numFmtId="3" fontId="4" fillId="0" borderId="193" xfId="0" applyNumberFormat="1" applyFont="1" applyBorder="1" applyAlignment="1">
      <alignment horizontal="center" vertical="center"/>
    </xf>
    <xf numFmtId="0" fontId="4" fillId="6" borderId="193" xfId="0" applyFont="1" applyFill="1" applyBorder="1" applyAlignment="1">
      <alignment horizontal="center" vertical="center"/>
    </xf>
    <xf numFmtId="170" fontId="4" fillId="17" borderId="194" xfId="0" applyNumberFormat="1" applyFont="1" applyFill="1" applyBorder="1" applyAlignment="1">
      <alignment horizontal="center" vertical="center"/>
    </xf>
    <xf numFmtId="0" fontId="4" fillId="17" borderId="194" xfId="0" applyFont="1" applyFill="1" applyBorder="1" applyAlignment="1">
      <alignment horizontal="center" vertical="center"/>
    </xf>
    <xf numFmtId="168" fontId="4" fillId="17" borderId="194" xfId="0" applyNumberFormat="1" applyFont="1" applyFill="1" applyBorder="1" applyAlignment="1">
      <alignment horizontal="center" vertical="center"/>
    </xf>
    <xf numFmtId="1" fontId="4" fillId="17" borderId="194" xfId="0" applyNumberFormat="1" applyFont="1" applyFill="1" applyBorder="1" applyAlignment="1">
      <alignment horizontal="center" vertical="center"/>
    </xf>
    <xf numFmtId="1" fontId="4" fillId="3" borderId="0" xfId="0" applyNumberFormat="1" applyFont="1" applyFill="1" applyAlignment="1">
      <alignment vertical="center"/>
    </xf>
    <xf numFmtId="1" fontId="4" fillId="4" borderId="0" xfId="0" applyNumberFormat="1" applyFont="1" applyFill="1" applyAlignment="1">
      <alignment vertical="center"/>
    </xf>
    <xf numFmtId="0" fontId="4" fillId="0" borderId="160" xfId="0" applyFont="1" applyBorder="1" applyAlignment="1">
      <alignment horizontal="center" vertical="center"/>
    </xf>
    <xf numFmtId="2" fontId="4" fillId="6" borderId="196" xfId="0" applyNumberFormat="1" applyFont="1" applyFill="1" applyBorder="1" applyAlignment="1" applyProtection="1">
      <alignment horizontal="center" vertical="center"/>
      <protection hidden="1"/>
    </xf>
    <xf numFmtId="2" fontId="4" fillId="25" borderId="195" xfId="0" applyNumberFormat="1" applyFont="1" applyFill="1" applyBorder="1" applyAlignment="1" applyProtection="1">
      <alignment horizontal="center" vertical="center"/>
      <protection hidden="1"/>
    </xf>
    <xf numFmtId="0" fontId="101" fillId="0" borderId="55" xfId="0" applyFont="1" applyBorder="1" applyAlignment="1">
      <alignment horizontal="center" vertical="center"/>
    </xf>
    <xf numFmtId="0" fontId="7" fillId="0" borderId="50" xfId="0" applyFont="1" applyBorder="1" applyAlignment="1">
      <alignment horizontal="center" vertical="center"/>
    </xf>
    <xf numFmtId="0" fontId="7" fillId="0" borderId="198" xfId="0" applyFont="1" applyBorder="1" applyAlignment="1">
      <alignment horizontal="center" vertical="center"/>
    </xf>
    <xf numFmtId="0" fontId="7" fillId="8" borderId="198" xfId="0" applyFont="1" applyFill="1" applyBorder="1" applyAlignment="1">
      <alignment horizontal="center" vertical="center"/>
    </xf>
    <xf numFmtId="0" fontId="4" fillId="0" borderId="52" xfId="0" applyFont="1" applyBorder="1" applyAlignment="1">
      <alignment horizontal="center" vertical="center"/>
    </xf>
    <xf numFmtId="0" fontId="7" fillId="8" borderId="201" xfId="0" applyFont="1" applyFill="1" applyBorder="1" applyAlignment="1">
      <alignment horizontal="center" vertical="center"/>
    </xf>
    <xf numFmtId="0" fontId="7" fillId="8" borderId="202" xfId="0" applyFont="1" applyFill="1" applyBorder="1" applyAlignment="1">
      <alignment horizontal="center" vertical="center"/>
    </xf>
    <xf numFmtId="0" fontId="7" fillId="0" borderId="202" xfId="0" applyFont="1" applyBorder="1" applyAlignment="1">
      <alignment horizontal="center" vertical="center"/>
    </xf>
    <xf numFmtId="0" fontId="11" fillId="17" borderId="20" xfId="0" applyFont="1" applyFill="1" applyBorder="1" applyAlignment="1">
      <alignment horizontal="center" vertical="center"/>
    </xf>
    <xf numFmtId="0" fontId="7" fillId="17" borderId="12" xfId="0" applyFont="1" applyFill="1" applyBorder="1" applyAlignment="1">
      <alignment horizontal="center" vertical="center"/>
    </xf>
    <xf numFmtId="0" fontId="4" fillId="17" borderId="203" xfId="0" applyFont="1" applyFill="1" applyBorder="1" applyAlignment="1">
      <alignment horizontal="center" vertical="center"/>
    </xf>
    <xf numFmtId="0" fontId="4" fillId="7" borderId="204" xfId="0" applyFont="1" applyFill="1" applyBorder="1" applyAlignment="1">
      <alignment horizontal="right" vertical="center"/>
    </xf>
    <xf numFmtId="2" fontId="7" fillId="0" borderId="166" xfId="0" applyNumberFormat="1" applyFont="1" applyBorder="1" applyAlignment="1">
      <alignment horizontal="center" vertical="center"/>
    </xf>
    <xf numFmtId="0" fontId="7" fillId="17" borderId="205" xfId="0" applyFont="1" applyFill="1" applyBorder="1" applyAlignment="1">
      <alignment horizontal="center" vertical="center"/>
    </xf>
    <xf numFmtId="2" fontId="4" fillId="17" borderId="203" xfId="0" applyNumberFormat="1" applyFont="1" applyFill="1" applyBorder="1" applyAlignment="1">
      <alignment horizontal="center" vertical="center"/>
    </xf>
    <xf numFmtId="0" fontId="4" fillId="17" borderId="207" xfId="0" applyFont="1" applyFill="1" applyBorder="1" applyAlignment="1">
      <alignment horizontal="center" vertical="center"/>
    </xf>
    <xf numFmtId="0" fontId="4" fillId="17" borderId="192" xfId="0" applyFont="1" applyFill="1" applyBorder="1" applyAlignment="1">
      <alignment horizontal="center" vertical="center"/>
    </xf>
    <xf numFmtId="0" fontId="4" fillId="17" borderId="197" xfId="0" applyFont="1" applyFill="1" applyBorder="1" applyAlignment="1">
      <alignment horizontal="left" vertical="center"/>
    </xf>
    <xf numFmtId="3" fontId="7" fillId="0" borderId="208" xfId="0" applyNumberFormat="1" applyFont="1" applyBorder="1" applyAlignment="1">
      <alignment horizontal="center" vertical="center"/>
    </xf>
    <xf numFmtId="0" fontId="11" fillId="17" borderId="0" xfId="0" applyFont="1" applyFill="1" applyAlignment="1">
      <alignment horizontal="center" vertical="top"/>
    </xf>
    <xf numFmtId="0" fontId="2" fillId="17" borderId="0" xfId="0" applyFont="1" applyFill="1" applyAlignment="1">
      <alignment horizontal="center" vertical="top"/>
    </xf>
    <xf numFmtId="0" fontId="2" fillId="17" borderId="0" xfId="0" applyFont="1" applyFill="1" applyAlignment="1">
      <alignment horizontal="right" vertical="top"/>
    </xf>
    <xf numFmtId="0" fontId="4" fillId="0" borderId="212" xfId="0" applyFont="1" applyBorder="1" applyAlignment="1">
      <alignment horizontal="center" vertical="center"/>
    </xf>
    <xf numFmtId="0" fontId="144" fillId="18" borderId="0" xfId="0" applyFont="1" applyFill="1" applyAlignment="1">
      <alignment vertical="center"/>
    </xf>
    <xf numFmtId="169" fontId="4" fillId="18" borderId="0" xfId="0" applyNumberFormat="1" applyFont="1" applyFill="1" applyAlignment="1">
      <alignment vertical="center"/>
    </xf>
    <xf numFmtId="0" fontId="144" fillId="18" borderId="0" xfId="0" applyFont="1" applyFill="1" applyAlignment="1">
      <alignment horizontal="center" vertical="center"/>
    </xf>
    <xf numFmtId="0" fontId="123" fillId="18" borderId="0" xfId="0" applyFont="1" applyFill="1" applyAlignment="1">
      <alignment horizontal="center" vertical="center"/>
    </xf>
    <xf numFmtId="0" fontId="73" fillId="18" borderId="0" xfId="0" applyFont="1" applyFill="1" applyAlignment="1">
      <alignment horizontal="center" vertical="center"/>
    </xf>
    <xf numFmtId="0" fontId="7" fillId="18" borderId="0" xfId="0" applyFont="1" applyFill="1" applyAlignment="1">
      <alignment vertical="center"/>
    </xf>
    <xf numFmtId="168" fontId="4" fillId="18" borderId="0" xfId="0" applyNumberFormat="1" applyFont="1" applyFill="1" applyAlignment="1">
      <alignment vertical="center"/>
    </xf>
    <xf numFmtId="170" fontId="4" fillId="18" borderId="0" xfId="0" applyNumberFormat="1" applyFont="1" applyFill="1" applyAlignment="1">
      <alignment vertical="center"/>
    </xf>
    <xf numFmtId="0" fontId="12" fillId="18" borderId="0" xfId="0" applyFont="1" applyFill="1" applyAlignment="1">
      <alignment horizontal="right" vertical="center"/>
    </xf>
    <xf numFmtId="0" fontId="13" fillId="0" borderId="212" xfId="0" applyFont="1" applyBorder="1" applyAlignment="1">
      <alignment horizontal="center" vertical="center"/>
    </xf>
    <xf numFmtId="170" fontId="13" fillId="0" borderId="126" xfId="0" applyNumberFormat="1" applyFont="1" applyBorder="1" applyAlignment="1">
      <alignment horizontal="center" vertical="center"/>
    </xf>
    <xf numFmtId="169" fontId="4" fillId="17" borderId="0" xfId="0" applyNumberFormat="1" applyFont="1" applyFill="1" applyAlignment="1">
      <alignment vertical="center"/>
    </xf>
    <xf numFmtId="0" fontId="12" fillId="17" borderId="0" xfId="0" applyFont="1" applyFill="1" applyAlignment="1">
      <alignment horizontal="center" vertical="center"/>
    </xf>
    <xf numFmtId="169" fontId="11" fillId="18" borderId="0" xfId="0" applyNumberFormat="1" applyFont="1" applyFill="1" applyAlignment="1">
      <alignment vertical="center"/>
    </xf>
    <xf numFmtId="169" fontId="4" fillId="0" borderId="212" xfId="0" applyNumberFormat="1" applyFont="1" applyBorder="1" applyAlignment="1">
      <alignment horizontal="left" vertical="center" indent="1"/>
    </xf>
    <xf numFmtId="169" fontId="4" fillId="0" borderId="212" xfId="0" applyNumberFormat="1" applyFont="1" applyBorder="1" applyAlignment="1" applyProtection="1">
      <alignment horizontal="left" vertical="center" indent="1"/>
      <protection locked="0"/>
    </xf>
    <xf numFmtId="0" fontId="11" fillId="7" borderId="0" xfId="0" applyFont="1" applyFill="1" applyAlignment="1">
      <alignment horizontal="center" vertical="center"/>
    </xf>
    <xf numFmtId="0" fontId="6" fillId="18" borderId="26" xfId="0" applyFont="1" applyFill="1" applyBorder="1" applyAlignment="1">
      <alignment horizontal="right" vertical="center"/>
    </xf>
    <xf numFmtId="169" fontId="4" fillId="7" borderId="212" xfId="0" applyNumberFormat="1" applyFont="1" applyFill="1" applyBorder="1" applyAlignment="1">
      <alignment horizontal="center" vertical="center"/>
    </xf>
    <xf numFmtId="169" fontId="12" fillId="19" borderId="212" xfId="0" applyNumberFormat="1" applyFont="1" applyFill="1" applyBorder="1" applyAlignment="1">
      <alignment horizontal="center" vertical="center" wrapText="1"/>
    </xf>
    <xf numFmtId="169" fontId="12" fillId="19" borderId="213" xfId="0" applyNumberFormat="1" applyFont="1" applyFill="1" applyBorder="1" applyAlignment="1">
      <alignment horizontal="center" vertical="center" wrapText="1"/>
    </xf>
    <xf numFmtId="0" fontId="4" fillId="7" borderId="215" xfId="0" applyFont="1" applyFill="1" applyBorder="1" applyAlignment="1">
      <alignment horizontal="center" vertical="center"/>
    </xf>
    <xf numFmtId="0" fontId="12" fillId="7" borderId="215" xfId="0" applyFont="1" applyFill="1" applyBorder="1" applyAlignment="1">
      <alignment horizontal="center" vertical="center"/>
    </xf>
    <xf numFmtId="169" fontId="4" fillId="18" borderId="0" xfId="0" applyNumberFormat="1" applyFont="1" applyFill="1" applyAlignment="1">
      <alignment horizontal="left" vertical="center" indent="1"/>
    </xf>
    <xf numFmtId="0" fontId="4" fillId="0" borderId="124" xfId="0" applyFont="1" applyBorder="1" applyAlignment="1">
      <alignment horizontal="left" vertical="center" indent="1"/>
    </xf>
    <xf numFmtId="0" fontId="84" fillId="0" borderId="212" xfId="0" applyFont="1" applyBorder="1" applyAlignment="1" applyProtection="1">
      <alignment horizontal="center" vertical="center"/>
      <protection locked="0"/>
    </xf>
    <xf numFmtId="0" fontId="4" fillId="7" borderId="216" xfId="0" applyFont="1" applyFill="1" applyBorder="1" applyAlignment="1">
      <alignment vertical="center"/>
    </xf>
    <xf numFmtId="0" fontId="4" fillId="7" borderId="218" xfId="0" applyFont="1" applyFill="1" applyBorder="1" applyAlignment="1">
      <alignment vertical="center"/>
    </xf>
    <xf numFmtId="0" fontId="4" fillId="7" borderId="26" xfId="0" applyFont="1" applyFill="1" applyBorder="1" applyAlignment="1">
      <alignment vertical="center"/>
    </xf>
    <xf numFmtId="0" fontId="4" fillId="7" borderId="210" xfId="0" applyFont="1" applyFill="1" applyBorder="1" applyAlignment="1">
      <alignment vertical="center"/>
    </xf>
    <xf numFmtId="0" fontId="4" fillId="7" borderId="211" xfId="0" applyFont="1" applyFill="1" applyBorder="1" applyAlignment="1">
      <alignment vertical="center"/>
    </xf>
    <xf numFmtId="169" fontId="4" fillId="17" borderId="217" xfId="0" applyNumberFormat="1" applyFont="1" applyFill="1" applyBorder="1" applyAlignment="1">
      <alignment vertical="center"/>
    </xf>
    <xf numFmtId="169" fontId="4" fillId="17" borderId="216" xfId="0" applyNumberFormat="1" applyFont="1" applyFill="1" applyBorder="1" applyAlignment="1">
      <alignment vertical="center"/>
    </xf>
    <xf numFmtId="169" fontId="4" fillId="17" borderId="218" xfId="0" applyNumberFormat="1" applyFont="1" applyFill="1" applyBorder="1" applyAlignment="1">
      <alignment vertical="center"/>
    </xf>
    <xf numFmtId="169" fontId="4" fillId="17" borderId="178" xfId="0" applyNumberFormat="1" applyFont="1" applyFill="1" applyBorder="1" applyAlignment="1">
      <alignment vertical="center"/>
    </xf>
    <xf numFmtId="169" fontId="4" fillId="17" borderId="26" xfId="0" applyNumberFormat="1" applyFont="1" applyFill="1" applyBorder="1" applyAlignment="1">
      <alignment vertical="center"/>
    </xf>
    <xf numFmtId="169" fontId="4" fillId="17" borderId="209" xfId="0" applyNumberFormat="1" applyFont="1" applyFill="1" applyBorder="1" applyAlignment="1">
      <alignment vertical="center"/>
    </xf>
    <xf numFmtId="169" fontId="4" fillId="17" borderId="210" xfId="0" applyNumberFormat="1" applyFont="1" applyFill="1" applyBorder="1" applyAlignment="1">
      <alignment vertical="center"/>
    </xf>
    <xf numFmtId="169" fontId="4" fillId="17" borderId="211" xfId="0" applyNumberFormat="1" applyFont="1" applyFill="1" applyBorder="1" applyAlignment="1">
      <alignment vertical="center"/>
    </xf>
    <xf numFmtId="0" fontId="4" fillId="17" borderId="178" xfId="0" applyFont="1" applyFill="1" applyBorder="1" applyAlignment="1">
      <alignment vertical="center"/>
    </xf>
    <xf numFmtId="0" fontId="4" fillId="17" borderId="26" xfId="0" applyFont="1" applyFill="1" applyBorder="1" applyAlignment="1">
      <alignment vertical="center"/>
    </xf>
    <xf numFmtId="0" fontId="4" fillId="17" borderId="213" xfId="0" applyFont="1" applyFill="1" applyBorder="1" applyAlignment="1">
      <alignment horizontal="left" vertical="center" indent="1"/>
    </xf>
    <xf numFmtId="0" fontId="4" fillId="17" borderId="192" xfId="0" applyFont="1" applyFill="1" applyBorder="1" applyAlignment="1">
      <alignment horizontal="left" vertical="center" indent="1"/>
    </xf>
    <xf numFmtId="0" fontId="4" fillId="17" borderId="214" xfId="0" applyFont="1" applyFill="1" applyBorder="1" applyAlignment="1">
      <alignment horizontal="left" vertical="center" indent="1"/>
    </xf>
    <xf numFmtId="0" fontId="112" fillId="7" borderId="217" xfId="0" applyFont="1" applyFill="1" applyBorder="1" applyAlignment="1">
      <alignment vertical="center"/>
    </xf>
    <xf numFmtId="0" fontId="4" fillId="7" borderId="221" xfId="0" applyFont="1" applyFill="1" applyBorder="1" applyAlignment="1">
      <alignment horizontal="center" vertical="center"/>
    </xf>
    <xf numFmtId="0" fontId="13" fillId="0" borderId="215" xfId="0" applyFont="1" applyBorder="1" applyAlignment="1">
      <alignment horizontal="left" vertical="center"/>
    </xf>
    <xf numFmtId="0" fontId="4" fillId="0" borderId="215" xfId="0" applyFont="1" applyBorder="1" applyAlignment="1">
      <alignment horizontal="center" vertical="center"/>
    </xf>
    <xf numFmtId="169" fontId="4" fillId="0" borderId="126" xfId="0" applyNumberFormat="1" applyFont="1" applyBorder="1" applyAlignment="1">
      <alignment horizontal="center" vertical="center"/>
    </xf>
    <xf numFmtId="0" fontId="108" fillId="7" borderId="178" xfId="0" applyFont="1" applyFill="1" applyBorder="1" applyAlignment="1">
      <alignment horizontal="left" vertical="center" indent="1"/>
    </xf>
    <xf numFmtId="0" fontId="107" fillId="7" borderId="0" xfId="0" applyFont="1" applyFill="1" applyAlignment="1">
      <alignment vertical="center"/>
    </xf>
    <xf numFmtId="0" fontId="84" fillId="0" borderId="215" xfId="0" applyFont="1" applyBorder="1" applyAlignment="1" applyProtection="1">
      <alignment horizontal="center" vertical="center"/>
      <protection locked="0"/>
    </xf>
    <xf numFmtId="0" fontId="84" fillId="7" borderId="0" xfId="0" applyFont="1" applyFill="1" applyAlignment="1">
      <alignment vertical="center"/>
    </xf>
    <xf numFmtId="0" fontId="146" fillId="7" borderId="0" xfId="0" applyFont="1" applyFill="1" applyAlignment="1">
      <alignment vertical="center"/>
    </xf>
    <xf numFmtId="169" fontId="4" fillId="17" borderId="212" xfId="0" applyNumberFormat="1" applyFont="1" applyFill="1" applyBorder="1" applyAlignment="1">
      <alignment horizontal="center" vertical="center"/>
    </xf>
    <xf numFmtId="0" fontId="12" fillId="0" borderId="215" xfId="0" applyFont="1" applyBorder="1" applyAlignment="1">
      <alignment horizontal="left" vertical="center"/>
    </xf>
    <xf numFmtId="170" fontId="11" fillId="0" borderId="124" xfId="0" applyNumberFormat="1" applyFont="1" applyBorder="1" applyAlignment="1">
      <alignment horizontal="center" vertical="center"/>
    </xf>
    <xf numFmtId="0" fontId="11" fillId="7" borderId="215" xfId="0" applyFont="1" applyFill="1" applyBorder="1" applyAlignment="1">
      <alignment horizontal="center" vertical="center"/>
    </xf>
    <xf numFmtId="168" fontId="11" fillId="7" borderId="215" xfId="0" applyNumberFormat="1" applyFont="1" applyFill="1" applyBorder="1" applyAlignment="1">
      <alignment horizontal="center" vertical="center"/>
    </xf>
    <xf numFmtId="2" fontId="11" fillId="7" borderId="215" xfId="0" applyNumberFormat="1" applyFont="1" applyFill="1" applyBorder="1" applyAlignment="1">
      <alignment horizontal="center" vertical="center"/>
    </xf>
    <xf numFmtId="169" fontId="11" fillId="7" borderId="215" xfId="0" applyNumberFormat="1" applyFont="1" applyFill="1" applyBorder="1" applyAlignment="1">
      <alignment horizontal="center" vertical="center"/>
    </xf>
    <xf numFmtId="170" fontId="11" fillId="7" borderId="215" xfId="0" applyNumberFormat="1" applyFont="1" applyFill="1" applyBorder="1" applyAlignment="1">
      <alignment horizontal="center" vertical="center"/>
    </xf>
    <xf numFmtId="171" fontId="11" fillId="7" borderId="215" xfId="0" applyNumberFormat="1" applyFont="1" applyFill="1" applyBorder="1" applyAlignment="1">
      <alignment horizontal="center" vertical="center"/>
    </xf>
    <xf numFmtId="1" fontId="11" fillId="7" borderId="215" xfId="0" applyNumberFormat="1" applyFont="1" applyFill="1" applyBorder="1" applyAlignment="1">
      <alignment horizontal="center" vertical="center"/>
    </xf>
    <xf numFmtId="169" fontId="124" fillId="18" borderId="0" xfId="0" applyNumberFormat="1" applyFont="1" applyFill="1" applyAlignment="1">
      <alignment vertical="center"/>
    </xf>
    <xf numFmtId="0" fontId="4" fillId="23" borderId="215" xfId="0" applyFont="1" applyFill="1" applyBorder="1" applyAlignment="1">
      <alignment vertical="center"/>
    </xf>
    <xf numFmtId="0" fontId="141" fillId="17" borderId="0" xfId="0" applyFont="1" applyFill="1" applyAlignment="1">
      <alignment horizontal="left" vertical="center"/>
    </xf>
    <xf numFmtId="3" fontId="141" fillId="17" borderId="0" xfId="0" applyNumberFormat="1" applyFont="1" applyFill="1" applyAlignment="1">
      <alignment horizontal="center" vertical="center"/>
    </xf>
    <xf numFmtId="0" fontId="5" fillId="18" borderId="0" xfId="0" applyFont="1" applyFill="1" applyAlignment="1">
      <alignment horizontal="center" vertical="center"/>
    </xf>
    <xf numFmtId="0" fontId="11" fillId="18" borderId="0" xfId="0" applyFont="1" applyFill="1" applyAlignment="1">
      <alignment horizontal="center" vertical="top"/>
    </xf>
    <xf numFmtId="169" fontId="37" fillId="18" borderId="0" xfId="0" applyNumberFormat="1" applyFont="1" applyFill="1" applyAlignment="1">
      <alignment horizontal="center" vertical="center"/>
    </xf>
    <xf numFmtId="0" fontId="37" fillId="17" borderId="0" xfId="0" applyFont="1" applyFill="1" applyAlignment="1">
      <alignment vertical="center"/>
    </xf>
    <xf numFmtId="169" fontId="4" fillId="0" borderId="172" xfId="0" applyNumberFormat="1" applyFont="1" applyBorder="1" applyAlignment="1">
      <alignment horizontal="center" vertical="center"/>
    </xf>
    <xf numFmtId="0" fontId="4" fillId="17" borderId="215" xfId="0" applyFont="1" applyFill="1" applyBorder="1" applyAlignment="1">
      <alignment horizontal="center" vertical="center"/>
    </xf>
    <xf numFmtId="169" fontId="0" fillId="17" borderId="0" xfId="0" applyNumberFormat="1" applyFill="1"/>
    <xf numFmtId="169" fontId="4" fillId="17" borderId="206" xfId="0" applyNumberFormat="1" applyFont="1" applyFill="1" applyBorder="1" applyAlignment="1">
      <alignment horizontal="center" vertical="center"/>
    </xf>
    <xf numFmtId="170" fontId="4" fillId="7" borderId="0" xfId="0" applyNumberFormat="1" applyFont="1" applyFill="1" applyAlignment="1">
      <alignment horizontal="center" vertical="center"/>
    </xf>
    <xf numFmtId="164" fontId="4" fillId="0" borderId="126" xfId="0" applyNumberFormat="1" applyFont="1" applyBorder="1" applyAlignment="1">
      <alignment horizontal="center" vertical="center"/>
    </xf>
    <xf numFmtId="0" fontId="7" fillId="0" borderId="222" xfId="0" applyFont="1" applyBorder="1" applyAlignment="1">
      <alignment horizontal="centerContinuous" vertical="center"/>
    </xf>
    <xf numFmtId="0" fontId="4" fillId="0" borderId="221" xfId="0" applyFont="1" applyBorder="1" applyAlignment="1">
      <alignment horizontal="centerContinuous" vertical="center"/>
    </xf>
    <xf numFmtId="0" fontId="4" fillId="0" borderId="220" xfId="0" applyFont="1" applyBorder="1" applyAlignment="1">
      <alignment horizontal="centerContinuous" vertical="center"/>
    </xf>
    <xf numFmtId="0" fontId="7" fillId="0" borderId="221" xfId="0" applyFont="1" applyBorder="1" applyAlignment="1">
      <alignment horizontal="centerContinuous" vertical="center"/>
    </xf>
    <xf numFmtId="0" fontId="7" fillId="0" borderId="220" xfId="0" applyFont="1" applyBorder="1" applyAlignment="1">
      <alignment horizontal="centerContinuous" vertical="center"/>
    </xf>
    <xf numFmtId="0" fontId="122" fillId="7" borderId="230" xfId="0" applyFont="1" applyFill="1" applyBorder="1" applyAlignment="1">
      <alignment horizontal="center" vertical="center"/>
    </xf>
    <xf numFmtId="0" fontId="7" fillId="17" borderId="24" xfId="0" applyFont="1" applyFill="1" applyBorder="1" applyAlignment="1">
      <alignment horizontal="right" vertical="center"/>
    </xf>
    <xf numFmtId="0" fontId="7" fillId="17" borderId="27" xfId="0" applyFont="1" applyFill="1" applyBorder="1" applyAlignment="1">
      <alignment horizontal="center" vertical="center"/>
    </xf>
    <xf numFmtId="0" fontId="7" fillId="17" borderId="27" xfId="0" applyFont="1" applyFill="1" applyBorder="1" applyAlignment="1">
      <alignment horizontal="right" vertical="center"/>
    </xf>
    <xf numFmtId="0" fontId="7" fillId="17" borderId="1" xfId="0" applyFont="1" applyFill="1" applyBorder="1" applyAlignment="1">
      <alignment horizontal="right" vertical="center"/>
    </xf>
    <xf numFmtId="0" fontId="7" fillId="17" borderId="28" xfId="0" applyFont="1" applyFill="1" applyBorder="1" applyAlignment="1">
      <alignment vertical="center"/>
    </xf>
    <xf numFmtId="0" fontId="7" fillId="17" borderId="29" xfId="0" applyFont="1" applyFill="1" applyBorder="1" applyAlignment="1">
      <alignment horizontal="right" vertical="center"/>
    </xf>
    <xf numFmtId="0" fontId="7" fillId="17" borderId="28" xfId="0" applyFont="1" applyFill="1" applyBorder="1" applyAlignment="1">
      <alignment horizontal="right" vertical="center"/>
    </xf>
    <xf numFmtId="0" fontId="7" fillId="17" borderId="232" xfId="0" applyFont="1" applyFill="1" applyBorder="1" applyAlignment="1">
      <alignment horizontal="center" vertical="center"/>
    </xf>
    <xf numFmtId="0" fontId="4" fillId="0" borderId="232" xfId="0" applyFont="1" applyBorder="1" applyAlignment="1">
      <alignment horizontal="center" vertical="center"/>
    </xf>
    <xf numFmtId="170" fontId="7" fillId="17" borderId="232" xfId="0" applyNumberFormat="1" applyFont="1" applyFill="1" applyBorder="1" applyAlignment="1">
      <alignment horizontal="center" vertical="center"/>
    </xf>
    <xf numFmtId="2" fontId="7" fillId="17" borderId="232" xfId="0" applyNumberFormat="1" applyFont="1" applyFill="1" applyBorder="1" applyAlignment="1">
      <alignment horizontal="center" vertical="center"/>
    </xf>
    <xf numFmtId="1" fontId="7" fillId="17" borderId="232" xfId="0" applyNumberFormat="1" applyFont="1" applyFill="1" applyBorder="1" applyAlignment="1">
      <alignment horizontal="center" vertical="center"/>
    </xf>
    <xf numFmtId="170" fontId="7" fillId="17" borderId="232" xfId="0" applyNumberFormat="1" applyFont="1" applyFill="1" applyBorder="1" applyAlignment="1">
      <alignment horizontal="center" vertical="center" wrapText="1"/>
    </xf>
    <xf numFmtId="0" fontId="102" fillId="23" borderId="0" xfId="0" applyFont="1" applyFill="1" applyAlignment="1">
      <alignment vertical="center"/>
    </xf>
    <xf numFmtId="0" fontId="4" fillId="30" borderId="0" xfId="0" applyFont="1" applyFill="1" applyAlignment="1">
      <alignment horizontal="center" vertical="center"/>
    </xf>
    <xf numFmtId="0" fontId="2" fillId="7" borderId="0" xfId="0" applyFont="1" applyFill="1"/>
    <xf numFmtId="0" fontId="161" fillId="17" borderId="0" xfId="0" applyFont="1" applyFill="1" applyAlignment="1">
      <alignment horizontal="center" vertical="center"/>
    </xf>
    <xf numFmtId="0" fontId="4" fillId="17" borderId="232" xfId="0" applyFont="1" applyFill="1" applyBorder="1" applyAlignment="1">
      <alignment horizontal="center" vertical="center"/>
    </xf>
    <xf numFmtId="0" fontId="2" fillId="7" borderId="232" xfId="0" applyFont="1" applyFill="1" applyBorder="1" applyAlignment="1">
      <alignment horizontal="center" vertical="center" wrapText="1"/>
    </xf>
    <xf numFmtId="0" fontId="7" fillId="17" borderId="0" xfId="0" applyFont="1" applyFill="1" applyAlignment="1">
      <alignment horizontal="center" vertical="center"/>
    </xf>
    <xf numFmtId="0" fontId="2" fillId="7" borderId="232" xfId="0" applyFont="1" applyFill="1" applyBorder="1" applyAlignment="1">
      <alignment horizontal="center"/>
    </xf>
    <xf numFmtId="2" fontId="4" fillId="17" borderId="232" xfId="0" applyNumberFormat="1" applyFont="1" applyFill="1" applyBorder="1" applyAlignment="1">
      <alignment horizontal="center" vertical="center"/>
    </xf>
    <xf numFmtId="0" fontId="4" fillId="17" borderId="0" xfId="0" applyFont="1" applyFill="1" applyAlignment="1">
      <alignment horizontal="left" vertical="center" indent="1"/>
    </xf>
    <xf numFmtId="0" fontId="46" fillId="17" borderId="0" xfId="0" applyFont="1" applyFill="1" applyAlignment="1">
      <alignment horizontal="center" vertical="center"/>
    </xf>
    <xf numFmtId="0" fontId="4" fillId="17" borderId="233" xfId="0" applyFont="1" applyFill="1" applyBorder="1" applyAlignment="1">
      <alignment horizontal="center" vertical="center"/>
    </xf>
    <xf numFmtId="0" fontId="12" fillId="17" borderId="0" xfId="0" applyFont="1" applyFill="1" applyAlignment="1">
      <alignment horizontal="right" vertical="center"/>
    </xf>
    <xf numFmtId="1" fontId="4" fillId="17" borderId="232" xfId="0" applyNumberFormat="1" applyFont="1" applyFill="1" applyBorder="1" applyAlignment="1">
      <alignment horizontal="center" vertical="center"/>
    </xf>
    <xf numFmtId="0" fontId="102" fillId="17" borderId="0" xfId="0" applyFont="1" applyFill="1" applyAlignment="1">
      <alignment horizontal="right" vertical="center"/>
    </xf>
    <xf numFmtId="0" fontId="118" fillId="17" borderId="0" xfId="0" quotePrefix="1" applyFont="1" applyFill="1" applyAlignment="1">
      <alignment horizontal="center" vertical="center"/>
    </xf>
    <xf numFmtId="0" fontId="2" fillId="7" borderId="0" xfId="0" applyFont="1" applyFill="1" applyAlignment="1">
      <alignment horizontal="right"/>
    </xf>
    <xf numFmtId="0" fontId="61" fillId="0" borderId="211" xfId="0" applyFont="1" applyBorder="1" applyAlignment="1" applyProtection="1">
      <alignment horizontal="right" vertical="center" wrapText="1"/>
      <protection hidden="1"/>
    </xf>
    <xf numFmtId="0" fontId="47" fillId="0" borderId="234" xfId="0" applyFont="1" applyBorder="1" applyAlignment="1" applyProtection="1">
      <alignment horizontal="center" vertical="center" wrapText="1"/>
      <protection locked="0"/>
    </xf>
    <xf numFmtId="0" fontId="55" fillId="6" borderId="229" xfId="0" applyFont="1" applyFill="1" applyBorder="1" applyAlignment="1" applyProtection="1">
      <alignment horizontal="center" vertical="center" wrapText="1"/>
      <protection hidden="1"/>
    </xf>
    <xf numFmtId="165" fontId="7" fillId="17" borderId="12" xfId="0" applyNumberFormat="1" applyFont="1" applyFill="1" applyBorder="1" applyAlignment="1">
      <alignment horizontal="center" vertical="center"/>
    </xf>
    <xf numFmtId="0" fontId="4" fillId="7" borderId="235" xfId="0" applyFont="1" applyFill="1" applyBorder="1" applyAlignment="1">
      <alignment horizontal="center" vertical="center"/>
    </xf>
    <xf numFmtId="0" fontId="4" fillId="7" borderId="235" xfId="0" applyFont="1" applyFill="1" applyBorder="1" applyAlignment="1">
      <alignment vertical="center"/>
    </xf>
    <xf numFmtId="0" fontId="4" fillId="0" borderId="80" xfId="0" applyFont="1" applyBorder="1" applyAlignment="1">
      <alignment horizontal="center" vertical="center"/>
    </xf>
    <xf numFmtId="164" fontId="4" fillId="4" borderId="0" xfId="0" applyNumberFormat="1" applyFont="1" applyFill="1" applyAlignment="1">
      <alignment vertical="center"/>
    </xf>
    <xf numFmtId="0" fontId="50" fillId="8" borderId="191" xfId="0" applyFont="1" applyFill="1" applyBorder="1" applyAlignment="1" applyProtection="1">
      <alignment horizontal="center" vertical="center" wrapText="1"/>
      <protection hidden="1"/>
    </xf>
    <xf numFmtId="0" fontId="12" fillId="0" borderId="47" xfId="0" applyFont="1" applyBorder="1" applyAlignment="1" applyProtection="1">
      <alignment vertical="center" wrapText="1"/>
      <protection hidden="1"/>
    </xf>
    <xf numFmtId="0" fontId="50" fillId="6" borderId="238" xfId="0" applyFont="1" applyFill="1" applyBorder="1" applyAlignment="1" applyProtection="1">
      <alignment horizontal="center" vertical="center" wrapText="1"/>
      <protection hidden="1"/>
    </xf>
    <xf numFmtId="1" fontId="164" fillId="8" borderId="239" xfId="0" applyNumberFormat="1" applyFont="1" applyFill="1" applyBorder="1" applyAlignment="1" applyProtection="1">
      <alignment horizontal="center" vertical="center" wrapText="1"/>
      <protection hidden="1"/>
    </xf>
    <xf numFmtId="1" fontId="164" fillId="8" borderId="240" xfId="0" applyNumberFormat="1" applyFont="1" applyFill="1" applyBorder="1" applyAlignment="1" applyProtection="1">
      <alignment horizontal="center" vertical="center" wrapText="1"/>
      <protection hidden="1"/>
    </xf>
    <xf numFmtId="1" fontId="31" fillId="6" borderId="243" xfId="0" applyNumberFormat="1" applyFont="1" applyFill="1" applyBorder="1" applyAlignment="1" applyProtection="1">
      <alignment horizontal="center" vertical="center" wrapText="1"/>
      <protection locked="0"/>
    </xf>
    <xf numFmtId="0" fontId="7" fillId="4" borderId="0" xfId="0" applyFont="1" applyFill="1" applyAlignment="1">
      <alignment vertical="center"/>
    </xf>
    <xf numFmtId="4" fontId="4" fillId="0" borderId="244" xfId="0" applyNumberFormat="1" applyFont="1" applyBorder="1" applyAlignment="1">
      <alignment horizontal="center" vertical="center"/>
    </xf>
    <xf numFmtId="2" fontId="41" fillId="0" borderId="244" xfId="0" applyNumberFormat="1" applyFont="1" applyBorder="1" applyAlignment="1">
      <alignment horizontal="center" vertical="center"/>
    </xf>
    <xf numFmtId="3" fontId="7" fillId="0" borderId="244" xfId="0" applyNumberFormat="1" applyFont="1" applyBorder="1" applyAlignment="1">
      <alignment horizontal="center" vertical="center"/>
    </xf>
    <xf numFmtId="3" fontId="7" fillId="0" borderId="246" xfId="0" applyNumberFormat="1" applyFont="1" applyBorder="1" applyAlignment="1">
      <alignment horizontal="center" vertical="center"/>
    </xf>
    <xf numFmtId="0" fontId="7" fillId="0" borderId="247" xfId="0" applyFont="1" applyBorder="1" applyAlignment="1">
      <alignment horizontal="centerContinuous" vertical="center"/>
    </xf>
    <xf numFmtId="0" fontId="4" fillId="0" borderId="233" xfId="0" applyFont="1" applyBorder="1" applyAlignment="1">
      <alignment horizontal="centerContinuous" vertical="center"/>
    </xf>
    <xf numFmtId="0" fontId="11" fillId="0" borderId="245" xfId="0" applyFont="1" applyBorder="1" applyAlignment="1">
      <alignment horizontal="center" vertical="center"/>
    </xf>
    <xf numFmtId="0" fontId="4" fillId="7" borderId="0" xfId="0" applyFont="1" applyFill="1" applyAlignment="1">
      <alignment horizontal="left" vertical="center" indent="1"/>
    </xf>
    <xf numFmtId="2" fontId="4" fillId="0" borderId="0" xfId="0" applyNumberFormat="1" applyFont="1" applyAlignment="1">
      <alignment horizontal="left" vertical="center" indent="1"/>
    </xf>
    <xf numFmtId="0" fontId="7" fillId="0" borderId="0" xfId="0" applyFont="1" applyAlignment="1">
      <alignment horizontal="left" vertical="center" indent="1"/>
    </xf>
    <xf numFmtId="0" fontId="19" fillId="7" borderId="248" xfId="0" applyFont="1" applyFill="1" applyBorder="1" applyAlignment="1" applyProtection="1">
      <alignment horizontal="center" vertical="center"/>
      <protection locked="0"/>
    </xf>
    <xf numFmtId="0" fontId="4" fillId="0" borderId="248" xfId="0" applyFont="1" applyBorder="1" applyAlignment="1">
      <alignment horizontal="center" vertical="center"/>
    </xf>
    <xf numFmtId="170" fontId="4" fillId="17" borderId="174" xfId="0" applyNumberFormat="1" applyFont="1" applyFill="1" applyBorder="1" applyAlignment="1">
      <alignment horizontal="center" vertical="center"/>
    </xf>
    <xf numFmtId="3" fontId="4" fillId="0" borderId="244" xfId="0" applyNumberFormat="1" applyFont="1" applyBorder="1" applyAlignment="1">
      <alignment horizontal="center" vertical="center"/>
    </xf>
    <xf numFmtId="164" fontId="4" fillId="3" borderId="0" xfId="0" applyNumberFormat="1" applyFont="1" applyFill="1" applyAlignment="1">
      <alignment vertical="center"/>
    </xf>
    <xf numFmtId="169" fontId="4" fillId="0" borderId="173" xfId="0" applyNumberFormat="1" applyFont="1" applyBorder="1" applyAlignment="1">
      <alignment horizontal="center" vertical="center"/>
    </xf>
    <xf numFmtId="1" fontId="7" fillId="8" borderId="1" xfId="0" applyNumberFormat="1" applyFont="1" applyFill="1" applyBorder="1" applyAlignment="1">
      <alignment horizontal="center" vertical="center"/>
    </xf>
    <xf numFmtId="0" fontId="7" fillId="6" borderId="236" xfId="0" applyFont="1" applyFill="1" applyBorder="1" applyAlignment="1">
      <alignment horizontal="center" vertical="center" wrapText="1"/>
    </xf>
    <xf numFmtId="0" fontId="4" fillId="0" borderId="250" xfId="0" applyFont="1" applyBorder="1" applyAlignment="1">
      <alignment horizontal="center" vertical="center"/>
    </xf>
    <xf numFmtId="0" fontId="6" fillId="18" borderId="0" xfId="0" applyFont="1" applyFill="1" applyAlignment="1">
      <alignment horizontal="right" vertical="center"/>
    </xf>
    <xf numFmtId="0" fontId="101" fillId="17" borderId="11" xfId="0" applyFont="1" applyFill="1" applyBorder="1" applyAlignment="1">
      <alignment horizontal="left" vertical="center"/>
    </xf>
    <xf numFmtId="0" fontId="101" fillId="17" borderId="81" xfId="0" applyFont="1" applyFill="1" applyBorder="1" applyAlignment="1">
      <alignment horizontal="left" vertical="center"/>
    </xf>
    <xf numFmtId="0" fontId="6" fillId="2" borderId="0" xfId="0" applyFont="1" applyFill="1" applyAlignment="1">
      <alignment horizontal="left" vertical="center" indent="1"/>
    </xf>
    <xf numFmtId="0" fontId="4" fillId="7" borderId="252" xfId="0" applyFont="1" applyFill="1" applyBorder="1" applyAlignment="1">
      <alignment horizontal="center" vertical="center"/>
    </xf>
    <xf numFmtId="2" fontId="11" fillId="18" borderId="0" xfId="0" applyNumberFormat="1" applyFont="1" applyFill="1" applyAlignment="1">
      <alignment horizontal="center" vertical="center"/>
    </xf>
    <xf numFmtId="1" fontId="4" fillId="0" borderId="244" xfId="0" applyNumberFormat="1" applyFont="1" applyBorder="1" applyAlignment="1">
      <alignment horizontal="center" vertical="center"/>
    </xf>
    <xf numFmtId="169" fontId="41" fillId="0" borderId="244" xfId="0" applyNumberFormat="1" applyFont="1" applyBorder="1" applyAlignment="1">
      <alignment horizontal="center" vertical="center"/>
    </xf>
    <xf numFmtId="1" fontId="49" fillId="0" borderId="245" xfId="0" applyNumberFormat="1" applyFont="1" applyBorder="1" applyAlignment="1">
      <alignment horizontal="center" vertical="center"/>
    </xf>
    <xf numFmtId="1" fontId="7" fillId="0" borderId="244" xfId="0" applyNumberFormat="1" applyFont="1" applyBorder="1" applyAlignment="1">
      <alignment horizontal="center" vertical="center"/>
    </xf>
    <xf numFmtId="49" fontId="2" fillId="0" borderId="9" xfId="0" applyNumberFormat="1" applyFont="1" applyBorder="1" applyAlignment="1">
      <alignment vertical="center" wrapText="1"/>
    </xf>
    <xf numFmtId="0" fontId="19" fillId="7" borderId="9" xfId="0" applyFont="1" applyFill="1" applyBorder="1" applyAlignment="1" applyProtection="1">
      <alignment horizontal="left" vertical="center"/>
      <protection locked="0"/>
    </xf>
    <xf numFmtId="0" fontId="4" fillId="0" borderId="256" xfId="0" applyFont="1" applyBorder="1" applyAlignment="1">
      <alignment horizontal="center" vertical="center"/>
    </xf>
    <xf numFmtId="1" fontId="12" fillId="10" borderId="220" xfId="0" applyNumberFormat="1" applyFont="1" applyFill="1" applyBorder="1" applyAlignment="1" applyProtection="1">
      <alignment vertical="center"/>
      <protection hidden="1"/>
    </xf>
    <xf numFmtId="0" fontId="19" fillId="7" borderId="255" xfId="0" applyFont="1" applyFill="1" applyBorder="1" applyAlignment="1" applyProtection="1">
      <alignment horizontal="center" vertical="center"/>
      <protection locked="0"/>
    </xf>
    <xf numFmtId="0" fontId="19" fillId="7" borderId="257" xfId="0" applyFont="1" applyFill="1" applyBorder="1" applyAlignment="1" applyProtection="1">
      <alignment horizontal="center" vertical="center"/>
      <protection locked="0"/>
    </xf>
    <xf numFmtId="0" fontId="7" fillId="0" borderId="227" xfId="0" applyFont="1" applyBorder="1" applyAlignment="1">
      <alignment horizontal="centerContinuous" vertical="center"/>
    </xf>
    <xf numFmtId="0" fontId="4" fillId="0" borderId="227" xfId="0" applyFont="1" applyBorder="1" applyAlignment="1">
      <alignment horizontal="centerContinuous" vertical="center"/>
    </xf>
    <xf numFmtId="0" fontId="0" fillId="0" borderId="0" xfId="0" applyAlignment="1">
      <alignment horizontal="center"/>
    </xf>
    <xf numFmtId="49" fontId="2" fillId="0" borderId="0" xfId="0" applyNumberFormat="1" applyFont="1" applyAlignment="1">
      <alignment vertical="center" wrapText="1"/>
    </xf>
    <xf numFmtId="0" fontId="7" fillId="17" borderId="129" xfId="0" applyFont="1" applyFill="1" applyBorder="1" applyAlignment="1">
      <alignment horizontal="center" vertical="center"/>
    </xf>
    <xf numFmtId="0" fontId="150" fillId="0" borderId="38" xfId="0" applyFont="1" applyBorder="1" applyAlignment="1">
      <alignment horizontal="center" vertical="center"/>
    </xf>
    <xf numFmtId="0" fontId="102" fillId="17" borderId="2" xfId="0" applyFont="1" applyFill="1" applyBorder="1" applyAlignment="1">
      <alignment horizontal="center" vertical="center"/>
    </xf>
    <xf numFmtId="0" fontId="150" fillId="17" borderId="2" xfId="0" applyFont="1" applyFill="1" applyBorder="1" applyAlignment="1">
      <alignment horizontal="center" vertical="center"/>
    </xf>
    <xf numFmtId="0" fontId="150" fillId="0" borderId="2" xfId="0" applyFont="1" applyBorder="1" applyAlignment="1">
      <alignment horizontal="center" vertical="center"/>
    </xf>
    <xf numFmtId="0" fontId="150" fillId="17" borderId="3" xfId="0" applyFont="1" applyFill="1" applyBorder="1" applyAlignment="1">
      <alignment horizontal="center" vertical="center"/>
    </xf>
    <xf numFmtId="169" fontId="7" fillId="7" borderId="253" xfId="0" applyNumberFormat="1" applyFont="1" applyFill="1" applyBorder="1" applyAlignment="1">
      <alignment horizontal="center" vertical="center"/>
    </xf>
    <xf numFmtId="0" fontId="4" fillId="7" borderId="264" xfId="0" applyFont="1" applyFill="1" applyBorder="1" applyAlignment="1">
      <alignment horizontal="center" vertical="center"/>
    </xf>
    <xf numFmtId="3" fontId="41" fillId="0" borderId="0" xfId="0" applyNumberFormat="1" applyFont="1" applyAlignment="1">
      <alignment vertical="center"/>
    </xf>
    <xf numFmtId="164" fontId="41" fillId="0" borderId="0" xfId="0" applyNumberFormat="1" applyFont="1" applyAlignment="1">
      <alignment vertical="center"/>
    </xf>
    <xf numFmtId="169" fontId="49" fillId="0" borderId="244" xfId="0" applyNumberFormat="1" applyFont="1" applyBorder="1" applyAlignment="1">
      <alignment horizontal="center" vertical="center"/>
    </xf>
    <xf numFmtId="0" fontId="121" fillId="0" borderId="9" xfId="0" applyFont="1" applyBorder="1" applyAlignment="1">
      <alignment horizontal="center" vertical="center"/>
    </xf>
    <xf numFmtId="0" fontId="10" fillId="0" borderId="0" xfId="1" applyAlignment="1" applyProtection="1">
      <alignment vertical="center" wrapText="1"/>
    </xf>
    <xf numFmtId="0" fontId="4" fillId="0" borderId="265" xfId="0" applyFont="1" applyBorder="1" applyAlignment="1">
      <alignment horizontal="left" vertical="center"/>
    </xf>
    <xf numFmtId="169" fontId="14" fillId="0" borderId="41" xfId="0" applyNumberFormat="1" applyFont="1" applyBorder="1" applyAlignment="1" applyProtection="1">
      <alignment horizontal="center" vertical="center"/>
      <protection locked="0"/>
    </xf>
    <xf numFmtId="0" fontId="11" fillId="18" borderId="0" xfId="0" applyFont="1" applyFill="1" applyAlignment="1">
      <alignment horizontal="left" vertical="top"/>
    </xf>
    <xf numFmtId="0" fontId="4" fillId="34" borderId="0" xfId="0" applyFont="1" applyFill="1" applyAlignment="1">
      <alignment horizontal="center" vertical="center"/>
    </xf>
    <xf numFmtId="0" fontId="4" fillId="17" borderId="266" xfId="0" applyFont="1" applyFill="1" applyBorder="1" applyAlignment="1">
      <alignment horizontal="center" vertical="center"/>
    </xf>
    <xf numFmtId="2" fontId="4" fillId="17" borderId="266" xfId="0" applyNumberFormat="1" applyFont="1" applyFill="1" applyBorder="1" applyAlignment="1">
      <alignment horizontal="center" vertical="center"/>
    </xf>
    <xf numFmtId="0" fontId="13" fillId="17" borderId="0" xfId="0" applyFont="1" applyFill="1" applyAlignment="1">
      <alignment vertical="center"/>
    </xf>
    <xf numFmtId="0" fontId="124" fillId="17" borderId="40" xfId="0" applyFont="1" applyFill="1" applyBorder="1" applyAlignment="1">
      <alignment horizontal="center" vertical="center" wrapText="1"/>
    </xf>
    <xf numFmtId="170" fontId="4" fillId="17" borderId="266" xfId="0" applyNumberFormat="1" applyFont="1" applyFill="1" applyBorder="1" applyAlignment="1">
      <alignment horizontal="center" vertical="center"/>
    </xf>
    <xf numFmtId="170" fontId="4" fillId="17" borderId="47" xfId="0" applyNumberFormat="1" applyFont="1" applyFill="1" applyBorder="1" applyAlignment="1">
      <alignment horizontal="center" vertical="center"/>
    </xf>
    <xf numFmtId="0" fontId="194" fillId="17" borderId="267" xfId="0" applyFont="1" applyFill="1" applyBorder="1" applyAlignment="1" applyProtection="1">
      <alignment horizontal="center" vertical="center"/>
      <protection locked="0"/>
    </xf>
    <xf numFmtId="170" fontId="101" fillId="17" borderId="267" xfId="0" applyNumberFormat="1" applyFont="1" applyFill="1" applyBorder="1" applyAlignment="1">
      <alignment horizontal="center" vertical="center"/>
    </xf>
    <xf numFmtId="0" fontId="4" fillId="0" borderId="268" xfId="0" applyFont="1" applyBorder="1" applyAlignment="1">
      <alignment horizontal="center" vertical="center"/>
    </xf>
    <xf numFmtId="0" fontId="4" fillId="17" borderId="225" xfId="0" applyFont="1" applyFill="1" applyBorder="1" applyAlignment="1">
      <alignment vertical="center"/>
    </xf>
    <xf numFmtId="0" fontId="125" fillId="0" borderId="268" xfId="0" applyFont="1" applyBorder="1" applyAlignment="1">
      <alignment horizontal="center" vertical="center" wrapText="1"/>
    </xf>
    <xf numFmtId="1" fontId="7" fillId="17" borderId="245" xfId="0" applyNumberFormat="1" applyFont="1" applyFill="1" applyBorder="1" applyAlignment="1">
      <alignment horizontal="center" vertical="center"/>
    </xf>
    <xf numFmtId="0" fontId="102" fillId="0" borderId="268" xfId="0" applyFont="1" applyBorder="1" applyAlignment="1">
      <alignment horizontal="left" vertical="center"/>
    </xf>
    <xf numFmtId="0" fontId="4" fillId="17" borderId="268" xfId="0" applyFont="1" applyFill="1" applyBorder="1" applyAlignment="1">
      <alignment vertical="center"/>
    </xf>
    <xf numFmtId="0" fontId="4" fillId="17" borderId="268" xfId="0" applyFont="1" applyFill="1" applyBorder="1" applyAlignment="1">
      <alignment horizontal="center" vertical="center"/>
    </xf>
    <xf numFmtId="0" fontId="6" fillId="18" borderId="0" xfId="0" applyFont="1" applyFill="1" applyAlignment="1">
      <alignment horizontal="center" vertical="center"/>
    </xf>
    <xf numFmtId="0" fontId="41" fillId="18" borderId="0" xfId="0" applyFont="1" applyFill="1" applyAlignment="1">
      <alignment horizontal="left" vertical="center"/>
    </xf>
    <xf numFmtId="0" fontId="41" fillId="17" borderId="268" xfId="0" applyFont="1" applyFill="1" applyBorder="1" applyAlignment="1">
      <alignment horizontal="center" vertical="center"/>
    </xf>
    <xf numFmtId="0" fontId="46" fillId="18" borderId="0" xfId="0" applyFont="1" applyFill="1"/>
    <xf numFmtId="0" fontId="85" fillId="18" borderId="0" xfId="0" applyFont="1" applyFill="1" applyAlignment="1">
      <alignment horizontal="center"/>
    </xf>
    <xf numFmtId="0" fontId="195" fillId="17" borderId="0" xfId="0" applyFont="1" applyFill="1"/>
    <xf numFmtId="0" fontId="4" fillId="18" borderId="0" xfId="0" applyFont="1" applyFill="1" applyAlignment="1">
      <alignment horizontal="right" vertical="center" indent="1"/>
    </xf>
    <xf numFmtId="0" fontId="41" fillId="18" borderId="0" xfId="0" applyFont="1" applyFill="1" applyAlignment="1">
      <alignment horizontal="left" vertical="center" indent="1"/>
    </xf>
    <xf numFmtId="0" fontId="101" fillId="17" borderId="5" xfId="0" applyFont="1" applyFill="1" applyBorder="1" applyAlignment="1">
      <alignment horizontal="left" vertical="center"/>
    </xf>
    <xf numFmtId="0" fontId="14" fillId="0" borderId="228" xfId="0" applyFont="1" applyBorder="1" applyAlignment="1" applyProtection="1">
      <alignment horizontal="center" vertical="center"/>
      <protection locked="0"/>
    </xf>
    <xf numFmtId="169" fontId="4" fillId="0" borderId="228" xfId="0" applyNumberFormat="1" applyFont="1" applyBorder="1" applyAlignment="1">
      <alignment horizontal="center" vertical="center"/>
    </xf>
    <xf numFmtId="0" fontId="7" fillId="0" borderId="161" xfId="0" applyFont="1" applyBorder="1" applyAlignment="1" applyProtection="1">
      <alignment horizontal="left" vertical="center"/>
      <protection locked="0"/>
    </xf>
    <xf numFmtId="0" fontId="7" fillId="0" borderId="69" xfId="0" applyFont="1" applyBorder="1" applyAlignment="1" applyProtection="1">
      <alignment horizontal="left" vertical="center"/>
      <protection locked="0"/>
    </xf>
    <xf numFmtId="0" fontId="14" fillId="0" borderId="241" xfId="0" applyFont="1" applyBorder="1" applyAlignment="1" applyProtection="1">
      <alignment horizontal="center" vertical="center"/>
      <protection locked="0"/>
    </xf>
    <xf numFmtId="0" fontId="4" fillId="0" borderId="241" xfId="0" applyFont="1" applyBorder="1" applyAlignment="1">
      <alignment horizontal="center" vertical="center"/>
    </xf>
    <xf numFmtId="0" fontId="11" fillId="18" borderId="0" xfId="0" applyFont="1" applyFill="1" applyAlignment="1">
      <alignment vertical="center"/>
    </xf>
    <xf numFmtId="168" fontId="4" fillId="17" borderId="244" xfId="0" applyNumberFormat="1" applyFont="1" applyFill="1" applyBorder="1" applyAlignment="1">
      <alignment horizontal="center" vertical="center"/>
    </xf>
    <xf numFmtId="169" fontId="7" fillId="17" borderId="246" xfId="0" applyNumberFormat="1" applyFont="1" applyFill="1" applyBorder="1" applyAlignment="1">
      <alignment horizontal="center" vertical="center"/>
    </xf>
    <xf numFmtId="168" fontId="4" fillId="17" borderId="246" xfId="0" applyNumberFormat="1" applyFont="1" applyFill="1" applyBorder="1" applyAlignment="1">
      <alignment horizontal="center" vertical="center"/>
    </xf>
    <xf numFmtId="167" fontId="7" fillId="17" borderId="16" xfId="0" applyNumberFormat="1" applyFont="1" applyFill="1" applyBorder="1" applyAlignment="1">
      <alignment horizontal="center" vertical="center"/>
    </xf>
    <xf numFmtId="167" fontId="4" fillId="17" borderId="16" xfId="0" applyNumberFormat="1" applyFont="1" applyFill="1" applyBorder="1" applyAlignment="1">
      <alignment horizontal="center" vertical="center"/>
    </xf>
    <xf numFmtId="169" fontId="7" fillId="17" borderId="244" xfId="0" applyNumberFormat="1" applyFont="1" applyFill="1" applyBorder="1" applyAlignment="1">
      <alignment horizontal="center" vertical="center"/>
    </xf>
    <xf numFmtId="167" fontId="7" fillId="17" borderId="244" xfId="0" applyNumberFormat="1" applyFont="1" applyFill="1" applyBorder="1" applyAlignment="1">
      <alignment horizontal="center" vertical="center"/>
    </xf>
    <xf numFmtId="164" fontId="11" fillId="17" borderId="244" xfId="0" applyNumberFormat="1" applyFont="1" applyFill="1" applyBorder="1" applyAlignment="1">
      <alignment horizontal="center" vertical="center"/>
    </xf>
    <xf numFmtId="164" fontId="11" fillId="17" borderId="246" xfId="0" applyNumberFormat="1" applyFont="1" applyFill="1" applyBorder="1" applyAlignment="1">
      <alignment horizontal="center" vertical="center"/>
    </xf>
    <xf numFmtId="3" fontId="7" fillId="17" borderId="4" xfId="0" applyNumberFormat="1" applyFont="1" applyFill="1" applyBorder="1" applyAlignment="1">
      <alignment horizontal="center" vertical="center"/>
    </xf>
    <xf numFmtId="167" fontId="11" fillId="17" borderId="16" xfId="0" applyNumberFormat="1" applyFont="1" applyFill="1" applyBorder="1" applyAlignment="1">
      <alignment horizontal="center" vertical="center"/>
    </xf>
    <xf numFmtId="167" fontId="4" fillId="17" borderId="244" xfId="0" applyNumberFormat="1" applyFont="1" applyFill="1" applyBorder="1" applyAlignment="1">
      <alignment horizontal="center" vertical="center"/>
    </xf>
    <xf numFmtId="167" fontId="4" fillId="17" borderId="246" xfId="0" applyNumberFormat="1" applyFont="1" applyFill="1" applyBorder="1" applyAlignment="1">
      <alignment horizontal="center" vertical="center"/>
    </xf>
    <xf numFmtId="169" fontId="7" fillId="17" borderId="4" xfId="0" applyNumberFormat="1" applyFont="1" applyFill="1" applyBorder="1" applyAlignment="1">
      <alignment horizontal="center" vertical="center"/>
    </xf>
    <xf numFmtId="169" fontId="4" fillId="17" borderId="50" xfId="0" applyNumberFormat="1" applyFont="1" applyFill="1" applyBorder="1" applyAlignment="1">
      <alignment horizontal="center" vertical="center"/>
    </xf>
    <xf numFmtId="168" fontId="4" fillId="17" borderId="20" xfId="0" applyNumberFormat="1" applyFont="1" applyFill="1" applyBorder="1" applyAlignment="1">
      <alignment horizontal="center" vertical="center"/>
    </xf>
    <xf numFmtId="168" fontId="4" fillId="17" borderId="269" xfId="0" applyNumberFormat="1" applyFont="1" applyFill="1" applyBorder="1" applyAlignment="1">
      <alignment horizontal="center" vertical="center"/>
    </xf>
    <xf numFmtId="164" fontId="11" fillId="0" borderId="244" xfId="0" applyNumberFormat="1" applyFont="1" applyBorder="1" applyAlignment="1">
      <alignment horizontal="center" vertical="center"/>
    </xf>
    <xf numFmtId="1" fontId="7" fillId="0" borderId="245" xfId="0" applyNumberFormat="1" applyFont="1" applyBorder="1" applyAlignment="1">
      <alignment horizontal="center" vertical="center"/>
    </xf>
    <xf numFmtId="0" fontId="41" fillId="0" borderId="4" xfId="0" applyFont="1" applyBorder="1" applyAlignment="1">
      <alignment horizontal="center" vertical="center"/>
    </xf>
    <xf numFmtId="168" fontId="4" fillId="0" borderId="50" xfId="0" applyNumberFormat="1" applyFont="1" applyBorder="1" applyAlignment="1">
      <alignment horizontal="center" vertical="center"/>
    </xf>
    <xf numFmtId="168" fontId="4" fillId="0" borderId="244" xfId="0" applyNumberFormat="1" applyFont="1" applyBorder="1" applyAlignment="1">
      <alignment horizontal="center" vertical="center"/>
    </xf>
    <xf numFmtId="170" fontId="7" fillId="0" borderId="16" xfId="0" applyNumberFormat="1" applyFont="1" applyBorder="1" applyAlignment="1">
      <alignment horizontal="center" vertical="center"/>
    </xf>
    <xf numFmtId="0" fontId="4" fillId="4" borderId="0" xfId="0" applyFont="1" applyFill="1" applyAlignment="1">
      <alignment horizontal="right" vertical="center"/>
    </xf>
    <xf numFmtId="170" fontId="7" fillId="17" borderId="244" xfId="0" applyNumberFormat="1" applyFont="1" applyFill="1" applyBorder="1" applyAlignment="1">
      <alignment horizontal="center" vertical="center"/>
    </xf>
    <xf numFmtId="170" fontId="4" fillId="3" borderId="0" xfId="0" applyNumberFormat="1" applyFont="1" applyFill="1" applyAlignment="1">
      <alignment vertical="center"/>
    </xf>
    <xf numFmtId="170" fontId="7" fillId="17" borderId="50" xfId="0" applyNumberFormat="1" applyFont="1" applyFill="1" applyBorder="1" applyAlignment="1">
      <alignment horizontal="center" vertical="center"/>
    </xf>
    <xf numFmtId="170" fontId="7" fillId="17" borderId="269" xfId="0" applyNumberFormat="1" applyFont="1" applyFill="1" applyBorder="1" applyAlignment="1">
      <alignment horizontal="center" vertical="center"/>
    </xf>
    <xf numFmtId="0" fontId="32" fillId="18" borderId="0" xfId="0" applyFont="1" applyFill="1" applyAlignment="1" applyProtection="1">
      <alignment horizontal="center" vertical="center"/>
      <protection locked="0"/>
    </xf>
    <xf numFmtId="0" fontId="7" fillId="6" borderId="223" xfId="0" applyFont="1" applyFill="1" applyBorder="1" applyAlignment="1">
      <alignment horizontal="centerContinuous" vertical="center"/>
    </xf>
    <xf numFmtId="0" fontId="7" fillId="6" borderId="224" xfId="0" applyFont="1" applyFill="1" applyBorder="1" applyAlignment="1">
      <alignment horizontal="centerContinuous" vertical="center"/>
    </xf>
    <xf numFmtId="0" fontId="7" fillId="10" borderId="223" xfId="0" applyFont="1" applyFill="1" applyBorder="1" applyAlignment="1">
      <alignment horizontal="centerContinuous" vertical="center"/>
    </xf>
    <xf numFmtId="0" fontId="7" fillId="10" borderId="224" xfId="0" applyFont="1" applyFill="1" applyBorder="1" applyAlignment="1">
      <alignment horizontal="centerContinuous" vertical="center"/>
    </xf>
    <xf numFmtId="0" fontId="7" fillId="23" borderId="224" xfId="0" applyFont="1" applyFill="1" applyBorder="1" applyAlignment="1">
      <alignment horizontal="centerContinuous" vertical="center"/>
    </xf>
    <xf numFmtId="2" fontId="7" fillId="17" borderId="258" xfId="0" applyNumberFormat="1" applyFont="1" applyFill="1" applyBorder="1" applyAlignment="1">
      <alignment horizontal="center"/>
    </xf>
    <xf numFmtId="2" fontId="7" fillId="17" borderId="271" xfId="0" applyNumberFormat="1" applyFont="1" applyFill="1" applyBorder="1" applyAlignment="1">
      <alignment horizontal="center"/>
    </xf>
    <xf numFmtId="0" fontId="19" fillId="0" borderId="191" xfId="0" applyFont="1" applyBorder="1" applyAlignment="1" applyProtection="1">
      <alignment horizontal="center" vertical="center"/>
      <protection locked="0"/>
    </xf>
    <xf numFmtId="0" fontId="19" fillId="0" borderId="272" xfId="0" applyFont="1" applyBorder="1" applyAlignment="1" applyProtection="1">
      <alignment horizontal="center" vertical="center"/>
      <protection locked="0"/>
    </xf>
    <xf numFmtId="0" fontId="113" fillId="17" borderId="0" xfId="0" applyFont="1" applyFill="1" applyAlignment="1">
      <alignment vertical="center"/>
    </xf>
    <xf numFmtId="0" fontId="113" fillId="17" borderId="0" xfId="0" applyFont="1" applyFill="1" applyAlignment="1">
      <alignment horizontal="center" vertical="center"/>
    </xf>
    <xf numFmtId="0" fontId="11" fillId="17" borderId="236" xfId="0" applyFont="1" applyFill="1" applyBorder="1" applyAlignment="1">
      <alignment horizontal="right" vertical="center"/>
    </xf>
    <xf numFmtId="0" fontId="4" fillId="8" borderId="272" xfId="0" applyFont="1" applyFill="1" applyBorder="1" applyAlignment="1" applyProtection="1">
      <alignment horizontal="center" vertical="center"/>
      <protection hidden="1"/>
    </xf>
    <xf numFmtId="0" fontId="4" fillId="7" borderId="270" xfId="0" applyFont="1" applyFill="1" applyBorder="1" applyAlignment="1">
      <alignment horizontal="center" vertical="center"/>
    </xf>
    <xf numFmtId="164" fontId="4" fillId="0" borderId="16" xfId="0" applyNumberFormat="1" applyFont="1" applyBorder="1" applyAlignment="1">
      <alignment horizontal="center" vertical="center"/>
    </xf>
    <xf numFmtId="0" fontId="4" fillId="0" borderId="273" xfId="0" applyFont="1" applyBorder="1" applyAlignment="1">
      <alignment horizontal="center" vertical="center"/>
    </xf>
    <xf numFmtId="0" fontId="4" fillId="7" borderId="270" xfId="0" applyFont="1" applyFill="1" applyBorder="1" applyAlignment="1">
      <alignment vertical="center"/>
    </xf>
    <xf numFmtId="0" fontId="4" fillId="0" borderId="274" xfId="0" applyFont="1" applyBorder="1" applyAlignment="1">
      <alignment horizontal="center" vertical="center"/>
    </xf>
    <xf numFmtId="0" fontId="4" fillId="7" borderId="274" xfId="0" applyFont="1" applyFill="1" applyBorder="1" applyAlignment="1">
      <alignment vertical="center"/>
    </xf>
    <xf numFmtId="0" fontId="4" fillId="7" borderId="274" xfId="0" applyFont="1" applyFill="1" applyBorder="1" applyAlignment="1">
      <alignment horizontal="center" vertical="center"/>
    </xf>
    <xf numFmtId="0" fontId="4" fillId="7" borderId="253" xfId="0" applyFont="1" applyFill="1" applyBorder="1" applyAlignment="1">
      <alignment horizontal="center" vertical="center"/>
    </xf>
    <xf numFmtId="0" fontId="7" fillId="0" borderId="0" xfId="0" applyFont="1" applyAlignment="1">
      <alignment vertical="center" wrapText="1"/>
    </xf>
    <xf numFmtId="0" fontId="6" fillId="4" borderId="0" xfId="0" applyFont="1" applyFill="1" applyAlignment="1">
      <alignment horizontal="center" vertical="center"/>
    </xf>
    <xf numFmtId="168" fontId="4" fillId="7" borderId="274" xfId="0" applyNumberFormat="1" applyFont="1" applyFill="1" applyBorder="1" applyAlignment="1">
      <alignment horizontal="center" vertical="center"/>
    </xf>
    <xf numFmtId="169" fontId="4" fillId="7" borderId="274" xfId="0" applyNumberFormat="1" applyFont="1" applyFill="1" applyBorder="1" applyAlignment="1">
      <alignment horizontal="center" vertical="center"/>
    </xf>
    <xf numFmtId="168" fontId="4" fillId="7" borderId="253" xfId="0" applyNumberFormat="1" applyFont="1" applyFill="1" applyBorder="1" applyAlignment="1">
      <alignment horizontal="center" vertical="center"/>
    </xf>
    <xf numFmtId="169" fontId="4" fillId="7" borderId="253" xfId="0" applyNumberFormat="1" applyFont="1" applyFill="1" applyBorder="1" applyAlignment="1">
      <alignment horizontal="center" vertical="center"/>
    </xf>
    <xf numFmtId="168" fontId="4" fillId="7" borderId="270" xfId="0" applyNumberFormat="1" applyFont="1" applyFill="1" applyBorder="1" applyAlignment="1">
      <alignment horizontal="center" vertical="center"/>
    </xf>
    <xf numFmtId="168" fontId="4" fillId="7" borderId="254" xfId="0" applyNumberFormat="1" applyFont="1" applyFill="1" applyBorder="1" applyAlignment="1">
      <alignment horizontal="center" vertical="center"/>
    </xf>
    <xf numFmtId="0" fontId="4" fillId="0" borderId="253" xfId="0" applyFont="1" applyBorder="1" applyAlignment="1">
      <alignment horizontal="center" vertical="center"/>
    </xf>
    <xf numFmtId="0" fontId="4" fillId="7" borderId="12" xfId="0" applyFont="1" applyFill="1" applyBorder="1" applyAlignment="1">
      <alignment horizontal="center" vertical="center"/>
    </xf>
    <xf numFmtId="0" fontId="4" fillId="7" borderId="254" xfId="0" applyFont="1" applyFill="1" applyBorder="1" applyAlignment="1">
      <alignment vertical="center"/>
    </xf>
    <xf numFmtId="168" fontId="4" fillId="7" borderId="258" xfId="0" applyNumberFormat="1" applyFont="1" applyFill="1" applyBorder="1" applyAlignment="1">
      <alignment horizontal="center" vertical="center"/>
    </xf>
    <xf numFmtId="2" fontId="4" fillId="7" borderId="12" xfId="0" applyNumberFormat="1" applyFont="1" applyFill="1" applyBorder="1" applyAlignment="1">
      <alignment horizontal="center" vertical="center"/>
    </xf>
    <xf numFmtId="168" fontId="4" fillId="7" borderId="211" xfId="0" applyNumberFormat="1" applyFont="1" applyFill="1" applyBorder="1" applyAlignment="1">
      <alignment horizontal="center" vertical="center"/>
    </xf>
    <xf numFmtId="169" fontId="4" fillId="7" borderId="12" xfId="0" applyNumberFormat="1" applyFont="1" applyFill="1" applyBorder="1" applyAlignment="1">
      <alignment horizontal="center" vertical="center"/>
    </xf>
    <xf numFmtId="0" fontId="4" fillId="7" borderId="211" xfId="0" applyFont="1" applyFill="1" applyBorder="1" applyAlignment="1">
      <alignment horizontal="center" vertical="center"/>
    </xf>
    <xf numFmtId="0" fontId="4" fillId="7" borderId="0" xfId="0" applyFont="1" applyFill="1" applyAlignment="1">
      <alignment horizontal="center" vertical="center" wrapText="1"/>
    </xf>
    <xf numFmtId="168" fontId="4" fillId="7" borderId="220" xfId="0" applyNumberFormat="1" applyFont="1" applyFill="1" applyBorder="1" applyAlignment="1">
      <alignment horizontal="center" vertical="center"/>
    </xf>
    <xf numFmtId="0" fontId="2" fillId="0" borderId="0" xfId="0" applyFont="1" applyAlignment="1">
      <alignment horizontal="center" vertical="center" wrapText="1"/>
    </xf>
    <xf numFmtId="0" fontId="4" fillId="7" borderId="12" xfId="0" applyFont="1" applyFill="1" applyBorder="1" applyAlignment="1">
      <alignment vertical="center"/>
    </xf>
    <xf numFmtId="168" fontId="4" fillId="7" borderId="223" xfId="0" applyNumberFormat="1" applyFont="1" applyFill="1" applyBorder="1" applyAlignment="1">
      <alignment horizontal="center" vertical="center"/>
    </xf>
    <xf numFmtId="2" fontId="4" fillId="7" borderId="52" xfId="0" applyNumberFormat="1" applyFont="1" applyFill="1" applyBorder="1" applyAlignment="1">
      <alignment horizontal="center" vertical="center"/>
    </xf>
    <xf numFmtId="167" fontId="4" fillId="7" borderId="274" xfId="0" applyNumberFormat="1" applyFont="1" applyFill="1" applyBorder="1" applyAlignment="1">
      <alignment horizontal="center" vertical="center"/>
    </xf>
    <xf numFmtId="167" fontId="4" fillId="7" borderId="12" xfId="0" applyNumberFormat="1" applyFont="1" applyFill="1" applyBorder="1" applyAlignment="1">
      <alignment horizontal="center" vertical="center"/>
    </xf>
    <xf numFmtId="170" fontId="4" fillId="7" borderId="274" xfId="0" applyNumberFormat="1" applyFont="1" applyFill="1" applyBorder="1" applyAlignment="1">
      <alignment horizontal="center" vertical="center"/>
    </xf>
    <xf numFmtId="170" fontId="4" fillId="7" borderId="12" xfId="0" applyNumberFormat="1" applyFont="1" applyFill="1" applyBorder="1" applyAlignment="1">
      <alignment horizontal="center" vertical="center"/>
    </xf>
    <xf numFmtId="0" fontId="13" fillId="7" borderId="0" xfId="0" applyFont="1" applyFill="1" applyAlignment="1">
      <alignment horizontal="center" vertical="center"/>
    </xf>
    <xf numFmtId="167" fontId="4" fillId="7" borderId="258" xfId="0" applyNumberFormat="1" applyFont="1" applyFill="1" applyBorder="1" applyAlignment="1">
      <alignment horizontal="center" vertical="center"/>
    </xf>
    <xf numFmtId="0" fontId="4" fillId="7" borderId="258" xfId="0" applyFont="1" applyFill="1" applyBorder="1" applyAlignment="1">
      <alignment horizontal="center" vertical="center"/>
    </xf>
    <xf numFmtId="0" fontId="4" fillId="0" borderId="258" xfId="0" applyFont="1" applyBorder="1" applyAlignment="1">
      <alignment horizontal="center" vertical="center"/>
    </xf>
    <xf numFmtId="0" fontId="4" fillId="7" borderId="223" xfId="0" applyFont="1" applyFill="1" applyBorder="1" applyAlignment="1">
      <alignment horizontal="center" vertical="center"/>
    </xf>
    <xf numFmtId="0" fontId="4" fillId="0" borderId="9" xfId="0" applyFont="1" applyBorder="1" applyAlignment="1">
      <alignment horizontal="right" vertical="center"/>
    </xf>
    <xf numFmtId="0" fontId="4" fillId="7" borderId="4" xfId="0" applyFont="1" applyFill="1" applyBorder="1" applyAlignment="1">
      <alignment horizontal="center" vertical="center"/>
    </xf>
    <xf numFmtId="0" fontId="49" fillId="0" borderId="274" xfId="0" applyFont="1" applyBorder="1" applyAlignment="1">
      <alignment horizontal="center" vertical="center"/>
    </xf>
    <xf numFmtId="164" fontId="7" fillId="17" borderId="225" xfId="0" applyNumberFormat="1" applyFont="1" applyFill="1" applyBorder="1" applyAlignment="1">
      <alignment horizontal="center" vertical="center"/>
    </xf>
    <xf numFmtId="164" fontId="7" fillId="17" borderId="253" xfId="0" applyNumberFormat="1" applyFont="1" applyFill="1" applyBorder="1" applyAlignment="1">
      <alignment horizontal="center" vertical="center"/>
    </xf>
    <xf numFmtId="0" fontId="122" fillId="0" borderId="12" xfId="0" applyFont="1" applyBorder="1" applyAlignment="1">
      <alignment horizontal="center" vertical="center"/>
    </xf>
    <xf numFmtId="0" fontId="7" fillId="6" borderId="275" xfId="0" applyFont="1" applyFill="1" applyBorder="1" applyAlignment="1">
      <alignment horizontal="center" vertical="center" wrapText="1"/>
    </xf>
    <xf numFmtId="2" fontId="4" fillId="17" borderId="276" xfId="0" applyNumberFormat="1" applyFont="1" applyFill="1" applyBorder="1" applyAlignment="1">
      <alignment horizontal="center" vertical="center"/>
    </xf>
    <xf numFmtId="0" fontId="122" fillId="0" borderId="0" xfId="0" applyFont="1" applyAlignment="1">
      <alignment horizontal="center" vertical="center"/>
    </xf>
    <xf numFmtId="167" fontId="4" fillId="7" borderId="0" xfId="0" applyNumberFormat="1" applyFont="1" applyFill="1" applyAlignment="1">
      <alignment horizontal="center" vertical="center"/>
    </xf>
    <xf numFmtId="0" fontId="99" fillId="0" borderId="277" xfId="0" applyFont="1" applyBorder="1" applyAlignment="1">
      <alignment horizontal="center" vertical="center"/>
    </xf>
    <xf numFmtId="0" fontId="11" fillId="17" borderId="0" xfId="0" applyFont="1" applyFill="1" applyAlignment="1">
      <alignment horizontal="right" vertical="center"/>
    </xf>
    <xf numFmtId="168" fontId="4" fillId="17" borderId="162" xfId="0" applyNumberFormat="1" applyFont="1" applyFill="1" applyBorder="1" applyAlignment="1">
      <alignment horizontal="center" vertical="center"/>
    </xf>
    <xf numFmtId="168" fontId="4" fillId="17" borderId="113" xfId="0" applyNumberFormat="1" applyFont="1" applyFill="1" applyBorder="1" applyAlignment="1">
      <alignment horizontal="center" vertical="center"/>
    </xf>
    <xf numFmtId="0" fontId="4" fillId="17" borderId="279" xfId="0" applyFont="1" applyFill="1" applyBorder="1" applyAlignment="1">
      <alignment horizontal="center"/>
    </xf>
    <xf numFmtId="0" fontId="4" fillId="17" borderId="279" xfId="0" applyFont="1" applyFill="1" applyBorder="1" applyAlignment="1">
      <alignment horizontal="center" vertical="center"/>
    </xf>
    <xf numFmtId="0" fontId="75" fillId="18" borderId="0" xfId="0" applyFont="1" applyFill="1"/>
    <xf numFmtId="0" fontId="7" fillId="2" borderId="0" xfId="0" applyFont="1" applyFill="1" applyAlignment="1">
      <alignment horizontal="left" vertical="center"/>
    </xf>
    <xf numFmtId="0" fontId="75" fillId="18" borderId="0" xfId="0" applyFont="1" applyFill="1" applyAlignment="1">
      <alignment horizontal="right" vertical="center"/>
    </xf>
    <xf numFmtId="0" fontId="75" fillId="18" borderId="0" xfId="0" applyFont="1" applyFill="1" applyAlignment="1">
      <alignment horizontal="left" vertical="center"/>
    </xf>
    <xf numFmtId="0" fontId="0" fillId="17" borderId="0" xfId="0" applyFill="1" applyProtection="1">
      <protection locked="0"/>
    </xf>
    <xf numFmtId="170" fontId="4" fillId="17" borderId="40" xfId="0" applyNumberFormat="1" applyFont="1" applyFill="1" applyBorder="1" applyAlignment="1">
      <alignment horizontal="center" vertical="center"/>
    </xf>
    <xf numFmtId="0" fontId="7" fillId="17" borderId="279" xfId="0" applyFont="1" applyFill="1" applyBorder="1" applyAlignment="1">
      <alignment horizontal="center" vertical="center"/>
    </xf>
    <xf numFmtId="0" fontId="90" fillId="7" borderId="278" xfId="0" applyFont="1" applyFill="1" applyBorder="1" applyAlignment="1" applyProtection="1">
      <alignment horizontal="center" vertical="center"/>
      <protection locked="0"/>
    </xf>
    <xf numFmtId="0" fontId="90" fillId="17" borderId="279" xfId="0" applyFont="1" applyFill="1" applyBorder="1" applyAlignment="1" applyProtection="1">
      <alignment horizontal="center" vertical="center"/>
      <protection locked="0"/>
    </xf>
    <xf numFmtId="0" fontId="7" fillId="0" borderId="279" xfId="0" applyFont="1" applyBorder="1" applyAlignment="1">
      <alignment horizontal="center" vertical="center"/>
    </xf>
    <xf numFmtId="0" fontId="7" fillId="8" borderId="279" xfId="0" applyFont="1" applyFill="1" applyBorder="1" applyAlignment="1">
      <alignment horizontal="center" vertical="center"/>
    </xf>
    <xf numFmtId="0" fontId="2" fillId="7" borderId="281" xfId="0" applyFont="1" applyFill="1" applyBorder="1" applyAlignment="1">
      <alignment horizontal="center" vertical="center" wrapText="1"/>
    </xf>
    <xf numFmtId="0" fontId="81" fillId="2" borderId="0" xfId="0" applyFont="1" applyFill="1" applyAlignment="1">
      <alignment horizontal="center" vertical="center"/>
    </xf>
    <xf numFmtId="0" fontId="81" fillId="2" borderId="0" xfId="0" applyFont="1" applyFill="1" applyAlignment="1">
      <alignment horizontal="right" vertical="center"/>
    </xf>
    <xf numFmtId="0" fontId="4" fillId="25" borderId="1" xfId="0" applyFont="1" applyFill="1" applyBorder="1" applyAlignment="1">
      <alignment horizontal="center" vertical="center"/>
    </xf>
    <xf numFmtId="169" fontId="4" fillId="8" borderId="1" xfId="0" applyNumberFormat="1" applyFont="1" applyFill="1" applyBorder="1" applyAlignment="1">
      <alignment horizontal="center" vertical="center"/>
    </xf>
    <xf numFmtId="169" fontId="4" fillId="0" borderId="1" xfId="0" quotePrefix="1" applyNumberFormat="1" applyFont="1" applyBorder="1" applyAlignment="1">
      <alignment horizontal="center" vertical="center"/>
    </xf>
    <xf numFmtId="0" fontId="4" fillId="0" borderId="282" xfId="0" applyFont="1" applyBorder="1" applyAlignment="1">
      <alignment horizontal="center" vertical="center"/>
    </xf>
    <xf numFmtId="0" fontId="12" fillId="0" borderId="0" xfId="0" applyFont="1" applyAlignment="1" applyProtection="1">
      <alignment horizontal="center" vertical="center"/>
      <protection locked="0" hidden="1"/>
    </xf>
    <xf numFmtId="0" fontId="140" fillId="0" borderId="0" xfId="0" applyFont="1" applyAlignment="1" applyProtection="1">
      <alignment vertical="center"/>
      <protection hidden="1"/>
    </xf>
    <xf numFmtId="0" fontId="4" fillId="0" borderId="283" xfId="0" applyFont="1" applyBorder="1" applyAlignment="1">
      <alignment horizontal="center" vertical="center"/>
    </xf>
    <xf numFmtId="49" fontId="72" fillId="6" borderId="52" xfId="0" applyNumberFormat="1" applyFont="1" applyFill="1" applyBorder="1" applyAlignment="1">
      <alignment horizontal="center" vertical="center" wrapText="1"/>
    </xf>
    <xf numFmtId="169" fontId="4" fillId="0" borderId="284" xfId="0" applyNumberFormat="1" applyFont="1" applyBorder="1" applyAlignment="1">
      <alignment horizontal="center" vertical="center"/>
    </xf>
    <xf numFmtId="169" fontId="4" fillId="8" borderId="284" xfId="0" applyNumberFormat="1" applyFont="1" applyFill="1" applyBorder="1" applyAlignment="1">
      <alignment horizontal="center" vertical="center"/>
    </xf>
    <xf numFmtId="0" fontId="7" fillId="32" borderId="285" xfId="0" applyFont="1" applyFill="1" applyBorder="1" applyAlignment="1">
      <alignment horizontal="center" vertical="center" textRotation="90" wrapText="1"/>
    </xf>
    <xf numFmtId="0" fontId="199" fillId="18" borderId="0" xfId="0" applyFont="1" applyFill="1"/>
    <xf numFmtId="0" fontId="75" fillId="17" borderId="9" xfId="0" applyFont="1" applyFill="1" applyBorder="1" applyAlignment="1">
      <alignment horizontal="left" vertical="center" wrapText="1"/>
    </xf>
    <xf numFmtId="1" fontId="4" fillId="17" borderId="287" xfId="0" applyNumberFormat="1" applyFont="1" applyFill="1" applyBorder="1" applyAlignment="1">
      <alignment horizontal="center" vertical="center"/>
    </xf>
    <xf numFmtId="0" fontId="0" fillId="17" borderId="9" xfId="0" applyFill="1" applyBorder="1" applyAlignment="1">
      <alignment vertical="center"/>
    </xf>
    <xf numFmtId="0" fontId="7" fillId="0" borderId="253" xfId="0" applyFont="1" applyBorder="1" applyAlignment="1">
      <alignment horizontal="centerContinuous" vertical="center"/>
    </xf>
    <xf numFmtId="0" fontId="101" fillId="17" borderId="78" xfId="0" applyFont="1" applyFill="1" applyBorder="1" applyAlignment="1">
      <alignment horizontal="left" vertical="center"/>
    </xf>
    <xf numFmtId="0" fontId="101" fillId="17" borderId="51" xfId="0" applyFont="1" applyFill="1" applyBorder="1" applyAlignment="1">
      <alignment horizontal="left" vertical="center"/>
    </xf>
    <xf numFmtId="0" fontId="122" fillId="7" borderId="288" xfId="0" applyFont="1" applyFill="1" applyBorder="1" applyAlignment="1">
      <alignment horizontal="center" vertical="center"/>
    </xf>
    <xf numFmtId="0" fontId="4" fillId="0" borderId="289" xfId="0" applyFont="1" applyBorder="1" applyAlignment="1">
      <alignment horizontal="center" vertical="center"/>
    </xf>
    <xf numFmtId="0" fontId="7" fillId="6" borderId="52" xfId="0" applyFont="1" applyFill="1" applyBorder="1" applyAlignment="1">
      <alignment horizontal="center" vertical="center"/>
    </xf>
    <xf numFmtId="0" fontId="7" fillId="6" borderId="59" xfId="0" applyFont="1" applyFill="1" applyBorder="1" applyAlignment="1">
      <alignment horizontal="center" vertical="center"/>
    </xf>
    <xf numFmtId="0" fontId="7" fillId="6" borderId="6" xfId="0" applyFont="1" applyFill="1" applyBorder="1" applyAlignment="1">
      <alignment horizontal="center" vertical="center"/>
    </xf>
    <xf numFmtId="0" fontId="7" fillId="10" borderId="4" xfId="0" applyFont="1" applyFill="1" applyBorder="1" applyAlignment="1">
      <alignment horizontal="center" vertical="center" wrapText="1"/>
    </xf>
    <xf numFmtId="0" fontId="7" fillId="5" borderId="4" xfId="0" applyFont="1" applyFill="1" applyBorder="1" applyAlignment="1">
      <alignment horizontal="center" vertical="center"/>
    </xf>
    <xf numFmtId="0" fontId="108" fillId="0" borderId="16" xfId="0" applyFont="1" applyBorder="1" applyAlignment="1">
      <alignment horizontal="center" vertical="center" wrapText="1"/>
    </xf>
    <xf numFmtId="0" fontId="0" fillId="17" borderId="4" xfId="0" applyFill="1" applyBorder="1"/>
    <xf numFmtId="0" fontId="4" fillId="0" borderId="97" xfId="0" applyFont="1" applyBorder="1" applyAlignment="1">
      <alignment horizontal="center" vertical="center"/>
    </xf>
    <xf numFmtId="0" fontId="7" fillId="0" borderId="16" xfId="0" applyFont="1" applyBorder="1" applyAlignment="1">
      <alignment horizontal="center"/>
    </xf>
    <xf numFmtId="169" fontId="7" fillId="0" borderId="163" xfId="0" applyNumberFormat="1" applyFont="1" applyBorder="1" applyAlignment="1">
      <alignment horizontal="center"/>
    </xf>
    <xf numFmtId="169" fontId="7" fillId="0" borderId="20" xfId="0" applyNumberFormat="1" applyFont="1" applyBorder="1" applyAlignment="1">
      <alignment horizontal="center" vertical="center"/>
    </xf>
    <xf numFmtId="0" fontId="7" fillId="0" borderId="38" xfId="0" applyFont="1" applyBorder="1" applyAlignment="1">
      <alignment horizontal="left" vertical="center"/>
    </xf>
    <xf numFmtId="0" fontId="7" fillId="0" borderId="40" xfId="0" applyFont="1" applyBorder="1" applyAlignment="1">
      <alignment horizontal="left" vertical="center"/>
    </xf>
    <xf numFmtId="0" fontId="7" fillId="0" borderId="2" xfId="0" applyFont="1" applyBorder="1" applyAlignment="1">
      <alignment horizontal="left" vertical="center"/>
    </xf>
    <xf numFmtId="0" fontId="7" fillId="0" borderId="2" xfId="0" applyFont="1" applyBorder="1" applyAlignment="1">
      <alignment vertical="center"/>
    </xf>
    <xf numFmtId="0" fontId="4" fillId="0" borderId="2" xfId="0" applyFont="1" applyBorder="1" applyAlignment="1">
      <alignment horizontal="left" vertical="center"/>
    </xf>
    <xf numFmtId="3" fontId="4" fillId="0" borderId="0" xfId="0" applyNumberFormat="1" applyFont="1" applyAlignment="1">
      <alignment horizontal="center" vertical="center"/>
    </xf>
    <xf numFmtId="0" fontId="4" fillId="0" borderId="3" xfId="0" applyFont="1" applyBorder="1" applyAlignment="1">
      <alignment horizontal="left" vertical="center"/>
    </xf>
    <xf numFmtId="0" fontId="4" fillId="0" borderId="47" xfId="0" applyFont="1" applyBorder="1" applyAlignment="1">
      <alignment horizontal="left" vertical="center"/>
    </xf>
    <xf numFmtId="2" fontId="4" fillId="0" borderId="253" xfId="0" applyNumberFormat="1" applyFont="1" applyBorder="1" applyAlignment="1">
      <alignment horizontal="center" vertical="center"/>
    </xf>
    <xf numFmtId="2" fontId="4" fillId="8" borderId="253" xfId="0" applyNumberFormat="1" applyFont="1" applyFill="1" applyBorder="1" applyAlignment="1">
      <alignment horizontal="center" vertical="center"/>
    </xf>
    <xf numFmtId="0" fontId="4" fillId="17" borderId="253" xfId="0" applyFont="1" applyFill="1" applyBorder="1" applyAlignment="1">
      <alignment horizontal="center" vertical="center"/>
    </xf>
    <xf numFmtId="2" fontId="4" fillId="0" borderId="254" xfId="0" applyNumberFormat="1" applyFont="1" applyBorder="1" applyAlignment="1">
      <alignment horizontal="center" vertical="center"/>
    </xf>
    <xf numFmtId="2" fontId="4" fillId="8" borderId="254" xfId="0" applyNumberFormat="1" applyFont="1" applyFill="1" applyBorder="1" applyAlignment="1">
      <alignment horizontal="center" vertical="center"/>
    </xf>
    <xf numFmtId="0" fontId="7" fillId="32" borderId="254" xfId="0" applyFont="1" applyFill="1" applyBorder="1" applyAlignment="1">
      <alignment horizontal="center" vertical="center" textRotation="90" wrapText="1"/>
    </xf>
    <xf numFmtId="0" fontId="4" fillId="8" borderId="253" xfId="0" applyFont="1" applyFill="1" applyBorder="1" applyAlignment="1">
      <alignment horizontal="center" vertical="center"/>
    </xf>
    <xf numFmtId="0" fontId="4" fillId="8" borderId="254" xfId="0" applyFont="1" applyFill="1" applyBorder="1" applyAlignment="1">
      <alignment horizontal="center" vertical="center"/>
    </xf>
    <xf numFmtId="0" fontId="7" fillId="32" borderId="220" xfId="0" applyFont="1" applyFill="1" applyBorder="1" applyAlignment="1">
      <alignment horizontal="center" vertical="center" textRotation="90" wrapText="1"/>
    </xf>
    <xf numFmtId="2" fontId="4" fillId="0" borderId="220" xfId="0" applyNumberFormat="1" applyFont="1" applyBorder="1" applyAlignment="1">
      <alignment horizontal="center" vertical="center"/>
    </xf>
    <xf numFmtId="2" fontId="4" fillId="8" borderId="220" xfId="0" applyNumberFormat="1" applyFont="1" applyFill="1" applyBorder="1" applyAlignment="1">
      <alignment horizontal="center" vertical="center"/>
    </xf>
    <xf numFmtId="0" fontId="4" fillId="8" borderId="220" xfId="0" applyFont="1" applyFill="1" applyBorder="1" applyAlignment="1">
      <alignment horizontal="center" vertical="center"/>
    </xf>
    <xf numFmtId="0" fontId="7" fillId="6" borderId="290" xfId="0" applyFont="1" applyFill="1" applyBorder="1" applyAlignment="1">
      <alignment horizontal="left" vertical="center" wrapText="1"/>
    </xf>
    <xf numFmtId="2" fontId="4" fillId="17" borderId="220" xfId="0" applyNumberFormat="1" applyFont="1" applyFill="1" applyBorder="1" applyAlignment="1">
      <alignment horizontal="center" vertical="center"/>
    </xf>
    <xf numFmtId="1" fontId="4" fillId="0" borderId="254" xfId="0" applyNumberFormat="1" applyFont="1" applyBorder="1" applyAlignment="1">
      <alignment vertical="center"/>
    </xf>
    <xf numFmtId="1" fontId="4" fillId="8" borderId="254" xfId="0" applyNumberFormat="1" applyFont="1" applyFill="1" applyBorder="1" applyAlignment="1">
      <alignment vertical="center"/>
    </xf>
    <xf numFmtId="1" fontId="4" fillId="0" borderId="253" xfId="0" applyNumberFormat="1" applyFont="1" applyBorder="1" applyAlignment="1">
      <alignment horizontal="center" vertical="center"/>
    </xf>
    <xf numFmtId="1" fontId="4" fillId="0" borderId="254" xfId="0" applyNumberFormat="1" applyFont="1" applyBorder="1" applyAlignment="1">
      <alignment horizontal="center" vertical="center"/>
    </xf>
    <xf numFmtId="1" fontId="4" fillId="8" borderId="253" xfId="0" applyNumberFormat="1" applyFont="1" applyFill="1" applyBorder="1" applyAlignment="1">
      <alignment horizontal="center" vertical="center"/>
    </xf>
    <xf numFmtId="1" fontId="4" fillId="8" borderId="254" xfId="0" applyNumberFormat="1" applyFont="1" applyFill="1" applyBorder="1" applyAlignment="1">
      <alignment horizontal="center" vertical="center"/>
    </xf>
    <xf numFmtId="169" fontId="4" fillId="0" borderId="254" xfId="0" applyNumberFormat="1" applyFont="1" applyBorder="1" applyAlignment="1">
      <alignment horizontal="center" vertical="center"/>
    </xf>
    <xf numFmtId="169" fontId="4" fillId="8" borderId="254" xfId="0" applyNumberFormat="1" applyFont="1" applyFill="1" applyBorder="1" applyAlignment="1">
      <alignment horizontal="center" vertical="center"/>
    </xf>
    <xf numFmtId="169" fontId="4" fillId="17" borderId="254" xfId="0" applyNumberFormat="1" applyFont="1" applyFill="1" applyBorder="1" applyAlignment="1">
      <alignment horizontal="center" vertical="center"/>
    </xf>
    <xf numFmtId="3" fontId="4" fillId="8" borderId="253" xfId="0" applyNumberFormat="1" applyFont="1" applyFill="1" applyBorder="1" applyAlignment="1">
      <alignment horizontal="center" vertical="center"/>
    </xf>
    <xf numFmtId="3" fontId="4" fillId="8" borderId="254" xfId="0" applyNumberFormat="1" applyFont="1" applyFill="1" applyBorder="1" applyAlignment="1">
      <alignment horizontal="center" vertical="center"/>
    </xf>
    <xf numFmtId="3" fontId="4" fillId="0" borderId="254" xfId="0" applyNumberFormat="1" applyFont="1" applyBorder="1" applyAlignment="1">
      <alignment horizontal="center" vertical="center"/>
    </xf>
    <xf numFmtId="0" fontId="4" fillId="17" borderId="254" xfId="0" applyFont="1" applyFill="1" applyBorder="1" applyAlignment="1">
      <alignment horizontal="center" vertical="center"/>
    </xf>
    <xf numFmtId="3" fontId="4" fillId="10" borderId="254" xfId="0" applyNumberFormat="1" applyFont="1" applyFill="1" applyBorder="1" applyAlignment="1" applyProtection="1">
      <alignment horizontal="center" vertical="center"/>
      <protection locked="0"/>
    </xf>
    <xf numFmtId="1" fontId="4" fillId="0" borderId="220" xfId="0" applyNumberFormat="1" applyFont="1" applyBorder="1" applyAlignment="1">
      <alignment horizontal="center" vertical="center"/>
    </xf>
    <xf numFmtId="1" fontId="4" fillId="0" borderId="254" xfId="0" applyNumberFormat="1" applyFont="1" applyBorder="1" applyAlignment="1">
      <alignment horizontal="left" vertical="center"/>
    </xf>
    <xf numFmtId="1" fontId="4" fillId="8" borderId="254" xfId="0" applyNumberFormat="1" applyFont="1" applyFill="1" applyBorder="1" applyAlignment="1">
      <alignment horizontal="left" vertical="center"/>
    </xf>
    <xf numFmtId="0" fontId="6" fillId="0" borderId="0" xfId="0" applyFont="1" applyAlignment="1">
      <alignment horizontal="left" vertical="center"/>
    </xf>
    <xf numFmtId="0" fontId="7" fillId="32" borderId="253" xfId="0" applyFont="1" applyFill="1" applyBorder="1" applyAlignment="1">
      <alignment horizontal="center" vertical="center" textRotation="90" wrapText="1"/>
    </xf>
    <xf numFmtId="1" fontId="4" fillId="0" borderId="209" xfId="0" applyNumberFormat="1" applyFont="1" applyBorder="1" applyAlignment="1">
      <alignment horizontal="center" vertical="center"/>
    </xf>
    <xf numFmtId="1" fontId="4" fillId="0" borderId="211" xfId="0" applyNumberFormat="1" applyFont="1" applyBorder="1" applyAlignment="1">
      <alignment horizontal="center" vertical="center"/>
    </xf>
    <xf numFmtId="0" fontId="0" fillId="0" borderId="0" xfId="0" applyAlignment="1">
      <alignment horizontal="left" vertical="center"/>
    </xf>
    <xf numFmtId="0" fontId="0" fillId="0" borderId="0" xfId="0" applyAlignment="1">
      <alignment horizontal="right" vertical="center"/>
    </xf>
    <xf numFmtId="0" fontId="7" fillId="10" borderId="291" xfId="0" applyFont="1" applyFill="1" applyBorder="1" applyAlignment="1">
      <alignment horizontal="right" vertical="center"/>
    </xf>
    <xf numFmtId="0" fontId="7" fillId="10" borderId="291" xfId="0" applyFont="1" applyFill="1" applyBorder="1" applyAlignment="1">
      <alignment horizontal="left" vertical="center"/>
    </xf>
    <xf numFmtId="0" fontId="4" fillId="0" borderId="275" xfId="0" applyFont="1" applyBorder="1" applyAlignment="1">
      <alignment horizontal="left" vertical="center"/>
    </xf>
    <xf numFmtId="1" fontId="4" fillId="0" borderId="173" xfId="0" applyNumberFormat="1" applyFont="1" applyBorder="1" applyAlignment="1">
      <alignment horizontal="center" vertical="center"/>
    </xf>
    <xf numFmtId="1" fontId="4" fillId="0" borderId="284" xfId="0" applyNumberFormat="1" applyFont="1" applyBorder="1" applyAlignment="1">
      <alignment horizontal="center" vertical="center"/>
    </xf>
    <xf numFmtId="1" fontId="4" fillId="8" borderId="284" xfId="0" applyNumberFormat="1" applyFont="1" applyFill="1" applyBorder="1" applyAlignment="1">
      <alignment horizontal="center" vertical="center"/>
    </xf>
    <xf numFmtId="0" fontId="7" fillId="32" borderId="292" xfId="0" applyFont="1" applyFill="1" applyBorder="1" applyAlignment="1">
      <alignment horizontal="center" vertical="center" textRotation="90" wrapText="1"/>
    </xf>
    <xf numFmtId="0" fontId="7" fillId="10" borderId="291" xfId="0" applyFont="1" applyFill="1" applyBorder="1" applyAlignment="1">
      <alignment horizontal="centerContinuous" vertical="center"/>
    </xf>
    <xf numFmtId="0" fontId="7" fillId="10" borderId="291" xfId="0" applyFont="1" applyFill="1" applyBorder="1" applyAlignment="1">
      <alignment vertical="center"/>
    </xf>
    <xf numFmtId="0" fontId="4" fillId="0" borderId="0" xfId="0" applyFont="1"/>
    <xf numFmtId="0" fontId="4" fillId="0" borderId="0" xfId="0" applyFont="1" applyAlignment="1">
      <alignment horizontal="center"/>
    </xf>
    <xf numFmtId="0" fontId="7" fillId="6" borderId="258" xfId="0" applyFont="1" applyFill="1" applyBorder="1" applyAlignment="1" applyProtection="1">
      <alignment horizontal="left" vertical="center" wrapText="1"/>
      <protection hidden="1"/>
    </xf>
    <xf numFmtId="0" fontId="4" fillId="8" borderId="292" xfId="0" applyFont="1" applyFill="1" applyBorder="1" applyAlignment="1" applyProtection="1">
      <alignment horizontal="center" vertical="center" wrapText="1"/>
      <protection hidden="1"/>
    </xf>
    <xf numFmtId="0" fontId="4" fillId="8" borderId="291" xfId="0" applyFont="1" applyFill="1" applyBorder="1" applyAlignment="1" applyProtection="1">
      <alignment horizontal="center" vertical="center" wrapText="1"/>
      <protection hidden="1"/>
    </xf>
    <xf numFmtId="0" fontId="4" fillId="8" borderId="254" xfId="0" applyFont="1" applyFill="1" applyBorder="1" applyAlignment="1" applyProtection="1">
      <alignment horizontal="center" vertical="center" wrapText="1"/>
      <protection hidden="1"/>
    </xf>
    <xf numFmtId="0" fontId="7" fillId="6" borderId="293" xfId="0" applyFont="1" applyFill="1" applyBorder="1" applyAlignment="1" applyProtection="1">
      <alignment horizontal="left" vertical="center" wrapText="1"/>
      <protection hidden="1"/>
    </xf>
    <xf numFmtId="0" fontId="12" fillId="17" borderId="0" xfId="0" applyFont="1" applyFill="1" applyAlignment="1" applyProtection="1">
      <alignment horizontal="left" vertical="center" wrapText="1"/>
      <protection locked="0" hidden="1"/>
    </xf>
    <xf numFmtId="0" fontId="7" fillId="0" borderId="258" xfId="0" applyFont="1" applyBorder="1" applyAlignment="1">
      <alignment horizontal="centerContinuous" vertical="center"/>
    </xf>
    <xf numFmtId="0" fontId="7" fillId="0" borderId="291" xfId="0" applyFont="1" applyBorder="1" applyAlignment="1">
      <alignment horizontal="centerContinuous" vertical="center"/>
    </xf>
    <xf numFmtId="0" fontId="12" fillId="8" borderId="293" xfId="0" applyFont="1" applyFill="1" applyBorder="1" applyAlignment="1" applyProtection="1">
      <alignment horizontal="left" vertical="top"/>
      <protection hidden="1"/>
    </xf>
    <xf numFmtId="0" fontId="7" fillId="0" borderId="294" xfId="0" applyFont="1" applyBorder="1" applyAlignment="1">
      <alignment horizontal="center" vertical="center"/>
    </xf>
    <xf numFmtId="0" fontId="7" fillId="8" borderId="294" xfId="0" applyFont="1" applyFill="1" applyBorder="1" applyAlignment="1">
      <alignment horizontal="center" vertical="center"/>
    </xf>
    <xf numFmtId="0" fontId="4" fillId="0" borderId="294" xfId="0" applyFont="1" applyBorder="1" applyAlignment="1">
      <alignment horizontal="center" vertical="center"/>
    </xf>
    <xf numFmtId="0" fontId="7" fillId="8" borderId="227" xfId="0" applyFont="1" applyFill="1" applyBorder="1" applyAlignment="1">
      <alignment horizontal="center" vertical="center"/>
    </xf>
    <xf numFmtId="0" fontId="4" fillId="0" borderId="294" xfId="0" applyFont="1" applyBorder="1" applyAlignment="1">
      <alignment horizontal="left" vertical="center"/>
    </xf>
    <xf numFmtId="1" fontId="4" fillId="0" borderId="292" xfId="0" applyNumberFormat="1" applyFont="1" applyBorder="1" applyAlignment="1">
      <alignment horizontal="center" vertical="center"/>
    </xf>
    <xf numFmtId="2" fontId="4" fillId="8" borderId="292" xfId="0" applyNumberFormat="1" applyFont="1" applyFill="1" applyBorder="1" applyAlignment="1">
      <alignment horizontal="center" vertical="center"/>
    </xf>
    <xf numFmtId="3" fontId="4" fillId="8" borderId="294" xfId="0" applyNumberFormat="1" applyFont="1" applyFill="1" applyBorder="1" applyAlignment="1">
      <alignment horizontal="center" vertical="center"/>
    </xf>
    <xf numFmtId="0" fontId="4" fillId="8" borderId="294" xfId="0" applyFont="1" applyFill="1" applyBorder="1" applyAlignment="1">
      <alignment horizontal="left" vertical="center"/>
    </xf>
    <xf numFmtId="0" fontId="4" fillId="8" borderId="294" xfId="0" applyFont="1" applyFill="1" applyBorder="1" applyAlignment="1">
      <alignment horizontal="center" vertical="center"/>
    </xf>
    <xf numFmtId="0" fontId="4" fillId="8" borderId="294" xfId="0" applyFont="1" applyFill="1" applyBorder="1" applyAlignment="1">
      <alignment horizontal="right" vertical="center"/>
    </xf>
    <xf numFmtId="0" fontId="4" fillId="25" borderId="294" xfId="0" applyFont="1" applyFill="1" applyBorder="1" applyAlignment="1">
      <alignment horizontal="center" vertical="center"/>
    </xf>
    <xf numFmtId="169" fontId="4" fillId="8" borderId="294" xfId="0" applyNumberFormat="1" applyFont="1" applyFill="1" applyBorder="1" applyAlignment="1">
      <alignment horizontal="center" vertical="center"/>
    </xf>
    <xf numFmtId="0" fontId="7" fillId="0" borderId="295" xfId="0" applyFont="1" applyBorder="1" applyAlignment="1">
      <alignment horizontal="centerContinuous" vertical="center"/>
    </xf>
    <xf numFmtId="0" fontId="12" fillId="12" borderId="38" xfId="0" applyFont="1" applyFill="1" applyBorder="1" applyAlignment="1" applyProtection="1">
      <alignment horizontal="center" vertical="center"/>
      <protection hidden="1"/>
    </xf>
    <xf numFmtId="0" fontId="12" fillId="12" borderId="58" xfId="0" applyFont="1" applyFill="1" applyBorder="1" applyAlignment="1" applyProtection="1">
      <alignment horizontal="center" vertical="center" wrapText="1"/>
      <protection hidden="1"/>
    </xf>
    <xf numFmtId="1" fontId="12" fillId="12" borderId="2" xfId="0" applyNumberFormat="1" applyFont="1" applyFill="1" applyBorder="1" applyAlignment="1" applyProtection="1">
      <alignment horizontal="center" vertical="center"/>
      <protection hidden="1"/>
    </xf>
    <xf numFmtId="0" fontId="12" fillId="12" borderId="2" xfId="0" applyFont="1" applyFill="1" applyBorder="1" applyAlignment="1" applyProtection="1">
      <alignment horizontal="center" vertical="center"/>
      <protection hidden="1"/>
    </xf>
    <xf numFmtId="0" fontId="201" fillId="2" borderId="0" xfId="0" applyFont="1" applyFill="1" applyAlignment="1">
      <alignment horizontal="right" vertical="center"/>
    </xf>
    <xf numFmtId="0" fontId="7" fillId="7" borderId="12" xfId="0" applyFont="1" applyFill="1" applyBorder="1" applyAlignment="1">
      <alignment horizontal="center" vertical="center"/>
    </xf>
    <xf numFmtId="1" fontId="4" fillId="0" borderId="97" xfId="0" applyNumberFormat="1" applyFont="1" applyBorder="1" applyAlignment="1">
      <alignment horizontal="center" vertical="center"/>
    </xf>
    <xf numFmtId="169" fontId="7" fillId="10" borderId="291" xfId="0" applyNumberFormat="1" applyFont="1" applyFill="1" applyBorder="1" applyAlignment="1">
      <alignment horizontal="centerContinuous" vertical="center"/>
    </xf>
    <xf numFmtId="169" fontId="0" fillId="0" borderId="0" xfId="0" applyNumberFormat="1" applyAlignment="1">
      <alignment horizontal="center" vertical="center"/>
    </xf>
    <xf numFmtId="0" fontId="4" fillId="7" borderId="297" xfId="0" applyFont="1" applyFill="1" applyBorder="1" applyAlignment="1">
      <alignment horizontal="right" vertical="center"/>
    </xf>
    <xf numFmtId="0" fontId="4" fillId="7" borderId="297" xfId="0" applyFont="1" applyFill="1" applyBorder="1" applyAlignment="1">
      <alignment horizontal="center" vertical="center"/>
    </xf>
    <xf numFmtId="0" fontId="4" fillId="0" borderId="298" xfId="0" applyFont="1" applyBorder="1" applyAlignment="1">
      <alignment horizontal="left" vertical="center"/>
    </xf>
    <xf numFmtId="0" fontId="4" fillId="0" borderId="298" xfId="0" applyFont="1" applyBorder="1" applyAlignment="1">
      <alignment horizontal="center" vertical="center" wrapText="1"/>
    </xf>
    <xf numFmtId="0" fontId="4" fillId="0" borderId="298" xfId="0" applyFont="1" applyBorder="1" applyAlignment="1">
      <alignment horizontal="center" vertical="center"/>
    </xf>
    <xf numFmtId="170" fontId="4" fillId="0" borderId="253" xfId="0" applyNumberFormat="1" applyFont="1" applyBorder="1" applyAlignment="1">
      <alignment horizontal="center" vertical="center"/>
    </xf>
    <xf numFmtId="3" fontId="4" fillId="8" borderId="299" xfId="0" applyNumberFormat="1" applyFont="1" applyFill="1" applyBorder="1" applyAlignment="1">
      <alignment horizontal="center" vertical="center"/>
    </xf>
    <xf numFmtId="164" fontId="4" fillId="0" borderId="253" xfId="0" applyNumberFormat="1" applyFont="1" applyBorder="1" applyAlignment="1">
      <alignment horizontal="center" vertical="center"/>
    </xf>
    <xf numFmtId="170" fontId="4" fillId="8" borderId="253" xfId="0" applyNumberFormat="1" applyFont="1" applyFill="1" applyBorder="1" applyAlignment="1">
      <alignment horizontal="center" vertical="center"/>
    </xf>
    <xf numFmtId="170" fontId="4" fillId="8" borderId="294" xfId="0" applyNumberFormat="1" applyFont="1" applyFill="1" applyBorder="1" applyAlignment="1">
      <alignment horizontal="center" vertical="center"/>
    </xf>
    <xf numFmtId="1" fontId="4" fillId="8" borderId="292" xfId="0" applyNumberFormat="1" applyFont="1" applyFill="1" applyBorder="1" applyAlignment="1">
      <alignment horizontal="center" vertical="center"/>
    </xf>
    <xf numFmtId="1" fontId="4" fillId="10" borderId="253" xfId="0" applyNumberFormat="1" applyFont="1" applyFill="1" applyBorder="1" applyAlignment="1" applyProtection="1">
      <alignment horizontal="center" vertical="center"/>
      <protection locked="0"/>
    </xf>
    <xf numFmtId="1" fontId="4" fillId="17" borderId="253" xfId="0" applyNumberFormat="1" applyFont="1" applyFill="1" applyBorder="1" applyAlignment="1">
      <alignment horizontal="center" vertical="center"/>
    </xf>
    <xf numFmtId="0" fontId="14" fillId="0" borderId="106" xfId="0" applyFont="1" applyBorder="1" applyAlignment="1" applyProtection="1">
      <alignment horizontal="center" vertical="center"/>
      <protection locked="0"/>
    </xf>
    <xf numFmtId="0" fontId="12" fillId="0" borderId="298" xfId="0" applyFont="1" applyBorder="1" applyAlignment="1">
      <alignment horizontal="center" vertical="center" wrapText="1"/>
    </xf>
    <xf numFmtId="0" fontId="4" fillId="0" borderId="302" xfId="0" applyFont="1" applyBorder="1" applyAlignment="1">
      <alignment horizontal="left" vertical="center"/>
    </xf>
    <xf numFmtId="0" fontId="4" fillId="0" borderId="302" xfId="0" applyFont="1" applyBorder="1" applyAlignment="1">
      <alignment horizontal="center" vertical="center" wrapText="1"/>
    </xf>
    <xf numFmtId="0" fontId="4" fillId="0" borderId="302" xfId="0" applyFont="1" applyBorder="1" applyAlignment="1">
      <alignment horizontal="center" vertical="center"/>
    </xf>
    <xf numFmtId="0" fontId="4" fillId="7" borderId="3" xfId="0" applyFont="1" applyFill="1" applyBorder="1" applyAlignment="1">
      <alignment horizontal="right" vertical="center"/>
    </xf>
    <xf numFmtId="0" fontId="4" fillId="7" borderId="2" xfId="0" applyFont="1" applyFill="1" applyBorder="1" applyAlignment="1">
      <alignment horizontal="right" vertical="center"/>
    </xf>
    <xf numFmtId="0" fontId="4" fillId="7" borderId="38" xfId="0" applyFont="1" applyFill="1" applyBorder="1" applyAlignment="1">
      <alignment horizontal="right" vertical="center"/>
    </xf>
    <xf numFmtId="14" fontId="4" fillId="7" borderId="302" xfId="0" applyNumberFormat="1" applyFont="1" applyFill="1" applyBorder="1" applyAlignment="1">
      <alignment horizontal="center" vertical="center"/>
    </xf>
    <xf numFmtId="2" fontId="4" fillId="0" borderId="302" xfId="0" applyNumberFormat="1" applyFont="1" applyBorder="1" applyAlignment="1">
      <alignment horizontal="center" vertical="center"/>
    </xf>
    <xf numFmtId="1" fontId="4" fillId="0" borderId="302" xfId="0" applyNumberFormat="1" applyFont="1" applyBorder="1" applyAlignment="1">
      <alignment horizontal="center" vertical="center"/>
    </xf>
    <xf numFmtId="170" fontId="4" fillId="0" borderId="41" xfId="0" applyNumberFormat="1" applyFont="1" applyBorder="1" applyAlignment="1">
      <alignment horizontal="center" vertical="center"/>
    </xf>
    <xf numFmtId="0" fontId="14" fillId="0" borderId="49" xfId="0" applyFont="1" applyBorder="1" applyAlignment="1" applyProtection="1">
      <alignment horizontal="center" vertical="center"/>
      <protection locked="0"/>
    </xf>
    <xf numFmtId="0" fontId="14" fillId="0" borderId="9" xfId="0" applyFont="1" applyBorder="1" applyAlignment="1" applyProtection="1">
      <alignment horizontal="center" vertical="center"/>
      <protection locked="0"/>
    </xf>
    <xf numFmtId="0" fontId="14" fillId="0" borderId="48" xfId="0" applyFont="1" applyBorder="1" applyAlignment="1" applyProtection="1">
      <alignment horizontal="center" vertical="center"/>
      <protection locked="0"/>
    </xf>
    <xf numFmtId="0" fontId="4" fillId="23" borderId="0" xfId="0" applyFont="1" applyFill="1" applyAlignment="1">
      <alignment horizontal="center" vertical="center"/>
    </xf>
    <xf numFmtId="0" fontId="205" fillId="6" borderId="32" xfId="0" applyFont="1" applyFill="1" applyBorder="1" applyAlignment="1" applyProtection="1">
      <alignment horizontal="centerContinuous" vertical="center" wrapText="1"/>
      <protection hidden="1"/>
    </xf>
    <xf numFmtId="0" fontId="56" fillId="6" borderId="32" xfId="0" applyFont="1" applyFill="1" applyBorder="1" applyAlignment="1" applyProtection="1">
      <alignment horizontal="centerContinuous" vertical="center" wrapText="1"/>
      <protection hidden="1"/>
    </xf>
    <xf numFmtId="0" fontId="55" fillId="11" borderId="47" xfId="0" applyFont="1" applyFill="1" applyBorder="1" applyAlignment="1" applyProtection="1">
      <alignment horizontal="center" vertical="center" wrapText="1"/>
      <protection hidden="1"/>
    </xf>
    <xf numFmtId="0" fontId="136" fillId="2" borderId="0" xfId="0" applyFont="1" applyFill="1" applyAlignment="1">
      <alignment horizontal="center" vertical="center"/>
    </xf>
    <xf numFmtId="0" fontId="19" fillId="17" borderId="296" xfId="0" applyFont="1" applyFill="1" applyBorder="1" applyAlignment="1" applyProtection="1">
      <alignment horizontal="center" vertical="center"/>
      <protection locked="0"/>
    </xf>
    <xf numFmtId="0" fontId="19" fillId="17" borderId="302" xfId="0" applyFont="1" applyFill="1" applyBorder="1" applyAlignment="1" applyProtection="1">
      <alignment horizontal="center" vertical="center"/>
      <protection locked="0"/>
    </xf>
    <xf numFmtId="0" fontId="19" fillId="17" borderId="228" xfId="0" applyFont="1" applyFill="1" applyBorder="1" applyAlignment="1" applyProtection="1">
      <alignment horizontal="center" vertical="center"/>
      <protection locked="0"/>
    </xf>
    <xf numFmtId="0" fontId="19" fillId="17" borderId="191" xfId="0" applyFont="1" applyFill="1" applyBorder="1" applyAlignment="1" applyProtection="1">
      <alignment horizontal="left" vertical="center"/>
      <protection locked="0"/>
    </xf>
    <xf numFmtId="1" fontId="19" fillId="17" borderId="302" xfId="0" applyNumberFormat="1" applyFont="1" applyFill="1" applyBorder="1" applyAlignment="1" applyProtection="1">
      <alignment horizontal="center" vertical="center"/>
      <protection locked="0"/>
    </xf>
    <xf numFmtId="0" fontId="19" fillId="17" borderId="191" xfId="0" applyFont="1" applyFill="1" applyBorder="1" applyAlignment="1" applyProtection="1">
      <alignment horizontal="center" vertical="center"/>
      <protection locked="0"/>
    </xf>
    <xf numFmtId="0" fontId="19" fillId="17" borderId="48" xfId="0" applyFont="1" applyFill="1" applyBorder="1" applyAlignment="1" applyProtection="1">
      <alignment horizontal="center" vertical="center"/>
      <protection locked="0"/>
    </xf>
    <xf numFmtId="0" fontId="19" fillId="7" borderId="296" xfId="0" applyFont="1" applyFill="1" applyBorder="1" applyAlignment="1" applyProtection="1">
      <alignment horizontal="center" vertical="center"/>
      <protection locked="0"/>
    </xf>
    <xf numFmtId="0" fontId="108" fillId="7" borderId="302" xfId="0" applyFont="1" applyFill="1" applyBorder="1" applyAlignment="1" applyProtection="1">
      <alignment horizontal="center" vertical="center"/>
      <protection locked="0"/>
    </xf>
    <xf numFmtId="170" fontId="4" fillId="7" borderId="302" xfId="0" applyNumberFormat="1" applyFont="1" applyFill="1" applyBorder="1" applyAlignment="1">
      <alignment horizontal="center" vertical="center"/>
    </xf>
    <xf numFmtId="170" fontId="4" fillId="7" borderId="241" xfId="0" applyNumberFormat="1" applyFont="1" applyFill="1" applyBorder="1" applyAlignment="1">
      <alignment horizontal="center" vertical="center"/>
    </xf>
    <xf numFmtId="0" fontId="4" fillId="0" borderId="301" xfId="0" applyFont="1" applyBorder="1" applyAlignment="1">
      <alignment horizontal="centerContinuous" vertical="center"/>
    </xf>
    <xf numFmtId="0" fontId="7" fillId="0" borderId="301" xfId="0" applyFont="1" applyBorder="1" applyAlignment="1">
      <alignment horizontal="centerContinuous" vertical="center"/>
    </xf>
    <xf numFmtId="0" fontId="7" fillId="0" borderId="302" xfId="0" applyFont="1" applyBorder="1" applyAlignment="1">
      <alignment vertical="center"/>
    </xf>
    <xf numFmtId="0" fontId="7" fillId="17" borderId="0" xfId="0" applyFont="1" applyFill="1" applyAlignment="1" applyProtection="1">
      <alignment horizontal="center" vertical="center"/>
      <protection hidden="1"/>
    </xf>
    <xf numFmtId="0" fontId="113" fillId="0" borderId="0" xfId="0" applyFont="1" applyAlignment="1" applyProtection="1">
      <alignment vertical="center"/>
      <protection hidden="1"/>
    </xf>
    <xf numFmtId="0" fontId="166" fillId="0" borderId="0" xfId="0" applyFont="1"/>
    <xf numFmtId="166" fontId="7" fillId="0" borderId="18" xfId="0" applyNumberFormat="1" applyFont="1" applyBorder="1" applyAlignment="1">
      <alignment horizontal="center" vertical="center"/>
    </xf>
    <xf numFmtId="0" fontId="150" fillId="0" borderId="3" xfId="0" applyFont="1" applyBorder="1" applyAlignment="1">
      <alignment horizontal="center" vertical="center"/>
    </xf>
    <xf numFmtId="0" fontId="19" fillId="7" borderId="303" xfId="0" applyFont="1" applyFill="1" applyBorder="1" applyAlignment="1" applyProtection="1">
      <alignment horizontal="center" vertical="center"/>
      <protection locked="0"/>
    </xf>
    <xf numFmtId="0" fontId="124" fillId="17" borderId="38" xfId="0" applyFont="1" applyFill="1" applyBorder="1" applyAlignment="1">
      <alignment horizontal="left" vertical="center" indent="1"/>
    </xf>
    <xf numFmtId="0" fontId="0" fillId="0" borderId="40" xfId="0" applyBorder="1"/>
    <xf numFmtId="0" fontId="0" fillId="0" borderId="49" xfId="0" applyBorder="1"/>
    <xf numFmtId="0" fontId="19" fillId="17" borderId="303" xfId="0" applyFont="1" applyFill="1" applyBorder="1" applyAlignment="1" applyProtection="1">
      <alignment horizontal="center" vertical="center"/>
      <protection locked="0"/>
    </xf>
    <xf numFmtId="0" fontId="19" fillId="7" borderId="241" xfId="0" applyFont="1" applyFill="1" applyBorder="1" applyAlignment="1" applyProtection="1">
      <alignment horizontal="center" vertical="center"/>
      <protection locked="0"/>
    </xf>
    <xf numFmtId="0" fontId="4" fillId="0" borderId="303" xfId="0" applyFont="1" applyBorder="1" applyAlignment="1">
      <alignment horizontal="center" vertical="center"/>
    </xf>
    <xf numFmtId="0" fontId="19" fillId="7" borderId="237" xfId="0" applyFont="1" applyFill="1" applyBorder="1" applyAlignment="1" applyProtection="1">
      <alignment horizontal="center" vertical="center"/>
      <protection locked="0"/>
    </xf>
    <xf numFmtId="0" fontId="19" fillId="17" borderId="83" xfId="0" applyFont="1" applyFill="1" applyBorder="1" applyAlignment="1" applyProtection="1">
      <alignment horizontal="center" vertical="center"/>
      <protection locked="0"/>
    </xf>
    <xf numFmtId="0" fontId="19" fillId="17" borderId="304" xfId="0" applyFont="1" applyFill="1" applyBorder="1" applyAlignment="1" applyProtection="1">
      <alignment horizontal="center" vertical="center"/>
      <protection locked="0"/>
    </xf>
    <xf numFmtId="0" fontId="166" fillId="17" borderId="0" xfId="0" applyFont="1" applyFill="1"/>
    <xf numFmtId="0" fontId="134" fillId="17" borderId="0" xfId="0" applyFont="1" applyFill="1" applyAlignment="1" applyProtection="1">
      <alignment horizontal="center" vertical="center"/>
      <protection hidden="1"/>
    </xf>
    <xf numFmtId="0" fontId="140" fillId="17" borderId="0" xfId="0" applyFont="1" applyFill="1" applyAlignment="1" applyProtection="1">
      <alignment horizontal="center" vertical="center" wrapText="1"/>
      <protection locked="0" hidden="1"/>
    </xf>
    <xf numFmtId="0" fontId="140" fillId="0" borderId="0" xfId="0" applyFont="1" applyAlignment="1" applyProtection="1">
      <alignment horizontal="center" vertical="center" wrapText="1"/>
      <protection locked="0" hidden="1"/>
    </xf>
    <xf numFmtId="11" fontId="140" fillId="17" borderId="0" xfId="0" applyNumberFormat="1" applyFont="1" applyFill="1" applyAlignment="1" applyProtection="1">
      <alignment horizontal="center" vertical="center" wrapText="1"/>
      <protection locked="0" hidden="1"/>
    </xf>
    <xf numFmtId="0" fontId="4" fillId="16" borderId="0" xfId="0" applyFont="1" applyFill="1"/>
    <xf numFmtId="0" fontId="4" fillId="16" borderId="0" xfId="0" applyFont="1" applyFill="1" applyAlignment="1">
      <alignment horizontal="right" vertical="center" indent="1"/>
    </xf>
    <xf numFmtId="0" fontId="94" fillId="16" borderId="0" xfId="0" applyFont="1" applyFill="1" applyAlignment="1">
      <alignment horizontal="right"/>
    </xf>
    <xf numFmtId="0" fontId="108" fillId="23" borderId="302" xfId="0" applyFont="1" applyFill="1" applyBorder="1" applyAlignment="1" applyProtection="1">
      <alignment horizontal="center" vertical="center"/>
      <protection locked="0"/>
    </xf>
    <xf numFmtId="0" fontId="7" fillId="10" borderId="223" xfId="0" applyFont="1" applyFill="1" applyBorder="1" applyAlignment="1">
      <alignment vertical="center" textRotation="90" wrapText="1"/>
    </xf>
    <xf numFmtId="0" fontId="7" fillId="24" borderId="223" xfId="0" applyFont="1" applyFill="1" applyBorder="1" applyAlignment="1">
      <alignment vertical="center" textRotation="90" wrapText="1"/>
    </xf>
    <xf numFmtId="0" fontId="136" fillId="2" borderId="0" xfId="0" applyFont="1" applyFill="1" applyAlignment="1">
      <alignment horizontal="left" vertical="center" indent="1"/>
    </xf>
    <xf numFmtId="2" fontId="49" fillId="21" borderId="163" xfId="0" applyNumberFormat="1" applyFont="1" applyFill="1" applyBorder="1" applyAlignment="1">
      <alignment horizontal="center" vertical="center"/>
    </xf>
    <xf numFmtId="169" fontId="7" fillId="21" borderId="163" xfId="0" applyNumberFormat="1" applyFont="1" applyFill="1" applyBorder="1" applyAlignment="1">
      <alignment horizontal="center"/>
    </xf>
    <xf numFmtId="169" fontId="49" fillId="21" borderId="163" xfId="0" applyNumberFormat="1" applyFont="1" applyFill="1" applyBorder="1" applyAlignment="1">
      <alignment horizontal="center" vertical="center"/>
    </xf>
    <xf numFmtId="169" fontId="49" fillId="21" borderId="244" xfId="0" applyNumberFormat="1" applyFont="1" applyFill="1" applyBorder="1" applyAlignment="1">
      <alignment horizontal="center" vertical="center"/>
    </xf>
    <xf numFmtId="169" fontId="7" fillId="21" borderId="163" xfId="0" applyNumberFormat="1" applyFont="1" applyFill="1" applyBorder="1" applyAlignment="1">
      <alignment horizontal="center" vertical="center"/>
    </xf>
    <xf numFmtId="2" fontId="4" fillId="21" borderId="50" xfId="0" applyNumberFormat="1" applyFont="1" applyFill="1" applyBorder="1" applyAlignment="1">
      <alignment horizontal="center" vertical="center"/>
    </xf>
    <xf numFmtId="170" fontId="7" fillId="21" borderId="163" xfId="0" applyNumberFormat="1" applyFont="1" applyFill="1" applyBorder="1" applyAlignment="1">
      <alignment horizontal="center" vertical="center"/>
    </xf>
    <xf numFmtId="2" fontId="4" fillId="21" borderId="163" xfId="0" applyNumberFormat="1" applyFont="1" applyFill="1" applyBorder="1" applyAlignment="1">
      <alignment horizontal="center" vertical="center"/>
    </xf>
    <xf numFmtId="169" fontId="49" fillId="21" borderId="245" xfId="0" applyNumberFormat="1" applyFont="1" applyFill="1" applyBorder="1" applyAlignment="1">
      <alignment horizontal="center" vertical="center"/>
    </xf>
    <xf numFmtId="169" fontId="49" fillId="21" borderId="18" xfId="0" applyNumberFormat="1" applyFont="1" applyFill="1" applyBorder="1" applyAlignment="1">
      <alignment horizontal="center" vertical="center"/>
    </xf>
    <xf numFmtId="169" fontId="49" fillId="21" borderId="246" xfId="0" applyNumberFormat="1" applyFont="1" applyFill="1" applyBorder="1" applyAlignment="1">
      <alignment horizontal="center" vertical="center"/>
    </xf>
    <xf numFmtId="0" fontId="12" fillId="0" borderId="303" xfId="0" applyFont="1" applyBorder="1" applyAlignment="1">
      <alignment horizontal="center" vertical="center" wrapText="1"/>
    </xf>
    <xf numFmtId="14" fontId="105" fillId="35" borderId="177" xfId="0" applyNumberFormat="1" applyFont="1" applyFill="1" applyBorder="1" applyAlignment="1" applyProtection="1">
      <alignment horizontal="center" vertical="center"/>
      <protection locked="0"/>
    </xf>
    <xf numFmtId="0" fontId="7" fillId="6" borderId="19" xfId="0" applyFont="1" applyFill="1" applyBorder="1" applyAlignment="1" applyProtection="1">
      <alignment horizontal="left" vertical="center" wrapText="1"/>
      <protection hidden="1"/>
    </xf>
    <xf numFmtId="0" fontId="7" fillId="6" borderId="30" xfId="0" applyFont="1" applyFill="1" applyBorder="1" applyAlignment="1" applyProtection="1">
      <alignment horizontal="left" vertical="center" wrapText="1"/>
      <protection hidden="1"/>
    </xf>
    <xf numFmtId="0" fontId="4" fillId="0" borderId="0" xfId="0" applyFont="1" applyAlignment="1" applyProtection="1">
      <alignment horizontal="center" vertical="center"/>
      <protection hidden="1"/>
    </xf>
    <xf numFmtId="0" fontId="4" fillId="0" borderId="0" xfId="0" applyFont="1" applyAlignment="1" applyProtection="1">
      <alignment vertical="center" wrapText="1"/>
      <protection hidden="1"/>
    </xf>
    <xf numFmtId="0" fontId="4" fillId="0" borderId="0" xfId="0" applyFont="1" applyAlignment="1" applyProtection="1">
      <alignment horizontal="right" vertical="center"/>
      <protection hidden="1"/>
    </xf>
    <xf numFmtId="1" fontId="12" fillId="10" borderId="309" xfId="0" applyNumberFormat="1" applyFont="1" applyFill="1" applyBorder="1" applyAlignment="1" applyProtection="1">
      <alignment vertical="center"/>
      <protection hidden="1"/>
    </xf>
    <xf numFmtId="0" fontId="140" fillId="0" borderId="0" xfId="0" applyFont="1" applyAlignment="1" applyProtection="1">
      <alignment horizontal="left" vertical="center" wrapText="1"/>
      <protection locked="0" hidden="1"/>
    </xf>
    <xf numFmtId="0" fontId="4" fillId="0" borderId="0" xfId="0" applyFont="1" applyAlignment="1" applyProtection="1">
      <alignment horizontal="right" vertical="center" wrapText="1"/>
      <protection hidden="1"/>
    </xf>
    <xf numFmtId="0" fontId="4" fillId="0" borderId="0" xfId="0" applyFont="1" applyAlignment="1">
      <alignment horizontal="right" vertical="center" wrapText="1"/>
    </xf>
    <xf numFmtId="0" fontId="4" fillId="0" borderId="308" xfId="0" applyFont="1" applyBorder="1" applyAlignment="1">
      <alignment horizontal="left" vertical="center"/>
    </xf>
    <xf numFmtId="0" fontId="4" fillId="0" borderId="308" xfId="0" applyFont="1" applyBorder="1" applyAlignment="1">
      <alignment horizontal="center" vertical="center" wrapText="1"/>
    </xf>
    <xf numFmtId="0" fontId="4" fillId="0" borderId="308" xfId="0" applyFont="1" applyBorder="1" applyAlignment="1">
      <alignment horizontal="center" vertical="center"/>
    </xf>
    <xf numFmtId="0" fontId="105" fillId="17" borderId="0" xfId="0" applyFont="1" applyFill="1" applyAlignment="1">
      <alignment horizontal="right" vertical="center"/>
    </xf>
    <xf numFmtId="0" fontId="7" fillId="7" borderId="308" xfId="0" applyFont="1" applyFill="1" applyBorder="1" applyAlignment="1">
      <alignment horizontal="center" vertical="center"/>
    </xf>
    <xf numFmtId="0" fontId="36" fillId="7" borderId="308" xfId="0" applyFont="1" applyFill="1" applyBorder="1" applyAlignment="1">
      <alignment horizontal="center" vertical="center" wrapText="1"/>
    </xf>
    <xf numFmtId="0" fontId="19" fillId="0" borderId="308" xfId="0" applyFont="1" applyBorder="1" applyAlignment="1" applyProtection="1">
      <alignment horizontal="center" vertical="center"/>
      <protection locked="0"/>
    </xf>
    <xf numFmtId="0" fontId="156" fillId="18" borderId="0" xfId="0" applyFont="1" applyFill="1" applyAlignment="1">
      <alignment horizontal="center" vertical="center"/>
    </xf>
    <xf numFmtId="170" fontId="4" fillId="17" borderId="308" xfId="0" applyNumberFormat="1" applyFont="1" applyFill="1" applyBorder="1" applyAlignment="1">
      <alignment horizontal="center" vertical="center"/>
    </xf>
    <xf numFmtId="2" fontId="4" fillId="17" borderId="308" xfId="0" applyNumberFormat="1" applyFont="1" applyFill="1" applyBorder="1" applyAlignment="1">
      <alignment horizontal="center" vertical="center"/>
    </xf>
    <xf numFmtId="0" fontId="4" fillId="17" borderId="308" xfId="0" applyFont="1" applyFill="1" applyBorder="1" applyAlignment="1">
      <alignment horizontal="center" vertical="center"/>
    </xf>
    <xf numFmtId="3" fontId="4" fillId="17" borderId="308" xfId="0" applyNumberFormat="1" applyFont="1" applyFill="1" applyBorder="1" applyAlignment="1">
      <alignment horizontal="center" vertical="center"/>
    </xf>
    <xf numFmtId="1" fontId="4" fillId="17" borderId="308" xfId="0" applyNumberFormat="1" applyFont="1" applyFill="1" applyBorder="1" applyAlignment="1">
      <alignment horizontal="center" vertical="center"/>
    </xf>
    <xf numFmtId="0" fontId="102" fillId="0" borderId="0" xfId="0" applyFont="1" applyAlignment="1">
      <alignment horizontal="center" vertical="center"/>
    </xf>
    <xf numFmtId="0" fontId="74" fillId="7" borderId="210" xfId="0" applyFont="1" applyFill="1" applyBorder="1" applyAlignment="1">
      <alignment horizontal="center" vertical="center"/>
    </xf>
    <xf numFmtId="168" fontId="4" fillId="0" borderId="308" xfId="0" applyNumberFormat="1" applyFont="1" applyBorder="1" applyAlignment="1">
      <alignment horizontal="center" vertical="center"/>
    </xf>
    <xf numFmtId="168" fontId="4" fillId="7" borderId="305" xfId="0" applyNumberFormat="1" applyFont="1" applyFill="1" applyBorder="1" applyAlignment="1">
      <alignment horizontal="center" vertical="center"/>
    </xf>
    <xf numFmtId="168" fontId="4" fillId="7" borderId="308" xfId="0" applyNumberFormat="1" applyFont="1" applyFill="1" applyBorder="1" applyAlignment="1">
      <alignment horizontal="center" vertical="center"/>
    </xf>
    <xf numFmtId="0" fontId="11" fillId="7" borderId="210" xfId="0" applyFont="1" applyFill="1" applyBorder="1" applyAlignment="1">
      <alignment horizontal="center" vertical="center"/>
    </xf>
    <xf numFmtId="168" fontId="4" fillId="7" borderId="311" xfId="0" applyNumberFormat="1" applyFont="1" applyFill="1" applyBorder="1" applyAlignment="1">
      <alignment horizontal="center" vertical="center"/>
    </xf>
    <xf numFmtId="2" fontId="11" fillId="0" borderId="0" xfId="0" applyNumberFormat="1" applyFont="1" applyAlignment="1">
      <alignment horizontal="center" vertical="center"/>
    </xf>
    <xf numFmtId="168" fontId="11" fillId="7" borderId="0" xfId="0" applyNumberFormat="1" applyFont="1" applyFill="1" applyAlignment="1">
      <alignment horizontal="center" vertical="center"/>
    </xf>
    <xf numFmtId="167" fontId="4" fillId="0" borderId="308" xfId="0" applyNumberFormat="1" applyFont="1" applyBorder="1" applyAlignment="1">
      <alignment horizontal="center" vertical="center"/>
    </xf>
    <xf numFmtId="168" fontId="7" fillId="0" borderId="0" xfId="0" applyNumberFormat="1" applyFont="1" applyAlignment="1">
      <alignment horizontal="center" vertical="center"/>
    </xf>
    <xf numFmtId="169" fontId="4" fillId="0" borderId="308" xfId="0" applyNumberFormat="1" applyFont="1" applyBorder="1" applyAlignment="1">
      <alignment horizontal="center" vertical="center"/>
    </xf>
    <xf numFmtId="170" fontId="4" fillId="0" borderId="304" xfId="0" applyNumberFormat="1" applyFont="1" applyBorder="1" applyAlignment="1">
      <alignment horizontal="center" vertical="center"/>
    </xf>
    <xf numFmtId="169" fontId="4" fillId="0" borderId="191" xfId="0" applyNumberFormat="1" applyFont="1" applyBorder="1" applyAlignment="1">
      <alignment horizontal="center" vertical="center"/>
    </xf>
    <xf numFmtId="0" fontId="4" fillId="7" borderId="305" xfId="0" applyFont="1" applyFill="1" applyBorder="1" applyAlignment="1">
      <alignment horizontal="center" vertical="center"/>
    </xf>
    <xf numFmtId="0" fontId="7" fillId="6" borderId="308" xfId="0" applyFont="1" applyFill="1" applyBorder="1" applyAlignment="1">
      <alignment horizontal="center" vertical="center" wrapText="1"/>
    </xf>
    <xf numFmtId="0" fontId="11" fillId="2" borderId="0" xfId="0" applyFont="1" applyFill="1" applyAlignment="1">
      <alignment horizontal="right" vertical="center"/>
    </xf>
    <xf numFmtId="0" fontId="11" fillId="2" borderId="0" xfId="0" applyFont="1" applyFill="1" applyAlignment="1">
      <alignment vertical="center"/>
    </xf>
    <xf numFmtId="170" fontId="11" fillId="0" borderId="308" xfId="0" applyNumberFormat="1" applyFont="1" applyBorder="1" applyAlignment="1">
      <alignment horizontal="center" vertical="center"/>
    </xf>
    <xf numFmtId="0" fontId="55" fillId="11" borderId="236" xfId="0" applyFont="1" applyFill="1" applyBorder="1" applyAlignment="1" applyProtection="1">
      <alignment horizontal="centerContinuous" vertical="center" wrapText="1"/>
      <protection hidden="1"/>
    </xf>
    <xf numFmtId="49" fontId="47" fillId="0" borderId="308" xfId="0" applyNumberFormat="1" applyFont="1" applyBorder="1" applyAlignment="1" applyProtection="1">
      <alignment vertical="top" wrapText="1"/>
      <protection locked="0"/>
    </xf>
    <xf numFmtId="0" fontId="12" fillId="8" borderId="308" xfId="0" applyFont="1" applyFill="1" applyBorder="1" applyAlignment="1" applyProtection="1">
      <alignment horizontal="center" vertical="top" wrapText="1"/>
      <protection hidden="1"/>
    </xf>
    <xf numFmtId="0" fontId="36" fillId="11" borderId="236" xfId="0" applyFont="1" applyFill="1" applyBorder="1" applyAlignment="1" applyProtection="1">
      <alignment horizontal="centerContinuous" vertical="center" wrapText="1"/>
      <protection hidden="1"/>
    </xf>
    <xf numFmtId="49" fontId="47" fillId="0" borderId="308" xfId="0" applyNumberFormat="1" applyFont="1" applyBorder="1" applyAlignment="1" applyProtection="1">
      <alignment vertical="top"/>
      <protection locked="0"/>
    </xf>
    <xf numFmtId="0" fontId="12" fillId="8" borderId="308" xfId="0" applyFont="1" applyFill="1" applyBorder="1" applyAlignment="1" applyProtection="1">
      <alignment horizontal="left" vertical="top" wrapText="1"/>
      <protection hidden="1"/>
    </xf>
    <xf numFmtId="0" fontId="7" fillId="0" borderId="311" xfId="0" applyFont="1" applyBorder="1" applyAlignment="1">
      <alignment horizontal="centerContinuous" vertical="center"/>
    </xf>
    <xf numFmtId="0" fontId="4" fillId="0" borderId="315" xfId="0" applyFont="1" applyBorder="1" applyAlignment="1">
      <alignment horizontal="left" vertical="center"/>
    </xf>
    <xf numFmtId="0" fontId="4" fillId="0" borderId="315" xfId="0" applyFont="1" applyBorder="1" applyAlignment="1">
      <alignment horizontal="center" vertical="center"/>
    </xf>
    <xf numFmtId="171" fontId="4" fillId="7" borderId="308" xfId="0" applyNumberFormat="1" applyFont="1" applyFill="1" applyBorder="1" applyAlignment="1">
      <alignment horizontal="center" vertical="center"/>
    </xf>
    <xf numFmtId="171" fontId="4" fillId="7" borderId="0" xfId="0" applyNumberFormat="1" applyFont="1" applyFill="1" applyAlignment="1">
      <alignment horizontal="center" vertical="center"/>
    </xf>
    <xf numFmtId="167" fontId="7" fillId="6" borderId="1" xfId="0" applyNumberFormat="1" applyFont="1" applyFill="1" applyBorder="1" applyAlignment="1">
      <alignment horizontal="center" vertical="center" wrapText="1"/>
    </xf>
    <xf numFmtId="167" fontId="4" fillId="0" borderId="302" xfId="0" applyNumberFormat="1" applyFont="1" applyBorder="1" applyAlignment="1">
      <alignment horizontal="center" vertical="center"/>
    </xf>
    <xf numFmtId="167" fontId="4" fillId="0" borderId="298" xfId="0" applyNumberFormat="1" applyFont="1" applyBorder="1" applyAlignment="1">
      <alignment horizontal="center" vertical="center"/>
    </xf>
    <xf numFmtId="167" fontId="4" fillId="0" borderId="1" xfId="0" applyNumberFormat="1" applyFont="1" applyBorder="1" applyAlignment="1">
      <alignment horizontal="center" vertical="center"/>
    </xf>
    <xf numFmtId="167" fontId="4" fillId="0" borderId="0" xfId="0" applyNumberFormat="1" applyFont="1" applyAlignment="1">
      <alignment horizontal="center" vertical="center"/>
    </xf>
    <xf numFmtId="0" fontId="4" fillId="0" borderId="308" xfId="0" applyFont="1" applyBorder="1" applyAlignment="1" applyProtection="1">
      <alignment horizontal="left" vertical="center"/>
      <protection locked="0"/>
    </xf>
    <xf numFmtId="0" fontId="4" fillId="0" borderId="308" xfId="0" applyFont="1" applyBorder="1" applyAlignment="1" applyProtection="1">
      <alignment horizontal="left" vertical="center" wrapText="1"/>
      <protection locked="0"/>
    </xf>
    <xf numFmtId="0" fontId="4" fillId="0" borderId="316" xfId="0" applyFont="1" applyBorder="1" applyAlignment="1" applyProtection="1">
      <alignment horizontal="left" vertical="center"/>
      <protection hidden="1"/>
    </xf>
    <xf numFmtId="0" fontId="4" fillId="0" borderId="316" xfId="0" applyFont="1" applyBorder="1" applyAlignment="1" applyProtection="1">
      <alignment horizontal="left" vertical="center"/>
      <protection locked="0" hidden="1"/>
    </xf>
    <xf numFmtId="0" fontId="148" fillId="0" borderId="0" xfId="0" applyFont="1"/>
    <xf numFmtId="1" fontId="12" fillId="10" borderId="223" xfId="0" applyNumberFormat="1" applyFont="1" applyFill="1" applyBorder="1" applyAlignment="1" applyProtection="1">
      <alignment vertical="center"/>
      <protection hidden="1"/>
    </xf>
    <xf numFmtId="1" fontId="12" fillId="10" borderId="227" xfId="0" applyNumberFormat="1" applyFont="1" applyFill="1" applyBorder="1" applyAlignment="1" applyProtection="1">
      <alignment vertical="center"/>
      <protection hidden="1"/>
    </xf>
    <xf numFmtId="1" fontId="12" fillId="10" borderId="224" xfId="0" applyNumberFormat="1" applyFont="1" applyFill="1" applyBorder="1" applyAlignment="1" applyProtection="1">
      <alignment vertical="center"/>
      <protection hidden="1"/>
    </xf>
    <xf numFmtId="0" fontId="47" fillId="0" borderId="227" xfId="0" applyFont="1" applyBorder="1" applyAlignment="1" applyProtection="1">
      <alignment horizontal="center" vertical="center"/>
      <protection locked="0" hidden="1"/>
    </xf>
    <xf numFmtId="0" fontId="4" fillId="0" borderId="317" xfId="0" applyFont="1" applyBorder="1" applyAlignment="1">
      <alignment horizontal="center" vertical="center"/>
    </xf>
    <xf numFmtId="0" fontId="4" fillId="0" borderId="318" xfId="0" applyFont="1" applyBorder="1" applyAlignment="1">
      <alignment horizontal="left" vertical="center"/>
    </xf>
    <xf numFmtId="0" fontId="4" fillId="0" borderId="318" xfId="0" applyFont="1" applyBorder="1" applyAlignment="1">
      <alignment horizontal="center" vertical="center"/>
    </xf>
    <xf numFmtId="167" fontId="4" fillId="0" borderId="318" xfId="0" applyNumberFormat="1" applyFont="1" applyBorder="1" applyAlignment="1">
      <alignment horizontal="center" vertical="center"/>
    </xf>
    <xf numFmtId="0" fontId="4" fillId="0" borderId="319" xfId="0" applyFont="1" applyBorder="1" applyAlignment="1">
      <alignment horizontal="center" vertical="center"/>
    </xf>
    <xf numFmtId="0" fontId="207" fillId="0" borderId="0" xfId="0" applyFont="1" applyAlignment="1">
      <alignment vertical="center"/>
    </xf>
    <xf numFmtId="0" fontId="207" fillId="0" borderId="0" xfId="0" applyFont="1" applyAlignment="1">
      <alignment horizontal="center" vertical="center"/>
    </xf>
    <xf numFmtId="0" fontId="102" fillId="0" borderId="223" xfId="0" applyFont="1" applyBorder="1" applyAlignment="1">
      <alignment vertical="center"/>
    </xf>
    <xf numFmtId="0" fontId="102" fillId="0" borderId="224" xfId="0" applyFont="1" applyBorder="1" applyAlignment="1">
      <alignment horizontal="center" vertical="center"/>
    </xf>
    <xf numFmtId="0" fontId="102" fillId="0" borderId="225" xfId="0" applyFont="1" applyBorder="1" applyAlignment="1">
      <alignment vertical="center"/>
    </xf>
    <xf numFmtId="0" fontId="102" fillId="0" borderId="26" xfId="0" applyFont="1" applyBorder="1" applyAlignment="1">
      <alignment horizontal="center" vertical="center"/>
    </xf>
    <xf numFmtId="0" fontId="102" fillId="0" borderId="209" xfId="0" applyFont="1" applyBorder="1" applyAlignment="1">
      <alignment vertical="center"/>
    </xf>
    <xf numFmtId="0" fontId="102" fillId="0" borderId="211" xfId="0" applyFont="1" applyBorder="1" applyAlignment="1">
      <alignment horizontal="center" vertical="center"/>
    </xf>
    <xf numFmtId="0" fontId="108" fillId="0" borderId="241" xfId="0" applyFont="1" applyBorder="1" applyAlignment="1" applyProtection="1">
      <alignment horizontal="center" vertical="center"/>
      <protection locked="0"/>
    </xf>
    <xf numFmtId="0" fontId="4" fillId="7" borderId="0" xfId="0" applyFont="1" applyFill="1" applyAlignment="1">
      <alignment horizontal="right" vertical="center" indent="1"/>
    </xf>
    <xf numFmtId="0" fontId="19" fillId="0" borderId="224" xfId="0" applyFont="1" applyBorder="1" applyAlignment="1" applyProtection="1">
      <alignment horizontal="center" vertical="center"/>
      <protection locked="0"/>
    </xf>
    <xf numFmtId="0" fontId="208" fillId="17" borderId="3" xfId="0" applyFont="1" applyFill="1" applyBorder="1" applyAlignment="1">
      <alignment horizontal="center" vertical="center"/>
    </xf>
    <xf numFmtId="0" fontId="208" fillId="17" borderId="3" xfId="0" applyFont="1" applyFill="1" applyBorder="1" applyAlignment="1">
      <alignment horizontal="center"/>
    </xf>
    <xf numFmtId="0" fontId="208" fillId="0" borderId="2" xfId="0" applyFont="1" applyBorder="1" applyAlignment="1">
      <alignment horizontal="center" vertical="center"/>
    </xf>
    <xf numFmtId="0" fontId="141" fillId="7" borderId="0" xfId="0" applyFont="1" applyFill="1" applyAlignment="1" applyProtection="1">
      <alignment horizontal="center" vertical="center"/>
      <protection locked="0"/>
    </xf>
    <xf numFmtId="0" fontId="211" fillId="7" borderId="2" xfId="0" applyFont="1" applyFill="1" applyBorder="1" applyAlignment="1">
      <alignment vertical="center"/>
    </xf>
    <xf numFmtId="0" fontId="141" fillId="7" borderId="0" xfId="0" applyFont="1" applyFill="1" applyAlignment="1">
      <alignment horizontal="right" vertical="center"/>
    </xf>
    <xf numFmtId="0" fontId="141" fillId="7" borderId="9" xfId="0" applyFont="1" applyFill="1" applyBorder="1" applyAlignment="1">
      <alignment horizontal="right" vertical="center"/>
    </xf>
    <xf numFmtId="0" fontId="4" fillId="0" borderId="322" xfId="0" applyFont="1" applyBorder="1" applyAlignment="1">
      <alignment horizontal="center" vertical="center"/>
    </xf>
    <xf numFmtId="0" fontId="4" fillId="0" borderId="323" xfId="0" applyFont="1" applyBorder="1" applyAlignment="1">
      <alignment horizontal="left" vertical="center"/>
    </xf>
    <xf numFmtId="0" fontId="4" fillId="0" borderId="323" xfId="0" applyFont="1" applyBorder="1" applyAlignment="1">
      <alignment horizontal="center" vertical="center"/>
    </xf>
    <xf numFmtId="0" fontId="4" fillId="0" borderId="325" xfId="0" applyFont="1" applyBorder="1" applyAlignment="1">
      <alignment horizontal="center" vertical="center"/>
    </xf>
    <xf numFmtId="0" fontId="4" fillId="7" borderId="325" xfId="0" applyFont="1" applyFill="1" applyBorder="1" applyAlignment="1">
      <alignment vertical="center"/>
    </xf>
    <xf numFmtId="4" fontId="4" fillId="3" borderId="0" xfId="0" applyNumberFormat="1" applyFont="1" applyFill="1" applyAlignment="1">
      <alignment vertical="center"/>
    </xf>
    <xf numFmtId="169" fontId="7" fillId="36" borderId="12" xfId="0" applyNumberFormat="1" applyFont="1" applyFill="1" applyBorder="1" applyAlignment="1">
      <alignment horizontal="center" vertical="center"/>
    </xf>
    <xf numFmtId="169" fontId="7" fillId="36" borderId="52" xfId="0" applyNumberFormat="1" applyFont="1" applyFill="1" applyBorder="1" applyAlignment="1">
      <alignment horizontal="center" vertical="center"/>
    </xf>
    <xf numFmtId="170" fontId="7" fillId="36" borderId="12" xfId="0" applyNumberFormat="1" applyFont="1" applyFill="1" applyBorder="1" applyAlignment="1">
      <alignment horizontal="center" vertical="center"/>
    </xf>
    <xf numFmtId="170" fontId="7" fillId="36" borderId="59" xfId="0" applyNumberFormat="1" applyFont="1" applyFill="1" applyBorder="1" applyAlignment="1">
      <alignment horizontal="center" vertical="center"/>
    </xf>
    <xf numFmtId="170" fontId="7" fillId="36" borderId="6" xfId="0" applyNumberFormat="1" applyFont="1" applyFill="1" applyBorder="1" applyAlignment="1">
      <alignment horizontal="center" vertical="center"/>
    </xf>
    <xf numFmtId="2" fontId="7" fillId="36" borderId="12" xfId="0" applyNumberFormat="1" applyFont="1" applyFill="1" applyBorder="1" applyAlignment="1">
      <alignment horizontal="center" vertical="center"/>
    </xf>
    <xf numFmtId="1" fontId="84" fillId="0" borderId="321" xfId="0" applyNumberFormat="1" applyFont="1" applyBorder="1" applyAlignment="1" applyProtection="1">
      <alignment horizontal="center" vertical="center"/>
      <protection locked="0"/>
    </xf>
    <xf numFmtId="0" fontId="19" fillId="17" borderId="325" xfId="0" applyFont="1" applyFill="1" applyBorder="1" applyAlignment="1" applyProtection="1">
      <alignment horizontal="center" vertical="center"/>
      <protection locked="0"/>
    </xf>
    <xf numFmtId="0" fontId="11" fillId="3" borderId="40" xfId="0" applyFont="1" applyFill="1" applyBorder="1" applyAlignment="1">
      <alignment vertical="center"/>
    </xf>
    <xf numFmtId="0" fontId="6" fillId="0" borderId="4" xfId="0" applyFont="1" applyBorder="1" applyAlignment="1">
      <alignment horizontal="center" vertical="center"/>
    </xf>
    <xf numFmtId="0" fontId="11" fillId="3" borderId="0" xfId="0" applyFont="1" applyFill="1" applyAlignment="1">
      <alignment vertical="center"/>
    </xf>
    <xf numFmtId="0" fontId="6" fillId="0" borderId="16" xfId="0" applyFont="1" applyBorder="1" applyAlignment="1">
      <alignment horizontal="center" vertical="center"/>
    </xf>
    <xf numFmtId="0" fontId="11" fillId="3" borderId="47" xfId="0" applyFont="1" applyFill="1" applyBorder="1" applyAlignment="1">
      <alignment vertical="center"/>
    </xf>
    <xf numFmtId="170" fontId="7" fillId="36" borderId="244" xfId="0" applyNumberFormat="1" applyFont="1" applyFill="1" applyBorder="1" applyAlignment="1">
      <alignment horizontal="center" vertical="center"/>
    </xf>
    <xf numFmtId="0" fontId="4" fillId="4" borderId="40" xfId="0" applyFont="1" applyFill="1" applyBorder="1" applyAlignment="1">
      <alignment vertical="center"/>
    </xf>
    <xf numFmtId="0" fontId="4" fillId="4" borderId="47" xfId="0" applyFont="1" applyFill="1" applyBorder="1" applyAlignment="1">
      <alignment vertical="center"/>
    </xf>
    <xf numFmtId="0" fontId="4" fillId="7" borderId="325" xfId="0" applyFont="1" applyFill="1" applyBorder="1" applyAlignment="1">
      <alignment horizontal="center" vertical="center"/>
    </xf>
    <xf numFmtId="170" fontId="7" fillId="0" borderId="325" xfId="0" applyNumberFormat="1" applyFont="1" applyBorder="1" applyAlignment="1">
      <alignment horizontal="center" vertical="center"/>
    </xf>
    <xf numFmtId="0" fontId="7" fillId="7" borderId="325" xfId="0" applyFont="1" applyFill="1" applyBorder="1" applyAlignment="1">
      <alignment horizontal="center" vertical="center"/>
    </xf>
    <xf numFmtId="169" fontId="4" fillId="7" borderId="325" xfId="0" applyNumberFormat="1" applyFont="1" applyFill="1" applyBorder="1" applyAlignment="1">
      <alignment horizontal="center" vertical="center"/>
    </xf>
    <xf numFmtId="0" fontId="7" fillId="8" borderId="325" xfId="0" applyFont="1" applyFill="1" applyBorder="1" applyAlignment="1">
      <alignment horizontal="center" vertical="center"/>
    </xf>
    <xf numFmtId="0" fontId="7" fillId="0" borderId="325" xfId="0" applyFont="1" applyBorder="1" applyAlignment="1">
      <alignment horizontal="center" vertical="center"/>
    </xf>
    <xf numFmtId="0" fontId="6" fillId="8" borderId="325" xfId="0" applyFont="1" applyFill="1" applyBorder="1" applyAlignment="1">
      <alignment horizontal="center" vertical="center"/>
    </xf>
    <xf numFmtId="3" fontId="4" fillId="17" borderId="245" xfId="0" applyNumberFormat="1" applyFont="1" applyFill="1" applyBorder="1" applyAlignment="1">
      <alignment horizontal="center" vertical="center"/>
    </xf>
    <xf numFmtId="0" fontId="122" fillId="0" borderId="0" xfId="0" applyFont="1" applyAlignment="1">
      <alignment horizontal="right" vertical="center"/>
    </xf>
    <xf numFmtId="0" fontId="122" fillId="0" borderId="313" xfId="0" applyFont="1" applyBorder="1" applyAlignment="1">
      <alignment horizontal="center" vertical="center"/>
    </xf>
    <xf numFmtId="0" fontId="4" fillId="17" borderId="0" xfId="0" applyFont="1" applyFill="1" applyAlignment="1">
      <alignment horizontal="left" vertical="center" wrapText="1"/>
    </xf>
    <xf numFmtId="0" fontId="0" fillId="17" borderId="0" xfId="0" applyFill="1" applyAlignment="1">
      <alignment vertical="center" wrapText="1"/>
    </xf>
    <xf numFmtId="0" fontId="19" fillId="7" borderId="325" xfId="0" applyFont="1" applyFill="1" applyBorder="1" applyAlignment="1" applyProtection="1">
      <alignment horizontal="center" vertical="center"/>
      <protection locked="0"/>
    </xf>
    <xf numFmtId="0" fontId="19" fillId="0" borderId="325" xfId="0" applyFont="1" applyBorder="1" applyAlignment="1" applyProtection="1">
      <alignment horizontal="center" vertical="center"/>
      <protection locked="0"/>
    </xf>
    <xf numFmtId="0" fontId="19" fillId="7" borderId="321" xfId="0" applyFont="1" applyFill="1" applyBorder="1" applyAlignment="1" applyProtection="1">
      <alignment horizontal="center" vertical="center"/>
      <protection locked="0"/>
    </xf>
    <xf numFmtId="0" fontId="19" fillId="0" borderId="313" xfId="0" applyFont="1" applyBorder="1" applyAlignment="1" applyProtection="1">
      <alignment horizontal="center" vertical="center"/>
      <protection locked="0"/>
    </xf>
    <xf numFmtId="1" fontId="19" fillId="7" borderId="313" xfId="0" applyNumberFormat="1" applyFont="1" applyFill="1" applyBorder="1" applyAlignment="1" applyProtection="1">
      <alignment horizontal="center" vertical="center"/>
      <protection locked="0"/>
    </xf>
    <xf numFmtId="1" fontId="11" fillId="0" borderId="325" xfId="0" quotePrefix="1" applyNumberFormat="1" applyFont="1" applyBorder="1" applyAlignment="1">
      <alignment horizontal="center" vertical="center"/>
    </xf>
    <xf numFmtId="0" fontId="4" fillId="6" borderId="325" xfId="0" applyFont="1" applyFill="1" applyBorder="1" applyAlignment="1">
      <alignment horizontal="center" vertical="center"/>
    </xf>
    <xf numFmtId="1" fontId="7" fillId="0" borderId="325" xfId="0" applyNumberFormat="1" applyFont="1" applyBorder="1" applyAlignment="1">
      <alignment horizontal="center" vertical="center"/>
    </xf>
    <xf numFmtId="1" fontId="12" fillId="10" borderId="295" xfId="0" applyNumberFormat="1" applyFont="1" applyFill="1" applyBorder="1" applyAlignment="1" applyProtection="1">
      <alignment vertical="center"/>
      <protection hidden="1"/>
    </xf>
    <xf numFmtId="2" fontId="4" fillId="8" borderId="305" xfId="0" applyNumberFormat="1" applyFont="1" applyFill="1" applyBorder="1" applyAlignment="1">
      <alignment horizontal="center" vertical="center"/>
    </xf>
    <xf numFmtId="0" fontId="7" fillId="10" borderId="295" xfId="0" applyFont="1" applyFill="1" applyBorder="1" applyAlignment="1">
      <alignment horizontal="centerContinuous" vertical="center"/>
    </xf>
    <xf numFmtId="0" fontId="7" fillId="10" borderId="295" xfId="0" applyFont="1" applyFill="1" applyBorder="1" applyAlignment="1">
      <alignment horizontal="left" vertical="center"/>
    </xf>
    <xf numFmtId="0" fontId="0" fillId="17" borderId="40" xfId="0" applyFill="1" applyBorder="1" applyAlignment="1">
      <alignment horizontal="center"/>
    </xf>
    <xf numFmtId="2" fontId="4" fillId="17" borderId="325" xfId="0" applyNumberFormat="1" applyFont="1" applyFill="1" applyBorder="1" applyAlignment="1">
      <alignment horizontal="center" vertical="center"/>
    </xf>
    <xf numFmtId="2" fontId="7" fillId="17" borderId="182" xfId="0" applyNumberFormat="1" applyFont="1" applyFill="1" applyBorder="1" applyAlignment="1">
      <alignment horizontal="center" vertical="center"/>
    </xf>
    <xf numFmtId="2" fontId="7" fillId="17" borderId="325" xfId="0" applyNumberFormat="1" applyFont="1" applyFill="1" applyBorder="1" applyAlignment="1">
      <alignment horizontal="center" vertical="center"/>
    </xf>
    <xf numFmtId="170" fontId="7" fillId="17" borderId="325" xfId="0" applyNumberFormat="1" applyFont="1" applyFill="1" applyBorder="1" applyAlignment="1">
      <alignment horizontal="center" vertical="center"/>
    </xf>
    <xf numFmtId="0" fontId="103" fillId="17" borderId="0" xfId="0" applyFont="1" applyFill="1" applyAlignment="1">
      <alignment horizontal="center" vertical="center"/>
    </xf>
    <xf numFmtId="0" fontId="11" fillId="17" borderId="0" xfId="0" applyFont="1" applyFill="1" applyAlignment="1">
      <alignment horizontal="left" vertical="center"/>
    </xf>
    <xf numFmtId="170" fontId="103" fillId="17" borderId="0" xfId="0" applyNumberFormat="1" applyFont="1" applyFill="1" applyAlignment="1">
      <alignment horizontal="center" vertical="center"/>
    </xf>
    <xf numFmtId="0" fontId="75" fillId="17" borderId="0" xfId="0" applyFont="1" applyFill="1" applyAlignment="1">
      <alignment horizontal="left" vertical="center"/>
    </xf>
    <xf numFmtId="0" fontId="75" fillId="17" borderId="9" xfId="0" applyFont="1" applyFill="1" applyBorder="1" applyAlignment="1">
      <alignment horizontal="left" vertical="center"/>
    </xf>
    <xf numFmtId="0" fontId="37" fillId="17" borderId="0" xfId="0" applyFont="1" applyFill="1" applyAlignment="1">
      <alignment horizontal="left" vertical="center" indent="1"/>
    </xf>
    <xf numFmtId="0" fontId="84" fillId="17" borderId="0" xfId="0" applyFont="1" applyFill="1" applyAlignment="1">
      <alignment horizontal="right" vertical="center"/>
    </xf>
    <xf numFmtId="0" fontId="84" fillId="17" borderId="0" xfId="0" applyFont="1" applyFill="1" applyAlignment="1">
      <alignment horizontal="center" vertical="center"/>
    </xf>
    <xf numFmtId="0" fontId="124" fillId="17" borderId="0" xfId="0" applyFont="1" applyFill="1" applyAlignment="1">
      <alignment horizontal="left" vertical="center"/>
    </xf>
    <xf numFmtId="0" fontId="84" fillId="17" borderId="182" xfId="0" applyFont="1" applyFill="1" applyBorder="1" applyAlignment="1">
      <alignment horizontal="center" vertical="center"/>
    </xf>
    <xf numFmtId="0" fontId="11" fillId="17" borderId="328" xfId="0" applyFont="1" applyFill="1" applyBorder="1" applyAlignment="1">
      <alignment horizontal="center" vertical="center"/>
    </xf>
    <xf numFmtId="0" fontId="11" fillId="17" borderId="326" xfId="0" applyFont="1" applyFill="1" applyBorder="1" applyAlignment="1">
      <alignment horizontal="right" vertical="center"/>
    </xf>
    <xf numFmtId="170" fontId="4" fillId="17" borderId="328" xfId="0" applyNumberFormat="1" applyFont="1" applyFill="1" applyBorder="1" applyAlignment="1">
      <alignment horizontal="center" vertical="center"/>
    </xf>
    <xf numFmtId="170" fontId="108" fillId="17" borderId="328" xfId="0" applyNumberFormat="1" applyFont="1" applyFill="1" applyBorder="1" applyAlignment="1">
      <alignment horizontal="center" vertical="center"/>
    </xf>
    <xf numFmtId="0" fontId="4" fillId="17" borderId="328" xfId="0" applyFont="1" applyFill="1" applyBorder="1" applyAlignment="1">
      <alignment horizontal="center" vertical="center"/>
    </xf>
    <xf numFmtId="0" fontId="84" fillId="17" borderId="328" xfId="0" applyFont="1" applyFill="1" applyBorder="1" applyAlignment="1">
      <alignment horizontal="center" vertical="center"/>
    </xf>
    <xf numFmtId="0" fontId="4" fillId="17" borderId="47" xfId="0" applyFont="1" applyFill="1" applyBorder="1" applyAlignment="1">
      <alignment horizontal="left" vertical="center"/>
    </xf>
    <xf numFmtId="0" fontId="7" fillId="17" borderId="182" xfId="0" applyFont="1" applyFill="1" applyBorder="1" applyAlignment="1">
      <alignment horizontal="center" vertical="center"/>
    </xf>
    <xf numFmtId="0" fontId="6" fillId="7" borderId="328" xfId="0" applyFont="1" applyFill="1" applyBorder="1" applyAlignment="1">
      <alignment horizontal="center" vertical="center"/>
    </xf>
    <xf numFmtId="0" fontId="6" fillId="21" borderId="1" xfId="0" applyFont="1" applyFill="1" applyBorder="1" applyAlignment="1">
      <alignment horizontal="center" vertical="center"/>
    </xf>
    <xf numFmtId="3" fontId="4" fillId="8" borderId="328" xfId="0" applyNumberFormat="1" applyFont="1" applyFill="1" applyBorder="1" applyAlignment="1">
      <alignment horizontal="center" vertical="center"/>
    </xf>
    <xf numFmtId="3" fontId="4" fillId="8" borderId="327" xfId="0" applyNumberFormat="1" applyFont="1" applyFill="1" applyBorder="1" applyAlignment="1">
      <alignment horizontal="center" vertical="center"/>
    </xf>
    <xf numFmtId="164" fontId="4" fillId="0" borderId="327" xfId="0" applyNumberFormat="1" applyFont="1" applyBorder="1" applyAlignment="1">
      <alignment horizontal="center" vertical="center"/>
    </xf>
    <xf numFmtId="164" fontId="4" fillId="0" borderId="295" xfId="0" applyNumberFormat="1" applyFont="1" applyBorder="1" applyAlignment="1">
      <alignment horizontal="center" vertical="center"/>
    </xf>
    <xf numFmtId="164" fontId="4" fillId="8" borderId="295" xfId="0" applyNumberFormat="1" applyFont="1" applyFill="1" applyBorder="1" applyAlignment="1">
      <alignment horizontal="center" vertical="center"/>
    </xf>
    <xf numFmtId="164" fontId="4" fillId="0" borderId="328" xfId="0" applyNumberFormat="1" applyFont="1" applyBorder="1" applyAlignment="1">
      <alignment horizontal="center" vertical="center"/>
    </xf>
    <xf numFmtId="0" fontId="7" fillId="17" borderId="31" xfId="0" applyFont="1" applyFill="1" applyBorder="1" applyAlignment="1">
      <alignment horizontal="center" vertical="center"/>
    </xf>
    <xf numFmtId="0" fontId="7" fillId="0" borderId="8" xfId="0" applyFont="1" applyBorder="1" applyAlignment="1">
      <alignment horizontal="center" vertical="center"/>
    </xf>
    <xf numFmtId="0" fontId="7" fillId="17" borderId="58" xfId="0" applyFont="1" applyFill="1" applyBorder="1" applyAlignment="1">
      <alignment horizontal="center" vertical="center"/>
    </xf>
    <xf numFmtId="2" fontId="7" fillId="0" borderId="304" xfId="0" applyNumberFormat="1" applyFont="1" applyBorder="1" applyAlignment="1">
      <alignment horizontal="center" vertical="center"/>
    </xf>
    <xf numFmtId="0" fontId="7" fillId="0" borderId="304" xfId="0" applyFont="1" applyBorder="1" applyAlignment="1">
      <alignment horizontal="center" vertical="center"/>
    </xf>
    <xf numFmtId="0" fontId="104" fillId="4" borderId="0" xfId="0" applyFont="1" applyFill="1" applyAlignment="1">
      <alignment horizontal="center" vertical="center"/>
    </xf>
    <xf numFmtId="0" fontId="4" fillId="4" borderId="9" xfId="0" applyFont="1" applyFill="1" applyBorder="1" applyAlignment="1">
      <alignment horizontal="center" vertical="center"/>
    </xf>
    <xf numFmtId="0" fontId="4" fillId="4" borderId="48" xfId="0" applyFont="1" applyFill="1" applyBorder="1" applyAlignment="1">
      <alignment horizontal="center" vertical="center"/>
    </xf>
    <xf numFmtId="0" fontId="4" fillId="24" borderId="6" xfId="0" applyFont="1" applyFill="1" applyBorder="1" applyAlignment="1">
      <alignment horizontal="center" vertical="center"/>
    </xf>
    <xf numFmtId="169" fontId="7" fillId="0" borderId="304" xfId="0" applyNumberFormat="1" applyFont="1" applyBorder="1" applyAlignment="1">
      <alignment horizontal="center" vertical="center"/>
    </xf>
    <xf numFmtId="0" fontId="4" fillId="10" borderId="9" xfId="0" applyFont="1" applyFill="1" applyBorder="1" applyAlignment="1">
      <alignment horizontal="center" vertical="center"/>
    </xf>
    <xf numFmtId="165" fontId="7" fillId="37" borderId="12" xfId="0" applyNumberFormat="1" applyFont="1" applyFill="1" applyBorder="1" applyAlignment="1">
      <alignment horizontal="center" vertical="center"/>
    </xf>
    <xf numFmtId="0" fontId="4" fillId="0" borderId="330" xfId="0" applyFont="1" applyBorder="1" applyAlignment="1">
      <alignment horizontal="center" vertical="center"/>
    </xf>
    <xf numFmtId="164" fontId="11" fillId="0" borderId="50" xfId="0" applyNumberFormat="1" applyFont="1" applyBorder="1" applyAlignment="1">
      <alignment horizontal="center" vertical="center"/>
    </xf>
    <xf numFmtId="3" fontId="7" fillId="0" borderId="12" xfId="0" applyNumberFormat="1" applyFont="1" applyBorder="1" applyAlignment="1">
      <alignment horizontal="center" vertical="center"/>
    </xf>
    <xf numFmtId="164" fontId="11" fillId="17" borderId="245" xfId="0" applyNumberFormat="1" applyFont="1" applyFill="1" applyBorder="1" applyAlignment="1">
      <alignment horizontal="center" vertical="center"/>
    </xf>
    <xf numFmtId="3" fontId="7" fillId="17" borderId="12" xfId="0" applyNumberFormat="1" applyFont="1" applyFill="1" applyBorder="1" applyAlignment="1">
      <alignment horizontal="center" vertical="center"/>
    </xf>
    <xf numFmtId="164" fontId="11" fillId="17" borderId="50" xfId="0" applyNumberFormat="1" applyFont="1" applyFill="1" applyBorder="1" applyAlignment="1">
      <alignment horizontal="center" vertical="center"/>
    </xf>
    <xf numFmtId="164" fontId="11" fillId="0" borderId="245" xfId="0" applyNumberFormat="1" applyFont="1" applyBorder="1" applyAlignment="1">
      <alignment horizontal="center" vertical="center"/>
    </xf>
    <xf numFmtId="0" fontId="7" fillId="0" borderId="334" xfId="0" applyFont="1" applyBorder="1" applyAlignment="1">
      <alignment horizontal="center" vertical="center"/>
    </xf>
    <xf numFmtId="0" fontId="7" fillId="10" borderId="3" xfId="0" applyFont="1" applyFill="1" applyBorder="1" applyAlignment="1">
      <alignment horizontal="center" vertical="center"/>
    </xf>
    <xf numFmtId="0" fontId="4" fillId="0" borderId="209" xfId="0" applyFont="1" applyBorder="1" applyAlignment="1">
      <alignment horizontal="center" vertical="center"/>
    </xf>
    <xf numFmtId="0" fontId="4" fillId="8" borderId="299" xfId="0" applyFont="1" applyFill="1" applyBorder="1" applyAlignment="1">
      <alignment horizontal="center" vertical="center"/>
    </xf>
    <xf numFmtId="3" fontId="4" fillId="8" borderId="331" xfId="0" applyNumberFormat="1" applyFont="1" applyFill="1" applyBorder="1" applyAlignment="1">
      <alignment horizontal="center" vertical="center"/>
    </xf>
    <xf numFmtId="2" fontId="4" fillId="8" borderId="329" xfId="0" applyNumberFormat="1" applyFont="1" applyFill="1" applyBorder="1" applyAlignment="1">
      <alignment horizontal="center" vertical="center"/>
    </xf>
    <xf numFmtId="1" fontId="4" fillId="0" borderId="331" xfId="0" applyNumberFormat="1" applyFont="1" applyBorder="1" applyAlignment="1">
      <alignment horizontal="center" vertical="center"/>
    </xf>
    <xf numFmtId="0" fontId="4" fillId="41" borderId="1" xfId="0" applyFont="1" applyFill="1" applyBorder="1" applyAlignment="1">
      <alignment horizontal="center" vertical="center"/>
    </xf>
    <xf numFmtId="0" fontId="4" fillId="24" borderId="26" xfId="0" applyFont="1" applyFill="1" applyBorder="1" applyAlignment="1">
      <alignment horizontal="center" vertical="center"/>
    </xf>
    <xf numFmtId="0" fontId="4" fillId="19" borderId="1" xfId="0" applyFont="1" applyFill="1" applyBorder="1" applyAlignment="1">
      <alignment horizontal="center" vertical="center"/>
    </xf>
    <xf numFmtId="0" fontId="7" fillId="6" borderId="332" xfId="0" applyFont="1" applyFill="1" applyBorder="1" applyAlignment="1">
      <alignment horizontal="center" vertical="center" textRotation="255" wrapText="1"/>
    </xf>
    <xf numFmtId="0" fontId="7" fillId="5" borderId="332" xfId="0" applyFont="1" applyFill="1" applyBorder="1" applyAlignment="1">
      <alignment horizontal="center" vertical="center" wrapText="1"/>
    </xf>
    <xf numFmtId="0" fontId="7" fillId="6" borderId="332" xfId="0" applyFont="1" applyFill="1" applyBorder="1" applyAlignment="1">
      <alignment horizontal="center" vertical="center" wrapText="1"/>
    </xf>
    <xf numFmtId="0" fontId="7" fillId="2" borderId="332" xfId="0" applyFont="1" applyFill="1" applyBorder="1" applyAlignment="1">
      <alignment horizontal="center" vertical="center" wrapText="1"/>
    </xf>
    <xf numFmtId="0" fontId="7" fillId="2" borderId="332" xfId="0" applyFont="1" applyFill="1" applyBorder="1" applyAlignment="1">
      <alignment horizontal="center" vertical="center"/>
    </xf>
    <xf numFmtId="0" fontId="7" fillId="10" borderId="332" xfId="0" applyFont="1" applyFill="1" applyBorder="1" applyAlignment="1">
      <alignment horizontal="center" vertical="center" textRotation="90" wrapText="1"/>
    </xf>
    <xf numFmtId="0" fontId="7" fillId="24" borderId="332" xfId="0" applyFont="1" applyFill="1" applyBorder="1" applyAlignment="1">
      <alignment horizontal="center" vertical="center" textRotation="90" wrapText="1"/>
    </xf>
    <xf numFmtId="169" fontId="7" fillId="24" borderId="332" xfId="0" applyNumberFormat="1" applyFont="1" applyFill="1" applyBorder="1" applyAlignment="1">
      <alignment horizontal="center" vertical="center" textRotation="90" wrapText="1"/>
    </xf>
    <xf numFmtId="0" fontId="7" fillId="6" borderId="332" xfId="0" applyFont="1" applyFill="1" applyBorder="1" applyAlignment="1">
      <alignment horizontal="center" vertical="center" textRotation="90" wrapText="1"/>
    </xf>
    <xf numFmtId="0" fontId="35" fillId="14" borderId="332" xfId="0" applyFont="1" applyFill="1" applyBorder="1" applyAlignment="1">
      <alignment horizontal="center" vertical="center" textRotation="90" wrapText="1"/>
    </xf>
    <xf numFmtId="0" fontId="35" fillId="15" borderId="332" xfId="0" applyFont="1" applyFill="1" applyBorder="1" applyAlignment="1">
      <alignment horizontal="center" vertical="center" textRotation="90" wrapText="1"/>
    </xf>
    <xf numFmtId="0" fontId="7" fillId="12" borderId="332" xfId="0" applyFont="1" applyFill="1" applyBorder="1" applyAlignment="1">
      <alignment horizontal="center" vertical="center" wrapText="1"/>
    </xf>
    <xf numFmtId="0" fontId="7" fillId="5" borderId="332" xfId="0" applyFont="1" applyFill="1" applyBorder="1" applyAlignment="1">
      <alignment horizontal="center" vertical="center"/>
    </xf>
    <xf numFmtId="0" fontId="7" fillId="5" borderId="332" xfId="0" applyFont="1" applyFill="1" applyBorder="1" applyAlignment="1">
      <alignment horizontal="center" vertical="center" textRotation="90" wrapText="1"/>
    </xf>
    <xf numFmtId="0" fontId="4" fillId="0" borderId="335" xfId="0" applyFont="1" applyBorder="1" applyAlignment="1">
      <alignment horizontal="center" vertical="center"/>
    </xf>
    <xf numFmtId="0" fontId="41" fillId="18" borderId="0" xfId="0" applyFont="1" applyFill="1" applyAlignment="1">
      <alignment horizontal="right" vertical="center" indent="1"/>
    </xf>
    <xf numFmtId="0" fontId="46" fillId="18" borderId="0" xfId="0" applyFont="1" applyFill="1" applyAlignment="1">
      <alignment horizontal="left" vertical="center" indent="1"/>
    </xf>
    <xf numFmtId="2" fontId="7" fillId="17" borderId="333" xfId="0" applyNumberFormat="1" applyFont="1" applyFill="1" applyBorder="1" applyAlignment="1">
      <alignment horizontal="right" vertical="center"/>
    </xf>
    <xf numFmtId="0" fontId="7" fillId="0" borderId="335" xfId="0" applyFont="1" applyBorder="1" applyAlignment="1">
      <alignment horizontal="right"/>
    </xf>
    <xf numFmtId="0" fontId="49" fillId="0" borderId="335" xfId="0" applyFont="1" applyBorder="1" applyAlignment="1">
      <alignment horizontal="center" vertical="center"/>
    </xf>
    <xf numFmtId="170" fontId="7" fillId="0" borderId="0" xfId="0" applyNumberFormat="1" applyFont="1" applyAlignment="1">
      <alignment horizontal="center" vertical="center"/>
    </xf>
    <xf numFmtId="0" fontId="4" fillId="17" borderId="38" xfId="0" applyFont="1" applyFill="1" applyBorder="1" applyAlignment="1">
      <alignment horizontal="right" vertical="center" indent="1"/>
    </xf>
    <xf numFmtId="2" fontId="4" fillId="0" borderId="41" xfId="0" applyNumberFormat="1" applyFont="1" applyBorder="1" applyAlignment="1">
      <alignment horizontal="center" vertical="center"/>
    </xf>
    <xf numFmtId="0" fontId="4" fillId="4" borderId="49" xfId="0" applyFont="1" applyFill="1" applyBorder="1" applyAlignment="1">
      <alignment horizontal="center" vertical="center"/>
    </xf>
    <xf numFmtId="0" fontId="41" fillId="17" borderId="2" xfId="0" applyFont="1" applyFill="1" applyBorder="1" applyAlignment="1">
      <alignment horizontal="right" vertical="center" indent="1"/>
    </xf>
    <xf numFmtId="0" fontId="4" fillId="17" borderId="58" xfId="0" applyFont="1" applyFill="1" applyBorder="1" applyAlignment="1">
      <alignment horizontal="right" vertical="center" indent="1"/>
    </xf>
    <xf numFmtId="0" fontId="4" fillId="17" borderId="51" xfId="0" applyFont="1" applyFill="1" applyBorder="1" applyAlignment="1">
      <alignment horizontal="right" vertical="center" indent="1"/>
    </xf>
    <xf numFmtId="0" fontId="6" fillId="17" borderId="31" xfId="0" applyFont="1" applyFill="1" applyBorder="1" applyAlignment="1">
      <alignment horizontal="right" vertical="center"/>
    </xf>
    <xf numFmtId="1" fontId="6" fillId="17" borderId="41" xfId="0" applyNumberFormat="1" applyFont="1" applyFill="1" applyBorder="1" applyAlignment="1">
      <alignment horizontal="center" vertical="center"/>
    </xf>
    <xf numFmtId="0" fontId="2" fillId="24" borderId="49" xfId="0" applyFont="1" applyFill="1" applyBorder="1"/>
    <xf numFmtId="0" fontId="6" fillId="17" borderId="51" xfId="0" applyFont="1" applyFill="1" applyBorder="1" applyAlignment="1">
      <alignment horizontal="right" vertical="center"/>
    </xf>
    <xf numFmtId="0" fontId="49" fillId="0" borderId="241" xfId="0" applyFont="1" applyBorder="1" applyAlignment="1">
      <alignment horizontal="center" vertical="center"/>
    </xf>
    <xf numFmtId="0" fontId="2" fillId="24" borderId="48" xfId="0" applyFont="1" applyFill="1" applyBorder="1"/>
    <xf numFmtId="0" fontId="41" fillId="17" borderId="38" xfId="0" applyFont="1" applyFill="1" applyBorder="1" applyAlignment="1">
      <alignment horizontal="right" vertical="center"/>
    </xf>
    <xf numFmtId="0" fontId="41" fillId="17" borderId="49" xfId="0" applyFont="1" applyFill="1" applyBorder="1" applyAlignment="1">
      <alignment vertical="center"/>
    </xf>
    <xf numFmtId="0" fontId="41" fillId="17" borderId="2" xfId="0" applyFont="1" applyFill="1" applyBorder="1" applyAlignment="1">
      <alignment horizontal="right" vertical="center"/>
    </xf>
    <xf numFmtId="0" fontId="41" fillId="17" borderId="9" xfId="0" applyFont="1" applyFill="1" applyBorder="1" applyAlignment="1">
      <alignment vertical="center"/>
    </xf>
    <xf numFmtId="0" fontId="41" fillId="17" borderId="9" xfId="0" applyFont="1" applyFill="1" applyBorder="1" applyAlignment="1">
      <alignment horizontal="center" vertical="center"/>
    </xf>
    <xf numFmtId="0" fontId="41" fillId="17" borderId="3" xfId="0" applyFont="1" applyFill="1" applyBorder="1" applyAlignment="1">
      <alignment horizontal="right" vertical="center"/>
    </xf>
    <xf numFmtId="1" fontId="4" fillId="0" borderId="4" xfId="0" applyNumberFormat="1" applyFont="1" applyBorder="1" applyAlignment="1">
      <alignment horizontal="center" vertical="center"/>
    </xf>
    <xf numFmtId="2" fontId="4" fillId="0" borderId="244" xfId="0" applyNumberFormat="1" applyFont="1" applyBorder="1" applyAlignment="1">
      <alignment horizontal="center" vertical="center"/>
    </xf>
    <xf numFmtId="0" fontId="147" fillId="0" borderId="0" xfId="0" applyFont="1"/>
    <xf numFmtId="0" fontId="19" fillId="7" borderId="336" xfId="0" applyFont="1" applyFill="1" applyBorder="1" applyAlignment="1" applyProtection="1">
      <alignment horizontal="center" vertical="center"/>
      <protection locked="0"/>
    </xf>
    <xf numFmtId="0" fontId="19" fillId="7" borderId="332" xfId="0" applyFont="1" applyFill="1" applyBorder="1" applyAlignment="1" applyProtection="1">
      <alignment horizontal="center" vertical="center"/>
      <protection locked="0"/>
    </xf>
    <xf numFmtId="0" fontId="7" fillId="0" borderId="336" xfId="0" applyFont="1" applyBorder="1" applyAlignment="1">
      <alignment horizontal="center" vertical="center"/>
    </xf>
    <xf numFmtId="0" fontId="7" fillId="8" borderId="336" xfId="0" applyFont="1" applyFill="1" applyBorder="1" applyAlignment="1">
      <alignment horizontal="center" vertical="center"/>
    </xf>
    <xf numFmtId="0" fontId="7" fillId="8" borderId="333" xfId="0" applyFont="1" applyFill="1" applyBorder="1" applyAlignment="1">
      <alignment horizontal="center" vertical="center"/>
    </xf>
    <xf numFmtId="0" fontId="7" fillId="3" borderId="0" xfId="0" applyFont="1" applyFill="1" applyAlignment="1">
      <alignment horizontal="center" vertical="center"/>
    </xf>
    <xf numFmtId="0" fontId="7" fillId="0" borderId="157" xfId="0" applyFont="1" applyBorder="1" applyAlignment="1">
      <alignment horizontal="center" vertical="center"/>
    </xf>
    <xf numFmtId="0" fontId="49" fillId="0" borderId="4" xfId="0" applyFont="1" applyBorder="1" applyAlignment="1">
      <alignment horizontal="center" vertical="center"/>
    </xf>
    <xf numFmtId="0" fontId="49" fillId="0" borderId="20" xfId="0" applyFont="1" applyBorder="1" applyAlignment="1">
      <alignment vertical="center"/>
    </xf>
    <xf numFmtId="0" fontId="49" fillId="0" borderId="4" xfId="0" applyFont="1" applyBorder="1" applyAlignment="1">
      <alignment vertical="center"/>
    </xf>
    <xf numFmtId="0" fontId="49" fillId="0" borderId="16" xfId="0" applyFont="1" applyBorder="1" applyAlignment="1">
      <alignment vertical="center"/>
    </xf>
    <xf numFmtId="2" fontId="49" fillId="0" borderId="20" xfId="0" applyNumberFormat="1" applyFont="1" applyBorder="1" applyAlignment="1">
      <alignment horizontal="center" vertical="center"/>
    </xf>
    <xf numFmtId="2" fontId="49" fillId="0" borderId="4" xfId="0" applyNumberFormat="1" applyFont="1" applyBorder="1" applyAlignment="1">
      <alignment horizontal="center" vertical="center"/>
    </xf>
    <xf numFmtId="2" fontId="49" fillId="0" borderId="16" xfId="0" applyNumberFormat="1" applyFont="1" applyBorder="1" applyAlignment="1">
      <alignment horizontal="center" vertical="center"/>
    </xf>
    <xf numFmtId="0" fontId="7" fillId="0" borderId="18" xfId="0" applyFont="1" applyBorder="1" applyAlignment="1">
      <alignment horizontal="center" vertical="center"/>
    </xf>
    <xf numFmtId="0" fontId="7" fillId="0" borderId="245" xfId="0" applyFont="1" applyBorder="1" applyAlignment="1">
      <alignment horizontal="center" vertical="center"/>
    </xf>
    <xf numFmtId="1" fontId="49" fillId="0" borderId="159" xfId="0" applyNumberFormat="1" applyFont="1" applyBorder="1" applyAlignment="1">
      <alignment horizontal="center" vertical="center"/>
    </xf>
    <xf numFmtId="169" fontId="4" fillId="0" borderId="97" xfId="0" applyNumberFormat="1" applyFont="1" applyBorder="1" applyAlignment="1">
      <alignment horizontal="center" vertical="center"/>
    </xf>
    <xf numFmtId="0" fontId="218" fillId="0" borderId="16" xfId="0" applyFont="1" applyBorder="1" applyAlignment="1">
      <alignment horizontal="center" vertical="center"/>
    </xf>
    <xf numFmtId="0" fontId="218" fillId="17" borderId="16" xfId="0" applyFont="1" applyFill="1" applyBorder="1" applyAlignment="1">
      <alignment horizontal="center" vertical="center"/>
    </xf>
    <xf numFmtId="0" fontId="102" fillId="17" borderId="16" xfId="0" applyFont="1" applyFill="1" applyBorder="1" applyAlignment="1">
      <alignment horizontal="center" vertical="center"/>
    </xf>
    <xf numFmtId="0" fontId="7" fillId="0" borderId="125" xfId="0" applyFont="1" applyBorder="1" applyAlignment="1">
      <alignment horizontal="center" vertical="center"/>
    </xf>
    <xf numFmtId="0" fontId="49" fillId="0" borderId="334" xfId="0" applyFont="1" applyBorder="1" applyAlignment="1">
      <alignment horizontal="center" vertical="center"/>
    </xf>
    <xf numFmtId="0" fontId="49" fillId="0" borderId="196" xfId="0" applyFont="1" applyBorder="1" applyAlignment="1">
      <alignment horizontal="center" vertical="center"/>
    </xf>
    <xf numFmtId="0" fontId="4" fillId="0" borderId="337" xfId="0" applyFont="1" applyBorder="1" applyAlignment="1">
      <alignment horizontal="center" vertical="center"/>
    </xf>
    <xf numFmtId="0" fontId="4" fillId="17" borderId="338" xfId="0" applyFont="1" applyFill="1" applyBorder="1" applyAlignment="1">
      <alignment horizontal="center" vertical="center"/>
    </xf>
    <xf numFmtId="0" fontId="79" fillId="2" borderId="338" xfId="0" applyFont="1" applyFill="1" applyBorder="1" applyAlignment="1">
      <alignment horizontal="center" vertical="center" wrapText="1"/>
    </xf>
    <xf numFmtId="0" fontId="78" fillId="2" borderId="338" xfId="0" applyFont="1" applyFill="1" applyBorder="1" applyAlignment="1">
      <alignment horizontal="center" vertical="center" wrapText="1"/>
    </xf>
    <xf numFmtId="0" fontId="7" fillId="17" borderId="336" xfId="0" applyFont="1" applyFill="1" applyBorder="1" applyAlignment="1">
      <alignment horizontal="center" vertical="center"/>
    </xf>
    <xf numFmtId="0" fontId="4" fillId="0" borderId="339" xfId="0" applyFont="1" applyBorder="1" applyAlignment="1">
      <alignment horizontal="center" vertical="center"/>
    </xf>
    <xf numFmtId="0" fontId="7" fillId="0" borderId="339" xfId="0" applyFont="1" applyBorder="1" applyAlignment="1">
      <alignment horizontal="center" vertical="center"/>
    </xf>
    <xf numFmtId="0" fontId="7" fillId="8" borderId="339" xfId="0" applyFont="1" applyFill="1" applyBorder="1" applyAlignment="1">
      <alignment horizontal="center" vertical="center"/>
    </xf>
    <xf numFmtId="0" fontId="7" fillId="0" borderId="6" xfId="0" applyFont="1" applyBorder="1" applyAlignment="1">
      <alignment horizontal="center" vertical="center"/>
    </xf>
    <xf numFmtId="0" fontId="4" fillId="17" borderId="223" xfId="0" applyFont="1" applyFill="1" applyBorder="1" applyAlignment="1">
      <alignment horizontal="right" vertical="center"/>
    </xf>
    <xf numFmtId="0" fontId="4" fillId="17" borderId="224" xfId="0" applyFont="1" applyFill="1" applyBorder="1" applyAlignment="1">
      <alignment horizontal="center" vertical="center"/>
    </xf>
    <xf numFmtId="0" fontId="7" fillId="17" borderId="225" xfId="0" applyFont="1" applyFill="1" applyBorder="1" applyAlignment="1">
      <alignment horizontal="right" vertical="center"/>
    </xf>
    <xf numFmtId="0" fontId="4" fillId="17" borderId="225" xfId="0" applyFont="1" applyFill="1" applyBorder="1" applyAlignment="1">
      <alignment horizontal="right" vertical="center"/>
    </xf>
    <xf numFmtId="0" fontId="4" fillId="17" borderId="209" xfId="0" applyFont="1" applyFill="1" applyBorder="1" applyAlignment="1">
      <alignment horizontal="right" vertical="center"/>
    </xf>
    <xf numFmtId="0" fontId="4" fillId="17" borderId="211" xfId="0" applyFont="1" applyFill="1" applyBorder="1" applyAlignment="1">
      <alignment horizontal="center" vertical="center"/>
    </xf>
    <xf numFmtId="169" fontId="4" fillId="0" borderId="244" xfId="0" applyNumberFormat="1" applyFont="1" applyBorder="1" applyAlignment="1">
      <alignment horizontal="center" vertical="center"/>
    </xf>
    <xf numFmtId="2" fontId="7" fillId="0" borderId="244" xfId="0" applyNumberFormat="1" applyFont="1" applyBorder="1" applyAlignment="1">
      <alignment horizontal="center" vertical="center"/>
    </xf>
    <xf numFmtId="2" fontId="7" fillId="0" borderId="41" xfId="0" applyNumberFormat="1" applyFont="1" applyBorder="1" applyAlignment="1">
      <alignment horizontal="center" vertical="center"/>
    </xf>
    <xf numFmtId="0" fontId="4" fillId="42" borderId="304" xfId="0" applyFont="1" applyFill="1" applyBorder="1" applyAlignment="1">
      <alignment horizontal="center" vertical="center"/>
    </xf>
    <xf numFmtId="0" fontId="4" fillId="0" borderId="161" xfId="0" applyFont="1" applyBorder="1" applyAlignment="1">
      <alignment horizontal="right" vertical="center" indent="1"/>
    </xf>
    <xf numFmtId="0" fontId="4" fillId="42" borderId="8" xfId="0" applyFont="1" applyFill="1" applyBorder="1" applyAlignment="1">
      <alignment horizontal="center" vertical="center"/>
    </xf>
    <xf numFmtId="0" fontId="0" fillId="24" borderId="3" xfId="0" applyFill="1" applyBorder="1"/>
    <xf numFmtId="0" fontId="41" fillId="17" borderId="48" xfId="0" applyFont="1" applyFill="1" applyBorder="1" applyAlignment="1">
      <alignment horizontal="center" vertical="center"/>
    </xf>
    <xf numFmtId="0" fontId="4" fillId="0" borderId="0" xfId="0" applyFont="1" applyAlignment="1">
      <alignment horizontal="centerContinuous" vertical="center"/>
    </xf>
    <xf numFmtId="0" fontId="7" fillId="0" borderId="344" xfId="0" applyFont="1" applyBorder="1" applyAlignment="1">
      <alignment horizontal="centerContinuous" vertical="center"/>
    </xf>
    <xf numFmtId="0" fontId="7" fillId="16" borderId="1" xfId="0" applyFont="1" applyFill="1" applyBorder="1" applyAlignment="1">
      <alignment horizontal="center" vertical="center" textRotation="90"/>
    </xf>
    <xf numFmtId="169" fontId="4" fillId="0" borderId="302" xfId="0" applyNumberFormat="1" applyFont="1" applyBorder="1" applyAlignment="1">
      <alignment horizontal="center" vertical="center"/>
    </xf>
    <xf numFmtId="0" fontId="221" fillId="0" borderId="345" xfId="0" applyFont="1" applyBorder="1" applyAlignment="1" applyProtection="1">
      <alignment horizontal="center" vertical="center"/>
      <protection locked="0"/>
    </xf>
    <xf numFmtId="0" fontId="7" fillId="8" borderId="344" xfId="0" applyFont="1" applyFill="1" applyBorder="1" applyAlignment="1">
      <alignment horizontal="center" vertical="center"/>
    </xf>
    <xf numFmtId="0" fontId="7" fillId="17" borderId="345" xfId="0" applyFont="1" applyFill="1" applyBorder="1" applyAlignment="1">
      <alignment horizontal="center" vertical="center"/>
    </xf>
    <xf numFmtId="0" fontId="7" fillId="8" borderId="345" xfId="0" applyFont="1" applyFill="1" applyBorder="1" applyAlignment="1">
      <alignment horizontal="center" vertical="center"/>
    </xf>
    <xf numFmtId="0" fontId="4" fillId="17" borderId="346" xfId="0" applyFont="1" applyFill="1" applyBorder="1" applyAlignment="1">
      <alignment horizontal="center" vertical="center"/>
    </xf>
    <xf numFmtId="4" fontId="4" fillId="17" borderId="113" xfId="0" applyNumberFormat="1" applyFont="1" applyFill="1" applyBorder="1" applyAlignment="1">
      <alignment horizontal="center" vertical="center"/>
    </xf>
    <xf numFmtId="168" fontId="4" fillId="17" borderId="331" xfId="0" applyNumberFormat="1" applyFont="1" applyFill="1" applyBorder="1" applyAlignment="1">
      <alignment horizontal="center" vertical="center"/>
    </xf>
    <xf numFmtId="168" fontId="4" fillId="16" borderId="194" xfId="0" applyNumberFormat="1" applyFont="1" applyFill="1" applyBorder="1" applyAlignment="1">
      <alignment horizontal="center" vertical="center"/>
    </xf>
    <xf numFmtId="0" fontId="4" fillId="16" borderId="331" xfId="0" applyFont="1" applyFill="1" applyBorder="1" applyAlignment="1">
      <alignment vertical="center"/>
    </xf>
    <xf numFmtId="0" fontId="4" fillId="16" borderId="331" xfId="0" applyFont="1" applyFill="1" applyBorder="1" applyAlignment="1">
      <alignment horizontal="center" vertical="center"/>
    </xf>
    <xf numFmtId="168" fontId="4" fillId="16" borderId="331" xfId="0" applyNumberFormat="1" applyFont="1" applyFill="1" applyBorder="1" applyAlignment="1">
      <alignment horizontal="center" vertical="center"/>
    </xf>
    <xf numFmtId="0" fontId="225" fillId="0" borderId="9" xfId="0" applyFont="1" applyBorder="1" applyAlignment="1" applyProtection="1">
      <alignment horizontal="center" vertical="center"/>
      <protection locked="0"/>
    </xf>
    <xf numFmtId="0" fontId="4" fillId="0" borderId="346" xfId="0" applyFont="1" applyBorder="1" applyAlignment="1">
      <alignment horizontal="center" vertical="center"/>
    </xf>
    <xf numFmtId="1" fontId="225" fillId="7" borderId="342" xfId="0" applyNumberFormat="1" applyFont="1" applyFill="1" applyBorder="1" applyAlignment="1" applyProtection="1">
      <alignment horizontal="center" vertical="center"/>
      <protection locked="0"/>
    </xf>
    <xf numFmtId="0" fontId="4" fillId="0" borderId="349" xfId="0" applyFont="1" applyBorder="1" applyAlignment="1">
      <alignment horizontal="left" vertical="center"/>
    </xf>
    <xf numFmtId="0" fontId="4" fillId="0" borderId="349" xfId="0" applyFont="1" applyBorder="1" applyAlignment="1">
      <alignment horizontal="center" vertical="center"/>
    </xf>
    <xf numFmtId="167" fontId="4" fillId="0" borderId="349" xfId="0" applyNumberFormat="1" applyFont="1" applyBorder="1" applyAlignment="1">
      <alignment horizontal="center" vertical="center"/>
    </xf>
    <xf numFmtId="0" fontId="4" fillId="4" borderId="38"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7" xfId="0" applyFont="1" applyFill="1" applyBorder="1" applyAlignment="1">
      <alignment horizontal="center" vertical="center"/>
    </xf>
    <xf numFmtId="0" fontId="4" fillId="34" borderId="49" xfId="0" applyFont="1" applyFill="1" applyBorder="1" applyAlignment="1">
      <alignment horizontal="center" vertical="center"/>
    </xf>
    <xf numFmtId="0" fontId="4" fillId="34" borderId="9" xfId="0" applyFont="1" applyFill="1" applyBorder="1" applyAlignment="1">
      <alignment horizontal="center" vertical="center"/>
    </xf>
    <xf numFmtId="0" fontId="4" fillId="43" borderId="9" xfId="0" applyFont="1" applyFill="1" applyBorder="1" applyAlignment="1">
      <alignment horizontal="center" vertical="center"/>
    </xf>
    <xf numFmtId="0" fontId="4" fillId="22" borderId="0" xfId="0" applyFont="1" applyFill="1" applyAlignment="1">
      <alignment horizontal="center" vertical="center"/>
    </xf>
    <xf numFmtId="0" fontId="7" fillId="24" borderId="2" xfId="0" applyFont="1" applyFill="1" applyBorder="1" applyAlignment="1">
      <alignment horizontal="center" vertical="center"/>
    </xf>
    <xf numFmtId="0" fontId="7" fillId="24" borderId="2" xfId="0" applyFont="1" applyFill="1" applyBorder="1" applyAlignment="1">
      <alignment horizontal="right" vertical="center"/>
    </xf>
    <xf numFmtId="0" fontId="84" fillId="24" borderId="2" xfId="0" applyFont="1" applyFill="1" applyBorder="1" applyAlignment="1">
      <alignment horizontal="right" vertical="center"/>
    </xf>
    <xf numFmtId="0" fontId="216" fillId="24" borderId="2" xfId="0" applyFont="1" applyFill="1" applyBorder="1" applyAlignment="1">
      <alignment horizontal="right" vertical="center"/>
    </xf>
    <xf numFmtId="0" fontId="79" fillId="10" borderId="2" xfId="0" applyFont="1" applyFill="1" applyBorder="1" applyAlignment="1">
      <alignment horizontal="center" vertical="center"/>
    </xf>
    <xf numFmtId="0" fontId="36" fillId="10" borderId="11" xfId="0" applyFont="1" applyFill="1" applyBorder="1" applyAlignment="1">
      <alignment horizontal="center" vertical="center"/>
    </xf>
    <xf numFmtId="0" fontId="7" fillId="10" borderId="11" xfId="0" applyFont="1" applyFill="1" applyBorder="1" applyAlignment="1">
      <alignment horizontal="center" vertical="center"/>
    </xf>
    <xf numFmtId="0" fontId="7" fillId="10" borderId="161" xfId="0" applyFont="1" applyFill="1" applyBorder="1" applyAlignment="1">
      <alignment horizontal="center" vertical="center"/>
    </xf>
    <xf numFmtId="0" fontId="7" fillId="39" borderId="342" xfId="0" applyFont="1" applyFill="1" applyBorder="1" applyAlignment="1">
      <alignment horizontal="center" vertical="center"/>
    </xf>
    <xf numFmtId="0" fontId="36" fillId="10" borderId="161" xfId="0" applyFont="1" applyFill="1" applyBorder="1" applyAlignment="1">
      <alignment horizontal="center" vertical="center"/>
    </xf>
    <xf numFmtId="0" fontId="79" fillId="10" borderId="161" xfId="0" applyFont="1" applyFill="1" applyBorder="1" applyAlignment="1">
      <alignment horizontal="center" vertical="center"/>
    </xf>
    <xf numFmtId="0" fontId="49" fillId="0" borderId="332" xfId="0" applyFont="1" applyBorder="1" applyAlignment="1">
      <alignment horizontal="center" vertical="center"/>
    </xf>
    <xf numFmtId="0" fontId="7" fillId="10" borderId="69" xfId="0" applyFont="1" applyFill="1" applyBorder="1" applyAlignment="1">
      <alignment horizontal="center" vertical="center"/>
    </xf>
    <xf numFmtId="0" fontId="36" fillId="10" borderId="51" xfId="0" applyFont="1" applyFill="1" applyBorder="1" applyAlignment="1">
      <alignment horizontal="center" vertical="center"/>
    </xf>
    <xf numFmtId="0" fontId="7" fillId="10" borderId="51" xfId="0" applyFont="1" applyFill="1" applyBorder="1" applyAlignment="1">
      <alignment horizontal="center" vertical="center"/>
    </xf>
    <xf numFmtId="0" fontId="7" fillId="24" borderId="38" xfId="0" applyFont="1" applyFill="1" applyBorder="1" applyAlignment="1">
      <alignment horizontal="center" vertical="center"/>
    </xf>
    <xf numFmtId="0" fontId="4" fillId="0" borderId="49" xfId="0" applyFont="1" applyBorder="1" applyAlignment="1">
      <alignment horizontal="left" vertical="center" indent="1"/>
    </xf>
    <xf numFmtId="0" fontId="4" fillId="24" borderId="9" xfId="0" applyFont="1" applyFill="1" applyBorder="1" applyAlignment="1">
      <alignment horizontal="left" vertical="center" indent="1"/>
    </xf>
    <xf numFmtId="0" fontId="4" fillId="24" borderId="9" xfId="0" applyFont="1" applyFill="1" applyBorder="1" applyAlignment="1">
      <alignment vertical="center"/>
    </xf>
    <xf numFmtId="0" fontId="7" fillId="24" borderId="31" xfId="0" applyFont="1" applyFill="1" applyBorder="1" applyAlignment="1">
      <alignment horizontal="right" vertical="center" indent="1"/>
    </xf>
    <xf numFmtId="0" fontId="25" fillId="24" borderId="60" xfId="0" applyFont="1" applyFill="1" applyBorder="1" applyAlignment="1">
      <alignment horizontal="center" vertical="center"/>
    </xf>
    <xf numFmtId="0" fontId="7" fillId="29" borderId="0" xfId="0" applyFont="1" applyFill="1" applyAlignment="1">
      <alignment horizontal="center" vertical="center"/>
    </xf>
    <xf numFmtId="0" fontId="4" fillId="29" borderId="0" xfId="0" applyFont="1" applyFill="1" applyAlignment="1">
      <alignment vertical="center"/>
    </xf>
    <xf numFmtId="0" fontId="36" fillId="10" borderId="69" xfId="0" applyFont="1" applyFill="1" applyBorder="1" applyAlignment="1">
      <alignment horizontal="center" vertical="center"/>
    </xf>
    <xf numFmtId="0" fontId="94" fillId="17" borderId="49" xfId="0" applyFont="1" applyFill="1" applyBorder="1" applyAlignment="1">
      <alignment horizontal="center" vertical="center"/>
    </xf>
    <xf numFmtId="0" fontId="7" fillId="24" borderId="161" xfId="0" applyFont="1" applyFill="1" applyBorder="1" applyAlignment="1">
      <alignment horizontal="center" vertical="center" wrapText="1"/>
    </xf>
    <xf numFmtId="0" fontId="6" fillId="17" borderId="9" xfId="0" applyFont="1" applyFill="1" applyBorder="1" applyAlignment="1">
      <alignment horizontal="center" vertical="center"/>
    </xf>
    <xf numFmtId="0" fontId="7" fillId="24" borderId="69" xfId="0" applyFont="1" applyFill="1" applyBorder="1" applyAlignment="1">
      <alignment horizontal="center" vertical="center" wrapText="1"/>
    </xf>
    <xf numFmtId="0" fontId="6" fillId="17" borderId="48" xfId="0" applyFont="1" applyFill="1" applyBorder="1" applyAlignment="1">
      <alignment horizontal="center" vertical="center"/>
    </xf>
    <xf numFmtId="0" fontId="7" fillId="24" borderId="11" xfId="0" applyFont="1" applyFill="1" applyBorder="1" applyAlignment="1">
      <alignment horizontal="center" vertical="center" wrapText="1"/>
    </xf>
    <xf numFmtId="0" fontId="4" fillId="10" borderId="11" xfId="0" applyFont="1" applyFill="1" applyBorder="1" applyAlignment="1">
      <alignment horizontal="center" vertical="center"/>
    </xf>
    <xf numFmtId="0" fontId="4" fillId="10" borderId="161" xfId="0" applyFont="1" applyFill="1" applyBorder="1" applyAlignment="1">
      <alignment horizontal="center" vertical="center"/>
    </xf>
    <xf numFmtId="0" fontId="7" fillId="10" borderId="5" xfId="0" applyFont="1" applyFill="1" applyBorder="1" applyAlignment="1">
      <alignment horizontal="center" vertical="center"/>
    </xf>
    <xf numFmtId="0" fontId="4" fillId="0" borderId="182" xfId="0" applyFont="1" applyBorder="1" applyAlignment="1">
      <alignment horizontal="center" vertical="center"/>
    </xf>
    <xf numFmtId="2" fontId="4" fillId="0" borderId="182" xfId="0" applyNumberFormat="1" applyFont="1" applyBorder="1" applyAlignment="1">
      <alignment horizontal="center" vertical="center"/>
    </xf>
    <xf numFmtId="0" fontId="4" fillId="0" borderId="331" xfId="0" applyFont="1" applyBorder="1" applyAlignment="1">
      <alignment horizontal="center" vertical="center"/>
    </xf>
    <xf numFmtId="2" fontId="4" fillId="0" borderId="331" xfId="0" applyNumberFormat="1" applyFont="1" applyBorder="1" applyAlignment="1">
      <alignment horizontal="center" vertical="center"/>
    </xf>
    <xf numFmtId="2" fontId="4" fillId="0" borderId="276" xfId="0" applyNumberFormat="1" applyFont="1" applyBorder="1" applyAlignment="1">
      <alignment horizontal="center" vertical="center"/>
    </xf>
    <xf numFmtId="0" fontId="105" fillId="0" borderId="0" xfId="0" applyFont="1" applyAlignment="1">
      <alignment horizontal="right" vertical="center"/>
    </xf>
    <xf numFmtId="0" fontId="197" fillId="17" borderId="0" xfId="0" applyFont="1" applyFill="1" applyAlignment="1">
      <alignment vertical="center"/>
    </xf>
    <xf numFmtId="170" fontId="84" fillId="17" borderId="0" xfId="0" applyNumberFormat="1" applyFont="1" applyFill="1" applyAlignment="1">
      <alignment horizontal="right" vertical="center"/>
    </xf>
    <xf numFmtId="0" fontId="7" fillId="0" borderId="352" xfId="0" applyFont="1" applyBorder="1" applyAlignment="1">
      <alignment horizontal="center" vertical="center"/>
    </xf>
    <xf numFmtId="0" fontId="4" fillId="17" borderId="349" xfId="0" applyFont="1" applyFill="1" applyBorder="1" applyAlignment="1">
      <alignment horizontal="center" vertical="center"/>
    </xf>
    <xf numFmtId="0" fontId="4" fillId="17" borderId="347" xfId="0" applyFont="1" applyFill="1" applyBorder="1" applyAlignment="1">
      <alignment horizontal="center" vertical="center"/>
    </xf>
    <xf numFmtId="0" fontId="37" fillId="18" borderId="0" xfId="0" applyFont="1" applyFill="1" applyAlignment="1">
      <alignment horizontal="right" vertical="center"/>
    </xf>
    <xf numFmtId="0" fontId="7" fillId="16" borderId="2" xfId="0" applyFont="1" applyFill="1" applyBorder="1" applyAlignment="1">
      <alignment horizontal="center"/>
    </xf>
    <xf numFmtId="0" fontId="7" fillId="16" borderId="38" xfId="0" applyFont="1" applyFill="1" applyBorder="1" applyAlignment="1">
      <alignment horizontal="center"/>
    </xf>
    <xf numFmtId="0" fontId="7" fillId="16" borderId="40" xfId="0" applyFont="1" applyFill="1" applyBorder="1" applyAlignment="1">
      <alignment horizontal="center" wrapText="1"/>
    </xf>
    <xf numFmtId="0" fontId="7" fillId="16" borderId="0" xfId="0" applyFont="1" applyFill="1" applyAlignment="1">
      <alignment horizontal="center" wrapText="1"/>
    </xf>
    <xf numFmtId="0" fontId="42" fillId="16" borderId="0" xfId="0" applyFont="1" applyFill="1" applyAlignment="1">
      <alignment horizontal="right" vertical="center" indent="1"/>
    </xf>
    <xf numFmtId="0" fontId="42" fillId="16" borderId="0" xfId="0" applyFont="1" applyFill="1" applyAlignment="1">
      <alignment horizontal="right" vertical="center" wrapText="1" indent="1"/>
    </xf>
    <xf numFmtId="0" fontId="102" fillId="16" borderId="0" xfId="0" applyFont="1" applyFill="1" applyAlignment="1">
      <alignment vertical="center"/>
    </xf>
    <xf numFmtId="0" fontId="2" fillId="16" borderId="0" xfId="0" applyFont="1" applyFill="1" applyAlignment="1">
      <alignment horizontal="right" indent="1"/>
    </xf>
    <xf numFmtId="0" fontId="81" fillId="16" borderId="0" xfId="0" applyFont="1" applyFill="1" applyAlignment="1">
      <alignment horizontal="center" vertical="center"/>
    </xf>
    <xf numFmtId="0" fontId="151" fillId="16" borderId="0" xfId="0" applyFont="1" applyFill="1" applyAlignment="1">
      <alignment horizontal="left" vertical="center" indent="1"/>
    </xf>
    <xf numFmtId="0" fontId="102" fillId="16" borderId="0" xfId="0" applyFont="1" applyFill="1" applyAlignment="1">
      <alignment horizontal="right" vertical="center"/>
    </xf>
    <xf numFmtId="2" fontId="102" fillId="16" borderId="0" xfId="0" applyNumberFormat="1" applyFont="1" applyFill="1" applyAlignment="1">
      <alignment horizontal="center" vertical="center"/>
    </xf>
    <xf numFmtId="0" fontId="102" fillId="16" borderId="0" xfId="0" applyFont="1" applyFill="1" applyAlignment="1">
      <alignment horizontal="left" vertical="center"/>
    </xf>
    <xf numFmtId="169" fontId="4" fillId="16" borderId="0" xfId="0" applyNumberFormat="1" applyFont="1" applyFill="1" applyAlignment="1">
      <alignment horizontal="right" vertical="center" indent="1"/>
    </xf>
    <xf numFmtId="0" fontId="7" fillId="16" borderId="338" xfId="0" applyFont="1" applyFill="1" applyBorder="1" applyAlignment="1" applyProtection="1">
      <alignment horizontal="center" vertical="center"/>
      <protection locked="0"/>
    </xf>
    <xf numFmtId="0" fontId="102" fillId="16" borderId="0" xfId="0" applyFont="1" applyFill="1" applyAlignment="1">
      <alignment horizontal="left" vertical="center" indent="1"/>
    </xf>
    <xf numFmtId="0" fontId="101" fillId="16" borderId="0" xfId="0" applyFont="1" applyFill="1" applyAlignment="1">
      <alignment vertical="center"/>
    </xf>
    <xf numFmtId="0" fontId="101" fillId="16" borderId="0" xfId="0" applyFont="1" applyFill="1" applyAlignment="1">
      <alignment horizontal="right" vertical="top"/>
    </xf>
    <xf numFmtId="2" fontId="101" fillId="16" borderId="0" xfId="0" applyNumberFormat="1" applyFont="1" applyFill="1" applyAlignment="1">
      <alignment horizontal="center" vertical="top"/>
    </xf>
    <xf numFmtId="0" fontId="101" fillId="16" borderId="0" xfId="0" applyFont="1" applyFill="1" applyAlignment="1">
      <alignment horizontal="left" vertical="top"/>
    </xf>
    <xf numFmtId="0" fontId="152" fillId="16" borderId="0" xfId="0" applyFont="1" applyFill="1" applyAlignment="1">
      <alignment horizontal="center" vertical="center"/>
    </xf>
    <xf numFmtId="0" fontId="0" fillId="16" borderId="0" xfId="0" applyFill="1" applyAlignment="1">
      <alignment horizontal="center" vertical="center" wrapText="1"/>
    </xf>
    <xf numFmtId="0" fontId="42" fillId="16" borderId="0" xfId="0" applyFont="1" applyFill="1" applyAlignment="1">
      <alignment horizontal="center" vertical="center"/>
    </xf>
    <xf numFmtId="0" fontId="7" fillId="16" borderId="0" xfId="0" applyFont="1" applyFill="1" applyAlignment="1">
      <alignment horizontal="center"/>
    </xf>
    <xf numFmtId="0" fontId="45" fillId="16" borderId="0" xfId="0" applyFont="1" applyFill="1" applyAlignment="1">
      <alignment horizontal="center"/>
    </xf>
    <xf numFmtId="0" fontId="171" fillId="16" borderId="0" xfId="0" applyFont="1" applyFill="1" applyAlignment="1">
      <alignment horizontal="center"/>
    </xf>
    <xf numFmtId="0" fontId="171" fillId="16" borderId="0" xfId="0" applyFont="1" applyFill="1" applyAlignment="1">
      <alignment horizontal="center" vertical="top"/>
    </xf>
    <xf numFmtId="0" fontId="102" fillId="16" borderId="9" xfId="0" applyFont="1" applyFill="1" applyBorder="1" applyAlignment="1">
      <alignment vertical="center"/>
    </xf>
    <xf numFmtId="0" fontId="155" fillId="16" borderId="0" xfId="0" applyFont="1" applyFill="1" applyAlignment="1">
      <alignment horizontal="center" vertical="center"/>
    </xf>
    <xf numFmtId="0" fontId="7" fillId="16" borderId="0" xfId="0" applyFont="1" applyFill="1" applyAlignment="1">
      <alignment horizontal="center" vertical="center"/>
    </xf>
    <xf numFmtId="0" fontId="102" fillId="16" borderId="0" xfId="0" quotePrefix="1" applyFont="1" applyFill="1" applyAlignment="1">
      <alignment horizontal="right" vertical="center"/>
    </xf>
    <xf numFmtId="11" fontId="101" fillId="16" borderId="0" xfId="0" applyNumberFormat="1" applyFont="1" applyFill="1" applyAlignment="1">
      <alignment horizontal="center" vertical="center"/>
    </xf>
    <xf numFmtId="0" fontId="169" fillId="16" borderId="0" xfId="0" applyFont="1" applyFill="1" applyAlignment="1">
      <alignment horizontal="center" vertical="center"/>
    </xf>
    <xf numFmtId="170" fontId="7" fillId="16" borderId="0" xfId="0" applyNumberFormat="1" applyFont="1" applyFill="1" applyAlignment="1">
      <alignment horizontal="center" vertical="center"/>
    </xf>
    <xf numFmtId="1" fontId="101" fillId="16" borderId="0" xfId="0" applyNumberFormat="1" applyFont="1" applyFill="1" applyAlignment="1">
      <alignment horizontal="left" vertical="center"/>
    </xf>
    <xf numFmtId="0" fontId="151" fillId="16" borderId="0" xfId="0" applyFont="1" applyFill="1" applyAlignment="1">
      <alignment vertical="center"/>
    </xf>
    <xf numFmtId="0" fontId="151" fillId="16" borderId="9" xfId="0" applyFont="1" applyFill="1" applyBorder="1" applyAlignment="1">
      <alignment vertical="center"/>
    </xf>
    <xf numFmtId="0" fontId="150" fillId="16" borderId="0" xfId="0" applyFont="1" applyFill="1" applyAlignment="1">
      <alignment vertical="center"/>
    </xf>
    <xf numFmtId="170" fontId="102" fillId="16" borderId="0" xfId="0" applyNumberFormat="1" applyFont="1" applyFill="1" applyAlignment="1">
      <alignment horizontal="center" vertical="center"/>
    </xf>
    <xf numFmtId="0" fontId="102" fillId="16" borderId="0" xfId="0" applyFont="1" applyFill="1" applyAlignment="1">
      <alignment horizontal="center" vertical="center"/>
    </xf>
    <xf numFmtId="0" fontId="0" fillId="16" borderId="0" xfId="0" applyFill="1" applyAlignment="1">
      <alignment horizontal="center" vertical="center"/>
    </xf>
    <xf numFmtId="0" fontId="4" fillId="16" borderId="0" xfId="0" applyFont="1" applyFill="1" applyAlignment="1">
      <alignment horizontal="center" vertical="center"/>
    </xf>
    <xf numFmtId="0" fontId="153" fillId="16" borderId="0" xfId="0" applyFont="1" applyFill="1" applyAlignment="1">
      <alignment horizontal="right" vertical="center"/>
    </xf>
    <xf numFmtId="0" fontId="153" fillId="16" borderId="0" xfId="0" applyFont="1" applyFill="1" applyAlignment="1">
      <alignment vertical="top"/>
    </xf>
    <xf numFmtId="170" fontId="2" fillId="16" borderId="0" xfId="0" applyNumberFormat="1" applyFont="1" applyFill="1" applyAlignment="1">
      <alignment horizontal="center" vertical="top"/>
    </xf>
    <xf numFmtId="0" fontId="153" fillId="16" borderId="0" xfId="0" applyFont="1" applyFill="1" applyAlignment="1">
      <alignment horizontal="left" vertical="top"/>
    </xf>
    <xf numFmtId="0" fontId="102" fillId="16" borderId="0" xfId="0" applyFont="1" applyFill="1" applyAlignment="1">
      <alignment horizontal="center"/>
    </xf>
    <xf numFmtId="0" fontId="102" fillId="16" borderId="0" xfId="0" applyFont="1" applyFill="1" applyAlignment="1">
      <alignment horizontal="left"/>
    </xf>
    <xf numFmtId="168" fontId="102" fillId="16" borderId="0" xfId="0" applyNumberFormat="1" applyFont="1" applyFill="1" applyAlignment="1">
      <alignment horizontal="center" vertical="center"/>
    </xf>
    <xf numFmtId="0" fontId="0" fillId="16" borderId="0" xfId="0" applyFill="1"/>
    <xf numFmtId="2" fontId="102" fillId="16" borderId="0" xfId="0" applyNumberFormat="1" applyFont="1" applyFill="1" applyAlignment="1">
      <alignment horizontal="center"/>
    </xf>
    <xf numFmtId="0" fontId="122" fillId="16" borderId="0" xfId="0" applyFont="1" applyFill="1" applyAlignment="1">
      <alignment vertical="center"/>
    </xf>
    <xf numFmtId="2" fontId="4" fillId="16" borderId="0" xfId="0" applyNumberFormat="1" applyFont="1" applyFill="1" applyAlignment="1">
      <alignment horizontal="center" vertical="center"/>
    </xf>
    <xf numFmtId="0" fontId="0" fillId="16" borderId="0" xfId="0" applyFill="1" applyAlignment="1">
      <alignment horizontal="right"/>
    </xf>
    <xf numFmtId="0" fontId="101" fillId="16" borderId="0" xfId="0" applyFont="1" applyFill="1" applyAlignment="1">
      <alignment horizontal="left" vertical="center"/>
    </xf>
    <xf numFmtId="1" fontId="102" fillId="16" borderId="0" xfId="0" applyNumberFormat="1" applyFont="1" applyFill="1" applyAlignment="1">
      <alignment horizontal="center" vertical="center"/>
    </xf>
    <xf numFmtId="0" fontId="102" fillId="16" borderId="9" xfId="0" applyFont="1" applyFill="1" applyBorder="1" applyAlignment="1">
      <alignment horizontal="left" vertical="center"/>
    </xf>
    <xf numFmtId="0" fontId="7" fillId="16" borderId="0" xfId="0" applyFont="1" applyFill="1" applyAlignment="1">
      <alignment vertical="center"/>
    </xf>
    <xf numFmtId="0" fontId="7" fillId="16" borderId="0" xfId="0" applyFont="1" applyFill="1" applyAlignment="1">
      <alignment horizontal="right" vertical="center"/>
    </xf>
    <xf numFmtId="2" fontId="7" fillId="16" borderId="0" xfId="0" applyNumberFormat="1" applyFont="1" applyFill="1" applyAlignment="1">
      <alignment horizontal="center" vertical="center"/>
    </xf>
    <xf numFmtId="0" fontId="7" fillId="16" borderId="0" xfId="0" applyFont="1" applyFill="1" applyAlignment="1">
      <alignment horizontal="left" vertical="center"/>
    </xf>
    <xf numFmtId="0" fontId="4" fillId="16" borderId="0" xfId="0" applyFont="1" applyFill="1" applyAlignment="1">
      <alignment horizontal="right" vertical="center"/>
    </xf>
    <xf numFmtId="0" fontId="154" fillId="16" borderId="0" xfId="0" applyFont="1" applyFill="1" applyAlignment="1">
      <alignment horizontal="center" vertical="center"/>
    </xf>
    <xf numFmtId="0" fontId="154" fillId="16" borderId="0" xfId="0" applyFont="1" applyFill="1" applyAlignment="1">
      <alignment vertical="center"/>
    </xf>
    <xf numFmtId="0" fontId="101" fillId="16" borderId="0" xfId="0" applyFont="1" applyFill="1" applyAlignment="1">
      <alignment horizontal="right" vertical="center"/>
    </xf>
    <xf numFmtId="2" fontId="101" fillId="16" borderId="0" xfId="0" applyNumberFormat="1" applyFont="1" applyFill="1" applyAlignment="1">
      <alignment horizontal="center" vertical="center"/>
    </xf>
    <xf numFmtId="0" fontId="133" fillId="16" borderId="0" xfId="0" applyFont="1" applyFill="1" applyAlignment="1">
      <alignment vertical="center"/>
    </xf>
    <xf numFmtId="170" fontId="102" fillId="16" borderId="0" xfId="0" applyNumberFormat="1" applyFont="1" applyFill="1" applyAlignment="1">
      <alignment horizontal="center" vertical="top"/>
    </xf>
    <xf numFmtId="0" fontId="102" fillId="16" borderId="0" xfId="0" applyFont="1" applyFill="1" applyAlignment="1">
      <alignment horizontal="left" vertical="top"/>
    </xf>
    <xf numFmtId="1" fontId="4" fillId="16" borderId="0" xfId="0" applyNumberFormat="1" applyFont="1" applyFill="1" applyAlignment="1">
      <alignment horizontal="center" vertical="center"/>
    </xf>
    <xf numFmtId="0" fontId="102" fillId="16" borderId="0" xfId="0" applyFont="1" applyFill="1" applyAlignment="1">
      <alignment horizontal="right" vertical="top"/>
    </xf>
    <xf numFmtId="2" fontId="102" fillId="16" borderId="0" xfId="0" applyNumberFormat="1" applyFont="1" applyFill="1" applyAlignment="1">
      <alignment horizontal="center" vertical="top"/>
    </xf>
    <xf numFmtId="0" fontId="7" fillId="16" borderId="40" xfId="0" applyFont="1" applyFill="1" applyBorder="1" applyAlignment="1">
      <alignment horizontal="center"/>
    </xf>
    <xf numFmtId="0" fontId="20" fillId="16" borderId="49" xfId="0" applyFont="1" applyFill="1" applyBorder="1" applyAlignment="1">
      <alignment horizontal="center"/>
    </xf>
    <xf numFmtId="0" fontId="20" fillId="16" borderId="9" xfId="0" applyFont="1" applyFill="1" applyBorder="1" applyAlignment="1">
      <alignment horizontal="center"/>
    </xf>
    <xf numFmtId="0" fontId="163" fillId="16" borderId="0" xfId="0" applyFont="1" applyFill="1" applyAlignment="1">
      <alignment horizontal="center" vertical="center"/>
    </xf>
    <xf numFmtId="0" fontId="149" fillId="16" borderId="0" xfId="0" applyFont="1" applyFill="1" applyAlignment="1">
      <alignment horizontal="center" vertical="center"/>
    </xf>
    <xf numFmtId="0" fontId="156" fillId="16" borderId="0" xfId="0" applyFont="1" applyFill="1" applyAlignment="1">
      <alignment horizontal="left" vertical="center"/>
    </xf>
    <xf numFmtId="0" fontId="151" fillId="16" borderId="0" xfId="0" applyFont="1" applyFill="1" applyAlignment="1">
      <alignment horizontal="right" vertical="center"/>
    </xf>
    <xf numFmtId="0" fontId="20" fillId="16" borderId="0" xfId="0" applyFont="1" applyFill="1" applyAlignment="1">
      <alignment horizontal="center" vertical="center"/>
    </xf>
    <xf numFmtId="0" fontId="102" fillId="16" borderId="0" xfId="0" applyFont="1" applyFill="1" applyAlignment="1">
      <alignment horizontal="left" vertical="center" wrapText="1" indent="1"/>
    </xf>
    <xf numFmtId="0" fontId="0" fillId="16" borderId="0" xfId="0" applyFill="1" applyAlignment="1">
      <alignment horizontal="left" wrapText="1" indent="1"/>
    </xf>
    <xf numFmtId="0" fontId="4" fillId="18" borderId="0" xfId="0" applyFont="1" applyFill="1" applyAlignment="1">
      <alignment horizontal="left" indent="1"/>
    </xf>
    <xf numFmtId="0" fontId="41" fillId="17" borderId="349" xfId="0" applyFont="1" applyFill="1" applyBorder="1" applyAlignment="1">
      <alignment horizontal="center" vertical="center"/>
    </xf>
    <xf numFmtId="0" fontId="4" fillId="18" borderId="0" xfId="0" applyFont="1" applyFill="1" applyAlignment="1">
      <alignment horizontal="left" vertical="center" indent="1"/>
    </xf>
    <xf numFmtId="0" fontId="73" fillId="18" borderId="0" xfId="0" applyFont="1" applyFill="1"/>
    <xf numFmtId="0" fontId="11" fillId="18" borderId="0" xfId="0" applyFont="1" applyFill="1" applyAlignment="1">
      <alignment horizontal="right" indent="1"/>
    </xf>
    <xf numFmtId="0" fontId="19" fillId="33" borderId="286" xfId="0" applyFont="1" applyFill="1" applyBorder="1" applyAlignment="1" applyProtection="1">
      <alignment horizontal="center" vertical="center"/>
      <protection locked="0"/>
    </xf>
    <xf numFmtId="0" fontId="19" fillId="33" borderId="324" xfId="0" applyFont="1" applyFill="1" applyBorder="1" applyAlignment="1" applyProtection="1">
      <alignment horizontal="center" vertical="center"/>
      <protection locked="0"/>
    </xf>
    <xf numFmtId="0" fontId="20" fillId="7" borderId="12" xfId="0" applyFont="1" applyFill="1" applyBorder="1" applyAlignment="1">
      <alignment horizontal="center" vertical="center"/>
    </xf>
    <xf numFmtId="170" fontId="20" fillId="7" borderId="12" xfId="0" applyNumberFormat="1" applyFont="1" applyFill="1" applyBorder="1" applyAlignment="1">
      <alignment horizontal="center" vertical="center"/>
    </xf>
    <xf numFmtId="0" fontId="7" fillId="10" borderId="344" xfId="0" applyFont="1" applyFill="1" applyBorder="1" applyAlignment="1">
      <alignment horizontal="centerContinuous" vertical="center"/>
    </xf>
    <xf numFmtId="1" fontId="12" fillId="10" borderId="344" xfId="0" applyNumberFormat="1" applyFont="1" applyFill="1" applyBorder="1" applyAlignment="1" applyProtection="1">
      <alignment vertical="center"/>
      <protection hidden="1"/>
    </xf>
    <xf numFmtId="0" fontId="200" fillId="17" borderId="0" xfId="0" applyFont="1" applyFill="1" applyAlignment="1">
      <alignment horizontal="left" vertical="center" indent="2"/>
    </xf>
    <xf numFmtId="0" fontId="84" fillId="0" borderId="321" xfId="0" applyFont="1" applyBorder="1" applyAlignment="1" applyProtection="1">
      <alignment horizontal="center" vertical="center"/>
      <protection locked="0"/>
    </xf>
    <xf numFmtId="0" fontId="7" fillId="8" borderId="353" xfId="0" applyFont="1" applyFill="1" applyBorder="1" applyAlignment="1">
      <alignment horizontal="center" vertical="center"/>
    </xf>
    <xf numFmtId="0" fontId="7" fillId="0" borderId="353" xfId="0" applyFont="1" applyBorder="1" applyAlignment="1">
      <alignment horizontal="center" vertical="center"/>
    </xf>
    <xf numFmtId="0" fontId="7" fillId="38" borderId="1" xfId="0" applyFont="1" applyFill="1" applyBorder="1" applyAlignment="1">
      <alignment horizontal="center" vertical="center" textRotation="90"/>
    </xf>
    <xf numFmtId="49" fontId="2" fillId="0" borderId="2" xfId="0" applyNumberFormat="1" applyFont="1" applyBorder="1" applyAlignment="1">
      <alignment horizontal="center" vertical="center" wrapText="1"/>
    </xf>
    <xf numFmtId="0" fontId="4" fillId="0" borderId="353" xfId="0" applyFont="1" applyBorder="1" applyAlignment="1">
      <alignment horizontal="left" vertical="center"/>
    </xf>
    <xf numFmtId="0" fontId="4" fillId="0" borderId="353" xfId="0" applyFont="1" applyBorder="1" applyAlignment="1">
      <alignment horizontal="center" vertical="center"/>
    </xf>
    <xf numFmtId="11" fontId="19" fillId="0" borderId="308" xfId="0" applyNumberFormat="1" applyFont="1" applyBorder="1" applyAlignment="1" applyProtection="1">
      <alignment horizontal="center" vertical="center"/>
      <protection locked="0"/>
    </xf>
    <xf numFmtId="173" fontId="195" fillId="17" borderId="0" xfId="0" applyNumberFormat="1" applyFont="1" applyFill="1"/>
    <xf numFmtId="0" fontId="195" fillId="17" borderId="0" xfId="0" applyFont="1" applyFill="1" applyAlignment="1">
      <alignment horizontal="center" vertical="center"/>
    </xf>
    <xf numFmtId="0" fontId="4" fillId="0" borderId="354" xfId="0" applyFont="1" applyBorder="1" applyAlignment="1">
      <alignment horizontal="center" vertical="center"/>
    </xf>
    <xf numFmtId="0" fontId="7" fillId="8" borderId="355" xfId="0" applyFont="1" applyFill="1" applyBorder="1" applyAlignment="1">
      <alignment horizontal="center" vertical="center"/>
    </xf>
    <xf numFmtId="0" fontId="7" fillId="0" borderId="354" xfId="0" applyFont="1" applyBorder="1" applyAlignment="1">
      <alignment horizontal="center" vertical="center"/>
    </xf>
    <xf numFmtId="0" fontId="7" fillId="38" borderId="354" xfId="0" applyFont="1" applyFill="1" applyBorder="1" applyAlignment="1">
      <alignment horizontal="center" vertical="center" textRotation="90"/>
    </xf>
    <xf numFmtId="0" fontId="4" fillId="17" borderId="332" xfId="0" applyFont="1" applyFill="1" applyBorder="1" applyAlignment="1">
      <alignment horizontal="center" vertical="center"/>
    </xf>
    <xf numFmtId="0" fontId="4" fillId="17" borderId="236" xfId="0" applyFont="1" applyFill="1" applyBorder="1" applyAlignment="1">
      <alignment horizontal="center" vertical="center"/>
    </xf>
    <xf numFmtId="0" fontId="4" fillId="0" borderId="356" xfId="0" applyFont="1" applyBorder="1" applyAlignment="1">
      <alignment horizontal="center" vertical="center"/>
    </xf>
    <xf numFmtId="0" fontId="142" fillId="17" borderId="0" xfId="0" applyFont="1" applyFill="1" applyAlignment="1">
      <alignment horizontal="center" vertical="top"/>
    </xf>
    <xf numFmtId="0" fontId="0" fillId="0" borderId="9" xfId="0" applyBorder="1" applyAlignment="1">
      <alignment vertical="center"/>
    </xf>
    <xf numFmtId="170" fontId="4" fillId="17" borderId="356" xfId="0" applyNumberFormat="1" applyFont="1" applyFill="1" applyBorder="1" applyAlignment="1">
      <alignment horizontal="center" vertical="center"/>
    </xf>
    <xf numFmtId="0" fontId="4" fillId="17" borderId="356" xfId="0" applyFont="1" applyFill="1" applyBorder="1" applyAlignment="1">
      <alignment horizontal="center" vertical="center"/>
    </xf>
    <xf numFmtId="0" fontId="4" fillId="17" borderId="342" xfId="0" applyFont="1" applyFill="1" applyBorder="1" applyAlignment="1">
      <alignment horizontal="center" vertical="center"/>
    </xf>
    <xf numFmtId="49" fontId="2" fillId="0" borderId="3" xfId="0" applyNumberFormat="1" applyFont="1" applyBorder="1" applyAlignment="1">
      <alignment horizontal="center" vertical="center" wrapText="1"/>
    </xf>
    <xf numFmtId="0" fontId="7" fillId="0" borderId="358" xfId="0" applyFont="1" applyBorder="1" applyAlignment="1">
      <alignment horizontal="center" vertical="center"/>
    </xf>
    <xf numFmtId="0" fontId="7" fillId="8" borderId="358" xfId="0" applyFont="1" applyFill="1" applyBorder="1" applyAlignment="1">
      <alignment horizontal="center" vertical="center"/>
    </xf>
    <xf numFmtId="0" fontId="4" fillId="0" borderId="358" xfId="0" applyFont="1" applyBorder="1" applyAlignment="1">
      <alignment horizontal="left" vertical="center"/>
    </xf>
    <xf numFmtId="0" fontId="4" fillId="0" borderId="358" xfId="0" applyFont="1" applyBorder="1" applyAlignment="1">
      <alignment horizontal="center" vertical="center"/>
    </xf>
    <xf numFmtId="167" fontId="4" fillId="0" borderId="358" xfId="0" applyNumberFormat="1" applyFont="1" applyBorder="1" applyAlignment="1">
      <alignment horizontal="center" vertical="center"/>
    </xf>
    <xf numFmtId="170" fontId="7" fillId="17" borderId="0" xfId="0" applyNumberFormat="1" applyFont="1" applyFill="1" applyAlignment="1">
      <alignment horizontal="center" vertical="center"/>
    </xf>
    <xf numFmtId="0" fontId="113" fillId="0" borderId="0" xfId="0" applyFont="1" applyAlignment="1">
      <alignment horizontal="center" vertical="center" wrapText="1"/>
    </xf>
    <xf numFmtId="0" fontId="113" fillId="0" borderId="0" xfId="0" applyFont="1" applyAlignment="1">
      <alignment horizontal="right" vertical="center"/>
    </xf>
    <xf numFmtId="11" fontId="113" fillId="0" borderId="0" xfId="0" applyNumberFormat="1" applyFont="1" applyAlignment="1">
      <alignment horizontal="center" vertical="center"/>
    </xf>
    <xf numFmtId="2" fontId="113" fillId="0" borderId="0" xfId="0" applyNumberFormat="1" applyFont="1" applyAlignment="1">
      <alignment horizontal="center" vertical="center"/>
    </xf>
    <xf numFmtId="11" fontId="113" fillId="0" borderId="0" xfId="0" applyNumberFormat="1" applyFont="1" applyAlignment="1">
      <alignment vertical="center"/>
    </xf>
    <xf numFmtId="0" fontId="228" fillId="0" borderId="0" xfId="0" applyFont="1" applyAlignment="1">
      <alignment vertical="center"/>
    </xf>
    <xf numFmtId="0" fontId="134" fillId="0" borderId="0" xfId="0" applyFont="1" applyAlignment="1">
      <alignment horizontal="center" vertical="center"/>
    </xf>
    <xf numFmtId="0" fontId="113" fillId="0" borderId="0" xfId="0" applyFont="1" applyAlignment="1">
      <alignment horizontal="left" vertical="center"/>
    </xf>
    <xf numFmtId="1" fontId="113" fillId="0" borderId="0" xfId="0" applyNumberFormat="1" applyFont="1" applyAlignment="1">
      <alignment horizontal="center" vertical="center"/>
    </xf>
    <xf numFmtId="0" fontId="4" fillId="7" borderId="358" xfId="0" applyFont="1" applyFill="1" applyBorder="1" applyAlignment="1">
      <alignment horizontal="center" vertical="center"/>
    </xf>
    <xf numFmtId="0" fontId="19" fillId="0" borderId="332" xfId="0" applyFont="1" applyBorder="1" applyAlignment="1" applyProtection="1">
      <alignment horizontal="center" vertical="center"/>
      <protection locked="0"/>
    </xf>
    <xf numFmtId="1" fontId="4" fillId="38" borderId="111" xfId="0" applyNumberFormat="1" applyFont="1" applyFill="1" applyBorder="1" applyAlignment="1">
      <alignment horizontal="center" vertical="center"/>
    </xf>
    <xf numFmtId="0" fontId="7" fillId="38" borderId="111" xfId="0" applyFont="1" applyFill="1" applyBorder="1" applyAlignment="1">
      <alignment horizontal="center" vertical="center"/>
    </xf>
    <xf numFmtId="0" fontId="7" fillId="6" borderId="359" xfId="0" applyFont="1" applyFill="1" applyBorder="1" applyAlignment="1">
      <alignment horizontal="center" vertical="center" wrapText="1"/>
    </xf>
    <xf numFmtId="170" fontId="4" fillId="0" borderId="359" xfId="0" applyNumberFormat="1" applyFont="1" applyBorder="1" applyAlignment="1">
      <alignment horizontal="center" vertical="center"/>
    </xf>
    <xf numFmtId="0" fontId="4" fillId="0" borderId="359" xfId="0" applyFont="1" applyBorder="1" applyAlignment="1">
      <alignment horizontal="left" vertical="center"/>
    </xf>
    <xf numFmtId="3" fontId="7" fillId="0" borderId="159" xfId="0" applyNumberFormat="1" applyFont="1" applyBorder="1" applyAlignment="1">
      <alignment horizontal="center" vertical="center"/>
    </xf>
    <xf numFmtId="164" fontId="11" fillId="0" borderId="159" xfId="0" applyNumberFormat="1" applyFont="1" applyBorder="1" applyAlignment="1">
      <alignment horizontal="center" vertical="center"/>
    </xf>
    <xf numFmtId="164" fontId="11" fillId="0" borderId="97" xfId="0" applyNumberFormat="1" applyFont="1" applyBorder="1" applyAlignment="1">
      <alignment horizontal="center" vertical="center"/>
    </xf>
    <xf numFmtId="2" fontId="7" fillId="0" borderId="159" xfId="0" applyNumberFormat="1" applyFont="1" applyBorder="1" applyAlignment="1">
      <alignment horizontal="center" vertical="center"/>
    </xf>
    <xf numFmtId="170" fontId="7" fillId="0" borderId="244" xfId="0" applyNumberFormat="1" applyFont="1" applyBorder="1" applyAlignment="1">
      <alignment horizontal="center" vertical="center"/>
    </xf>
    <xf numFmtId="169" fontId="7" fillId="0" borderId="246" xfId="0" applyNumberFormat="1" applyFont="1" applyBorder="1" applyAlignment="1">
      <alignment horizontal="center" vertical="center"/>
    </xf>
    <xf numFmtId="164" fontId="11" fillId="0" borderId="246" xfId="0" applyNumberFormat="1" applyFont="1" applyBorder="1" applyAlignment="1">
      <alignment horizontal="center" vertical="center"/>
    </xf>
    <xf numFmtId="169" fontId="7" fillId="0" borderId="244" xfId="0" applyNumberFormat="1" applyFont="1" applyBorder="1" applyAlignment="1">
      <alignment horizontal="center" vertical="center"/>
    </xf>
    <xf numFmtId="166" fontId="4" fillId="0" borderId="18" xfId="0" applyNumberFormat="1" applyFont="1" applyBorder="1" applyAlignment="1">
      <alignment horizontal="center" vertical="center"/>
    </xf>
    <xf numFmtId="166" fontId="4" fillId="0" borderId="244" xfId="0" applyNumberFormat="1" applyFont="1" applyBorder="1" applyAlignment="1">
      <alignment horizontal="center" vertical="center"/>
    </xf>
    <xf numFmtId="167" fontId="4" fillId="0" borderId="244" xfId="0" applyNumberFormat="1" applyFont="1" applyBorder="1" applyAlignment="1">
      <alignment horizontal="center" vertical="center"/>
    </xf>
    <xf numFmtId="167" fontId="4" fillId="0" borderId="246" xfId="0" applyNumberFormat="1" applyFont="1" applyBorder="1" applyAlignment="1">
      <alignment horizontal="center" vertical="center"/>
    </xf>
    <xf numFmtId="165" fontId="7" fillId="0" borderId="97" xfId="0" applyNumberFormat="1" applyFont="1" applyBorder="1" applyAlignment="1">
      <alignment horizontal="center" vertical="center"/>
    </xf>
    <xf numFmtId="4" fontId="11" fillId="0" borderId="245" xfId="0" applyNumberFormat="1" applyFont="1" applyBorder="1" applyAlignment="1">
      <alignment horizontal="center" vertical="center"/>
    </xf>
    <xf numFmtId="165" fontId="7" fillId="0" borderId="244" xfId="0" applyNumberFormat="1" applyFont="1" applyBorder="1" applyAlignment="1">
      <alignment horizontal="center" vertical="center"/>
    </xf>
    <xf numFmtId="4" fontId="4" fillId="0" borderId="50" xfId="0" applyNumberFormat="1" applyFont="1" applyBorder="1" applyAlignment="1">
      <alignment horizontal="center" vertical="center"/>
    </xf>
    <xf numFmtId="166" fontId="4" fillId="0" borderId="50" xfId="0" applyNumberFormat="1" applyFont="1" applyBorder="1" applyAlignment="1">
      <alignment horizontal="center" vertical="center"/>
    </xf>
    <xf numFmtId="4" fontId="7" fillId="0" borderId="245" xfId="0" applyNumberFormat="1" applyFont="1" applyBorder="1" applyAlignment="1">
      <alignment horizontal="center" vertical="center"/>
    </xf>
    <xf numFmtId="4" fontId="7" fillId="0" borderId="18" xfId="0" applyNumberFormat="1" applyFont="1" applyBorder="1" applyAlignment="1">
      <alignment horizontal="center" vertical="center"/>
    </xf>
    <xf numFmtId="4" fontId="7" fillId="0" borderId="244" xfId="0" applyNumberFormat="1" applyFont="1" applyBorder="1" applyAlignment="1">
      <alignment horizontal="center" vertical="center"/>
    </xf>
    <xf numFmtId="164" fontId="7" fillId="0" borderId="18" xfId="0" applyNumberFormat="1" applyFont="1" applyBorder="1" applyAlignment="1">
      <alignment horizontal="center" vertical="center"/>
    </xf>
    <xf numFmtId="164" fontId="7" fillId="0" borderId="244" xfId="0" applyNumberFormat="1" applyFont="1" applyBorder="1" applyAlignment="1">
      <alignment horizontal="center" vertical="center"/>
    </xf>
    <xf numFmtId="170" fontId="7" fillId="0" borderId="245" xfId="0" applyNumberFormat="1" applyFont="1" applyBorder="1" applyAlignment="1">
      <alignment horizontal="center" vertical="center"/>
    </xf>
    <xf numFmtId="170" fontId="7" fillId="0" borderId="246" xfId="0" applyNumberFormat="1" applyFont="1" applyBorder="1" applyAlignment="1">
      <alignment horizontal="center" vertical="center"/>
    </xf>
    <xf numFmtId="2" fontId="4" fillId="0" borderId="4" xfId="0" applyNumberFormat="1" applyFont="1" applyBorder="1" applyAlignment="1">
      <alignment horizontal="center" vertical="center"/>
    </xf>
    <xf numFmtId="2" fontId="4" fillId="0" borderId="325" xfId="0" applyNumberFormat="1" applyFont="1" applyBorder="1" applyAlignment="1">
      <alignment horizontal="center" vertical="center"/>
    </xf>
    <xf numFmtId="1" fontId="4" fillId="0" borderId="159" xfId="0" applyNumberFormat="1" applyFont="1" applyBorder="1" applyAlignment="1">
      <alignment horizontal="center" vertical="center"/>
    </xf>
    <xf numFmtId="165" fontId="4" fillId="0" borderId="244" xfId="0" applyNumberFormat="1" applyFont="1" applyBorder="1" applyAlignment="1">
      <alignment horizontal="center" vertical="center"/>
    </xf>
    <xf numFmtId="0" fontId="7" fillId="36" borderId="73" xfId="0" applyFont="1" applyFill="1" applyBorder="1" applyAlignment="1">
      <alignment horizontal="center" vertical="center"/>
    </xf>
    <xf numFmtId="0" fontId="231" fillId="17" borderId="0" xfId="0" applyFont="1" applyFill="1"/>
    <xf numFmtId="1" fontId="4" fillId="0" borderId="244" xfId="0" applyNumberFormat="1" applyFont="1" applyBorder="1" applyAlignment="1">
      <alignment horizontal="center" vertical="center" wrapText="1"/>
    </xf>
    <xf numFmtId="170" fontId="7" fillId="0" borderId="159" xfId="0" applyNumberFormat="1" applyFont="1" applyBorder="1" applyAlignment="1">
      <alignment horizontal="center" vertical="center"/>
    </xf>
    <xf numFmtId="168" fontId="41" fillId="0" borderId="97" xfId="0" applyNumberFormat="1" applyFont="1" applyBorder="1" applyAlignment="1">
      <alignment horizontal="center" vertical="center"/>
    </xf>
    <xf numFmtId="164" fontId="4" fillId="0" borderId="244" xfId="0" applyNumberFormat="1" applyFont="1" applyBorder="1" applyAlignment="1">
      <alignment horizontal="center" vertical="center"/>
    </xf>
    <xf numFmtId="4" fontId="6" fillId="0" borderId="18" xfId="0" applyNumberFormat="1" applyFont="1" applyBorder="1" applyAlignment="1">
      <alignment horizontal="center" vertical="center"/>
    </xf>
    <xf numFmtId="4" fontId="6" fillId="0" borderId="244" xfId="0" applyNumberFormat="1" applyFont="1" applyBorder="1" applyAlignment="1">
      <alignment horizontal="center" vertical="center"/>
    </xf>
    <xf numFmtId="4" fontId="6" fillId="0" borderId="245" xfId="0" applyNumberFormat="1" applyFont="1" applyBorder="1" applyAlignment="1">
      <alignment horizontal="center" vertical="center"/>
    </xf>
    <xf numFmtId="170" fontId="7" fillId="0" borderId="20" xfId="0" applyNumberFormat="1" applyFont="1" applyBorder="1" applyAlignment="1">
      <alignment horizontal="center" vertical="center"/>
    </xf>
    <xf numFmtId="0" fontId="41" fillId="0" borderId="20" xfId="0" applyFont="1" applyBorder="1" applyAlignment="1">
      <alignment horizontal="center" vertical="center"/>
    </xf>
    <xf numFmtId="170" fontId="41" fillId="0" borderId="134" xfId="0" applyNumberFormat="1" applyFont="1" applyBorder="1" applyAlignment="1">
      <alignment horizontal="center" vertical="center"/>
    </xf>
    <xf numFmtId="0" fontId="4" fillId="0" borderId="245" xfId="0" applyFont="1" applyBorder="1" applyAlignment="1">
      <alignment horizontal="center" vertical="center"/>
    </xf>
    <xf numFmtId="3" fontId="218" fillId="0" borderId="245" xfId="0" applyNumberFormat="1" applyFont="1" applyBorder="1" applyAlignment="1">
      <alignment horizontal="center" vertical="center"/>
    </xf>
    <xf numFmtId="170" fontId="7" fillId="0" borderId="304" xfId="0" applyNumberFormat="1" applyFont="1" applyBorder="1" applyAlignment="1">
      <alignment horizontal="center" vertical="center"/>
    </xf>
    <xf numFmtId="1" fontId="7" fillId="0" borderId="50" xfId="0" applyNumberFormat="1" applyFont="1" applyBorder="1" applyAlignment="1">
      <alignment horizontal="center" vertical="center"/>
    </xf>
    <xf numFmtId="2" fontId="7" fillId="0" borderId="4" xfId="0" applyNumberFormat="1" applyFont="1" applyBorder="1" applyAlignment="1">
      <alignment horizontal="center" vertical="center"/>
    </xf>
    <xf numFmtId="0" fontId="219" fillId="0" borderId="16" xfId="0" applyFont="1" applyBorder="1" applyAlignment="1">
      <alignment horizontal="center" vertical="center"/>
    </xf>
    <xf numFmtId="1" fontId="7" fillId="36" borderId="15" xfId="0" applyNumberFormat="1" applyFont="1" applyFill="1" applyBorder="1" applyAlignment="1">
      <alignment horizontal="center" vertical="center"/>
    </xf>
    <xf numFmtId="11" fontId="49" fillId="0" borderId="231" xfId="0" applyNumberFormat="1" applyFont="1" applyBorder="1" applyAlignment="1">
      <alignment horizontal="center" vertical="center"/>
    </xf>
    <xf numFmtId="2" fontId="4" fillId="0" borderId="336" xfId="0" applyNumberFormat="1" applyFont="1" applyBorder="1" applyAlignment="1">
      <alignment horizontal="center" vertical="center"/>
    </xf>
    <xf numFmtId="4" fontId="4" fillId="0" borderId="336" xfId="0" applyNumberFormat="1" applyFont="1" applyBorder="1" applyAlignment="1">
      <alignment horizontal="center" vertical="center"/>
    </xf>
    <xf numFmtId="1" fontId="41" fillId="0" borderId="245" xfId="0" applyNumberFormat="1" applyFont="1" applyBorder="1" applyAlignment="1">
      <alignment horizontal="center" vertical="center"/>
    </xf>
    <xf numFmtId="0" fontId="7" fillId="36" borderId="17" xfId="0" applyFont="1" applyFill="1" applyBorder="1" applyAlignment="1">
      <alignment horizontal="center" vertical="center"/>
    </xf>
    <xf numFmtId="1" fontId="25" fillId="16" borderId="15" xfId="0" applyNumberFormat="1" applyFont="1" applyFill="1" applyBorder="1" applyAlignment="1">
      <alignment horizontal="center" vertical="center"/>
    </xf>
    <xf numFmtId="0" fontId="7" fillId="36" borderId="246" xfId="0" applyFont="1" applyFill="1" applyBorder="1" applyAlignment="1">
      <alignment horizontal="center" vertical="center"/>
    </xf>
    <xf numFmtId="0" fontId="7" fillId="0" borderId="241" xfId="0" applyFont="1" applyBorder="1" applyAlignment="1">
      <alignment horizontal="center" vertical="center"/>
    </xf>
    <xf numFmtId="0" fontId="7" fillId="0" borderId="332" xfId="0" applyFont="1" applyBorder="1" applyAlignment="1">
      <alignment horizontal="center" vertical="center"/>
    </xf>
    <xf numFmtId="0" fontId="6" fillId="0" borderId="339" xfId="0" applyFont="1" applyBorder="1" applyAlignment="1">
      <alignment horizontal="center" vertical="center"/>
    </xf>
    <xf numFmtId="0" fontId="6" fillId="0" borderId="358" xfId="0" applyFont="1" applyBorder="1" applyAlignment="1">
      <alignment horizontal="center" vertical="center"/>
    </xf>
    <xf numFmtId="2" fontId="4" fillId="0" borderId="339" xfId="0" applyNumberFormat="1" applyFont="1" applyBorder="1" applyAlignment="1">
      <alignment horizontal="center" vertical="center"/>
    </xf>
    <xf numFmtId="170" fontId="4" fillId="0" borderId="339" xfId="0" applyNumberFormat="1" applyFont="1" applyBorder="1" applyAlignment="1">
      <alignment horizontal="center" vertical="center"/>
    </xf>
    <xf numFmtId="2" fontId="4" fillId="0" borderId="206" xfId="0" applyNumberFormat="1" applyFont="1" applyBorder="1" applyAlignment="1">
      <alignment horizontal="center" vertical="center"/>
    </xf>
    <xf numFmtId="2" fontId="4" fillId="0" borderId="203" xfId="0" applyNumberFormat="1" applyFont="1" applyBorder="1" applyAlignment="1">
      <alignment horizontal="center" vertical="center"/>
    </xf>
    <xf numFmtId="4" fontId="4" fillId="0" borderId="347" xfId="0" applyNumberFormat="1" applyFont="1" applyBorder="1" applyAlignment="1">
      <alignment horizontal="center" vertical="center"/>
    </xf>
    <xf numFmtId="4" fontId="4" fillId="0" borderId="349" xfId="0" applyNumberFormat="1" applyFont="1" applyBorder="1" applyAlignment="1">
      <alignment horizontal="center" vertical="center"/>
    </xf>
    <xf numFmtId="2" fontId="4" fillId="0" borderId="224" xfId="0" applyNumberFormat="1" applyFont="1" applyBorder="1" applyAlignment="1">
      <alignment horizontal="center" vertical="center"/>
    </xf>
    <xf numFmtId="2" fontId="4" fillId="0" borderId="357" xfId="0" applyNumberFormat="1" applyFont="1" applyBorder="1" applyAlignment="1">
      <alignment horizontal="center" vertical="center"/>
    </xf>
    <xf numFmtId="1" fontId="4" fillId="0" borderId="356" xfId="0" applyNumberFormat="1" applyFont="1" applyBorder="1" applyAlignment="1">
      <alignment horizontal="center" vertical="center"/>
    </xf>
    <xf numFmtId="2" fontId="49" fillId="0" borderId="27" xfId="0" applyNumberFormat="1" applyFont="1" applyBorder="1" applyAlignment="1">
      <alignment horizontal="center" vertical="center"/>
    </xf>
    <xf numFmtId="0" fontId="4" fillId="0" borderId="236" xfId="0" applyFont="1" applyBorder="1" applyAlignment="1">
      <alignment horizontal="center" vertical="center"/>
    </xf>
    <xf numFmtId="0" fontId="49" fillId="0" borderId="263" xfId="0" applyFont="1" applyBorder="1" applyAlignment="1">
      <alignment horizontal="center" vertical="center"/>
    </xf>
    <xf numFmtId="1" fontId="7" fillId="0" borderId="10" xfId="0" applyNumberFormat="1" applyFont="1" applyBorder="1" applyAlignment="1">
      <alignment horizontal="center" vertical="center"/>
    </xf>
    <xf numFmtId="164" fontId="7" fillId="0" borderId="43" xfId="0" applyNumberFormat="1" applyFont="1" applyBorder="1" applyAlignment="1">
      <alignment horizontal="center" vertical="center"/>
    </xf>
    <xf numFmtId="164" fontId="7" fillId="0" borderId="263" xfId="0" applyNumberFormat="1" applyFont="1" applyBorder="1" applyAlignment="1">
      <alignment horizontal="center" vertical="center"/>
    </xf>
    <xf numFmtId="0" fontId="4" fillId="0" borderId="343" xfId="0" applyFont="1" applyBorder="1" applyAlignment="1">
      <alignment horizontal="center" vertical="center"/>
    </xf>
    <xf numFmtId="0" fontId="7" fillId="0" borderId="42" xfId="0" applyFont="1" applyBorder="1" applyAlignment="1">
      <alignment horizontal="center" vertical="center"/>
    </xf>
    <xf numFmtId="0" fontId="7" fillId="0" borderId="331" xfId="0" applyFont="1" applyBorder="1" applyAlignment="1">
      <alignment horizontal="center" vertical="center"/>
    </xf>
    <xf numFmtId="3" fontId="4" fillId="0" borderId="27" xfId="0" applyNumberFormat="1" applyFont="1" applyBorder="1" applyAlignment="1">
      <alignment horizontal="center" vertical="center"/>
    </xf>
    <xf numFmtId="3" fontId="7" fillId="0" borderId="1" xfId="0" applyNumberFormat="1" applyFont="1" applyBorder="1" applyAlignment="1">
      <alignment horizontal="center" vertical="center"/>
    </xf>
    <xf numFmtId="2" fontId="41" fillId="0" borderId="1" xfId="0" applyNumberFormat="1" applyFont="1" applyBorder="1" applyAlignment="1">
      <alignment horizontal="center" vertical="center"/>
    </xf>
    <xf numFmtId="0" fontId="41" fillId="0" borderId="1" xfId="0" applyFont="1" applyBorder="1" applyAlignment="1">
      <alignment horizontal="center" vertical="center"/>
    </xf>
    <xf numFmtId="0" fontId="41" fillId="0" borderId="41" xfId="0" applyFont="1" applyBorder="1" applyAlignment="1">
      <alignment horizontal="center" vertical="center"/>
    </xf>
    <xf numFmtId="0" fontId="41" fillId="0" borderId="343" xfId="0" applyFont="1" applyBorder="1" applyAlignment="1">
      <alignment horizontal="center" vertical="center"/>
    </xf>
    <xf numFmtId="164" fontId="41" fillId="0" borderId="343" xfId="0" applyNumberFormat="1" applyFont="1" applyBorder="1" applyAlignment="1">
      <alignment horizontal="center" vertical="center"/>
    </xf>
    <xf numFmtId="0" fontId="7" fillId="0" borderId="343" xfId="0" applyFont="1" applyBorder="1" applyAlignment="1">
      <alignment horizontal="center" vertical="center"/>
    </xf>
    <xf numFmtId="0" fontId="49" fillId="0" borderId="343" xfId="0" applyFont="1" applyBorder="1" applyAlignment="1">
      <alignment horizontal="center" vertical="center"/>
    </xf>
    <xf numFmtId="0" fontId="41" fillId="0" borderId="2" xfId="0" applyFont="1" applyBorder="1" applyAlignment="1">
      <alignment horizontal="right" vertical="center"/>
    </xf>
    <xf numFmtId="170" fontId="49" fillId="0" borderId="241" xfId="0" applyNumberFormat="1" applyFont="1" applyBorder="1" applyAlignment="1">
      <alignment horizontal="center" vertical="center"/>
    </xf>
    <xf numFmtId="0" fontId="7" fillId="0" borderId="211" xfId="0" applyFont="1" applyBorder="1" applyAlignment="1">
      <alignment horizontal="center" vertical="center"/>
    </xf>
    <xf numFmtId="0" fontId="7" fillId="0" borderId="329" xfId="0" applyFont="1" applyBorder="1" applyAlignment="1">
      <alignment horizontal="center" vertical="center"/>
    </xf>
    <xf numFmtId="0" fontId="7" fillId="0" borderId="224" xfId="0" applyFont="1" applyBorder="1" applyAlignment="1">
      <alignment horizontal="center" vertical="center"/>
    </xf>
    <xf numFmtId="0" fontId="7" fillId="0" borderId="240" xfId="0" applyFont="1" applyBorder="1" applyAlignment="1">
      <alignment horizontal="center" vertical="center"/>
    </xf>
    <xf numFmtId="0" fontId="4" fillId="0" borderId="5" xfId="0" applyFont="1" applyBorder="1" applyAlignment="1">
      <alignment horizontal="right" vertical="center" indent="1"/>
    </xf>
    <xf numFmtId="0" fontId="7" fillId="24" borderId="223" xfId="0" applyFont="1" applyFill="1" applyBorder="1" applyAlignment="1">
      <alignment horizontal="center" vertical="center" textRotation="90" wrapText="1"/>
    </xf>
    <xf numFmtId="0" fontId="7" fillId="24" borderId="332" xfId="0" applyFont="1" applyFill="1" applyBorder="1" applyAlignment="1">
      <alignment vertical="center" textRotation="90" wrapText="1"/>
    </xf>
    <xf numFmtId="0" fontId="7" fillId="24" borderId="224" xfId="0" applyFont="1" applyFill="1" applyBorder="1" applyAlignment="1">
      <alignment horizontal="center" vertical="center" textRotation="90" wrapText="1"/>
    </xf>
    <xf numFmtId="0" fontId="7" fillId="10" borderId="227" xfId="0" applyFont="1" applyFill="1" applyBorder="1" applyAlignment="1">
      <alignment horizontal="left" vertical="center"/>
    </xf>
    <xf numFmtId="0" fontId="12" fillId="7" borderId="215" xfId="0" applyFont="1" applyFill="1" applyBorder="1" applyAlignment="1">
      <alignment horizontal="left" vertical="center"/>
    </xf>
    <xf numFmtId="0" fontId="108" fillId="7" borderId="217" xfId="0" applyFont="1" applyFill="1" applyBorder="1" applyAlignment="1">
      <alignment horizontal="left" vertical="center" indent="1"/>
    </xf>
    <xf numFmtId="0" fontId="108" fillId="7" borderId="209" xfId="0" applyFont="1" applyFill="1" applyBorder="1" applyAlignment="1">
      <alignment horizontal="left" vertical="center" indent="1"/>
    </xf>
    <xf numFmtId="169" fontId="4" fillId="18" borderId="0" xfId="0" applyNumberFormat="1" applyFont="1" applyFill="1" applyAlignment="1">
      <alignment horizontal="right" vertical="center"/>
    </xf>
    <xf numFmtId="169" fontId="4" fillId="0" borderId="235" xfId="0" applyNumberFormat="1" applyFont="1" applyBorder="1" applyAlignment="1">
      <alignment horizontal="center" vertical="center"/>
    </xf>
    <xf numFmtId="0" fontId="4" fillId="7" borderId="211" xfId="0" applyFont="1" applyFill="1" applyBorder="1" applyAlignment="1">
      <alignment horizontal="center" vertical="center" wrapText="1"/>
    </xf>
    <xf numFmtId="0" fontId="4" fillId="7" borderId="361" xfId="0" applyFont="1" applyFill="1" applyBorder="1" applyAlignment="1">
      <alignment horizontal="center" vertical="center" wrapText="1"/>
    </xf>
    <xf numFmtId="0" fontId="4" fillId="7" borderId="209" xfId="0" applyFont="1" applyFill="1" applyBorder="1" applyAlignment="1">
      <alignment horizontal="center" vertical="center" wrapText="1"/>
    </xf>
    <xf numFmtId="0" fontId="4" fillId="7" borderId="357" xfId="0" applyFont="1" applyFill="1" applyBorder="1" applyAlignment="1">
      <alignment horizontal="center" vertical="center"/>
    </xf>
    <xf numFmtId="0" fontId="4" fillId="7" borderId="360" xfId="0" applyFont="1" applyFill="1" applyBorder="1" applyAlignment="1">
      <alignment horizontal="center" vertical="center"/>
    </xf>
    <xf numFmtId="0" fontId="4" fillId="7" borderId="355" xfId="0" applyFont="1" applyFill="1" applyBorder="1" applyAlignment="1">
      <alignment horizontal="center" vertical="center"/>
    </xf>
    <xf numFmtId="2" fontId="7" fillId="7" borderId="244" xfId="0" applyNumberFormat="1" applyFont="1" applyFill="1" applyBorder="1" applyAlignment="1">
      <alignment horizontal="center" vertical="center"/>
    </xf>
    <xf numFmtId="0" fontId="4" fillId="7" borderId="224" xfId="0" applyFont="1" applyFill="1" applyBorder="1" applyAlignment="1">
      <alignment horizontal="center" vertical="center"/>
    </xf>
    <xf numFmtId="170" fontId="7" fillId="7" borderId="244" xfId="0" applyNumberFormat="1" applyFont="1" applyFill="1" applyBorder="1" applyAlignment="1">
      <alignment horizontal="center" vertical="center"/>
    </xf>
    <xf numFmtId="169" fontId="7" fillId="7" borderId="244" xfId="0" applyNumberFormat="1" applyFont="1" applyFill="1" applyBorder="1" applyAlignment="1">
      <alignment horizontal="center" vertical="center"/>
    </xf>
    <xf numFmtId="167" fontId="7" fillId="7" borderId="244" xfId="0" applyNumberFormat="1" applyFont="1" applyFill="1" applyBorder="1" applyAlignment="1">
      <alignment horizontal="center" vertical="center"/>
    </xf>
    <xf numFmtId="0" fontId="7" fillId="7" borderId="244" xfId="0" applyFont="1" applyFill="1" applyBorder="1" applyAlignment="1">
      <alignment horizontal="center" vertical="center"/>
    </xf>
    <xf numFmtId="0" fontId="7" fillId="7" borderId="244" xfId="0" applyFont="1" applyFill="1" applyBorder="1" applyAlignment="1">
      <alignment vertical="center"/>
    </xf>
    <xf numFmtId="2" fontId="7" fillId="0" borderId="245" xfId="0" applyNumberFormat="1" applyFont="1" applyBorder="1" applyAlignment="1">
      <alignment horizontal="center" vertical="center"/>
    </xf>
    <xf numFmtId="0" fontId="7" fillId="0" borderId="244" xfId="0" applyFont="1" applyBorder="1" applyAlignment="1">
      <alignment horizontal="center" vertical="center"/>
    </xf>
    <xf numFmtId="0" fontId="7" fillId="6" borderId="360" xfId="0" applyFont="1" applyFill="1" applyBorder="1" applyAlignment="1">
      <alignment horizontal="center" vertical="center" wrapText="1"/>
    </xf>
    <xf numFmtId="0" fontId="4" fillId="0" borderId="360" xfId="0" applyFont="1" applyBorder="1" applyAlignment="1">
      <alignment horizontal="center" vertical="center"/>
    </xf>
    <xf numFmtId="0" fontId="4" fillId="0" borderId="360" xfId="0" applyFont="1" applyBorder="1" applyAlignment="1">
      <alignment horizontal="left" vertical="center"/>
    </xf>
    <xf numFmtId="0" fontId="4" fillId="0" borderId="360" xfId="0" applyFont="1" applyBorder="1" applyAlignment="1">
      <alignment horizontal="center" vertical="center" wrapText="1"/>
    </xf>
    <xf numFmtId="170" fontId="4" fillId="0" borderId="360" xfId="0" applyNumberFormat="1" applyFont="1" applyBorder="1" applyAlignment="1">
      <alignment horizontal="center" vertical="center"/>
    </xf>
    <xf numFmtId="167" fontId="4" fillId="0" borderId="360" xfId="0" applyNumberFormat="1" applyFont="1" applyBorder="1" applyAlignment="1">
      <alignment horizontal="center" vertical="center"/>
    </xf>
    <xf numFmtId="0" fontId="4" fillId="0" borderId="360" xfId="0" applyFont="1" applyBorder="1" applyAlignment="1">
      <alignment vertical="center"/>
    </xf>
    <xf numFmtId="0" fontId="122" fillId="0" borderId="1" xfId="0" applyFont="1" applyBorder="1" applyAlignment="1">
      <alignment horizontal="left" vertical="center"/>
    </xf>
    <xf numFmtId="0" fontId="4" fillId="7" borderId="308" xfId="0" applyFont="1" applyFill="1" applyBorder="1" applyAlignment="1">
      <alignment horizontal="center" vertical="center"/>
    </xf>
    <xf numFmtId="0" fontId="4" fillId="7" borderId="302" xfId="0" applyFont="1" applyFill="1" applyBorder="1" applyAlignment="1">
      <alignment horizontal="center" vertical="center"/>
    </xf>
    <xf numFmtId="0" fontId="4" fillId="7" borderId="318" xfId="0" applyFont="1" applyFill="1" applyBorder="1" applyAlignment="1">
      <alignment horizontal="center" vertical="center"/>
    </xf>
    <xf numFmtId="0" fontId="4" fillId="7" borderId="349" xfId="0" applyFont="1" applyFill="1" applyBorder="1" applyAlignment="1">
      <alignment horizontal="center" vertical="center"/>
    </xf>
    <xf numFmtId="0" fontId="4" fillId="7" borderId="298" xfId="0" applyFont="1" applyFill="1" applyBorder="1" applyAlignment="1">
      <alignment horizontal="center" vertical="center"/>
    </xf>
    <xf numFmtId="0" fontId="4" fillId="7" borderId="319" xfId="0" applyFont="1" applyFill="1" applyBorder="1" applyAlignment="1">
      <alignment horizontal="center" vertical="center"/>
    </xf>
    <xf numFmtId="0" fontId="4" fillId="7" borderId="359" xfId="0" applyFont="1" applyFill="1" applyBorder="1" applyAlignment="1">
      <alignment horizontal="center" vertical="center"/>
    </xf>
    <xf numFmtId="0" fontId="0" fillId="0" borderId="360" xfId="0" applyBorder="1" applyAlignment="1">
      <alignment horizontal="center"/>
    </xf>
    <xf numFmtId="11" fontId="4" fillId="0" borderId="360" xfId="0" applyNumberFormat="1" applyFont="1" applyBorder="1" applyAlignment="1">
      <alignment horizontal="center" vertical="center"/>
    </xf>
    <xf numFmtId="0" fontId="4" fillId="20" borderId="1" xfId="0" applyFont="1" applyFill="1" applyBorder="1" applyAlignment="1">
      <alignment horizontal="center" vertical="center"/>
    </xf>
    <xf numFmtId="0" fontId="102" fillId="0" borderId="360" xfId="0" applyFont="1" applyBorder="1" applyAlignment="1">
      <alignment horizontal="center" vertical="center"/>
    </xf>
    <xf numFmtId="0" fontId="13" fillId="17" borderId="0" xfId="0" applyFont="1" applyFill="1" applyAlignment="1">
      <alignment horizontal="left" vertical="center" indent="1"/>
    </xf>
    <xf numFmtId="0" fontId="4" fillId="16" borderId="235" xfId="0" applyFont="1" applyFill="1" applyBorder="1" applyAlignment="1">
      <alignment vertical="center"/>
    </xf>
    <xf numFmtId="0" fontId="4" fillId="16" borderId="235" xfId="0" applyFont="1" applyFill="1" applyBorder="1" applyAlignment="1">
      <alignment horizontal="center" vertical="center"/>
    </xf>
    <xf numFmtId="0" fontId="200" fillId="18" borderId="0" xfId="0" applyFont="1" applyFill="1" applyAlignment="1">
      <alignment vertical="center"/>
    </xf>
    <xf numFmtId="0" fontId="200" fillId="18" borderId="0" xfId="0" applyFont="1" applyFill="1" applyAlignment="1">
      <alignment horizontal="left" vertical="center" indent="2"/>
    </xf>
    <xf numFmtId="0" fontId="136" fillId="18" borderId="0" xfId="0" applyFont="1" applyFill="1" applyAlignment="1">
      <alignment horizontal="center" vertical="center"/>
    </xf>
    <xf numFmtId="0" fontId="234" fillId="7" borderId="178" xfId="0" applyFont="1" applyFill="1" applyBorder="1" applyAlignment="1">
      <alignment horizontal="left" vertical="center" indent="1"/>
    </xf>
    <xf numFmtId="0" fontId="102" fillId="16" borderId="124" xfId="0" applyFont="1" applyFill="1" applyBorder="1" applyAlignment="1">
      <alignment horizontal="left" vertical="center"/>
    </xf>
    <xf numFmtId="0" fontId="4" fillId="0" borderId="305" xfId="0" applyFont="1" applyBorder="1" applyAlignment="1">
      <alignment horizontal="center" vertical="center"/>
    </xf>
    <xf numFmtId="168" fontId="4" fillId="0" borderId="311" xfId="0" applyNumberFormat="1" applyFont="1" applyBorder="1" applyAlignment="1">
      <alignment horizontal="center" vertical="center"/>
    </xf>
    <xf numFmtId="0" fontId="7" fillId="16" borderId="354" xfId="0" applyFont="1" applyFill="1" applyBorder="1" applyAlignment="1">
      <alignment horizontal="center" vertical="center" textRotation="90"/>
    </xf>
    <xf numFmtId="0" fontId="7" fillId="16" borderId="294" xfId="0" applyFont="1" applyFill="1" applyBorder="1" applyAlignment="1">
      <alignment horizontal="center" vertical="center" textRotation="90"/>
    </xf>
    <xf numFmtId="0" fontId="7" fillId="16" borderId="202" xfId="0" applyFont="1" applyFill="1" applyBorder="1" applyAlignment="1">
      <alignment horizontal="center" vertical="center" textRotation="90"/>
    </xf>
    <xf numFmtId="0" fontId="7" fillId="0" borderId="345" xfId="0" applyFont="1" applyBorder="1" applyAlignment="1">
      <alignment horizontal="center" vertical="center"/>
    </xf>
    <xf numFmtId="49" fontId="0" fillId="0" borderId="4" xfId="0" applyNumberFormat="1" applyBorder="1" applyAlignment="1">
      <alignment horizontal="center" vertical="center" wrapText="1"/>
    </xf>
    <xf numFmtId="49" fontId="2" fillId="0" borderId="40" xfId="0" applyNumberFormat="1" applyFont="1" applyBorder="1" applyAlignment="1">
      <alignment horizontal="center" vertical="center" wrapText="1"/>
    </xf>
    <xf numFmtId="49" fontId="0" fillId="0" borderId="16" xfId="0" applyNumberFormat="1" applyBorder="1" applyAlignment="1">
      <alignment horizontal="center" vertical="center" wrapText="1"/>
    </xf>
    <xf numFmtId="49" fontId="65" fillId="0" borderId="0" xfId="0" applyNumberFormat="1" applyFont="1" applyAlignment="1">
      <alignment vertical="center" wrapText="1"/>
    </xf>
    <xf numFmtId="49" fontId="2" fillId="0" borderId="16" xfId="0" applyNumberFormat="1" applyFont="1" applyBorder="1" applyAlignment="1">
      <alignment horizontal="center" vertical="center" wrapText="1"/>
    </xf>
    <xf numFmtId="49" fontId="2" fillId="0" borderId="47" xfId="0" applyNumberFormat="1" applyFont="1" applyBorder="1" applyAlignment="1">
      <alignment vertical="center" wrapText="1"/>
    </xf>
    <xf numFmtId="49" fontId="0" fillId="0" borderId="38" xfId="0" applyNumberFormat="1" applyBorder="1" applyAlignment="1">
      <alignment vertical="center" wrapText="1"/>
    </xf>
    <xf numFmtId="49" fontId="0" fillId="0" borderId="2" xfId="0" applyNumberFormat="1" applyBorder="1" applyAlignment="1">
      <alignment vertical="center" wrapText="1"/>
    </xf>
    <xf numFmtId="49" fontId="2" fillId="0" borderId="2" xfId="0" applyNumberFormat="1" applyFont="1" applyBorder="1" applyAlignment="1">
      <alignment vertical="center" wrapText="1"/>
    </xf>
    <xf numFmtId="49" fontId="72" fillId="0" borderId="2" xfId="0" applyNumberFormat="1" applyFont="1" applyBorder="1" applyAlignment="1">
      <alignment horizontal="center" vertical="center" wrapText="1"/>
    </xf>
    <xf numFmtId="0" fontId="208" fillId="0" borderId="2" xfId="0" applyFont="1" applyBorder="1" applyAlignment="1">
      <alignment horizontal="left" vertical="center" indent="4"/>
    </xf>
    <xf numFmtId="0" fontId="4" fillId="0" borderId="332" xfId="0" applyFont="1" applyBorder="1" applyAlignment="1">
      <alignment horizontal="center" vertical="center"/>
    </xf>
    <xf numFmtId="0" fontId="108" fillId="0" borderId="332" xfId="0" applyFont="1" applyBorder="1" applyAlignment="1" applyProtection="1">
      <alignment horizontal="center" vertical="center"/>
      <protection locked="0"/>
    </xf>
    <xf numFmtId="0" fontId="4" fillId="0" borderId="362" xfId="0" applyFont="1" applyBorder="1" applyAlignment="1">
      <alignment horizontal="center" vertical="center"/>
    </xf>
    <xf numFmtId="0" fontId="108" fillId="0" borderId="362" xfId="0" applyFont="1" applyBorder="1" applyAlignment="1" applyProtection="1">
      <alignment horizontal="center" vertical="center"/>
      <protection locked="0"/>
    </xf>
    <xf numFmtId="1" fontId="4" fillId="0" borderId="362" xfId="0" applyNumberFormat="1" applyFont="1" applyBorder="1" applyAlignment="1">
      <alignment horizontal="center" vertical="center"/>
    </xf>
    <xf numFmtId="170" fontId="141" fillId="7" borderId="362" xfId="0" applyNumberFormat="1" applyFont="1" applyFill="1" applyBorder="1" applyAlignment="1">
      <alignment horizontal="center" vertical="center"/>
    </xf>
    <xf numFmtId="0" fontId="14" fillId="0" borderId="362" xfId="0" applyFont="1" applyBorder="1" applyAlignment="1" applyProtection="1">
      <alignment horizontal="center" vertical="center"/>
      <protection locked="0"/>
    </xf>
    <xf numFmtId="164" fontId="4" fillId="0" borderId="359" xfId="0" applyNumberFormat="1" applyFont="1" applyBorder="1" applyAlignment="1">
      <alignment horizontal="center" vertical="center"/>
    </xf>
    <xf numFmtId="0" fontId="7" fillId="16" borderId="1" xfId="0" applyFont="1" applyFill="1" applyBorder="1" applyAlignment="1">
      <alignment horizontal="center" vertical="center"/>
    </xf>
    <xf numFmtId="164" fontId="4" fillId="0" borderId="362" xfId="0" applyNumberFormat="1" applyFont="1" applyBorder="1" applyAlignment="1">
      <alignment horizontal="center" vertical="center"/>
    </xf>
    <xf numFmtId="0" fontId="7" fillId="32" borderId="309" xfId="0" applyFont="1" applyFill="1" applyBorder="1" applyAlignment="1">
      <alignment horizontal="center" vertical="center" textRotation="90" wrapText="1"/>
    </xf>
    <xf numFmtId="0" fontId="7" fillId="32" borderId="331" xfId="0" applyFont="1" applyFill="1" applyBorder="1" applyAlignment="1">
      <alignment horizontal="center" vertical="center" textRotation="90" wrapText="1"/>
    </xf>
    <xf numFmtId="0" fontId="7" fillId="32" borderId="329" xfId="0" applyFont="1" applyFill="1" applyBorder="1" applyAlignment="1">
      <alignment horizontal="center" vertical="center" textRotation="90" wrapText="1"/>
    </xf>
    <xf numFmtId="0" fontId="7" fillId="32" borderId="332" xfId="0" applyFont="1" applyFill="1" applyBorder="1" applyAlignment="1">
      <alignment horizontal="center" vertical="center" textRotation="90" wrapText="1"/>
    </xf>
    <xf numFmtId="0" fontId="7" fillId="32" borderId="328" xfId="0" applyFont="1" applyFill="1" applyBorder="1" applyAlignment="1">
      <alignment horizontal="center" vertical="center" textRotation="90" wrapText="1"/>
    </xf>
    <xf numFmtId="0" fontId="7" fillId="32" borderId="300" xfId="0" applyFont="1" applyFill="1" applyBorder="1" applyAlignment="1">
      <alignment horizontal="center" vertical="center" textRotation="90" wrapText="1"/>
    </xf>
    <xf numFmtId="0" fontId="19" fillId="32" borderId="0" xfId="0" applyFont="1" applyFill="1" applyAlignment="1">
      <alignment horizontal="center" vertical="center"/>
    </xf>
    <xf numFmtId="169" fontId="7" fillId="32" borderId="253" xfId="0" applyNumberFormat="1" applyFont="1" applyFill="1" applyBorder="1" applyAlignment="1">
      <alignment horizontal="center" vertical="center"/>
    </xf>
    <xf numFmtId="169" fontId="7" fillId="32" borderId="220" xfId="0" applyNumberFormat="1" applyFont="1" applyFill="1" applyBorder="1" applyAlignment="1">
      <alignment horizontal="center" vertical="center"/>
    </xf>
    <xf numFmtId="0" fontId="19" fillId="32" borderId="253" xfId="0" applyFont="1" applyFill="1" applyBorder="1" applyAlignment="1">
      <alignment horizontal="center" vertical="center"/>
    </xf>
    <xf numFmtId="0" fontId="19" fillId="32" borderId="254" xfId="0" applyFont="1" applyFill="1" applyBorder="1" applyAlignment="1">
      <alignment horizontal="center" vertical="center"/>
    </xf>
    <xf numFmtId="169" fontId="7" fillId="32" borderId="254" xfId="0" applyNumberFormat="1" applyFont="1" applyFill="1" applyBorder="1" applyAlignment="1">
      <alignment horizontal="center" vertical="center"/>
    </xf>
    <xf numFmtId="169" fontId="7" fillId="32" borderId="254" xfId="0" applyNumberFormat="1" applyFont="1" applyFill="1" applyBorder="1" applyAlignment="1">
      <alignment vertical="center"/>
    </xf>
    <xf numFmtId="0" fontId="19" fillId="32" borderId="254" xfId="0" applyFont="1" applyFill="1" applyBorder="1" applyAlignment="1">
      <alignment horizontal="left" vertical="center"/>
    </xf>
    <xf numFmtId="1" fontId="7" fillId="32" borderId="254" xfId="0" applyNumberFormat="1" applyFont="1" applyFill="1" applyBorder="1" applyAlignment="1">
      <alignment horizontal="center" vertical="center"/>
    </xf>
    <xf numFmtId="1" fontId="7" fillId="32" borderId="253" xfId="0" applyNumberFormat="1" applyFont="1" applyFill="1" applyBorder="1" applyAlignment="1">
      <alignment horizontal="center" vertical="center"/>
    </xf>
    <xf numFmtId="1" fontId="7" fillId="32" borderId="1" xfId="0" applyNumberFormat="1" applyFont="1" applyFill="1" applyBorder="1" applyAlignment="1">
      <alignment horizontal="center" vertical="center"/>
    </xf>
    <xf numFmtId="1" fontId="7" fillId="32" borderId="309" xfId="0" applyNumberFormat="1" applyFont="1" applyFill="1" applyBorder="1" applyAlignment="1">
      <alignment horizontal="center" vertical="center"/>
    </xf>
    <xf numFmtId="169" fontId="7" fillId="32" borderId="329" xfId="0" applyNumberFormat="1" applyFont="1" applyFill="1" applyBorder="1" applyAlignment="1">
      <alignment horizontal="center" vertical="center"/>
    </xf>
    <xf numFmtId="169" fontId="7" fillId="32" borderId="1" xfId="0" applyNumberFormat="1" applyFont="1" applyFill="1" applyBorder="1" applyAlignment="1">
      <alignment horizontal="center" vertical="center"/>
    </xf>
    <xf numFmtId="169" fontId="7" fillId="32" borderId="348" xfId="0" applyNumberFormat="1" applyFont="1" applyFill="1" applyBorder="1" applyAlignment="1">
      <alignment horizontal="center" vertical="center"/>
    </xf>
    <xf numFmtId="169" fontId="7" fillId="32" borderId="0" xfId="0" applyNumberFormat="1" applyFont="1" applyFill="1" applyAlignment="1">
      <alignment horizontal="center" vertical="center"/>
    </xf>
    <xf numFmtId="169" fontId="7" fillId="32" borderId="295" xfId="0" applyNumberFormat="1" applyFont="1" applyFill="1" applyBorder="1" applyAlignment="1">
      <alignment horizontal="center" vertical="center"/>
    </xf>
    <xf numFmtId="0" fontId="235" fillId="32" borderId="292" xfId="0" applyFont="1" applyFill="1" applyBorder="1" applyAlignment="1">
      <alignment horizontal="center" vertical="center" textRotation="90" wrapText="1"/>
    </xf>
    <xf numFmtId="0" fontId="7" fillId="32" borderId="364" xfId="0" applyFont="1" applyFill="1" applyBorder="1" applyAlignment="1">
      <alignment horizontal="center" vertical="center" textRotation="90" wrapText="1"/>
    </xf>
    <xf numFmtId="0" fontId="235" fillId="32" borderId="362" xfId="0" applyFont="1" applyFill="1" applyBorder="1" applyAlignment="1">
      <alignment horizontal="center" vertical="center" textRotation="90" wrapText="1"/>
    </xf>
    <xf numFmtId="0" fontId="7" fillId="32" borderId="344" xfId="0" applyFont="1" applyFill="1" applyBorder="1" applyAlignment="1">
      <alignment horizontal="center" vertical="center" textRotation="90" wrapText="1"/>
    </xf>
    <xf numFmtId="169" fontId="7" fillId="32" borderId="211" xfId="0" applyNumberFormat="1" applyFont="1" applyFill="1" applyBorder="1" applyAlignment="1">
      <alignment horizontal="center" vertical="center"/>
    </xf>
    <xf numFmtId="169" fontId="7" fillId="32" borderId="209" xfId="0" applyNumberFormat="1" applyFont="1" applyFill="1" applyBorder="1" applyAlignment="1">
      <alignment horizontal="center" vertical="center"/>
    </xf>
    <xf numFmtId="0" fontId="235" fillId="32" borderId="363" xfId="0" applyFont="1" applyFill="1" applyBorder="1" applyAlignment="1">
      <alignment horizontal="center" vertical="center" textRotation="90" wrapText="1"/>
    </xf>
    <xf numFmtId="173" fontId="7" fillId="32" borderId="209" xfId="0" applyNumberFormat="1" applyFont="1" applyFill="1" applyBorder="1" applyAlignment="1">
      <alignment horizontal="center" vertical="center"/>
    </xf>
    <xf numFmtId="0" fontId="7" fillId="32" borderId="363" xfId="0" applyFont="1" applyFill="1" applyBorder="1" applyAlignment="1">
      <alignment horizontal="center" vertical="center" textRotation="90" wrapText="1"/>
    </xf>
    <xf numFmtId="0" fontId="7" fillId="32" borderId="223" xfId="0" applyFont="1" applyFill="1" applyBorder="1" applyAlignment="1">
      <alignment horizontal="center" vertical="center" textRotation="90" wrapText="1"/>
    </xf>
    <xf numFmtId="0" fontId="235" fillId="32" borderId="301" xfId="0" applyFont="1" applyFill="1" applyBorder="1" applyAlignment="1">
      <alignment horizontal="center" vertical="center" textRotation="90" wrapText="1"/>
    </xf>
    <xf numFmtId="0" fontId="7" fillId="32" borderId="362" xfId="0" applyFont="1" applyFill="1" applyBorder="1" applyAlignment="1">
      <alignment horizontal="center" vertical="center" textRotation="90" wrapText="1"/>
    </xf>
    <xf numFmtId="0" fontId="202" fillId="24" borderId="224" xfId="0" applyFont="1" applyFill="1" applyBorder="1" applyAlignment="1">
      <alignment horizontal="center" vertical="center" textRotation="90" wrapText="1"/>
    </xf>
    <xf numFmtId="0" fontId="226" fillId="0" borderId="0" xfId="0" quotePrefix="1" applyFont="1" applyAlignment="1">
      <alignment horizontal="center" vertical="center" textRotation="90"/>
    </xf>
    <xf numFmtId="0" fontId="2" fillId="0" borderId="0" xfId="4"/>
    <xf numFmtId="0" fontId="2" fillId="0" borderId="0" xfId="4" applyAlignment="1">
      <alignment horizontal="center"/>
    </xf>
    <xf numFmtId="0" fontId="109" fillId="0" borderId="0" xfId="4" applyFont="1" applyAlignment="1">
      <alignment wrapText="1"/>
    </xf>
    <xf numFmtId="0" fontId="109" fillId="0" borderId="0" xfId="4" applyFont="1" applyAlignment="1" applyProtection="1">
      <alignment wrapText="1"/>
      <protection locked="0"/>
    </xf>
    <xf numFmtId="0" fontId="109" fillId="0" borderId="0" xfId="4" applyFont="1"/>
    <xf numFmtId="0" fontId="109" fillId="0" borderId="0" xfId="4" applyFont="1" applyProtection="1">
      <protection locked="0"/>
    </xf>
    <xf numFmtId="0" fontId="109" fillId="0" borderId="0" xfId="4" applyFont="1" applyAlignment="1">
      <alignment horizontal="center"/>
    </xf>
    <xf numFmtId="0" fontId="109" fillId="0" borderId="0" xfId="4" applyFont="1" applyAlignment="1" applyProtection="1">
      <alignment horizontal="center"/>
      <protection locked="0"/>
    </xf>
    <xf numFmtId="0" fontId="2" fillId="0" borderId="0" xfId="4" applyAlignment="1">
      <alignment horizontal="center" vertical="center"/>
    </xf>
    <xf numFmtId="0" fontId="2" fillId="0" borderId="0" xfId="4" applyAlignment="1">
      <alignment vertical="center" wrapText="1"/>
    </xf>
    <xf numFmtId="0" fontId="12" fillId="8" borderId="41" xfId="0" applyFont="1" applyFill="1" applyBorder="1" applyAlignment="1" applyProtection="1">
      <alignment horizontal="left" vertical="top" wrapText="1"/>
      <protection hidden="1"/>
    </xf>
    <xf numFmtId="0" fontId="139" fillId="0" borderId="38" xfId="0" applyFont="1" applyBorder="1" applyAlignment="1">
      <alignment horizontal="center" vertical="center"/>
    </xf>
    <xf numFmtId="0" fontId="139" fillId="0" borderId="40" xfId="0" applyFont="1" applyBorder="1" applyAlignment="1">
      <alignment horizontal="center" vertical="center"/>
    </xf>
    <xf numFmtId="0" fontId="139" fillId="0" borderId="49" xfId="0" applyFont="1" applyBorder="1" applyAlignment="1">
      <alignment horizontal="center" vertical="center"/>
    </xf>
    <xf numFmtId="0" fontId="139" fillId="0" borderId="2" xfId="0" applyFont="1" applyBorder="1" applyAlignment="1">
      <alignment horizontal="center" vertical="center"/>
    </xf>
    <xf numFmtId="0" fontId="139" fillId="0" borderId="0" xfId="0" applyFont="1" applyAlignment="1">
      <alignment horizontal="center" vertical="center"/>
    </xf>
    <xf numFmtId="0" fontId="139" fillId="0" borderId="9" xfId="0" applyFont="1" applyBorder="1" applyAlignment="1">
      <alignment horizontal="center" vertical="center"/>
    </xf>
    <xf numFmtId="0" fontId="42" fillId="0" borderId="2" xfId="0" applyFont="1" applyBorder="1" applyAlignment="1">
      <alignment horizontal="center" vertical="center"/>
    </xf>
    <xf numFmtId="0" fontId="42" fillId="0" borderId="0" xfId="0" applyFont="1" applyAlignment="1">
      <alignment horizontal="center" vertical="center"/>
    </xf>
    <xf numFmtId="0" fontId="85" fillId="0" borderId="0" xfId="0" applyFont="1" applyAlignment="1">
      <alignment horizontal="center" vertical="center"/>
    </xf>
    <xf numFmtId="0" fontId="5" fillId="0" borderId="365" xfId="0" quotePrefix="1" applyFont="1" applyBorder="1" applyAlignment="1">
      <alignment horizontal="center" vertical="center"/>
    </xf>
    <xf numFmtId="0" fontId="199" fillId="0" borderId="0" xfId="0" applyFont="1" applyAlignment="1">
      <alignment horizontal="center" vertical="center"/>
    </xf>
    <xf numFmtId="0" fontId="237" fillId="0" borderId="9" xfId="0" applyFont="1" applyBorder="1" applyAlignment="1">
      <alignment horizontal="center" vertical="center"/>
    </xf>
    <xf numFmtId="0" fontId="5" fillId="0" borderId="0" xfId="0" quotePrefix="1" applyFont="1" applyAlignment="1">
      <alignment horizontal="center" vertical="center"/>
    </xf>
    <xf numFmtId="0" fontId="139" fillId="0" borderId="9" xfId="0" applyFont="1" applyBorder="1" applyAlignment="1">
      <alignment vertical="center"/>
    </xf>
    <xf numFmtId="0" fontId="139" fillId="7" borderId="0" xfId="0" applyFont="1" applyFill="1" applyAlignment="1">
      <alignment horizontal="center" vertical="center"/>
    </xf>
    <xf numFmtId="0" fontId="199" fillId="0" borderId="0" xfId="0" applyFont="1" applyAlignment="1">
      <alignment horizontal="right" vertical="center"/>
    </xf>
    <xf numFmtId="0" fontId="139" fillId="0" borderId="3" xfId="0" applyFont="1" applyBorder="1" applyAlignment="1">
      <alignment horizontal="center" vertical="center"/>
    </xf>
    <xf numFmtId="0" fontId="139" fillId="0" borderId="47" xfId="0" applyFont="1" applyBorder="1" applyAlignment="1">
      <alignment horizontal="center" vertical="center"/>
    </xf>
    <xf numFmtId="0" fontId="139" fillId="0" borderId="48" xfId="0" applyFont="1" applyBorder="1" applyAlignment="1">
      <alignment vertical="center"/>
    </xf>
    <xf numFmtId="170" fontId="4" fillId="0" borderId="0" xfId="0" quotePrefix="1" applyNumberFormat="1" applyFont="1" applyAlignment="1">
      <alignment horizontal="center" vertical="center" wrapText="1"/>
    </xf>
    <xf numFmtId="49" fontId="4" fillId="0" borderId="0" xfId="0" applyNumberFormat="1" applyFont="1" applyAlignment="1">
      <alignment horizontal="center" vertical="center"/>
    </xf>
    <xf numFmtId="49" fontId="7" fillId="12" borderId="332" xfId="0" applyNumberFormat="1" applyFont="1" applyFill="1" applyBorder="1" applyAlignment="1">
      <alignment horizontal="center" vertical="center" wrapText="1"/>
    </xf>
    <xf numFmtId="49" fontId="0" fillId="0" borderId="0" xfId="0" applyNumberFormat="1" applyAlignment="1">
      <alignment horizontal="center" vertical="center"/>
    </xf>
    <xf numFmtId="0" fontId="65" fillId="7" borderId="0" xfId="0" applyFont="1" applyFill="1"/>
    <xf numFmtId="0" fontId="4" fillId="8" borderId="366" xfId="0" applyFont="1" applyFill="1" applyBorder="1" applyAlignment="1">
      <alignment horizontal="center" vertical="center"/>
    </xf>
    <xf numFmtId="0" fontId="7" fillId="0" borderId="366" xfId="0" applyFont="1" applyBorder="1" applyAlignment="1">
      <alignment horizontal="right" vertical="center"/>
    </xf>
    <xf numFmtId="0" fontId="7" fillId="0" borderId="366" xfId="0" applyFont="1" applyBorder="1" applyAlignment="1">
      <alignment horizontal="center" vertical="center"/>
    </xf>
    <xf numFmtId="2" fontId="7" fillId="0" borderId="366" xfId="0" applyNumberFormat="1" applyFont="1" applyBorder="1" applyAlignment="1">
      <alignment horizontal="center" vertical="center"/>
    </xf>
    <xf numFmtId="0" fontId="4" fillId="0" borderId="366" xfId="0" applyFont="1" applyBorder="1" applyAlignment="1">
      <alignment horizontal="center" vertical="center"/>
    </xf>
    <xf numFmtId="0" fontId="240" fillId="0" borderId="0" xfId="0" applyFont="1" applyAlignment="1">
      <alignment horizontal="center"/>
    </xf>
    <xf numFmtId="0" fontId="240" fillId="0" borderId="9" xfId="0" applyFont="1" applyBorder="1" applyAlignment="1">
      <alignment horizontal="center"/>
    </xf>
    <xf numFmtId="0" fontId="240" fillId="0" borderId="2" xfId="0" applyFont="1" applyBorder="1" applyAlignment="1">
      <alignment horizontal="center" vertical="center"/>
    </xf>
    <xf numFmtId="170" fontId="240" fillId="0" borderId="366" xfId="0" applyNumberFormat="1" applyFont="1" applyBorder="1" applyAlignment="1">
      <alignment horizontal="center" vertical="center"/>
    </xf>
    <xf numFmtId="0" fontId="221" fillId="0" borderId="304" xfId="0" applyFont="1" applyBorder="1" applyAlignment="1" applyProtection="1">
      <alignment horizontal="center" vertical="center"/>
      <protection locked="0"/>
    </xf>
    <xf numFmtId="0" fontId="240" fillId="0" borderId="3" xfId="0" applyFont="1" applyBorder="1" applyAlignment="1">
      <alignment horizontal="center" vertical="center"/>
    </xf>
    <xf numFmtId="2" fontId="240" fillId="0" borderId="241" xfId="0" applyNumberFormat="1" applyFont="1" applyBorder="1" applyAlignment="1">
      <alignment horizontal="center" vertical="center"/>
    </xf>
    <xf numFmtId="0" fontId="221" fillId="0" borderId="83" xfId="0" applyFont="1" applyBorder="1" applyAlignment="1" applyProtection="1">
      <alignment horizontal="center" vertical="center"/>
      <protection locked="0"/>
    </xf>
    <xf numFmtId="0" fontId="7" fillId="24" borderId="116" xfId="0" applyFont="1" applyFill="1" applyBorder="1" applyAlignment="1">
      <alignment horizontal="center" vertical="center"/>
    </xf>
    <xf numFmtId="0" fontId="7" fillId="24" borderId="160" xfId="0" applyFont="1" applyFill="1" applyBorder="1" applyAlignment="1">
      <alignment horizontal="center" vertical="center"/>
    </xf>
    <xf numFmtId="0" fontId="2" fillId="0" borderId="232" xfId="0" applyFont="1" applyBorder="1" applyAlignment="1">
      <alignment horizontal="center"/>
    </xf>
    <xf numFmtId="1" fontId="4" fillId="0" borderId="232" xfId="0" applyNumberFormat="1" applyFont="1" applyBorder="1" applyAlignment="1">
      <alignment horizontal="center" vertical="center"/>
    </xf>
    <xf numFmtId="0" fontId="153" fillId="17" borderId="0" xfId="0" applyFont="1" applyFill="1" applyAlignment="1">
      <alignment horizontal="right" vertical="center"/>
    </xf>
    <xf numFmtId="0" fontId="2" fillId="7" borderId="0" xfId="0" applyFont="1" applyFill="1" applyAlignment="1">
      <alignment horizontal="right" vertical="center"/>
    </xf>
    <xf numFmtId="0" fontId="2" fillId="7" borderId="366" xfId="0" applyFont="1" applyFill="1" applyBorder="1"/>
    <xf numFmtId="168" fontId="20" fillId="0" borderId="244" xfId="0" applyNumberFormat="1" applyFont="1" applyBorder="1" applyAlignment="1">
      <alignment horizontal="center" vertical="center"/>
    </xf>
    <xf numFmtId="170" fontId="20" fillId="0" borderId="244" xfId="0" applyNumberFormat="1" applyFont="1" applyBorder="1" applyAlignment="1">
      <alignment horizontal="center" vertical="center"/>
    </xf>
    <xf numFmtId="168" fontId="2" fillId="0" borderId="244" xfId="0" applyNumberFormat="1" applyFont="1" applyBorder="1" applyAlignment="1">
      <alignment horizontal="center" vertical="center"/>
    </xf>
    <xf numFmtId="164" fontId="49" fillId="0" borderId="244" xfId="0" applyNumberFormat="1" applyFont="1" applyBorder="1" applyAlignment="1">
      <alignment horizontal="center" vertical="center"/>
    </xf>
    <xf numFmtId="3" fontId="4" fillId="17" borderId="246" xfId="0" applyNumberFormat="1" applyFont="1" applyFill="1" applyBorder="1" applyAlignment="1">
      <alignment horizontal="center" vertical="center"/>
    </xf>
    <xf numFmtId="0" fontId="4" fillId="17" borderId="367" xfId="0" applyFont="1" applyFill="1" applyBorder="1" applyAlignment="1">
      <alignment horizontal="center" vertical="center"/>
    </xf>
    <xf numFmtId="2" fontId="4" fillId="0" borderId="364" xfId="0" applyNumberFormat="1" applyFont="1" applyBorder="1" applyAlignment="1">
      <alignment horizontal="center" vertical="center"/>
    </xf>
    <xf numFmtId="0" fontId="49" fillId="7" borderId="245" xfId="0" applyFont="1" applyFill="1" applyBorder="1" applyAlignment="1">
      <alignment horizontal="center" vertical="center"/>
    </xf>
    <xf numFmtId="0" fontId="7" fillId="17" borderId="353" xfId="0" applyFont="1" applyFill="1" applyBorder="1" applyAlignment="1">
      <alignment horizontal="center" vertical="center"/>
    </xf>
    <xf numFmtId="0" fontId="7" fillId="17" borderId="38" xfId="0" applyFont="1" applyFill="1" applyBorder="1" applyAlignment="1">
      <alignment horizontal="right" vertical="center"/>
    </xf>
    <xf numFmtId="0" fontId="7" fillId="17" borderId="2" xfId="0" applyFont="1" applyFill="1" applyBorder="1" applyAlignment="1">
      <alignment horizontal="right" vertical="center"/>
    </xf>
    <xf numFmtId="0" fontId="7" fillId="17" borderId="237" xfId="0" applyFont="1" applyFill="1" applyBorder="1" applyAlignment="1">
      <alignment horizontal="center" vertical="center"/>
    </xf>
    <xf numFmtId="0" fontId="41" fillId="17" borderId="2" xfId="0" applyFont="1" applyFill="1" applyBorder="1" applyAlignment="1">
      <alignment vertical="center"/>
    </xf>
    <xf numFmtId="0" fontId="64" fillId="17" borderId="304" xfId="0" applyFont="1" applyFill="1" applyBorder="1" applyAlignment="1">
      <alignment horizontal="center" vertical="center"/>
    </xf>
    <xf numFmtId="0" fontId="7" fillId="17" borderId="304" xfId="0" applyFont="1" applyFill="1" applyBorder="1" applyAlignment="1">
      <alignment horizontal="center" vertical="center"/>
    </xf>
    <xf numFmtId="0" fontId="0" fillId="17" borderId="2" xfId="0" applyFill="1" applyBorder="1"/>
    <xf numFmtId="0" fontId="7" fillId="9" borderId="368" xfId="0" applyFont="1" applyFill="1" applyBorder="1" applyAlignment="1">
      <alignment horizontal="center" vertical="center" wrapText="1"/>
    </xf>
    <xf numFmtId="0" fontId="7" fillId="6" borderId="368" xfId="0" applyFont="1" applyFill="1" applyBorder="1" applyAlignment="1">
      <alignment horizontal="center" vertical="center" wrapText="1"/>
    </xf>
    <xf numFmtId="0" fontId="4" fillId="0" borderId="368" xfId="0" applyFont="1" applyBorder="1" applyAlignment="1">
      <alignment horizontal="center" vertical="center" wrapText="1"/>
    </xf>
    <xf numFmtId="0" fontId="4" fillId="0" borderId="368" xfId="0" applyFont="1" applyBorder="1" applyAlignment="1">
      <alignment horizontal="center" vertical="center"/>
    </xf>
    <xf numFmtId="167" fontId="4" fillId="0" borderId="368" xfId="0" applyNumberFormat="1" applyFont="1" applyBorder="1" applyAlignment="1">
      <alignment horizontal="center" vertical="center"/>
    </xf>
    <xf numFmtId="0" fontId="4" fillId="0" borderId="368" xfId="0" applyFont="1" applyBorder="1" applyAlignment="1">
      <alignment horizontal="left" vertical="center"/>
    </xf>
    <xf numFmtId="170" fontId="4" fillId="0" borderId="368" xfId="0" applyNumberFormat="1" applyFont="1" applyBorder="1" applyAlignment="1">
      <alignment horizontal="center" vertical="center"/>
    </xf>
    <xf numFmtId="0" fontId="4" fillId="17" borderId="368" xfId="0" applyFont="1" applyFill="1" applyBorder="1" applyAlignment="1">
      <alignment vertical="center"/>
    </xf>
    <xf numFmtId="0" fontId="4" fillId="17" borderId="368" xfId="0" applyFont="1" applyFill="1" applyBorder="1" applyAlignment="1">
      <alignment horizontal="center" vertical="center"/>
    </xf>
    <xf numFmtId="0" fontId="7" fillId="17" borderId="368" xfId="0" applyFont="1" applyFill="1" applyBorder="1" applyAlignment="1">
      <alignment horizontal="center" vertical="center"/>
    </xf>
    <xf numFmtId="165" fontId="4" fillId="0" borderId="0" xfId="0" applyNumberFormat="1" applyFont="1" applyAlignment="1">
      <alignment vertical="center"/>
    </xf>
    <xf numFmtId="0" fontId="4" fillId="0" borderId="369" xfId="0" applyFont="1" applyBorder="1" applyAlignment="1">
      <alignment horizontal="right" vertical="center" indent="1"/>
    </xf>
    <xf numFmtId="0" fontId="244" fillId="7" borderId="0" xfId="0" applyFont="1" applyFill="1"/>
    <xf numFmtId="0" fontId="244" fillId="0" borderId="0" xfId="0" applyFont="1"/>
    <xf numFmtId="0" fontId="249" fillId="17" borderId="0" xfId="0" applyFont="1" applyFill="1"/>
    <xf numFmtId="0" fontId="251" fillId="17" borderId="0" xfId="0" applyFont="1" applyFill="1"/>
    <xf numFmtId="0" fontId="253" fillId="18" borderId="0" xfId="0" applyFont="1" applyFill="1"/>
    <xf numFmtId="0" fontId="253" fillId="18" borderId="0" xfId="0" applyFont="1" applyFill="1" applyAlignment="1">
      <alignment horizontal="center" vertical="center"/>
    </xf>
    <xf numFmtId="0" fontId="249" fillId="18" borderId="0" xfId="0" applyFont="1" applyFill="1"/>
    <xf numFmtId="14" fontId="249" fillId="18" borderId="0" xfId="0" applyNumberFormat="1" applyFont="1" applyFill="1" applyAlignment="1">
      <alignment horizontal="right"/>
    </xf>
    <xf numFmtId="0" fontId="253" fillId="18" borderId="0" xfId="0" applyFont="1" applyFill="1" applyAlignment="1">
      <alignment horizontal="right"/>
    </xf>
    <xf numFmtId="0" fontId="254" fillId="17" borderId="0" xfId="0" applyFont="1" applyFill="1"/>
    <xf numFmtId="0" fontId="253" fillId="17" borderId="114" xfId="0" applyFont="1" applyFill="1" applyBorder="1" applyAlignment="1">
      <alignment horizontal="left"/>
    </xf>
    <xf numFmtId="0" fontId="253" fillId="17" borderId="121" xfId="0" applyFont="1" applyFill="1" applyBorder="1" applyAlignment="1">
      <alignment horizontal="left"/>
    </xf>
    <xf numFmtId="0" fontId="253" fillId="0" borderId="121" xfId="0" applyFont="1" applyBorder="1" applyAlignment="1">
      <alignment horizontal="left"/>
    </xf>
    <xf numFmtId="0" fontId="249" fillId="0" borderId="118" xfId="0" applyFont="1" applyBorder="1" applyAlignment="1">
      <alignment horizontal="left"/>
    </xf>
    <xf numFmtId="0" fontId="254" fillId="17" borderId="0" xfId="0" applyFont="1" applyFill="1" applyAlignment="1">
      <alignment horizontal="left" indent="1"/>
    </xf>
    <xf numFmtId="49" fontId="255" fillId="18" borderId="0" xfId="0" applyNumberFormat="1" applyFont="1" applyFill="1" applyAlignment="1" applyProtection="1">
      <alignment horizontal="center" vertical="center"/>
      <protection locked="0"/>
    </xf>
    <xf numFmtId="0" fontId="258" fillId="18" borderId="0" xfId="0" applyFont="1" applyFill="1" applyAlignment="1">
      <alignment horizontal="right"/>
    </xf>
    <xf numFmtId="0" fontId="258" fillId="18" borderId="0" xfId="0" applyFont="1" applyFill="1" applyAlignment="1">
      <alignment horizontal="right" vertical="center"/>
    </xf>
    <xf numFmtId="0" fontId="252" fillId="18" borderId="0" xfId="0" applyFont="1" applyFill="1" applyAlignment="1">
      <alignment horizontal="right" vertical="center"/>
    </xf>
    <xf numFmtId="0" fontId="264" fillId="18" borderId="0" xfId="0" applyFont="1" applyFill="1" applyAlignment="1">
      <alignment horizontal="center"/>
    </xf>
    <xf numFmtId="0" fontId="264" fillId="18" borderId="0" xfId="0" applyFont="1" applyFill="1" applyAlignment="1">
      <alignment horizontal="center" vertical="top"/>
    </xf>
    <xf numFmtId="0" fontId="253" fillId="17" borderId="98" xfId="0" applyFont="1" applyFill="1" applyBorder="1"/>
    <xf numFmtId="0" fontId="7" fillId="0" borderId="368" xfId="0" applyFont="1" applyBorder="1" applyAlignment="1">
      <alignment horizontal="center" vertical="center"/>
    </xf>
    <xf numFmtId="0" fontId="7" fillId="8" borderId="368" xfId="0" applyFont="1" applyFill="1" applyBorder="1" applyAlignment="1">
      <alignment horizontal="center" vertical="center"/>
    </xf>
    <xf numFmtId="0" fontId="10" fillId="7" borderId="0" xfId="1" applyFill="1" applyAlignment="1" applyProtection="1">
      <alignment vertical="center"/>
    </xf>
    <xf numFmtId="49" fontId="47" fillId="0" borderId="195" xfId="0" applyNumberFormat="1" applyFont="1" applyBorder="1" applyAlignment="1" applyProtection="1">
      <alignment horizontal="center" vertical="center" wrapText="1"/>
      <protection locked="0"/>
    </xf>
    <xf numFmtId="0" fontId="4" fillId="7" borderId="368" xfId="0" applyFont="1" applyFill="1" applyBorder="1" applyAlignment="1">
      <alignment horizontal="center" vertical="center"/>
    </xf>
    <xf numFmtId="0" fontId="136" fillId="0" borderId="0" xfId="0" applyFont="1" applyAlignment="1">
      <alignment vertical="center"/>
    </xf>
    <xf numFmtId="0" fontId="136" fillId="0" borderId="0" xfId="0" applyFont="1" applyAlignment="1">
      <alignment horizontal="center" vertical="center"/>
    </xf>
    <xf numFmtId="2" fontId="49" fillId="0" borderId="244" xfId="0" applyNumberFormat="1" applyFont="1" applyBorder="1" applyAlignment="1">
      <alignment horizontal="center" vertical="center"/>
    </xf>
    <xf numFmtId="170" fontId="4" fillId="0" borderId="4" xfId="0" applyNumberFormat="1" applyFont="1" applyBorder="1" applyAlignment="1">
      <alignment horizontal="center" vertical="center"/>
    </xf>
    <xf numFmtId="0" fontId="11" fillId="0" borderId="0" xfId="0" applyFont="1" applyAlignment="1">
      <alignment horizontal="right" vertical="center"/>
    </xf>
    <xf numFmtId="170" fontId="11" fillId="7" borderId="12" xfId="0" applyNumberFormat="1" applyFont="1" applyFill="1" applyBorder="1" applyAlignment="1">
      <alignment horizontal="center" vertical="center"/>
    </xf>
    <xf numFmtId="0" fontId="4" fillId="0" borderId="368" xfId="0" applyFont="1" applyBorder="1" applyAlignment="1">
      <alignment vertical="center"/>
    </xf>
    <xf numFmtId="169" fontId="14" fillId="0" borderId="241" xfId="0" applyNumberFormat="1" applyFont="1" applyBorder="1" applyAlignment="1" applyProtection="1">
      <alignment horizontal="center" vertical="center"/>
      <protection locked="0"/>
    </xf>
    <xf numFmtId="0" fontId="156" fillId="17" borderId="12" xfId="0" applyFont="1" applyFill="1" applyBorder="1" applyAlignment="1">
      <alignment horizontal="center" vertical="center"/>
    </xf>
    <xf numFmtId="167" fontId="4" fillId="0" borderId="245" xfId="0" applyNumberFormat="1" applyFont="1" applyBorder="1" applyAlignment="1">
      <alignment horizontal="center" vertical="center"/>
    </xf>
    <xf numFmtId="169" fontId="49" fillId="21" borderId="16" xfId="0" applyNumberFormat="1" applyFont="1" applyFill="1" applyBorder="1" applyAlignment="1">
      <alignment horizontal="center" vertical="center"/>
    </xf>
    <xf numFmtId="167" fontId="11" fillId="3" borderId="0" xfId="0" applyNumberFormat="1" applyFont="1" applyFill="1" applyAlignment="1">
      <alignment vertical="center"/>
    </xf>
    <xf numFmtId="168" fontId="11" fillId="17" borderId="16" xfId="0" applyNumberFormat="1" applyFont="1" applyFill="1" applyBorder="1" applyAlignment="1">
      <alignment horizontal="center" vertical="center"/>
    </xf>
    <xf numFmtId="2" fontId="11" fillId="3" borderId="0" xfId="0" applyNumberFormat="1" applyFont="1" applyFill="1" applyAlignment="1">
      <alignment vertical="center"/>
    </xf>
    <xf numFmtId="0" fontId="11" fillId="4" borderId="0" xfId="0" applyFont="1" applyFill="1" applyAlignment="1">
      <alignment vertical="center"/>
    </xf>
    <xf numFmtId="168" fontId="11" fillId="17" borderId="20" xfId="0" applyNumberFormat="1" applyFont="1" applyFill="1" applyBorder="1" applyAlignment="1">
      <alignment horizontal="center" vertical="center"/>
    </xf>
    <xf numFmtId="2" fontId="11" fillId="4" borderId="0" xfId="0" applyNumberFormat="1" applyFont="1" applyFill="1" applyAlignment="1">
      <alignment vertical="center"/>
    </xf>
    <xf numFmtId="168" fontId="11" fillId="4" borderId="0" xfId="0" applyNumberFormat="1" applyFont="1" applyFill="1" applyAlignment="1">
      <alignment vertical="center"/>
    </xf>
    <xf numFmtId="166" fontId="4" fillId="0" borderId="245" xfId="0" applyNumberFormat="1" applyFont="1" applyBorder="1" applyAlignment="1">
      <alignment horizontal="center" vertical="center"/>
    </xf>
    <xf numFmtId="167" fontId="4" fillId="17" borderId="50" xfId="0" applyNumberFormat="1" applyFont="1" applyFill="1" applyBorder="1" applyAlignment="1">
      <alignment horizontal="center" vertical="center"/>
    </xf>
    <xf numFmtId="169" fontId="7" fillId="17" borderId="12" xfId="0" applyNumberFormat="1" applyFont="1" applyFill="1" applyBorder="1" applyAlignment="1">
      <alignment horizontal="center" vertical="center"/>
    </xf>
    <xf numFmtId="173" fontId="11" fillId="3" borderId="0" xfId="0" applyNumberFormat="1" applyFont="1" applyFill="1" applyAlignment="1">
      <alignment vertical="center"/>
    </xf>
    <xf numFmtId="0" fontId="41" fillId="0" borderId="0" xfId="0" applyFont="1" applyAlignment="1">
      <alignment horizontal="left" vertical="center"/>
    </xf>
    <xf numFmtId="0" fontId="156" fillId="17" borderId="0" xfId="0" applyFont="1" applyFill="1" applyAlignment="1">
      <alignment horizontal="left" vertical="center"/>
    </xf>
    <xf numFmtId="167" fontId="7" fillId="17" borderId="0" xfId="0" applyNumberFormat="1" applyFont="1" applyFill="1" applyAlignment="1">
      <alignment horizontal="center" vertical="center"/>
    </xf>
    <xf numFmtId="169" fontId="7" fillId="17" borderId="0" xfId="0" applyNumberFormat="1" applyFont="1" applyFill="1" applyAlignment="1">
      <alignment horizontal="center" vertical="center"/>
    </xf>
    <xf numFmtId="168" fontId="11" fillId="17" borderId="0" xfId="0" applyNumberFormat="1" applyFont="1" applyFill="1" applyAlignment="1">
      <alignment horizontal="center" vertical="center"/>
    </xf>
    <xf numFmtId="168" fontId="4" fillId="0" borderId="18" xfId="0" applyNumberFormat="1" applyFont="1" applyBorder="1" applyAlignment="1">
      <alignment horizontal="center" vertical="center"/>
    </xf>
    <xf numFmtId="3" fontId="4" fillId="0" borderId="246" xfId="0" applyNumberFormat="1" applyFont="1" applyBorder="1" applyAlignment="1">
      <alignment horizontal="center" vertical="center"/>
    </xf>
    <xf numFmtId="168" fontId="11" fillId="17" borderId="4" xfId="0" applyNumberFormat="1" applyFont="1" applyFill="1" applyBorder="1" applyAlignment="1">
      <alignment horizontal="center" vertical="center"/>
    </xf>
    <xf numFmtId="2" fontId="6" fillId="7" borderId="6" xfId="0" applyNumberFormat="1" applyFont="1" applyFill="1" applyBorder="1" applyAlignment="1">
      <alignment horizontal="center" vertical="center"/>
    </xf>
    <xf numFmtId="169" fontId="6" fillId="7" borderId="12" xfId="0" applyNumberFormat="1" applyFont="1" applyFill="1" applyBorder="1" applyAlignment="1">
      <alignment horizontal="center" vertical="center"/>
    </xf>
    <xf numFmtId="170" fontId="11" fillId="7" borderId="0" xfId="0" applyNumberFormat="1" applyFont="1" applyFill="1" applyAlignment="1">
      <alignment horizontal="center" vertical="center"/>
    </xf>
    <xf numFmtId="2" fontId="11" fillId="7" borderId="0" xfId="0" applyNumberFormat="1" applyFont="1" applyFill="1" applyAlignment="1">
      <alignment horizontal="left" vertical="center"/>
    </xf>
    <xf numFmtId="168" fontId="7" fillId="0" borderId="20" xfId="0" applyNumberFormat="1" applyFont="1" applyBorder="1" applyAlignment="1">
      <alignment horizontal="center" vertical="center"/>
    </xf>
    <xf numFmtId="168" fontId="4" fillId="0" borderId="368" xfId="0" applyNumberFormat="1" applyFont="1" applyBorder="1" applyAlignment="1">
      <alignment horizontal="center" vertical="center"/>
    </xf>
    <xf numFmtId="168" fontId="4" fillId="17" borderId="368" xfId="0" applyNumberFormat="1" applyFont="1" applyFill="1" applyBorder="1" applyAlignment="1">
      <alignment horizontal="center" vertical="center"/>
    </xf>
    <xf numFmtId="168" fontId="4" fillId="17" borderId="304" xfId="0" applyNumberFormat="1" applyFont="1" applyFill="1" applyBorder="1" applyAlignment="1">
      <alignment horizontal="center" vertical="center"/>
    </xf>
    <xf numFmtId="168" fontId="4" fillId="0" borderId="241" xfId="0" applyNumberFormat="1" applyFont="1" applyBorder="1" applyAlignment="1">
      <alignment horizontal="center" vertical="center"/>
    </xf>
    <xf numFmtId="168" fontId="4" fillId="17" borderId="241" xfId="0" applyNumberFormat="1" applyFont="1" applyFill="1" applyBorder="1" applyAlignment="1">
      <alignment horizontal="center" vertical="center"/>
    </xf>
    <xf numFmtId="168" fontId="4" fillId="17" borderId="83" xfId="0" applyNumberFormat="1" applyFont="1" applyFill="1" applyBorder="1" applyAlignment="1">
      <alignment horizontal="center" vertical="center"/>
    </xf>
    <xf numFmtId="0" fontId="7" fillId="2" borderId="0" xfId="0" applyFont="1" applyFill="1" applyAlignment="1">
      <alignment horizontal="right" vertical="center"/>
    </xf>
    <xf numFmtId="168" fontId="4" fillId="7" borderId="368" xfId="0" applyNumberFormat="1" applyFont="1" applyFill="1" applyBorder="1" applyAlignment="1">
      <alignment horizontal="center" vertical="center"/>
    </xf>
    <xf numFmtId="168" fontId="11" fillId="7" borderId="368" xfId="0" applyNumberFormat="1" applyFont="1" applyFill="1" applyBorder="1" applyAlignment="1">
      <alignment horizontal="center" vertical="center"/>
    </xf>
    <xf numFmtId="170" fontId="4" fillId="0" borderId="95" xfId="0" applyNumberFormat="1" applyFont="1" applyBorder="1" applyAlignment="1">
      <alignment horizontal="center" vertical="center"/>
    </xf>
    <xf numFmtId="168" fontId="4" fillId="0" borderId="182" xfId="0" applyNumberFormat="1" applyFont="1" applyBorder="1" applyAlignment="1">
      <alignment horizontal="center" vertical="center"/>
    </xf>
    <xf numFmtId="170" fontId="4" fillId="0" borderId="332" xfId="0" applyNumberFormat="1" applyFont="1" applyBorder="1" applyAlignment="1">
      <alignment horizontal="center" vertical="center"/>
    </xf>
    <xf numFmtId="168" fontId="4" fillId="0" borderId="111" xfId="0" applyNumberFormat="1" applyFont="1" applyBorder="1" applyAlignment="1">
      <alignment horizontal="center" vertical="center"/>
    </xf>
    <xf numFmtId="168" fontId="4" fillId="0" borderId="109" xfId="0" applyNumberFormat="1" applyFont="1" applyBorder="1" applyAlignment="1">
      <alignment horizontal="center" vertical="center"/>
    </xf>
    <xf numFmtId="2" fontId="4" fillId="0" borderId="156" xfId="0" applyNumberFormat="1" applyFont="1" applyBorder="1" applyAlignment="1">
      <alignment horizontal="center" vertical="center"/>
    </xf>
    <xf numFmtId="2" fontId="4" fillId="7" borderId="368" xfId="0" applyNumberFormat="1" applyFont="1" applyFill="1" applyBorder="1" applyAlignment="1">
      <alignment horizontal="center" vertical="center"/>
    </xf>
    <xf numFmtId="0" fontId="11" fillId="7" borderId="332" xfId="0" applyFont="1" applyFill="1" applyBorder="1" applyAlignment="1">
      <alignment horizontal="center" vertical="center"/>
    </xf>
    <xf numFmtId="2" fontId="4" fillId="7" borderId="332" xfId="0" applyNumberFormat="1" applyFont="1" applyFill="1" applyBorder="1" applyAlignment="1">
      <alignment horizontal="center" vertical="center"/>
    </xf>
    <xf numFmtId="168" fontId="11" fillId="0" borderId="332" xfId="0" applyNumberFormat="1" applyFont="1" applyBorder="1" applyAlignment="1">
      <alignment horizontal="center" vertical="center"/>
    </xf>
    <xf numFmtId="2" fontId="11" fillId="7" borderId="368" xfId="0" applyNumberFormat="1" applyFont="1" applyFill="1" applyBorder="1" applyAlignment="1">
      <alignment horizontal="center" vertical="center"/>
    </xf>
    <xf numFmtId="0" fontId="4" fillId="7" borderId="364" xfId="0" applyFont="1" applyFill="1" applyBorder="1" applyAlignment="1">
      <alignment horizontal="center" vertical="center"/>
    </xf>
    <xf numFmtId="0" fontId="4" fillId="23" borderId="50" xfId="0" applyFont="1" applyFill="1" applyBorder="1" applyAlignment="1">
      <alignment horizontal="center" vertical="center"/>
    </xf>
    <xf numFmtId="0" fontId="4" fillId="23" borderId="20" xfId="0" applyFont="1" applyFill="1" applyBorder="1" applyAlignment="1">
      <alignment horizontal="center" vertical="center"/>
    </xf>
    <xf numFmtId="0" fontId="4" fillId="7" borderId="363" xfId="0" applyFont="1" applyFill="1" applyBorder="1" applyAlignment="1">
      <alignment horizontal="center" vertical="center"/>
    </xf>
    <xf numFmtId="0" fontId="4" fillId="0" borderId="211" xfId="0" applyFont="1" applyBorder="1" applyAlignment="1">
      <alignment horizontal="center" vertical="center"/>
    </xf>
    <xf numFmtId="0" fontId="4" fillId="23" borderId="16" xfId="0" applyFont="1" applyFill="1" applyBorder="1" applyAlignment="1">
      <alignment horizontal="right" vertical="center"/>
    </xf>
    <xf numFmtId="0" fontId="4" fillId="23" borderId="20" xfId="0" applyFont="1" applyFill="1" applyBorder="1" applyAlignment="1">
      <alignment horizontal="right" vertical="center"/>
    </xf>
    <xf numFmtId="168" fontId="7" fillId="7" borderId="244" xfId="0" applyNumberFormat="1" applyFont="1" applyFill="1" applyBorder="1" applyAlignment="1">
      <alignment horizontal="center" vertical="center"/>
    </xf>
    <xf numFmtId="169" fontId="14" fillId="0" borderId="368" xfId="0" applyNumberFormat="1" applyFont="1" applyBorder="1" applyAlignment="1" applyProtection="1">
      <alignment horizontal="center" vertical="center"/>
      <protection locked="0"/>
    </xf>
    <xf numFmtId="0" fontId="14" fillId="0" borderId="368" xfId="0" applyFont="1" applyBorder="1" applyAlignment="1" applyProtection="1">
      <alignment horizontal="center" vertical="center"/>
      <protection locked="0"/>
    </xf>
    <xf numFmtId="169" fontId="4" fillId="0" borderId="368" xfId="0" applyNumberFormat="1" applyFont="1" applyBorder="1" applyAlignment="1">
      <alignment horizontal="center" vertical="center"/>
    </xf>
    <xf numFmtId="169" fontId="108" fillId="0" borderId="368" xfId="0" applyNumberFormat="1" applyFont="1" applyBorder="1" applyAlignment="1" applyProtection="1">
      <alignment horizontal="center" vertical="center"/>
      <protection locked="0"/>
    </xf>
    <xf numFmtId="0" fontId="4" fillId="7" borderId="41" xfId="0" applyFont="1" applyFill="1" applyBorder="1" applyAlignment="1">
      <alignment horizontal="center" vertical="center"/>
    </xf>
    <xf numFmtId="0" fontId="4" fillId="7" borderId="241" xfId="0" applyFont="1" applyFill="1" applyBorder="1" applyAlignment="1">
      <alignment horizontal="center" vertical="center"/>
    </xf>
    <xf numFmtId="169" fontId="4" fillId="7" borderId="0" xfId="0" applyNumberFormat="1" applyFont="1" applyFill="1" applyAlignment="1">
      <alignment horizontal="left" vertical="center" indent="1"/>
    </xf>
    <xf numFmtId="170" fontId="7" fillId="0" borderId="4" xfId="0" applyNumberFormat="1" applyFont="1" applyBorder="1" applyAlignment="1">
      <alignment horizontal="center" vertical="center"/>
    </xf>
    <xf numFmtId="168" fontId="4" fillId="7" borderId="228" xfId="0" applyNumberFormat="1" applyFont="1" applyFill="1" applyBorder="1" applyAlignment="1">
      <alignment horizontal="center" vertical="center"/>
    </xf>
    <xf numFmtId="168" fontId="4" fillId="7" borderId="191" xfId="0" applyNumberFormat="1" applyFont="1" applyFill="1" applyBorder="1" applyAlignment="1">
      <alignment horizontal="center" vertical="center"/>
    </xf>
    <xf numFmtId="169" fontId="36" fillId="23" borderId="0" xfId="0" applyNumberFormat="1" applyFont="1" applyFill="1" applyAlignment="1">
      <alignment horizontal="left" vertical="center"/>
    </xf>
    <xf numFmtId="169" fontId="182" fillId="23" borderId="0" xfId="0" applyNumberFormat="1" applyFont="1" applyFill="1" applyAlignment="1">
      <alignment horizontal="left" vertical="center"/>
    </xf>
    <xf numFmtId="0" fontId="90" fillId="7" borderId="12" xfId="0" applyFont="1" applyFill="1" applyBorder="1" applyAlignment="1" applyProtection="1">
      <alignment horizontal="center" vertical="center"/>
      <protection locked="0"/>
    </xf>
    <xf numFmtId="0" fontId="11" fillId="17" borderId="321" xfId="0" applyFont="1" applyFill="1" applyBorder="1" applyAlignment="1">
      <alignment horizontal="center" vertical="center"/>
    </xf>
    <xf numFmtId="0" fontId="7" fillId="6" borderId="370" xfId="0" applyFont="1" applyFill="1" applyBorder="1" applyAlignment="1">
      <alignment horizontal="centerContinuous" vertical="center"/>
    </xf>
    <xf numFmtId="169" fontId="49" fillId="21" borderId="4" xfId="0" applyNumberFormat="1" applyFont="1" applyFill="1" applyBorder="1" applyAlignment="1">
      <alignment horizontal="center" vertical="center"/>
    </xf>
    <xf numFmtId="168" fontId="4" fillId="17" borderId="12" xfId="0" applyNumberFormat="1" applyFont="1" applyFill="1" applyBorder="1" applyAlignment="1">
      <alignment horizontal="center" vertical="center"/>
    </xf>
    <xf numFmtId="168" fontId="11" fillId="17" borderId="12" xfId="0" applyNumberFormat="1" applyFont="1" applyFill="1" applyBorder="1" applyAlignment="1">
      <alignment horizontal="center" vertical="center"/>
    </xf>
    <xf numFmtId="1" fontId="7" fillId="0" borderId="12" xfId="0" applyNumberFormat="1" applyFont="1" applyBorder="1" applyAlignment="1">
      <alignment horizontal="center" vertical="center"/>
    </xf>
    <xf numFmtId="170" fontId="4" fillId="0" borderId="16" xfId="0" applyNumberFormat="1" applyFont="1" applyBorder="1" applyAlignment="1">
      <alignment horizontal="center" vertical="center"/>
    </xf>
    <xf numFmtId="168" fontId="4" fillId="17" borderId="18" xfId="0" applyNumberFormat="1" applyFont="1" applyFill="1" applyBorder="1" applyAlignment="1">
      <alignment horizontal="center" vertical="center"/>
    </xf>
    <xf numFmtId="2" fontId="103" fillId="0" borderId="364" xfId="0" applyNumberFormat="1" applyFont="1" applyBorder="1" applyAlignment="1">
      <alignment horizontal="center" vertical="center"/>
    </xf>
    <xf numFmtId="2" fontId="103" fillId="8" borderId="292" xfId="0" applyNumberFormat="1" applyFont="1" applyFill="1" applyBorder="1" applyAlignment="1">
      <alignment horizontal="center" vertical="center"/>
    </xf>
    <xf numFmtId="2" fontId="103" fillId="8" borderId="364" xfId="0" applyNumberFormat="1" applyFont="1" applyFill="1" applyBorder="1" applyAlignment="1">
      <alignment horizontal="center" vertical="center"/>
    </xf>
    <xf numFmtId="0" fontId="103" fillId="17" borderId="364" xfId="0" applyFont="1" applyFill="1" applyBorder="1" applyAlignment="1">
      <alignment horizontal="center" vertical="center"/>
    </xf>
    <xf numFmtId="168" fontId="103" fillId="0" borderId="364" xfId="0" applyNumberFormat="1" applyFont="1" applyBorder="1" applyAlignment="1">
      <alignment horizontal="center" vertical="center"/>
    </xf>
    <xf numFmtId="0" fontId="36" fillId="18" borderId="1" xfId="0" applyFont="1" applyFill="1" applyBorder="1" applyAlignment="1">
      <alignment horizontal="center" vertical="center"/>
    </xf>
    <xf numFmtId="0" fontId="36" fillId="18" borderId="23" xfId="0" applyFont="1" applyFill="1" applyBorder="1" applyAlignment="1">
      <alignment horizontal="center" vertical="center"/>
    </xf>
    <xf numFmtId="0" fontId="120" fillId="18" borderId="137" xfId="0" applyFont="1" applyFill="1" applyBorder="1" applyAlignment="1">
      <alignment horizontal="center"/>
    </xf>
    <xf numFmtId="0" fontId="36" fillId="18" borderId="137" xfId="0" applyFont="1" applyFill="1" applyBorder="1" applyAlignment="1">
      <alignment horizontal="center" vertical="center"/>
    </xf>
    <xf numFmtId="0" fontId="36" fillId="18" borderId="142" xfId="0" applyFont="1" applyFill="1" applyBorder="1" applyAlignment="1">
      <alignment horizontal="center" vertical="center"/>
    </xf>
    <xf numFmtId="0" fontId="49" fillId="18" borderId="332" xfId="0" applyFont="1" applyFill="1" applyBorder="1" applyAlignment="1">
      <alignment horizontal="center" vertical="center"/>
    </xf>
    <xf numFmtId="0" fontId="49" fillId="18" borderId="241" xfId="0" applyFont="1" applyFill="1" applyBorder="1" applyAlignment="1">
      <alignment horizontal="center" vertical="center"/>
    </xf>
    <xf numFmtId="0" fontId="7" fillId="18" borderId="241" xfId="0" applyFont="1" applyFill="1" applyBorder="1" applyAlignment="1">
      <alignment horizontal="center" vertical="center"/>
    </xf>
    <xf numFmtId="0" fontId="7" fillId="45" borderId="241" xfId="0" applyFont="1" applyFill="1" applyBorder="1" applyAlignment="1">
      <alignment horizontal="center" vertical="center"/>
    </xf>
    <xf numFmtId="0" fontId="7" fillId="45" borderId="41" xfId="0" applyFont="1" applyFill="1" applyBorder="1" applyAlignment="1">
      <alignment horizontal="center" vertical="center"/>
    </xf>
    <xf numFmtId="0" fontId="7" fillId="18" borderId="332" xfId="0" applyFont="1" applyFill="1" applyBorder="1" applyAlignment="1">
      <alignment horizontal="center" vertical="center"/>
    </xf>
    <xf numFmtId="0" fontId="7" fillId="34" borderId="223" xfId="0" applyFont="1" applyFill="1" applyBorder="1" applyAlignment="1">
      <alignment horizontal="center" vertical="center" textRotation="90" wrapText="1"/>
    </xf>
    <xf numFmtId="0" fontId="7" fillId="34" borderId="364" xfId="0" applyFont="1" applyFill="1" applyBorder="1" applyAlignment="1">
      <alignment horizontal="center" vertical="center" textRotation="90" wrapText="1"/>
    </xf>
    <xf numFmtId="169" fontId="7" fillId="34" borderId="254" xfId="0" applyNumberFormat="1" applyFont="1" applyFill="1" applyBorder="1" applyAlignment="1">
      <alignment horizontal="center" vertical="center"/>
    </xf>
    <xf numFmtId="0" fontId="7" fillId="34" borderId="344" xfId="0" applyFont="1" applyFill="1" applyBorder="1" applyAlignment="1">
      <alignment horizontal="centerContinuous" vertical="center"/>
    </xf>
    <xf numFmtId="0" fontId="7" fillId="46" borderId="304" xfId="0" applyFont="1" applyFill="1" applyBorder="1" applyAlignment="1">
      <alignment horizontal="center" vertical="center"/>
    </xf>
    <xf numFmtId="0" fontId="7" fillId="46" borderId="237" xfId="0" applyFont="1" applyFill="1" applyBorder="1" applyAlignment="1">
      <alignment horizontal="center" vertical="center"/>
    </xf>
    <xf numFmtId="0" fontId="10" fillId="0" borderId="0" xfId="1" applyAlignment="1" applyProtection="1"/>
    <xf numFmtId="0" fontId="4" fillId="43" borderId="0" xfId="0" applyFont="1" applyFill="1" applyAlignment="1">
      <alignment horizontal="center" vertical="center"/>
    </xf>
    <xf numFmtId="0" fontId="4" fillId="22" borderId="38" xfId="0" applyFont="1" applyFill="1" applyBorder="1" applyAlignment="1">
      <alignment horizontal="center" vertical="center"/>
    </xf>
    <xf numFmtId="0" fontId="4" fillId="22" borderId="2" xfId="0" applyFont="1" applyFill="1" applyBorder="1" applyAlignment="1">
      <alignment horizontal="center" vertical="center"/>
    </xf>
    <xf numFmtId="0" fontId="79" fillId="10" borderId="3" xfId="0" applyFont="1" applyFill="1" applyBorder="1" applyAlignment="1">
      <alignment horizontal="center" vertical="center"/>
    </xf>
    <xf numFmtId="2" fontId="4" fillId="0" borderId="246" xfId="0" applyNumberFormat="1" applyFont="1" applyBorder="1" applyAlignment="1">
      <alignment horizontal="center" vertical="center"/>
    </xf>
    <xf numFmtId="0" fontId="4" fillId="0" borderId="69" xfId="0" applyFont="1" applyBorder="1" applyAlignment="1">
      <alignment horizontal="right" vertical="center" indent="1"/>
    </xf>
    <xf numFmtId="0" fontId="4" fillId="7" borderId="371" xfId="0" applyFont="1" applyFill="1" applyBorder="1" applyAlignment="1">
      <alignment horizontal="center" vertical="center"/>
    </xf>
    <xf numFmtId="0" fontId="247" fillId="7" borderId="0" xfId="0" applyFont="1" applyFill="1" applyAlignment="1">
      <alignment horizontal="center"/>
    </xf>
    <xf numFmtId="0" fontId="36" fillId="18" borderId="1" xfId="0" applyFont="1" applyFill="1" applyBorder="1" applyAlignment="1" applyProtection="1">
      <alignment horizontal="center" vertical="center"/>
      <protection locked="0"/>
    </xf>
    <xf numFmtId="0" fontId="36" fillId="18" borderId="184" xfId="0" applyFont="1" applyFill="1" applyBorder="1" applyAlignment="1" applyProtection="1">
      <alignment horizontal="center" vertical="center"/>
      <protection locked="0"/>
    </xf>
    <xf numFmtId="0" fontId="36" fillId="18" borderId="259" xfId="0" applyFont="1" applyFill="1" applyBorder="1" applyAlignment="1" applyProtection="1">
      <alignment horizontal="center" vertical="center"/>
      <protection locked="0"/>
    </xf>
    <xf numFmtId="0" fontId="36" fillId="18" borderId="23" xfId="0" applyFont="1" applyFill="1" applyBorder="1" applyAlignment="1" applyProtection="1">
      <alignment horizontal="center" vertical="center"/>
      <protection locked="0"/>
    </xf>
    <xf numFmtId="170" fontId="4" fillId="17" borderId="0" xfId="0" applyNumberFormat="1" applyFont="1" applyFill="1" applyAlignment="1">
      <alignment vertical="center"/>
    </xf>
    <xf numFmtId="0" fontId="11" fillId="17" borderId="0" xfId="0" applyFont="1" applyFill="1"/>
    <xf numFmtId="0" fontId="4" fillId="17" borderId="372" xfId="0" applyFont="1" applyFill="1" applyBorder="1" applyAlignment="1">
      <alignment horizontal="center"/>
    </xf>
    <xf numFmtId="0" fontId="4" fillId="18" borderId="0" xfId="0" applyFont="1" applyFill="1" applyAlignment="1">
      <alignment horizontal="right" indent="1"/>
    </xf>
    <xf numFmtId="1" fontId="7" fillId="18" borderId="236" xfId="0" applyNumberFormat="1" applyFont="1" applyFill="1" applyBorder="1" applyAlignment="1">
      <alignment horizontal="center" vertical="center"/>
    </xf>
    <xf numFmtId="0" fontId="11" fillId="18" borderId="0" xfId="0" applyFont="1" applyFill="1" applyAlignment="1">
      <alignment horizontal="left" indent="5"/>
    </xf>
    <xf numFmtId="0" fontId="36" fillId="17" borderId="1" xfId="0" applyFont="1" applyFill="1" applyBorder="1" applyAlignment="1">
      <alignment horizontal="center" vertical="center"/>
    </xf>
    <xf numFmtId="0" fontId="36" fillId="18" borderId="137" xfId="0" applyFont="1" applyFill="1" applyBorder="1" applyAlignment="1">
      <alignment horizontal="center"/>
    </xf>
    <xf numFmtId="0" fontId="36" fillId="0" borderId="1" xfId="0" applyFont="1" applyBorder="1" applyAlignment="1" applyProtection="1">
      <alignment horizontal="center" vertical="center"/>
      <protection locked="0"/>
    </xf>
    <xf numFmtId="0" fontId="36" fillId="0" borderId="184" xfId="0" applyFont="1" applyBorder="1" applyAlignment="1" applyProtection="1">
      <alignment horizontal="center" vertical="center"/>
      <protection locked="0"/>
    </xf>
    <xf numFmtId="0" fontId="36" fillId="0" borderId="259" xfId="0" applyFont="1" applyBorder="1" applyAlignment="1" applyProtection="1">
      <alignment horizontal="center" vertical="center"/>
      <protection locked="0"/>
    </xf>
    <xf numFmtId="0" fontId="5" fillId="43" borderId="1" xfId="0" applyFont="1" applyFill="1" applyBorder="1" applyAlignment="1">
      <alignment horizontal="center" vertical="center"/>
    </xf>
    <xf numFmtId="0" fontId="5" fillId="43" borderId="1" xfId="0" applyFont="1" applyFill="1" applyBorder="1" applyAlignment="1">
      <alignment horizontal="center" vertical="center" wrapText="1"/>
    </xf>
    <xf numFmtId="0" fontId="7" fillId="43" borderId="1" xfId="0" applyFont="1" applyFill="1" applyBorder="1" applyAlignment="1">
      <alignment horizontal="center" vertical="center" wrapText="1"/>
    </xf>
    <xf numFmtId="0" fontId="6" fillId="21" borderId="129" xfId="0" applyFont="1" applyFill="1" applyBorder="1" applyAlignment="1">
      <alignment horizontal="center" vertical="center"/>
    </xf>
    <xf numFmtId="0" fontId="6" fillId="21" borderId="184" xfId="0" applyFont="1" applyFill="1" applyBorder="1" applyAlignment="1">
      <alignment horizontal="center" vertical="center"/>
    </xf>
    <xf numFmtId="0" fontId="6" fillId="21" borderId="353" xfId="0" applyFont="1" applyFill="1" applyBorder="1" applyAlignment="1">
      <alignment horizontal="center" vertical="center"/>
    </xf>
    <xf numFmtId="0" fontId="7" fillId="10" borderId="52" xfId="0" applyFont="1" applyFill="1" applyBorder="1" applyAlignment="1">
      <alignment horizontal="center" vertical="center"/>
    </xf>
    <xf numFmtId="0" fontId="6" fillId="42" borderId="52" xfId="0" applyFont="1" applyFill="1" applyBorder="1" applyAlignment="1">
      <alignment horizontal="center" vertical="center"/>
    </xf>
    <xf numFmtId="0" fontId="70" fillId="42" borderId="6" xfId="0" applyFont="1" applyFill="1" applyBorder="1" applyAlignment="1">
      <alignment horizontal="center" vertical="center"/>
    </xf>
    <xf numFmtId="0" fontId="7" fillId="0" borderId="342" xfId="0" applyFont="1" applyBorder="1" applyAlignment="1">
      <alignment horizontal="center" vertical="center"/>
    </xf>
    <xf numFmtId="0" fontId="7" fillId="0" borderId="349" xfId="0" applyFont="1" applyBorder="1" applyAlignment="1">
      <alignment horizontal="center" vertical="center"/>
    </xf>
    <xf numFmtId="0" fontId="7" fillId="0" borderId="246" xfId="0" applyFont="1" applyBorder="1" applyAlignment="1">
      <alignment horizontal="center" vertical="center"/>
    </xf>
    <xf numFmtId="0" fontId="7" fillId="10" borderId="160" xfId="0" applyFont="1" applyFill="1" applyBorder="1" applyAlignment="1">
      <alignment horizontal="center" vertical="center"/>
    </xf>
    <xf numFmtId="0" fontId="7" fillId="0" borderId="237" xfId="0" applyFont="1" applyBorder="1" applyAlignment="1">
      <alignment horizontal="center" vertical="center"/>
    </xf>
    <xf numFmtId="0" fontId="36" fillId="10" borderId="160" xfId="0" applyFont="1" applyFill="1" applyBorder="1" applyAlignment="1">
      <alignment horizontal="center" vertical="center"/>
    </xf>
    <xf numFmtId="0" fontId="36" fillId="10" borderId="242" xfId="0" applyFont="1" applyFill="1" applyBorder="1" applyAlignment="1">
      <alignment horizontal="center" vertical="center"/>
    </xf>
    <xf numFmtId="0" fontId="7" fillId="0" borderId="334" xfId="0" applyFont="1" applyBorder="1" applyAlignment="1">
      <alignment horizontal="center"/>
    </xf>
    <xf numFmtId="0" fontId="7" fillId="39" borderId="334" xfId="0" applyFont="1" applyFill="1" applyBorder="1" applyAlignment="1">
      <alignment horizontal="center" vertical="center"/>
    </xf>
    <xf numFmtId="0" fontId="7" fillId="39" borderId="54" xfId="0" applyFont="1" applyFill="1" applyBorder="1" applyAlignment="1">
      <alignment horizontal="center" vertical="center"/>
    </xf>
    <xf numFmtId="0" fontId="7" fillId="39" borderId="332" xfId="0" applyFont="1" applyFill="1" applyBorder="1" applyAlignment="1">
      <alignment horizontal="center" vertical="center"/>
    </xf>
    <xf numFmtId="0" fontId="7" fillId="0" borderId="41" xfId="0" applyFont="1" applyBorder="1" applyAlignment="1">
      <alignment horizontal="center" vertical="center"/>
    </xf>
    <xf numFmtId="0" fontId="4" fillId="34" borderId="38" xfId="0" applyFont="1" applyFill="1" applyBorder="1" applyAlignment="1">
      <alignment horizontal="center" vertical="center"/>
    </xf>
    <xf numFmtId="0" fontId="4" fillId="34" borderId="2" xfId="0" applyFont="1" applyFill="1" applyBorder="1" applyAlignment="1">
      <alignment horizontal="center" vertical="center"/>
    </xf>
    <xf numFmtId="1" fontId="19" fillId="7" borderId="361" xfId="0" applyNumberFormat="1" applyFont="1" applyFill="1" applyBorder="1" applyAlignment="1" applyProtection="1">
      <alignment horizontal="center" vertical="center"/>
      <protection locked="0"/>
    </xf>
    <xf numFmtId="0" fontId="19" fillId="0" borderId="372" xfId="0" applyFont="1" applyBorder="1" applyAlignment="1" applyProtection="1">
      <alignment horizontal="center" vertical="center"/>
      <protection locked="0"/>
    </xf>
    <xf numFmtId="0" fontId="19" fillId="0" borderId="41" xfId="0" applyFont="1" applyBorder="1" applyAlignment="1" applyProtection="1">
      <alignment horizontal="center" vertical="center"/>
      <protection locked="0"/>
    </xf>
    <xf numFmtId="0" fontId="19" fillId="7" borderId="372" xfId="0" applyFont="1" applyFill="1" applyBorder="1" applyAlignment="1" applyProtection="1">
      <alignment horizontal="center" vertical="center"/>
      <protection locked="0"/>
    </xf>
    <xf numFmtId="0" fontId="19" fillId="0" borderId="304" xfId="0" applyFont="1" applyBorder="1" applyAlignment="1" applyProtection="1">
      <alignment horizontal="center" vertical="center"/>
      <protection locked="0"/>
    </xf>
    <xf numFmtId="0" fontId="7" fillId="32" borderId="370" xfId="0" applyFont="1" applyFill="1" applyBorder="1" applyAlignment="1">
      <alignment horizontal="centerContinuous" vertical="center"/>
    </xf>
    <xf numFmtId="0" fontId="4" fillId="0" borderId="372" xfId="0" applyFont="1" applyBorder="1" applyAlignment="1">
      <alignment horizontal="center" vertical="center" wrapText="1"/>
    </xf>
    <xf numFmtId="0" fontId="4" fillId="0" borderId="372" xfId="0" applyFont="1" applyBorder="1" applyAlignment="1">
      <alignment horizontal="center" vertical="center"/>
    </xf>
    <xf numFmtId="167" fontId="4" fillId="0" borderId="372" xfId="0" applyNumberFormat="1" applyFont="1" applyBorder="1" applyAlignment="1">
      <alignment horizontal="center" vertical="center"/>
    </xf>
    <xf numFmtId="0" fontId="4" fillId="0" borderId="372" xfId="0" applyFont="1" applyBorder="1" applyAlignment="1">
      <alignment horizontal="left" vertical="center"/>
    </xf>
    <xf numFmtId="170" fontId="4" fillId="0" borderId="372" xfId="0" applyNumberFormat="1" applyFont="1" applyBorder="1" applyAlignment="1">
      <alignment horizontal="center" vertical="center"/>
    </xf>
    <xf numFmtId="169" fontId="4" fillId="17" borderId="113" xfId="0" applyNumberFormat="1" applyFont="1" applyFill="1" applyBorder="1" applyAlignment="1">
      <alignment horizontal="center" vertical="center"/>
    </xf>
    <xf numFmtId="168" fontId="7" fillId="17" borderId="304" xfId="0" applyNumberFormat="1" applyFont="1" applyFill="1" applyBorder="1" applyAlignment="1">
      <alignment horizontal="center" vertical="center"/>
    </xf>
    <xf numFmtId="0" fontId="4" fillId="17" borderId="225" xfId="0" applyFont="1" applyFill="1" applyBorder="1" applyAlignment="1">
      <alignment horizontal="center" vertical="center"/>
    </xf>
    <xf numFmtId="168" fontId="7" fillId="0" borderId="304" xfId="0" applyNumberFormat="1" applyFont="1" applyBorder="1" applyAlignment="1">
      <alignment horizontal="center" vertical="center"/>
    </xf>
    <xf numFmtId="0" fontId="4" fillId="7" borderId="372" xfId="0" applyFont="1" applyFill="1" applyBorder="1" applyAlignment="1">
      <alignment horizontal="center" vertical="center"/>
    </xf>
    <xf numFmtId="165" fontId="7" fillId="34" borderId="16" xfId="0" applyNumberFormat="1" applyFont="1" applyFill="1" applyBorder="1" applyAlignment="1">
      <alignment horizontal="center" vertical="center"/>
    </xf>
    <xf numFmtId="1" fontId="4" fillId="0" borderId="344" xfId="0" applyNumberFormat="1" applyFont="1" applyBorder="1" applyAlignment="1">
      <alignment horizontal="center" vertical="center"/>
    </xf>
    <xf numFmtId="169" fontId="7" fillId="32" borderId="210" xfId="0" applyNumberFormat="1" applyFont="1" applyFill="1" applyBorder="1" applyAlignment="1">
      <alignment horizontal="center" vertical="center"/>
    </xf>
    <xf numFmtId="0" fontId="7" fillId="24" borderId="370" xfId="0" applyFont="1" applyFill="1" applyBorder="1" applyAlignment="1">
      <alignment vertical="center" textRotation="90" wrapText="1"/>
    </xf>
    <xf numFmtId="0" fontId="7" fillId="10" borderId="370" xfId="0" applyFont="1" applyFill="1" applyBorder="1" applyAlignment="1">
      <alignment horizontal="centerContinuous" vertical="center"/>
    </xf>
    <xf numFmtId="2" fontId="4" fillId="8" borderId="344" xfId="0" applyNumberFormat="1" applyFont="1" applyFill="1" applyBorder="1" applyAlignment="1">
      <alignment horizontal="center" vertical="center"/>
    </xf>
    <xf numFmtId="169" fontId="7" fillId="32" borderId="223" xfId="0" applyNumberFormat="1" applyFont="1" applyFill="1" applyBorder="1" applyAlignment="1">
      <alignment horizontal="center" vertical="center"/>
    </xf>
    <xf numFmtId="169" fontId="7" fillId="32" borderId="224" xfId="0" applyNumberFormat="1" applyFont="1" applyFill="1" applyBorder="1" applyAlignment="1">
      <alignment horizontal="center" vertical="center"/>
    </xf>
    <xf numFmtId="1" fontId="4" fillId="0" borderId="372" xfId="0" applyNumberFormat="1" applyFont="1" applyBorder="1" applyAlignment="1">
      <alignment horizontal="center" vertical="center"/>
    </xf>
    <xf numFmtId="3" fontId="4" fillId="8" borderId="372" xfId="0" applyNumberFormat="1" applyFont="1" applyFill="1" applyBorder="1" applyAlignment="1">
      <alignment horizontal="center" vertical="center"/>
    </xf>
    <xf numFmtId="0" fontId="202" fillId="10" borderId="370" xfId="0" applyFont="1" applyFill="1" applyBorder="1" applyAlignment="1">
      <alignment vertical="center" textRotation="90" wrapText="1"/>
    </xf>
    <xf numFmtId="0" fontId="202" fillId="24" borderId="370" xfId="0" applyFont="1" applyFill="1" applyBorder="1" applyAlignment="1">
      <alignment vertical="center" textRotation="90" wrapText="1"/>
    </xf>
    <xf numFmtId="0" fontId="109" fillId="0" borderId="0" xfId="0" applyFont="1"/>
    <xf numFmtId="0" fontId="4" fillId="17" borderId="1" xfId="0" applyFont="1" applyFill="1" applyBorder="1" applyAlignment="1">
      <alignment horizontal="right" vertical="center"/>
    </xf>
    <xf numFmtId="164" fontId="7" fillId="0" borderId="246" xfId="0" applyNumberFormat="1" applyFont="1" applyBorder="1" applyAlignment="1">
      <alignment horizontal="center" vertical="center"/>
    </xf>
    <xf numFmtId="0" fontId="235" fillId="32" borderId="224" xfId="0" applyFont="1" applyFill="1" applyBorder="1" applyAlignment="1">
      <alignment horizontal="center" vertical="center" textRotation="90" wrapText="1"/>
    </xf>
    <xf numFmtId="167" fontId="4" fillId="0" borderId="315" xfId="0" applyNumberFormat="1" applyFont="1" applyBorder="1" applyAlignment="1">
      <alignment horizontal="center" vertical="center"/>
    </xf>
    <xf numFmtId="0" fontId="7" fillId="0" borderId="1" xfId="0" applyFont="1" applyBorder="1" applyAlignment="1" applyProtection="1">
      <alignment horizontal="center" vertical="center"/>
      <protection locked="0"/>
    </xf>
    <xf numFmtId="0" fontId="7" fillId="17" borderId="244" xfId="0" applyFont="1" applyFill="1" applyBorder="1" applyAlignment="1">
      <alignment horizontal="center" vertical="center"/>
    </xf>
    <xf numFmtId="0" fontId="7" fillId="17" borderId="246" xfId="0" applyFont="1" applyFill="1" applyBorder="1" applyAlignment="1">
      <alignment horizontal="center" vertical="center"/>
    </xf>
    <xf numFmtId="164" fontId="7" fillId="0" borderId="16" xfId="0" applyNumberFormat="1" applyFont="1" applyBorder="1" applyAlignment="1">
      <alignment horizontal="center" vertical="center"/>
    </xf>
    <xf numFmtId="164" fontId="7" fillId="40" borderId="244" xfId="0" applyNumberFormat="1" applyFont="1" applyFill="1" applyBorder="1" applyAlignment="1">
      <alignment horizontal="center" vertical="center"/>
    </xf>
    <xf numFmtId="164" fontId="4" fillId="17" borderId="244" xfId="0" applyNumberFormat="1" applyFont="1" applyFill="1" applyBorder="1" applyAlignment="1">
      <alignment horizontal="center" vertical="center"/>
    </xf>
    <xf numFmtId="3" fontId="4" fillId="0" borderId="0" xfId="0" applyNumberFormat="1" applyFont="1" applyAlignment="1">
      <alignment vertical="center"/>
    </xf>
    <xf numFmtId="0" fontId="4" fillId="0" borderId="372" xfId="0" applyFont="1" applyBorder="1" applyAlignment="1">
      <alignment vertical="center" wrapText="1"/>
    </xf>
    <xf numFmtId="0" fontId="7" fillId="6" borderId="372" xfId="0" applyFont="1" applyFill="1" applyBorder="1" applyAlignment="1">
      <alignment horizontal="center" vertical="center" wrapText="1"/>
    </xf>
    <xf numFmtId="0" fontId="156" fillId="17" borderId="372" xfId="0" applyFont="1" applyFill="1" applyBorder="1" applyAlignment="1">
      <alignment horizontal="center" vertical="top"/>
    </xf>
    <xf numFmtId="0" fontId="81" fillId="18" borderId="0" xfId="0" applyFont="1" applyFill="1" applyAlignment="1">
      <alignment horizontal="left" vertical="top" indent="1"/>
    </xf>
    <xf numFmtId="0" fontId="139" fillId="7" borderId="0" xfId="0" applyFont="1" applyFill="1" applyAlignment="1" applyProtection="1">
      <alignment horizontal="center" vertical="center"/>
      <protection hidden="1"/>
    </xf>
    <xf numFmtId="0" fontId="139" fillId="0" borderId="0" xfId="0" applyFont="1" applyAlignment="1" applyProtection="1">
      <alignment horizontal="right" vertical="center"/>
      <protection hidden="1"/>
    </xf>
    <xf numFmtId="0" fontId="139" fillId="0" borderId="0" xfId="0" applyFont="1" applyAlignment="1" applyProtection="1">
      <alignment horizontal="center" vertical="center"/>
      <protection hidden="1"/>
    </xf>
    <xf numFmtId="0" fontId="71" fillId="0" borderId="1" xfId="0" applyFont="1" applyBorder="1" applyAlignment="1" applyProtection="1">
      <alignment vertical="center"/>
      <protection locked="0"/>
    </xf>
    <xf numFmtId="0" fontId="139" fillId="7" borderId="0" xfId="0" applyFont="1" applyFill="1" applyAlignment="1" applyProtection="1">
      <alignment horizontal="right" vertical="center"/>
      <protection hidden="1"/>
    </xf>
    <xf numFmtId="169" fontId="7" fillId="7" borderId="372" xfId="0" applyNumberFormat="1" applyFont="1" applyFill="1" applyBorder="1" applyAlignment="1">
      <alignment horizontal="center" vertical="center"/>
    </xf>
    <xf numFmtId="0" fontId="4" fillId="29" borderId="38" xfId="0" applyFont="1" applyFill="1" applyBorder="1" applyAlignment="1">
      <alignment horizontal="center" vertical="center"/>
    </xf>
    <xf numFmtId="0" fontId="14" fillId="29" borderId="5" xfId="0" applyFont="1" applyFill="1" applyBorder="1" applyAlignment="1" applyProtection="1">
      <alignment horizontal="center" vertical="center"/>
      <protection locked="0"/>
    </xf>
    <xf numFmtId="0" fontId="108" fillId="29" borderId="113" xfId="0" applyFont="1" applyFill="1" applyBorder="1" applyAlignment="1" applyProtection="1">
      <alignment horizontal="center" vertical="center"/>
      <protection locked="0"/>
    </xf>
    <xf numFmtId="0" fontId="108" fillId="29" borderId="106" xfId="0" applyFont="1" applyFill="1" applyBorder="1" applyAlignment="1" applyProtection="1">
      <alignment horizontal="center" vertical="center"/>
      <protection locked="0"/>
    </xf>
    <xf numFmtId="170" fontId="4" fillId="17" borderId="372" xfId="0" applyNumberFormat="1" applyFont="1" applyFill="1" applyBorder="1" applyAlignment="1">
      <alignment horizontal="center" vertical="center"/>
    </xf>
    <xf numFmtId="0" fontId="4" fillId="17" borderId="0" xfId="0" applyFont="1" applyFill="1" applyAlignment="1" applyProtection="1">
      <alignment vertical="center"/>
      <protection locked="0"/>
    </xf>
    <xf numFmtId="0" fontId="36" fillId="16" borderId="1" xfId="0" applyFont="1" applyFill="1" applyBorder="1" applyAlignment="1" applyProtection="1">
      <alignment horizontal="center" vertical="center" wrapText="1"/>
      <protection locked="0"/>
    </xf>
    <xf numFmtId="0" fontId="36" fillId="16" borderId="162" xfId="0" applyFont="1" applyFill="1" applyBorder="1" applyAlignment="1" applyProtection="1">
      <alignment horizontal="center" vertical="center" wrapText="1"/>
      <protection locked="0"/>
    </xf>
    <xf numFmtId="171" fontId="4" fillId="17" borderId="372" xfId="0" applyNumberFormat="1" applyFont="1" applyFill="1" applyBorder="1" applyAlignment="1">
      <alignment horizontal="center" vertical="center"/>
    </xf>
    <xf numFmtId="0" fontId="36" fillId="22" borderId="0" xfId="0" applyFont="1" applyFill="1" applyAlignment="1">
      <alignment horizontal="center" vertical="center"/>
    </xf>
    <xf numFmtId="0" fontId="274" fillId="49" borderId="372" xfId="0" applyFont="1" applyFill="1" applyBorder="1" applyAlignment="1">
      <alignment horizontal="center"/>
    </xf>
    <xf numFmtId="0" fontId="274" fillId="18" borderId="372" xfId="0" applyFont="1" applyFill="1" applyBorder="1" applyAlignment="1">
      <alignment horizontal="center"/>
    </xf>
    <xf numFmtId="0" fontId="274" fillId="50" borderId="372" xfId="0" applyFont="1" applyFill="1" applyBorder="1" applyAlignment="1">
      <alignment horizontal="center"/>
    </xf>
    <xf numFmtId="0" fontId="274" fillId="27" borderId="372" xfId="0" applyFont="1" applyFill="1" applyBorder="1" applyAlignment="1">
      <alignment horizontal="center"/>
    </xf>
    <xf numFmtId="0" fontId="7" fillId="21" borderId="372" xfId="0" applyFont="1" applyFill="1" applyBorder="1" applyAlignment="1">
      <alignment horizontal="center" vertical="center"/>
    </xf>
    <xf numFmtId="0" fontId="7" fillId="21" borderId="225" xfId="0" applyFont="1" applyFill="1" applyBorder="1" applyAlignment="1">
      <alignment horizontal="center" vertical="center"/>
    </xf>
    <xf numFmtId="0" fontId="69" fillId="17" borderId="0" xfId="0" applyFont="1" applyFill="1" applyAlignment="1">
      <alignment horizontal="center" vertical="center"/>
    </xf>
    <xf numFmtId="0" fontId="85" fillId="17" borderId="0" xfId="0" applyFont="1" applyFill="1" applyAlignment="1">
      <alignment horizontal="center" vertical="center"/>
    </xf>
    <xf numFmtId="0" fontId="4" fillId="17" borderId="0" xfId="0" applyFont="1" applyFill="1" applyAlignment="1">
      <alignment horizontal="left" indent="1"/>
    </xf>
    <xf numFmtId="0" fontId="4" fillId="17" borderId="0" xfId="0" applyFont="1" applyFill="1" applyAlignment="1">
      <alignment horizontal="right" vertical="center" indent="1"/>
    </xf>
    <xf numFmtId="0" fontId="41" fillId="17" borderId="0" xfId="0" applyFont="1" applyFill="1" applyAlignment="1">
      <alignment horizontal="left" vertical="center"/>
    </xf>
    <xf numFmtId="0" fontId="41" fillId="17" borderId="0" xfId="0" applyFont="1" applyFill="1" applyAlignment="1">
      <alignment horizontal="left" vertical="center" indent="1"/>
    </xf>
    <xf numFmtId="0" fontId="4" fillId="18" borderId="0" xfId="0" applyFont="1" applyFill="1" applyAlignment="1">
      <alignment horizontal="center" vertical="center" wrapText="1"/>
    </xf>
    <xf numFmtId="0" fontId="12" fillId="18" borderId="0" xfId="0" applyFont="1" applyFill="1" applyAlignment="1">
      <alignment horizontal="center" vertical="center" wrapText="1"/>
    </xf>
    <xf numFmtId="0" fontId="4" fillId="51" borderId="0" xfId="0" applyFont="1" applyFill="1"/>
    <xf numFmtId="0" fontId="151" fillId="17" borderId="225" xfId="0" applyFont="1" applyFill="1" applyBorder="1" applyAlignment="1">
      <alignment horizontal="right" indent="1"/>
    </xf>
    <xf numFmtId="0" fontId="151" fillId="17" borderId="209" xfId="0" applyFont="1" applyFill="1" applyBorder="1" applyAlignment="1">
      <alignment horizontal="right" indent="1"/>
    </xf>
    <xf numFmtId="0" fontId="7" fillId="21" borderId="332" xfId="0" applyFont="1" applyFill="1" applyBorder="1" applyAlignment="1">
      <alignment horizontal="center" vertical="center"/>
    </xf>
    <xf numFmtId="0" fontId="277" fillId="18" borderId="0" xfId="0" applyFont="1" applyFill="1" applyAlignment="1">
      <alignment horizontal="center" vertical="center"/>
    </xf>
    <xf numFmtId="170" fontId="4" fillId="0" borderId="244" xfId="0" applyNumberFormat="1" applyFont="1" applyBorder="1" applyAlignment="1">
      <alignment horizontal="center" vertical="center"/>
    </xf>
    <xf numFmtId="0" fontId="4" fillId="7" borderId="0" xfId="0" applyFont="1" applyFill="1" applyAlignment="1" applyProtection="1">
      <alignment horizontal="center" vertical="center"/>
      <protection hidden="1"/>
    </xf>
    <xf numFmtId="0" fontId="65" fillId="0" borderId="225" xfId="0" applyFont="1" applyBorder="1" applyAlignment="1">
      <alignment horizontal="center" vertical="center"/>
    </xf>
    <xf numFmtId="0" fontId="5" fillId="0" borderId="0" xfId="0" applyFont="1" applyAlignment="1">
      <alignment horizontal="center" vertical="center" wrapText="1"/>
    </xf>
    <xf numFmtId="0" fontId="41" fillId="0" borderId="0" xfId="0" applyFont="1" applyAlignment="1">
      <alignment horizontal="left" vertical="center" indent="1"/>
    </xf>
    <xf numFmtId="0" fontId="279" fillId="0" borderId="0" xfId="0" applyFont="1" applyAlignment="1">
      <alignment horizontal="left" vertical="center" indent="1"/>
    </xf>
    <xf numFmtId="1" fontId="49" fillId="0" borderId="372" xfId="0" applyNumberFormat="1" applyFont="1" applyBorder="1" applyAlignment="1">
      <alignment horizontal="center" vertical="center"/>
    </xf>
    <xf numFmtId="170" fontId="7" fillId="40" borderId="244" xfId="0" applyNumberFormat="1" applyFont="1" applyFill="1" applyBorder="1" applyAlignment="1">
      <alignment horizontal="center" vertical="center"/>
    </xf>
    <xf numFmtId="1" fontId="41" fillId="0" borderId="4" xfId="0" applyNumberFormat="1" applyFont="1" applyBorder="1" applyAlignment="1">
      <alignment horizontal="center" vertical="center"/>
    </xf>
    <xf numFmtId="0" fontId="7" fillId="37" borderId="246" xfId="0" applyFont="1" applyFill="1" applyBorder="1" applyAlignment="1">
      <alignment horizontal="center" vertical="center"/>
    </xf>
    <xf numFmtId="1" fontId="49" fillId="0" borderId="244" xfId="0" applyNumberFormat="1" applyFont="1" applyBorder="1" applyAlignment="1">
      <alignment horizontal="center" vertical="center"/>
    </xf>
    <xf numFmtId="1" fontId="49" fillId="36" borderId="244" xfId="0" applyNumberFormat="1" applyFont="1" applyFill="1" applyBorder="1" applyAlignment="1">
      <alignment horizontal="center" vertical="center"/>
    </xf>
    <xf numFmtId="1" fontId="7" fillId="40" borderId="18" xfId="0" applyNumberFormat="1" applyFont="1" applyFill="1" applyBorder="1" applyAlignment="1">
      <alignment horizontal="center" vertical="center"/>
    </xf>
    <xf numFmtId="165" fontId="7" fillId="53" borderId="50" xfId="0" applyNumberFormat="1" applyFont="1" applyFill="1" applyBorder="1" applyAlignment="1">
      <alignment horizontal="center" vertical="center"/>
    </xf>
    <xf numFmtId="165" fontId="7" fillId="0" borderId="12" xfId="0" applyNumberFormat="1" applyFont="1" applyBorder="1" applyAlignment="1">
      <alignment horizontal="center" vertical="center"/>
    </xf>
    <xf numFmtId="3" fontId="4" fillId="0" borderId="12" xfId="0" applyNumberFormat="1" applyFont="1" applyBorder="1" applyAlignment="1">
      <alignment horizontal="center" vertical="center"/>
    </xf>
    <xf numFmtId="4" fontId="7" fillId="53" borderId="163" xfId="0" applyNumberFormat="1" applyFont="1" applyFill="1" applyBorder="1" applyAlignment="1">
      <alignment horizontal="center" vertical="center"/>
    </xf>
    <xf numFmtId="165" fontId="7" fillId="53" borderId="20" xfId="0" applyNumberFormat="1" applyFont="1" applyFill="1" applyBorder="1" applyAlignment="1">
      <alignment horizontal="center" vertical="center"/>
    </xf>
    <xf numFmtId="2" fontId="7" fillId="40" borderId="246" xfId="0" applyNumberFormat="1" applyFont="1" applyFill="1" applyBorder="1" applyAlignment="1">
      <alignment horizontal="center" vertical="center"/>
    </xf>
    <xf numFmtId="2" fontId="7" fillId="46" borderId="246" xfId="0" applyNumberFormat="1" applyFont="1" applyFill="1" applyBorder="1" applyAlignment="1">
      <alignment horizontal="center" vertical="center"/>
    </xf>
    <xf numFmtId="2" fontId="7" fillId="53" borderId="208" xfId="0" applyNumberFormat="1" applyFont="1" applyFill="1" applyBorder="1" applyAlignment="1">
      <alignment horizontal="center" vertical="center"/>
    </xf>
    <xf numFmtId="2" fontId="4" fillId="8" borderId="371" xfId="0" applyNumberFormat="1" applyFont="1" applyFill="1" applyBorder="1" applyAlignment="1">
      <alignment horizontal="center" vertical="center"/>
    </xf>
    <xf numFmtId="3" fontId="4" fillId="8" borderId="371" xfId="0" applyNumberFormat="1" applyFont="1" applyFill="1" applyBorder="1" applyAlignment="1">
      <alignment horizontal="center" vertical="center"/>
    </xf>
    <xf numFmtId="2" fontId="4" fillId="8" borderId="370" xfId="0" applyNumberFormat="1" applyFont="1" applyFill="1" applyBorder="1" applyAlignment="1">
      <alignment horizontal="center" vertical="center"/>
    </xf>
    <xf numFmtId="1" fontId="4" fillId="0" borderId="210" xfId="0" applyNumberFormat="1" applyFont="1" applyBorder="1" applyAlignment="1">
      <alignment horizontal="center" vertical="center"/>
    </xf>
    <xf numFmtId="2" fontId="4" fillId="8" borderId="364" xfId="0" applyNumberFormat="1" applyFont="1" applyFill="1" applyBorder="1" applyAlignment="1">
      <alignment horizontal="center" vertical="center"/>
    </xf>
    <xf numFmtId="0" fontId="202" fillId="10" borderId="224" xfId="0" applyFont="1" applyFill="1" applyBorder="1" applyAlignment="1">
      <alignment vertical="center" textRotation="90" wrapText="1"/>
    </xf>
    <xf numFmtId="0" fontId="7" fillId="10" borderId="223" xfId="0" applyFont="1" applyFill="1" applyBorder="1" applyAlignment="1">
      <alignment horizontal="center" vertical="center" textRotation="90" wrapText="1"/>
    </xf>
    <xf numFmtId="0" fontId="7" fillId="46" borderId="378" xfId="0" applyFont="1" applyFill="1" applyBorder="1" applyAlignment="1">
      <alignment horizontal="center" vertical="center"/>
    </xf>
    <xf numFmtId="0" fontId="7" fillId="45" borderId="378" xfId="0" applyFont="1" applyFill="1" applyBorder="1" applyAlignment="1">
      <alignment horizontal="center" vertical="center"/>
    </xf>
    <xf numFmtId="0" fontId="7" fillId="18" borderId="378" xfId="0" applyFont="1" applyFill="1" applyBorder="1" applyAlignment="1">
      <alignment horizontal="center" vertical="center"/>
    </xf>
    <xf numFmtId="0" fontId="7" fillId="39" borderId="378" xfId="0" applyFont="1" applyFill="1" applyBorder="1" applyAlignment="1">
      <alignment horizontal="center" vertical="center"/>
    </xf>
    <xf numFmtId="0" fontId="7" fillId="52" borderId="378" xfId="0" applyFont="1" applyFill="1" applyBorder="1" applyAlignment="1">
      <alignment horizontal="center" vertical="center"/>
    </xf>
    <xf numFmtId="0" fontId="4" fillId="0" borderId="9" xfId="0" applyFont="1" applyBorder="1" applyAlignment="1">
      <alignment horizontal="left" vertical="center" indent="1"/>
    </xf>
    <xf numFmtId="0" fontId="7" fillId="17" borderId="49" xfId="0" applyFont="1" applyFill="1" applyBorder="1" applyAlignment="1">
      <alignment horizontal="left" vertical="center" indent="1"/>
    </xf>
    <xf numFmtId="0" fontId="85" fillId="4" borderId="0" xfId="0" applyFont="1" applyFill="1" applyAlignment="1">
      <alignment horizontal="center" vertical="center"/>
    </xf>
    <xf numFmtId="0" fontId="7" fillId="18" borderId="376" xfId="0" applyFont="1" applyFill="1" applyBorder="1" applyAlignment="1">
      <alignment horizontal="center" vertical="center"/>
    </xf>
    <xf numFmtId="168" fontId="7" fillId="45" borderId="378" xfId="0" applyNumberFormat="1" applyFont="1" applyFill="1" applyBorder="1" applyAlignment="1">
      <alignment horizontal="center" vertical="center"/>
    </xf>
    <xf numFmtId="0" fontId="7" fillId="45" borderId="376" xfId="0" applyFont="1" applyFill="1" applyBorder="1" applyAlignment="1">
      <alignment horizontal="center" vertical="center"/>
    </xf>
    <xf numFmtId="0" fontId="7" fillId="47" borderId="376" xfId="0" applyFont="1" applyFill="1" applyBorder="1" applyAlignment="1">
      <alignment horizontal="center" vertical="center"/>
    </xf>
    <xf numFmtId="0" fontId="49" fillId="18" borderId="378" xfId="0" applyFont="1" applyFill="1" applyBorder="1" applyAlignment="1">
      <alignment horizontal="center" vertical="center"/>
    </xf>
    <xf numFmtId="0" fontId="85" fillId="4" borderId="47" xfId="0" applyFont="1" applyFill="1" applyBorder="1" applyAlignment="1">
      <alignment horizontal="center" vertical="center"/>
    </xf>
    <xf numFmtId="0" fontId="7" fillId="39" borderId="380" xfId="0" applyFont="1" applyFill="1" applyBorder="1" applyAlignment="1">
      <alignment horizontal="center" vertical="center"/>
    </xf>
    <xf numFmtId="0" fontId="4" fillId="0" borderId="0" xfId="0" applyFont="1" applyAlignment="1">
      <alignment horizontal="left" vertical="center" indent="1"/>
    </xf>
    <xf numFmtId="0" fontId="4" fillId="4" borderId="0" xfId="0" applyFont="1" applyFill="1" applyAlignment="1">
      <alignment horizontal="left" vertical="center" indent="1"/>
    </xf>
    <xf numFmtId="0" fontId="41" fillId="0" borderId="9" xfId="0" applyFont="1" applyBorder="1" applyAlignment="1">
      <alignment horizontal="left" vertical="center" indent="1"/>
    </xf>
    <xf numFmtId="0" fontId="61" fillId="0" borderId="9" xfId="0" applyFont="1" applyBorder="1" applyAlignment="1">
      <alignment horizontal="left" vertical="center" indent="1"/>
    </xf>
    <xf numFmtId="0" fontId="41" fillId="0" borderId="48" xfId="0" applyFont="1" applyBorder="1" applyAlignment="1">
      <alignment horizontal="left" vertical="center" indent="1"/>
    </xf>
    <xf numFmtId="0" fontId="4" fillId="4" borderId="47" xfId="0" applyFont="1" applyFill="1" applyBorder="1" applyAlignment="1">
      <alignment horizontal="left" vertical="center" indent="1"/>
    </xf>
    <xf numFmtId="0" fontId="36" fillId="10" borderId="11" xfId="0" applyFont="1" applyFill="1" applyBorder="1" applyAlignment="1">
      <alignment horizontal="center" vertical="center" wrapText="1"/>
    </xf>
    <xf numFmtId="0" fontId="36" fillId="10" borderId="51" xfId="0" applyFont="1" applyFill="1" applyBorder="1" applyAlignment="1">
      <alignment horizontal="center" vertical="center" wrapText="1"/>
    </xf>
    <xf numFmtId="0" fontId="7" fillId="10" borderId="11" xfId="0" applyFont="1" applyFill="1" applyBorder="1" applyAlignment="1">
      <alignment horizontal="center" vertical="center" wrapText="1"/>
    </xf>
    <xf numFmtId="0" fontId="7" fillId="10" borderId="51" xfId="0" applyFont="1" applyFill="1" applyBorder="1" applyAlignment="1">
      <alignment horizontal="center" vertical="center" wrapText="1"/>
    </xf>
    <xf numFmtId="0" fontId="68" fillId="22" borderId="0" xfId="0" applyFont="1" applyFill="1" applyAlignment="1">
      <alignment horizontal="left" vertical="center"/>
    </xf>
    <xf numFmtId="0" fontId="79" fillId="24" borderId="161" xfId="0" applyFont="1" applyFill="1" applyBorder="1" applyAlignment="1">
      <alignment horizontal="center" vertical="center" wrapText="1"/>
    </xf>
    <xf numFmtId="0" fontId="79" fillId="24" borderId="69" xfId="0" applyFont="1" applyFill="1" applyBorder="1" applyAlignment="1">
      <alignment horizontal="center" vertical="center" wrapText="1"/>
    </xf>
    <xf numFmtId="0" fontId="79" fillId="24" borderId="5" xfId="0" applyFont="1" applyFill="1" applyBorder="1" applyAlignment="1">
      <alignment horizontal="center" vertical="center" wrapText="1"/>
    </xf>
    <xf numFmtId="0" fontId="79" fillId="24" borderId="11" xfId="0" applyFont="1" applyFill="1" applyBorder="1" applyAlignment="1">
      <alignment horizontal="center" vertical="center" wrapText="1"/>
    </xf>
    <xf numFmtId="0" fontId="7" fillId="10" borderId="161" xfId="0" applyFont="1" applyFill="1" applyBorder="1" applyAlignment="1">
      <alignment horizontal="center" vertical="center" wrapText="1"/>
    </xf>
    <xf numFmtId="0" fontId="79" fillId="10" borderId="161" xfId="0" applyFont="1" applyFill="1" applyBorder="1" applyAlignment="1">
      <alignment horizontal="center" vertical="center" wrapText="1"/>
    </xf>
    <xf numFmtId="0" fontId="7" fillId="24" borderId="2" xfId="0" applyFont="1" applyFill="1" applyBorder="1" applyAlignment="1">
      <alignment horizontal="center" vertical="center" wrapText="1"/>
    </xf>
    <xf numFmtId="0" fontId="49" fillId="24" borderId="2" xfId="0" applyFont="1" applyFill="1" applyBorder="1" applyAlignment="1">
      <alignment horizontal="center" vertical="center" wrapText="1"/>
    </xf>
    <xf numFmtId="0" fontId="49" fillId="24" borderId="3" xfId="0" applyFont="1" applyFill="1" applyBorder="1" applyAlignment="1">
      <alignment horizontal="center" vertical="center" wrapText="1"/>
    </xf>
    <xf numFmtId="0" fontId="4" fillId="34" borderId="2" xfId="0" applyFont="1" applyFill="1" applyBorder="1" applyAlignment="1">
      <alignment horizontal="left" vertical="center"/>
    </xf>
    <xf numFmtId="0" fontId="7" fillId="10" borderId="5" xfId="0" applyFont="1" applyFill="1" applyBorder="1" applyAlignment="1">
      <alignment horizontal="left" vertical="center"/>
    </xf>
    <xf numFmtId="0" fontId="7" fillId="10" borderId="11" xfId="0" applyFont="1" applyFill="1" applyBorder="1" applyAlignment="1">
      <alignment horizontal="left" vertical="center"/>
    </xf>
    <xf numFmtId="0" fontId="7" fillId="10" borderId="161" xfId="0" applyFont="1" applyFill="1" applyBorder="1" applyAlignment="1">
      <alignment horizontal="left" vertical="center"/>
    </xf>
    <xf numFmtId="0" fontId="7" fillId="10" borderId="51" xfId="0" applyFont="1" applyFill="1" applyBorder="1" applyAlignment="1">
      <alignment horizontal="left" vertical="center"/>
    </xf>
    <xf numFmtId="0" fontId="4" fillId="34" borderId="0" xfId="0" applyFont="1" applyFill="1" applyAlignment="1">
      <alignment horizontal="left" vertical="center"/>
    </xf>
    <xf numFmtId="0" fontId="36" fillId="10" borderId="5" xfId="0" applyFont="1" applyFill="1" applyBorder="1" applyAlignment="1">
      <alignment horizontal="left" vertical="center" wrapText="1"/>
    </xf>
    <xf numFmtId="0" fontId="36" fillId="10" borderId="11" xfId="0" applyFont="1" applyFill="1" applyBorder="1" applyAlignment="1">
      <alignment horizontal="left" vertical="center" wrapText="1"/>
    </xf>
    <xf numFmtId="0" fontId="36" fillId="10" borderId="51" xfId="0" applyFont="1" applyFill="1" applyBorder="1" applyAlignment="1">
      <alignment horizontal="left" vertical="center" wrapText="1"/>
    </xf>
    <xf numFmtId="0" fontId="4" fillId="22" borderId="0" xfId="0" applyFont="1" applyFill="1" applyAlignment="1">
      <alignment horizontal="left" vertical="center"/>
    </xf>
    <xf numFmtId="0" fontId="4" fillId="34" borderId="0" xfId="0" applyFont="1" applyFill="1" applyAlignment="1">
      <alignment horizontal="left" vertical="center" indent="1"/>
    </xf>
    <xf numFmtId="0" fontId="4" fillId="22" borderId="0" xfId="0" applyFont="1" applyFill="1" applyAlignment="1">
      <alignment horizontal="left" vertical="center" indent="1"/>
    </xf>
    <xf numFmtId="0" fontId="4" fillId="52" borderId="378" xfId="0" applyFont="1" applyFill="1" applyBorder="1" applyAlignment="1">
      <alignment horizontal="left" vertical="center" indent="1"/>
    </xf>
    <xf numFmtId="0" fontId="4" fillId="39" borderId="378" xfId="0" applyFont="1" applyFill="1" applyBorder="1" applyAlignment="1">
      <alignment horizontal="center" vertical="center"/>
    </xf>
    <xf numFmtId="0" fontId="36" fillId="18" borderId="378" xfId="0" applyFont="1" applyFill="1" applyBorder="1" applyAlignment="1">
      <alignment horizontal="center" vertical="center" wrapText="1"/>
    </xf>
    <xf numFmtId="0" fontId="5" fillId="18" borderId="376" xfId="0" applyFont="1" applyFill="1" applyBorder="1" applyAlignment="1">
      <alignment horizontal="left" vertical="center" indent="1"/>
    </xf>
    <xf numFmtId="0" fontId="6" fillId="22" borderId="0" xfId="0" applyFont="1" applyFill="1" applyAlignment="1">
      <alignment horizontal="left" vertical="center" indent="1"/>
    </xf>
    <xf numFmtId="0" fontId="7" fillId="22" borderId="0" xfId="0" applyFont="1" applyFill="1" applyAlignment="1">
      <alignment horizontal="center" vertical="center"/>
    </xf>
    <xf numFmtId="0" fontId="85" fillId="24" borderId="236" xfId="0" applyFont="1" applyFill="1" applyBorder="1" applyAlignment="1">
      <alignment horizontal="center" vertical="center"/>
    </xf>
    <xf numFmtId="0" fontId="7" fillId="52" borderId="45" xfId="0" applyFont="1" applyFill="1" applyBorder="1" applyAlignment="1">
      <alignment horizontal="center" vertical="center" wrapText="1"/>
    </xf>
    <xf numFmtId="0" fontId="7" fillId="10" borderId="378" xfId="0" applyFont="1" applyFill="1" applyBorder="1" applyAlignment="1">
      <alignment horizontal="left" vertical="center"/>
    </xf>
    <xf numFmtId="0" fontId="4" fillId="0" borderId="0" xfId="0" applyFont="1" applyAlignment="1">
      <alignment horizontal="left" indent="1"/>
    </xf>
    <xf numFmtId="0" fontId="4" fillId="0" borderId="48" xfId="0" applyFont="1" applyBorder="1" applyAlignment="1">
      <alignment horizontal="left" vertical="center" indent="1"/>
    </xf>
    <xf numFmtId="0" fontId="7" fillId="0" borderId="9" xfId="0" applyFont="1" applyBorder="1" applyAlignment="1">
      <alignment horizontal="left" vertical="center" indent="1"/>
    </xf>
    <xf numFmtId="0" fontId="4" fillId="22" borderId="0" xfId="0" applyFont="1" applyFill="1"/>
    <xf numFmtId="0" fontId="281" fillId="22" borderId="0" xfId="0" applyFont="1" applyFill="1" applyAlignment="1">
      <alignment horizontal="center" vertical="center"/>
    </xf>
    <xf numFmtId="0" fontId="281" fillId="22" borderId="0" xfId="0" applyFont="1" applyFill="1" applyAlignment="1">
      <alignment horizontal="left" vertical="center" indent="1"/>
    </xf>
    <xf numFmtId="0" fontId="281" fillId="22" borderId="0" xfId="0" applyFont="1" applyFill="1" applyAlignment="1">
      <alignment horizontal="left" vertical="center"/>
    </xf>
    <xf numFmtId="0" fontId="4" fillId="22" borderId="9" xfId="0" applyFont="1" applyFill="1" applyBorder="1"/>
    <xf numFmtId="0" fontId="6" fillId="42" borderId="12" xfId="0" applyFont="1" applyFill="1" applyBorder="1" applyAlignment="1">
      <alignment horizontal="center" vertical="center"/>
    </xf>
    <xf numFmtId="0" fontId="7" fillId="24" borderId="236" xfId="0" applyFont="1" applyFill="1" applyBorder="1" applyAlignment="1">
      <alignment horizontal="center" vertical="center" wrapText="1"/>
    </xf>
    <xf numFmtId="0" fontId="12" fillId="51" borderId="0" xfId="0" applyFont="1" applyFill="1"/>
    <xf numFmtId="0" fontId="11" fillId="0" borderId="0" xfId="0" applyFont="1" applyAlignment="1">
      <alignment horizontal="center" vertical="center"/>
    </xf>
    <xf numFmtId="0" fontId="4" fillId="39" borderId="9" xfId="0" applyFont="1" applyFill="1" applyBorder="1" applyAlignment="1">
      <alignment horizontal="left" vertical="center" indent="1"/>
    </xf>
    <xf numFmtId="0" fontId="4" fillId="39" borderId="48" xfId="0" applyFont="1" applyFill="1" applyBorder="1" applyAlignment="1">
      <alignment horizontal="left" vertical="center" indent="1"/>
    </xf>
    <xf numFmtId="0" fontId="7" fillId="18" borderId="380" xfId="0" applyFont="1" applyFill="1" applyBorder="1" applyAlignment="1">
      <alignment horizontal="center" vertical="center"/>
    </xf>
    <xf numFmtId="0" fontId="7" fillId="0" borderId="48" xfId="0" applyFont="1" applyBorder="1" applyAlignment="1">
      <alignment horizontal="left" vertical="center" indent="1"/>
    </xf>
    <xf numFmtId="0" fontId="156" fillId="22" borderId="0" xfId="0" applyFont="1" applyFill="1"/>
    <xf numFmtId="0" fontId="11" fillId="22" borderId="0" xfId="0" applyFont="1" applyFill="1" applyAlignment="1">
      <alignment horizontal="left" vertical="center" indent="1"/>
    </xf>
    <xf numFmtId="0" fontId="6" fillId="22" borderId="0" xfId="0" applyFont="1" applyFill="1" applyAlignment="1">
      <alignment horizontal="center" vertical="center"/>
    </xf>
    <xf numFmtId="0" fontId="6" fillId="18" borderId="378" xfId="0" applyFont="1" applyFill="1" applyBorder="1" applyAlignment="1">
      <alignment horizontal="center" vertical="center"/>
    </xf>
    <xf numFmtId="0" fontId="46" fillId="18" borderId="0" xfId="0" applyFont="1" applyFill="1" applyAlignment="1">
      <alignment horizontal="center" vertical="center"/>
    </xf>
    <xf numFmtId="0" fontId="4" fillId="0" borderId="378" xfId="0" applyFont="1" applyBorder="1" applyAlignment="1">
      <alignment horizontal="center" vertical="center"/>
    </xf>
    <xf numFmtId="0" fontId="7" fillId="0" borderId="378" xfId="0" applyFont="1" applyBorder="1" applyAlignment="1">
      <alignment horizontal="center" vertical="center"/>
    </xf>
    <xf numFmtId="0" fontId="4" fillId="0" borderId="9" xfId="0" applyFont="1" applyBorder="1"/>
    <xf numFmtId="0" fontId="7" fillId="0" borderId="370" xfId="0" applyFont="1" applyBorder="1" applyAlignment="1">
      <alignment horizontal="left" vertical="center"/>
    </xf>
    <xf numFmtId="0" fontId="7" fillId="0" borderId="370" xfId="0" applyFont="1" applyBorder="1" applyAlignment="1">
      <alignment horizontal="center" vertical="center"/>
    </xf>
    <xf numFmtId="0" fontId="7" fillId="13" borderId="378" xfId="0" applyFont="1" applyFill="1" applyBorder="1" applyAlignment="1">
      <alignment horizontal="center" vertical="center"/>
    </xf>
    <xf numFmtId="0" fontId="7" fillId="10" borderId="378" xfId="0" applyFont="1" applyFill="1" applyBorder="1" applyAlignment="1">
      <alignment horizontal="center" vertical="center"/>
    </xf>
    <xf numFmtId="0" fontId="7" fillId="6" borderId="378" xfId="0" applyFont="1" applyFill="1" applyBorder="1" applyAlignment="1">
      <alignment horizontal="center" vertical="center"/>
    </xf>
    <xf numFmtId="0" fontId="7" fillId="5" borderId="378" xfId="0" applyFont="1" applyFill="1" applyBorder="1" applyAlignment="1">
      <alignment horizontal="center" vertical="center"/>
    </xf>
    <xf numFmtId="0" fontId="7" fillId="9" borderId="378" xfId="0" applyFont="1" applyFill="1" applyBorder="1" applyAlignment="1">
      <alignment horizontal="center" vertical="center"/>
    </xf>
    <xf numFmtId="0" fontId="7" fillId="25" borderId="378" xfId="0" applyFont="1" applyFill="1" applyBorder="1" applyAlignment="1">
      <alignment horizontal="center" vertical="center"/>
    </xf>
    <xf numFmtId="0" fontId="4" fillId="0" borderId="47" xfId="0" applyFont="1" applyBorder="1"/>
    <xf numFmtId="0" fontId="4" fillId="0" borderId="48" xfId="0" applyFont="1" applyBorder="1"/>
    <xf numFmtId="0" fontId="46" fillId="0" borderId="2" xfId="0" applyFont="1" applyBorder="1" applyAlignment="1">
      <alignment horizontal="right" vertical="center" indent="1"/>
    </xf>
    <xf numFmtId="0" fontId="4" fillId="0" borderId="2" xfId="0" applyFont="1" applyBorder="1" applyAlignment="1">
      <alignment horizontal="right" vertical="center" indent="1"/>
    </xf>
    <xf numFmtId="0" fontId="4" fillId="22" borderId="0" xfId="0" applyFont="1" applyFill="1" applyAlignment="1">
      <alignment horizontal="left"/>
    </xf>
    <xf numFmtId="0" fontId="4" fillId="55" borderId="0" xfId="0" applyFont="1" applyFill="1"/>
    <xf numFmtId="0" fontId="154" fillId="55" borderId="0" xfId="0" applyFont="1" applyFill="1" applyAlignment="1">
      <alignment horizontal="center" vertical="top"/>
    </xf>
    <xf numFmtId="0" fontId="151" fillId="55" borderId="0" xfId="0" applyFont="1" applyFill="1" applyAlignment="1">
      <alignment horizontal="right" indent="1"/>
    </xf>
    <xf numFmtId="0" fontId="4" fillId="55" borderId="2" xfId="0" applyFont="1" applyFill="1" applyBorder="1" applyAlignment="1">
      <alignment horizontal="center" vertical="center"/>
    </xf>
    <xf numFmtId="0" fontId="4" fillId="55" borderId="0" xfId="0" applyFont="1" applyFill="1" applyAlignment="1">
      <alignment horizontal="left" vertical="top" wrapText="1"/>
    </xf>
    <xf numFmtId="0" fontId="12" fillId="0" borderId="224" xfId="0" applyFont="1" applyBorder="1" applyAlignment="1">
      <alignment horizontal="left" vertical="center"/>
    </xf>
    <xf numFmtId="0" fontId="12" fillId="0" borderId="26" xfId="0" applyFont="1" applyBorder="1" applyAlignment="1">
      <alignment horizontal="left" vertical="center"/>
    </xf>
    <xf numFmtId="0" fontId="12" fillId="0" borderId="211" xfId="0" applyFont="1" applyBorder="1" applyAlignment="1">
      <alignment horizontal="left" vertical="center"/>
    </xf>
    <xf numFmtId="0" fontId="12" fillId="0" borderId="0" xfId="0" applyFont="1" applyAlignment="1">
      <alignment horizontal="left" vertical="center"/>
    </xf>
    <xf numFmtId="0" fontId="12" fillId="0" borderId="370" xfId="0" applyFont="1" applyBorder="1" applyAlignment="1">
      <alignment horizontal="left" vertical="center"/>
    </xf>
    <xf numFmtId="0" fontId="12" fillId="0" borderId="210" xfId="0" applyFont="1" applyBorder="1" applyAlignment="1">
      <alignment horizontal="left" vertical="center"/>
    </xf>
    <xf numFmtId="0" fontId="7" fillId="18" borderId="41" xfId="0" applyFont="1" applyFill="1" applyBorder="1" applyAlignment="1">
      <alignment horizontal="center" vertical="center"/>
    </xf>
    <xf numFmtId="0" fontId="4" fillId="0" borderId="18" xfId="0" quotePrefix="1" applyFont="1" applyBorder="1" applyAlignment="1">
      <alignment horizontal="left" vertical="center" wrapText="1" indent="1"/>
    </xf>
    <xf numFmtId="0" fontId="4" fillId="0" borderId="244" xfId="0" quotePrefix="1" applyFont="1" applyBorder="1" applyAlignment="1">
      <alignment horizontal="left" vertical="center" wrapText="1" indent="1"/>
    </xf>
    <xf numFmtId="0" fontId="4" fillId="0" borderId="244" xfId="0" applyFont="1" applyBorder="1" applyAlignment="1">
      <alignment horizontal="left" vertical="center" wrapText="1" indent="1"/>
    </xf>
    <xf numFmtId="0" fontId="102" fillId="0" borderId="50" xfId="0" applyFont="1" applyBorder="1" applyAlignment="1">
      <alignment horizontal="left" vertical="center" wrapText="1" indent="1"/>
    </xf>
    <xf numFmtId="0" fontId="102" fillId="0" borderId="244" xfId="0" applyFont="1" applyBorder="1" applyAlignment="1">
      <alignment horizontal="left" vertical="center" wrapText="1" indent="1"/>
    </xf>
    <xf numFmtId="0" fontId="4" fillId="0" borderId="246" xfId="0" applyFont="1" applyBorder="1" applyAlignment="1">
      <alignment horizontal="left" vertical="center" wrapText="1" indent="1"/>
    </xf>
    <xf numFmtId="0" fontId="7" fillId="24" borderId="5" xfId="0" applyFont="1" applyFill="1" applyBorder="1" applyAlignment="1">
      <alignment horizontal="center" vertical="center"/>
    </xf>
    <xf numFmtId="0" fontId="7" fillId="45" borderId="8" xfId="0" applyFont="1" applyFill="1" applyBorder="1" applyAlignment="1">
      <alignment horizontal="center" vertical="center"/>
    </xf>
    <xf numFmtId="0" fontId="7" fillId="24" borderId="69" xfId="0" applyFont="1" applyFill="1" applyBorder="1" applyAlignment="1">
      <alignment horizontal="center" vertical="center"/>
    </xf>
    <xf numFmtId="0" fontId="7" fillId="45" borderId="83" xfId="0" applyFont="1" applyFill="1" applyBorder="1" applyAlignment="1">
      <alignment horizontal="center" vertical="center"/>
    </xf>
    <xf numFmtId="0" fontId="6" fillId="55" borderId="60" xfId="0" applyFont="1" applyFill="1" applyBorder="1" applyAlignment="1">
      <alignment horizontal="center" vertical="center"/>
    </xf>
    <xf numFmtId="0" fontId="4" fillId="0" borderId="18" xfId="0" applyFont="1" applyBorder="1" applyAlignment="1">
      <alignment horizontal="left" vertical="center" wrapText="1" indent="1"/>
    </xf>
    <xf numFmtId="0" fontId="36" fillId="10" borderId="5" xfId="0" applyFont="1" applyFill="1" applyBorder="1" applyAlignment="1">
      <alignment horizontal="center" vertical="center" wrapText="1"/>
    </xf>
    <xf numFmtId="0" fontId="4" fillId="0" borderId="4" xfId="0" applyFont="1" applyBorder="1" applyAlignment="1">
      <alignment horizontal="left" vertical="center" wrapText="1" indent="1"/>
    </xf>
    <xf numFmtId="0" fontId="4" fillId="0" borderId="20" xfId="0" applyFont="1" applyBorder="1" applyAlignment="1">
      <alignment horizontal="left" vertical="center" wrapText="1" indent="1"/>
    </xf>
    <xf numFmtId="0" fontId="102" fillId="0" borderId="246" xfId="0" applyFont="1" applyBorder="1" applyAlignment="1">
      <alignment horizontal="left" vertical="center" wrapText="1" indent="1"/>
    </xf>
    <xf numFmtId="0" fontId="36" fillId="10" borderId="5" xfId="0" applyFont="1" applyFill="1" applyBorder="1" applyAlignment="1">
      <alignment horizontal="center" vertical="center"/>
    </xf>
    <xf numFmtId="0" fontId="7" fillId="0" borderId="49" xfId="0" applyFont="1" applyBorder="1" applyAlignment="1">
      <alignment horizontal="left" vertical="center" indent="1"/>
    </xf>
    <xf numFmtId="0" fontId="4" fillId="0" borderId="244" xfId="0" applyFont="1" applyBorder="1" applyAlignment="1">
      <alignment horizontal="left" vertical="center" indent="1"/>
    </xf>
    <xf numFmtId="0" fontId="4" fillId="17" borderId="18" xfId="0" applyFont="1" applyFill="1" applyBorder="1" applyAlignment="1">
      <alignment horizontal="left" vertical="center" wrapText="1" indent="1"/>
    </xf>
    <xf numFmtId="0" fontId="7" fillId="10" borderId="5" xfId="0" applyFont="1" applyFill="1" applyBorder="1" applyAlignment="1">
      <alignment horizontal="center" vertical="center" wrapText="1"/>
    </xf>
    <xf numFmtId="0" fontId="41" fillId="0" borderId="244" xfId="0" applyFont="1" applyBorder="1" applyAlignment="1">
      <alignment horizontal="left" vertical="center" wrapText="1" indent="1"/>
    </xf>
    <xf numFmtId="0" fontId="41" fillId="0" borderId="246" xfId="0" applyFont="1" applyBorder="1" applyAlignment="1">
      <alignment horizontal="left" vertical="center" wrapText="1" indent="1"/>
    </xf>
    <xf numFmtId="0" fontId="4" fillId="34" borderId="3" xfId="0" applyFont="1" applyFill="1" applyBorder="1" applyAlignment="1">
      <alignment horizontal="center" vertical="center"/>
    </xf>
    <xf numFmtId="0" fontId="4" fillId="34" borderId="47" xfId="0" applyFont="1" applyFill="1" applyBorder="1" applyAlignment="1">
      <alignment horizontal="left" vertical="center"/>
    </xf>
    <xf numFmtId="0" fontId="4" fillId="34" borderId="47" xfId="0" applyFont="1" applyFill="1" applyBorder="1" applyAlignment="1">
      <alignment horizontal="center" vertical="center"/>
    </xf>
    <xf numFmtId="0" fontId="4" fillId="34" borderId="47" xfId="0" applyFont="1" applyFill="1" applyBorder="1" applyAlignment="1">
      <alignment horizontal="left" vertical="center" indent="1"/>
    </xf>
    <xf numFmtId="0" fontId="4" fillId="34" borderId="48" xfId="0" applyFont="1" applyFill="1" applyBorder="1" applyAlignment="1">
      <alignment horizontal="center" vertical="center"/>
    </xf>
    <xf numFmtId="0" fontId="4" fillId="34" borderId="40" xfId="0" applyFont="1" applyFill="1" applyBorder="1" applyAlignment="1">
      <alignment horizontal="center" vertical="center"/>
    </xf>
    <xf numFmtId="0" fontId="7" fillId="10" borderId="160" xfId="0" applyFont="1" applyFill="1" applyBorder="1" applyAlignment="1">
      <alignment horizontal="left" vertical="center"/>
    </xf>
    <xf numFmtId="0" fontId="7" fillId="10" borderId="116" xfId="0" applyFont="1" applyFill="1" applyBorder="1" applyAlignment="1">
      <alignment horizontal="left" vertical="center"/>
    </xf>
    <xf numFmtId="0" fontId="7" fillId="52" borderId="38" xfId="0" applyFont="1" applyFill="1" applyBorder="1" applyAlignment="1">
      <alignment horizontal="center" vertical="center"/>
    </xf>
    <xf numFmtId="0" fontId="4" fillId="52" borderId="102" xfId="0" applyFont="1" applyFill="1" applyBorder="1" applyAlignment="1">
      <alignment horizontal="center" vertical="center"/>
    </xf>
    <xf numFmtId="0" fontId="7" fillId="52" borderId="228" xfId="0" applyFont="1" applyFill="1" applyBorder="1" applyAlignment="1">
      <alignment horizontal="center" vertical="center" wrapText="1"/>
    </xf>
    <xf numFmtId="0" fontId="7" fillId="52" borderId="41" xfId="0" applyFont="1" applyFill="1" applyBorder="1" applyAlignment="1">
      <alignment horizontal="center" vertical="center" wrapText="1"/>
    </xf>
    <xf numFmtId="0" fontId="7" fillId="52" borderId="8" xfId="0" applyFont="1" applyFill="1" applyBorder="1" applyAlignment="1">
      <alignment horizontal="center" vertical="center" wrapText="1"/>
    </xf>
    <xf numFmtId="0" fontId="7" fillId="52" borderId="11" xfId="0" applyFont="1" applyFill="1" applyBorder="1" applyAlignment="1">
      <alignment horizontal="left" vertical="center"/>
    </xf>
    <xf numFmtId="0" fontId="7" fillId="39" borderId="304" xfId="0" applyFont="1" applyFill="1" applyBorder="1" applyAlignment="1">
      <alignment horizontal="center" vertical="center"/>
    </xf>
    <xf numFmtId="0" fontId="7" fillId="52" borderId="11" xfId="0" applyFont="1" applyFill="1" applyBorder="1" applyAlignment="1">
      <alignment horizontal="left" vertical="center" indent="1"/>
    </xf>
    <xf numFmtId="0" fontId="7" fillId="18" borderId="304" xfId="0" applyFont="1" applyFill="1" applyBorder="1" applyAlignment="1">
      <alignment horizontal="center" vertical="center"/>
    </xf>
    <xf numFmtId="0" fontId="7" fillId="52" borderId="304" xfId="0" applyFont="1" applyFill="1" applyBorder="1" applyAlignment="1">
      <alignment horizontal="center" vertical="center"/>
    </xf>
    <xf numFmtId="0" fontId="7" fillId="52" borderId="51" xfId="0" applyFont="1" applyFill="1" applyBorder="1" applyAlignment="1">
      <alignment horizontal="left" vertical="center" indent="1"/>
    </xf>
    <xf numFmtId="0" fontId="7" fillId="52" borderId="241" xfId="0" applyFont="1" applyFill="1" applyBorder="1" applyAlignment="1">
      <alignment horizontal="center" vertical="center"/>
    </xf>
    <xf numFmtId="0" fontId="4" fillId="52" borderId="241" xfId="0" applyFont="1" applyFill="1" applyBorder="1" applyAlignment="1">
      <alignment horizontal="left" vertical="center" indent="1"/>
    </xf>
    <xf numFmtId="0" fontId="7" fillId="52" borderId="239" xfId="0" applyFont="1" applyFill="1" applyBorder="1" applyAlignment="1">
      <alignment horizontal="center" vertical="center"/>
    </xf>
    <xf numFmtId="0" fontId="7" fillId="52" borderId="83" xfId="0" applyFont="1" applyFill="1" applyBorder="1" applyAlignment="1">
      <alignment horizontal="center" vertical="center"/>
    </xf>
    <xf numFmtId="0" fontId="36" fillId="24" borderId="38" xfId="0" applyFont="1" applyFill="1" applyBorder="1" applyAlignment="1">
      <alignment horizontal="center" vertical="center"/>
    </xf>
    <xf numFmtId="0" fontId="36" fillId="24" borderId="61" xfId="0" applyFont="1" applyFill="1" applyBorder="1" applyAlignment="1">
      <alignment horizontal="center" vertical="center" wrapText="1"/>
    </xf>
    <xf numFmtId="0" fontId="36" fillId="10" borderId="8" xfId="0" applyFont="1" applyFill="1" applyBorder="1" applyAlignment="1">
      <alignment horizontal="center" vertical="center" wrapText="1"/>
    </xf>
    <xf numFmtId="0" fontId="36" fillId="24" borderId="161" xfId="0" applyFont="1" applyFill="1" applyBorder="1" applyAlignment="1">
      <alignment horizontal="left" vertical="center" wrapText="1" indent="1"/>
    </xf>
    <xf numFmtId="0" fontId="6" fillId="18" borderId="304" xfId="0" applyFont="1" applyFill="1" applyBorder="1" applyAlignment="1">
      <alignment horizontal="center" vertical="center" wrapText="1"/>
    </xf>
    <xf numFmtId="0" fontId="36" fillId="24" borderId="69" xfId="0" applyFont="1" applyFill="1" applyBorder="1" applyAlignment="1">
      <alignment horizontal="left" vertical="center" wrapText="1" indent="1"/>
    </xf>
    <xf numFmtId="0" fontId="36" fillId="18" borderId="241" xfId="0" applyFont="1" applyFill="1" applyBorder="1" applyAlignment="1">
      <alignment horizontal="center" vertical="center" wrapText="1"/>
    </xf>
    <xf numFmtId="0" fontId="6" fillId="18" borderId="83" xfId="0" applyFont="1" applyFill="1" applyBorder="1" applyAlignment="1">
      <alignment horizontal="center" vertical="center" wrapText="1"/>
    </xf>
    <xf numFmtId="0" fontId="6" fillId="18" borderId="304" xfId="0" applyFont="1" applyFill="1" applyBorder="1" applyAlignment="1">
      <alignment horizontal="center" vertical="center"/>
    </xf>
    <xf numFmtId="0" fontId="6" fillId="18" borderId="83" xfId="0" applyFont="1" applyFill="1" applyBorder="1" applyAlignment="1">
      <alignment horizontal="center" vertical="center"/>
    </xf>
    <xf numFmtId="0" fontId="36" fillId="10" borderId="41" xfId="0" applyFont="1" applyFill="1" applyBorder="1" applyAlignment="1">
      <alignment horizontal="center" vertical="center"/>
    </xf>
    <xf numFmtId="0" fontId="36" fillId="10" borderId="8" xfId="0" applyFont="1" applyFill="1" applyBorder="1" applyAlignment="1">
      <alignment horizontal="left" vertical="center" indent="1"/>
    </xf>
    <xf numFmtId="0" fontId="7" fillId="39" borderId="161" xfId="0" applyFont="1" applyFill="1" applyBorder="1" applyAlignment="1">
      <alignment horizontal="left" vertical="center" indent="1"/>
    </xf>
    <xf numFmtId="0" fontId="7" fillId="39" borderId="69" xfId="0" applyFont="1" applyFill="1" applyBorder="1" applyAlignment="1">
      <alignment horizontal="left" vertical="center" indent="1"/>
    </xf>
    <xf numFmtId="0" fontId="6" fillId="18" borderId="241" xfId="0" applyFont="1" applyFill="1" applyBorder="1" applyAlignment="1">
      <alignment horizontal="center" vertical="center"/>
    </xf>
    <xf numFmtId="0" fontId="7" fillId="21" borderId="211" xfId="0" applyFont="1" applyFill="1" applyBorder="1" applyAlignment="1">
      <alignment horizontal="center" vertical="center"/>
    </xf>
    <xf numFmtId="0" fontId="12" fillId="51" borderId="2" xfId="0" applyFont="1" applyFill="1" applyBorder="1"/>
    <xf numFmtId="0" fontId="11" fillId="0" borderId="9" xfId="0" applyFont="1" applyBorder="1" applyAlignment="1">
      <alignment horizontal="center" vertical="center"/>
    </xf>
    <xf numFmtId="0" fontId="4" fillId="55" borderId="49" xfId="0" applyFont="1" applyFill="1" applyBorder="1"/>
    <xf numFmtId="0" fontId="102" fillId="49" borderId="378" xfId="0" applyFont="1" applyFill="1" applyBorder="1" applyAlignment="1">
      <alignment horizontal="center"/>
    </xf>
    <xf numFmtId="0" fontId="102" fillId="18" borderId="378" xfId="0" applyFont="1" applyFill="1" applyBorder="1" applyAlignment="1">
      <alignment horizontal="center"/>
    </xf>
    <xf numFmtId="0" fontId="102" fillId="50" borderId="378" xfId="0" applyFont="1" applyFill="1" applyBorder="1" applyAlignment="1">
      <alignment horizontal="center"/>
    </xf>
    <xf numFmtId="0" fontId="102" fillId="27" borderId="378" xfId="0" applyFont="1" applyFill="1" applyBorder="1" applyAlignment="1">
      <alignment horizontal="center"/>
    </xf>
    <xf numFmtId="0" fontId="4" fillId="55" borderId="3" xfId="0" applyFont="1" applyFill="1" applyBorder="1"/>
    <xf numFmtId="0" fontId="4" fillId="55" borderId="47" xfId="0" applyFont="1" applyFill="1" applyBorder="1" applyAlignment="1">
      <alignment horizontal="center"/>
    </xf>
    <xf numFmtId="0" fontId="4" fillId="55" borderId="47" xfId="0" applyFont="1" applyFill="1" applyBorder="1" applyAlignment="1">
      <alignment horizontal="left" indent="1"/>
    </xf>
    <xf numFmtId="0" fontId="4" fillId="55" borderId="47" xfId="0" applyFont="1" applyFill="1" applyBorder="1"/>
    <xf numFmtId="0" fontId="4" fillId="55" borderId="48" xfId="0" applyFont="1" applyFill="1" applyBorder="1"/>
    <xf numFmtId="0" fontId="4" fillId="55" borderId="38" xfId="0" applyFont="1" applyFill="1" applyBorder="1"/>
    <xf numFmtId="0" fontId="4" fillId="55" borderId="40" xfId="0" applyFont="1" applyFill="1" applyBorder="1"/>
    <xf numFmtId="0" fontId="4" fillId="55" borderId="40" xfId="0" applyFont="1" applyFill="1" applyBorder="1" applyAlignment="1">
      <alignment horizontal="center"/>
    </xf>
    <xf numFmtId="0" fontId="4" fillId="55" borderId="40" xfId="0" applyFont="1" applyFill="1" applyBorder="1" applyAlignment="1">
      <alignment horizontal="left" indent="1"/>
    </xf>
    <xf numFmtId="0" fontId="4" fillId="55" borderId="2" xfId="0" applyFont="1" applyFill="1" applyBorder="1"/>
    <xf numFmtId="0" fontId="4" fillId="55" borderId="9" xfId="0" applyFont="1" applyFill="1" applyBorder="1"/>
    <xf numFmtId="0" fontId="4" fillId="55" borderId="0" xfId="0" applyFont="1" applyFill="1" applyAlignment="1">
      <alignment horizontal="center"/>
    </xf>
    <xf numFmtId="0" fontId="4" fillId="55" borderId="0" xfId="0" applyFont="1" applyFill="1" applyAlignment="1">
      <alignment horizontal="left" indent="1"/>
    </xf>
    <xf numFmtId="1" fontId="4" fillId="0" borderId="245" xfId="0" applyNumberFormat="1" applyFont="1" applyBorder="1" applyAlignment="1">
      <alignment horizontal="center" vertical="center"/>
    </xf>
    <xf numFmtId="0" fontId="12" fillId="17" borderId="0" xfId="0" applyFont="1" applyFill="1" applyAlignment="1">
      <alignment vertical="center"/>
    </xf>
    <xf numFmtId="169" fontId="4" fillId="7" borderId="0" xfId="0" applyNumberFormat="1" applyFont="1" applyFill="1" applyAlignment="1">
      <alignment vertical="center"/>
    </xf>
    <xf numFmtId="168" fontId="4" fillId="7" borderId="0" xfId="0" applyNumberFormat="1" applyFont="1" applyFill="1" applyAlignment="1">
      <alignment vertical="center"/>
    </xf>
    <xf numFmtId="0" fontId="85" fillId="10" borderId="376" xfId="0" applyFont="1" applyFill="1" applyBorder="1" applyAlignment="1">
      <alignment horizontal="left" vertical="center"/>
    </xf>
    <xf numFmtId="0" fontId="4" fillId="34" borderId="9" xfId="0" applyFont="1" applyFill="1" applyBorder="1" applyAlignment="1">
      <alignment horizontal="left" vertical="center"/>
    </xf>
    <xf numFmtId="0" fontId="4" fillId="34" borderId="3" xfId="0" applyFont="1" applyFill="1" applyBorder="1" applyAlignment="1">
      <alignment horizontal="left" vertical="center"/>
    </xf>
    <xf numFmtId="0" fontId="4" fillId="34" borderId="48" xfId="0" applyFont="1" applyFill="1" applyBorder="1" applyAlignment="1">
      <alignment horizontal="left" vertical="center"/>
    </xf>
    <xf numFmtId="0" fontId="5" fillId="56" borderId="1" xfId="0" applyFont="1" applyFill="1" applyBorder="1" applyAlignment="1">
      <alignment horizontal="center" vertical="center" wrapText="1"/>
    </xf>
    <xf numFmtId="0" fontId="4" fillId="56" borderId="0" xfId="0" applyFont="1" applyFill="1" applyAlignment="1">
      <alignment vertical="center"/>
    </xf>
    <xf numFmtId="0" fontId="36" fillId="18" borderId="1" xfId="0" applyFont="1" applyFill="1" applyBorder="1" applyAlignment="1">
      <alignment horizontal="left" vertical="top" wrapText="1"/>
    </xf>
    <xf numFmtId="0" fontId="36" fillId="18" borderId="184" xfId="0" applyFont="1" applyFill="1" applyBorder="1" applyAlignment="1">
      <alignment horizontal="left" vertical="top" wrapText="1"/>
    </xf>
    <xf numFmtId="0" fontId="36" fillId="18" borderId="259" xfId="0" applyFont="1" applyFill="1" applyBorder="1" applyAlignment="1">
      <alignment horizontal="left" vertical="top" wrapText="1"/>
    </xf>
    <xf numFmtId="0" fontId="36" fillId="18" borderId="260" xfId="0" applyFont="1" applyFill="1" applyBorder="1" applyAlignment="1">
      <alignment horizontal="left" vertical="top" wrapText="1"/>
    </xf>
    <xf numFmtId="0" fontId="36" fillId="18" borderId="303" xfId="0" applyFont="1" applyFill="1" applyBorder="1" applyAlignment="1">
      <alignment horizontal="left" vertical="top" wrapText="1"/>
    </xf>
    <xf numFmtId="0" fontId="36" fillId="18" borderId="280" xfId="0" applyFont="1" applyFill="1" applyBorder="1" applyAlignment="1">
      <alignment horizontal="left" vertical="top" wrapText="1"/>
    </xf>
    <xf numFmtId="0" fontId="36" fillId="18" borderId="302" xfId="0" applyFont="1" applyFill="1" applyBorder="1" applyAlignment="1">
      <alignment horizontal="left" vertical="top" wrapText="1"/>
    </xf>
    <xf numFmtId="0" fontId="124" fillId="17" borderId="47" xfId="0" applyFont="1" applyFill="1" applyBorder="1" applyAlignment="1">
      <alignment horizontal="center" vertical="center" wrapText="1"/>
    </xf>
    <xf numFmtId="4" fontId="4" fillId="17" borderId="378" xfId="0" applyNumberFormat="1" applyFont="1" applyFill="1" applyBorder="1" applyAlignment="1">
      <alignment horizontal="center" vertical="center"/>
    </xf>
    <xf numFmtId="0" fontId="4" fillId="17" borderId="378" xfId="0" applyFont="1" applyFill="1" applyBorder="1" applyAlignment="1">
      <alignment horizontal="center" vertical="center"/>
    </xf>
    <xf numFmtId="0" fontId="0" fillId="17" borderId="0" xfId="0" applyFill="1" applyAlignment="1">
      <alignment horizontal="center" vertical="center"/>
    </xf>
    <xf numFmtId="0" fontId="0" fillId="17" borderId="0" xfId="0" applyFill="1" applyAlignment="1">
      <alignment vertical="center"/>
    </xf>
    <xf numFmtId="0" fontId="4" fillId="0" borderId="318" xfId="0" applyFont="1" applyBorder="1" applyAlignment="1">
      <alignment horizontal="center" vertical="center" wrapText="1"/>
    </xf>
    <xf numFmtId="0" fontId="4" fillId="17" borderId="332" xfId="0" applyFont="1" applyFill="1" applyBorder="1" applyAlignment="1">
      <alignment horizontal="left" vertical="center" indent="1"/>
    </xf>
    <xf numFmtId="0" fontId="4" fillId="17" borderId="236" xfId="0" applyFont="1" applyFill="1" applyBorder="1" applyAlignment="1">
      <alignment horizontal="left" vertical="center" indent="1"/>
    </xf>
    <xf numFmtId="0" fontId="4" fillId="17" borderId="373" xfId="0" applyFont="1" applyFill="1" applyBorder="1" applyAlignment="1">
      <alignment horizontal="left" vertical="center" indent="1"/>
    </xf>
    <xf numFmtId="174" fontId="36" fillId="16" borderId="27" xfId="0" applyNumberFormat="1" applyFont="1" applyFill="1" applyBorder="1" applyAlignment="1" applyProtection="1">
      <alignment horizontal="center" vertical="center" wrapText="1"/>
      <protection hidden="1"/>
    </xf>
    <xf numFmtId="175" fontId="50" fillId="16" borderId="24" xfId="0" applyNumberFormat="1" applyFont="1" applyFill="1" applyBorder="1" applyAlignment="1" applyProtection="1">
      <alignment horizontal="center" vertical="center" wrapText="1"/>
      <protection hidden="1"/>
    </xf>
    <xf numFmtId="176" fontId="50" fillId="6" borderId="175" xfId="0" applyNumberFormat="1" applyFont="1" applyFill="1" applyBorder="1" applyAlignment="1" applyProtection="1">
      <alignment horizontal="center" vertical="center" wrapText="1"/>
      <protection hidden="1"/>
    </xf>
    <xf numFmtId="0" fontId="4" fillId="0" borderId="383" xfId="0" applyFont="1" applyBorder="1" applyAlignment="1">
      <alignment horizontal="center" vertical="center" wrapText="1"/>
    </xf>
    <xf numFmtId="0" fontId="4" fillId="0" borderId="383" xfId="0" applyFont="1" applyBorder="1" applyAlignment="1">
      <alignment horizontal="center" vertical="center"/>
    </xf>
    <xf numFmtId="0" fontId="4" fillId="0" borderId="383" xfId="0" applyFont="1" applyBorder="1" applyAlignment="1">
      <alignment horizontal="left" vertical="center"/>
    </xf>
    <xf numFmtId="0" fontId="4" fillId="0" borderId="283" xfId="0" applyFont="1" applyBorder="1" applyAlignment="1">
      <alignment horizontal="left" vertical="center"/>
    </xf>
    <xf numFmtId="49" fontId="36" fillId="0" borderId="0" xfId="0" applyNumberFormat="1" applyFont="1" applyAlignment="1" applyProtection="1">
      <alignment horizontal="center" vertical="center"/>
      <protection locked="0"/>
    </xf>
    <xf numFmtId="0" fontId="36" fillId="17" borderId="0" xfId="0" applyFont="1" applyFill="1" applyAlignment="1">
      <alignment horizontal="center" vertical="center"/>
    </xf>
    <xf numFmtId="0" fontId="36" fillId="17" borderId="383" xfId="0" applyFont="1" applyFill="1" applyBorder="1" applyAlignment="1">
      <alignment horizontal="center" vertical="center"/>
    </xf>
    <xf numFmtId="0" fontId="7" fillId="43" borderId="383" xfId="0" applyFont="1" applyFill="1" applyBorder="1" applyAlignment="1">
      <alignment horizontal="center" vertical="center" wrapText="1"/>
    </xf>
    <xf numFmtId="0" fontId="36" fillId="18" borderId="383" xfId="0" applyFont="1" applyFill="1" applyBorder="1" applyAlignment="1">
      <alignment horizontal="center" vertical="center"/>
    </xf>
    <xf numFmtId="0" fontId="36" fillId="17" borderId="0" xfId="0" applyFont="1" applyFill="1" applyAlignment="1" applyProtection="1">
      <alignment horizontal="center" vertical="center"/>
      <protection locked="0"/>
    </xf>
    <xf numFmtId="0" fontId="36" fillId="17" borderId="383" xfId="0" applyFont="1" applyFill="1" applyBorder="1" applyAlignment="1" applyProtection="1">
      <alignment horizontal="center" vertical="center"/>
      <protection locked="0"/>
    </xf>
    <xf numFmtId="0" fontId="36" fillId="18" borderId="383" xfId="0" applyFont="1" applyFill="1" applyBorder="1" applyAlignment="1" applyProtection="1">
      <alignment horizontal="center" vertical="center"/>
      <protection locked="0"/>
    </xf>
    <xf numFmtId="0" fontId="5" fillId="0" borderId="383" xfId="0" applyFont="1" applyBorder="1" applyAlignment="1">
      <alignment horizontal="centerContinuous" vertical="center"/>
    </xf>
    <xf numFmtId="0" fontId="7" fillId="0" borderId="383" xfId="0" applyFont="1" applyBorder="1" applyAlignment="1">
      <alignment horizontal="centerContinuous" vertical="center"/>
    </xf>
    <xf numFmtId="0" fontId="36" fillId="18" borderId="383" xfId="0" applyFont="1" applyFill="1" applyBorder="1" applyAlignment="1">
      <alignment horizontal="left" vertical="top" wrapText="1"/>
    </xf>
    <xf numFmtId="0" fontId="36" fillId="0" borderId="383" xfId="0" applyFont="1" applyBorder="1" applyAlignment="1">
      <alignment horizontal="center" vertical="center"/>
    </xf>
    <xf numFmtId="0" fontId="4" fillId="7" borderId="383" xfId="0" applyFont="1" applyFill="1" applyBorder="1" applyAlignment="1">
      <alignment horizontal="center" vertical="center"/>
    </xf>
    <xf numFmtId="0" fontId="7" fillId="0" borderId="383" xfId="0" applyFont="1" applyBorder="1" applyAlignment="1">
      <alignment horizontal="center" vertical="center"/>
    </xf>
    <xf numFmtId="0" fontId="7" fillId="8" borderId="383" xfId="0" applyFont="1" applyFill="1" applyBorder="1" applyAlignment="1">
      <alignment horizontal="center" vertical="center"/>
    </xf>
    <xf numFmtId="0" fontId="203" fillId="6" borderId="376" xfId="0" applyFont="1" applyFill="1" applyBorder="1" applyAlignment="1">
      <alignment horizontal="left" textRotation="90"/>
    </xf>
    <xf numFmtId="0" fontId="7" fillId="6" borderId="380" xfId="0" applyFont="1" applyFill="1" applyBorder="1" applyAlignment="1">
      <alignment horizontal="center" vertical="center" wrapText="1"/>
    </xf>
    <xf numFmtId="0" fontId="7" fillId="9" borderId="379" xfId="0" applyFont="1" applyFill="1" applyBorder="1" applyAlignment="1">
      <alignment horizontal="center" vertical="center" wrapText="1"/>
    </xf>
    <xf numFmtId="0" fontId="203" fillId="16" borderId="376" xfId="0" applyFont="1" applyFill="1" applyBorder="1" applyAlignment="1">
      <alignment horizontal="left" textRotation="90"/>
    </xf>
    <xf numFmtId="0" fontId="4" fillId="0" borderId="383" xfId="0" applyFont="1" applyBorder="1" applyAlignment="1">
      <alignment vertical="center" wrapText="1"/>
    </xf>
    <xf numFmtId="14" fontId="4" fillId="0" borderId="383" xfId="0" applyNumberFormat="1" applyFont="1" applyBorder="1" applyAlignment="1">
      <alignment horizontal="center" vertical="center" wrapText="1"/>
    </xf>
    <xf numFmtId="170" fontId="50" fillId="8" borderId="191" xfId="0" applyNumberFormat="1" applyFont="1" applyFill="1" applyBorder="1" applyAlignment="1" applyProtection="1">
      <alignment horizontal="center" vertical="center" wrapText="1"/>
      <protection hidden="1"/>
    </xf>
    <xf numFmtId="0" fontId="7" fillId="0" borderId="386" xfId="0" applyFont="1" applyBorder="1" applyAlignment="1">
      <alignment horizontal="centerContinuous" vertical="center"/>
    </xf>
    <xf numFmtId="0" fontId="7" fillId="0" borderId="385" xfId="0" applyFont="1" applyBorder="1" applyAlignment="1">
      <alignment horizontal="centerContinuous" vertical="center"/>
    </xf>
    <xf numFmtId="0" fontId="4" fillId="0" borderId="386" xfId="0" applyFont="1" applyBorder="1" applyAlignment="1">
      <alignment horizontal="centerContinuous" vertical="center"/>
    </xf>
    <xf numFmtId="0" fontId="7" fillId="0" borderId="387" xfId="0" applyFont="1" applyBorder="1" applyAlignment="1">
      <alignment horizontal="centerContinuous" vertical="center"/>
    </xf>
    <xf numFmtId="0" fontId="289" fillId="6" borderId="21" xfId="0" applyFont="1" applyFill="1" applyBorder="1" applyAlignment="1" applyProtection="1">
      <alignment horizontal="center" vertical="center" wrapText="1"/>
      <protection hidden="1"/>
    </xf>
    <xf numFmtId="0" fontId="4" fillId="0" borderId="388" xfId="0" applyFont="1" applyBorder="1" applyAlignment="1">
      <alignment horizontal="left" vertical="top"/>
    </xf>
    <xf numFmtId="0" fontId="4" fillId="0" borderId="384" xfId="0" applyFont="1" applyBorder="1" applyAlignment="1">
      <alignment horizontal="center" vertical="center"/>
    </xf>
    <xf numFmtId="170" fontId="50" fillId="8" borderId="241" xfId="0" applyNumberFormat="1" applyFont="1" applyFill="1" applyBorder="1" applyAlignment="1" applyProtection="1">
      <alignment horizontal="center" vertical="center" wrapText="1"/>
      <protection hidden="1"/>
    </xf>
    <xf numFmtId="170" fontId="57" fillId="12" borderId="242" xfId="0" applyNumberFormat="1" applyFont="1" applyFill="1" applyBorder="1" applyAlignment="1" applyProtection="1">
      <alignment horizontal="center" vertical="center" wrapText="1"/>
      <protection hidden="1"/>
    </xf>
    <xf numFmtId="170" fontId="12" fillId="8" borderId="308" xfId="0" applyNumberFormat="1" applyFont="1" applyFill="1" applyBorder="1" applyAlignment="1" applyProtection="1">
      <alignment horizontal="center" vertical="top" wrapText="1"/>
      <protection hidden="1"/>
    </xf>
    <xf numFmtId="170" fontId="47" fillId="0" borderId="308" xfId="0" applyNumberFormat="1" applyFont="1" applyBorder="1" applyAlignment="1" applyProtection="1">
      <alignment vertical="top" wrapText="1"/>
      <protection locked="0"/>
    </xf>
    <xf numFmtId="170" fontId="12" fillId="8" borderId="191" xfId="0" applyNumberFormat="1" applyFont="1" applyFill="1" applyBorder="1" applyAlignment="1" applyProtection="1">
      <alignment vertical="top" wrapText="1"/>
      <protection hidden="1"/>
    </xf>
    <xf numFmtId="170" fontId="47" fillId="0" borderId="241" xfId="0" applyNumberFormat="1" applyFont="1" applyBorder="1" applyAlignment="1" applyProtection="1">
      <alignment vertical="top"/>
      <protection locked="0"/>
    </xf>
    <xf numFmtId="170" fontId="50" fillId="8" borderId="123" xfId="0" applyNumberFormat="1" applyFont="1" applyFill="1" applyBorder="1" applyAlignment="1" applyProtection="1">
      <alignment horizontal="center" vertical="center" wrapText="1"/>
      <protection hidden="1"/>
    </xf>
    <xf numFmtId="170" fontId="50" fillId="8" borderId="35" xfId="0" applyNumberFormat="1" applyFont="1" applyFill="1" applyBorder="1" applyAlignment="1" applyProtection="1">
      <alignment horizontal="center" vertical="center" wrapText="1"/>
      <protection hidden="1"/>
    </xf>
    <xf numFmtId="0" fontId="36" fillId="0" borderId="384" xfId="0" applyFont="1" applyBorder="1" applyAlignment="1" applyProtection="1">
      <alignment horizontal="center" vertical="center"/>
      <protection locked="0"/>
    </xf>
    <xf numFmtId="0" fontId="36" fillId="18" borderId="384" xfId="0" applyFont="1" applyFill="1" applyBorder="1" applyAlignment="1" applyProtection="1">
      <alignment horizontal="center" vertical="center"/>
      <protection locked="0"/>
    </xf>
    <xf numFmtId="0" fontId="36" fillId="17" borderId="384" xfId="0" applyFont="1" applyFill="1" applyBorder="1" applyAlignment="1">
      <alignment horizontal="center" vertical="center"/>
    </xf>
    <xf numFmtId="0" fontId="7" fillId="44" borderId="384" xfId="4" applyFont="1" applyFill="1" applyBorder="1" applyAlignment="1">
      <alignment horizontal="center" vertical="center"/>
    </xf>
    <xf numFmtId="0" fontId="7" fillId="5" borderId="384" xfId="4" applyFont="1" applyFill="1" applyBorder="1" applyAlignment="1">
      <alignment horizontal="center" vertical="center"/>
    </xf>
    <xf numFmtId="0" fontId="109" fillId="0" borderId="386" xfId="4" applyFont="1" applyBorder="1" applyProtection="1">
      <protection locked="0"/>
    </xf>
    <xf numFmtId="0" fontId="2" fillId="0" borderId="386" xfId="4" applyBorder="1" applyAlignment="1">
      <alignment horizontal="center"/>
    </xf>
    <xf numFmtId="0" fontId="2" fillId="0" borderId="386" xfId="4" applyBorder="1" applyAlignment="1">
      <alignment horizontal="center" vertical="center"/>
    </xf>
    <xf numFmtId="0" fontId="2" fillId="0" borderId="386" xfId="4" applyBorder="1"/>
    <xf numFmtId="0" fontId="109" fillId="0" borderId="386" xfId="4" applyFont="1" applyBorder="1" applyAlignment="1" applyProtection="1">
      <alignment horizontal="center"/>
      <protection locked="0"/>
    </xf>
    <xf numFmtId="0" fontId="94" fillId="0" borderId="0" xfId="0" applyFont="1" applyAlignment="1">
      <alignment horizontal="center" vertical="center" wrapText="1"/>
    </xf>
    <xf numFmtId="0" fontId="214" fillId="6" borderId="385" xfId="0" applyFont="1" applyFill="1" applyBorder="1" applyAlignment="1">
      <alignment horizontal="center" vertical="center" wrapText="1"/>
    </xf>
    <xf numFmtId="0" fontId="214" fillId="6" borderId="380" xfId="0" applyFont="1" applyFill="1" applyBorder="1" applyAlignment="1">
      <alignment horizontal="center" vertical="center" wrapText="1"/>
    </xf>
    <xf numFmtId="0" fontId="214" fillId="6" borderId="383" xfId="0" applyFont="1" applyFill="1" applyBorder="1" applyAlignment="1">
      <alignment horizontal="center" vertical="center" wrapText="1"/>
    </xf>
    <xf numFmtId="0" fontId="4" fillId="0" borderId="0" xfId="0" applyFont="1" applyAlignment="1">
      <alignment horizontal="left" vertical="top"/>
    </xf>
    <xf numFmtId="0" fontId="6" fillId="57" borderId="10" xfId="0" applyFont="1" applyFill="1" applyBorder="1" applyAlignment="1">
      <alignment horizontal="center" vertical="center"/>
    </xf>
    <xf numFmtId="0" fontId="6" fillId="57" borderId="236" xfId="0" applyFont="1" applyFill="1" applyBorder="1" applyAlignment="1">
      <alignment horizontal="center" vertical="center"/>
    </xf>
    <xf numFmtId="0" fontId="4" fillId="57" borderId="0" xfId="0" applyFont="1" applyFill="1" applyAlignment="1">
      <alignment horizontal="center" vertical="center"/>
    </xf>
    <xf numFmtId="0" fontId="6" fillId="57" borderId="332" xfId="0" applyFont="1" applyFill="1" applyBorder="1" applyAlignment="1">
      <alignment horizontal="center" vertical="center"/>
    </xf>
    <xf numFmtId="0" fontId="6" fillId="57" borderId="0" xfId="0" applyFont="1" applyFill="1" applyAlignment="1">
      <alignment horizontal="center" vertical="center"/>
    </xf>
    <xf numFmtId="0" fontId="6" fillId="57" borderId="19" xfId="0" applyFont="1" applyFill="1" applyBorder="1" applyAlignment="1">
      <alignment horizontal="center" vertical="center"/>
    </xf>
    <xf numFmtId="0" fontId="6" fillId="57" borderId="46" xfId="0" applyFont="1" applyFill="1" applyBorder="1" applyAlignment="1">
      <alignment horizontal="center" vertical="center"/>
    </xf>
    <xf numFmtId="0" fontId="6" fillId="57" borderId="30" xfId="0" applyFont="1" applyFill="1" applyBorder="1" applyAlignment="1">
      <alignment horizontal="center" vertical="center"/>
    </xf>
    <xf numFmtId="0" fontId="6" fillId="57" borderId="27" xfId="0" applyFont="1" applyFill="1" applyBorder="1" applyAlignment="1">
      <alignment horizontal="center" vertical="center"/>
    </xf>
    <xf numFmtId="0" fontId="6" fillId="57" borderId="24" xfId="0" applyFont="1" applyFill="1" applyBorder="1" applyAlignment="1">
      <alignment horizontal="center" vertical="center"/>
    </xf>
    <xf numFmtId="0" fontId="6" fillId="57" borderId="25" xfId="0" applyFont="1" applyFill="1" applyBorder="1" applyAlignment="1">
      <alignment horizontal="center" vertical="center"/>
    </xf>
    <xf numFmtId="0" fontId="6" fillId="57" borderId="13" xfId="0" applyFont="1" applyFill="1" applyBorder="1" applyAlignment="1">
      <alignment horizontal="center" vertical="center"/>
    </xf>
    <xf numFmtId="0" fontId="4" fillId="0" borderId="384" xfId="0" applyFont="1" applyBorder="1" applyAlignment="1" applyProtection="1">
      <alignment horizontal="center" vertical="center"/>
      <protection locked="0"/>
    </xf>
    <xf numFmtId="0" fontId="7" fillId="0" borderId="312" xfId="0" applyFont="1" applyBorder="1" applyAlignment="1">
      <alignment horizontal="center" vertical="center"/>
    </xf>
    <xf numFmtId="0" fontId="4" fillId="0" borderId="2" xfId="0" applyFont="1" applyBorder="1" applyAlignment="1">
      <alignment vertical="center"/>
    </xf>
    <xf numFmtId="0" fontId="25" fillId="0" borderId="0" xfId="0" applyFont="1" applyAlignment="1">
      <alignment horizontal="right" vertical="center"/>
    </xf>
    <xf numFmtId="0" fontId="7" fillId="23" borderId="370" xfId="0" applyFont="1" applyFill="1" applyBorder="1" applyAlignment="1">
      <alignment horizontal="centerContinuous" vertical="center"/>
    </xf>
    <xf numFmtId="0" fontId="7" fillId="6" borderId="332" xfId="0" applyFont="1" applyFill="1" applyBorder="1" applyAlignment="1">
      <alignment horizontal="centerContinuous" vertical="center"/>
    </xf>
    <xf numFmtId="0" fontId="35" fillId="10" borderId="370" xfId="0" applyFont="1" applyFill="1" applyBorder="1" applyAlignment="1">
      <alignment horizontal="centerContinuous" vertical="center"/>
    </xf>
    <xf numFmtId="0" fontId="7" fillId="16" borderId="370" xfId="0" applyFont="1" applyFill="1" applyBorder="1" applyAlignment="1">
      <alignment horizontal="centerContinuous" vertical="center"/>
    </xf>
    <xf numFmtId="0" fontId="7" fillId="22" borderId="223" xfId="0" applyFont="1" applyFill="1" applyBorder="1" applyAlignment="1">
      <alignment horizontal="centerContinuous"/>
    </xf>
    <xf numFmtId="0" fontId="20" fillId="22" borderId="370" xfId="0" applyFont="1" applyFill="1" applyBorder="1" applyAlignment="1">
      <alignment horizontal="centerContinuous"/>
    </xf>
    <xf numFmtId="0" fontId="4" fillId="22" borderId="370" xfId="0" applyFont="1" applyFill="1" applyBorder="1" applyAlignment="1">
      <alignment horizontal="centerContinuous"/>
    </xf>
    <xf numFmtId="0" fontId="4" fillId="22" borderId="224" xfId="0" applyFont="1" applyFill="1" applyBorder="1" applyAlignment="1">
      <alignment horizontal="centerContinuous"/>
    </xf>
    <xf numFmtId="0" fontId="7" fillId="37" borderId="223" xfId="0" applyFont="1" applyFill="1" applyBorder="1" applyAlignment="1">
      <alignment horizontal="centerContinuous"/>
    </xf>
    <xf numFmtId="0" fontId="20" fillId="37" borderId="370" xfId="0" applyFont="1" applyFill="1" applyBorder="1" applyAlignment="1">
      <alignment horizontal="centerContinuous"/>
    </xf>
    <xf numFmtId="0" fontId="4" fillId="37" borderId="370" xfId="0" applyFont="1" applyFill="1" applyBorder="1" applyAlignment="1">
      <alignment horizontal="centerContinuous"/>
    </xf>
    <xf numFmtId="0" fontId="4" fillId="37" borderId="224" xfId="0" applyFont="1" applyFill="1" applyBorder="1" applyAlignment="1">
      <alignment horizontal="centerContinuous"/>
    </xf>
    <xf numFmtId="0" fontId="7" fillId="55" borderId="223" xfId="0" applyFont="1" applyFill="1" applyBorder="1" applyAlignment="1">
      <alignment horizontal="centerContinuous"/>
    </xf>
    <xf numFmtId="0" fontId="20" fillId="55" borderId="370" xfId="0" applyFont="1" applyFill="1" applyBorder="1" applyAlignment="1">
      <alignment horizontal="centerContinuous"/>
    </xf>
    <xf numFmtId="0" fontId="4" fillId="55" borderId="370" xfId="0" applyFont="1" applyFill="1" applyBorder="1" applyAlignment="1">
      <alignment horizontal="centerContinuous"/>
    </xf>
    <xf numFmtId="0" fontId="4" fillId="55" borderId="224" xfId="0" applyFont="1" applyFill="1" applyBorder="1" applyAlignment="1">
      <alignment horizontal="centerContinuous"/>
    </xf>
    <xf numFmtId="0" fontId="7" fillId="43" borderId="384" xfId="0" applyFont="1" applyFill="1" applyBorder="1" applyAlignment="1">
      <alignment horizontal="center" vertical="center"/>
    </xf>
    <xf numFmtId="0" fontId="7" fillId="17" borderId="52" xfId="0" applyFont="1" applyFill="1" applyBorder="1" applyAlignment="1">
      <alignment horizontal="center" vertical="center"/>
    </xf>
    <xf numFmtId="169" fontId="7" fillId="0" borderId="389" xfId="0" applyNumberFormat="1" applyFont="1" applyBorder="1" applyAlignment="1">
      <alignment horizontal="center" vertical="center"/>
    </xf>
    <xf numFmtId="0" fontId="6" fillId="16" borderId="38" xfId="0" applyFont="1" applyFill="1" applyBorder="1" applyAlignment="1">
      <alignment horizontal="center" vertical="center"/>
    </xf>
    <xf numFmtId="0" fontId="6" fillId="16" borderId="49" xfId="0" applyFont="1" applyFill="1" applyBorder="1" applyAlignment="1">
      <alignment horizontal="center" vertical="center"/>
    </xf>
    <xf numFmtId="0" fontId="4" fillId="58" borderId="0" xfId="0" applyFont="1" applyFill="1" applyAlignment="1">
      <alignment vertical="center"/>
    </xf>
    <xf numFmtId="0" fontId="11" fillId="58" borderId="0" xfId="0" applyFont="1" applyFill="1" applyAlignment="1">
      <alignment vertical="center"/>
    </xf>
    <xf numFmtId="0" fontId="111" fillId="58" borderId="0" xfId="0" applyFont="1" applyFill="1" applyAlignment="1">
      <alignment vertical="center"/>
    </xf>
    <xf numFmtId="0" fontId="11" fillId="0" borderId="18" xfId="0" applyFont="1" applyBorder="1" applyAlignment="1">
      <alignment horizontal="center" vertical="center"/>
    </xf>
    <xf numFmtId="0" fontId="11" fillId="0" borderId="244" xfId="0" applyFont="1" applyBorder="1" applyAlignment="1">
      <alignment horizontal="center" vertical="center"/>
    </xf>
    <xf numFmtId="167" fontId="11" fillId="0" borderId="18" xfId="0" applyNumberFormat="1" applyFont="1" applyBorder="1" applyAlignment="1">
      <alignment horizontal="center" vertical="center"/>
    </xf>
    <xf numFmtId="167" fontId="11" fillId="0" borderId="244" xfId="0" applyNumberFormat="1" applyFont="1" applyBorder="1" applyAlignment="1">
      <alignment horizontal="center" vertical="center"/>
    </xf>
    <xf numFmtId="0" fontId="64" fillId="0" borderId="4" xfId="0" applyFont="1" applyBorder="1" applyAlignment="1">
      <alignment horizontal="center" vertical="center"/>
    </xf>
    <xf numFmtId="0" fontId="64" fillId="0" borderId="20" xfId="0" applyFont="1" applyBorder="1" applyAlignment="1">
      <alignment horizontal="center" vertical="center"/>
    </xf>
    <xf numFmtId="0" fontId="64" fillId="0" borderId="16" xfId="0" applyFont="1" applyBorder="1" applyAlignment="1">
      <alignment horizontal="center" vertical="center"/>
    </xf>
    <xf numFmtId="0" fontId="46" fillId="17" borderId="0" xfId="0" applyFont="1" applyFill="1"/>
    <xf numFmtId="2" fontId="7" fillId="17" borderId="384" xfId="0" applyNumberFormat="1" applyFont="1" applyFill="1" applyBorder="1" applyAlignment="1">
      <alignment horizontal="center" vertical="center"/>
    </xf>
    <xf numFmtId="169" fontId="49" fillId="0" borderId="18" xfId="0" applyNumberFormat="1" applyFont="1" applyBorder="1" applyAlignment="1">
      <alignment horizontal="center" vertical="center"/>
    </xf>
    <xf numFmtId="168" fontId="41" fillId="0" borderId="244" xfId="0" applyNumberFormat="1" applyFont="1" applyBorder="1" applyAlignment="1">
      <alignment horizontal="center" vertical="center"/>
    </xf>
    <xf numFmtId="168" fontId="41" fillId="0" borderId="246" xfId="0" applyNumberFormat="1" applyFont="1" applyBorder="1" applyAlignment="1">
      <alignment horizontal="center" vertical="center"/>
    </xf>
    <xf numFmtId="167" fontId="11" fillId="0" borderId="20" xfId="0" applyNumberFormat="1" applyFont="1" applyBorder="1" applyAlignment="1">
      <alignment horizontal="center" vertical="center"/>
    </xf>
    <xf numFmtId="168" fontId="4" fillId="0" borderId="20" xfId="0" applyNumberFormat="1" applyFont="1" applyBorder="1" applyAlignment="1">
      <alignment horizontal="center" vertical="center"/>
    </xf>
    <xf numFmtId="170" fontId="49" fillId="0" borderId="244" xfId="0" applyNumberFormat="1" applyFont="1" applyBorder="1" applyAlignment="1">
      <alignment horizontal="center" vertical="center"/>
    </xf>
    <xf numFmtId="0" fontId="4" fillId="0" borderId="4" xfId="0" applyFont="1" applyBorder="1" applyAlignment="1">
      <alignment vertical="center"/>
    </xf>
    <xf numFmtId="0" fontId="4" fillId="0" borderId="16" xfId="0" applyFont="1" applyBorder="1" applyAlignment="1">
      <alignment vertical="center"/>
    </xf>
    <xf numFmtId="0" fontId="4" fillId="0" borderId="20" xfId="0" applyFont="1" applyBorder="1" applyAlignment="1">
      <alignment vertical="center"/>
    </xf>
    <xf numFmtId="165" fontId="7" fillId="0" borderId="246" xfId="0" applyNumberFormat="1" applyFont="1" applyBorder="1" applyAlignment="1">
      <alignment horizontal="center" vertical="center"/>
    </xf>
    <xf numFmtId="0" fontId="4" fillId="43" borderId="384" xfId="0" applyFont="1" applyFill="1" applyBorder="1" applyAlignment="1" applyProtection="1">
      <alignment horizontal="center" vertical="center" wrapText="1"/>
      <protection locked="0"/>
    </xf>
    <xf numFmtId="3" fontId="4" fillId="0" borderId="245" xfId="0" applyNumberFormat="1" applyFont="1" applyBorder="1" applyAlignment="1">
      <alignment horizontal="center" vertical="center"/>
    </xf>
    <xf numFmtId="0" fontId="7" fillId="24" borderId="4" xfId="0" applyFont="1" applyFill="1" applyBorder="1" applyAlignment="1">
      <alignment horizontal="center" vertical="center"/>
    </xf>
    <xf numFmtId="0" fontId="6" fillId="0" borderId="20" xfId="0" applyFont="1" applyBorder="1" applyAlignment="1">
      <alignment horizontal="center" vertical="center"/>
    </xf>
    <xf numFmtId="0" fontId="7" fillId="0" borderId="384" xfId="0" applyFont="1" applyBorder="1" applyAlignment="1">
      <alignment horizontal="center" vertical="center"/>
    </xf>
    <xf numFmtId="0" fontId="79" fillId="0" borderId="20" xfId="0" applyFont="1" applyBorder="1" applyAlignment="1">
      <alignment horizontal="center" vertical="center"/>
    </xf>
    <xf numFmtId="4" fontId="4" fillId="0" borderId="245" xfId="0" applyNumberFormat="1" applyFont="1" applyBorder="1" applyAlignment="1">
      <alignment horizontal="center" vertical="center"/>
    </xf>
    <xf numFmtId="168" fontId="7" fillId="0" borderId="18" xfId="0" applyNumberFormat="1" applyFont="1" applyBorder="1" applyAlignment="1">
      <alignment horizontal="center" vertical="center"/>
    </xf>
    <xf numFmtId="168" fontId="7" fillId="0" borderId="244" xfId="0" applyNumberFormat="1" applyFont="1" applyBorder="1" applyAlignment="1">
      <alignment horizontal="center" vertical="center"/>
    </xf>
    <xf numFmtId="168" fontId="7" fillId="0" borderId="246" xfId="0" applyNumberFormat="1" applyFont="1" applyBorder="1" applyAlignment="1">
      <alignment horizontal="center" vertical="center"/>
    </xf>
    <xf numFmtId="173" fontId="4" fillId="0" borderId="244" xfId="0" applyNumberFormat="1" applyFont="1" applyBorder="1" applyAlignment="1">
      <alignment horizontal="center" vertical="center"/>
    </xf>
    <xf numFmtId="168" fontId="41" fillId="0" borderId="245" xfId="0" applyNumberFormat="1" applyFont="1" applyBorder="1" applyAlignment="1">
      <alignment horizontal="center" vertical="center"/>
    </xf>
    <xf numFmtId="168" fontId="4" fillId="0" borderId="245" xfId="0" applyNumberFormat="1" applyFont="1" applyBorder="1" applyAlignment="1">
      <alignment horizontal="center" vertical="center"/>
    </xf>
    <xf numFmtId="169" fontId="7" fillId="0" borderId="16" xfId="0" applyNumberFormat="1" applyFont="1" applyBorder="1" applyAlignment="1">
      <alignment horizontal="center" vertical="center"/>
    </xf>
    <xf numFmtId="165" fontId="7" fillId="34" borderId="20" xfId="0" applyNumberFormat="1" applyFont="1" applyFill="1" applyBorder="1" applyAlignment="1">
      <alignment horizontal="center" vertical="center"/>
    </xf>
    <xf numFmtId="169" fontId="49" fillId="0" borderId="4" xfId="0" applyNumberFormat="1" applyFont="1" applyBorder="1" applyAlignment="1">
      <alignment horizontal="center" vertical="center"/>
    </xf>
    <xf numFmtId="165" fontId="7" fillId="0" borderId="4" xfId="0" applyNumberFormat="1" applyFont="1" applyBorder="1" applyAlignment="1">
      <alignment horizontal="center" vertical="center"/>
    </xf>
    <xf numFmtId="166" fontId="11" fillId="0" borderId="245" xfId="0" applyNumberFormat="1" applyFont="1" applyBorder="1" applyAlignment="1">
      <alignment horizontal="center" vertical="center"/>
    </xf>
    <xf numFmtId="164" fontId="7" fillId="0" borderId="245" xfId="0" applyNumberFormat="1" applyFont="1" applyBorder="1" applyAlignment="1">
      <alignment horizontal="center" vertical="center"/>
    </xf>
    <xf numFmtId="164" fontId="7" fillId="39" borderId="244" xfId="0" applyNumberFormat="1" applyFont="1" applyFill="1" applyBorder="1" applyAlignment="1">
      <alignment horizontal="center" vertical="center"/>
    </xf>
    <xf numFmtId="3" fontId="7" fillId="0" borderId="245" xfId="0" applyNumberFormat="1" applyFont="1" applyBorder="1" applyAlignment="1">
      <alignment horizontal="center" vertical="center"/>
    </xf>
    <xf numFmtId="1" fontId="7" fillId="40" borderId="244" xfId="0" applyNumberFormat="1" applyFont="1" applyFill="1" applyBorder="1" applyAlignment="1">
      <alignment horizontal="center" vertical="center"/>
    </xf>
    <xf numFmtId="0" fontId="7" fillId="40" borderId="246" xfId="0" applyFont="1" applyFill="1" applyBorder="1" applyAlignment="1">
      <alignment horizontal="center" vertical="center"/>
    </xf>
    <xf numFmtId="2" fontId="4" fillId="0" borderId="244" xfId="0" applyNumberFormat="1" applyFont="1" applyBorder="1" applyAlignment="1">
      <alignment horizontal="center" vertical="center" wrapText="1"/>
    </xf>
    <xf numFmtId="2" fontId="4" fillId="0" borderId="245" xfId="0" applyNumberFormat="1" applyFont="1" applyBorder="1" applyAlignment="1">
      <alignment horizontal="center" vertical="center"/>
    </xf>
    <xf numFmtId="2" fontId="41" fillId="0" borderId="18" xfId="0" applyNumberFormat="1" applyFont="1" applyBorder="1" applyAlignment="1">
      <alignment horizontal="center" vertical="center"/>
    </xf>
    <xf numFmtId="1" fontId="49" fillId="0" borderId="246" xfId="0" applyNumberFormat="1" applyFont="1" applyBorder="1" applyAlignment="1">
      <alignment horizontal="center" vertical="center"/>
    </xf>
    <xf numFmtId="0" fontId="7" fillId="40" borderId="20" xfId="0" applyFont="1" applyFill="1" applyBorder="1" applyAlignment="1">
      <alignment horizontal="center" vertical="center"/>
    </xf>
    <xf numFmtId="165" fontId="7" fillId="53" borderId="244" xfId="0" applyNumberFormat="1" applyFont="1" applyFill="1" applyBorder="1" applyAlignment="1">
      <alignment horizontal="center" vertical="center"/>
    </xf>
    <xf numFmtId="4" fontId="4" fillId="0" borderId="246" xfId="0" applyNumberFormat="1" applyFont="1" applyBorder="1" applyAlignment="1">
      <alignment horizontal="center" vertical="center"/>
    </xf>
    <xf numFmtId="4" fontId="7" fillId="0" borderId="50" xfId="0" applyNumberFormat="1" applyFont="1" applyBorder="1" applyAlignment="1">
      <alignment horizontal="center" vertical="center"/>
    </xf>
    <xf numFmtId="166" fontId="11" fillId="0" borderId="4" xfId="0" applyNumberFormat="1" applyFont="1" applyBorder="1" applyAlignment="1">
      <alignment horizontal="center" vertical="center"/>
    </xf>
    <xf numFmtId="166" fontId="11" fillId="0" borderId="246" xfId="0" applyNumberFormat="1" applyFont="1" applyBorder="1" applyAlignment="1">
      <alignment horizontal="center" vertical="center"/>
    </xf>
    <xf numFmtId="4" fontId="11" fillId="0" borderId="16" xfId="0" applyNumberFormat="1" applyFont="1" applyBorder="1" applyAlignment="1">
      <alignment horizontal="center" vertical="center"/>
    </xf>
    <xf numFmtId="1" fontId="7" fillId="36" borderId="244" xfId="0" applyNumberFormat="1" applyFont="1" applyFill="1" applyBorder="1" applyAlignment="1">
      <alignment horizontal="center" vertical="center"/>
    </xf>
    <xf numFmtId="1" fontId="49" fillId="0" borderId="384" xfId="0" applyNumberFormat="1" applyFont="1" applyBorder="1" applyAlignment="1">
      <alignment horizontal="center" vertical="center"/>
    </xf>
    <xf numFmtId="0" fontId="7" fillId="17" borderId="332" xfId="0" applyFont="1" applyFill="1" applyBorder="1" applyAlignment="1">
      <alignment horizontal="center" vertical="center"/>
    </xf>
    <xf numFmtId="0" fontId="6" fillId="42" borderId="0" xfId="0" applyFont="1" applyFill="1" applyAlignment="1">
      <alignment horizontal="center" vertical="center"/>
    </xf>
    <xf numFmtId="0" fontId="7" fillId="17" borderId="384" xfId="0" applyFont="1" applyFill="1" applyBorder="1" applyAlignment="1">
      <alignment horizontal="center" vertical="center"/>
    </xf>
    <xf numFmtId="164" fontId="4" fillId="0" borderId="245" xfId="0" applyNumberFormat="1" applyFont="1" applyBorder="1" applyAlignment="1">
      <alignment horizontal="center" vertical="center"/>
    </xf>
    <xf numFmtId="164" fontId="145" fillId="0" borderId="245" xfId="0" applyNumberFormat="1" applyFont="1" applyBorder="1" applyAlignment="1">
      <alignment horizontal="center" vertical="center"/>
    </xf>
    <xf numFmtId="0" fontId="4" fillId="0" borderId="244" xfId="0" applyFont="1" applyBorder="1" applyAlignment="1">
      <alignment horizontal="center" vertical="center"/>
    </xf>
    <xf numFmtId="169" fontId="7" fillId="0" borderId="384" xfId="0" applyNumberFormat="1" applyFont="1" applyBorder="1" applyAlignment="1">
      <alignment horizontal="center" vertical="center"/>
    </xf>
    <xf numFmtId="4" fontId="7" fillId="0" borderId="246" xfId="0" applyNumberFormat="1" applyFont="1" applyBorder="1" applyAlignment="1">
      <alignment horizontal="center" vertical="center"/>
    </xf>
    <xf numFmtId="164" fontId="7" fillId="40" borderId="50" xfId="0" applyNumberFormat="1" applyFont="1" applyFill="1" applyBorder="1" applyAlignment="1">
      <alignment horizontal="center" vertical="center"/>
    </xf>
    <xf numFmtId="1" fontId="7" fillId="0" borderId="246" xfId="0" applyNumberFormat="1" applyFont="1" applyBorder="1" applyAlignment="1">
      <alignment horizontal="center" vertical="center"/>
    </xf>
    <xf numFmtId="170" fontId="4" fillId="0" borderId="244" xfId="0" applyNumberFormat="1" applyFont="1" applyBorder="1" applyAlignment="1">
      <alignment horizontal="center" vertical="center" wrapText="1"/>
    </xf>
    <xf numFmtId="165" fontId="7" fillId="40" borderId="244" xfId="0" applyNumberFormat="1" applyFont="1" applyFill="1" applyBorder="1" applyAlignment="1">
      <alignment horizontal="center" vertical="center"/>
    </xf>
    <xf numFmtId="164" fontId="218" fillId="0" borderId="245" xfId="0" applyNumberFormat="1" applyFont="1" applyBorder="1" applyAlignment="1">
      <alignment horizontal="center" vertical="center"/>
    </xf>
    <xf numFmtId="0" fontId="6" fillId="5" borderId="4" xfId="0" applyFont="1" applyFill="1" applyBorder="1" applyAlignment="1">
      <alignment horizontal="center" vertical="center"/>
    </xf>
    <xf numFmtId="3" fontId="218" fillId="0" borderId="244" xfId="0" applyNumberFormat="1" applyFont="1" applyBorder="1" applyAlignment="1">
      <alignment horizontal="center" vertical="center"/>
    </xf>
    <xf numFmtId="165" fontId="7" fillId="0" borderId="16" xfId="0" applyNumberFormat="1" applyFont="1" applyBorder="1" applyAlignment="1">
      <alignment horizontal="center" vertical="center"/>
    </xf>
    <xf numFmtId="0" fontId="41" fillId="0" borderId="246" xfId="0" applyFont="1" applyBorder="1" applyAlignment="1">
      <alignment vertical="center"/>
    </xf>
    <xf numFmtId="0" fontId="49" fillId="0" borderId="244" xfId="0" applyFont="1" applyBorder="1" applyAlignment="1">
      <alignment horizontal="center" vertical="center"/>
    </xf>
    <xf numFmtId="3" fontId="7" fillId="0" borderId="384" xfId="0" applyNumberFormat="1" applyFont="1" applyBorder="1" applyAlignment="1">
      <alignment horizontal="center" vertical="center"/>
    </xf>
    <xf numFmtId="3" fontId="7" fillId="0" borderId="390" xfId="0" applyNumberFormat="1" applyFont="1" applyBorder="1" applyAlignment="1">
      <alignment horizontal="center" vertical="center"/>
    </xf>
    <xf numFmtId="0" fontId="6" fillId="0" borderId="52" xfId="0" applyFont="1" applyBorder="1" applyAlignment="1">
      <alignment horizontal="right" vertical="center"/>
    </xf>
    <xf numFmtId="0" fontId="7" fillId="24" borderId="161" xfId="0" applyFont="1" applyFill="1" applyBorder="1" applyAlignment="1">
      <alignment horizontal="center" vertical="center"/>
    </xf>
    <xf numFmtId="0" fontId="7" fillId="17" borderId="384" xfId="0" applyFont="1" applyFill="1" applyBorder="1" applyAlignment="1">
      <alignment horizontal="center"/>
    </xf>
    <xf numFmtId="169" fontId="7" fillId="17" borderId="384" xfId="0" applyNumberFormat="1" applyFont="1" applyFill="1" applyBorder="1" applyAlignment="1">
      <alignment horizontal="center" vertical="center"/>
    </xf>
    <xf numFmtId="0" fontId="7" fillId="17" borderId="304" xfId="0" applyFont="1" applyFill="1" applyBorder="1" applyAlignment="1">
      <alignment horizontal="center"/>
    </xf>
    <xf numFmtId="2" fontId="7" fillId="17" borderId="304" xfId="0" applyNumberFormat="1" applyFont="1" applyFill="1" applyBorder="1" applyAlignment="1">
      <alignment horizontal="center" vertical="center"/>
    </xf>
    <xf numFmtId="0" fontId="7" fillId="0" borderId="391" xfId="0" applyFont="1" applyBorder="1" applyAlignment="1">
      <alignment horizontal="center" vertical="center"/>
    </xf>
    <xf numFmtId="0" fontId="6" fillId="24" borderId="2" xfId="0" applyFont="1" applyFill="1" applyBorder="1" applyAlignment="1">
      <alignment horizontal="center" vertical="center"/>
    </xf>
    <xf numFmtId="0" fontId="0" fillId="30" borderId="0" xfId="0" applyFill="1"/>
    <xf numFmtId="1" fontId="7" fillId="30" borderId="0" xfId="0" applyNumberFormat="1" applyFont="1" applyFill="1" applyAlignment="1">
      <alignment horizontal="center" vertical="center"/>
    </xf>
    <xf numFmtId="0" fontId="6" fillId="30" borderId="0" xfId="0" applyFont="1" applyFill="1" applyAlignment="1">
      <alignment horizontal="right" vertical="center"/>
    </xf>
    <xf numFmtId="0" fontId="101" fillId="17" borderId="16" xfId="0" applyFont="1" applyFill="1" applyBorder="1" applyAlignment="1">
      <alignment horizontal="center" vertical="center"/>
    </xf>
    <xf numFmtId="164" fontId="102" fillId="0" borderId="245" xfId="0" applyNumberFormat="1" applyFont="1" applyBorder="1" applyAlignment="1">
      <alignment horizontal="center" vertical="center"/>
    </xf>
    <xf numFmtId="0" fontId="101" fillId="0" borderId="16" xfId="0" applyFont="1" applyBorder="1" applyAlignment="1">
      <alignment horizontal="center" vertical="center"/>
    </xf>
    <xf numFmtId="0" fontId="7" fillId="17" borderId="41" xfId="0" applyFont="1" applyFill="1" applyBorder="1" applyAlignment="1">
      <alignment horizontal="center" vertical="center"/>
    </xf>
    <xf numFmtId="0" fontId="7" fillId="17" borderId="8" xfId="0" applyFont="1" applyFill="1" applyBorder="1" applyAlignment="1">
      <alignment horizontal="center" vertical="center"/>
    </xf>
    <xf numFmtId="0" fontId="7" fillId="10" borderId="242" xfId="0" applyFont="1" applyFill="1" applyBorder="1" applyAlignment="1">
      <alignment horizontal="center" vertical="center"/>
    </xf>
    <xf numFmtId="0" fontId="4" fillId="24" borderId="48" xfId="0" applyFont="1" applyFill="1" applyBorder="1" applyAlignment="1">
      <alignment vertical="center"/>
    </xf>
    <xf numFmtId="169" fontId="6" fillId="16" borderId="332" xfId="0" applyNumberFormat="1" applyFont="1" applyFill="1" applyBorder="1" applyAlignment="1">
      <alignment horizontal="center" vertical="center"/>
    </xf>
    <xf numFmtId="0" fontId="25" fillId="24" borderId="228" xfId="0" applyFont="1" applyFill="1" applyBorder="1" applyAlignment="1">
      <alignment horizontal="center" vertical="center"/>
    </xf>
    <xf numFmtId="0" fontId="7" fillId="0" borderId="191" xfId="0" applyFont="1" applyBorder="1" applyAlignment="1">
      <alignment horizontal="center" vertical="center"/>
    </xf>
    <xf numFmtId="0" fontId="4" fillId="0" borderId="384" xfId="0" applyFont="1" applyBorder="1" applyAlignment="1">
      <alignment vertical="center" wrapText="1"/>
    </xf>
    <xf numFmtId="0" fontId="4" fillId="0" borderId="384" xfId="0" applyFont="1" applyBorder="1" applyAlignment="1">
      <alignment horizontal="center" vertical="center" wrapText="1"/>
    </xf>
    <xf numFmtId="14" fontId="4" fillId="0" borderId="384" xfId="0" applyNumberFormat="1" applyFont="1" applyBorder="1" applyAlignment="1">
      <alignment horizontal="center" vertical="center" wrapText="1"/>
    </xf>
    <xf numFmtId="0" fontId="123" fillId="0" borderId="384" xfId="0" applyFont="1" applyBorder="1" applyAlignment="1" applyProtection="1">
      <alignment horizontal="center" vertical="center" wrapText="1"/>
      <protection locked="0"/>
    </xf>
    <xf numFmtId="0" fontId="123" fillId="0" borderId="0" xfId="0" applyFont="1" applyAlignment="1">
      <alignment horizontal="center" vertical="center" wrapText="1"/>
    </xf>
    <xf numFmtId="0" fontId="290" fillId="0" borderId="0" xfId="0" applyFont="1" applyAlignment="1">
      <alignment vertical="center" wrapText="1"/>
    </xf>
    <xf numFmtId="0" fontId="288" fillId="0" borderId="0" xfId="0" applyFont="1" applyAlignment="1">
      <alignment horizontal="center" vertical="center"/>
    </xf>
    <xf numFmtId="166" fontId="7" fillId="0" borderId="4" xfId="0" applyNumberFormat="1" applyFont="1" applyBorder="1" applyAlignment="1">
      <alignment horizontal="center" vertical="center"/>
    </xf>
    <xf numFmtId="166" fontId="7" fillId="0" borderId="246" xfId="0" applyNumberFormat="1" applyFont="1" applyBorder="1" applyAlignment="1">
      <alignment horizontal="center" vertical="center"/>
    </xf>
    <xf numFmtId="166" fontId="4" fillId="4" borderId="0" xfId="0" applyNumberFormat="1" applyFont="1" applyFill="1" applyAlignment="1">
      <alignment vertical="center"/>
    </xf>
    <xf numFmtId="177" fontId="218" fillId="0" borderId="245" xfId="0" applyNumberFormat="1" applyFont="1" applyBorder="1" applyAlignment="1">
      <alignment horizontal="center" vertical="center"/>
    </xf>
    <xf numFmtId="177" fontId="4" fillId="3" borderId="0" xfId="0" applyNumberFormat="1" applyFont="1" applyFill="1" applyAlignment="1">
      <alignment vertical="center"/>
    </xf>
    <xf numFmtId="169" fontId="4" fillId="4" borderId="0" xfId="0" applyNumberFormat="1" applyFont="1" applyFill="1" applyAlignment="1">
      <alignment vertical="center"/>
    </xf>
    <xf numFmtId="164" fontId="7" fillId="36" borderId="12" xfId="0" applyNumberFormat="1" applyFont="1" applyFill="1" applyBorder="1" applyAlignment="1">
      <alignment horizontal="center" vertical="center"/>
    </xf>
    <xf numFmtId="0" fontId="123" fillId="0" borderId="0" xfId="0" applyFont="1" applyAlignment="1" applyProtection="1">
      <alignment horizontal="center" vertical="center" wrapText="1"/>
      <protection locked="0"/>
    </xf>
    <xf numFmtId="0" fontId="12" fillId="0" borderId="2" xfId="0" applyFont="1" applyBorder="1" applyAlignment="1">
      <alignment horizontal="center" vertical="center" wrapText="1"/>
    </xf>
    <xf numFmtId="0" fontId="151" fillId="0" borderId="52" xfId="0" applyFont="1" applyBorder="1" applyAlignment="1">
      <alignment horizontal="right" wrapText="1" indent="1"/>
    </xf>
    <xf numFmtId="0" fontId="151" fillId="0" borderId="52" xfId="0" applyFont="1" applyBorder="1" applyAlignment="1">
      <alignment horizontal="right" vertical="center" wrapText="1" indent="1"/>
    </xf>
    <xf numFmtId="0" fontId="150" fillId="0" borderId="394" xfId="0" applyFont="1" applyBorder="1" applyAlignment="1">
      <alignment horizontal="left" vertical="center" wrapText="1"/>
    </xf>
    <xf numFmtId="49" fontId="14" fillId="7" borderId="99" xfId="0" applyNumberFormat="1" applyFont="1" applyFill="1" applyBorder="1" applyAlignment="1" applyProtection="1">
      <alignment horizontal="center" vertical="center"/>
      <protection locked="0"/>
    </xf>
    <xf numFmtId="0" fontId="4" fillId="24" borderId="0" xfId="0" applyFont="1" applyFill="1" applyAlignment="1">
      <alignment horizontal="center" vertical="center"/>
    </xf>
    <xf numFmtId="49" fontId="6" fillId="24" borderId="0" xfId="0" applyNumberFormat="1" applyFont="1" applyFill="1" applyAlignment="1">
      <alignment horizontal="center" vertical="center" textRotation="90"/>
    </xf>
    <xf numFmtId="0" fontId="4" fillId="24" borderId="395" xfId="0" applyFont="1" applyFill="1" applyBorder="1" applyAlignment="1">
      <alignment horizontal="center" vertical="center"/>
    </xf>
    <xf numFmtId="4" fontId="7" fillId="0" borderId="12" xfId="0" applyNumberFormat="1" applyFont="1" applyBorder="1" applyAlignment="1">
      <alignment horizontal="center" vertical="center"/>
    </xf>
    <xf numFmtId="178" fontId="7" fillId="0" borderId="16" xfId="0" applyNumberFormat="1" applyFont="1" applyBorder="1" applyAlignment="1">
      <alignment horizontal="center" vertical="center"/>
    </xf>
    <xf numFmtId="4" fontId="7" fillId="0" borderId="16" xfId="0" applyNumberFormat="1" applyFont="1" applyBorder="1" applyAlignment="1">
      <alignment horizontal="center" vertical="center"/>
    </xf>
    <xf numFmtId="0" fontId="49" fillId="7" borderId="18" xfId="0" applyFont="1" applyFill="1" applyBorder="1" applyAlignment="1">
      <alignment horizontal="center" vertical="center"/>
    </xf>
    <xf numFmtId="0" fontId="4" fillId="7" borderId="20" xfId="0" applyFont="1" applyFill="1" applyBorder="1" applyAlignment="1">
      <alignment horizontal="center" vertical="center"/>
    </xf>
    <xf numFmtId="0" fontId="7" fillId="17" borderId="50" xfId="0" applyFont="1" applyFill="1" applyBorder="1" applyAlignment="1">
      <alignment horizontal="center" vertical="center"/>
    </xf>
    <xf numFmtId="167" fontId="4" fillId="17" borderId="4" xfId="0" applyNumberFormat="1" applyFont="1" applyFill="1" applyBorder="1" applyAlignment="1">
      <alignment horizontal="center" vertical="center"/>
    </xf>
    <xf numFmtId="167" fontId="4" fillId="17" borderId="20" xfId="0" applyNumberFormat="1" applyFont="1" applyFill="1" applyBorder="1" applyAlignment="1">
      <alignment horizontal="center" vertical="center"/>
    </xf>
    <xf numFmtId="167" fontId="11" fillId="0" borderId="16" xfId="0" applyNumberFormat="1" applyFont="1" applyBorder="1" applyAlignment="1">
      <alignment horizontal="center" vertical="center"/>
    </xf>
    <xf numFmtId="0" fontId="41" fillId="7" borderId="16" xfId="0" applyFont="1" applyFill="1" applyBorder="1" applyAlignment="1">
      <alignment horizontal="center" vertical="center"/>
    </xf>
    <xf numFmtId="0" fontId="7" fillId="7" borderId="245" xfId="0" applyFont="1" applyFill="1" applyBorder="1" applyAlignment="1">
      <alignment horizontal="center" vertical="center"/>
    </xf>
    <xf numFmtId="167" fontId="4" fillId="0" borderId="16" xfId="0" applyNumberFormat="1" applyFont="1" applyBorder="1" applyAlignment="1">
      <alignment horizontal="center" vertical="center"/>
    </xf>
    <xf numFmtId="0" fontId="7" fillId="0" borderId="396" xfId="0" applyFont="1" applyBorder="1" applyAlignment="1">
      <alignment horizontal="center" vertical="center"/>
    </xf>
    <xf numFmtId="0" fontId="4" fillId="0" borderId="395" xfId="0" applyFont="1" applyBorder="1" applyAlignment="1">
      <alignment horizontal="left" vertical="center"/>
    </xf>
    <xf numFmtId="0" fontId="4" fillId="0" borderId="395" xfId="0" applyFont="1" applyBorder="1" applyAlignment="1">
      <alignment horizontal="center" vertical="center" wrapText="1"/>
    </xf>
    <xf numFmtId="0" fontId="4" fillId="0" borderId="395" xfId="0" applyFont="1" applyBorder="1" applyAlignment="1">
      <alignment horizontal="center" vertical="center"/>
    </xf>
    <xf numFmtId="170" fontId="4" fillId="0" borderId="395" xfId="0" applyNumberFormat="1" applyFont="1" applyBorder="1" applyAlignment="1">
      <alignment horizontal="center" vertical="center"/>
    </xf>
    <xf numFmtId="167" fontId="4" fillId="0" borderId="395" xfId="0" applyNumberFormat="1" applyFont="1" applyBorder="1" applyAlignment="1">
      <alignment horizontal="center" vertical="center"/>
    </xf>
    <xf numFmtId="168" fontId="7" fillId="0" borderId="50" xfId="0" applyNumberFormat="1" applyFont="1" applyBorder="1" applyAlignment="1">
      <alignment horizontal="center" vertical="center"/>
    </xf>
    <xf numFmtId="0" fontId="4" fillId="17" borderId="366" xfId="0" applyFont="1" applyFill="1" applyBorder="1" applyAlignment="1">
      <alignment horizontal="center" vertical="center"/>
    </xf>
    <xf numFmtId="171" fontId="7" fillId="0" borderId="16" xfId="0" applyNumberFormat="1" applyFont="1" applyBorder="1" applyAlignment="1">
      <alignment horizontal="center" vertical="center"/>
    </xf>
    <xf numFmtId="0" fontId="0" fillId="0" borderId="40" xfId="0" applyBorder="1" applyAlignment="1">
      <alignment vertical="center"/>
    </xf>
    <xf numFmtId="0" fontId="0" fillId="0" borderId="40" xfId="0" applyBorder="1" applyAlignment="1">
      <alignment horizontal="center"/>
    </xf>
    <xf numFmtId="0" fontId="0" fillId="0" borderId="47" xfId="0" applyBorder="1" applyAlignment="1">
      <alignment horizontal="center" vertical="center" wrapText="1"/>
    </xf>
    <xf numFmtId="0" fontId="4" fillId="7" borderId="337" xfId="0" applyFont="1" applyFill="1" applyBorder="1" applyAlignment="1">
      <alignment horizontal="center" vertical="center"/>
    </xf>
    <xf numFmtId="0" fontId="4" fillId="7" borderId="395" xfId="0" applyFont="1" applyFill="1" applyBorder="1" applyAlignment="1">
      <alignment horizontal="center" vertical="center"/>
    </xf>
    <xf numFmtId="0" fontId="4" fillId="17" borderId="395" xfId="0" applyFont="1" applyFill="1" applyBorder="1" applyAlignment="1">
      <alignment horizontal="center" vertical="center"/>
    </xf>
    <xf numFmtId="168" fontId="4" fillId="17" borderId="395" xfId="0" applyNumberFormat="1" applyFont="1" applyFill="1" applyBorder="1" applyAlignment="1">
      <alignment horizontal="center" vertical="center"/>
    </xf>
    <xf numFmtId="2" fontId="4" fillId="17" borderId="395" xfId="0" applyNumberFormat="1" applyFont="1" applyFill="1" applyBorder="1" applyAlignment="1">
      <alignment horizontal="center" vertical="center"/>
    </xf>
    <xf numFmtId="0" fontId="11" fillId="17" borderId="0" xfId="0" applyFont="1" applyFill="1" applyAlignment="1">
      <alignment horizontal="right" vertical="top"/>
    </xf>
    <xf numFmtId="0" fontId="109" fillId="0" borderId="0" xfId="0" applyFont="1" applyAlignment="1" applyProtection="1">
      <alignment vertical="center" wrapText="1"/>
      <protection locked="0"/>
    </xf>
    <xf numFmtId="170" fontId="4" fillId="17" borderId="395" xfId="0" applyNumberFormat="1" applyFont="1" applyFill="1" applyBorder="1" applyAlignment="1">
      <alignment horizontal="center" vertical="center"/>
    </xf>
    <xf numFmtId="0" fontId="88" fillId="17" borderId="0" xfId="0" applyFont="1" applyFill="1" applyAlignment="1">
      <alignment horizontal="center" vertical="center"/>
    </xf>
    <xf numFmtId="0" fontId="88" fillId="17" borderId="0" xfId="0" quotePrefix="1" applyFont="1" applyFill="1" applyAlignment="1">
      <alignment horizontal="left" vertical="center"/>
    </xf>
    <xf numFmtId="169" fontId="4" fillId="17" borderId="395" xfId="0" applyNumberFormat="1" applyFont="1" applyFill="1" applyBorder="1" applyAlignment="1">
      <alignment horizontal="center" vertical="center"/>
    </xf>
    <xf numFmtId="169" fontId="4" fillId="17" borderId="395" xfId="0" quotePrefix="1" applyNumberFormat="1" applyFont="1" applyFill="1" applyBorder="1" applyAlignment="1">
      <alignment horizontal="center" vertical="center"/>
    </xf>
    <xf numFmtId="0" fontId="11" fillId="17" borderId="245" xfId="0" applyFont="1" applyFill="1" applyBorder="1" applyAlignment="1">
      <alignment horizontal="center" vertical="center"/>
    </xf>
    <xf numFmtId="0" fontId="11" fillId="17" borderId="396" xfId="0" applyFont="1" applyFill="1" applyBorder="1" applyAlignment="1">
      <alignment horizontal="center" vertical="center"/>
    </xf>
    <xf numFmtId="0" fontId="99" fillId="17" borderId="0" xfId="0" applyFont="1" applyFill="1" applyAlignment="1">
      <alignment vertical="center" wrapText="1"/>
    </xf>
    <xf numFmtId="3" fontId="4" fillId="17" borderId="395" xfId="0" applyNumberFormat="1" applyFont="1" applyFill="1" applyBorder="1" applyAlignment="1">
      <alignment horizontal="center" vertical="center"/>
    </xf>
    <xf numFmtId="1" fontId="4" fillId="17" borderId="395" xfId="0" applyNumberFormat="1" applyFont="1" applyFill="1" applyBorder="1" applyAlignment="1">
      <alignment horizontal="center" vertical="center"/>
    </xf>
    <xf numFmtId="0" fontId="117" fillId="17" borderId="9" xfId="0" applyFont="1" applyFill="1" applyBorder="1" applyAlignment="1">
      <alignment horizontal="left" vertical="center" wrapText="1"/>
    </xf>
    <xf numFmtId="0" fontId="0" fillId="17" borderId="9" xfId="0" applyFill="1" applyBorder="1" applyAlignment="1">
      <alignment horizontal="left" vertical="center" wrapText="1"/>
    </xf>
    <xf numFmtId="168" fontId="7" fillId="0" borderId="245" xfId="0" applyNumberFormat="1" applyFont="1" applyBorder="1" applyAlignment="1">
      <alignment horizontal="center" vertical="center"/>
    </xf>
    <xf numFmtId="167" fontId="4" fillId="0" borderId="323" xfId="0" applyNumberFormat="1" applyFont="1" applyBorder="1" applyAlignment="1">
      <alignment horizontal="center" vertical="center"/>
    </xf>
    <xf numFmtId="0" fontId="4" fillId="17" borderId="210" xfId="0" applyFont="1" applyFill="1" applyBorder="1" applyAlignment="1">
      <alignment vertical="center"/>
    </xf>
    <xf numFmtId="0" fontId="200" fillId="17" borderId="210" xfId="0" applyFont="1" applyFill="1" applyBorder="1" applyAlignment="1">
      <alignment horizontal="left" vertical="center" indent="2"/>
    </xf>
    <xf numFmtId="0" fontId="200" fillId="17" borderId="0" xfId="0" applyFont="1" applyFill="1" applyAlignment="1">
      <alignment horizontal="left" vertical="center" indent="4"/>
    </xf>
    <xf numFmtId="0" fontId="115" fillId="17" borderId="0" xfId="0" applyFont="1" applyFill="1" applyAlignment="1">
      <alignment horizontal="left" vertical="center" indent="2"/>
    </xf>
    <xf numFmtId="0" fontId="115" fillId="17" borderId="210" xfId="0" applyFont="1" applyFill="1" applyBorder="1" applyAlignment="1">
      <alignment horizontal="left" vertical="center" indent="2"/>
    </xf>
    <xf numFmtId="0" fontId="19" fillId="17" borderId="103" xfId="0" applyFont="1" applyFill="1" applyBorder="1" applyAlignment="1" applyProtection="1">
      <alignment horizontal="left" vertical="center"/>
      <protection locked="0"/>
    </xf>
    <xf numFmtId="0" fontId="36" fillId="0" borderId="383" xfId="0" applyFont="1" applyBorder="1" applyAlignment="1" applyProtection="1">
      <alignment horizontal="center" vertical="center"/>
      <protection locked="0"/>
    </xf>
    <xf numFmtId="179" fontId="4" fillId="3" borderId="0" xfId="0" applyNumberFormat="1" applyFont="1" applyFill="1" applyAlignment="1">
      <alignment vertical="center"/>
    </xf>
    <xf numFmtId="173" fontId="64" fillId="0" borderId="4" xfId="0" applyNumberFormat="1" applyFont="1" applyBorder="1" applyAlignment="1">
      <alignment horizontal="center" vertical="center"/>
    </xf>
    <xf numFmtId="173" fontId="64" fillId="0" borderId="18" xfId="0" applyNumberFormat="1" applyFont="1" applyBorder="1" applyAlignment="1">
      <alignment horizontal="center" vertical="center"/>
    </xf>
    <xf numFmtId="173" fontId="4" fillId="0" borderId="0" xfId="0" applyNumberFormat="1" applyFont="1" applyAlignment="1">
      <alignment horizontal="center" vertical="center" wrapText="1"/>
    </xf>
    <xf numFmtId="0" fontId="4" fillId="28" borderId="1" xfId="0" applyFont="1" applyFill="1" applyBorder="1" applyAlignment="1">
      <alignment horizontal="left" vertical="center"/>
    </xf>
    <xf numFmtId="0" fontId="4" fillId="35" borderId="129" xfId="0" applyFont="1" applyFill="1" applyBorder="1" applyAlignment="1">
      <alignment horizontal="right" vertical="center"/>
    </xf>
    <xf numFmtId="0" fontId="4" fillId="35" borderId="1" xfId="0" applyFont="1" applyFill="1" applyBorder="1" applyAlignment="1">
      <alignment horizontal="center" vertical="center"/>
    </xf>
    <xf numFmtId="0" fontId="4" fillId="35" borderId="1" xfId="0" applyFont="1" applyFill="1" applyBorder="1" applyAlignment="1">
      <alignment horizontal="right" vertical="center"/>
    </xf>
    <xf numFmtId="0" fontId="36" fillId="18" borderId="397" xfId="0" applyFont="1" applyFill="1" applyBorder="1" applyAlignment="1">
      <alignment horizontal="center" vertical="center"/>
    </xf>
    <xf numFmtId="0" fontId="0" fillId="0" borderId="20" xfId="0" applyBorder="1" applyAlignment="1">
      <alignment horizontal="center" vertical="center" wrapText="1"/>
    </xf>
    <xf numFmtId="0" fontId="4" fillId="0" borderId="397" xfId="0" applyFont="1" applyBorder="1" applyAlignment="1">
      <alignment horizontal="center" vertical="center"/>
    </xf>
    <xf numFmtId="168" fontId="6" fillId="17" borderId="16" xfId="0" applyNumberFormat="1" applyFont="1" applyFill="1" applyBorder="1" applyAlignment="1">
      <alignment horizontal="center" vertical="center"/>
    </xf>
    <xf numFmtId="170" fontId="11" fillId="17" borderId="332" xfId="0" applyNumberFormat="1" applyFont="1" applyFill="1" applyBorder="1" applyAlignment="1">
      <alignment horizontal="center" vertical="center"/>
    </xf>
    <xf numFmtId="0" fontId="7" fillId="16" borderId="397" xfId="0" applyFont="1" applyFill="1" applyBorder="1" applyAlignment="1" applyProtection="1">
      <alignment horizontal="left" vertical="center" wrapText="1"/>
      <protection hidden="1"/>
    </xf>
    <xf numFmtId="0" fontId="4" fillId="7" borderId="397" xfId="0" applyFont="1" applyFill="1" applyBorder="1" applyAlignment="1" applyProtection="1">
      <alignment horizontal="center" vertical="center" wrapText="1"/>
      <protection hidden="1"/>
    </xf>
    <xf numFmtId="0" fontId="4" fillId="6" borderId="397" xfId="0" applyFont="1" applyFill="1" applyBorder="1" applyAlignment="1">
      <alignment horizontal="center" vertical="center"/>
    </xf>
    <xf numFmtId="0" fontId="7" fillId="0" borderId="398" xfId="0" applyFont="1" applyBorder="1" applyAlignment="1">
      <alignment horizontal="center" vertical="center"/>
    </xf>
    <xf numFmtId="0" fontId="7" fillId="8" borderId="398" xfId="0" applyFont="1" applyFill="1" applyBorder="1" applyAlignment="1">
      <alignment horizontal="center" vertical="center"/>
    </xf>
    <xf numFmtId="0" fontId="7" fillId="8" borderId="385" xfId="0" applyFont="1" applyFill="1" applyBorder="1" applyAlignment="1">
      <alignment horizontal="center" vertical="center"/>
    </xf>
    <xf numFmtId="0" fontId="7" fillId="17" borderId="398" xfId="0" applyFont="1" applyFill="1" applyBorder="1" applyAlignment="1">
      <alignment horizontal="center" vertical="center"/>
    </xf>
    <xf numFmtId="0" fontId="4" fillId="0" borderId="398" xfId="0" applyFont="1" applyBorder="1" applyAlignment="1" applyProtection="1">
      <alignment horizontal="center" vertical="center"/>
      <protection locked="0"/>
    </xf>
    <xf numFmtId="0" fontId="4" fillId="0" borderId="400" xfId="0" applyFont="1" applyBorder="1" applyAlignment="1">
      <alignment vertical="center" wrapText="1"/>
    </xf>
    <xf numFmtId="0" fontId="150" fillId="17" borderId="38" xfId="0" applyFont="1" applyFill="1" applyBorder="1" applyAlignment="1">
      <alignment horizontal="center" vertical="center"/>
    </xf>
    <xf numFmtId="0" fontId="7" fillId="17" borderId="49" xfId="0" applyFont="1" applyFill="1" applyBorder="1" applyAlignment="1">
      <alignment horizontal="center" vertical="center"/>
    </xf>
    <xf numFmtId="0" fontId="19" fillId="17" borderId="399" xfId="0" applyFont="1" applyFill="1" applyBorder="1" applyAlignment="1" applyProtection="1">
      <alignment horizontal="center" vertical="center"/>
      <protection locked="0"/>
    </xf>
    <xf numFmtId="0" fontId="19" fillId="17" borderId="241" xfId="0" applyFont="1" applyFill="1" applyBorder="1" applyAlignment="1" applyProtection="1">
      <alignment horizontal="left" vertical="center"/>
      <protection locked="0"/>
    </xf>
    <xf numFmtId="0" fontId="105" fillId="17" borderId="49" xfId="0" applyFont="1" applyFill="1" applyBorder="1" applyAlignment="1" applyProtection="1">
      <alignment horizontal="center" vertical="center"/>
      <protection locked="0"/>
    </xf>
    <xf numFmtId="2" fontId="4" fillId="0" borderId="401" xfId="0" applyNumberFormat="1" applyFont="1" applyBorder="1" applyAlignment="1">
      <alignment horizontal="center" vertical="center"/>
    </xf>
    <xf numFmtId="0" fontId="11" fillId="18" borderId="16" xfId="0" applyFont="1" applyFill="1" applyBorder="1" applyAlignment="1">
      <alignment horizontal="center" vertical="center"/>
    </xf>
    <xf numFmtId="168" fontId="4" fillId="17" borderId="400" xfId="0" applyNumberFormat="1" applyFont="1" applyFill="1" applyBorder="1" applyAlignment="1">
      <alignment horizontal="center" vertical="center"/>
    </xf>
    <xf numFmtId="0" fontId="4" fillId="17" borderId="400" xfId="0" applyFont="1" applyFill="1" applyBorder="1" applyAlignment="1">
      <alignment horizontal="center" vertical="center"/>
    </xf>
    <xf numFmtId="168" fontId="156" fillId="17" borderId="331" xfId="0" applyNumberFormat="1" applyFont="1" applyFill="1" applyBorder="1" applyAlignment="1">
      <alignment horizontal="center" vertical="center"/>
    </xf>
    <xf numFmtId="0" fontId="156" fillId="16" borderId="400" xfId="0" applyFont="1" applyFill="1" applyBorder="1" applyAlignment="1">
      <alignment vertical="center"/>
    </xf>
    <xf numFmtId="0" fontId="156" fillId="16" borderId="400" xfId="0" applyFont="1" applyFill="1" applyBorder="1" applyAlignment="1">
      <alignment horizontal="center" vertical="center"/>
    </xf>
    <xf numFmtId="1" fontId="156" fillId="17" borderId="113" xfId="0" applyNumberFormat="1" applyFont="1" applyFill="1" applyBorder="1" applyAlignment="1">
      <alignment horizontal="center" vertical="center"/>
    </xf>
    <xf numFmtId="0" fontId="7" fillId="8" borderId="370" xfId="0" applyFont="1" applyFill="1" applyBorder="1" applyAlignment="1">
      <alignment horizontal="center" vertical="center"/>
    </xf>
    <xf numFmtId="0" fontId="7" fillId="8" borderId="406" xfId="0" applyFont="1" applyFill="1" applyBorder="1" applyAlignment="1">
      <alignment horizontal="center" vertical="center"/>
    </xf>
    <xf numFmtId="0" fontId="7" fillId="6" borderId="406" xfId="0" applyFont="1" applyFill="1" applyBorder="1" applyAlignment="1">
      <alignment horizontal="center" vertical="center" textRotation="90"/>
    </xf>
    <xf numFmtId="0" fontId="7" fillId="0" borderId="406" xfId="0" applyFont="1" applyBorder="1" applyAlignment="1">
      <alignment horizontal="center" vertical="center"/>
    </xf>
    <xf numFmtId="2" fontId="103" fillId="0" borderId="403" xfId="0" applyNumberFormat="1" applyFont="1" applyBorder="1" applyAlignment="1">
      <alignment horizontal="center" vertical="center"/>
    </xf>
    <xf numFmtId="2" fontId="4" fillId="0" borderId="403" xfId="0" applyNumberFormat="1" applyFont="1" applyBorder="1" applyAlignment="1">
      <alignment horizontal="center" vertical="center"/>
    </xf>
    <xf numFmtId="1" fontId="4" fillId="0" borderId="403" xfId="0" applyNumberFormat="1" applyFont="1" applyBorder="1" applyAlignment="1">
      <alignment horizontal="center" vertical="center"/>
    </xf>
    <xf numFmtId="1" fontId="4" fillId="0" borderId="404" xfId="0" applyNumberFormat="1" applyFont="1" applyBorder="1" applyAlignment="1">
      <alignment horizontal="center" vertical="center"/>
    </xf>
    <xf numFmtId="1" fontId="4" fillId="0" borderId="386" xfId="0" applyNumberFormat="1" applyFont="1" applyBorder="1" applyAlignment="1">
      <alignment horizontal="center" vertical="center"/>
    </xf>
    <xf numFmtId="169" fontId="4" fillId="0" borderId="404" xfId="0" applyNumberFormat="1" applyFont="1" applyBorder="1" applyAlignment="1">
      <alignment horizontal="center" vertical="center"/>
    </xf>
    <xf numFmtId="1" fontId="4" fillId="0" borderId="406" xfId="0" applyNumberFormat="1" applyFont="1" applyBorder="1" applyAlignment="1">
      <alignment horizontal="center" vertical="center"/>
    </xf>
    <xf numFmtId="169" fontId="4" fillId="0" borderId="406" xfId="0" applyNumberFormat="1" applyFont="1" applyBorder="1" applyAlignment="1">
      <alignment horizontal="center" vertical="center"/>
    </xf>
    <xf numFmtId="0" fontId="4" fillId="0" borderId="403" xfId="0" applyFont="1" applyBorder="1" applyAlignment="1">
      <alignment horizontal="center" vertical="center"/>
    </xf>
    <xf numFmtId="2" fontId="4" fillId="8" borderId="403" xfId="0" applyNumberFormat="1" applyFont="1" applyFill="1" applyBorder="1" applyAlignment="1">
      <alignment horizontal="center" vertical="center"/>
    </xf>
    <xf numFmtId="2" fontId="4" fillId="8" borderId="404" xfId="0" applyNumberFormat="1" applyFont="1" applyFill="1" applyBorder="1" applyAlignment="1">
      <alignment horizontal="center" vertical="center"/>
    </xf>
    <xf numFmtId="2" fontId="4" fillId="8" borderId="386" xfId="0" applyNumberFormat="1" applyFont="1" applyFill="1" applyBorder="1" applyAlignment="1">
      <alignment horizontal="center" vertical="center"/>
    </xf>
    <xf numFmtId="3" fontId="4" fillId="8" borderId="403" xfId="0" applyNumberFormat="1" applyFont="1" applyFill="1" applyBorder="1" applyAlignment="1">
      <alignment horizontal="center" vertical="center"/>
    </xf>
    <xf numFmtId="170" fontId="4" fillId="0" borderId="403" xfId="0" applyNumberFormat="1" applyFont="1" applyBorder="1" applyAlignment="1">
      <alignment horizontal="center" vertical="center"/>
    </xf>
    <xf numFmtId="164" fontId="4" fillId="0" borderId="386" xfId="0" applyNumberFormat="1" applyFont="1" applyBorder="1" applyAlignment="1">
      <alignment horizontal="center" vertical="center"/>
    </xf>
    <xf numFmtId="1" fontId="4" fillId="8" borderId="403" xfId="0" applyNumberFormat="1" applyFont="1" applyFill="1" applyBorder="1" applyAlignment="1">
      <alignment horizontal="center" vertical="center"/>
    </xf>
    <xf numFmtId="3" fontId="4" fillId="8" borderId="404" xfId="0" applyNumberFormat="1" applyFont="1" applyFill="1" applyBorder="1" applyAlignment="1">
      <alignment horizontal="center" vertical="center"/>
    </xf>
    <xf numFmtId="0" fontId="4" fillId="0" borderId="406" xfId="0" applyFont="1" applyBorder="1" applyAlignment="1">
      <alignment horizontal="center" vertical="center"/>
    </xf>
    <xf numFmtId="0" fontId="4" fillId="0" borderId="406" xfId="0" applyFont="1" applyBorder="1" applyAlignment="1">
      <alignment horizontal="left" vertical="center"/>
    </xf>
    <xf numFmtId="0" fontId="4" fillId="8" borderId="406" xfId="0" applyFont="1" applyFill="1" applyBorder="1" applyAlignment="1">
      <alignment horizontal="left" vertical="center"/>
    </xf>
    <xf numFmtId="0" fontId="4" fillId="0" borderId="406" xfId="0" applyFont="1" applyBorder="1" applyAlignment="1">
      <alignment horizontal="left" vertical="center" wrapText="1"/>
    </xf>
    <xf numFmtId="1" fontId="7" fillId="0" borderId="406" xfId="0" applyNumberFormat="1" applyFont="1" applyBorder="1" applyAlignment="1">
      <alignment horizontal="center" vertical="center"/>
    </xf>
    <xf numFmtId="1" fontId="7" fillId="8" borderId="406" xfId="0" applyNumberFormat="1" applyFont="1" applyFill="1" applyBorder="1" applyAlignment="1">
      <alignment horizontal="center" vertical="center"/>
    </xf>
    <xf numFmtId="0" fontId="4" fillId="8" borderId="406" xfId="0" applyFont="1" applyFill="1" applyBorder="1" applyAlignment="1">
      <alignment horizontal="center" vertical="center"/>
    </xf>
    <xf numFmtId="0" fontId="4" fillId="0" borderId="406" xfId="0" applyFont="1" applyBorder="1" applyAlignment="1">
      <alignment horizontal="right" vertical="center"/>
    </xf>
    <xf numFmtId="1" fontId="4" fillId="0" borderId="406" xfId="0" applyNumberFormat="1" applyFont="1" applyBorder="1" applyAlignment="1">
      <alignment horizontal="right" vertical="center"/>
    </xf>
    <xf numFmtId="0" fontId="4" fillId="8" borderId="406" xfId="0" applyFont="1" applyFill="1" applyBorder="1" applyAlignment="1">
      <alignment horizontal="right" vertical="center"/>
    </xf>
    <xf numFmtId="0" fontId="4" fillId="25" borderId="406" xfId="0" applyFont="1" applyFill="1" applyBorder="1" applyAlignment="1">
      <alignment horizontal="center" vertical="center"/>
    </xf>
    <xf numFmtId="169" fontId="4" fillId="8" borderId="406" xfId="0" applyNumberFormat="1" applyFont="1" applyFill="1" applyBorder="1" applyAlignment="1">
      <alignment horizontal="center" vertical="center"/>
    </xf>
    <xf numFmtId="0" fontId="4" fillId="17" borderId="406" xfId="0" applyFont="1" applyFill="1" applyBorder="1" applyAlignment="1">
      <alignment horizontal="center" vertical="center"/>
    </xf>
    <xf numFmtId="0" fontId="4" fillId="17" borderId="406" xfId="0" applyFont="1" applyFill="1" applyBorder="1" applyAlignment="1">
      <alignment horizontal="right" vertical="center"/>
    </xf>
    <xf numFmtId="0" fontId="7" fillId="0" borderId="406" xfId="0" applyFont="1" applyBorder="1" applyAlignment="1">
      <alignment horizontal="left" vertical="center"/>
    </xf>
    <xf numFmtId="0" fontId="6" fillId="0" borderId="406" xfId="0" applyFont="1" applyBorder="1" applyAlignment="1">
      <alignment horizontal="center" vertical="center"/>
    </xf>
    <xf numFmtId="0" fontId="7" fillId="6" borderId="406" xfId="0" applyFont="1" applyFill="1" applyBorder="1" applyAlignment="1">
      <alignment horizontal="center" vertical="center"/>
    </xf>
    <xf numFmtId="2" fontId="49" fillId="0" borderId="12" xfId="0" applyNumberFormat="1" applyFont="1" applyBorder="1" applyAlignment="1">
      <alignment horizontal="center" vertical="center"/>
    </xf>
    <xf numFmtId="0" fontId="7" fillId="10" borderId="160" xfId="0" applyFont="1" applyFill="1" applyBorder="1" applyAlignment="1">
      <alignment horizontal="left" vertical="center" wrapText="1"/>
    </xf>
    <xf numFmtId="0" fontId="7" fillId="46" borderId="8" xfId="0" applyFont="1" applyFill="1" applyBorder="1" applyAlignment="1">
      <alignment horizontal="center" vertical="center"/>
    </xf>
    <xf numFmtId="0" fontId="7" fillId="46" borderId="181" xfId="0" applyFont="1" applyFill="1" applyBorder="1" applyAlignment="1">
      <alignment horizontal="center" vertical="center"/>
    </xf>
    <xf numFmtId="0" fontId="293" fillId="34" borderId="0" xfId="0" applyFont="1" applyFill="1" applyAlignment="1">
      <alignment horizontal="left" vertical="center"/>
    </xf>
    <xf numFmtId="0" fontId="4" fillId="0" borderId="4" xfId="0" applyFont="1" applyBorder="1" applyAlignment="1">
      <alignment horizontal="left" vertical="center" indent="1"/>
    </xf>
    <xf numFmtId="0" fontId="4" fillId="0" borderId="16" xfId="0" applyFont="1" applyBorder="1" applyAlignment="1">
      <alignment horizontal="left" vertical="center" indent="1"/>
    </xf>
    <xf numFmtId="0" fontId="4" fillId="0" borderId="20" xfId="0" applyFont="1" applyBorder="1" applyAlignment="1">
      <alignment horizontal="left" vertical="center" indent="1"/>
    </xf>
    <xf numFmtId="0" fontId="4" fillId="18" borderId="16" xfId="0" applyFont="1" applyFill="1" applyBorder="1" applyAlignment="1">
      <alignment horizontal="center" vertical="center"/>
    </xf>
    <xf numFmtId="0" fontId="41" fillId="0" borderId="40" xfId="0" applyFont="1" applyBorder="1" applyAlignment="1">
      <alignment vertical="center"/>
    </xf>
    <xf numFmtId="0" fontId="4" fillId="0" borderId="40" xfId="0" applyFont="1" applyBorder="1" applyAlignment="1">
      <alignment horizontal="left" vertical="center"/>
    </xf>
    <xf numFmtId="3" fontId="4" fillId="0" borderId="408" xfId="0" applyNumberFormat="1" applyFont="1" applyBorder="1" applyAlignment="1">
      <alignment horizontal="center" vertical="center"/>
    </xf>
    <xf numFmtId="0" fontId="4" fillId="0" borderId="408" xfId="0" applyFont="1" applyBorder="1" applyAlignment="1">
      <alignment horizontal="center" vertical="center"/>
    </xf>
    <xf numFmtId="0" fontId="7" fillId="0" borderId="408" xfId="0" applyFont="1" applyBorder="1" applyAlignment="1">
      <alignment horizontal="center" vertical="center"/>
    </xf>
    <xf numFmtId="0" fontId="49" fillId="0" borderId="2" xfId="0" applyFont="1" applyBorder="1" applyAlignment="1">
      <alignment vertical="center"/>
    </xf>
    <xf numFmtId="0" fontId="7" fillId="0" borderId="370" xfId="0" applyFont="1" applyBorder="1" applyAlignment="1">
      <alignment horizontal="centerContinuous" vertical="center"/>
    </xf>
    <xf numFmtId="0" fontId="7" fillId="13" borderId="408" xfId="0" applyFont="1" applyFill="1" applyBorder="1" applyAlignment="1">
      <alignment horizontal="center" vertical="center"/>
    </xf>
    <xf numFmtId="0" fontId="7" fillId="10" borderId="408" xfId="0" applyFont="1" applyFill="1" applyBorder="1" applyAlignment="1">
      <alignment horizontal="center" vertical="center"/>
    </xf>
    <xf numFmtId="0" fontId="7" fillId="6" borderId="408" xfId="0" applyFont="1" applyFill="1" applyBorder="1" applyAlignment="1">
      <alignment horizontal="center" vertical="center"/>
    </xf>
    <xf numFmtId="0" fontId="7" fillId="5" borderId="408" xfId="0" applyFont="1" applyFill="1" applyBorder="1" applyAlignment="1">
      <alignment horizontal="center" vertical="center"/>
    </xf>
    <xf numFmtId="0" fontId="7" fillId="9" borderId="408" xfId="0" applyFont="1" applyFill="1" applyBorder="1" applyAlignment="1">
      <alignment horizontal="center" vertical="center"/>
    </xf>
    <xf numFmtId="0" fontId="7" fillId="25" borderId="408" xfId="0" applyFont="1" applyFill="1" applyBorder="1" applyAlignment="1">
      <alignment horizontal="center" vertical="center"/>
    </xf>
    <xf numFmtId="0" fontId="4" fillId="17" borderId="408" xfId="0" applyFont="1" applyFill="1" applyBorder="1" applyAlignment="1">
      <alignment horizontal="center" vertical="center"/>
    </xf>
    <xf numFmtId="2" fontId="4" fillId="17" borderId="408" xfId="0" applyNumberFormat="1" applyFont="1" applyFill="1" applyBorder="1" applyAlignment="1">
      <alignment horizontal="center" vertical="center"/>
    </xf>
    <xf numFmtId="1" fontId="4" fillId="17" borderId="408" xfId="0" applyNumberFormat="1" applyFont="1" applyFill="1" applyBorder="1" applyAlignment="1">
      <alignment horizontal="center" vertical="center"/>
    </xf>
    <xf numFmtId="3" fontId="4" fillId="17" borderId="408" xfId="0" applyNumberFormat="1" applyFont="1" applyFill="1" applyBorder="1" applyAlignment="1">
      <alignment horizontal="center" vertical="center"/>
    </xf>
    <xf numFmtId="168" fontId="4" fillId="17" borderId="408" xfId="0" applyNumberFormat="1" applyFont="1" applyFill="1" applyBorder="1" applyAlignment="1">
      <alignment horizontal="center" vertical="center"/>
    </xf>
    <xf numFmtId="168" fontId="4" fillId="16" borderId="408" xfId="0" applyNumberFormat="1" applyFont="1" applyFill="1" applyBorder="1" applyAlignment="1">
      <alignment horizontal="center" vertical="center"/>
    </xf>
    <xf numFmtId="0" fontId="4" fillId="16" borderId="408" xfId="0" applyFont="1" applyFill="1" applyBorder="1" applyAlignment="1">
      <alignment horizontal="center" vertical="center"/>
    </xf>
    <xf numFmtId="4" fontId="4" fillId="17" borderId="408" xfId="0" applyNumberFormat="1" applyFont="1" applyFill="1" applyBorder="1" applyAlignment="1">
      <alignment horizontal="center" vertical="center"/>
    </xf>
    <xf numFmtId="168" fontId="156" fillId="17" borderId="408" xfId="0" applyNumberFormat="1" applyFont="1" applyFill="1" applyBorder="1" applyAlignment="1">
      <alignment horizontal="center" vertical="center"/>
    </xf>
    <xf numFmtId="0" fontId="156" fillId="16" borderId="408" xfId="0" applyFont="1" applyFill="1" applyBorder="1" applyAlignment="1">
      <alignment horizontal="center" vertical="center"/>
    </xf>
    <xf numFmtId="178" fontId="4" fillId="17" borderId="408" xfId="0" applyNumberFormat="1" applyFont="1" applyFill="1" applyBorder="1" applyAlignment="1">
      <alignment horizontal="center" vertical="center"/>
    </xf>
    <xf numFmtId="0" fontId="4" fillId="0" borderId="408" xfId="0" applyFont="1" applyBorder="1" applyAlignment="1">
      <alignment horizontal="left" vertical="center"/>
    </xf>
    <xf numFmtId="0" fontId="4" fillId="17" borderId="223" xfId="0" applyFont="1" applyFill="1" applyBorder="1" applyAlignment="1">
      <alignment horizontal="center" vertical="center"/>
    </xf>
    <xf numFmtId="2" fontId="4" fillId="17" borderId="223" xfId="0" applyNumberFormat="1" applyFont="1" applyFill="1" applyBorder="1" applyAlignment="1">
      <alignment horizontal="center" vertical="center"/>
    </xf>
    <xf numFmtId="1" fontId="4" fillId="17" borderId="209" xfId="0" applyNumberFormat="1" applyFont="1" applyFill="1" applyBorder="1" applyAlignment="1">
      <alignment horizontal="center" vertical="center"/>
    </xf>
    <xf numFmtId="0" fontId="4" fillId="17" borderId="399" xfId="0" applyFont="1" applyFill="1" applyBorder="1" applyAlignment="1">
      <alignment horizontal="center" vertical="center"/>
    </xf>
    <xf numFmtId="0" fontId="4" fillId="17" borderId="396" xfId="0" applyFont="1" applyFill="1" applyBorder="1" applyAlignment="1">
      <alignment horizontal="center" vertical="center"/>
    </xf>
    <xf numFmtId="170" fontId="4" fillId="0" borderId="399" xfId="0" applyNumberFormat="1" applyFont="1" applyBorder="1" applyAlignment="1">
      <alignment horizontal="center" vertical="center"/>
    </xf>
    <xf numFmtId="169" fontId="4" fillId="17" borderId="18" xfId="0" applyNumberFormat="1" applyFont="1" applyFill="1" applyBorder="1" applyAlignment="1">
      <alignment horizontal="center" vertical="center"/>
    </xf>
    <xf numFmtId="169" fontId="4" fillId="17" borderId="244" xfId="0" applyNumberFormat="1" applyFont="1" applyFill="1" applyBorder="1" applyAlignment="1">
      <alignment horizontal="center" vertical="center"/>
    </xf>
    <xf numFmtId="169" fontId="4" fillId="17" borderId="20" xfId="0" applyNumberFormat="1" applyFont="1" applyFill="1" applyBorder="1" applyAlignment="1">
      <alignment horizontal="center" vertical="center"/>
    </xf>
    <xf numFmtId="173" fontId="4" fillId="17" borderId="408" xfId="0" applyNumberFormat="1" applyFont="1" applyFill="1" applyBorder="1" applyAlignment="1">
      <alignment horizontal="center" vertical="center"/>
    </xf>
    <xf numFmtId="170" fontId="11" fillId="0" borderId="399" xfId="0" applyNumberFormat="1" applyFont="1" applyBorder="1" applyAlignment="1">
      <alignment horizontal="center" vertical="center"/>
    </xf>
    <xf numFmtId="167" fontId="4" fillId="0" borderId="354" xfId="0" applyNumberFormat="1" applyFont="1" applyBorder="1" applyAlignment="1">
      <alignment horizontal="center" vertical="center"/>
    </xf>
    <xf numFmtId="168" fontId="294" fillId="17" borderId="409" xfId="0" applyNumberFormat="1" applyFont="1" applyFill="1" applyBorder="1" applyAlignment="1">
      <alignment horizontal="center" vertical="center"/>
    </xf>
    <xf numFmtId="166" fontId="0" fillId="0" borderId="384" xfId="0" applyNumberFormat="1" applyBorder="1" applyAlignment="1">
      <alignment horizontal="center" vertical="center"/>
    </xf>
    <xf numFmtId="0" fontId="4" fillId="0" borderId="409" xfId="0" applyFont="1" applyBorder="1" applyAlignment="1">
      <alignment horizontal="left" vertical="center"/>
    </xf>
    <xf numFmtId="0" fontId="4" fillId="0" borderId="409" xfId="0" applyFont="1" applyBorder="1" applyAlignment="1">
      <alignment horizontal="center" vertical="center" wrapText="1"/>
    </xf>
    <xf numFmtId="0" fontId="4" fillId="0" borderId="409" xfId="0" applyFont="1" applyBorder="1" applyAlignment="1">
      <alignment horizontal="center" vertical="center"/>
    </xf>
    <xf numFmtId="170" fontId="4" fillId="0" borderId="409" xfId="0" applyNumberFormat="1" applyFont="1" applyBorder="1" applyAlignment="1">
      <alignment horizontal="center" vertical="center"/>
    </xf>
    <xf numFmtId="167" fontId="4" fillId="0" borderId="409" xfId="0" applyNumberFormat="1" applyFont="1" applyBorder="1" applyAlignment="1">
      <alignment horizontal="center" vertical="center"/>
    </xf>
    <xf numFmtId="0" fontId="4" fillId="7" borderId="409" xfId="0" applyFont="1" applyFill="1" applyBorder="1" applyAlignment="1">
      <alignment horizontal="center" vertical="center"/>
    </xf>
    <xf numFmtId="167" fontId="4" fillId="0" borderId="337" xfId="0" applyNumberFormat="1" applyFont="1" applyBorder="1" applyAlignment="1">
      <alignment horizontal="center" vertical="center"/>
    </xf>
    <xf numFmtId="0" fontId="180" fillId="18" borderId="0" xfId="0" applyFont="1" applyFill="1"/>
    <xf numFmtId="49" fontId="2" fillId="0" borderId="40" xfId="0" applyNumberFormat="1" applyFont="1" applyBorder="1" applyAlignment="1">
      <alignment vertical="center" wrapText="1"/>
    </xf>
    <xf numFmtId="43" fontId="109" fillId="0" borderId="0" xfId="5" applyFont="1" applyAlignment="1" applyProtection="1">
      <alignment wrapText="1"/>
      <protection locked="0"/>
    </xf>
    <xf numFmtId="0" fontId="7" fillId="10" borderId="2" xfId="0" applyFont="1" applyFill="1" applyBorder="1" applyAlignment="1">
      <alignment horizontal="right" vertical="center"/>
    </xf>
    <xf numFmtId="0" fontId="20" fillId="24" borderId="47" xfId="0" applyFont="1" applyFill="1" applyBorder="1" applyAlignment="1">
      <alignment horizontal="right" vertical="center"/>
    </xf>
    <xf numFmtId="0" fontId="49" fillId="0" borderId="404" xfId="0" applyFont="1" applyBorder="1" applyAlignment="1">
      <alignment horizontal="center" vertical="center"/>
    </xf>
    <xf numFmtId="0" fontId="7" fillId="0" borderId="401" xfId="0" applyFont="1" applyBorder="1" applyAlignment="1">
      <alignment horizontal="center" vertical="center"/>
    </xf>
    <xf numFmtId="0" fontId="49" fillId="0" borderId="401" xfId="0" applyFont="1" applyBorder="1" applyAlignment="1">
      <alignment horizontal="center" vertical="center"/>
    </xf>
    <xf numFmtId="0" fontId="20" fillId="0" borderId="246" xfId="0" applyFont="1" applyBorder="1" applyAlignment="1">
      <alignment horizontal="center" vertical="center"/>
    </xf>
    <xf numFmtId="0" fontId="0" fillId="17" borderId="210" xfId="0" applyFill="1" applyBorder="1" applyAlignment="1">
      <alignment vertical="center"/>
    </xf>
    <xf numFmtId="169" fontId="156" fillId="17" borderId="113" xfId="0" applyNumberFormat="1" applyFont="1" applyFill="1" applyBorder="1" applyAlignment="1">
      <alignment horizontal="center" vertical="center"/>
    </xf>
    <xf numFmtId="0" fontId="4" fillId="0" borderId="318" xfId="0" applyFont="1" applyBorder="1" applyAlignment="1">
      <alignment vertical="center"/>
    </xf>
    <xf numFmtId="0" fontId="4" fillId="0" borderId="409" xfId="0" applyFont="1" applyBorder="1" applyAlignment="1">
      <alignment vertical="center"/>
    </xf>
    <xf numFmtId="0" fontId="7" fillId="18" borderId="4" xfId="0" applyFont="1" applyFill="1" applyBorder="1" applyAlignment="1">
      <alignment horizontal="center" vertical="center"/>
    </xf>
    <xf numFmtId="0" fontId="7" fillId="18" borderId="16" xfId="0" applyFont="1" applyFill="1" applyBorder="1" applyAlignment="1">
      <alignment horizontal="center" vertical="center"/>
    </xf>
    <xf numFmtId="0" fontId="7" fillId="18" borderId="20" xfId="0" applyFont="1" applyFill="1" applyBorder="1" applyAlignment="1">
      <alignment horizontal="center" vertical="center"/>
    </xf>
    <xf numFmtId="0" fontId="156" fillId="18" borderId="12" xfId="0" applyFont="1" applyFill="1" applyBorder="1" applyAlignment="1">
      <alignment horizontal="center" vertical="center"/>
    </xf>
    <xf numFmtId="0" fontId="4" fillId="18" borderId="4" xfId="0" applyFont="1" applyFill="1" applyBorder="1" applyAlignment="1">
      <alignment horizontal="center" vertical="center"/>
    </xf>
    <xf numFmtId="0" fontId="4" fillId="18" borderId="20" xfId="0" applyFont="1" applyFill="1" applyBorder="1" applyAlignment="1">
      <alignment horizontal="center" vertical="center"/>
    </xf>
    <xf numFmtId="0" fontId="4" fillId="0" borderId="354" xfId="0" applyFont="1" applyBorder="1" applyAlignment="1">
      <alignment vertical="center"/>
    </xf>
    <xf numFmtId="0" fontId="4" fillId="7" borderId="378" xfId="0" applyFont="1" applyFill="1" applyBorder="1" applyAlignment="1">
      <alignment horizontal="center" vertical="center"/>
    </xf>
    <xf numFmtId="0" fontId="0" fillId="0" borderId="409" xfId="0" applyBorder="1" applyAlignment="1">
      <alignment horizontal="center"/>
    </xf>
    <xf numFmtId="0" fontId="4" fillId="0" borderId="349" xfId="0" applyFont="1" applyBorder="1" applyAlignment="1">
      <alignment vertical="center"/>
    </xf>
    <xf numFmtId="0" fontId="4" fillId="0" borderId="325" xfId="0" applyFont="1" applyBorder="1" applyAlignment="1">
      <alignment horizontal="left" vertical="center"/>
    </xf>
    <xf numFmtId="0" fontId="4" fillId="0" borderId="298" xfId="0" applyFont="1" applyBorder="1" applyAlignment="1">
      <alignment vertical="center"/>
    </xf>
    <xf numFmtId="167" fontId="4" fillId="0" borderId="353" xfId="0" applyNumberFormat="1" applyFont="1" applyBorder="1" applyAlignment="1">
      <alignment horizontal="center" vertical="center"/>
    </xf>
    <xf numFmtId="0" fontId="156" fillId="0" borderId="12" xfId="0" applyFont="1" applyBorder="1" applyAlignment="1">
      <alignment horizontal="center" vertical="center"/>
    </xf>
    <xf numFmtId="0" fontId="146" fillId="0" borderId="16" xfId="0" applyFont="1" applyBorder="1" applyAlignment="1">
      <alignment horizontal="center" vertical="center"/>
    </xf>
    <xf numFmtId="0" fontId="4" fillId="35" borderId="0" xfId="0" applyFont="1" applyFill="1" applyAlignment="1">
      <alignment vertical="center"/>
    </xf>
    <xf numFmtId="0" fontId="4" fillId="35" borderId="0" xfId="0" applyFont="1" applyFill="1" applyAlignment="1">
      <alignment horizontal="center" vertical="center"/>
    </xf>
    <xf numFmtId="169" fontId="4" fillId="35" borderId="410" xfId="0" applyNumberFormat="1" applyFont="1" applyFill="1" applyBorder="1" applyAlignment="1">
      <alignment horizontal="center" vertical="center"/>
    </xf>
    <xf numFmtId="165" fontId="7" fillId="37" borderId="4" xfId="0" applyNumberFormat="1" applyFont="1" applyFill="1" applyBorder="1" applyAlignment="1">
      <alignment horizontal="center" vertical="center"/>
    </xf>
    <xf numFmtId="0" fontId="4" fillId="0" borderId="384" xfId="0" applyFont="1" applyBorder="1" applyAlignment="1" applyProtection="1">
      <alignment horizontal="center" vertical="center" wrapText="1"/>
      <protection locked="0"/>
    </xf>
    <xf numFmtId="167" fontId="4" fillId="35" borderId="410" xfId="0" applyNumberFormat="1" applyFont="1" applyFill="1" applyBorder="1" applyAlignment="1">
      <alignment horizontal="center" vertical="center"/>
    </xf>
    <xf numFmtId="166" fontId="7" fillId="53" borderId="20" xfId="0" applyNumberFormat="1" applyFont="1" applyFill="1" applyBorder="1" applyAlignment="1">
      <alignment horizontal="center" vertical="center"/>
    </xf>
    <xf numFmtId="173" fontId="7" fillId="17" borderId="18" xfId="0" applyNumberFormat="1" applyFont="1" applyFill="1" applyBorder="1" applyAlignment="1">
      <alignment horizontal="center" vertical="center"/>
    </xf>
    <xf numFmtId="172" fontId="7" fillId="17" borderId="244" xfId="0" applyNumberFormat="1" applyFont="1" applyFill="1" applyBorder="1" applyAlignment="1">
      <alignment horizontal="center" vertical="center"/>
    </xf>
    <xf numFmtId="0" fontId="4" fillId="0" borderId="410" xfId="0" applyFont="1" applyBorder="1" applyAlignment="1">
      <alignment horizontal="left" vertical="center"/>
    </xf>
    <xf numFmtId="0" fontId="4" fillId="0" borderId="410" xfId="0" applyFont="1" applyBorder="1" applyAlignment="1">
      <alignment horizontal="center" vertical="center" wrapText="1"/>
    </xf>
    <xf numFmtId="0" fontId="4" fillId="0" borderId="410" xfId="0" applyFont="1" applyBorder="1" applyAlignment="1">
      <alignment horizontal="center" vertical="center"/>
    </xf>
    <xf numFmtId="170" fontId="4" fillId="0" borderId="410" xfId="0" applyNumberFormat="1" applyFont="1" applyBorder="1" applyAlignment="1">
      <alignment horizontal="center" vertical="center"/>
    </xf>
    <xf numFmtId="167" fontId="4" fillId="0" borderId="410" xfId="0" applyNumberFormat="1" applyFont="1" applyBorder="1" applyAlignment="1">
      <alignment horizontal="center" vertical="center"/>
    </xf>
    <xf numFmtId="0" fontId="4" fillId="0" borderId="319" xfId="0" applyFont="1" applyBorder="1" applyAlignment="1">
      <alignment horizontal="left" vertical="center"/>
    </xf>
    <xf numFmtId="0" fontId="4" fillId="0" borderId="289" xfId="0" applyFont="1" applyBorder="1" applyAlignment="1">
      <alignment horizontal="left" vertical="center"/>
    </xf>
    <xf numFmtId="0" fontId="4" fillId="0" borderId="410" xfId="0" applyFont="1" applyBorder="1" applyAlignment="1">
      <alignment vertical="center"/>
    </xf>
    <xf numFmtId="0" fontId="122" fillId="0" borderId="410" xfId="0" applyFont="1" applyBorder="1" applyAlignment="1">
      <alignment horizontal="left" vertical="center"/>
    </xf>
    <xf numFmtId="0" fontId="102" fillId="0" borderId="410" xfId="0" applyFont="1" applyBorder="1" applyAlignment="1">
      <alignment horizontal="left" vertical="center"/>
    </xf>
    <xf numFmtId="0" fontId="4" fillId="0" borderId="410" xfId="2" applyFont="1" applyBorder="1" applyAlignment="1">
      <alignment horizontal="center" vertical="center" wrapText="1"/>
    </xf>
    <xf numFmtId="0" fontId="4" fillId="0" borderId="409" xfId="3" applyFont="1" applyBorder="1" applyAlignment="1">
      <alignment horizontal="center" vertical="center" wrapText="1"/>
    </xf>
    <xf numFmtId="0" fontId="4" fillId="0" borderId="395" xfId="2" applyFont="1" applyBorder="1" applyAlignment="1">
      <alignment horizontal="center" vertical="center" wrapText="1"/>
    </xf>
    <xf numFmtId="0" fontId="4" fillId="7" borderId="410" xfId="0" applyFont="1" applyFill="1" applyBorder="1" applyAlignment="1">
      <alignment horizontal="center" vertical="center"/>
    </xf>
    <xf numFmtId="0" fontId="4" fillId="7" borderId="323" xfId="0" applyFont="1" applyFill="1" applyBorder="1" applyAlignment="1">
      <alignment horizontal="center" vertical="center"/>
    </xf>
    <xf numFmtId="0" fontId="0" fillId="0" borderId="410" xfId="0" applyBorder="1" applyAlignment="1">
      <alignment horizontal="center"/>
    </xf>
    <xf numFmtId="167" fontId="4" fillId="0" borderId="356" xfId="0" applyNumberFormat="1" applyFont="1" applyBorder="1" applyAlignment="1">
      <alignment horizontal="center" vertical="center"/>
    </xf>
    <xf numFmtId="167" fontId="4" fillId="0" borderId="283" xfId="0" applyNumberFormat="1" applyFont="1" applyBorder="1" applyAlignment="1">
      <alignment horizontal="center" vertical="center"/>
    </xf>
    <xf numFmtId="0" fontId="4" fillId="31" borderId="410" xfId="0" applyFont="1" applyFill="1" applyBorder="1" applyAlignment="1">
      <alignment horizontal="center" vertical="center"/>
    </xf>
    <xf numFmtId="0" fontId="0" fillId="0" borderId="409" xfId="0" applyBorder="1"/>
    <xf numFmtId="0" fontId="134" fillId="17" borderId="0" xfId="0" applyFont="1" applyFill="1" applyAlignment="1">
      <alignment vertical="center"/>
    </xf>
    <xf numFmtId="0" fontId="7" fillId="0" borderId="332" xfId="0" applyFont="1" applyBorder="1" applyAlignment="1">
      <alignment horizontal="center" vertical="center" wrapText="1"/>
    </xf>
    <xf numFmtId="0" fontId="4" fillId="0" borderId="353" xfId="0" applyFont="1" applyBorder="1" applyAlignment="1">
      <alignment vertical="center"/>
    </xf>
    <xf numFmtId="0" fontId="0" fillId="0" borderId="358" xfId="0" applyBorder="1" applyAlignment="1">
      <alignment horizontal="center"/>
    </xf>
    <xf numFmtId="0" fontId="4" fillId="0" borderId="411" xfId="0" applyFont="1" applyBorder="1" applyAlignment="1">
      <alignment horizontal="left" vertical="center"/>
    </xf>
    <xf numFmtId="0" fontId="4" fillId="0" borderId="411" xfId="0" applyFont="1" applyBorder="1" applyAlignment="1">
      <alignment horizontal="center" vertical="center" wrapText="1"/>
    </xf>
    <xf numFmtId="0" fontId="4" fillId="0" borderId="411" xfId="0" applyFont="1" applyBorder="1" applyAlignment="1">
      <alignment horizontal="center" vertical="center"/>
    </xf>
    <xf numFmtId="170" fontId="4" fillId="0" borderId="411" xfId="0" applyNumberFormat="1" applyFont="1" applyBorder="1" applyAlignment="1">
      <alignment horizontal="center" vertical="center"/>
    </xf>
    <xf numFmtId="167" fontId="4" fillId="0" borderId="411" xfId="0" applyNumberFormat="1" applyFont="1" applyBorder="1" applyAlignment="1">
      <alignment horizontal="center" vertical="center"/>
    </xf>
    <xf numFmtId="0" fontId="4" fillId="0" borderId="378" xfId="0" applyFont="1" applyBorder="1" applyAlignment="1">
      <alignment horizontal="left" vertical="center"/>
    </xf>
    <xf numFmtId="0" fontId="4" fillId="0" borderId="268" xfId="0" applyFont="1" applyBorder="1" applyAlignment="1">
      <alignment horizontal="left" vertical="center"/>
    </xf>
    <xf numFmtId="167" fontId="4" fillId="0" borderId="325" xfId="0" applyNumberFormat="1" applyFont="1" applyBorder="1" applyAlignment="1">
      <alignment horizontal="center" vertical="center"/>
    </xf>
    <xf numFmtId="0" fontId="4" fillId="0" borderId="282" xfId="0" applyFont="1" applyBorder="1" applyAlignment="1">
      <alignment horizontal="left" vertical="center"/>
    </xf>
    <xf numFmtId="0" fontId="4" fillId="0" borderId="337" xfId="0" applyFont="1" applyBorder="1" applyAlignment="1">
      <alignment horizontal="left" vertical="center"/>
    </xf>
    <xf numFmtId="0" fontId="4" fillId="0" borderId="368" xfId="3" applyFont="1" applyBorder="1" applyAlignment="1">
      <alignment horizontal="center" vertical="center" wrapText="1"/>
    </xf>
    <xf numFmtId="11" fontId="4" fillId="0" borderId="410" xfId="0" applyNumberFormat="1" applyFont="1" applyBorder="1" applyAlignment="1">
      <alignment horizontal="center" vertical="center"/>
    </xf>
    <xf numFmtId="0" fontId="4" fillId="0" borderId="358" xfId="0" applyFont="1" applyBorder="1" applyAlignment="1">
      <alignment vertical="center"/>
    </xf>
    <xf numFmtId="0" fontId="4" fillId="0" borderId="283" xfId="0" applyFont="1" applyBorder="1" applyAlignment="1">
      <alignment horizontal="center" vertical="center" wrapText="1"/>
    </xf>
    <xf numFmtId="0" fontId="4" fillId="7" borderId="411" xfId="0" applyFont="1" applyFill="1" applyBorder="1" applyAlignment="1">
      <alignment horizontal="center" vertical="center"/>
    </xf>
    <xf numFmtId="0" fontId="4" fillId="0" borderId="395" xfId="0" applyFont="1" applyBorder="1" applyAlignment="1">
      <alignment vertical="center"/>
    </xf>
    <xf numFmtId="0" fontId="4" fillId="0" borderId="372" xfId="0" applyFont="1" applyBorder="1" applyAlignment="1">
      <alignment vertical="center"/>
    </xf>
    <xf numFmtId="0" fontId="4" fillId="0" borderId="356" xfId="0" applyFont="1" applyBorder="1" applyAlignment="1">
      <alignment vertical="center"/>
    </xf>
    <xf numFmtId="0" fontId="4" fillId="0" borderId="354" xfId="0" applyFont="1" applyBorder="1" applyAlignment="1">
      <alignment horizontal="left" vertical="center"/>
    </xf>
    <xf numFmtId="0" fontId="4" fillId="0" borderId="358" xfId="0" applyFont="1" applyBorder="1" applyAlignment="1">
      <alignment horizontal="center" vertical="center" wrapText="1"/>
    </xf>
    <xf numFmtId="0" fontId="4" fillId="7" borderId="354" xfId="0" applyFont="1" applyFill="1" applyBorder="1" applyAlignment="1">
      <alignment horizontal="center" vertical="center"/>
    </xf>
    <xf numFmtId="0" fontId="0" fillId="0" borderId="368" xfId="0" applyBorder="1" applyAlignment="1">
      <alignment horizontal="center"/>
    </xf>
    <xf numFmtId="167" fontId="4" fillId="0" borderId="317" xfId="0" applyNumberFormat="1" applyFont="1" applyBorder="1" applyAlignment="1">
      <alignment horizontal="center" vertical="center"/>
    </xf>
    <xf numFmtId="167" fontId="4" fillId="0" borderId="282" xfId="0" applyNumberFormat="1" applyFont="1" applyBorder="1" applyAlignment="1">
      <alignment horizontal="center" vertical="center"/>
    </xf>
    <xf numFmtId="0" fontId="102" fillId="0" borderId="368" xfId="0" applyFont="1" applyBorder="1" applyAlignment="1">
      <alignment horizontal="left" vertical="center"/>
    </xf>
    <xf numFmtId="0" fontId="4" fillId="0" borderId="323" xfId="0" applyFont="1" applyBorder="1" applyAlignment="1">
      <alignment horizontal="center" vertical="center" wrapText="1"/>
    </xf>
    <xf numFmtId="0" fontId="4" fillId="0" borderId="315" xfId="0" applyFont="1" applyBorder="1" applyAlignment="1">
      <alignment horizontal="center" vertical="center" wrapText="1"/>
    </xf>
    <xf numFmtId="0" fontId="4" fillId="7" borderId="356" xfId="0" applyFont="1" applyFill="1" applyBorder="1" applyAlignment="1">
      <alignment horizontal="center" vertical="center"/>
    </xf>
    <xf numFmtId="0" fontId="0" fillId="0" borderId="323" xfId="0" applyBorder="1"/>
    <xf numFmtId="0" fontId="4" fillId="0" borderId="317" xfId="0" applyFont="1" applyBorder="1" applyAlignment="1">
      <alignment horizontal="left" vertical="center"/>
    </xf>
    <xf numFmtId="0" fontId="122" fillId="0" borderId="298" xfId="0" applyFont="1" applyBorder="1" applyAlignment="1">
      <alignment horizontal="left" vertical="center"/>
    </xf>
    <xf numFmtId="0" fontId="4" fillId="0" borderId="319" xfId="0" applyFont="1" applyBorder="1" applyAlignment="1">
      <alignment horizontal="center" vertical="center" wrapText="1"/>
    </xf>
    <xf numFmtId="0" fontId="4" fillId="0" borderId="289" xfId="0" applyFont="1" applyBorder="1" applyAlignment="1">
      <alignment horizontal="center" vertical="center" wrapText="1"/>
    </xf>
    <xf numFmtId="0" fontId="4" fillId="31" borderId="298" xfId="0" applyFont="1" applyFill="1" applyBorder="1" applyAlignment="1">
      <alignment horizontal="center" vertical="center"/>
    </xf>
    <xf numFmtId="167" fontId="4" fillId="0" borderId="319" xfId="0" applyNumberFormat="1" applyFont="1" applyBorder="1" applyAlignment="1">
      <alignment horizontal="center" vertical="center"/>
    </xf>
    <xf numFmtId="167" fontId="4" fillId="0" borderId="289" xfId="0" applyNumberFormat="1" applyFont="1" applyBorder="1" applyAlignment="1">
      <alignment horizontal="center" vertical="center"/>
    </xf>
    <xf numFmtId="0" fontId="122" fillId="17" borderId="368" xfId="0" applyFont="1" applyFill="1" applyBorder="1" applyAlignment="1">
      <alignment horizontal="left" vertical="center"/>
    </xf>
    <xf numFmtId="0" fontId="4" fillId="0" borderId="356" xfId="0" applyFont="1" applyBorder="1" applyAlignment="1">
      <alignment horizontal="left" vertical="center"/>
    </xf>
    <xf numFmtId="0" fontId="4" fillId="0" borderId="337" xfId="0" applyFont="1" applyBorder="1" applyAlignment="1">
      <alignment vertical="center"/>
    </xf>
    <xf numFmtId="0" fontId="4" fillId="0" borderId="335" xfId="0" applyFont="1" applyBorder="1" applyAlignment="1">
      <alignment horizontal="left" vertical="center"/>
    </xf>
    <xf numFmtId="0" fontId="4" fillId="0" borderId="308" xfId="0" applyFont="1" applyBorder="1" applyAlignment="1">
      <alignment vertical="center"/>
    </xf>
    <xf numFmtId="0" fontId="4" fillId="0" borderId="303" xfId="0" applyFont="1" applyBorder="1" applyAlignment="1">
      <alignment horizontal="left" vertical="center"/>
    </xf>
    <xf numFmtId="0" fontId="4" fillId="0" borderId="408" xfId="0" applyFont="1" applyBorder="1" applyAlignment="1">
      <alignment horizontal="center" vertical="center" wrapText="1"/>
    </xf>
    <xf numFmtId="0" fontId="4" fillId="0" borderId="356" xfId="0" applyFont="1" applyBorder="1" applyAlignment="1">
      <alignment horizontal="center" vertical="center" wrapText="1"/>
    </xf>
    <xf numFmtId="0" fontId="4" fillId="0" borderId="317" xfId="0" applyFont="1" applyBorder="1" applyAlignment="1">
      <alignment horizontal="center" vertical="center" wrapText="1"/>
    </xf>
    <xf numFmtId="0" fontId="4" fillId="0" borderId="325" xfId="0" applyFont="1" applyBorder="1" applyAlignment="1">
      <alignment horizontal="center" vertical="center" wrapText="1"/>
    </xf>
    <xf numFmtId="0" fontId="4" fillId="0" borderId="294" xfId="0" applyFont="1" applyBorder="1" applyAlignment="1">
      <alignment horizontal="center" vertical="center" wrapText="1"/>
    </xf>
    <xf numFmtId="0" fontId="4" fillId="7" borderId="335" xfId="0" applyFont="1" applyFill="1" applyBorder="1" applyAlignment="1">
      <alignment horizontal="center" vertical="center"/>
    </xf>
    <xf numFmtId="0" fontId="4" fillId="7" borderId="315" xfId="0" applyFont="1" applyFill="1" applyBorder="1" applyAlignment="1">
      <alignment horizontal="center" vertical="center"/>
    </xf>
    <xf numFmtId="0" fontId="4" fillId="7" borderId="303" xfId="0" applyFont="1" applyFill="1" applyBorder="1" applyAlignment="1">
      <alignment horizontal="center" vertical="center"/>
    </xf>
    <xf numFmtId="0" fontId="4" fillId="7" borderId="268" xfId="0" applyFont="1" applyFill="1" applyBorder="1" applyAlignment="1">
      <alignment horizontal="center" vertical="center"/>
    </xf>
    <xf numFmtId="170" fontId="4" fillId="0" borderId="408" xfId="0" applyNumberFormat="1" applyFont="1" applyBorder="1" applyAlignment="1">
      <alignment horizontal="center" vertical="center"/>
    </xf>
    <xf numFmtId="170" fontId="4" fillId="0" borderId="383" xfId="0" applyNumberFormat="1" applyFont="1" applyBorder="1" applyAlignment="1">
      <alignment horizontal="center" vertical="center"/>
    </xf>
    <xf numFmtId="0" fontId="4" fillId="0" borderId="302" xfId="0" applyFont="1" applyBorder="1" applyAlignment="1">
      <alignment vertical="center"/>
    </xf>
    <xf numFmtId="167" fontId="4" fillId="0" borderId="408" xfId="0" applyNumberFormat="1" applyFont="1" applyBorder="1" applyAlignment="1">
      <alignment horizontal="center" vertical="center"/>
    </xf>
    <xf numFmtId="167" fontId="4" fillId="0" borderId="383" xfId="0" applyNumberFormat="1" applyFont="1" applyBorder="1" applyAlignment="1">
      <alignment horizontal="center" vertical="center"/>
    </xf>
    <xf numFmtId="167" fontId="4" fillId="0" borderId="294" xfId="0" applyNumberFormat="1" applyFont="1" applyBorder="1" applyAlignment="1">
      <alignment horizontal="center" vertical="center"/>
    </xf>
    <xf numFmtId="0" fontId="4" fillId="31" borderId="368" xfId="0" applyFont="1" applyFill="1" applyBorder="1" applyAlignment="1">
      <alignment horizontal="center" vertical="center"/>
    </xf>
    <xf numFmtId="0" fontId="4" fillId="20" borderId="289" xfId="0" applyFont="1" applyFill="1" applyBorder="1" applyAlignment="1">
      <alignment horizontal="center" vertical="center"/>
    </xf>
    <xf numFmtId="0" fontId="4" fillId="0" borderId="412" xfId="0" applyFont="1" applyBorder="1" applyAlignment="1">
      <alignment horizontal="center" vertical="center" wrapText="1"/>
    </xf>
    <xf numFmtId="0" fontId="4" fillId="0" borderId="413" xfId="0" applyFont="1" applyBorder="1" applyAlignment="1">
      <alignment horizontal="center" vertical="center" wrapText="1"/>
    </xf>
    <xf numFmtId="0" fontId="4" fillId="0" borderId="413" xfId="0" applyFont="1" applyBorder="1" applyAlignment="1">
      <alignment horizontal="center" vertical="center"/>
    </xf>
    <xf numFmtId="0" fontId="4" fillId="0" borderId="414" xfId="0" applyFont="1" applyBorder="1" applyAlignment="1">
      <alignment horizontal="center" vertical="center" wrapText="1"/>
    </xf>
    <xf numFmtId="0" fontId="199" fillId="0" borderId="0" xfId="0" applyFont="1" applyAlignment="1">
      <alignment horizontal="justify" vertical="center"/>
    </xf>
    <xf numFmtId="0" fontId="0" fillId="0" borderId="0" xfId="0"/>
    <xf numFmtId="0" fontId="269" fillId="0" borderId="0" xfId="0" applyFont="1" applyAlignment="1">
      <alignment vertical="top" wrapText="1"/>
    </xf>
    <xf numFmtId="0" fontId="268" fillId="0" borderId="0" xfId="0" applyFont="1" applyAlignment="1">
      <alignment vertical="top" wrapText="1"/>
    </xf>
    <xf numFmtId="0" fontId="85" fillId="7" borderId="0" xfId="0" applyFont="1" applyFill="1" applyAlignment="1">
      <alignment vertical="top" wrapText="1"/>
    </xf>
    <xf numFmtId="0" fontId="70" fillId="0" borderId="0" xfId="0" applyFont="1" applyAlignment="1">
      <alignment vertical="top" wrapText="1"/>
    </xf>
    <xf numFmtId="0" fontId="267" fillId="7" borderId="0" xfId="0" applyFont="1" applyFill="1" applyAlignment="1">
      <alignment horizontal="center" vertical="center"/>
    </xf>
    <xf numFmtId="0" fontId="268" fillId="0" borderId="0" xfId="0" applyFont="1"/>
    <xf numFmtId="0" fontId="245" fillId="7" borderId="0" xfId="0" applyFont="1" applyFill="1" applyAlignment="1">
      <alignment horizontal="center" vertical="center"/>
    </xf>
    <xf numFmtId="0" fontId="244" fillId="0" borderId="0" xfId="0" applyFont="1"/>
    <xf numFmtId="0" fontId="246" fillId="7" borderId="0" xfId="0" applyFont="1" applyFill="1" applyAlignment="1">
      <alignment horizontal="center" vertical="center"/>
    </xf>
    <xf numFmtId="0" fontId="244" fillId="0" borderId="0" xfId="0" applyFont="1" applyAlignment="1">
      <alignment horizontal="center" vertical="center"/>
    </xf>
    <xf numFmtId="0" fontId="5" fillId="7" borderId="0" xfId="0" applyFont="1" applyFill="1" applyAlignment="1">
      <alignment horizontal="left" wrapText="1"/>
    </xf>
    <xf numFmtId="0" fontId="4" fillId="0" borderId="0" xfId="0" applyFont="1" applyAlignment="1">
      <alignment wrapText="1"/>
    </xf>
    <xf numFmtId="0" fontId="247" fillId="7" borderId="0" xfId="0" applyFont="1" applyFill="1" applyAlignment="1">
      <alignment horizontal="center"/>
    </xf>
    <xf numFmtId="0" fontId="248" fillId="18" borderId="0" xfId="0" applyFont="1" applyFill="1" applyAlignment="1">
      <alignment horizontal="center" vertical="center"/>
    </xf>
    <xf numFmtId="0" fontId="265" fillId="27" borderId="261" xfId="0" applyFont="1" applyFill="1" applyBorder="1" applyAlignment="1">
      <alignment horizontal="center" vertical="center"/>
    </xf>
    <xf numFmtId="0" fontId="256" fillId="7" borderId="114" xfId="0" applyFont="1" applyFill="1" applyBorder="1" applyAlignment="1" applyProtection="1">
      <alignment horizontal="left" vertical="center"/>
      <protection locked="0"/>
    </xf>
    <xf numFmtId="0" fontId="256" fillId="0" borderId="121" xfId="0" applyFont="1" applyBorder="1" applyAlignment="1" applyProtection="1">
      <alignment horizontal="left" vertical="center"/>
      <protection locked="0"/>
    </xf>
    <xf numFmtId="0" fontId="257" fillId="0" borderId="118" xfId="0" applyFont="1" applyBorder="1" applyAlignment="1">
      <alignment horizontal="left"/>
    </xf>
    <xf numFmtId="0" fontId="262" fillId="18" borderId="0" xfId="0" applyFont="1" applyFill="1" applyAlignment="1">
      <alignment horizontal="center"/>
    </xf>
    <xf numFmtId="0" fontId="263" fillId="18" borderId="0" xfId="0" applyFont="1" applyFill="1" applyAlignment="1">
      <alignment horizontal="center"/>
    </xf>
    <xf numFmtId="0" fontId="259" fillId="7" borderId="114" xfId="0" applyFont="1" applyFill="1" applyBorder="1" applyAlignment="1" applyProtection="1">
      <alignment horizontal="left" vertical="center"/>
      <protection locked="0"/>
    </xf>
    <xf numFmtId="0" fontId="259" fillId="0" borderId="121" xfId="0" applyFont="1" applyBorder="1" applyAlignment="1" applyProtection="1">
      <alignment horizontal="left" vertical="center"/>
      <protection locked="0"/>
    </xf>
    <xf numFmtId="0" fontId="260" fillId="0" borderId="118" xfId="0" applyFont="1" applyBorder="1" applyAlignment="1" applyProtection="1">
      <alignment horizontal="left"/>
      <protection locked="0"/>
    </xf>
    <xf numFmtId="0" fontId="259" fillId="17" borderId="113" xfId="0" applyFont="1" applyFill="1" applyBorder="1" applyAlignment="1" applyProtection="1">
      <alignment horizontal="left" vertical="center"/>
      <protection locked="0"/>
    </xf>
    <xf numFmtId="0" fontId="19" fillId="7" borderId="113" xfId="0" applyFont="1" applyFill="1" applyBorder="1" applyAlignment="1" applyProtection="1">
      <alignment horizontal="left" vertical="center"/>
      <protection locked="0"/>
    </xf>
    <xf numFmtId="0" fontId="259" fillId="7" borderId="113" xfId="0" applyFont="1" applyFill="1" applyBorder="1" applyAlignment="1" applyProtection="1">
      <alignment horizontal="left" vertical="center"/>
      <protection locked="0"/>
    </xf>
    <xf numFmtId="0" fontId="250" fillId="18" borderId="0" xfId="0" applyFont="1" applyFill="1" applyAlignment="1">
      <alignment horizontal="center" vertical="center"/>
    </xf>
    <xf numFmtId="0" fontId="261" fillId="17" borderId="252" xfId="0" applyFont="1" applyFill="1" applyBorder="1" applyAlignment="1" applyProtection="1">
      <alignment horizontal="center" vertical="center"/>
      <protection locked="0"/>
    </xf>
    <xf numFmtId="0" fontId="249" fillId="0" borderId="252" xfId="0" applyFont="1" applyBorder="1" applyProtection="1">
      <protection locked="0"/>
    </xf>
    <xf numFmtId="0" fontId="249" fillId="0" borderId="252" xfId="0" applyFont="1" applyBorder="1" applyAlignment="1" applyProtection="1">
      <alignment horizontal="center" vertical="center"/>
      <protection locked="0"/>
    </xf>
    <xf numFmtId="0" fontId="252" fillId="18" borderId="0" xfId="0" applyFont="1" applyFill="1" applyAlignment="1">
      <alignment horizontal="center" vertical="center"/>
    </xf>
    <xf numFmtId="0" fontId="5" fillId="17" borderId="38" xfId="0" applyFont="1" applyFill="1" applyBorder="1" applyAlignment="1">
      <alignment horizontal="left" vertical="center" wrapText="1" indent="1"/>
    </xf>
    <xf numFmtId="0" fontId="67" fillId="0" borderId="40" xfId="0" applyFont="1" applyBorder="1" applyAlignment="1">
      <alignment horizontal="left" vertical="center" wrapText="1" indent="1"/>
    </xf>
    <xf numFmtId="0" fontId="67" fillId="0" borderId="49" xfId="0" applyFont="1" applyBorder="1" applyAlignment="1">
      <alignment horizontal="left" vertical="center" wrapText="1" indent="1"/>
    </xf>
    <xf numFmtId="0" fontId="67" fillId="0" borderId="3" xfId="0" applyFont="1" applyBorder="1" applyAlignment="1">
      <alignment horizontal="left" vertical="center" wrapText="1" indent="1"/>
    </xf>
    <xf numFmtId="0" fontId="67" fillId="0" borderId="47" xfId="0" applyFont="1" applyBorder="1" applyAlignment="1">
      <alignment horizontal="left" vertical="center" wrapText="1" indent="1"/>
    </xf>
    <xf numFmtId="0" fontId="67" fillId="0" borderId="48" xfId="0" applyFont="1" applyBorder="1" applyAlignment="1">
      <alignment horizontal="left" vertical="center" wrapText="1" indent="1"/>
    </xf>
    <xf numFmtId="0" fontId="13" fillId="18" borderId="225" xfId="0" applyFont="1" applyFill="1" applyBorder="1" applyAlignment="1">
      <alignment horizontal="center" vertical="center" textRotation="90" wrapText="1"/>
    </xf>
    <xf numFmtId="0" fontId="99" fillId="0" borderId="225" xfId="0" applyFont="1" applyBorder="1" applyAlignment="1">
      <alignment horizontal="center" vertical="center" textRotation="90" wrapText="1"/>
    </xf>
    <xf numFmtId="0" fontId="7" fillId="18" borderId="0" xfId="0" applyFont="1" applyFill="1" applyAlignment="1">
      <alignment horizontal="center" vertical="center" wrapText="1"/>
    </xf>
    <xf numFmtId="0" fontId="7" fillId="0" borderId="0" xfId="0" applyFont="1" applyAlignment="1">
      <alignment horizontal="center" vertical="center" wrapText="1"/>
    </xf>
    <xf numFmtId="0" fontId="113" fillId="0" borderId="332" xfId="0" applyFont="1" applyBorder="1" applyAlignment="1">
      <alignment horizontal="center" vertical="center"/>
    </xf>
    <xf numFmtId="0" fontId="113" fillId="0" borderId="236" xfId="0" applyFont="1" applyBorder="1" applyAlignment="1">
      <alignment horizontal="center" vertical="center"/>
    </xf>
    <xf numFmtId="0" fontId="113" fillId="0" borderId="373" xfId="0" applyFont="1" applyBorder="1" applyAlignment="1">
      <alignment horizontal="center" vertical="center"/>
    </xf>
    <xf numFmtId="0" fontId="94" fillId="16" borderId="127" xfId="0" applyFont="1" applyFill="1" applyBorder="1" applyAlignment="1">
      <alignment horizontal="center" vertical="center"/>
    </xf>
    <xf numFmtId="0" fontId="85" fillId="18" borderId="0" xfId="0" applyFont="1" applyFill="1" applyAlignment="1">
      <alignment horizontal="center" vertical="center"/>
    </xf>
    <xf numFmtId="0" fontId="69" fillId="18" borderId="0" xfId="0" applyFont="1" applyFill="1" applyAlignment="1">
      <alignment horizontal="center" vertical="center"/>
    </xf>
    <xf numFmtId="0" fontId="105" fillId="17" borderId="268" xfId="0" applyFont="1" applyFill="1" applyBorder="1" applyProtection="1">
      <protection locked="0"/>
    </xf>
    <xf numFmtId="0" fontId="105" fillId="0" borderId="268" xfId="0" applyFont="1" applyBorder="1" applyProtection="1">
      <protection locked="0"/>
    </xf>
    <xf numFmtId="14" fontId="105" fillId="17" borderId="268" xfId="0" applyNumberFormat="1" applyFont="1" applyFill="1" applyBorder="1" applyProtection="1">
      <protection locked="0"/>
    </xf>
    <xf numFmtId="0" fontId="105" fillId="17" borderId="223" xfId="0" applyFont="1" applyFill="1" applyBorder="1" applyAlignment="1" applyProtection="1">
      <alignment horizontal="left" vertical="center" wrapText="1" indent="1"/>
      <protection locked="0"/>
    </xf>
    <xf numFmtId="0" fontId="105" fillId="0" borderId="227" xfId="0" applyFont="1" applyBorder="1" applyAlignment="1" applyProtection="1">
      <alignment horizontal="left" vertical="center" wrapText="1" indent="1"/>
      <protection locked="0"/>
    </xf>
    <xf numFmtId="0" fontId="105" fillId="0" borderId="224" xfId="0" applyFont="1" applyBorder="1" applyAlignment="1" applyProtection="1">
      <alignment horizontal="left" vertical="center" wrapText="1" indent="1"/>
      <protection locked="0"/>
    </xf>
    <xf numFmtId="0" fontId="105" fillId="17" borderId="225" xfId="0" applyFont="1" applyFill="1" applyBorder="1" applyAlignment="1" applyProtection="1">
      <alignment horizontal="left" vertical="center" wrapText="1" indent="1"/>
      <protection locked="0"/>
    </xf>
    <xf numFmtId="0" fontId="105" fillId="0" borderId="0" xfId="0" applyFont="1" applyAlignment="1" applyProtection="1">
      <alignment horizontal="left" vertical="center" wrapText="1" indent="1"/>
      <protection locked="0"/>
    </xf>
    <xf numFmtId="0" fontId="105" fillId="0" borderId="26" xfId="0" applyFont="1" applyBorder="1" applyAlignment="1" applyProtection="1">
      <alignment horizontal="left" vertical="center" wrapText="1" indent="1"/>
      <protection locked="0"/>
    </xf>
    <xf numFmtId="0" fontId="105" fillId="0" borderId="209" xfId="0" applyFont="1" applyBorder="1" applyAlignment="1" applyProtection="1">
      <alignment horizontal="left" vertical="center" wrapText="1" indent="1"/>
      <protection locked="0"/>
    </xf>
    <xf numFmtId="0" fontId="105" fillId="0" borderId="145" xfId="0" applyFont="1" applyBorder="1" applyAlignment="1" applyProtection="1">
      <alignment horizontal="left" vertical="center" wrapText="1" indent="1"/>
      <protection locked="0"/>
    </xf>
    <xf numFmtId="0" fontId="105" fillId="0" borderId="211" xfId="0" applyFont="1" applyBorder="1" applyAlignment="1" applyProtection="1">
      <alignment horizontal="left" vertical="center" wrapText="1" indent="1"/>
      <protection locked="0"/>
    </xf>
    <xf numFmtId="0" fontId="6" fillId="18" borderId="210" xfId="0" applyFont="1" applyFill="1" applyBorder="1" applyAlignment="1">
      <alignment horizontal="center"/>
    </xf>
    <xf numFmtId="0" fontId="4" fillId="17" borderId="364" xfId="0" applyFont="1" applyFill="1" applyBorder="1" applyAlignment="1">
      <alignment horizontal="center" vertical="center"/>
    </xf>
    <xf numFmtId="0" fontId="0" fillId="0" borderId="371" xfId="0" applyBorder="1" applyAlignment="1">
      <alignment horizontal="center" vertical="center"/>
    </xf>
    <xf numFmtId="0" fontId="276" fillId="51" borderId="364" xfId="0" applyFont="1" applyFill="1" applyBorder="1" applyAlignment="1">
      <alignment horizontal="center" vertical="center"/>
    </xf>
    <xf numFmtId="0" fontId="276" fillId="51" borderId="344" xfId="0" applyFont="1" applyFill="1" applyBorder="1" applyAlignment="1">
      <alignment horizontal="center" vertical="center"/>
    </xf>
    <xf numFmtId="0" fontId="276" fillId="51" borderId="371" xfId="0" applyFont="1" applyFill="1" applyBorder="1" applyAlignment="1">
      <alignment horizontal="center" vertical="center"/>
    </xf>
    <xf numFmtId="0" fontId="276" fillId="51" borderId="372" xfId="0" applyFont="1" applyFill="1" applyBorder="1" applyAlignment="1">
      <alignment horizontal="center" vertical="center"/>
    </xf>
    <xf numFmtId="0" fontId="7" fillId="0" borderId="372" xfId="0" applyFont="1" applyBorder="1" applyAlignment="1">
      <alignment horizontal="center" vertical="center" wrapText="1"/>
    </xf>
    <xf numFmtId="0" fontId="4" fillId="0" borderId="364" xfId="0" applyFont="1" applyBorder="1" applyAlignment="1">
      <alignment horizontal="left" vertical="center" wrapText="1" indent="1"/>
    </xf>
    <xf numFmtId="0" fontId="4" fillId="0" borderId="371" xfId="0" applyFont="1" applyBorder="1" applyAlignment="1">
      <alignment horizontal="left" vertical="center" wrapText="1" indent="1"/>
    </xf>
    <xf numFmtId="0" fontId="277" fillId="18" borderId="236" xfId="0" applyFont="1" applyFill="1" applyBorder="1" applyAlignment="1">
      <alignment horizontal="center" vertical="center"/>
    </xf>
    <xf numFmtId="0" fontId="278" fillId="18" borderId="236" xfId="0" applyFont="1" applyFill="1" applyBorder="1" applyAlignment="1">
      <alignment horizontal="center" vertical="center"/>
    </xf>
    <xf numFmtId="0" fontId="4" fillId="0" borderId="303" xfId="0" applyFont="1" applyBorder="1" applyAlignment="1" applyProtection="1">
      <alignment horizontal="left" vertical="center"/>
      <protection locked="0"/>
    </xf>
    <xf numFmtId="0" fontId="0" fillId="0" borderId="303" xfId="0" applyBorder="1" applyAlignment="1" applyProtection="1">
      <alignment horizontal="left" vertical="center"/>
      <protection locked="0"/>
    </xf>
    <xf numFmtId="0" fontId="272" fillId="17" borderId="223" xfId="0" applyFont="1" applyFill="1" applyBorder="1" applyAlignment="1">
      <alignment horizontal="center" vertical="top"/>
    </xf>
    <xf numFmtId="0" fontId="273" fillId="17" borderId="224" xfId="0" applyFont="1" applyFill="1" applyBorder="1" applyAlignment="1">
      <alignment horizontal="center" vertical="top"/>
    </xf>
    <xf numFmtId="0" fontId="20" fillId="0" borderId="372" xfId="0" applyFont="1" applyBorder="1" applyAlignment="1">
      <alignment horizontal="center" vertical="center" wrapText="1"/>
    </xf>
    <xf numFmtId="0" fontId="4" fillId="0" borderId="372" xfId="0" applyFont="1" applyBorder="1" applyAlignment="1">
      <alignment horizontal="left" vertical="center" wrapText="1" indent="1"/>
    </xf>
    <xf numFmtId="0" fontId="2" fillId="0" borderId="372" xfId="0" applyFont="1" applyBorder="1" applyAlignment="1">
      <alignment horizontal="left" vertical="center" wrapText="1" indent="1"/>
    </xf>
    <xf numFmtId="0" fontId="4" fillId="0" borderId="325" xfId="0" applyFont="1" applyBorder="1" applyAlignment="1" applyProtection="1">
      <alignment horizontal="left" vertical="center"/>
      <protection locked="0"/>
    </xf>
    <xf numFmtId="0" fontId="0" fillId="0" borderId="325" xfId="0" applyBorder="1" applyAlignment="1" applyProtection="1">
      <alignment horizontal="left" vertical="center"/>
      <protection locked="0"/>
    </xf>
    <xf numFmtId="0" fontId="275" fillId="51" borderId="40" xfId="0" applyFont="1" applyFill="1" applyBorder="1" applyAlignment="1">
      <alignment horizontal="center" vertical="center"/>
    </xf>
    <xf numFmtId="0" fontId="275" fillId="51" borderId="0" xfId="0" applyFont="1" applyFill="1" applyAlignment="1">
      <alignment horizontal="center" vertical="center"/>
    </xf>
    <xf numFmtId="0" fontId="110" fillId="2" borderId="0" xfId="0" applyFont="1" applyFill="1" applyAlignment="1">
      <alignment horizontal="center" vertical="top"/>
    </xf>
    <xf numFmtId="0" fontId="4" fillId="0" borderId="152" xfId="0" applyFont="1" applyBorder="1" applyAlignment="1">
      <alignment horizontal="left"/>
    </xf>
    <xf numFmtId="0" fontId="4" fillId="7" borderId="152" xfId="0" applyFont="1" applyFill="1" applyBorder="1" applyAlignment="1">
      <alignment horizontal="left" vertical="center"/>
    </xf>
    <xf numFmtId="0" fontId="4" fillId="17" borderId="153" xfId="0" applyFont="1" applyFill="1" applyBorder="1" applyAlignment="1">
      <alignment horizontal="left"/>
    </xf>
    <xf numFmtId="0" fontId="4" fillId="17" borderId="155" xfId="0" applyFont="1" applyFill="1" applyBorder="1" applyAlignment="1">
      <alignment horizontal="left"/>
    </xf>
    <xf numFmtId="0" fontId="4" fillId="17" borderId="154" xfId="0" applyFont="1" applyFill="1" applyBorder="1" applyAlignment="1">
      <alignment horizontal="left"/>
    </xf>
    <xf numFmtId="0" fontId="32" fillId="7" borderId="52" xfId="0" applyFont="1" applyFill="1" applyBorder="1" applyAlignment="1" applyProtection="1">
      <alignment horizontal="center" vertical="center"/>
      <protection locked="0"/>
    </xf>
    <xf numFmtId="0" fontId="32" fillId="7" borderId="6" xfId="0" applyFont="1" applyFill="1" applyBorder="1" applyAlignment="1" applyProtection="1">
      <alignment horizontal="center" vertical="center"/>
      <protection locked="0"/>
    </xf>
    <xf numFmtId="0" fontId="20" fillId="18" borderId="0" xfId="0" applyFont="1" applyFill="1" applyAlignment="1">
      <alignment horizontal="center"/>
    </xf>
    <xf numFmtId="0" fontId="32" fillId="7" borderId="59" xfId="0" applyFont="1" applyFill="1" applyBorder="1" applyAlignment="1" applyProtection="1">
      <alignment horizontal="center" vertical="center"/>
      <protection locked="0"/>
    </xf>
    <xf numFmtId="0" fontId="74" fillId="18" borderId="0" xfId="0" applyFont="1" applyFill="1" applyAlignment="1">
      <alignment horizontal="center" vertical="center"/>
    </xf>
    <xf numFmtId="0" fontId="4" fillId="7" borderId="160" xfId="0" applyFont="1" applyFill="1" applyBorder="1" applyAlignment="1">
      <alignment vertical="center"/>
    </xf>
    <xf numFmtId="0" fontId="4" fillId="7" borderId="363" xfId="0" applyFont="1" applyFill="1" applyBorder="1" applyAlignment="1">
      <alignment vertical="center"/>
    </xf>
    <xf numFmtId="0" fontId="4" fillId="18" borderId="38" xfId="0" applyFont="1" applyFill="1" applyBorder="1" applyAlignment="1">
      <alignment vertical="center"/>
    </xf>
    <xf numFmtId="0" fontId="0" fillId="18" borderId="49" xfId="0" applyFill="1" applyBorder="1" applyAlignment="1">
      <alignment vertical="center"/>
    </xf>
    <xf numFmtId="0" fontId="0" fillId="18" borderId="2" xfId="0" applyFill="1" applyBorder="1" applyAlignment="1">
      <alignment vertical="center"/>
    </xf>
    <xf numFmtId="0" fontId="0" fillId="18" borderId="9" xfId="0" applyFill="1" applyBorder="1" applyAlignment="1">
      <alignment vertical="center"/>
    </xf>
    <xf numFmtId="0" fontId="7" fillId="6" borderId="33" xfId="0" applyFont="1" applyFill="1" applyBorder="1" applyAlignment="1">
      <alignment horizontal="center" vertical="center" wrapText="1"/>
    </xf>
    <xf numFmtId="0" fontId="7" fillId="6" borderId="224" xfId="0" applyFont="1" applyFill="1" applyBorder="1" applyAlignment="1">
      <alignment vertical="center" wrapText="1"/>
    </xf>
    <xf numFmtId="0" fontId="7" fillId="6" borderId="41" xfId="0" applyFont="1" applyFill="1" applyBorder="1" applyAlignment="1">
      <alignment horizontal="center" vertical="center" wrapText="1"/>
    </xf>
    <xf numFmtId="0" fontId="7" fillId="6" borderId="332" xfId="0" applyFont="1" applyFill="1" applyBorder="1" applyAlignment="1">
      <alignment vertical="center" wrapText="1"/>
    </xf>
    <xf numFmtId="0" fontId="7" fillId="6" borderId="8" xfId="0" applyFont="1" applyFill="1" applyBorder="1" applyAlignment="1">
      <alignment horizontal="center" vertical="center" wrapText="1"/>
    </xf>
    <xf numFmtId="0" fontId="7" fillId="6" borderId="312" xfId="0" applyFont="1" applyFill="1" applyBorder="1" applyAlignment="1">
      <alignment vertical="center" wrapText="1"/>
    </xf>
    <xf numFmtId="0" fontId="4" fillId="7" borderId="242" xfId="0" applyFont="1" applyFill="1" applyBorder="1" applyAlignment="1">
      <alignment vertical="center"/>
    </xf>
    <xf numFmtId="0" fontId="4" fillId="7" borderId="240" xfId="0" applyFont="1" applyFill="1" applyBorder="1" applyAlignment="1">
      <alignment vertical="center"/>
    </xf>
    <xf numFmtId="0" fontId="7" fillId="16" borderId="182" xfId="0" applyFont="1" applyFill="1" applyBorder="1" applyAlignment="1">
      <alignment horizontal="center" vertical="center" wrapText="1"/>
    </xf>
    <xf numFmtId="0" fontId="208" fillId="0" borderId="2" xfId="0" applyFont="1" applyBorder="1" applyAlignment="1">
      <alignment horizontal="left" vertical="center" indent="4"/>
    </xf>
    <xf numFmtId="0" fontId="210" fillId="0" borderId="0" xfId="0" applyFont="1" applyAlignment="1">
      <alignment horizontal="left" vertical="center" indent="4"/>
    </xf>
    <xf numFmtId="0" fontId="210" fillId="0" borderId="26" xfId="0" applyFont="1" applyBorder="1" applyAlignment="1">
      <alignment horizontal="left" vertical="center" indent="4"/>
    </xf>
    <xf numFmtId="0" fontId="73" fillId="7" borderId="76" xfId="0" applyFont="1" applyFill="1" applyBorder="1" applyAlignment="1">
      <alignment horizontal="center" vertical="center"/>
    </xf>
    <xf numFmtId="0" fontId="7" fillId="6" borderId="308" xfId="0" applyFont="1" applyFill="1" applyBorder="1" applyAlignment="1">
      <alignment horizontal="center" vertical="center" wrapText="1"/>
    </xf>
    <xf numFmtId="0" fontId="7" fillId="6" borderId="308" xfId="0" applyFont="1" applyFill="1" applyBorder="1" applyAlignment="1">
      <alignment vertical="center" wrapText="1"/>
    </xf>
    <xf numFmtId="0" fontId="7" fillId="6" borderId="311" xfId="0" applyFont="1" applyFill="1" applyBorder="1" applyAlignment="1">
      <alignment horizontal="center" vertical="center" wrapText="1"/>
    </xf>
    <xf numFmtId="0" fontId="0" fillId="0" borderId="310" xfId="0" applyBorder="1" applyAlignment="1">
      <alignment horizontal="center" vertical="center" wrapText="1"/>
    </xf>
    <xf numFmtId="0" fontId="7" fillId="6" borderId="68" xfId="0" applyFont="1" applyFill="1" applyBorder="1" applyAlignment="1">
      <alignment horizontal="center" vertical="center" wrapText="1"/>
    </xf>
    <xf numFmtId="0" fontId="7" fillId="6" borderId="65" xfId="0" applyFont="1" applyFill="1" applyBorder="1" applyAlignment="1">
      <alignment horizontal="center" vertical="center" wrapText="1"/>
    </xf>
    <xf numFmtId="0" fontId="7" fillId="6" borderId="305" xfId="0" applyFont="1" applyFill="1" applyBorder="1" applyAlignment="1">
      <alignment horizontal="center" vertical="center" wrapText="1"/>
    </xf>
    <xf numFmtId="0" fontId="7" fillId="6" borderId="74" xfId="0" applyFont="1" applyFill="1" applyBorder="1" applyAlignment="1">
      <alignment horizontal="center" vertical="center" wrapText="1"/>
    </xf>
    <xf numFmtId="0" fontId="0" fillId="0" borderId="66" xfId="0" applyBorder="1" applyAlignment="1">
      <alignment vertical="center" wrapText="1"/>
    </xf>
    <xf numFmtId="0" fontId="7" fillId="6" borderId="65" xfId="0" applyFont="1" applyFill="1" applyBorder="1" applyAlignment="1">
      <alignment vertical="center" wrapText="1"/>
    </xf>
    <xf numFmtId="0" fontId="2" fillId="0" borderId="66" xfId="0" applyFont="1" applyBorder="1" applyAlignment="1">
      <alignment vertical="center" wrapText="1"/>
    </xf>
    <xf numFmtId="0" fontId="85" fillId="7" borderId="38" xfId="0" applyFont="1" applyFill="1" applyBorder="1" applyAlignment="1">
      <alignment horizontal="center" vertical="center" wrapText="1"/>
    </xf>
    <xf numFmtId="0" fontId="0" fillId="0" borderId="40" xfId="0" applyBorder="1" applyAlignment="1">
      <alignment horizontal="center" vertical="center" wrapText="1"/>
    </xf>
    <xf numFmtId="0" fontId="0" fillId="0" borderId="2" xfId="0" applyBorder="1" applyAlignment="1">
      <alignment horizontal="center" vertical="center" wrapText="1"/>
    </xf>
    <xf numFmtId="0" fontId="0" fillId="0" borderId="0" xfId="0" applyAlignment="1">
      <alignment horizontal="center" vertical="center" wrapText="1"/>
    </xf>
    <xf numFmtId="0" fontId="7" fillId="23" borderId="39" xfId="0" applyFont="1" applyFill="1" applyBorder="1" applyAlignment="1">
      <alignment horizontal="center" vertical="center" wrapText="1"/>
    </xf>
    <xf numFmtId="0" fontId="0" fillId="23" borderId="71" xfId="0" applyFill="1" applyBorder="1" applyAlignment="1">
      <alignment vertical="center" wrapText="1"/>
    </xf>
    <xf numFmtId="0" fontId="7" fillId="23" borderId="68" xfId="0" applyFont="1" applyFill="1" applyBorder="1" applyAlignment="1">
      <alignment horizontal="center" vertical="center" wrapText="1"/>
    </xf>
    <xf numFmtId="0" fontId="7" fillId="23" borderId="86" xfId="0" applyFont="1" applyFill="1" applyBorder="1" applyAlignment="1">
      <alignment horizontal="center" vertical="center" wrapText="1"/>
    </xf>
    <xf numFmtId="0" fontId="7" fillId="23" borderId="86" xfId="0" applyFont="1" applyFill="1" applyBorder="1" applyAlignment="1">
      <alignment vertical="center" wrapText="1"/>
    </xf>
    <xf numFmtId="0" fontId="11" fillId="7" borderId="76" xfId="0" applyFont="1" applyFill="1" applyBorder="1" applyAlignment="1">
      <alignment horizontal="center" vertical="center"/>
    </xf>
    <xf numFmtId="0" fontId="7" fillId="6" borderId="79" xfId="0" applyFont="1" applyFill="1" applyBorder="1" applyAlignment="1">
      <alignment horizontal="center" vertical="center" wrapText="1"/>
    </xf>
    <xf numFmtId="0" fontId="7" fillId="6" borderId="79" xfId="0" applyFont="1" applyFill="1" applyBorder="1" applyAlignment="1">
      <alignment vertical="center" wrapText="1"/>
    </xf>
    <xf numFmtId="0" fontId="7" fillId="6" borderId="86" xfId="0" applyFont="1" applyFill="1" applyBorder="1" applyAlignment="1">
      <alignment vertical="center" wrapText="1"/>
    </xf>
    <xf numFmtId="0" fontId="4" fillId="7" borderId="79" xfId="0" applyFont="1" applyFill="1" applyBorder="1" applyAlignment="1">
      <alignment horizontal="center" vertical="center"/>
    </xf>
    <xf numFmtId="0" fontId="11" fillId="7" borderId="40" xfId="0" applyFont="1" applyFill="1" applyBorder="1" applyAlignment="1">
      <alignment horizontal="center" vertical="center" wrapText="1"/>
    </xf>
    <xf numFmtId="0" fontId="7" fillId="16" borderId="68" xfId="0" applyFont="1" applyFill="1" applyBorder="1" applyAlignment="1">
      <alignment horizontal="center" vertical="center" wrapText="1"/>
    </xf>
    <xf numFmtId="0" fontId="4" fillId="16" borderId="65" xfId="0" applyFont="1" applyFill="1" applyBorder="1" applyAlignment="1">
      <alignment vertical="center" wrapText="1"/>
    </xf>
    <xf numFmtId="0" fontId="4" fillId="23" borderId="86" xfId="0" applyFont="1" applyFill="1" applyBorder="1" applyAlignment="1">
      <alignment horizontal="center" vertical="center" wrapText="1"/>
    </xf>
    <xf numFmtId="0" fontId="7" fillId="19" borderId="123" xfId="0" applyFont="1" applyFill="1" applyBorder="1" applyAlignment="1">
      <alignment horizontal="center" vertical="center"/>
    </xf>
    <xf numFmtId="0" fontId="7" fillId="19" borderId="48" xfId="0" applyFont="1" applyFill="1" applyBorder="1" applyAlignment="1">
      <alignment horizontal="center" vertical="center"/>
    </xf>
    <xf numFmtId="0" fontId="242" fillId="2" borderId="96" xfId="0" applyFont="1" applyFill="1" applyBorder="1" applyAlignment="1">
      <alignment horizontal="left" vertical="center" wrapText="1" indent="1"/>
    </xf>
    <xf numFmtId="0" fontId="242" fillId="2" borderId="9" xfId="0" applyFont="1" applyFill="1" applyBorder="1" applyAlignment="1">
      <alignment horizontal="left" vertical="center" wrapText="1" indent="1"/>
    </xf>
    <xf numFmtId="0" fontId="4" fillId="7" borderId="38" xfId="0" applyFont="1" applyFill="1" applyBorder="1" applyAlignment="1">
      <alignment horizontal="right" vertical="center"/>
    </xf>
    <xf numFmtId="0" fontId="0" fillId="0" borderId="40" xfId="0" applyBorder="1" applyAlignment="1">
      <alignment vertical="center"/>
    </xf>
    <xf numFmtId="0" fontId="84" fillId="0" borderId="238" xfId="0" applyFont="1" applyBorder="1" applyAlignment="1" applyProtection="1">
      <alignment horizontal="left" vertical="center"/>
      <protection locked="0"/>
    </xf>
    <xf numFmtId="0" fontId="84" fillId="0" borderId="220" xfId="0" applyFont="1" applyBorder="1" applyAlignment="1" applyProtection="1">
      <alignment horizontal="left" vertical="center"/>
      <protection locked="0"/>
    </xf>
    <xf numFmtId="0" fontId="84" fillId="0" borderId="233" xfId="0" applyFont="1" applyBorder="1" applyAlignment="1" applyProtection="1">
      <alignment horizontal="left" vertical="center"/>
      <protection locked="0"/>
    </xf>
    <xf numFmtId="0" fontId="167" fillId="2" borderId="32" xfId="0" applyFont="1" applyFill="1" applyBorder="1" applyAlignment="1">
      <alignment horizontal="left" vertical="center"/>
    </xf>
    <xf numFmtId="0" fontId="168" fillId="0" borderId="32" xfId="0" applyFont="1" applyBorder="1" applyAlignment="1">
      <alignment vertical="center"/>
    </xf>
    <xf numFmtId="0" fontId="4" fillId="7" borderId="84" xfId="0" applyFont="1" applyFill="1" applyBorder="1" applyAlignment="1">
      <alignment horizontal="center" vertical="center"/>
    </xf>
    <xf numFmtId="0" fontId="4" fillId="7" borderId="85" xfId="0" applyFont="1" applyFill="1" applyBorder="1" applyAlignment="1">
      <alignment horizontal="center" vertical="center"/>
    </xf>
    <xf numFmtId="0" fontId="4" fillId="0" borderId="122" xfId="0" applyFont="1" applyBorder="1" applyAlignment="1">
      <alignment horizontal="left"/>
    </xf>
    <xf numFmtId="0" fontId="0" fillId="0" borderId="122" xfId="0" applyBorder="1" applyAlignment="1">
      <alignment horizontal="left"/>
    </xf>
    <xf numFmtId="0" fontId="4" fillId="7" borderId="122" xfId="0" applyFont="1" applyFill="1" applyBorder="1" applyAlignment="1">
      <alignment horizontal="left" vertical="center"/>
    </xf>
    <xf numFmtId="0" fontId="2" fillId="0" borderId="122" xfId="0" applyFont="1" applyBorder="1" applyAlignment="1">
      <alignment horizontal="left"/>
    </xf>
    <xf numFmtId="0" fontId="7" fillId="23" borderId="60" xfId="0" applyFont="1" applyFill="1" applyBorder="1" applyAlignment="1">
      <alignment horizontal="center" vertical="center" wrapText="1"/>
    </xf>
    <xf numFmtId="0" fontId="0" fillId="23" borderId="22" xfId="0" applyFill="1" applyBorder="1" applyAlignment="1">
      <alignment horizontal="center" vertical="center" wrapText="1"/>
    </xf>
    <xf numFmtId="0" fontId="131" fillId="2" borderId="0" xfId="0" applyFont="1" applyFill="1" applyAlignment="1">
      <alignment horizontal="center" vertical="center" wrapText="1"/>
    </xf>
    <xf numFmtId="0" fontId="99" fillId="0" borderId="0" xfId="0" applyFont="1" applyAlignment="1">
      <alignment vertical="center" wrapText="1"/>
    </xf>
    <xf numFmtId="0" fontId="99" fillId="0" borderId="47" xfId="0" applyFont="1" applyBorder="1" applyAlignment="1">
      <alignment vertical="center" wrapText="1"/>
    </xf>
    <xf numFmtId="0" fontId="4" fillId="23" borderId="86" xfId="0" applyFont="1" applyFill="1" applyBorder="1" applyAlignment="1">
      <alignment vertical="center" wrapText="1"/>
    </xf>
    <xf numFmtId="0" fontId="7" fillId="23" borderId="79" xfId="0" applyFont="1" applyFill="1" applyBorder="1" applyAlignment="1">
      <alignment horizontal="center" vertical="center" wrapText="1"/>
    </xf>
    <xf numFmtId="0" fontId="4" fillId="7" borderId="2" xfId="0" applyFont="1" applyFill="1" applyBorder="1" applyAlignment="1">
      <alignment horizontal="right" vertical="center"/>
    </xf>
    <xf numFmtId="0" fontId="0" fillId="0" borderId="0" xfId="0" applyAlignment="1">
      <alignment vertical="center"/>
    </xf>
    <xf numFmtId="0" fontId="4" fillId="7" borderId="3" xfId="0" applyFont="1" applyFill="1" applyBorder="1" applyAlignment="1">
      <alignment horizontal="right" vertical="center"/>
    </xf>
    <xf numFmtId="0" fontId="0" fillId="0" borderId="35" xfId="0" applyBorder="1" applyAlignment="1">
      <alignment vertical="center"/>
    </xf>
    <xf numFmtId="0" fontId="14" fillId="0" borderId="122" xfId="0" applyFont="1" applyBorder="1" applyAlignment="1" applyProtection="1">
      <alignment horizontal="left" vertical="top" wrapText="1"/>
      <protection locked="0"/>
    </xf>
    <xf numFmtId="0" fontId="14" fillId="0" borderId="122" xfId="0" applyFont="1" applyBorder="1" applyAlignment="1" applyProtection="1">
      <alignment horizontal="left" vertical="top"/>
      <protection locked="0"/>
    </xf>
    <xf numFmtId="0" fontId="7" fillId="6" borderId="258" xfId="0" applyFont="1" applyFill="1" applyBorder="1" applyAlignment="1">
      <alignment horizontal="center" vertical="top" wrapText="1"/>
    </xf>
    <xf numFmtId="0" fontId="2" fillId="0" borderId="191" xfId="0" applyFont="1" applyBorder="1" applyAlignment="1">
      <alignment vertical="top" wrapText="1"/>
    </xf>
    <xf numFmtId="0" fontId="7" fillId="16" borderId="86" xfId="0" applyFont="1" applyFill="1" applyBorder="1" applyAlignment="1">
      <alignment horizontal="center" vertical="center" wrapText="1"/>
    </xf>
    <xf numFmtId="0" fontId="7" fillId="0" borderId="0" xfId="0" applyFont="1" applyAlignment="1">
      <alignment vertical="center" wrapText="1"/>
    </xf>
    <xf numFmtId="0" fontId="6" fillId="7" borderId="18" xfId="0" applyFont="1" applyFill="1" applyBorder="1" applyAlignment="1">
      <alignment horizontal="center" vertical="center" wrapText="1"/>
    </xf>
    <xf numFmtId="0" fontId="0" fillId="0" borderId="244" xfId="0" applyBorder="1" applyAlignment="1">
      <alignment horizontal="center" vertical="center" wrapText="1"/>
    </xf>
    <xf numFmtId="0" fontId="4" fillId="7" borderId="253" xfId="0" applyFont="1" applyFill="1" applyBorder="1" applyAlignment="1">
      <alignment horizontal="center" vertical="center"/>
    </xf>
    <xf numFmtId="0" fontId="0" fillId="0" borderId="254" xfId="0" applyBorder="1" applyAlignment="1">
      <alignment horizontal="center" vertical="center"/>
    </xf>
    <xf numFmtId="0" fontId="6" fillId="7" borderId="0" xfId="0" applyFont="1" applyFill="1" applyAlignment="1">
      <alignment horizontal="center" vertical="center"/>
    </xf>
    <xf numFmtId="0" fontId="0" fillId="0" borderId="0" xfId="0" applyAlignment="1">
      <alignment horizontal="center" vertical="center"/>
    </xf>
    <xf numFmtId="0" fontId="4" fillId="16" borderId="86" xfId="0" applyFont="1" applyFill="1" applyBorder="1" applyAlignment="1">
      <alignment horizontal="center" vertical="center" wrapText="1"/>
    </xf>
    <xf numFmtId="0" fontId="4" fillId="0" borderId="2" xfId="0" applyFont="1" applyBorder="1" applyAlignment="1">
      <alignment horizontal="right" vertical="center"/>
    </xf>
    <xf numFmtId="0" fontId="0" fillId="0" borderId="26" xfId="0" applyBorder="1" applyAlignment="1">
      <alignment horizontal="right" vertical="center"/>
    </xf>
    <xf numFmtId="0" fontId="14" fillId="0" borderId="9" xfId="0" applyFont="1"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74" fillId="7" borderId="38" xfId="0" applyFont="1" applyFill="1" applyBorder="1" applyAlignment="1">
      <alignment horizontal="center" vertical="center"/>
    </xf>
    <xf numFmtId="0" fontId="20" fillId="0" borderId="40" xfId="0" applyFont="1" applyBorder="1" applyAlignment="1">
      <alignment horizontal="center" vertical="center"/>
    </xf>
    <xf numFmtId="0" fontId="0" fillId="0" borderId="49" xfId="0" applyBorder="1" applyAlignment="1">
      <alignment vertical="center"/>
    </xf>
    <xf numFmtId="0" fontId="4" fillId="7" borderId="45" xfId="0" applyFont="1" applyFill="1" applyBorder="1" applyAlignment="1">
      <alignment horizontal="center" vertical="center" wrapText="1"/>
    </xf>
    <xf numFmtId="0" fontId="0" fillId="0" borderId="355" xfId="0" applyBorder="1" applyAlignment="1">
      <alignment horizontal="center" vertical="center" wrapText="1"/>
    </xf>
    <xf numFmtId="0" fontId="0" fillId="0" borderId="364" xfId="0" applyBorder="1" applyAlignment="1">
      <alignment horizontal="center" vertical="center" wrapText="1"/>
    </xf>
    <xf numFmtId="0" fontId="7" fillId="23" borderId="88" xfId="0" applyFont="1" applyFill="1" applyBorder="1" applyAlignment="1">
      <alignment horizontal="center" vertical="center"/>
    </xf>
    <xf numFmtId="0" fontId="4" fillId="7" borderId="129" xfId="0" applyFont="1" applyFill="1" applyBorder="1" applyAlignment="1">
      <alignment horizontal="center" vertical="center"/>
    </xf>
    <xf numFmtId="0" fontId="4" fillId="7" borderId="130" xfId="0" applyFont="1" applyFill="1" applyBorder="1" applyAlignment="1">
      <alignment horizontal="center" vertical="center"/>
    </xf>
    <xf numFmtId="0" fontId="4" fillId="7" borderId="132" xfId="0" applyFont="1" applyFill="1" applyBorder="1" applyAlignment="1">
      <alignment horizontal="center" vertical="center"/>
    </xf>
    <xf numFmtId="0" fontId="208" fillId="7" borderId="3" xfId="0" applyFont="1" applyFill="1" applyBorder="1" applyAlignment="1">
      <alignment horizontal="left" vertical="center" indent="1"/>
    </xf>
    <xf numFmtId="0" fontId="210" fillId="0" borderId="47" xfId="0" applyFont="1" applyBorder="1" applyAlignment="1">
      <alignment horizontal="left" vertical="center" indent="1"/>
    </xf>
    <xf numFmtId="0" fontId="107" fillId="2" borderId="0" xfId="0" applyFont="1" applyFill="1" applyAlignment="1">
      <alignment horizontal="center" vertical="center" wrapText="1"/>
    </xf>
    <xf numFmtId="0" fontId="4" fillId="7" borderId="0" xfId="0" applyFont="1" applyFill="1" applyAlignment="1">
      <alignment horizontal="center" vertical="center"/>
    </xf>
    <xf numFmtId="0" fontId="4" fillId="7" borderId="4" xfId="0" applyFont="1" applyFill="1" applyBorder="1" applyAlignment="1">
      <alignment horizontal="right" vertical="center"/>
    </xf>
    <xf numFmtId="0" fontId="0" fillId="0" borderId="16" xfId="0" applyBorder="1" applyAlignment="1">
      <alignment vertical="center"/>
    </xf>
    <xf numFmtId="0" fontId="4" fillId="7" borderId="33" xfId="0" applyFont="1" applyFill="1" applyBorder="1" applyAlignment="1">
      <alignment horizontal="center" vertical="center" wrapText="1"/>
    </xf>
    <xf numFmtId="0" fontId="0" fillId="0" borderId="363" xfId="0" applyBorder="1" applyAlignment="1">
      <alignment horizontal="center" vertical="center" wrapText="1"/>
    </xf>
    <xf numFmtId="0" fontId="4" fillId="7" borderId="41" xfId="0" applyFont="1" applyFill="1" applyBorder="1" applyAlignment="1">
      <alignment horizontal="center" vertical="center" wrapText="1"/>
    </xf>
    <xf numFmtId="0" fontId="0" fillId="0" borderId="360" xfId="0" applyBorder="1" applyAlignment="1">
      <alignment horizontal="center" vertical="center" wrapText="1"/>
    </xf>
    <xf numFmtId="0" fontId="88" fillId="7" borderId="0" xfId="0" applyFont="1" applyFill="1" applyAlignment="1">
      <alignment horizontal="center" vertical="center"/>
    </xf>
    <xf numFmtId="0" fontId="89" fillId="0" borderId="0" xfId="0" applyFont="1" applyAlignment="1">
      <alignment horizontal="center" vertical="center"/>
    </xf>
    <xf numFmtId="0" fontId="94" fillId="2" borderId="0" xfId="0" applyFont="1" applyFill="1" applyAlignment="1">
      <alignment horizontal="center" vertical="center"/>
    </xf>
    <xf numFmtId="0" fontId="0" fillId="0" borderId="9" xfId="0" applyBorder="1" applyAlignment="1">
      <alignment horizontal="center" vertical="center"/>
    </xf>
    <xf numFmtId="0" fontId="7" fillId="23" borderId="31" xfId="0" applyFont="1" applyFill="1" applyBorder="1" applyAlignment="1">
      <alignment horizontal="center" vertical="center" wrapText="1"/>
    </xf>
    <xf numFmtId="0" fontId="0" fillId="23" borderId="51" xfId="0" applyFill="1" applyBorder="1" applyAlignment="1">
      <alignment vertical="center" wrapText="1"/>
    </xf>
    <xf numFmtId="0" fontId="7" fillId="7" borderId="0" xfId="0" applyFont="1" applyFill="1" applyAlignment="1">
      <alignment horizontal="left" wrapText="1"/>
    </xf>
    <xf numFmtId="0" fontId="0" fillId="0" borderId="0" xfId="0" applyAlignment="1">
      <alignment wrapText="1"/>
    </xf>
    <xf numFmtId="0" fontId="85" fillId="7" borderId="2" xfId="0" applyFont="1" applyFill="1" applyBorder="1" applyAlignment="1">
      <alignment horizontal="center" vertical="center"/>
    </xf>
    <xf numFmtId="0" fontId="85" fillId="7" borderId="0" xfId="0" applyFont="1" applyFill="1" applyAlignment="1">
      <alignment horizontal="center" vertical="center"/>
    </xf>
    <xf numFmtId="0" fontId="85" fillId="7" borderId="9" xfId="0" applyFont="1" applyFill="1" applyBorder="1" applyAlignment="1">
      <alignment horizontal="center" vertical="center"/>
    </xf>
    <xf numFmtId="0" fontId="7" fillId="6" borderId="95" xfId="0" applyFont="1" applyFill="1" applyBorder="1" applyAlignment="1">
      <alignment horizontal="center" vertical="center" wrapText="1"/>
    </xf>
    <xf numFmtId="0" fontId="7" fillId="6" borderId="95" xfId="0" applyFont="1" applyFill="1" applyBorder="1" applyAlignment="1">
      <alignment vertical="center" wrapText="1"/>
    </xf>
    <xf numFmtId="0" fontId="7" fillId="16" borderId="332" xfId="0" applyFont="1" applyFill="1" applyBorder="1" applyAlignment="1">
      <alignment horizontal="center" vertical="center" wrapText="1"/>
    </xf>
    <xf numFmtId="0" fontId="0" fillId="0" borderId="342" xfId="0" applyBorder="1" applyAlignment="1">
      <alignment horizontal="center" vertical="center" wrapText="1"/>
    </xf>
    <xf numFmtId="0" fontId="7" fillId="23" borderId="52" xfId="0" applyFont="1" applyFill="1" applyBorder="1" applyAlignment="1">
      <alignment horizontal="center" vertical="center"/>
    </xf>
    <xf numFmtId="0" fontId="7" fillId="23" borderId="59" xfId="0" applyFont="1" applyFill="1" applyBorder="1" applyAlignment="1">
      <alignment horizontal="center" vertical="center"/>
    </xf>
    <xf numFmtId="0" fontId="7" fillId="23" borderId="6" xfId="0" applyFont="1" applyFill="1" applyBorder="1" applyAlignment="1">
      <alignment horizontal="center" vertical="center"/>
    </xf>
    <xf numFmtId="0" fontId="7" fillId="23" borderId="38" xfId="0" applyFont="1" applyFill="1" applyBorder="1" applyAlignment="1">
      <alignment horizontal="center" vertical="center"/>
    </xf>
    <xf numFmtId="0" fontId="7" fillId="23" borderId="40" xfId="0" applyFont="1" applyFill="1" applyBorder="1" applyAlignment="1">
      <alignment horizontal="center" vertical="center"/>
    </xf>
    <xf numFmtId="0" fontId="7" fillId="23" borderId="49" xfId="0" applyFont="1" applyFill="1" applyBorder="1" applyAlignment="1">
      <alignment horizontal="center" vertical="center"/>
    </xf>
    <xf numFmtId="0" fontId="4" fillId="0" borderId="2" xfId="0" applyFont="1" applyBorder="1" applyAlignment="1">
      <alignment horizontal="center" vertical="center"/>
    </xf>
    <xf numFmtId="0" fontId="0" fillId="0" borderId="26" xfId="0" applyBorder="1" applyAlignment="1">
      <alignment horizontal="center" vertical="center"/>
    </xf>
    <xf numFmtId="0" fontId="7" fillId="6" borderId="52" xfId="0" applyFont="1" applyFill="1" applyBorder="1" applyAlignment="1">
      <alignment horizontal="center" vertical="center"/>
    </xf>
    <xf numFmtId="0" fontId="7" fillId="6" borderId="59" xfId="0" applyFont="1" applyFill="1" applyBorder="1" applyAlignment="1">
      <alignment horizontal="center" vertical="center"/>
    </xf>
    <xf numFmtId="0" fontId="7" fillId="6" borderId="6" xfId="0" applyFont="1" applyFill="1" applyBorder="1" applyAlignment="1">
      <alignment horizontal="center" vertical="center"/>
    </xf>
    <xf numFmtId="0" fontId="76" fillId="7" borderId="38" xfId="0" applyFont="1" applyFill="1" applyBorder="1" applyAlignment="1" applyProtection="1">
      <alignment horizontal="left" vertical="top" wrapText="1"/>
      <protection locked="0"/>
    </xf>
    <xf numFmtId="0" fontId="76" fillId="7" borderId="40" xfId="0" applyFont="1" applyFill="1" applyBorder="1" applyAlignment="1" applyProtection="1">
      <alignment horizontal="left" vertical="top" wrapText="1"/>
      <protection locked="0"/>
    </xf>
    <xf numFmtId="0" fontId="76" fillId="7" borderId="49" xfId="0" applyFont="1" applyFill="1" applyBorder="1" applyAlignment="1" applyProtection="1">
      <alignment horizontal="left" vertical="top" wrapText="1"/>
      <protection locked="0"/>
    </xf>
    <xf numFmtId="0" fontId="76" fillId="7" borderId="3" xfId="0" applyFont="1" applyFill="1" applyBorder="1" applyAlignment="1" applyProtection="1">
      <alignment horizontal="left" vertical="top" wrapText="1"/>
      <protection locked="0"/>
    </xf>
    <xf numFmtId="0" fontId="76" fillId="7" borderId="47" xfId="0" applyFont="1" applyFill="1" applyBorder="1" applyAlignment="1" applyProtection="1">
      <alignment horizontal="left" vertical="top" wrapText="1"/>
      <protection locked="0"/>
    </xf>
    <xf numFmtId="0" fontId="76" fillId="7" borderId="48" xfId="0" applyFont="1" applyFill="1" applyBorder="1" applyAlignment="1" applyProtection="1">
      <alignment horizontal="left" vertical="top" wrapText="1"/>
      <protection locked="0"/>
    </xf>
    <xf numFmtId="0" fontId="4" fillId="0" borderId="38" xfId="0" applyFont="1" applyBorder="1" applyAlignment="1">
      <alignment horizontal="center" vertical="center"/>
    </xf>
    <xf numFmtId="0" fontId="0" fillId="0" borderId="102" xfId="0" applyBorder="1" applyAlignment="1">
      <alignment horizontal="center" vertical="center"/>
    </xf>
    <xf numFmtId="0" fontId="4" fillId="7" borderId="81" xfId="0" applyFont="1" applyFill="1" applyBorder="1" applyAlignment="1">
      <alignment horizontal="left" vertical="center"/>
    </xf>
    <xf numFmtId="0" fontId="2" fillId="0" borderId="113" xfId="0" applyFont="1" applyBorder="1" applyAlignment="1">
      <alignment horizontal="left"/>
    </xf>
    <xf numFmtId="0" fontId="2" fillId="0" borderId="106" xfId="0" applyFont="1" applyBorder="1" applyAlignment="1">
      <alignment horizontal="left"/>
    </xf>
    <xf numFmtId="0" fontId="130" fillId="2" borderId="0" xfId="0" applyFont="1" applyFill="1" applyAlignment="1">
      <alignment horizontal="center"/>
    </xf>
    <xf numFmtId="0" fontId="19" fillId="0" borderId="241" xfId="0" applyFont="1" applyBorder="1" applyAlignment="1" applyProtection="1">
      <alignment horizontal="center" vertical="center"/>
      <protection locked="0"/>
    </xf>
    <xf numFmtId="0" fontId="0" fillId="0" borderId="83" xfId="0" applyBorder="1" applyAlignment="1" applyProtection="1">
      <alignment horizontal="center" vertical="center"/>
      <protection locked="0"/>
    </xf>
    <xf numFmtId="0" fontId="150" fillId="0" borderId="3" xfId="0" applyFont="1" applyBorder="1" applyAlignment="1">
      <alignment horizontal="center" vertical="center"/>
    </xf>
    <xf numFmtId="0" fontId="175" fillId="0" borderId="35" xfId="0" applyFont="1" applyBorder="1" applyAlignment="1">
      <alignment horizontal="center" vertical="center"/>
    </xf>
    <xf numFmtId="0" fontId="156" fillId="17" borderId="223" xfId="0" applyFont="1" applyFill="1" applyBorder="1" applyAlignment="1">
      <alignment horizontal="center" vertical="center" wrapText="1"/>
    </xf>
    <xf numFmtId="0" fontId="196" fillId="17" borderId="227" xfId="0" applyFont="1" applyFill="1" applyBorder="1" applyAlignment="1">
      <alignment horizontal="center" vertical="center" wrapText="1"/>
    </xf>
    <xf numFmtId="0" fontId="196" fillId="17" borderId="224" xfId="0" applyFont="1" applyFill="1" applyBorder="1" applyAlignment="1">
      <alignment horizontal="center" vertical="center" wrapText="1"/>
    </xf>
    <xf numFmtId="0" fontId="196" fillId="0" borderId="209" xfId="0" applyFont="1" applyBorder="1" applyAlignment="1">
      <alignment horizontal="center" vertical="center" wrapText="1"/>
    </xf>
    <xf numFmtId="0" fontId="196" fillId="0" borderId="189" xfId="0" applyFont="1" applyBorder="1" applyAlignment="1">
      <alignment horizontal="center" vertical="center" wrapText="1"/>
    </xf>
    <xf numFmtId="0" fontId="196" fillId="0" borderId="211" xfId="0" applyFont="1" applyBorder="1" applyAlignment="1">
      <alignment horizontal="center" vertical="center" wrapText="1"/>
    </xf>
    <xf numFmtId="0" fontId="4" fillId="0" borderId="5" xfId="0" applyFont="1" applyBorder="1" applyAlignment="1">
      <alignment horizontal="left"/>
    </xf>
    <xf numFmtId="0" fontId="4" fillId="0" borderId="41" xfId="0" applyFont="1" applyBorder="1" applyAlignment="1">
      <alignment horizontal="left"/>
    </xf>
    <xf numFmtId="0" fontId="4" fillId="0" borderId="8" xfId="0" applyFont="1" applyBorder="1" applyAlignment="1">
      <alignment horizontal="left"/>
    </xf>
    <xf numFmtId="0" fontId="4" fillId="7" borderId="69" xfId="0" applyFont="1" applyFill="1" applyBorder="1" applyAlignment="1">
      <alignment horizontal="left" vertical="center"/>
    </xf>
    <xf numFmtId="0" fontId="4" fillId="7" borderId="104" xfId="0" applyFont="1" applyFill="1" applyBorder="1" applyAlignment="1">
      <alignment horizontal="left" vertical="center"/>
    </xf>
    <xf numFmtId="0" fontId="4" fillId="7" borderId="83" xfId="0" applyFont="1" applyFill="1" applyBorder="1" applyAlignment="1">
      <alignment horizontal="left" vertical="center"/>
    </xf>
    <xf numFmtId="0" fontId="102" fillId="0" borderId="2" xfId="0" applyFont="1" applyBorder="1" applyAlignment="1">
      <alignment horizontal="center" vertical="center"/>
    </xf>
    <xf numFmtId="0" fontId="1" fillId="0" borderId="26" xfId="0" applyFont="1" applyBorder="1" applyAlignment="1">
      <alignment horizontal="center" vertical="center"/>
    </xf>
    <xf numFmtId="0" fontId="11" fillId="0" borderId="2" xfId="0" applyFont="1" applyBorder="1" applyAlignment="1">
      <alignment horizontal="center"/>
    </xf>
    <xf numFmtId="0" fontId="11" fillId="0" borderId="26" xfId="0" applyFont="1" applyBorder="1" applyAlignment="1">
      <alignment horizontal="center"/>
    </xf>
    <xf numFmtId="0" fontId="0" fillId="0" borderId="6" xfId="0" applyBorder="1" applyAlignment="1">
      <alignment horizontal="center" vertical="center"/>
    </xf>
    <xf numFmtId="0" fontId="19" fillId="0" borderId="366" xfId="0" applyFont="1" applyBorder="1" applyAlignment="1" applyProtection="1">
      <alignment horizontal="left" vertical="center"/>
      <protection locked="0"/>
    </xf>
    <xf numFmtId="0" fontId="0" fillId="0" borderId="304" xfId="0" applyBorder="1" applyAlignment="1" applyProtection="1">
      <alignment vertical="center"/>
      <protection locked="0"/>
    </xf>
    <xf numFmtId="0" fontId="19" fillId="0" borderId="228" xfId="0" applyFont="1" applyBorder="1" applyAlignment="1" applyProtection="1">
      <alignment horizontal="left" vertical="center"/>
      <protection locked="0"/>
    </xf>
    <xf numFmtId="0" fontId="0" fillId="0" borderId="60" xfId="0" applyBorder="1" applyAlignment="1" applyProtection="1">
      <alignment vertical="center"/>
      <protection locked="0"/>
    </xf>
    <xf numFmtId="0" fontId="19" fillId="0" borderId="309" xfId="0" applyFont="1" applyBorder="1" applyAlignment="1" applyProtection="1">
      <alignment horizontal="left" vertical="center"/>
      <protection locked="0"/>
    </xf>
    <xf numFmtId="0" fontId="0" fillId="0" borderId="187" xfId="0" applyBorder="1" applyAlignment="1" applyProtection="1">
      <alignment vertical="center"/>
      <protection locked="0"/>
    </xf>
    <xf numFmtId="0" fontId="13" fillId="0" borderId="2" xfId="0" applyFont="1" applyBorder="1" applyAlignment="1">
      <alignment horizontal="center" vertical="center"/>
    </xf>
    <xf numFmtId="0" fontId="2" fillId="0" borderId="26" xfId="0" applyFont="1" applyBorder="1" applyAlignment="1">
      <alignment horizontal="center" vertical="center"/>
    </xf>
    <xf numFmtId="0" fontId="19" fillId="0" borderId="364" xfId="0" applyFont="1" applyBorder="1" applyAlignment="1" applyProtection="1">
      <alignment horizontal="left" vertical="center"/>
      <protection locked="0"/>
    </xf>
    <xf numFmtId="0" fontId="19" fillId="0" borderId="334" xfId="0" applyFont="1" applyBorder="1" applyAlignment="1" applyProtection="1">
      <alignment horizontal="left" vertical="center"/>
      <protection locked="0"/>
    </xf>
    <xf numFmtId="0" fontId="141" fillId="0" borderId="2" xfId="0" applyFont="1" applyBorder="1" applyAlignment="1">
      <alignment horizontal="center" vertical="center"/>
    </xf>
    <xf numFmtId="0" fontId="224" fillId="0" borderId="26" xfId="0" applyFont="1" applyBorder="1" applyAlignment="1">
      <alignment horizontal="center" vertical="center"/>
    </xf>
    <xf numFmtId="0" fontId="0" fillId="0" borderId="59" xfId="0" applyBorder="1" applyAlignment="1">
      <alignment horizontal="center" vertical="center"/>
    </xf>
    <xf numFmtId="0" fontId="19" fillId="7" borderId="199" xfId="0" applyFont="1" applyFill="1" applyBorder="1" applyAlignment="1" applyProtection="1">
      <alignment horizontal="left" vertical="center"/>
      <protection locked="0"/>
    </xf>
    <xf numFmtId="0" fontId="0" fillId="0" borderId="200" xfId="0" applyBorder="1" applyAlignment="1" applyProtection="1">
      <alignment vertical="center"/>
      <protection locked="0"/>
    </xf>
    <xf numFmtId="0" fontId="222" fillId="0" borderId="2" xfId="0" applyFont="1" applyBorder="1" applyAlignment="1">
      <alignment horizontal="center" vertical="center"/>
    </xf>
    <xf numFmtId="0" fontId="223" fillId="0" borderId="26" xfId="0" applyFont="1" applyBorder="1" applyAlignment="1">
      <alignment horizontal="center" vertical="center"/>
    </xf>
    <xf numFmtId="0" fontId="19" fillId="7" borderId="124" xfId="0" applyFont="1" applyFill="1" applyBorder="1" applyAlignment="1" applyProtection="1">
      <alignment horizontal="left" vertical="center"/>
      <protection locked="0"/>
    </xf>
    <xf numFmtId="0" fontId="0" fillId="0" borderId="106" xfId="0" applyBorder="1" applyAlignment="1" applyProtection="1">
      <alignment vertical="center"/>
      <protection locked="0"/>
    </xf>
    <xf numFmtId="0" fontId="19" fillId="7" borderId="110" xfId="0" applyFont="1" applyFill="1" applyBorder="1" applyAlignment="1" applyProtection="1">
      <alignment horizontal="left" vertical="center"/>
      <protection locked="0"/>
    </xf>
    <xf numFmtId="0" fontId="0" fillId="0" borderId="125" xfId="0" applyBorder="1" applyAlignment="1" applyProtection="1">
      <alignment vertical="center"/>
      <protection locked="0"/>
    </xf>
    <xf numFmtId="0" fontId="0" fillId="0" borderId="40" xfId="0" applyBorder="1" applyAlignment="1">
      <alignment horizontal="center" vertical="center"/>
    </xf>
    <xf numFmtId="0" fontId="19" fillId="0" borderId="45" xfId="0" applyFont="1" applyBorder="1" applyAlignment="1" applyProtection="1">
      <alignment horizontal="center" vertical="center"/>
      <protection locked="0"/>
    </xf>
    <xf numFmtId="0" fontId="19" fillId="0" borderId="101" xfId="0" applyFont="1" applyBorder="1" applyAlignment="1" applyProtection="1">
      <alignment horizontal="center" vertical="center"/>
      <protection locked="0"/>
    </xf>
    <xf numFmtId="0" fontId="156" fillId="2" borderId="59" xfId="0" applyFont="1" applyFill="1" applyBorder="1" applyAlignment="1">
      <alignment horizontal="center" vertical="center"/>
    </xf>
    <xf numFmtId="0" fontId="117" fillId="0" borderId="59" xfId="0" applyFont="1" applyBorder="1" applyAlignment="1">
      <alignment horizontal="center" vertical="center"/>
    </xf>
    <xf numFmtId="0" fontId="19" fillId="7" borderId="45" xfId="0" applyFont="1" applyFill="1" applyBorder="1" applyAlignment="1" applyProtection="1">
      <alignment horizontal="left" vertical="center"/>
      <protection locked="0"/>
    </xf>
    <xf numFmtId="0" fontId="19" fillId="7" borderId="101" xfId="0" applyFont="1" applyFill="1" applyBorder="1" applyAlignment="1" applyProtection="1">
      <alignment horizontal="left" vertical="center"/>
      <protection locked="0"/>
    </xf>
    <xf numFmtId="0" fontId="156" fillId="2" borderId="0" xfId="0" applyFont="1" applyFill="1" applyAlignment="1">
      <alignment horizontal="center" vertical="center"/>
    </xf>
    <xf numFmtId="0" fontId="196" fillId="0" borderId="0" xfId="0" applyFont="1" applyAlignment="1">
      <alignment horizontal="center" vertical="center"/>
    </xf>
    <xf numFmtId="0" fontId="19" fillId="7" borderId="41" xfId="0" applyFont="1" applyFill="1" applyBorder="1" applyAlignment="1" applyProtection="1">
      <alignment horizontal="left" vertical="center" wrapText="1"/>
      <protection locked="0"/>
    </xf>
    <xf numFmtId="0" fontId="0" fillId="0" borderId="8" xfId="0" applyBorder="1" applyAlignment="1" applyProtection="1">
      <alignment vertical="center"/>
      <protection locked="0"/>
    </xf>
    <xf numFmtId="0" fontId="4" fillId="0" borderId="3" xfId="0" applyFont="1" applyBorder="1" applyAlignment="1">
      <alignment horizontal="center" vertical="center"/>
    </xf>
    <xf numFmtId="0" fontId="0" fillId="0" borderId="47" xfId="0" applyBorder="1" applyAlignment="1">
      <alignment horizontal="center" vertical="center"/>
    </xf>
    <xf numFmtId="0" fontId="0" fillId="0" borderId="35" xfId="0" applyBorder="1" applyAlignment="1">
      <alignment horizontal="center" vertical="center"/>
    </xf>
    <xf numFmtId="0" fontId="84" fillId="0" borderId="130" xfId="0" applyFont="1" applyBorder="1" applyAlignment="1" applyProtection="1">
      <alignment horizontal="center" vertical="center"/>
      <protection locked="0"/>
    </xf>
    <xf numFmtId="0" fontId="84" fillId="0" borderId="131" xfId="0" applyFont="1" applyBorder="1" applyAlignment="1" applyProtection="1">
      <alignment horizontal="center" vertical="center"/>
      <protection locked="0"/>
    </xf>
    <xf numFmtId="0" fontId="110" fillId="2" borderId="0" xfId="0" applyFont="1" applyFill="1" applyAlignment="1">
      <alignment horizontal="center" vertical="center"/>
    </xf>
    <xf numFmtId="0" fontId="7" fillId="6" borderId="52" xfId="0" applyFont="1" applyFill="1" applyBorder="1" applyAlignment="1">
      <alignment horizontal="center" vertical="center" wrapText="1"/>
    </xf>
    <xf numFmtId="0" fontId="7" fillId="6" borderId="59" xfId="0" applyFont="1" applyFill="1" applyBorder="1" applyAlignment="1">
      <alignment horizontal="center" vertical="center" wrapText="1"/>
    </xf>
    <xf numFmtId="0" fontId="7" fillId="6" borderId="6" xfId="0" applyFont="1" applyFill="1" applyBorder="1" applyAlignment="1">
      <alignment horizontal="center" vertical="center" wrapText="1"/>
    </xf>
    <xf numFmtId="0" fontId="4" fillId="0" borderId="252" xfId="0" applyFont="1" applyBorder="1" applyAlignment="1">
      <alignment horizontal="left"/>
    </xf>
    <xf numFmtId="0" fontId="0" fillId="0" borderId="252" xfId="0" applyBorder="1"/>
    <xf numFmtId="0" fontId="4" fillId="7" borderId="252" xfId="0" applyFont="1" applyFill="1" applyBorder="1" applyAlignment="1">
      <alignment horizontal="left" vertical="center"/>
    </xf>
    <xf numFmtId="0" fontId="2" fillId="0" borderId="252" xfId="0" applyFont="1" applyBorder="1" applyAlignment="1">
      <alignment horizontal="left"/>
    </xf>
    <xf numFmtId="0" fontId="7" fillId="18" borderId="252" xfId="0" applyFont="1" applyFill="1" applyBorder="1" applyAlignment="1">
      <alignment horizontal="center"/>
    </xf>
    <xf numFmtId="0" fontId="7" fillId="0" borderId="252" xfId="0" applyFont="1" applyBorder="1" applyAlignment="1">
      <alignment horizontal="center"/>
    </xf>
    <xf numFmtId="0" fontId="109" fillId="17" borderId="223" xfId="0" applyFont="1" applyFill="1" applyBorder="1" applyAlignment="1" applyProtection="1">
      <alignment vertical="top" wrapText="1"/>
      <protection locked="0"/>
    </xf>
    <xf numFmtId="0" fontId="109" fillId="17" borderId="227" xfId="0" applyFont="1" applyFill="1" applyBorder="1" applyAlignment="1" applyProtection="1">
      <alignment vertical="top" wrapText="1"/>
      <protection locked="0"/>
    </xf>
    <xf numFmtId="0" fontId="109" fillId="17" borderId="224" xfId="0" applyFont="1" applyFill="1" applyBorder="1" applyAlignment="1" applyProtection="1">
      <alignment vertical="top" wrapText="1"/>
      <protection locked="0"/>
    </xf>
    <xf numFmtId="0" fontId="109" fillId="17" borderId="209" xfId="0" applyFont="1" applyFill="1" applyBorder="1" applyAlignment="1" applyProtection="1">
      <alignment vertical="top" wrapText="1"/>
      <protection locked="0"/>
    </xf>
    <xf numFmtId="0" fontId="109" fillId="17" borderId="127" xfId="0" applyFont="1" applyFill="1" applyBorder="1" applyAlignment="1" applyProtection="1">
      <alignment vertical="top" wrapText="1"/>
      <protection locked="0"/>
    </xf>
    <xf numFmtId="0" fontId="109" fillId="17" borderId="211" xfId="0" applyFont="1" applyFill="1" applyBorder="1" applyAlignment="1" applyProtection="1">
      <alignment vertical="top" wrapText="1"/>
      <protection locked="0"/>
    </xf>
    <xf numFmtId="0" fontId="4" fillId="7" borderId="251" xfId="0" applyFont="1" applyFill="1" applyBorder="1" applyAlignment="1">
      <alignment horizontal="left" vertical="center"/>
    </xf>
    <xf numFmtId="0" fontId="2" fillId="0" borderId="251" xfId="0" applyFont="1" applyBorder="1" applyAlignment="1">
      <alignment horizontal="left"/>
    </xf>
    <xf numFmtId="0" fontId="7" fillId="19" borderId="38" xfId="0" applyFont="1" applyFill="1" applyBorder="1" applyAlignment="1">
      <alignment horizontal="center" vertical="center"/>
    </xf>
    <xf numFmtId="0" fontId="4" fillId="19" borderId="40" xfId="0" applyFont="1" applyFill="1" applyBorder="1" applyAlignment="1">
      <alignment horizontal="center" vertical="center"/>
    </xf>
    <xf numFmtId="0" fontId="4" fillId="19" borderId="49" xfId="0" applyFont="1" applyFill="1" applyBorder="1" applyAlignment="1">
      <alignment horizontal="center" vertical="center"/>
    </xf>
    <xf numFmtId="0" fontId="19" fillId="7" borderId="364" xfId="0" applyFont="1" applyFill="1" applyBorder="1" applyAlignment="1" applyProtection="1">
      <alignment horizontal="center" vertical="center"/>
      <protection locked="0"/>
    </xf>
    <xf numFmtId="0" fontId="19" fillId="7" borderId="334" xfId="0" applyFont="1" applyFill="1" applyBorder="1" applyAlignment="1" applyProtection="1">
      <alignment horizontal="center" vertical="center"/>
      <protection locked="0"/>
    </xf>
    <xf numFmtId="0" fontId="57" fillId="0" borderId="38" xfId="0" applyFont="1" applyBorder="1" applyAlignment="1">
      <alignment horizontal="center" vertical="center" wrapText="1"/>
    </xf>
    <xf numFmtId="0" fontId="57" fillId="0" borderId="40" xfId="0" applyFont="1" applyBorder="1" applyAlignment="1">
      <alignment horizontal="center" vertical="center" wrapText="1"/>
    </xf>
    <xf numFmtId="0" fontId="57" fillId="0" borderId="49" xfId="0" applyFont="1" applyBorder="1" applyAlignment="1">
      <alignment horizontal="center" vertical="center" wrapText="1"/>
    </xf>
    <xf numFmtId="0" fontId="57" fillId="0" borderId="3" xfId="0" applyFont="1" applyBorder="1" applyAlignment="1">
      <alignment horizontal="center" vertical="center" wrapText="1"/>
    </xf>
    <xf numFmtId="0" fontId="57" fillId="0" borderId="47" xfId="0" applyFont="1" applyBorder="1" applyAlignment="1">
      <alignment horizontal="center" vertical="center" wrapText="1"/>
    </xf>
    <xf numFmtId="0" fontId="57" fillId="0" borderId="48" xfId="0" applyFont="1" applyBorder="1" applyAlignment="1">
      <alignment horizontal="center" vertical="center" wrapText="1"/>
    </xf>
    <xf numFmtId="0" fontId="4" fillId="17" borderId="2" xfId="0" applyFont="1" applyFill="1" applyBorder="1" applyAlignment="1">
      <alignment horizontal="center" vertical="center"/>
    </xf>
    <xf numFmtId="0" fontId="4" fillId="17" borderId="0" xfId="0" applyFont="1" applyFill="1" applyAlignment="1">
      <alignment horizontal="center" vertical="center"/>
    </xf>
    <xf numFmtId="0" fontId="84" fillId="0" borderId="364" xfId="0" applyFont="1" applyBorder="1" applyAlignment="1" applyProtection="1">
      <alignment horizontal="center" vertical="center"/>
      <protection locked="0"/>
    </xf>
    <xf numFmtId="0" fontId="84" fillId="0" borderId="334" xfId="0" applyFont="1" applyBorder="1" applyAlignment="1" applyProtection="1">
      <alignment horizontal="center" vertical="center"/>
      <protection locked="0"/>
    </xf>
    <xf numFmtId="0" fontId="19" fillId="7" borderId="241" xfId="0" applyFont="1" applyFill="1" applyBorder="1" applyAlignment="1" applyProtection="1">
      <alignment horizontal="left" vertical="center"/>
      <protection locked="0"/>
    </xf>
    <xf numFmtId="0" fontId="0" fillId="0" borderId="83" xfId="0" applyBorder="1" applyAlignment="1" applyProtection="1">
      <alignment vertical="center"/>
      <protection locked="0"/>
    </xf>
    <xf numFmtId="0" fontId="19" fillId="7" borderId="41" xfId="0" applyFont="1" applyFill="1" applyBorder="1" applyAlignment="1" applyProtection="1">
      <alignment horizontal="left" vertical="center"/>
      <protection locked="0"/>
    </xf>
    <xf numFmtId="0" fontId="4" fillId="23" borderId="40" xfId="0" applyFont="1" applyFill="1" applyBorder="1" applyAlignment="1">
      <alignment horizontal="center" vertical="center"/>
    </xf>
    <xf numFmtId="0" fontId="4" fillId="23" borderId="49" xfId="0" applyFont="1" applyFill="1" applyBorder="1" applyAlignment="1">
      <alignment horizontal="center" vertical="center"/>
    </xf>
    <xf numFmtId="0" fontId="124" fillId="23" borderId="333" xfId="0" applyFont="1" applyFill="1" applyBorder="1" applyAlignment="1" applyProtection="1">
      <alignment horizontal="center" vertical="center"/>
      <protection locked="0"/>
    </xf>
    <xf numFmtId="0" fontId="124" fillId="23" borderId="329" xfId="0" applyFont="1" applyFill="1" applyBorder="1" applyAlignment="1" applyProtection="1">
      <alignment horizontal="center" vertical="center"/>
      <protection locked="0"/>
    </xf>
    <xf numFmtId="0" fontId="20" fillId="0" borderId="63" xfId="0" applyFont="1" applyBorder="1" applyAlignment="1">
      <alignment horizontal="center"/>
    </xf>
    <xf numFmtId="0" fontId="20" fillId="0" borderId="108" xfId="0" applyFont="1" applyBorder="1" applyAlignment="1">
      <alignment horizontal="center"/>
    </xf>
    <xf numFmtId="0" fontId="32" fillId="0" borderId="3" xfId="0" applyFont="1" applyBorder="1" applyAlignment="1">
      <alignment horizontal="center" vertical="center"/>
    </xf>
    <xf numFmtId="0" fontId="32" fillId="0" borderId="47" xfId="0" applyFont="1" applyBorder="1" applyAlignment="1">
      <alignment horizontal="center" vertical="center"/>
    </xf>
    <xf numFmtId="0" fontId="32" fillId="0" borderId="48" xfId="0" applyFont="1" applyBorder="1" applyAlignment="1">
      <alignment horizontal="center" vertical="center"/>
    </xf>
    <xf numFmtId="0" fontId="6" fillId="2" borderId="0" xfId="0" applyFont="1" applyFill="1" applyAlignment="1">
      <alignment horizontal="center" vertical="center"/>
    </xf>
    <xf numFmtId="0" fontId="70" fillId="0" borderId="0" xfId="0" applyFont="1" applyAlignment="1">
      <alignment vertical="center"/>
    </xf>
    <xf numFmtId="0" fontId="6" fillId="2" borderId="0" xfId="0" applyFont="1" applyFill="1" applyAlignment="1">
      <alignment horizontal="center" vertical="center" wrapText="1"/>
    </xf>
    <xf numFmtId="0" fontId="0" fillId="0" borderId="127" xfId="0" applyBorder="1" applyAlignment="1">
      <alignment horizontal="center" vertical="center" wrapText="1"/>
    </xf>
    <xf numFmtId="0" fontId="102" fillId="17" borderId="3" xfId="0" applyFont="1" applyFill="1" applyBorder="1" applyAlignment="1">
      <alignment horizontal="center" vertical="center"/>
    </xf>
    <xf numFmtId="0" fontId="102" fillId="17" borderId="35" xfId="0" applyFont="1" applyFill="1" applyBorder="1" applyAlignment="1">
      <alignment horizontal="center" vertical="center"/>
    </xf>
    <xf numFmtId="0" fontId="32" fillId="17" borderId="52" xfId="0" applyFont="1" applyFill="1" applyBorder="1" applyAlignment="1">
      <alignment horizontal="center" vertical="center"/>
    </xf>
    <xf numFmtId="0" fontId="8" fillId="17" borderId="59" xfId="0" applyFont="1" applyFill="1" applyBorder="1" applyAlignment="1">
      <alignment horizontal="center" vertical="center"/>
    </xf>
    <xf numFmtId="0" fontId="8" fillId="17" borderId="6" xfId="0" applyFont="1" applyFill="1" applyBorder="1" applyAlignment="1">
      <alignment horizontal="center" vertical="center"/>
    </xf>
    <xf numFmtId="0" fontId="7" fillId="0" borderId="59" xfId="0" applyFont="1" applyBorder="1" applyAlignment="1">
      <alignment horizontal="center" vertical="center"/>
    </xf>
    <xf numFmtId="0" fontId="7" fillId="0" borderId="6" xfId="0" applyFont="1" applyBorder="1" applyAlignment="1">
      <alignment horizontal="center" vertical="center"/>
    </xf>
    <xf numFmtId="0" fontId="7" fillId="6" borderId="38" xfId="0" applyFont="1" applyFill="1" applyBorder="1" applyAlignment="1">
      <alignment horizontal="center" vertical="center"/>
    </xf>
    <xf numFmtId="0" fontId="7" fillId="0" borderId="40" xfId="0" applyFont="1" applyBorder="1" applyAlignment="1">
      <alignment horizontal="center" vertical="center"/>
    </xf>
    <xf numFmtId="0" fontId="7" fillId="0" borderId="49" xfId="0" applyFont="1" applyBorder="1" applyAlignment="1">
      <alignment horizontal="center" vertical="center"/>
    </xf>
    <xf numFmtId="0" fontId="135" fillId="17" borderId="103" xfId="0" applyFont="1" applyFill="1" applyBorder="1" applyAlignment="1" applyProtection="1">
      <alignment horizontal="left" vertical="center"/>
      <protection locked="0"/>
    </xf>
    <xf numFmtId="0" fontId="135" fillId="0" borderId="106" xfId="0" applyFont="1" applyBorder="1" applyAlignment="1" applyProtection="1">
      <alignment horizontal="left" vertical="center"/>
      <protection locked="0"/>
    </xf>
    <xf numFmtId="0" fontId="19" fillId="17" borderId="302" xfId="0" applyFont="1" applyFill="1" applyBorder="1" applyAlignment="1" applyProtection="1">
      <alignment horizontal="left" vertical="center"/>
      <protection locked="0"/>
    </xf>
    <xf numFmtId="0" fontId="135" fillId="17" borderId="41" xfId="0" applyFont="1" applyFill="1" applyBorder="1" applyAlignment="1" applyProtection="1">
      <alignment horizontal="left" vertical="center"/>
      <protection locked="0"/>
    </xf>
    <xf numFmtId="0" fontId="135" fillId="17" borderId="8" xfId="0" applyFont="1" applyFill="1" applyBorder="1" applyAlignment="1" applyProtection="1">
      <alignment horizontal="left" vertical="center"/>
      <protection locked="0"/>
    </xf>
    <xf numFmtId="0" fontId="4" fillId="0" borderId="238" xfId="0" applyFont="1" applyBorder="1" applyAlignment="1">
      <alignment horizontal="left"/>
    </xf>
    <xf numFmtId="0" fontId="0" fillId="0" borderId="220" xfId="0" applyBorder="1"/>
    <xf numFmtId="0" fontId="0" fillId="0" borderId="233" xfId="0" applyBorder="1"/>
    <xf numFmtId="0" fontId="4" fillId="7" borderId="238" xfId="0" applyFont="1" applyFill="1" applyBorder="1" applyAlignment="1">
      <alignment horizontal="left" vertical="center"/>
    </xf>
    <xf numFmtId="0" fontId="4" fillId="7" borderId="233" xfId="0" applyFont="1" applyFill="1" applyBorder="1" applyAlignment="1">
      <alignment horizontal="left" vertical="center"/>
    </xf>
    <xf numFmtId="0" fontId="113" fillId="0" borderId="0" xfId="0" applyFont="1" applyAlignment="1">
      <alignment horizontal="center" vertical="center" wrapText="1"/>
    </xf>
    <xf numFmtId="0" fontId="113" fillId="0" borderId="0" xfId="0" applyFont="1" applyAlignment="1">
      <alignment horizontal="center" vertical="center"/>
    </xf>
    <xf numFmtId="0" fontId="166" fillId="0" borderId="0" xfId="0" applyFont="1" applyAlignment="1">
      <alignment vertical="center" wrapText="1"/>
    </xf>
    <xf numFmtId="0" fontId="4" fillId="6" borderId="1" xfId="0" applyFont="1" applyFill="1" applyBorder="1" applyAlignment="1" applyProtection="1">
      <alignment horizontal="left" vertical="center"/>
      <protection hidden="1"/>
    </xf>
    <xf numFmtId="0" fontId="4" fillId="0" borderId="1" xfId="0" applyFont="1" applyBorder="1" applyAlignment="1">
      <alignment horizontal="center" vertical="center"/>
    </xf>
    <xf numFmtId="0" fontId="47" fillId="0" borderId="1" xfId="0" applyFont="1" applyBorder="1" applyAlignment="1" applyProtection="1">
      <alignment horizontal="left" vertical="center" wrapText="1"/>
      <protection locked="0"/>
    </xf>
    <xf numFmtId="0" fontId="32" fillId="0" borderId="28" xfId="0" applyFont="1" applyBorder="1" applyAlignment="1">
      <alignment horizontal="center" vertical="center"/>
    </xf>
    <xf numFmtId="0" fontId="32" fillId="0" borderId="29" xfId="0" applyFont="1" applyBorder="1" applyAlignment="1">
      <alignment horizontal="center" vertical="center"/>
    </xf>
    <xf numFmtId="0" fontId="32" fillId="0" borderId="42" xfId="0" applyFont="1" applyBorder="1" applyAlignment="1">
      <alignment horizontal="center" vertical="center"/>
    </xf>
    <xf numFmtId="0" fontId="32" fillId="0" borderId="19" xfId="0" applyFont="1" applyBorder="1" applyAlignment="1">
      <alignment horizontal="center" vertical="center"/>
    </xf>
    <xf numFmtId="0" fontId="32" fillId="0" borderId="46" xfId="0" applyFont="1" applyBorder="1" applyAlignment="1">
      <alignment horizontal="center" vertical="center"/>
    </xf>
    <xf numFmtId="0" fontId="32" fillId="0" borderId="30" xfId="0" applyFont="1" applyBorder="1" applyAlignment="1">
      <alignment horizontal="center" vertical="center"/>
    </xf>
    <xf numFmtId="0" fontId="4" fillId="0" borderId="43" xfId="0" applyFont="1" applyBorder="1" applyAlignment="1">
      <alignment horizontal="center" vertical="center"/>
    </xf>
    <xf numFmtId="0" fontId="4" fillId="0" borderId="26" xfId="0" applyFont="1" applyBorder="1" applyAlignment="1">
      <alignment horizontal="center" vertical="center"/>
    </xf>
    <xf numFmtId="0" fontId="4" fillId="8" borderId="24" xfId="0" applyFont="1" applyFill="1" applyBorder="1" applyAlignment="1">
      <alignment horizontal="center" vertical="center"/>
    </xf>
    <xf numFmtId="0" fontId="4" fillId="0" borderId="13" xfId="0" applyFont="1" applyBorder="1" applyAlignment="1">
      <alignment horizontal="center" vertical="center"/>
    </xf>
    <xf numFmtId="0" fontId="19" fillId="17" borderId="124" xfId="0" applyFont="1" applyFill="1" applyBorder="1" applyAlignment="1" applyProtection="1">
      <alignment vertical="center"/>
      <protection locked="0"/>
    </xf>
    <xf numFmtId="0" fontId="7" fillId="6" borderId="28" xfId="0" applyFont="1" applyFill="1" applyBorder="1" applyAlignment="1">
      <alignment horizontal="center" vertical="center" wrapText="1"/>
    </xf>
    <xf numFmtId="0" fontId="7" fillId="6" borderId="29" xfId="0" applyFont="1" applyFill="1" applyBorder="1" applyAlignment="1">
      <alignment horizontal="center" vertical="center" wrapText="1"/>
    </xf>
    <xf numFmtId="0" fontId="7" fillId="6" borderId="42" xfId="0" applyFont="1" applyFill="1" applyBorder="1" applyAlignment="1">
      <alignment horizontal="center" vertical="center" wrapText="1"/>
    </xf>
    <xf numFmtId="0" fontId="7" fillId="6" borderId="24" xfId="0" applyFont="1" applyFill="1" applyBorder="1" applyAlignment="1">
      <alignment horizontal="right" vertical="center"/>
    </xf>
    <xf numFmtId="0" fontId="4" fillId="0" borderId="25" xfId="0" applyFont="1" applyBorder="1" applyAlignment="1">
      <alignment horizontal="right" vertical="center"/>
    </xf>
    <xf numFmtId="0" fontId="7" fillId="8" borderId="1" xfId="0" applyFont="1" applyFill="1" applyBorder="1" applyAlignment="1">
      <alignment horizontal="center" vertical="center" wrapText="1"/>
    </xf>
    <xf numFmtId="0" fontId="4" fillId="0" borderId="1" xfId="0" applyFont="1" applyBorder="1" applyAlignment="1">
      <alignment vertical="center" wrapText="1"/>
    </xf>
    <xf numFmtId="0" fontId="4" fillId="25" borderId="114" xfId="0" applyFont="1" applyFill="1" applyBorder="1" applyAlignment="1">
      <alignment horizontal="center" vertical="center"/>
    </xf>
    <xf numFmtId="0" fontId="4" fillId="25" borderId="118" xfId="0" applyFont="1" applyFill="1" applyBorder="1" applyAlignment="1">
      <alignment horizontal="center" vertical="center"/>
    </xf>
    <xf numFmtId="11" fontId="113" fillId="0" borderId="0" xfId="0" applyNumberFormat="1" applyFont="1" applyAlignment="1">
      <alignment horizontal="center" vertical="center" wrapText="1"/>
    </xf>
    <xf numFmtId="0" fontId="7" fillId="6" borderId="1" xfId="0" applyFont="1" applyFill="1" applyBorder="1" applyAlignment="1">
      <alignment horizontal="center" vertical="center" wrapText="1"/>
    </xf>
    <xf numFmtId="0" fontId="19" fillId="0" borderId="320" xfId="0" applyFont="1" applyBorder="1" applyAlignment="1" applyProtection="1">
      <alignment horizontal="center" vertical="center"/>
      <protection locked="0"/>
    </xf>
    <xf numFmtId="0" fontId="0" fillId="0" borderId="320" xfId="0" applyBorder="1" applyAlignment="1">
      <alignment horizontal="center" vertical="center"/>
    </xf>
    <xf numFmtId="0" fontId="4" fillId="0" borderId="19" xfId="0" applyFont="1" applyBorder="1" applyAlignment="1">
      <alignment horizontal="center" vertical="center"/>
    </xf>
    <xf numFmtId="0" fontId="4" fillId="0" borderId="30" xfId="0" applyFont="1" applyBorder="1" applyAlignment="1">
      <alignment horizontal="center" vertical="center"/>
    </xf>
    <xf numFmtId="0" fontId="4" fillId="0" borderId="77" xfId="0" applyFont="1" applyBorder="1" applyAlignment="1">
      <alignment horizontal="center" vertical="center"/>
    </xf>
    <xf numFmtId="0" fontId="4" fillId="0" borderId="75" xfId="0" applyFont="1" applyBorder="1" applyAlignment="1">
      <alignment horizontal="center" vertical="center"/>
    </xf>
    <xf numFmtId="0" fontId="4" fillId="0" borderId="24" xfId="0" applyFont="1" applyBorder="1" applyAlignment="1">
      <alignment horizontal="center" vertical="center"/>
    </xf>
    <xf numFmtId="0" fontId="13" fillId="0" borderId="43" xfId="0" applyFont="1" applyBorder="1" applyAlignment="1">
      <alignment horizontal="center" vertical="center"/>
    </xf>
    <xf numFmtId="0" fontId="32" fillId="0" borderId="43" xfId="0" applyFont="1" applyBorder="1" applyAlignment="1">
      <alignment horizontal="center" vertical="center"/>
    </xf>
    <xf numFmtId="0" fontId="32" fillId="0" borderId="0" xfId="0" applyFont="1" applyAlignment="1">
      <alignment horizontal="center" vertical="center"/>
    </xf>
    <xf numFmtId="0" fontId="7" fillId="0" borderId="0" xfId="0" applyFont="1" applyAlignment="1">
      <alignment horizontal="center" vertical="center"/>
    </xf>
    <xf numFmtId="0" fontId="7" fillId="0" borderId="26" xfId="0" applyFont="1" applyBorder="1" applyAlignment="1">
      <alignment horizontal="center" vertical="center"/>
    </xf>
    <xf numFmtId="0" fontId="32" fillId="0" borderId="225" xfId="0" applyFont="1" applyBorder="1" applyAlignment="1">
      <alignment horizontal="center" vertical="center"/>
    </xf>
    <xf numFmtId="0" fontId="32" fillId="0" borderId="26" xfId="0" applyFont="1" applyBorder="1" applyAlignment="1">
      <alignment horizontal="center" vertical="center"/>
    </xf>
    <xf numFmtId="0" fontId="212" fillId="0" borderId="225" xfId="0" applyFont="1" applyBorder="1" applyAlignment="1">
      <alignment horizontal="center" vertical="center"/>
    </xf>
    <xf numFmtId="0" fontId="213" fillId="0" borderId="26" xfId="0" applyFont="1" applyBorder="1" applyAlignment="1">
      <alignment horizontal="center" vertical="center"/>
    </xf>
    <xf numFmtId="0" fontId="32" fillId="0" borderId="225" xfId="0" applyFont="1" applyBorder="1" applyAlignment="1">
      <alignment horizontal="left" vertical="center"/>
    </xf>
    <xf numFmtId="0" fontId="0" fillId="0" borderId="26" xfId="0" applyBorder="1" applyAlignment="1">
      <alignment vertical="center"/>
    </xf>
    <xf numFmtId="0" fontId="208" fillId="0" borderId="43" xfId="0" applyFont="1" applyBorder="1" applyAlignment="1">
      <alignment horizontal="center" vertical="center"/>
    </xf>
    <xf numFmtId="0" fontId="208" fillId="0" borderId="26" xfId="0" applyFont="1" applyBorder="1" applyAlignment="1">
      <alignment horizontal="center" vertical="center"/>
    </xf>
    <xf numFmtId="0" fontId="113" fillId="0" borderId="0" xfId="0" applyFont="1" applyAlignment="1">
      <alignment vertical="center"/>
    </xf>
    <xf numFmtId="0" fontId="7" fillId="6" borderId="19" xfId="0" applyFont="1" applyFill="1" applyBorder="1" applyAlignment="1">
      <alignment horizontal="center" vertical="center"/>
    </xf>
    <xf numFmtId="0" fontId="7" fillId="6" borderId="46" xfId="0" applyFont="1" applyFill="1" applyBorder="1" applyAlignment="1">
      <alignment horizontal="center" vertical="center"/>
    </xf>
    <xf numFmtId="0" fontId="7" fillId="6" borderId="30" xfId="0" applyFont="1" applyFill="1" applyBorder="1" applyAlignment="1">
      <alignment horizontal="center" vertical="center"/>
    </xf>
    <xf numFmtId="0" fontId="7" fillId="6" borderId="99" xfId="0" applyFont="1" applyFill="1" applyBorder="1" applyAlignment="1">
      <alignment horizontal="center" vertical="center" wrapText="1"/>
    </xf>
    <xf numFmtId="0" fontId="32" fillId="0" borderId="24" xfId="0" applyFont="1" applyBorder="1" applyAlignment="1">
      <alignment horizontal="center" vertical="center"/>
    </xf>
    <xf numFmtId="0" fontId="32" fillId="0" borderId="25" xfId="0" applyFont="1" applyBorder="1" applyAlignment="1">
      <alignment horizontal="center" vertical="center"/>
    </xf>
    <xf numFmtId="0" fontId="32" fillId="0" borderId="13" xfId="0" applyFont="1" applyBorder="1" applyAlignment="1">
      <alignment horizontal="center" vertical="center"/>
    </xf>
    <xf numFmtId="0" fontId="113" fillId="0" borderId="0" xfId="0" applyFont="1" applyAlignment="1">
      <alignment vertical="center" wrapText="1"/>
    </xf>
    <xf numFmtId="0" fontId="4" fillId="0" borderId="28" xfId="0" applyFont="1" applyBorder="1" applyAlignment="1">
      <alignment horizontal="center" vertical="center"/>
    </xf>
    <xf numFmtId="0" fontId="4" fillId="0" borderId="29" xfId="0" applyFont="1" applyBorder="1" applyAlignment="1">
      <alignment horizontal="center" vertical="center"/>
    </xf>
    <xf numFmtId="0" fontId="4" fillId="18" borderId="0" xfId="0" applyFont="1" applyFill="1" applyAlignment="1">
      <alignment horizontal="right" vertical="center"/>
    </xf>
    <xf numFmtId="0" fontId="7" fillId="0" borderId="99" xfId="0" applyFont="1" applyBorder="1" applyAlignment="1" applyProtection="1">
      <alignment horizontal="left" vertical="center"/>
      <protection locked="0"/>
    </xf>
    <xf numFmtId="0" fontId="4" fillId="18" borderId="0" xfId="0" applyFont="1" applyFill="1" applyAlignment="1">
      <alignment horizontal="right" vertical="center" wrapText="1"/>
    </xf>
    <xf numFmtId="0" fontId="7" fillId="0" borderId="124" xfId="0" applyFont="1" applyBorder="1" applyAlignment="1" applyProtection="1">
      <alignment horizontal="left" vertical="center"/>
      <protection locked="0"/>
    </xf>
    <xf numFmtId="0" fontId="7" fillId="6" borderId="366" xfId="0" applyFont="1" applyFill="1" applyBorder="1" applyAlignment="1">
      <alignment horizontal="center" vertical="center" wrapText="1"/>
    </xf>
    <xf numFmtId="0" fontId="7" fillId="0" borderId="1" xfId="0" applyFont="1" applyBorder="1" applyAlignment="1">
      <alignment horizontal="center" vertical="center"/>
    </xf>
    <xf numFmtId="0" fontId="7" fillId="0" borderId="46" xfId="0" applyFont="1" applyBorder="1" applyAlignment="1">
      <alignment horizontal="center" vertical="center" wrapText="1"/>
    </xf>
    <xf numFmtId="0" fontId="7" fillId="0" borderId="30" xfId="0" applyFont="1" applyBorder="1" applyAlignment="1">
      <alignment horizontal="center" vertical="center" wrapText="1"/>
    </xf>
    <xf numFmtId="0" fontId="7" fillId="0" borderId="26"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23" xfId="0" applyFont="1" applyBorder="1" applyAlignment="1">
      <alignment horizontal="center" vertical="center" wrapText="1"/>
    </xf>
    <xf numFmtId="0" fontId="7" fillId="0" borderId="19" xfId="0" applyFont="1" applyBorder="1" applyAlignment="1">
      <alignment horizontal="center" vertical="center" wrapText="1"/>
    </xf>
    <xf numFmtId="0" fontId="7" fillId="0" borderId="43" xfId="0" applyFont="1" applyBorder="1" applyAlignment="1">
      <alignment horizontal="center" vertical="center" wrapText="1"/>
    </xf>
    <xf numFmtId="0" fontId="4" fillId="0" borderId="30" xfId="0" applyFont="1" applyBorder="1" applyAlignment="1">
      <alignment horizontal="center" vertical="center" wrapText="1"/>
    </xf>
    <xf numFmtId="0" fontId="4" fillId="0" borderId="0" xfId="0" applyFont="1" applyAlignment="1">
      <alignment horizontal="center" vertical="center" wrapText="1"/>
    </xf>
    <xf numFmtId="0" fontId="4" fillId="0" borderId="26" xfId="0" applyFont="1" applyBorder="1" applyAlignment="1">
      <alignment horizontal="center" vertical="center" wrapText="1"/>
    </xf>
    <xf numFmtId="14" fontId="105" fillId="35" borderId="177" xfId="0" applyNumberFormat="1" applyFont="1" applyFill="1" applyBorder="1" applyAlignment="1" applyProtection="1">
      <alignment vertical="center"/>
      <protection locked="0"/>
    </xf>
    <xf numFmtId="0" fontId="0" fillId="35" borderId="177" xfId="0" applyFill="1" applyBorder="1" applyAlignment="1" applyProtection="1">
      <alignment vertical="center"/>
      <protection locked="0"/>
    </xf>
    <xf numFmtId="0" fontId="105" fillId="0" borderId="177" xfId="0" applyFont="1" applyBorder="1" applyAlignment="1" applyProtection="1">
      <alignment vertical="center"/>
      <protection locked="0"/>
    </xf>
    <xf numFmtId="0" fontId="106" fillId="0" borderId="177" xfId="0" applyFont="1" applyBorder="1" applyAlignment="1" applyProtection="1">
      <alignment vertical="center"/>
      <protection locked="0"/>
    </xf>
    <xf numFmtId="0" fontId="0" fillId="0" borderId="177" xfId="0" applyBorder="1" applyAlignment="1" applyProtection="1">
      <alignment vertical="center"/>
      <protection locked="0"/>
    </xf>
    <xf numFmtId="0" fontId="74" fillId="7" borderId="0" xfId="0" applyFont="1" applyFill="1" applyAlignment="1">
      <alignment horizontal="center" vertical="center"/>
    </xf>
    <xf numFmtId="0" fontId="98" fillId="0" borderId="0" xfId="0" applyFont="1" applyAlignment="1">
      <alignment horizontal="center" vertical="center"/>
    </xf>
    <xf numFmtId="0" fontId="5" fillId="0" borderId="0" xfId="0" applyFont="1" applyAlignment="1">
      <alignment horizontal="center" vertical="center"/>
    </xf>
    <xf numFmtId="0" fontId="4" fillId="0" borderId="0" xfId="0" applyFont="1" applyAlignment="1">
      <alignment horizontal="center" vertical="center"/>
    </xf>
    <xf numFmtId="0" fontId="11" fillId="7" borderId="0" xfId="0" applyFont="1" applyFill="1" applyAlignment="1">
      <alignment horizontal="center" vertical="center"/>
    </xf>
    <xf numFmtId="0" fontId="65"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vertical="center"/>
    </xf>
    <xf numFmtId="0" fontId="4" fillId="0" borderId="26" xfId="0" applyFont="1" applyBorder="1" applyAlignment="1">
      <alignment vertical="center"/>
    </xf>
    <xf numFmtId="0" fontId="74" fillId="7" borderId="0" xfId="0" applyFont="1" applyFill="1" applyAlignment="1">
      <alignment horizontal="center"/>
    </xf>
    <xf numFmtId="0" fontId="98" fillId="0" borderId="0" xfId="0" applyFont="1" applyAlignment="1">
      <alignment horizontal="center"/>
    </xf>
    <xf numFmtId="0" fontId="6" fillId="0" borderId="0" xfId="0" applyFont="1" applyAlignment="1">
      <alignment horizontal="center" vertical="top"/>
    </xf>
    <xf numFmtId="0" fontId="65" fillId="0" borderId="0" xfId="0" applyFont="1" applyAlignment="1">
      <alignment horizontal="center" vertical="top"/>
    </xf>
    <xf numFmtId="14" fontId="106" fillId="0" borderId="89" xfId="0" applyNumberFormat="1" applyFont="1" applyBorder="1" applyAlignment="1" applyProtection="1">
      <alignment vertical="center"/>
      <protection locked="0"/>
    </xf>
    <xf numFmtId="0" fontId="106" fillId="0" borderId="90" xfId="0" applyFont="1" applyBorder="1" applyAlignment="1" applyProtection="1">
      <alignment vertical="center"/>
      <protection locked="0"/>
    </xf>
    <xf numFmtId="0" fontId="0" fillId="0" borderId="0" xfId="0" applyAlignment="1">
      <alignment horizontal="center"/>
    </xf>
    <xf numFmtId="0" fontId="5" fillId="0" borderId="0" xfId="0" applyFont="1" applyAlignment="1">
      <alignment horizontal="center"/>
    </xf>
    <xf numFmtId="0" fontId="4" fillId="0" borderId="0" xfId="0" applyFont="1"/>
    <xf numFmtId="0" fontId="79" fillId="6" borderId="384" xfId="0" applyFont="1" applyFill="1" applyBorder="1" applyAlignment="1">
      <alignment horizontal="center" vertical="center" wrapText="1"/>
    </xf>
    <xf numFmtId="0" fontId="36" fillId="6" borderId="332" xfId="0" applyFont="1" applyFill="1" applyBorder="1" applyAlignment="1">
      <alignment horizontal="left" textRotation="90"/>
    </xf>
    <xf numFmtId="0" fontId="0" fillId="0" borderId="236" xfId="0" applyBorder="1" applyAlignment="1">
      <alignment horizontal="left" textRotation="90"/>
    </xf>
    <xf numFmtId="0" fontId="36" fillId="6" borderId="332" xfId="0" applyFont="1" applyFill="1" applyBorder="1" applyAlignment="1">
      <alignment horizontal="center" textRotation="90"/>
    </xf>
    <xf numFmtId="0" fontId="0" fillId="0" borderId="236" xfId="0" applyBorder="1" applyAlignment="1">
      <alignment horizontal="center" textRotation="90"/>
    </xf>
    <xf numFmtId="0" fontId="297" fillId="0" borderId="0" xfId="0" applyFont="1" applyAlignment="1">
      <alignment horizontal="center" vertical="center" wrapText="1"/>
    </xf>
    <xf numFmtId="0" fontId="180" fillId="0" borderId="0" xfId="0" applyFont="1" applyAlignment="1">
      <alignment horizontal="center" vertical="center" wrapText="1"/>
    </xf>
    <xf numFmtId="0" fontId="36" fillId="6" borderId="384" xfId="0" applyFont="1" applyFill="1" applyBorder="1" applyAlignment="1">
      <alignment horizontal="center" textRotation="90"/>
    </xf>
    <xf numFmtId="0" fontId="0" fillId="0" borderId="384" xfId="0" applyBorder="1" applyAlignment="1">
      <alignment horizontal="center" textRotation="90"/>
    </xf>
    <xf numFmtId="0" fontId="132" fillId="0" borderId="0" xfId="0" applyFont="1" applyAlignment="1">
      <alignment horizontal="center" vertical="center" wrapText="1"/>
    </xf>
    <xf numFmtId="0" fontId="110" fillId="0" borderId="0" xfId="0" applyFont="1" applyAlignment="1">
      <alignment horizontal="center" vertical="center"/>
    </xf>
    <xf numFmtId="0" fontId="37" fillId="0" borderId="26" xfId="0" applyFont="1" applyBorder="1" applyAlignment="1">
      <alignment horizontal="center" vertical="center" wrapText="1"/>
    </xf>
    <xf numFmtId="0" fontId="65" fillId="0" borderId="26" xfId="0" applyFont="1" applyBorder="1" applyAlignment="1">
      <alignment horizontal="center" vertical="center" wrapText="1"/>
    </xf>
    <xf numFmtId="0" fontId="114" fillId="0" borderId="0" xfId="0" applyFont="1" applyAlignment="1" applyProtection="1">
      <alignment horizontal="center" vertical="center" wrapText="1"/>
      <protection locked="0"/>
    </xf>
    <xf numFmtId="0" fontId="291" fillId="0" borderId="0" xfId="0" applyFont="1" applyAlignment="1" applyProtection="1">
      <alignment horizontal="center" wrapText="1"/>
      <protection locked="0"/>
    </xf>
    <xf numFmtId="0" fontId="291" fillId="0" borderId="9" xfId="0" applyFont="1" applyBorder="1" applyAlignment="1" applyProtection="1">
      <alignment horizontal="center" wrapText="1"/>
      <protection locked="0"/>
    </xf>
    <xf numFmtId="0" fontId="150" fillId="0" borderId="392" xfId="0" applyFont="1" applyBorder="1" applyAlignment="1">
      <alignment horizontal="left" wrapText="1" indent="1"/>
    </xf>
    <xf numFmtId="0" fontId="175" fillId="0" borderId="393" xfId="0" applyFont="1" applyBorder="1" applyAlignment="1">
      <alignment horizontal="left" wrapText="1" indent="1"/>
    </xf>
    <xf numFmtId="0" fontId="74" fillId="0" borderId="40" xfId="0" applyFont="1" applyBorder="1" applyAlignment="1">
      <alignment horizontal="center" vertical="center"/>
    </xf>
    <xf numFmtId="0" fontId="74" fillId="0" borderId="38" xfId="0" applyFont="1" applyBorder="1" applyAlignment="1">
      <alignment horizontal="center" vertical="center" wrapText="1"/>
    </xf>
    <xf numFmtId="0" fontId="0" fillId="0" borderId="40" xfId="0" applyBorder="1" applyAlignment="1">
      <alignment vertical="center" wrapText="1"/>
    </xf>
    <xf numFmtId="0" fontId="4" fillId="0" borderId="2" xfId="0" applyFont="1" applyBorder="1" applyAlignment="1">
      <alignment horizontal="left" vertical="center" wrapText="1" indent="1"/>
    </xf>
    <xf numFmtId="0" fontId="0" fillId="0" borderId="0" xfId="0" applyAlignment="1">
      <alignment horizontal="left" vertical="center" wrapText="1" indent="1"/>
    </xf>
    <xf numFmtId="0" fontId="4" fillId="0" borderId="2" xfId="0" applyFont="1" applyBorder="1" applyAlignment="1">
      <alignment horizontal="left" vertical="center" indent="1"/>
    </xf>
    <xf numFmtId="0" fontId="0" fillId="0" borderId="0" xfId="0" applyAlignment="1">
      <alignment horizontal="left" vertical="center" indent="1"/>
    </xf>
    <xf numFmtId="0" fontId="297" fillId="0" borderId="210" xfId="0" applyFont="1" applyBorder="1" applyAlignment="1">
      <alignment horizontal="center" vertical="center" wrapText="1"/>
    </xf>
    <xf numFmtId="0" fontId="180" fillId="0" borderId="211" xfId="0" applyFont="1" applyBorder="1" applyAlignment="1">
      <alignment horizontal="center" vertical="center" wrapText="1"/>
    </xf>
    <xf numFmtId="0" fontId="124" fillId="17" borderId="0" xfId="0" applyFont="1" applyFill="1" applyAlignment="1">
      <alignment horizontal="center" vertical="center" wrapText="1"/>
    </xf>
    <xf numFmtId="0" fontId="0" fillId="0" borderId="0" xfId="0" applyAlignment="1">
      <alignment vertical="center" wrapText="1"/>
    </xf>
    <xf numFmtId="0" fontId="2" fillId="0" borderId="0" xfId="0" applyFont="1" applyAlignment="1">
      <alignment vertical="center" wrapText="1"/>
    </xf>
    <xf numFmtId="0" fontId="2" fillId="0" borderId="47" xfId="0" applyFont="1" applyBorder="1" applyAlignment="1">
      <alignment vertical="center" wrapText="1"/>
    </xf>
    <xf numFmtId="0" fontId="11" fillId="17" borderId="0" xfId="0" applyFont="1" applyFill="1" applyAlignment="1">
      <alignment horizontal="center" vertical="center" wrapText="1"/>
    </xf>
    <xf numFmtId="0" fontId="11" fillId="0" borderId="0" xfId="0" applyFont="1" applyAlignment="1">
      <alignment horizontal="center" vertical="center" wrapText="1"/>
    </xf>
    <xf numFmtId="0" fontId="0" fillId="0" borderId="9" xfId="0" applyBorder="1" applyAlignment="1">
      <alignment vertical="center"/>
    </xf>
    <xf numFmtId="0" fontId="4" fillId="17" borderId="225" xfId="0" applyFont="1" applyFill="1" applyBorder="1" applyAlignment="1">
      <alignment horizontal="center" vertical="center"/>
    </xf>
    <xf numFmtId="0" fontId="7" fillId="17" borderId="0" xfId="0" applyFont="1" applyFill="1" applyAlignment="1">
      <alignment horizontal="center" vertical="top" wrapText="1"/>
    </xf>
    <xf numFmtId="0" fontId="0" fillId="0" borderId="0" xfId="0" applyAlignment="1">
      <alignment vertical="top" wrapText="1"/>
    </xf>
    <xf numFmtId="0" fontId="37" fillId="17" borderId="225" xfId="0" applyFont="1" applyFill="1" applyBorder="1" applyAlignment="1">
      <alignment horizontal="center" vertical="center"/>
    </xf>
    <xf numFmtId="0" fontId="4" fillId="17" borderId="0" xfId="0" quotePrefix="1" applyFont="1" applyFill="1" applyAlignment="1">
      <alignment horizontal="center" vertical="center"/>
    </xf>
    <xf numFmtId="0" fontId="137" fillId="0" borderId="0" xfId="0" applyFont="1" applyAlignment="1">
      <alignment horizontal="center" vertical="center" wrapText="1"/>
    </xf>
    <xf numFmtId="0" fontId="4" fillId="17" borderId="225" xfId="0" quotePrefix="1" applyFont="1" applyFill="1" applyBorder="1" applyAlignment="1">
      <alignment horizontal="center" vertical="center"/>
    </xf>
    <xf numFmtId="0" fontId="292" fillId="17" borderId="0" xfId="0" applyFont="1" applyFill="1" applyAlignment="1">
      <alignment horizontal="center" vertical="center" wrapText="1"/>
    </xf>
    <xf numFmtId="0" fontId="78" fillId="0" borderId="0" xfId="0" applyFont="1" applyAlignment="1">
      <alignment horizontal="center" vertical="center" wrapText="1"/>
    </xf>
    <xf numFmtId="0" fontId="119" fillId="17" borderId="40" xfId="0" applyFont="1" applyFill="1" applyBorder="1" applyAlignment="1">
      <alignment horizontal="center"/>
    </xf>
    <xf numFmtId="0" fontId="0" fillId="17" borderId="40" xfId="0" applyFill="1" applyBorder="1" applyAlignment="1">
      <alignment horizontal="center"/>
    </xf>
    <xf numFmtId="0" fontId="0" fillId="0" borderId="40" xfId="0" applyBorder="1" applyAlignment="1">
      <alignment horizontal="center"/>
    </xf>
    <xf numFmtId="0" fontId="81" fillId="17" borderId="225" xfId="0" applyFont="1" applyFill="1" applyBorder="1" applyAlignment="1">
      <alignment horizontal="center" vertical="center" wrapText="1"/>
    </xf>
    <xf numFmtId="0" fontId="117" fillId="0" borderId="0" xfId="0" applyFont="1" applyAlignment="1">
      <alignment vertical="center" wrapText="1"/>
    </xf>
    <xf numFmtId="0" fontId="117" fillId="0" borderId="9" xfId="0" applyFont="1" applyBorder="1" applyAlignment="1">
      <alignment vertical="center" wrapText="1"/>
    </xf>
    <xf numFmtId="0" fontId="117" fillId="0" borderId="225" xfId="0" applyFont="1" applyBorder="1" applyAlignment="1">
      <alignment vertical="center" wrapText="1"/>
    </xf>
    <xf numFmtId="0" fontId="11" fillId="17" borderId="0" xfId="0" applyFont="1" applyFill="1" applyAlignment="1">
      <alignment horizontal="left" vertical="top"/>
    </xf>
    <xf numFmtId="0" fontId="4" fillId="0" borderId="9" xfId="0" applyFont="1" applyBorder="1" applyAlignment="1">
      <alignment horizontal="left" vertical="top"/>
    </xf>
    <xf numFmtId="0" fontId="108" fillId="17" borderId="385" xfId="0" applyFont="1" applyFill="1" applyBorder="1" applyAlignment="1" applyProtection="1">
      <alignment horizontal="center" vertical="center" wrapText="1"/>
      <protection locked="0"/>
    </xf>
    <xf numFmtId="0" fontId="109" fillId="0" borderId="386" xfId="0" applyFont="1" applyBorder="1" applyAlignment="1" applyProtection="1">
      <alignment horizontal="center" vertical="center" wrapText="1"/>
      <protection locked="0"/>
    </xf>
    <xf numFmtId="0" fontId="109" fillId="0" borderId="387" xfId="0" applyFont="1" applyBorder="1" applyAlignment="1" applyProtection="1">
      <alignment horizontal="center" vertical="center" wrapText="1"/>
      <protection locked="0"/>
    </xf>
    <xf numFmtId="0" fontId="7" fillId="17" borderId="0" xfId="0" applyFont="1" applyFill="1" applyAlignment="1">
      <alignment horizontal="left" vertical="top" wrapText="1"/>
    </xf>
    <xf numFmtId="0" fontId="2" fillId="0" borderId="26" xfId="0" applyFont="1" applyBorder="1" applyAlignment="1">
      <alignment wrapText="1"/>
    </xf>
    <xf numFmtId="0" fontId="7" fillId="17" borderId="0" xfId="0" applyFont="1" applyFill="1" applyAlignment="1">
      <alignment vertical="center" wrapText="1"/>
    </xf>
    <xf numFmtId="0" fontId="0" fillId="0" borderId="9" xfId="0" applyBorder="1" applyAlignment="1">
      <alignment vertical="center" wrapText="1"/>
    </xf>
    <xf numFmtId="0" fontId="117" fillId="0" borderId="47" xfId="0" applyFont="1" applyBorder="1" applyAlignment="1">
      <alignment vertical="center" wrapText="1"/>
    </xf>
    <xf numFmtId="0" fontId="117" fillId="0" borderId="48" xfId="0" applyFont="1" applyBorder="1" applyAlignment="1">
      <alignment vertical="center" wrapText="1"/>
    </xf>
    <xf numFmtId="0" fontId="75" fillId="17" borderId="0" xfId="0" applyFont="1" applyFill="1" applyAlignment="1">
      <alignment horizontal="left" vertical="center" wrapText="1"/>
    </xf>
    <xf numFmtId="0" fontId="75" fillId="17" borderId="9" xfId="0" applyFont="1" applyFill="1" applyBorder="1" applyAlignment="1">
      <alignment horizontal="left" vertical="center" wrapText="1"/>
    </xf>
    <xf numFmtId="0" fontId="2" fillId="0" borderId="0" xfId="0" applyFont="1" applyAlignment="1">
      <alignment horizontal="center" vertical="center" wrapText="1"/>
    </xf>
    <xf numFmtId="0" fontId="6" fillId="17" borderId="0" xfId="0" applyFont="1" applyFill="1" applyAlignment="1">
      <alignment horizontal="center" vertical="center"/>
    </xf>
    <xf numFmtId="0" fontId="20" fillId="0" borderId="0" xfId="0" applyFont="1" applyAlignment="1">
      <alignment horizontal="center" vertical="center"/>
    </xf>
    <xf numFmtId="0" fontId="37" fillId="17" borderId="0" xfId="0" applyFont="1" applyFill="1" applyAlignment="1">
      <alignment horizontal="center" vertical="center"/>
    </xf>
    <xf numFmtId="0" fontId="4" fillId="17" borderId="0" xfId="0" quotePrefix="1" applyFont="1" applyFill="1" applyAlignment="1">
      <alignment vertical="center" wrapText="1"/>
    </xf>
    <xf numFmtId="0" fontId="115" fillId="17" borderId="0" xfId="0" applyFont="1" applyFill="1" applyAlignment="1">
      <alignment horizontal="center" wrapText="1"/>
    </xf>
    <xf numFmtId="0" fontId="116" fillId="0" borderId="0" xfId="0" applyFont="1" applyAlignment="1">
      <alignment horizontal="center" wrapText="1"/>
    </xf>
    <xf numFmtId="0" fontId="99" fillId="0" borderId="0" xfId="0" applyFont="1" applyAlignment="1">
      <alignment wrapText="1"/>
    </xf>
    <xf numFmtId="0" fontId="81" fillId="17" borderId="0" xfId="0" applyFont="1" applyFill="1" applyAlignment="1">
      <alignment horizontal="center" vertical="center" wrapText="1"/>
    </xf>
    <xf numFmtId="0" fontId="117" fillId="0" borderId="9" xfId="0" applyFont="1" applyBorder="1" applyAlignment="1">
      <alignment horizontal="center" vertical="center" wrapText="1"/>
    </xf>
    <xf numFmtId="0" fontId="117" fillId="0" borderId="0" xfId="0" applyFont="1" applyAlignment="1">
      <alignment horizontal="center" vertical="center" wrapText="1"/>
    </xf>
    <xf numFmtId="0" fontId="75" fillId="17" borderId="0" xfId="0" applyFont="1" applyFill="1" applyAlignment="1">
      <alignment horizontal="center" vertical="center" wrapText="1"/>
    </xf>
    <xf numFmtId="0" fontId="75" fillId="17" borderId="9" xfId="0" applyFont="1" applyFill="1" applyBorder="1" applyAlignment="1">
      <alignment horizontal="center" vertical="center" wrapText="1"/>
    </xf>
    <xf numFmtId="0" fontId="4" fillId="17" borderId="0" xfId="0" applyFont="1" applyFill="1" applyAlignment="1">
      <alignment vertical="center"/>
    </xf>
    <xf numFmtId="0" fontId="4" fillId="17" borderId="0" xfId="0" applyFont="1" applyFill="1" applyAlignment="1">
      <alignment vertical="center" wrapText="1"/>
    </xf>
    <xf numFmtId="0" fontId="115" fillId="17" borderId="0" xfId="0" applyFont="1" applyFill="1" applyAlignment="1">
      <alignment horizontal="center" vertical="center" wrapText="1"/>
    </xf>
    <xf numFmtId="0" fontId="99" fillId="0" borderId="0" xfId="0" applyFont="1" applyAlignment="1">
      <alignment horizontal="center" vertical="center" wrapText="1"/>
    </xf>
    <xf numFmtId="0" fontId="4" fillId="17" borderId="0" xfId="0" applyFont="1" applyFill="1" applyAlignment="1">
      <alignment horizontal="left" vertical="center" wrapText="1"/>
    </xf>
    <xf numFmtId="0" fontId="4" fillId="17" borderId="0" xfId="0" applyFont="1" applyFill="1" applyAlignment="1">
      <alignment horizontal="center" vertical="center" wrapText="1"/>
    </xf>
    <xf numFmtId="0" fontId="12" fillId="17" borderId="0" xfId="0" applyFont="1" applyFill="1" applyAlignment="1">
      <alignment horizontal="center" vertical="center" wrapText="1"/>
    </xf>
    <xf numFmtId="0" fontId="114" fillId="0" borderId="0" xfId="0" applyFont="1" applyAlignment="1">
      <alignment horizontal="center" vertical="center"/>
    </xf>
    <xf numFmtId="0" fontId="37" fillId="17" borderId="0" xfId="0" applyFont="1" applyFill="1" applyAlignment="1">
      <alignment horizontal="center" vertical="center" wrapText="1"/>
    </xf>
    <xf numFmtId="0" fontId="295" fillId="0" borderId="0" xfId="0" applyFont="1" applyAlignment="1">
      <alignment horizontal="center" vertical="center" wrapText="1"/>
    </xf>
    <xf numFmtId="0" fontId="295" fillId="0" borderId="210" xfId="0" applyFont="1" applyBorder="1" applyAlignment="1">
      <alignment horizontal="center" vertical="center" wrapText="1"/>
    </xf>
    <xf numFmtId="0" fontId="170" fillId="17" borderId="262" xfId="0" applyFont="1" applyFill="1" applyBorder="1" applyAlignment="1" applyProtection="1">
      <alignment horizontal="center" vertical="center"/>
      <protection locked="0"/>
    </xf>
    <xf numFmtId="15" fontId="170" fillId="17" borderId="262" xfId="0" applyNumberFormat="1" applyFont="1" applyFill="1" applyBorder="1" applyAlignment="1" applyProtection="1">
      <alignment horizontal="center" vertical="center"/>
      <protection locked="0"/>
    </xf>
    <xf numFmtId="0" fontId="102" fillId="16" borderId="0" xfId="0" applyFont="1" applyFill="1" applyAlignment="1">
      <alignment horizontal="left" vertical="center" wrapText="1"/>
    </xf>
    <xf numFmtId="0" fontId="102" fillId="16" borderId="225" xfId="0" applyFont="1" applyFill="1" applyBorder="1" applyAlignment="1">
      <alignment horizontal="center" vertical="center" wrapText="1"/>
    </xf>
    <xf numFmtId="0" fontId="0" fillId="16" borderId="225" xfId="0" applyFill="1" applyBorder="1" applyAlignment="1">
      <alignment horizontal="center" vertical="center" wrapText="1"/>
    </xf>
    <xf numFmtId="0" fontId="102" fillId="16" borderId="26" xfId="0" applyFont="1" applyFill="1" applyBorder="1" applyAlignment="1">
      <alignment horizontal="center" vertical="center" wrapText="1"/>
    </xf>
    <xf numFmtId="0" fontId="0" fillId="16" borderId="26" xfId="0" applyFill="1" applyBorder="1" applyAlignment="1">
      <alignment horizontal="center" vertical="center" wrapText="1"/>
    </xf>
    <xf numFmtId="0" fontId="7" fillId="17" borderId="232" xfId="0" applyFont="1" applyFill="1" applyBorder="1" applyAlignment="1">
      <alignment horizontal="center" vertical="center"/>
    </xf>
    <xf numFmtId="0" fontId="81" fillId="16" borderId="0" xfId="0" applyFont="1" applyFill="1" applyAlignment="1">
      <alignment horizontal="center" vertical="center"/>
    </xf>
    <xf numFmtId="0" fontId="0" fillId="16" borderId="0" xfId="0" applyFill="1" applyAlignment="1">
      <alignment horizontal="center" vertical="center"/>
    </xf>
    <xf numFmtId="0" fontId="156" fillId="18" borderId="0" xfId="0" applyFont="1" applyFill="1" applyAlignment="1">
      <alignment horizontal="center" vertical="center" wrapText="1"/>
    </xf>
    <xf numFmtId="0" fontId="84" fillId="7" borderId="226" xfId="0" applyFont="1" applyFill="1" applyBorder="1" applyAlignment="1" applyProtection="1">
      <alignment horizontal="center" vertical="center" wrapText="1"/>
      <protection locked="0"/>
    </xf>
    <xf numFmtId="0" fontId="0" fillId="0" borderId="226" xfId="0" applyBorder="1" applyAlignment="1" applyProtection="1">
      <alignment vertical="center" wrapText="1"/>
      <protection locked="0"/>
    </xf>
    <xf numFmtId="0" fontId="135" fillId="0" borderId="226" xfId="0" applyFont="1" applyBorder="1" applyAlignment="1" applyProtection="1">
      <alignment vertical="center" wrapText="1"/>
      <protection locked="0"/>
    </xf>
    <xf numFmtId="0" fontId="84" fillId="7" borderId="226" xfId="0" applyFont="1" applyFill="1" applyBorder="1" applyAlignment="1" applyProtection="1">
      <alignment vertical="center" wrapText="1"/>
      <protection locked="0"/>
    </xf>
    <xf numFmtId="0" fontId="73" fillId="18" borderId="0" xfId="0" applyFont="1" applyFill="1" applyAlignment="1">
      <alignment horizontal="center" vertical="center" wrapText="1"/>
    </xf>
    <xf numFmtId="0" fontId="0" fillId="0" borderId="210" xfId="0" applyBorder="1" applyAlignment="1">
      <alignment vertical="center" wrapText="1"/>
    </xf>
    <xf numFmtId="0" fontId="6" fillId="19" borderId="169" xfId="0" applyFont="1" applyFill="1" applyBorder="1" applyAlignment="1">
      <alignment horizontal="center" vertical="center"/>
    </xf>
    <xf numFmtId="0" fontId="0" fillId="0" borderId="170" xfId="0" applyBorder="1" applyAlignment="1">
      <alignment horizontal="center" vertical="center"/>
    </xf>
    <xf numFmtId="0" fontId="0" fillId="0" borderId="171" xfId="0" applyBorder="1" applyAlignment="1">
      <alignment horizontal="center" vertical="center"/>
    </xf>
    <xf numFmtId="0" fontId="75" fillId="18" borderId="0" xfId="0" applyFont="1" applyFill="1" applyAlignment="1">
      <alignment horizontal="center" wrapText="1"/>
    </xf>
    <xf numFmtId="0" fontId="99" fillId="18" borderId="76" xfId="0" applyFont="1" applyFill="1" applyBorder="1" applyAlignment="1">
      <alignment horizontal="center" wrapText="1"/>
    </xf>
    <xf numFmtId="0" fontId="11" fillId="18" borderId="0" xfId="0" applyFont="1" applyFill="1" applyAlignment="1">
      <alignment horizontal="center" wrapText="1"/>
    </xf>
    <xf numFmtId="0" fontId="2" fillId="0" borderId="127" xfId="0" applyFont="1" applyBorder="1" applyAlignment="1">
      <alignment horizontal="center" wrapText="1"/>
    </xf>
    <xf numFmtId="0" fontId="2" fillId="0" borderId="127" xfId="0" applyFont="1" applyBorder="1" applyAlignment="1">
      <alignment wrapText="1"/>
    </xf>
    <xf numFmtId="0" fontId="11" fillId="18" borderId="0" xfId="0" applyFont="1" applyFill="1" applyAlignment="1">
      <alignment horizontal="center" vertical="top"/>
    </xf>
    <xf numFmtId="0" fontId="0" fillId="0" borderId="0" xfId="0" applyAlignment="1">
      <alignment vertical="top"/>
    </xf>
    <xf numFmtId="0" fontId="7" fillId="0" borderId="215" xfId="0" applyFont="1" applyBorder="1" applyAlignment="1">
      <alignment horizontal="center" vertical="center"/>
    </xf>
    <xf numFmtId="0" fontId="0" fillId="0" borderId="215" xfId="0" applyBorder="1" applyAlignment="1">
      <alignment vertical="center"/>
    </xf>
    <xf numFmtId="0" fontId="0" fillId="0" borderId="215" xfId="0" applyBorder="1"/>
    <xf numFmtId="0" fontId="7" fillId="7" borderId="215" xfId="0" applyFont="1" applyFill="1" applyBorder="1" applyAlignment="1">
      <alignment horizontal="center" vertical="center"/>
    </xf>
    <xf numFmtId="0" fontId="4" fillId="0" borderId="215" xfId="0" applyFont="1" applyBorder="1" applyAlignment="1">
      <alignment horizontal="center" vertical="center"/>
    </xf>
    <xf numFmtId="0" fontId="84" fillId="17" borderId="215" xfId="0" applyFont="1" applyFill="1" applyBorder="1" applyAlignment="1" applyProtection="1">
      <alignment horizontal="center" vertical="center"/>
      <protection locked="0"/>
    </xf>
    <xf numFmtId="0" fontId="109" fillId="0" borderId="215" xfId="0" applyFont="1" applyBorder="1" applyAlignment="1" applyProtection="1">
      <alignment vertical="center"/>
      <protection locked="0"/>
    </xf>
    <xf numFmtId="0" fontId="4" fillId="0" borderId="215" xfId="0" applyFont="1" applyBorder="1" applyAlignment="1">
      <alignment horizontal="left" vertical="center" indent="1"/>
    </xf>
    <xf numFmtId="0" fontId="0" fillId="0" borderId="215" xfId="0" applyBorder="1" applyAlignment="1">
      <alignment horizontal="left" vertical="center" indent="1"/>
    </xf>
    <xf numFmtId="0" fontId="13" fillId="0" borderId="215" xfId="0" applyFont="1" applyBorder="1" applyAlignment="1">
      <alignment horizontal="left" vertical="center" indent="1"/>
    </xf>
    <xf numFmtId="0" fontId="88" fillId="18" borderId="225" xfId="0" applyFont="1" applyFill="1" applyBorder="1" applyAlignment="1">
      <alignment horizontal="right" vertical="center"/>
    </xf>
    <xf numFmtId="0" fontId="0" fillId="0" borderId="0" xfId="0" applyAlignment="1">
      <alignment horizontal="right" vertical="center"/>
    </xf>
    <xf numFmtId="0" fontId="102" fillId="0" borderId="215" xfId="0" applyFont="1" applyBorder="1" applyAlignment="1">
      <alignment horizontal="left" vertical="center" indent="1"/>
    </xf>
    <xf numFmtId="0" fontId="5" fillId="18" borderId="0" xfId="0" applyFont="1" applyFill="1" applyAlignment="1">
      <alignment horizontal="center" vertical="center"/>
    </xf>
    <xf numFmtId="0" fontId="67" fillId="0" borderId="0" xfId="0" applyFont="1" applyAlignment="1">
      <alignment vertical="center"/>
    </xf>
    <xf numFmtId="0" fontId="84" fillId="7" borderId="332" xfId="0" applyFont="1" applyFill="1" applyBorder="1" applyAlignment="1">
      <alignment horizontal="center" vertical="center" wrapText="1"/>
    </xf>
    <xf numFmtId="0" fontId="84" fillId="7" borderId="361" xfId="0" applyFont="1" applyFill="1" applyBorder="1" applyAlignment="1">
      <alignment horizontal="center" vertical="center" wrapText="1"/>
    </xf>
    <xf numFmtId="0" fontId="4" fillId="17" borderId="212" xfId="0" applyFont="1" applyFill="1" applyBorder="1" applyAlignment="1">
      <alignment horizontal="left" vertical="center"/>
    </xf>
    <xf numFmtId="0" fontId="0" fillId="0" borderId="212" xfId="0" applyBorder="1" applyAlignment="1">
      <alignment vertical="center"/>
    </xf>
    <xf numFmtId="0" fontId="7" fillId="0" borderId="212" xfId="0" applyFont="1" applyBorder="1" applyAlignment="1">
      <alignment horizontal="center" vertical="center"/>
    </xf>
    <xf numFmtId="0" fontId="7" fillId="7" borderId="212" xfId="0" applyFont="1" applyFill="1" applyBorder="1" applyAlignment="1">
      <alignment horizontal="center" vertical="center"/>
    </xf>
    <xf numFmtId="0" fontId="84" fillId="7" borderId="212" xfId="0" applyFont="1" applyFill="1" applyBorder="1" applyAlignment="1" applyProtection="1">
      <alignment horizontal="center" vertical="center"/>
      <protection locked="0"/>
    </xf>
    <xf numFmtId="0" fontId="109" fillId="0" borderId="212" xfId="0" applyFont="1" applyBorder="1" applyAlignment="1" applyProtection="1">
      <alignment vertical="center"/>
      <protection locked="0"/>
    </xf>
    <xf numFmtId="14" fontId="84" fillId="7" borderId="360" xfId="0" applyNumberFormat="1" applyFont="1" applyFill="1" applyBorder="1" applyAlignment="1" applyProtection="1">
      <alignment horizontal="center" vertical="center"/>
      <protection locked="0"/>
    </xf>
    <xf numFmtId="0" fontId="109" fillId="0" borderId="360" xfId="0" applyFont="1" applyBorder="1" applyAlignment="1" applyProtection="1">
      <alignment vertical="center"/>
      <protection locked="0"/>
    </xf>
    <xf numFmtId="169" fontId="4" fillId="0" borderId="212" xfId="0" applyNumberFormat="1" applyFont="1" applyBorder="1" applyAlignment="1">
      <alignment horizontal="left" vertical="center" wrapText="1" indent="1"/>
    </xf>
    <xf numFmtId="0" fontId="114" fillId="7" borderId="249" xfId="0" applyFont="1" applyFill="1" applyBorder="1" applyAlignment="1" applyProtection="1">
      <alignment vertical="center"/>
      <protection locked="0"/>
    </xf>
    <xf numFmtId="0" fontId="114" fillId="7" borderId="251" xfId="0" applyFont="1" applyFill="1" applyBorder="1" applyAlignment="1" applyProtection="1">
      <alignment vertical="center"/>
      <protection locked="0"/>
    </xf>
    <xf numFmtId="0" fontId="84" fillId="7" borderId="209" xfId="0" applyFont="1" applyFill="1" applyBorder="1" applyAlignment="1">
      <alignment vertical="center"/>
    </xf>
    <xf numFmtId="0" fontId="135" fillId="0" borderId="210" xfId="0" applyFont="1" applyBorder="1" applyAlignment="1">
      <alignment vertical="center"/>
    </xf>
    <xf numFmtId="0" fontId="135" fillId="0" borderId="211" xfId="0" applyFont="1" applyBorder="1" applyAlignment="1">
      <alignment vertical="center"/>
    </xf>
    <xf numFmtId="0" fontId="2" fillId="0" borderId="215" xfId="0" applyFont="1" applyBorder="1" applyAlignment="1">
      <alignment horizontal="left" vertical="center" indent="1"/>
    </xf>
    <xf numFmtId="0" fontId="13" fillId="7" borderId="215" xfId="0" applyFont="1" applyFill="1" applyBorder="1" applyAlignment="1">
      <alignment horizontal="left" vertical="center" indent="1"/>
    </xf>
    <xf numFmtId="0" fontId="99" fillId="0" borderId="215" xfId="0" applyFont="1" applyBorder="1" applyAlignment="1">
      <alignment horizontal="left" vertical="center" indent="1"/>
    </xf>
    <xf numFmtId="0" fontId="133" fillId="0" borderId="215" xfId="0" applyFont="1" applyBorder="1" applyAlignment="1">
      <alignment horizontal="left" vertical="center" indent="1"/>
    </xf>
    <xf numFmtId="0" fontId="3" fillId="0" borderId="215" xfId="0" applyFont="1" applyBorder="1" applyAlignment="1">
      <alignment horizontal="left" vertical="center" indent="1"/>
    </xf>
    <xf numFmtId="0" fontId="133" fillId="0" borderId="268" xfId="0" applyFont="1" applyBorder="1" applyAlignment="1">
      <alignment horizontal="left" vertical="center" indent="1"/>
    </xf>
    <xf numFmtId="0" fontId="3" fillId="0" borderId="268" xfId="0" applyFont="1" applyBorder="1" applyAlignment="1">
      <alignment horizontal="left" vertical="center" indent="1"/>
    </xf>
    <xf numFmtId="0" fontId="102" fillId="0" borderId="355" xfId="0" applyFont="1" applyBorder="1" applyAlignment="1">
      <alignment horizontal="left" vertical="center" indent="1"/>
    </xf>
    <xf numFmtId="0" fontId="102" fillId="0" borderId="344" xfId="0" applyFont="1" applyBorder="1" applyAlignment="1">
      <alignment horizontal="left" vertical="center" indent="1"/>
    </xf>
    <xf numFmtId="0" fontId="102" fillId="0" borderId="357" xfId="0" applyFont="1" applyBorder="1" applyAlignment="1">
      <alignment horizontal="left" vertical="center" indent="1"/>
    </xf>
    <xf numFmtId="0" fontId="12" fillId="0" borderId="219" xfId="0" applyFont="1" applyBorder="1" applyAlignment="1">
      <alignment horizontal="left"/>
    </xf>
    <xf numFmtId="0" fontId="3" fillId="0" borderId="220" xfId="0" applyFont="1" applyBorder="1" applyAlignment="1">
      <alignment horizontal="left"/>
    </xf>
    <xf numFmtId="0" fontId="3" fillId="0" borderId="221" xfId="0" applyFont="1" applyBorder="1" applyAlignment="1">
      <alignment horizontal="left"/>
    </xf>
    <xf numFmtId="0" fontId="7" fillId="6" borderId="121" xfId="0" applyFont="1" applyFill="1" applyBorder="1" applyAlignment="1">
      <alignment horizontal="center" vertical="center" wrapText="1"/>
    </xf>
    <xf numFmtId="0" fontId="7" fillId="6" borderId="186" xfId="0" applyFont="1" applyFill="1" applyBorder="1" applyAlignment="1">
      <alignment horizontal="center" vertical="center" wrapText="1"/>
    </xf>
    <xf numFmtId="0" fontId="7" fillId="6" borderId="1" xfId="0" applyFont="1" applyFill="1" applyBorder="1" applyAlignment="1">
      <alignment horizontal="center" vertical="center"/>
    </xf>
    <xf numFmtId="0" fontId="7" fillId="6" borderId="325" xfId="0" applyFont="1" applyFill="1" applyBorder="1" applyAlignment="1">
      <alignment horizontal="center" vertical="center"/>
    </xf>
    <xf numFmtId="0" fontId="7" fillId="6" borderId="156" xfId="0" applyFont="1" applyFill="1" applyBorder="1" applyAlignment="1">
      <alignment horizontal="center" vertical="center" wrapText="1"/>
    </xf>
    <xf numFmtId="0" fontId="7" fillId="6" borderId="339" xfId="0" applyFont="1" applyFill="1" applyBorder="1" applyAlignment="1">
      <alignment horizontal="center" vertical="center" wrapText="1"/>
    </xf>
    <xf numFmtId="0" fontId="7" fillId="6" borderId="406" xfId="0" applyFont="1" applyFill="1" applyBorder="1" applyAlignment="1">
      <alignment horizontal="center" vertical="center" wrapText="1"/>
    </xf>
    <xf numFmtId="0" fontId="4" fillId="6" borderId="1" xfId="0" applyFont="1" applyFill="1" applyBorder="1" applyAlignment="1">
      <alignment horizontal="center" vertical="center" wrapText="1"/>
    </xf>
    <xf numFmtId="0" fontId="4" fillId="6" borderId="294" xfId="0" applyFont="1" applyFill="1" applyBorder="1" applyAlignment="1">
      <alignment horizontal="center" vertical="center" wrapText="1"/>
    </xf>
    <xf numFmtId="0" fontId="4" fillId="6" borderId="202" xfId="0" applyFont="1" applyFill="1" applyBorder="1" applyAlignment="1">
      <alignment horizontal="center" vertical="center" wrapText="1"/>
    </xf>
    <xf numFmtId="0" fontId="4" fillId="6" borderId="129" xfId="0" applyFont="1" applyFill="1" applyBorder="1" applyAlignment="1">
      <alignment horizontal="center" vertical="center" wrapText="1"/>
    </xf>
    <xf numFmtId="0" fontId="4" fillId="6" borderId="142" xfId="0" applyFont="1" applyFill="1" applyBorder="1" applyAlignment="1">
      <alignment horizontal="center" vertical="center" wrapText="1"/>
    </xf>
    <xf numFmtId="0" fontId="4" fillId="6" borderId="168" xfId="0" applyFont="1" applyFill="1" applyBorder="1" applyAlignment="1">
      <alignment horizontal="center" vertical="center" wrapText="1"/>
    </xf>
    <xf numFmtId="0" fontId="4" fillId="6" borderId="353" xfId="0" applyFont="1" applyFill="1" applyBorder="1" applyAlignment="1">
      <alignment horizontal="center" vertical="center" wrapText="1"/>
    </xf>
    <xf numFmtId="0" fontId="4" fillId="6" borderId="95" xfId="0" applyFont="1" applyFill="1" applyBorder="1" applyAlignment="1">
      <alignment horizontal="center" vertical="center" wrapText="1"/>
    </xf>
    <xf numFmtId="0" fontId="4" fillId="6" borderId="354" xfId="0" applyFont="1" applyFill="1" applyBorder="1" applyAlignment="1">
      <alignment horizontal="center" vertical="center" wrapText="1"/>
    </xf>
    <xf numFmtId="1" fontId="12" fillId="8" borderId="184" xfId="0" applyNumberFormat="1" applyFont="1" applyFill="1" applyBorder="1" applyAlignment="1" applyProtection="1">
      <alignment horizontal="center" vertical="center"/>
      <protection hidden="1"/>
    </xf>
    <xf numFmtId="0" fontId="12" fillId="8" borderId="184" xfId="0" applyFont="1" applyFill="1" applyBorder="1" applyAlignment="1" applyProtection="1">
      <alignment horizontal="center" vertical="center"/>
      <protection hidden="1"/>
    </xf>
    <xf numFmtId="0" fontId="140" fillId="17" borderId="0" xfId="0" applyFont="1" applyFill="1" applyAlignment="1" applyProtection="1">
      <alignment horizontal="center" vertical="center"/>
      <protection locked="0" hidden="1"/>
    </xf>
    <xf numFmtId="169" fontId="12" fillId="8" borderId="184" xfId="0" applyNumberFormat="1" applyFont="1" applyFill="1" applyBorder="1" applyAlignment="1" applyProtection="1">
      <alignment horizontal="center" vertical="center"/>
      <protection hidden="1"/>
    </xf>
    <xf numFmtId="0" fontId="4" fillId="8" borderId="28" xfId="0" applyFont="1" applyFill="1" applyBorder="1" applyAlignment="1" applyProtection="1">
      <alignment horizontal="center" vertical="center" wrapText="1"/>
      <protection hidden="1"/>
    </xf>
    <xf numFmtId="0" fontId="4" fillId="8" borderId="29" xfId="0" applyFont="1" applyFill="1" applyBorder="1" applyAlignment="1" applyProtection="1">
      <alignment horizontal="center" vertical="center" wrapText="1"/>
      <protection hidden="1"/>
    </xf>
    <xf numFmtId="0" fontId="4" fillId="8" borderId="42" xfId="0" applyFont="1" applyFill="1" applyBorder="1" applyAlignment="1" applyProtection="1">
      <alignment horizontal="center" vertical="center" wrapText="1"/>
      <protection hidden="1"/>
    </xf>
    <xf numFmtId="0" fontId="14" fillId="7" borderId="385" xfId="0" applyFont="1" applyFill="1" applyBorder="1" applyAlignment="1" applyProtection="1">
      <alignment horizontal="center"/>
      <protection locked="0"/>
    </xf>
    <xf numFmtId="0" fontId="0" fillId="0" borderId="386" xfId="0" applyBorder="1" applyAlignment="1">
      <alignment horizontal="center"/>
    </xf>
    <xf numFmtId="0" fontId="0" fillId="0" borderId="387" xfId="0" applyBorder="1" applyAlignment="1">
      <alignment horizontal="center"/>
    </xf>
    <xf numFmtId="0" fontId="7" fillId="0" borderId="38" xfId="0" applyFont="1" applyBorder="1" applyAlignment="1" applyProtection="1">
      <alignment horizontal="center" vertical="center" wrapText="1"/>
      <protection hidden="1"/>
    </xf>
    <xf numFmtId="0" fontId="7" fillId="0" borderId="49" xfId="0" applyFont="1" applyBorder="1" applyAlignment="1" applyProtection="1">
      <alignment horizontal="center" vertical="center" wrapText="1"/>
      <protection hidden="1"/>
    </xf>
    <xf numFmtId="0" fontId="7" fillId="0" borderId="2" xfId="0" applyFont="1" applyBorder="1" applyAlignment="1" applyProtection="1">
      <alignment horizontal="center" vertical="center" wrapText="1"/>
      <protection hidden="1"/>
    </xf>
    <xf numFmtId="0" fontId="7" fillId="0" borderId="9" xfId="0" applyFont="1" applyBorder="1" applyAlignment="1" applyProtection="1">
      <alignment horizontal="center" vertical="center" wrapText="1"/>
      <protection hidden="1"/>
    </xf>
    <xf numFmtId="0" fontId="7" fillId="0" borderId="3" xfId="0" applyFont="1" applyBorder="1" applyAlignment="1" applyProtection="1">
      <alignment horizontal="center" vertical="center" wrapText="1"/>
      <protection hidden="1"/>
    </xf>
    <xf numFmtId="0" fontId="7" fillId="0" borderId="48" xfId="0" applyFont="1" applyBorder="1" applyAlignment="1" applyProtection="1">
      <alignment horizontal="center" vertical="center" wrapText="1"/>
      <protection hidden="1"/>
    </xf>
    <xf numFmtId="0" fontId="12" fillId="0" borderId="31" xfId="0" applyFont="1" applyBorder="1" applyAlignment="1" applyProtection="1">
      <alignment horizontal="center" vertical="center" textRotation="90" wrapText="1"/>
      <protection hidden="1"/>
    </xf>
    <xf numFmtId="0" fontId="12" fillId="0" borderId="58" xfId="0" applyFont="1" applyBorder="1" applyAlignment="1" applyProtection="1">
      <alignment horizontal="center" vertical="center" textRotation="90" wrapText="1"/>
      <protection hidden="1"/>
    </xf>
    <xf numFmtId="0" fontId="12" fillId="0" borderId="51" xfId="0" applyFont="1" applyBorder="1" applyAlignment="1" applyProtection="1">
      <alignment horizontal="center" vertical="center" textRotation="90" wrapText="1"/>
      <protection hidden="1"/>
    </xf>
    <xf numFmtId="0" fontId="76" fillId="7" borderId="223" xfId="0" applyFont="1" applyFill="1" applyBorder="1" applyAlignment="1" applyProtection="1">
      <alignment horizontal="center" vertical="center" wrapText="1"/>
      <protection locked="0"/>
    </xf>
    <xf numFmtId="0" fontId="76" fillId="7" borderId="227" xfId="0" applyFont="1" applyFill="1" applyBorder="1" applyAlignment="1" applyProtection="1">
      <alignment horizontal="center" vertical="center" wrapText="1"/>
      <protection locked="0"/>
    </xf>
    <xf numFmtId="0" fontId="76" fillId="7" borderId="224" xfId="0" applyFont="1" applyFill="1" applyBorder="1" applyAlignment="1" applyProtection="1">
      <alignment horizontal="center" vertical="center" wrapText="1"/>
      <protection locked="0"/>
    </xf>
    <xf numFmtId="0" fontId="76" fillId="7" borderId="209" xfId="0" applyFont="1" applyFill="1" applyBorder="1" applyAlignment="1" applyProtection="1">
      <alignment horizontal="center" vertical="center" wrapText="1"/>
      <protection locked="0"/>
    </xf>
    <xf numFmtId="0" fontId="76" fillId="7" borderId="210" xfId="0" applyFont="1" applyFill="1" applyBorder="1" applyAlignment="1" applyProtection="1">
      <alignment horizontal="center" vertical="center" wrapText="1"/>
      <protection locked="0"/>
    </xf>
    <xf numFmtId="0" fontId="76" fillId="7" borderId="211" xfId="0" applyFont="1" applyFill="1" applyBorder="1" applyAlignment="1" applyProtection="1">
      <alignment horizontal="center" vertical="center" wrapText="1"/>
      <protection locked="0"/>
    </xf>
    <xf numFmtId="0" fontId="7" fillId="6" borderId="28" xfId="0" applyFont="1" applyFill="1" applyBorder="1" applyAlignment="1" applyProtection="1">
      <alignment horizontal="left" vertical="center" wrapText="1"/>
      <protection hidden="1"/>
    </xf>
    <xf numFmtId="0" fontId="7" fillId="6" borderId="42" xfId="0" applyFont="1" applyFill="1" applyBorder="1" applyAlignment="1" applyProtection="1">
      <alignment horizontal="left" vertical="center" wrapText="1"/>
      <protection hidden="1"/>
    </xf>
    <xf numFmtId="0" fontId="7" fillId="6" borderId="1" xfId="0" applyFont="1" applyFill="1" applyBorder="1" applyAlignment="1" applyProtection="1">
      <alignment horizontal="left" vertical="center" wrapText="1"/>
      <protection hidden="1"/>
    </xf>
    <xf numFmtId="0" fontId="76" fillId="7" borderId="19" xfId="0" applyFont="1" applyFill="1" applyBorder="1" applyAlignment="1" applyProtection="1">
      <alignment horizontal="center" vertical="center" wrapText="1"/>
      <protection locked="0"/>
    </xf>
    <xf numFmtId="0" fontId="13" fillId="0" borderId="46" xfId="0" applyFont="1" applyBorder="1" applyAlignment="1" applyProtection="1">
      <alignment horizontal="center" vertical="center" wrapText="1"/>
      <protection locked="0"/>
    </xf>
    <xf numFmtId="0" fontId="13" fillId="0" borderId="30" xfId="0" applyFont="1" applyBorder="1" applyAlignment="1" applyProtection="1">
      <alignment horizontal="center" vertical="center" wrapText="1"/>
      <protection locked="0"/>
    </xf>
    <xf numFmtId="0" fontId="76" fillId="7" borderId="225" xfId="0" applyFont="1" applyFill="1" applyBorder="1" applyAlignment="1" applyProtection="1">
      <alignment horizontal="center" vertical="center" wrapText="1"/>
      <protection locked="0"/>
    </xf>
    <xf numFmtId="0" fontId="13" fillId="0" borderId="0" xfId="0" applyFont="1" applyAlignment="1" applyProtection="1">
      <alignment horizontal="center" vertical="center" wrapText="1"/>
      <protection locked="0"/>
    </xf>
    <xf numFmtId="0" fontId="13" fillId="0" borderId="26" xfId="0" applyFont="1" applyBorder="1" applyAlignment="1" applyProtection="1">
      <alignment horizontal="center" vertical="center" wrapText="1"/>
      <protection locked="0"/>
    </xf>
    <xf numFmtId="0" fontId="13" fillId="0" borderId="24" xfId="0" applyFont="1" applyBorder="1" applyAlignment="1" applyProtection="1">
      <alignment horizontal="center" vertical="center" wrapText="1"/>
      <protection locked="0"/>
    </xf>
    <xf numFmtId="0" fontId="13" fillId="0" borderId="25" xfId="0" applyFont="1" applyBorder="1" applyAlignment="1" applyProtection="1">
      <alignment horizontal="center" vertical="center" wrapText="1"/>
      <protection locked="0"/>
    </xf>
    <xf numFmtId="0" fontId="13" fillId="0" borderId="13" xfId="0" applyFont="1" applyBorder="1" applyAlignment="1" applyProtection="1">
      <alignment horizontal="center" vertical="center" wrapText="1"/>
      <protection locked="0"/>
    </xf>
    <xf numFmtId="0" fontId="108" fillId="17" borderId="223" xfId="0" applyFont="1" applyFill="1" applyBorder="1" applyAlignment="1" applyProtection="1">
      <alignment horizontal="center" vertical="center" wrapText="1"/>
      <protection locked="0" hidden="1"/>
    </xf>
    <xf numFmtId="0" fontId="108" fillId="17" borderId="227" xfId="0" applyFont="1" applyFill="1" applyBorder="1" applyAlignment="1" applyProtection="1">
      <alignment horizontal="center" vertical="center" wrapText="1"/>
      <protection locked="0" hidden="1"/>
    </xf>
    <xf numFmtId="0" fontId="108" fillId="17" borderId="224" xfId="0" applyFont="1" applyFill="1" applyBorder="1" applyAlignment="1" applyProtection="1">
      <alignment horizontal="center" vertical="center" wrapText="1"/>
      <protection locked="0" hidden="1"/>
    </xf>
    <xf numFmtId="0" fontId="108" fillId="17" borderId="209" xfId="0" applyFont="1" applyFill="1" applyBorder="1" applyAlignment="1" applyProtection="1">
      <alignment horizontal="center" vertical="center" wrapText="1"/>
      <protection locked="0" hidden="1"/>
    </xf>
    <xf numFmtId="0" fontId="108" fillId="17" borderId="210" xfId="0" applyFont="1" applyFill="1" applyBorder="1" applyAlignment="1" applyProtection="1">
      <alignment horizontal="center" vertical="center" wrapText="1"/>
      <protection locked="0" hidden="1"/>
    </xf>
    <xf numFmtId="0" fontId="108" fillId="17" borderId="211" xfId="0" applyFont="1" applyFill="1" applyBorder="1" applyAlignment="1" applyProtection="1">
      <alignment horizontal="center" vertical="center" wrapText="1"/>
      <protection locked="0" hidden="1"/>
    </xf>
    <xf numFmtId="0" fontId="7" fillId="0" borderId="25" xfId="0" applyFont="1" applyBorder="1" applyAlignment="1" applyProtection="1">
      <alignment horizontal="center" vertical="center"/>
      <protection hidden="1"/>
    </xf>
    <xf numFmtId="0" fontId="7" fillId="17" borderId="0" xfId="0" applyFont="1" applyFill="1" applyAlignment="1" applyProtection="1">
      <alignment horizontal="center" vertical="center"/>
      <protection locked="0" hidden="1"/>
    </xf>
    <xf numFmtId="0" fontId="12" fillId="8" borderId="253" xfId="0" applyFont="1" applyFill="1" applyBorder="1" applyAlignment="1" applyProtection="1">
      <alignment horizontal="center" vertical="center"/>
      <protection hidden="1"/>
    </xf>
    <xf numFmtId="0" fontId="12" fillId="8" borderId="220" xfId="0" applyFont="1" applyFill="1" applyBorder="1" applyAlignment="1" applyProtection="1">
      <alignment horizontal="center" vertical="center"/>
      <protection hidden="1"/>
    </xf>
    <xf numFmtId="0" fontId="12" fillId="8" borderId="254" xfId="0" applyFont="1" applyFill="1" applyBorder="1" applyAlignment="1" applyProtection="1">
      <alignment horizontal="center" vertical="center"/>
      <protection hidden="1"/>
    </xf>
    <xf numFmtId="0" fontId="140" fillId="17" borderId="225" xfId="0" applyFont="1" applyFill="1" applyBorder="1" applyAlignment="1" applyProtection="1">
      <alignment horizontal="left" vertical="center"/>
      <protection locked="0" hidden="1"/>
    </xf>
    <xf numFmtId="0" fontId="140" fillId="17" borderId="0" xfId="0" applyFont="1" applyFill="1" applyAlignment="1" applyProtection="1">
      <alignment horizontal="left" vertical="center"/>
      <protection locked="0" hidden="1"/>
    </xf>
    <xf numFmtId="0" fontId="36" fillId="6" borderId="52" xfId="0" applyFont="1" applyFill="1" applyBorder="1" applyAlignment="1" applyProtection="1">
      <alignment horizontal="center" vertical="center"/>
      <protection hidden="1"/>
    </xf>
    <xf numFmtId="0" fontId="12" fillId="0" borderId="4" xfId="0" applyFont="1" applyBorder="1" applyAlignment="1" applyProtection="1">
      <alignment horizontal="center" vertical="center" textRotation="90" wrapText="1"/>
      <protection hidden="1"/>
    </xf>
    <xf numFmtId="0" fontId="12" fillId="0" borderId="16" xfId="0" applyFont="1" applyBorder="1" applyAlignment="1" applyProtection="1">
      <alignment horizontal="center" vertical="center" textRotation="90" wrapText="1"/>
      <protection hidden="1"/>
    </xf>
    <xf numFmtId="0" fontId="12" fillId="0" borderId="20" xfId="0" applyFont="1" applyBorder="1" applyAlignment="1" applyProtection="1">
      <alignment horizontal="center" vertical="center" textRotation="90" wrapText="1"/>
      <protection hidden="1"/>
    </xf>
    <xf numFmtId="0" fontId="12" fillId="8" borderId="314" xfId="0" applyFont="1" applyFill="1" applyBorder="1" applyAlignment="1" applyProtection="1">
      <alignment horizontal="center" vertical="center"/>
      <protection hidden="1"/>
    </xf>
    <xf numFmtId="0" fontId="7" fillId="6" borderId="307" xfId="0" applyFont="1" applyFill="1" applyBorder="1" applyAlignment="1" applyProtection="1">
      <alignment horizontal="left" vertical="center" wrapText="1"/>
      <protection hidden="1"/>
    </xf>
    <xf numFmtId="0" fontId="7" fillId="6" borderId="306" xfId="0" applyFont="1" applyFill="1" applyBorder="1" applyAlignment="1" applyProtection="1">
      <alignment horizontal="left" vertical="center" wrapText="1"/>
      <protection hidden="1"/>
    </xf>
    <xf numFmtId="0" fontId="107" fillId="0" borderId="227" xfId="0" applyFont="1" applyBorder="1" applyAlignment="1" applyProtection="1">
      <alignment horizontal="center" vertical="center" wrapText="1"/>
      <protection hidden="1"/>
    </xf>
    <xf numFmtId="0" fontId="107" fillId="0" borderId="0" xfId="0" applyFont="1" applyAlignment="1" applyProtection="1">
      <alignment horizontal="center" vertical="center" wrapText="1"/>
      <protection hidden="1"/>
    </xf>
    <xf numFmtId="0" fontId="13" fillId="17" borderId="223" xfId="0" applyFont="1" applyFill="1" applyBorder="1" applyAlignment="1" applyProtection="1">
      <alignment horizontal="center" vertical="center" wrapText="1"/>
      <protection hidden="1"/>
    </xf>
    <xf numFmtId="0" fontId="13" fillId="17" borderId="227" xfId="0" applyFont="1" applyFill="1" applyBorder="1" applyAlignment="1" applyProtection="1">
      <alignment horizontal="center" vertical="center" wrapText="1"/>
      <protection hidden="1"/>
    </xf>
    <xf numFmtId="0" fontId="13" fillId="17" borderId="224" xfId="0" applyFont="1" applyFill="1" applyBorder="1" applyAlignment="1" applyProtection="1">
      <alignment horizontal="center" vertical="center" wrapText="1"/>
      <protection hidden="1"/>
    </xf>
    <xf numFmtId="0" fontId="13" fillId="17" borderId="225" xfId="0" applyFont="1" applyFill="1" applyBorder="1" applyAlignment="1" applyProtection="1">
      <alignment horizontal="center" vertical="center" wrapText="1"/>
      <protection hidden="1"/>
    </xf>
    <xf numFmtId="0" fontId="13" fillId="17" borderId="0" xfId="0" applyFont="1" applyFill="1" applyAlignment="1" applyProtection="1">
      <alignment horizontal="center" vertical="center" wrapText="1"/>
      <protection hidden="1"/>
    </xf>
    <xf numFmtId="0" fontId="13" fillId="17" borderId="26" xfId="0" applyFont="1" applyFill="1" applyBorder="1" applyAlignment="1" applyProtection="1">
      <alignment horizontal="center" vertical="center" wrapText="1"/>
      <protection hidden="1"/>
    </xf>
    <xf numFmtId="0" fontId="13" fillId="17" borderId="209" xfId="0" applyFont="1" applyFill="1" applyBorder="1" applyAlignment="1" applyProtection="1">
      <alignment horizontal="center" vertical="center" wrapText="1"/>
      <protection hidden="1"/>
    </xf>
    <xf numFmtId="0" fontId="13" fillId="17" borderId="210" xfId="0" applyFont="1" applyFill="1" applyBorder="1" applyAlignment="1" applyProtection="1">
      <alignment horizontal="center" vertical="center" wrapText="1"/>
      <protection hidden="1"/>
    </xf>
    <xf numFmtId="0" fontId="13" fillId="17" borderId="211" xfId="0" applyFont="1" applyFill="1" applyBorder="1" applyAlignment="1" applyProtection="1">
      <alignment horizontal="center" vertical="center" wrapText="1"/>
      <protection hidden="1"/>
    </xf>
    <xf numFmtId="0" fontId="4" fillId="17" borderId="223" xfId="0" applyFont="1" applyFill="1" applyBorder="1" applyAlignment="1" applyProtection="1">
      <alignment horizontal="center" vertical="center" wrapText="1"/>
      <protection hidden="1"/>
    </xf>
    <xf numFmtId="0" fontId="4" fillId="17" borderId="227" xfId="0" applyFont="1" applyFill="1" applyBorder="1" applyAlignment="1" applyProtection="1">
      <alignment horizontal="center" vertical="center" wrapText="1"/>
      <protection hidden="1"/>
    </xf>
    <xf numFmtId="0" fontId="4" fillId="17" borderId="224" xfId="0" applyFont="1" applyFill="1" applyBorder="1" applyAlignment="1" applyProtection="1">
      <alignment horizontal="center" vertical="center" wrapText="1"/>
      <protection hidden="1"/>
    </xf>
    <xf numFmtId="0" fontId="4" fillId="17" borderId="225" xfId="0" applyFont="1" applyFill="1" applyBorder="1" applyAlignment="1" applyProtection="1">
      <alignment horizontal="center" vertical="center" wrapText="1"/>
      <protection hidden="1"/>
    </xf>
    <xf numFmtId="0" fontId="4" fillId="17" borderId="0" xfId="0" applyFont="1" applyFill="1" applyAlignment="1" applyProtection="1">
      <alignment horizontal="center" vertical="center" wrapText="1"/>
      <protection hidden="1"/>
    </xf>
    <xf numFmtId="0" fontId="4" fillId="17" borderId="26" xfId="0" applyFont="1" applyFill="1" applyBorder="1" applyAlignment="1" applyProtection="1">
      <alignment horizontal="center" vertical="center" wrapText="1"/>
      <protection hidden="1"/>
    </xf>
    <xf numFmtId="0" fontId="4" fillId="17" borderId="209" xfId="0" applyFont="1" applyFill="1" applyBorder="1" applyAlignment="1" applyProtection="1">
      <alignment horizontal="center" vertical="center" wrapText="1"/>
      <protection hidden="1"/>
    </xf>
    <xf numFmtId="0" fontId="4" fillId="17" borderId="210" xfId="0" applyFont="1" applyFill="1" applyBorder="1" applyAlignment="1" applyProtection="1">
      <alignment horizontal="center" vertical="center" wrapText="1"/>
      <protection hidden="1"/>
    </xf>
    <xf numFmtId="0" fontId="4" fillId="17" borderId="211" xfId="0" applyFont="1" applyFill="1" applyBorder="1" applyAlignment="1" applyProtection="1">
      <alignment horizontal="center" vertical="center" wrapText="1"/>
      <protection hidden="1"/>
    </xf>
    <xf numFmtId="0" fontId="7" fillId="6" borderId="236" xfId="0" applyFont="1" applyFill="1" applyBorder="1" applyAlignment="1" applyProtection="1">
      <alignment horizontal="left" vertical="center" wrapText="1"/>
      <protection hidden="1"/>
    </xf>
    <xf numFmtId="0" fontId="14" fillId="7" borderId="185" xfId="0" applyFont="1" applyFill="1" applyBorder="1" applyAlignment="1" applyProtection="1">
      <alignment horizontal="center"/>
      <protection locked="0"/>
    </xf>
    <xf numFmtId="0" fontId="14" fillId="0" borderId="186" xfId="0" applyFont="1" applyBorder="1" applyAlignment="1" applyProtection="1">
      <alignment horizontal="center"/>
      <protection locked="0"/>
    </xf>
    <xf numFmtId="0" fontId="14" fillId="0" borderId="188" xfId="0" applyFont="1" applyBorder="1" applyAlignment="1" applyProtection="1">
      <alignment horizontal="center"/>
      <protection locked="0"/>
    </xf>
    <xf numFmtId="0" fontId="7" fillId="6" borderId="272" xfId="0" applyFont="1" applyFill="1" applyBorder="1" applyAlignment="1" applyProtection="1">
      <alignment horizontal="left" vertical="center"/>
      <protection hidden="1"/>
    </xf>
    <xf numFmtId="0" fontId="0" fillId="0" borderId="227" xfId="0" applyBorder="1" applyProtection="1">
      <protection locked="0"/>
    </xf>
    <xf numFmtId="0" fontId="0" fillId="0" borderId="224" xfId="0" applyBorder="1" applyProtection="1">
      <protection locked="0"/>
    </xf>
    <xf numFmtId="0" fontId="0" fillId="0" borderId="209" xfId="0" applyBorder="1" applyProtection="1">
      <protection locked="0"/>
    </xf>
    <xf numFmtId="0" fontId="0" fillId="0" borderId="127" xfId="0" applyBorder="1" applyProtection="1">
      <protection locked="0"/>
    </xf>
    <xf numFmtId="0" fontId="0" fillId="0" borderId="211" xfId="0" applyBorder="1" applyProtection="1">
      <protection locked="0"/>
    </xf>
    <xf numFmtId="0" fontId="108" fillId="17" borderId="225" xfId="0" applyFont="1" applyFill="1" applyBorder="1" applyAlignment="1" applyProtection="1">
      <alignment horizontal="center" vertical="center" wrapText="1"/>
      <protection locked="0" hidden="1"/>
    </xf>
    <xf numFmtId="0" fontId="108" fillId="17" borderId="0" xfId="0" applyFont="1" applyFill="1" applyAlignment="1" applyProtection="1">
      <alignment horizontal="center" vertical="center" wrapText="1"/>
      <protection locked="0" hidden="1"/>
    </xf>
    <xf numFmtId="0" fontId="108" fillId="17" borderId="26" xfId="0" applyFont="1" applyFill="1" applyBorder="1" applyAlignment="1" applyProtection="1">
      <alignment horizontal="center" vertical="center" wrapText="1"/>
      <protection locked="0" hidden="1"/>
    </xf>
    <xf numFmtId="0" fontId="7" fillId="6" borderId="10" xfId="0" applyFont="1" applyFill="1" applyBorder="1" applyAlignment="1" applyProtection="1">
      <alignment horizontal="left" vertical="center" wrapText="1"/>
      <protection hidden="1"/>
    </xf>
    <xf numFmtId="0" fontId="4" fillId="6" borderId="27" xfId="0" applyFont="1" applyFill="1" applyBorder="1" applyAlignment="1">
      <alignment horizontal="left" vertical="center" wrapText="1"/>
    </xf>
    <xf numFmtId="0" fontId="36" fillId="6" borderId="4" xfId="0" applyFont="1" applyFill="1" applyBorder="1" applyAlignment="1" applyProtection="1">
      <alignment vertical="center" textRotation="90"/>
      <protection hidden="1"/>
    </xf>
    <xf numFmtId="0" fontId="0" fillId="0" borderId="16" xfId="0" applyBorder="1" applyAlignment="1">
      <alignment vertical="center" textRotation="90"/>
    </xf>
    <xf numFmtId="0" fontId="0" fillId="0" borderId="20" xfId="0" applyBorder="1" applyAlignment="1">
      <alignment vertical="center" textRotation="90"/>
    </xf>
    <xf numFmtId="0" fontId="7" fillId="6" borderId="293" xfId="0" applyFont="1" applyFill="1" applyBorder="1" applyAlignment="1" applyProtection="1">
      <alignment horizontal="left" vertical="center" wrapText="1"/>
      <protection hidden="1"/>
    </xf>
    <xf numFmtId="0" fontId="140" fillId="17" borderId="225" xfId="0" applyFont="1" applyFill="1" applyBorder="1" applyAlignment="1" applyProtection="1">
      <alignment horizontal="center" vertical="center"/>
      <protection locked="0" hidden="1"/>
    </xf>
    <xf numFmtId="0" fontId="7" fillId="6" borderId="364" xfId="0" applyFont="1" applyFill="1" applyBorder="1" applyAlignment="1">
      <alignment horizontal="center" vertical="center" wrapText="1"/>
    </xf>
    <xf numFmtId="0" fontId="7" fillId="6" borderId="363" xfId="0" applyFont="1" applyFill="1" applyBorder="1" applyAlignment="1">
      <alignment horizontal="center" vertical="center" wrapText="1"/>
    </xf>
    <xf numFmtId="0" fontId="7" fillId="6" borderId="129" xfId="0" applyFont="1" applyFill="1" applyBorder="1" applyAlignment="1">
      <alignment horizontal="center" vertical="center" wrapText="1"/>
    </xf>
    <xf numFmtId="0" fontId="7" fillId="32" borderId="344" xfId="0" applyFont="1" applyFill="1" applyBorder="1" applyAlignment="1">
      <alignment horizontal="center" vertical="center" wrapText="1"/>
    </xf>
    <xf numFmtId="0" fontId="0" fillId="0" borderId="344" xfId="0" applyBorder="1" applyAlignment="1">
      <alignment horizontal="center" vertical="center" wrapText="1"/>
    </xf>
    <xf numFmtId="0" fontId="0" fillId="0" borderId="370" xfId="0" applyBorder="1" applyAlignment="1">
      <alignment horizontal="center" vertical="center" wrapText="1"/>
    </xf>
    <xf numFmtId="0" fontId="0" fillId="0" borderId="371" xfId="0" applyBorder="1" applyAlignment="1">
      <alignment horizontal="center" vertical="center" wrapText="1"/>
    </xf>
    <xf numFmtId="0" fontId="139" fillId="17" borderId="0" xfId="0" applyFont="1" applyFill="1" applyAlignment="1">
      <alignment vertical="top" wrapText="1"/>
    </xf>
    <xf numFmtId="0" fontId="4" fillId="17" borderId="0" xfId="0" applyFont="1" applyFill="1" applyAlignment="1">
      <alignment vertical="top" wrapText="1"/>
    </xf>
    <xf numFmtId="0" fontId="5" fillId="2" borderId="0" xfId="0" applyFont="1" applyFill="1" applyAlignment="1">
      <alignment horizontal="center" wrapText="1"/>
    </xf>
    <xf numFmtId="0" fontId="4" fillId="2" borderId="0" xfId="0" applyFont="1" applyFill="1" applyAlignment="1">
      <alignment wrapText="1"/>
    </xf>
    <xf numFmtId="0" fontId="4" fillId="7" borderId="138" xfId="0" applyFont="1" applyFill="1" applyBorder="1" applyAlignment="1">
      <alignment horizontal="center"/>
    </xf>
    <xf numFmtId="0" fontId="0" fillId="0" borderId="136" xfId="0" applyBorder="1"/>
    <xf numFmtId="2" fontId="73" fillId="18" borderId="0" xfId="0" applyNumberFormat="1" applyFont="1" applyFill="1" applyAlignment="1">
      <alignment horizontal="center" vertical="center" wrapText="1"/>
    </xf>
    <xf numFmtId="0" fontId="81" fillId="18" borderId="0" xfId="0" applyFont="1" applyFill="1" applyAlignment="1">
      <alignment horizontal="center" vertical="center"/>
    </xf>
    <xf numFmtId="0" fontId="4" fillId="18" borderId="0" xfId="0" applyFont="1" applyFill="1" applyAlignment="1">
      <alignment horizontal="left" vertical="center" wrapText="1" indent="1"/>
    </xf>
    <xf numFmtId="0" fontId="0" fillId="18" borderId="0" xfId="0" applyFill="1" applyAlignment="1">
      <alignment horizontal="left" vertical="center" wrapText="1" indent="1"/>
    </xf>
    <xf numFmtId="0" fontId="0" fillId="18" borderId="0" xfId="0" applyFill="1" applyAlignment="1">
      <alignment horizontal="left" wrapText="1" indent="1"/>
    </xf>
    <xf numFmtId="0" fontId="4" fillId="18" borderId="0" xfId="0" applyFont="1" applyFill="1" applyAlignment="1">
      <alignment wrapText="1"/>
    </xf>
    <xf numFmtId="0" fontId="98" fillId="0" borderId="0" xfId="0" applyFont="1" applyAlignment="1">
      <alignment vertical="center" wrapText="1"/>
    </xf>
    <xf numFmtId="0" fontId="73" fillId="18" borderId="0" xfId="0" applyFont="1" applyFill="1" applyAlignment="1">
      <alignment horizontal="center" wrapText="1"/>
    </xf>
    <xf numFmtId="0" fontId="98" fillId="0" borderId="0" xfId="0" applyFont="1" applyAlignment="1">
      <alignment wrapText="1"/>
    </xf>
    <xf numFmtId="0" fontId="4" fillId="7" borderId="142" xfId="0" applyFont="1" applyFill="1" applyBorder="1" applyAlignment="1">
      <alignment horizontal="center"/>
    </xf>
    <xf numFmtId="0" fontId="0" fillId="0" borderId="142" xfId="0" applyBorder="1" applyAlignment="1">
      <alignment horizontal="center"/>
    </xf>
    <xf numFmtId="0" fontId="70" fillId="0" borderId="225" xfId="0" applyFont="1" applyBorder="1" applyAlignment="1">
      <alignment horizontal="center" vertical="center" textRotation="90"/>
    </xf>
    <xf numFmtId="0" fontId="6" fillId="0" borderId="225" xfId="0" applyFont="1" applyBorder="1" applyAlignment="1">
      <alignment horizontal="center" vertical="center" textRotation="90"/>
    </xf>
    <xf numFmtId="0" fontId="238" fillId="0" borderId="0" xfId="0" quotePrefix="1" applyFont="1" applyAlignment="1">
      <alignment horizontal="center" vertical="top" textRotation="90"/>
    </xf>
    <xf numFmtId="0" fontId="42" fillId="0" borderId="0" xfId="0" applyFont="1" applyAlignment="1">
      <alignment horizontal="left" vertical="center"/>
    </xf>
    <xf numFmtId="0" fontId="236" fillId="0" borderId="0" xfId="0" applyFont="1" applyAlignment="1">
      <alignment vertical="center"/>
    </xf>
    <xf numFmtId="0" fontId="2" fillId="0" borderId="0" xfId="0" applyFont="1" applyAlignment="1">
      <alignment vertical="center"/>
    </xf>
    <xf numFmtId="0" fontId="5" fillId="0" borderId="2" xfId="0" applyFont="1" applyBorder="1" applyAlignment="1">
      <alignment horizontal="center" vertical="center" textRotation="90"/>
    </xf>
    <xf numFmtId="0" fontId="4" fillId="0" borderId="2" xfId="0" applyFont="1" applyBorder="1" applyAlignment="1">
      <alignment horizontal="center" vertical="center" textRotation="90"/>
    </xf>
    <xf numFmtId="0" fontId="5" fillId="0" borderId="0" xfId="0" applyFont="1" applyAlignment="1">
      <alignment horizontal="center" vertical="center" textRotation="90"/>
    </xf>
    <xf numFmtId="0" fontId="4" fillId="0" borderId="0" xfId="0" applyFont="1" applyAlignment="1">
      <alignment horizontal="center" vertical="center" textRotation="90"/>
    </xf>
    <xf numFmtId="0" fontId="238" fillId="0" borderId="0" xfId="0" quotePrefix="1" applyFont="1" applyAlignment="1">
      <alignment horizontal="center" vertical="top" textRotation="90" wrapText="1"/>
    </xf>
    <xf numFmtId="0" fontId="2" fillId="0" borderId="0" xfId="0" applyFont="1" applyAlignment="1">
      <alignment horizontal="center" vertical="top" textRotation="90" wrapText="1"/>
    </xf>
    <xf numFmtId="0" fontId="5" fillId="0" borderId="2" xfId="0" applyFont="1" applyBorder="1" applyAlignment="1">
      <alignment horizontal="right" vertical="top" wrapText="1"/>
    </xf>
    <xf numFmtId="0" fontId="5" fillId="0" borderId="0" xfId="0" applyFont="1" applyAlignment="1">
      <alignment horizontal="right" vertical="top" wrapText="1"/>
    </xf>
    <xf numFmtId="0" fontId="238" fillId="0" borderId="0" xfId="0" quotePrefix="1" applyFont="1" applyAlignment="1">
      <alignment horizontal="center" vertical="center" textRotation="90" wrapText="1"/>
    </xf>
    <xf numFmtId="0" fontId="2" fillId="0" borderId="0" xfId="0" applyFont="1" applyAlignment="1">
      <alignment horizontal="center" vertical="center" textRotation="90" wrapText="1"/>
    </xf>
    <xf numFmtId="0" fontId="5" fillId="0" borderId="2" xfId="0" applyFont="1" applyBorder="1" applyAlignment="1">
      <alignment horizontal="right" vertical="top" wrapText="1" indent="1"/>
    </xf>
    <xf numFmtId="0" fontId="2" fillId="0" borderId="0" xfId="0" applyFont="1" applyAlignment="1">
      <alignment horizontal="right" vertical="top" wrapText="1" indent="1"/>
    </xf>
    <xf numFmtId="0" fontId="2" fillId="0" borderId="2" xfId="0" applyFont="1" applyBorder="1" applyAlignment="1">
      <alignment horizontal="right" vertical="top" wrapText="1" indent="1"/>
    </xf>
    <xf numFmtId="0" fontId="2" fillId="0" borderId="0" xfId="0" applyFont="1" applyAlignment="1">
      <alignment horizontal="center" vertical="top" textRotation="90"/>
    </xf>
    <xf numFmtId="0" fontId="12" fillId="0" borderId="228" xfId="0" applyFont="1" applyBorder="1" applyAlignment="1" applyProtection="1">
      <alignment horizontal="center" vertical="center" wrapText="1"/>
      <protection locked="0"/>
    </xf>
    <xf numFmtId="0" fontId="12" fillId="0" borderId="236" xfId="0" applyFont="1" applyBorder="1" applyAlignment="1" applyProtection="1">
      <alignment horizontal="center" vertical="center" wrapText="1"/>
      <protection locked="0"/>
    </xf>
    <xf numFmtId="0" fontId="12" fillId="0" borderId="310" xfId="0" applyFont="1" applyBorder="1" applyAlignment="1" applyProtection="1">
      <alignment horizontal="center" vertical="center" wrapText="1"/>
      <protection locked="0"/>
    </xf>
    <xf numFmtId="0" fontId="138" fillId="0" borderId="228" xfId="0" applyFont="1" applyBorder="1" applyAlignment="1" applyProtection="1">
      <alignment horizontal="center" vertical="center" wrapText="1"/>
      <protection locked="0"/>
    </xf>
    <xf numFmtId="0" fontId="138" fillId="0" borderId="236" xfId="0" applyFont="1" applyBorder="1" applyAlignment="1" applyProtection="1">
      <alignment horizontal="center" vertical="center" wrapText="1"/>
      <protection locked="0"/>
    </xf>
    <xf numFmtId="0" fontId="138" fillId="0" borderId="310" xfId="0" applyFont="1" applyBorder="1" applyAlignment="1" applyProtection="1">
      <alignment horizontal="center" vertical="center" wrapText="1"/>
      <protection locked="0"/>
    </xf>
    <xf numFmtId="14" fontId="47" fillId="0" borderId="311" xfId="0" applyNumberFormat="1" applyFont="1" applyBorder="1" applyAlignment="1" applyProtection="1">
      <alignment horizontal="center" vertical="center" wrapText="1"/>
      <protection locked="0"/>
    </xf>
    <xf numFmtId="14" fontId="47" fillId="0" borderId="236" xfId="0" applyNumberFormat="1" applyFont="1" applyBorder="1" applyAlignment="1" applyProtection="1">
      <alignment horizontal="center" vertical="center" wrapText="1"/>
      <protection locked="0"/>
    </xf>
    <xf numFmtId="14" fontId="47" fillId="0" borderId="191" xfId="0" applyNumberFormat="1" applyFont="1" applyBorder="1" applyAlignment="1" applyProtection="1">
      <alignment horizontal="center" vertical="center" wrapText="1"/>
      <protection locked="0"/>
    </xf>
    <xf numFmtId="0" fontId="47" fillId="0" borderId="228" xfId="0" applyFont="1" applyBorder="1" applyAlignment="1" applyProtection="1">
      <alignment horizontal="center" vertical="center" wrapText="1"/>
      <protection locked="0"/>
    </xf>
    <xf numFmtId="0" fontId="47" fillId="0" borderId="236" xfId="0" applyFont="1" applyBorder="1" applyAlignment="1" applyProtection="1">
      <alignment horizontal="center" vertical="center" wrapText="1"/>
      <protection locked="0"/>
    </xf>
    <xf numFmtId="0" fontId="47" fillId="0" borderId="310" xfId="0" applyFont="1" applyBorder="1" applyAlignment="1" applyProtection="1">
      <alignment horizontal="center" vertical="center" wrapText="1"/>
      <protection locked="0"/>
    </xf>
    <xf numFmtId="0" fontId="47" fillId="0" borderId="228" xfId="0" applyFont="1" applyBorder="1" applyAlignment="1" applyProtection="1">
      <alignment horizontal="center" vertical="top" wrapText="1"/>
      <protection locked="0"/>
    </xf>
    <xf numFmtId="0" fontId="47" fillId="0" borderId="236" xfId="0" applyFont="1" applyBorder="1" applyAlignment="1" applyProtection="1">
      <alignment horizontal="center" vertical="top" wrapText="1"/>
      <protection locked="0"/>
    </xf>
    <xf numFmtId="0" fontId="47" fillId="0" borderId="191" xfId="0" applyFont="1" applyBorder="1" applyAlignment="1" applyProtection="1">
      <alignment horizontal="center" vertical="top" wrapText="1"/>
      <protection locked="0"/>
    </xf>
    <xf numFmtId="0" fontId="31" fillId="5" borderId="228" xfId="0" applyFont="1" applyFill="1" applyBorder="1" applyAlignment="1" applyProtection="1">
      <alignment horizontal="center" vertical="center" wrapText="1"/>
      <protection locked="0"/>
    </xf>
    <xf numFmtId="0" fontId="31" fillId="5" borderId="236" xfId="0" applyFont="1" applyFill="1" applyBorder="1" applyAlignment="1" applyProtection="1">
      <alignment horizontal="center" vertical="center" wrapText="1"/>
      <protection locked="0"/>
    </xf>
    <xf numFmtId="0" fontId="31" fillId="5" borderId="310" xfId="0" applyFont="1" applyFill="1" applyBorder="1" applyAlignment="1" applyProtection="1">
      <alignment horizontal="center" vertical="center" wrapText="1"/>
      <protection locked="0"/>
    </xf>
    <xf numFmtId="0" fontId="31" fillId="5" borderId="311" xfId="0" applyFont="1" applyFill="1" applyBorder="1" applyAlignment="1" applyProtection="1">
      <alignment horizontal="center" vertical="center" wrapText="1"/>
      <protection locked="0"/>
    </xf>
    <xf numFmtId="0" fontId="31" fillId="5" borderId="191" xfId="0" applyFont="1" applyFill="1" applyBorder="1" applyAlignment="1" applyProtection="1">
      <alignment horizontal="center" vertical="center" wrapText="1"/>
      <protection locked="0"/>
    </xf>
    <xf numFmtId="49" fontId="60" fillId="0" borderId="228" xfId="0" applyNumberFormat="1" applyFont="1" applyBorder="1" applyAlignment="1" applyProtection="1">
      <alignment horizontal="center" vertical="center"/>
      <protection hidden="1"/>
    </xf>
    <xf numFmtId="49" fontId="60" fillId="0" borderId="310" xfId="0" applyNumberFormat="1" applyFont="1" applyBorder="1" applyAlignment="1" applyProtection="1">
      <alignment horizontal="center" vertical="center"/>
      <protection hidden="1"/>
    </xf>
    <xf numFmtId="0" fontId="47" fillId="0" borderId="311" xfId="0" applyFont="1" applyBorder="1" applyAlignment="1" applyProtection="1">
      <alignment horizontal="center" vertical="center" wrapText="1"/>
      <protection locked="0"/>
    </xf>
    <xf numFmtId="0" fontId="47" fillId="0" borderId="311" xfId="0" applyFont="1" applyBorder="1" applyAlignment="1" applyProtection="1">
      <alignment horizontal="left" vertical="top" wrapText="1"/>
      <protection locked="0"/>
    </xf>
    <xf numFmtId="0" fontId="47" fillId="0" borderId="236" xfId="0" applyFont="1" applyBorder="1" applyAlignment="1" applyProtection="1">
      <alignment horizontal="left" vertical="top" wrapText="1"/>
      <protection locked="0"/>
    </xf>
    <xf numFmtId="0" fontId="47" fillId="0" borderId="191" xfId="0" applyFont="1" applyBorder="1" applyAlignment="1" applyProtection="1">
      <alignment horizontal="left" vertical="top" wrapText="1"/>
      <protection locked="0"/>
    </xf>
    <xf numFmtId="0" fontId="12" fillId="0" borderId="311" xfId="0" applyFont="1" applyBorder="1" applyAlignment="1" applyProtection="1">
      <alignment horizontal="center" vertical="center" wrapText="1"/>
      <protection hidden="1"/>
    </xf>
    <xf numFmtId="0" fontId="12" fillId="0" borderId="310" xfId="0" applyFont="1" applyBorder="1" applyAlignment="1" applyProtection="1">
      <alignment horizontal="center" vertical="center" wrapText="1"/>
      <protection hidden="1"/>
    </xf>
    <xf numFmtId="0" fontId="47" fillId="0" borderId="314" xfId="0" applyFont="1" applyBorder="1" applyAlignment="1" applyProtection="1">
      <alignment horizontal="center" vertical="center" wrapText="1"/>
      <protection locked="0"/>
    </xf>
    <xf numFmtId="0" fontId="47" fillId="0" borderId="313" xfId="0" applyFont="1" applyBorder="1" applyAlignment="1" applyProtection="1">
      <alignment horizontal="center" vertical="center" wrapText="1"/>
      <protection locked="0"/>
    </xf>
    <xf numFmtId="0" fontId="61" fillId="0" borderId="228" xfId="0" applyFont="1" applyBorder="1" applyAlignment="1" applyProtection="1">
      <alignment horizontal="center" vertical="center" wrapText="1"/>
      <protection hidden="1"/>
    </xf>
    <xf numFmtId="0" fontId="61" fillId="0" borderId="236" xfId="0" applyFont="1" applyBorder="1" applyAlignment="1" applyProtection="1">
      <alignment horizontal="center" vertical="center" wrapText="1"/>
      <protection hidden="1"/>
    </xf>
    <xf numFmtId="0" fontId="61" fillId="0" borderId="310" xfId="0" applyFont="1" applyBorder="1" applyAlignment="1" applyProtection="1">
      <alignment horizontal="center" vertical="center" wrapText="1"/>
      <protection hidden="1"/>
    </xf>
    <xf numFmtId="0" fontId="12" fillId="8" borderId="228" xfId="0" applyFont="1" applyFill="1" applyBorder="1" applyAlignment="1" applyProtection="1">
      <alignment vertical="center" wrapText="1"/>
      <protection hidden="1"/>
    </xf>
    <xf numFmtId="0" fontId="12" fillId="8" borderId="236" xfId="0" applyFont="1" applyFill="1" applyBorder="1" applyAlignment="1" applyProtection="1">
      <alignment vertical="center" wrapText="1"/>
      <protection hidden="1"/>
    </xf>
    <xf numFmtId="0" fontId="12" fillId="8" borderId="310" xfId="0" applyFont="1" applyFill="1" applyBorder="1" applyAlignment="1" applyProtection="1">
      <alignment vertical="center" wrapText="1"/>
      <protection hidden="1"/>
    </xf>
    <xf numFmtId="0" fontId="12" fillId="8" borderId="311" xfId="0" applyFont="1" applyFill="1" applyBorder="1" applyAlignment="1" applyProtection="1">
      <alignment horizontal="left" vertical="center" wrapText="1"/>
      <protection hidden="1"/>
    </xf>
    <xf numFmtId="0" fontId="12" fillId="8" borderId="310" xfId="0" applyFont="1" applyFill="1" applyBorder="1" applyAlignment="1" applyProtection="1">
      <alignment horizontal="left" vertical="center" wrapText="1"/>
      <protection hidden="1"/>
    </xf>
    <xf numFmtId="0" fontId="12" fillId="0" borderId="228" xfId="0" applyFont="1" applyBorder="1" applyAlignment="1" applyProtection="1">
      <alignment horizontal="center" vertical="center" wrapText="1"/>
      <protection hidden="1"/>
    </xf>
    <xf numFmtId="0" fontId="12" fillId="0" borderId="236" xfId="0" applyFont="1" applyBorder="1" applyAlignment="1" applyProtection="1">
      <alignment horizontal="center" vertical="center" wrapText="1"/>
      <protection hidden="1"/>
    </xf>
    <xf numFmtId="0" fontId="12" fillId="0" borderId="228" xfId="0" applyFont="1" applyBorder="1" applyAlignment="1" applyProtection="1">
      <alignment horizontal="left" vertical="top" wrapText="1"/>
      <protection locked="0"/>
    </xf>
    <xf numFmtId="0" fontId="12" fillId="0" borderId="236" xfId="0" applyFont="1" applyBorder="1" applyAlignment="1" applyProtection="1">
      <alignment horizontal="left" vertical="top" wrapText="1"/>
      <protection locked="0"/>
    </xf>
    <xf numFmtId="0" fontId="12" fillId="0" borderId="191" xfId="0" applyFont="1" applyBorder="1" applyAlignment="1" applyProtection="1">
      <alignment horizontal="left" vertical="top" wrapText="1"/>
      <protection locked="0"/>
    </xf>
    <xf numFmtId="0" fontId="12" fillId="8" borderId="311" xfId="0" applyFont="1" applyFill="1" applyBorder="1" applyAlignment="1" applyProtection="1">
      <alignment horizontal="left" vertical="top" wrapText="1"/>
      <protection hidden="1"/>
    </xf>
    <xf numFmtId="0" fontId="12" fillId="8" borderId="236" xfId="0" applyFont="1" applyFill="1" applyBorder="1" applyAlignment="1" applyProtection="1">
      <alignment horizontal="left" vertical="top" wrapText="1"/>
      <protection hidden="1"/>
    </xf>
    <xf numFmtId="0" fontId="12" fillId="8" borderId="191" xfId="0" applyFont="1" applyFill="1" applyBorder="1" applyAlignment="1" applyProtection="1">
      <alignment horizontal="left" vertical="top" wrapText="1"/>
      <protection hidden="1"/>
    </xf>
    <xf numFmtId="0" fontId="31" fillId="6" borderId="61" xfId="0" applyFont="1" applyFill="1" applyBorder="1" applyAlignment="1" applyProtection="1">
      <alignment horizontal="center" vertical="center" wrapText="1"/>
      <protection hidden="1"/>
    </xf>
    <xf numFmtId="0" fontId="31" fillId="6" borderId="40" xfId="0" applyFont="1" applyFill="1" applyBorder="1" applyAlignment="1" applyProtection="1">
      <alignment horizontal="center" vertical="center" wrapText="1"/>
      <protection hidden="1"/>
    </xf>
    <xf numFmtId="0" fontId="31" fillId="6" borderId="49" xfId="0" applyFont="1" applyFill="1" applyBorder="1" applyAlignment="1" applyProtection="1">
      <alignment horizontal="center" vertical="center" wrapText="1"/>
      <protection hidden="1"/>
    </xf>
    <xf numFmtId="0" fontId="31" fillId="6" borderId="41" xfId="0" applyFont="1" applyFill="1" applyBorder="1" applyAlignment="1" applyProtection="1">
      <alignment horizontal="center" vertical="center" wrapText="1"/>
      <protection hidden="1"/>
    </xf>
    <xf numFmtId="0" fontId="31" fillId="6" borderId="241" xfId="0" applyFont="1" applyFill="1" applyBorder="1" applyAlignment="1" applyProtection="1">
      <alignment horizontal="center" vertical="center" wrapText="1"/>
      <protection hidden="1"/>
    </xf>
    <xf numFmtId="14" fontId="47" fillId="0" borderId="60" xfId="0" applyNumberFormat="1" applyFont="1" applyBorder="1" applyAlignment="1" applyProtection="1">
      <alignment horizontal="center" vertical="center" wrapText="1"/>
      <protection locked="0"/>
    </xf>
    <xf numFmtId="14" fontId="47" fillId="0" borderId="62" xfId="0" applyNumberFormat="1" applyFont="1" applyBorder="1" applyAlignment="1" applyProtection="1">
      <alignment horizontal="center" vertical="center" wrapText="1"/>
      <protection locked="0"/>
    </xf>
    <xf numFmtId="14" fontId="47" fillId="0" borderId="237" xfId="0" applyNumberFormat="1" applyFont="1" applyBorder="1" applyAlignment="1" applyProtection="1">
      <alignment horizontal="center" vertical="center" wrapText="1"/>
      <protection locked="0"/>
    </xf>
    <xf numFmtId="14" fontId="47" fillId="0" borderId="312" xfId="0" applyNumberFormat="1" applyFont="1" applyBorder="1" applyAlignment="1" applyProtection="1">
      <alignment horizontal="center" vertical="center" wrapText="1"/>
      <protection locked="0"/>
    </xf>
    <xf numFmtId="14" fontId="47" fillId="0" borderId="181" xfId="0" applyNumberFormat="1" applyFont="1" applyBorder="1" applyAlignment="1" applyProtection="1">
      <alignment horizontal="center" vertical="center" wrapText="1"/>
      <protection locked="0"/>
    </xf>
    <xf numFmtId="14" fontId="47" fillId="0" borderId="228" xfId="0" applyNumberFormat="1" applyFont="1" applyBorder="1" applyAlignment="1" applyProtection="1">
      <alignment horizontal="center" vertical="center" wrapText="1"/>
      <protection locked="0"/>
    </xf>
    <xf numFmtId="14" fontId="47" fillId="0" borderId="310" xfId="0" applyNumberFormat="1" applyFont="1" applyBorder="1" applyAlignment="1" applyProtection="1">
      <alignment horizontal="center" vertical="center" wrapText="1"/>
      <protection locked="0"/>
    </xf>
    <xf numFmtId="3" fontId="7" fillId="8" borderId="4" xfId="0" applyNumberFormat="1" applyFont="1" applyFill="1" applyBorder="1" applyAlignment="1">
      <alignment horizontal="center" vertical="center" wrapText="1"/>
    </xf>
    <xf numFmtId="0" fontId="0" fillId="0" borderId="16" xfId="0" applyBorder="1" applyAlignment="1">
      <alignment horizontal="center" vertical="center" wrapText="1"/>
    </xf>
    <xf numFmtId="0" fontId="0" fillId="0" borderId="20" xfId="0" applyBorder="1" applyAlignment="1">
      <alignment horizontal="center" vertical="center" wrapText="1"/>
    </xf>
    <xf numFmtId="0" fontId="7" fillId="10" borderId="4" xfId="0" applyFont="1" applyFill="1" applyBorder="1" applyAlignment="1">
      <alignment horizontal="center" vertical="center" wrapText="1"/>
    </xf>
    <xf numFmtId="0" fontId="0" fillId="0" borderId="20" xfId="0" applyBorder="1" applyAlignment="1">
      <alignment vertical="center"/>
    </xf>
    <xf numFmtId="1" fontId="7" fillId="8" borderId="4" xfId="0" applyNumberFormat="1" applyFont="1" applyFill="1" applyBorder="1" applyAlignment="1">
      <alignment horizontal="center" vertical="center" wrapText="1"/>
    </xf>
    <xf numFmtId="0" fontId="7" fillId="8" borderId="4" xfId="0" applyFont="1" applyFill="1" applyBorder="1" applyAlignment="1">
      <alignment horizontal="center" vertical="center" wrapText="1"/>
    </xf>
    <xf numFmtId="0" fontId="7" fillId="5" borderId="52" xfId="0" applyFont="1" applyFill="1" applyBorder="1" applyAlignment="1">
      <alignment horizontal="center" vertical="center"/>
    </xf>
    <xf numFmtId="0" fontId="7" fillId="5" borderId="4" xfId="0" applyFont="1" applyFill="1" applyBorder="1" applyAlignment="1">
      <alignment horizontal="center" vertical="center" wrapText="1"/>
    </xf>
    <xf numFmtId="0" fontId="4" fillId="5" borderId="20" xfId="0" applyFont="1" applyFill="1" applyBorder="1" applyAlignment="1">
      <alignment horizontal="center" vertical="center" wrapText="1"/>
    </xf>
    <xf numFmtId="0" fontId="4" fillId="5" borderId="20" xfId="0" applyFont="1" applyFill="1" applyBorder="1" applyAlignment="1">
      <alignment wrapText="1"/>
    </xf>
    <xf numFmtId="0" fontId="7" fillId="10" borderId="52" xfId="0" applyFont="1" applyFill="1" applyBorder="1" applyAlignment="1">
      <alignment horizontal="center" vertical="center"/>
    </xf>
    <xf numFmtId="0" fontId="0" fillId="0" borderId="59" xfId="0" applyBorder="1" applyAlignment="1">
      <alignment vertical="center"/>
    </xf>
    <xf numFmtId="0" fontId="0" fillId="0" borderId="6" xfId="0" applyBorder="1" applyAlignment="1">
      <alignment vertical="center"/>
    </xf>
    <xf numFmtId="0" fontId="7" fillId="5" borderId="4" xfId="0" applyFont="1" applyFill="1" applyBorder="1" applyAlignment="1">
      <alignment horizontal="center" vertical="center"/>
    </xf>
    <xf numFmtId="0" fontId="0" fillId="0" borderId="20" xfId="0" applyBorder="1" applyAlignment="1">
      <alignment horizontal="center" vertical="center"/>
    </xf>
    <xf numFmtId="0" fontId="6" fillId="0" borderId="52" xfId="0" applyFont="1" applyBorder="1" applyAlignment="1">
      <alignment horizontal="center" vertical="center"/>
    </xf>
    <xf numFmtId="0" fontId="0" fillId="0" borderId="49" xfId="0" applyBorder="1" applyAlignment="1">
      <alignment horizontal="center" vertical="center"/>
    </xf>
    <xf numFmtId="0" fontId="7" fillId="5" borderId="52" xfId="0" applyFont="1" applyFill="1" applyBorder="1" applyAlignment="1">
      <alignment horizontal="center" vertical="center" wrapText="1"/>
    </xf>
    <xf numFmtId="0" fontId="0" fillId="0" borderId="59" xfId="0" applyBorder="1" applyAlignment="1">
      <alignment vertical="center" wrapText="1"/>
    </xf>
    <xf numFmtId="0" fontId="0" fillId="0" borderId="6" xfId="0" applyBorder="1" applyAlignment="1">
      <alignment vertical="center" wrapText="1"/>
    </xf>
    <xf numFmtId="0" fontId="4" fillId="10" borderId="59" xfId="0" applyFont="1" applyFill="1" applyBorder="1" applyAlignment="1">
      <alignment horizontal="center" vertical="center"/>
    </xf>
    <xf numFmtId="0" fontId="4" fillId="10" borderId="6" xfId="0" applyFont="1" applyFill="1" applyBorder="1" applyAlignment="1">
      <alignment horizontal="center" vertical="center"/>
    </xf>
    <xf numFmtId="0" fontId="4" fillId="0" borderId="20" xfId="0" applyFont="1" applyBorder="1" applyAlignment="1">
      <alignment horizontal="center" vertical="center" wrapText="1"/>
    </xf>
    <xf numFmtId="0" fontId="37" fillId="4" borderId="0" xfId="0" applyFont="1" applyFill="1" applyAlignment="1">
      <alignment horizontal="center" vertical="center" wrapText="1"/>
    </xf>
    <xf numFmtId="0" fontId="7" fillId="5" borderId="20" xfId="0" applyFont="1" applyFill="1" applyBorder="1" applyAlignment="1">
      <alignment horizontal="center" vertical="center" wrapText="1"/>
    </xf>
    <xf numFmtId="0" fontId="7" fillId="24" borderId="4" xfId="0" applyFont="1" applyFill="1" applyBorder="1" applyAlignment="1">
      <alignment horizontal="center" vertical="center"/>
    </xf>
    <xf numFmtId="0" fontId="7" fillId="16" borderId="160" xfId="0" applyFont="1" applyFill="1" applyBorder="1" applyAlignment="1">
      <alignment horizontal="center" vertical="center"/>
    </xf>
    <xf numFmtId="0" fontId="0" fillId="0" borderId="386" xfId="0" applyBorder="1" applyAlignment="1">
      <alignment horizontal="center" vertical="center"/>
    </xf>
    <xf numFmtId="0" fontId="0" fillId="0" borderId="334" xfId="0" applyBorder="1" applyAlignment="1">
      <alignment horizontal="center" vertical="center"/>
    </xf>
    <xf numFmtId="0" fontId="7" fillId="38" borderId="52" xfId="0" applyFont="1" applyFill="1" applyBorder="1" applyAlignment="1">
      <alignment horizontal="center" vertical="center"/>
    </xf>
    <xf numFmtId="0" fontId="7" fillId="42" borderId="52" xfId="0" applyFont="1" applyFill="1" applyBorder="1" applyAlignment="1">
      <alignment horizontal="center" vertical="center"/>
    </xf>
    <xf numFmtId="0" fontId="85" fillId="48" borderId="52" xfId="0" applyFont="1" applyFill="1" applyBorder="1" applyAlignment="1">
      <alignment horizontal="center" vertical="center"/>
    </xf>
    <xf numFmtId="0" fontId="0" fillId="48" borderId="40" xfId="0" applyFill="1" applyBorder="1" applyAlignment="1">
      <alignment horizontal="center" vertical="center"/>
    </xf>
    <xf numFmtId="0" fontId="0" fillId="48" borderId="6" xfId="0" applyFill="1" applyBorder="1" applyAlignment="1">
      <alignment horizontal="center" vertical="center"/>
    </xf>
    <xf numFmtId="0" fontId="85" fillId="34" borderId="52" xfId="0" applyFont="1" applyFill="1" applyBorder="1" applyAlignment="1">
      <alignment horizontal="center" vertical="center"/>
    </xf>
    <xf numFmtId="0" fontId="85" fillId="34" borderId="59" xfId="0" applyFont="1" applyFill="1" applyBorder="1" applyAlignment="1">
      <alignment horizontal="center" vertical="center"/>
    </xf>
    <xf numFmtId="0" fontId="85" fillId="34" borderId="6" xfId="0" applyFont="1" applyFill="1" applyBorder="1" applyAlignment="1">
      <alignment horizontal="center" vertical="center"/>
    </xf>
    <xf numFmtId="0" fontId="7" fillId="0" borderId="312" xfId="0" applyFont="1" applyBorder="1" applyAlignment="1">
      <alignment horizontal="center" vertical="center"/>
    </xf>
    <xf numFmtId="0" fontId="0" fillId="0" borderId="62" xfId="0" applyBorder="1" applyAlignment="1">
      <alignment horizontal="center" vertical="center"/>
    </xf>
    <xf numFmtId="0" fontId="0" fillId="0" borderId="237" xfId="0" applyBorder="1" applyAlignment="1">
      <alignment horizontal="center" vertical="center"/>
    </xf>
    <xf numFmtId="0" fontId="6" fillId="42" borderId="350" xfId="0" applyFont="1" applyFill="1" applyBorder="1" applyAlignment="1">
      <alignment horizontal="center" vertical="center"/>
    </xf>
    <xf numFmtId="0" fontId="70" fillId="42" borderId="351" xfId="0" applyFont="1" applyFill="1" applyBorder="1" applyAlignment="1">
      <alignment horizontal="center" vertical="center"/>
    </xf>
    <xf numFmtId="0" fontId="7" fillId="0" borderId="245" xfId="0" applyFont="1" applyBorder="1" applyAlignment="1">
      <alignment horizontal="center" vertical="center"/>
    </xf>
    <xf numFmtId="0" fontId="0" fillId="0" borderId="16" xfId="0" applyBorder="1" applyAlignment="1">
      <alignment horizontal="center" vertical="center"/>
    </xf>
    <xf numFmtId="0" fontId="0" fillId="0" borderId="50" xfId="0" applyBorder="1" applyAlignment="1">
      <alignment horizontal="center" vertical="center"/>
    </xf>
    <xf numFmtId="0" fontId="6" fillId="0" borderId="41" xfId="0" applyFont="1" applyBorder="1" applyAlignment="1">
      <alignment horizontal="center" vertical="center"/>
    </xf>
    <xf numFmtId="0" fontId="0" fillId="0" borderId="8" xfId="0" applyBorder="1"/>
    <xf numFmtId="0" fontId="41" fillId="0" borderId="341" xfId="0" applyFont="1" applyBorder="1" applyAlignment="1">
      <alignment horizontal="center" vertical="center"/>
    </xf>
    <xf numFmtId="0" fontId="41" fillId="0" borderId="340" xfId="0" applyFont="1" applyBorder="1" applyAlignment="1">
      <alignment horizontal="center" vertical="center"/>
    </xf>
    <xf numFmtId="0" fontId="41" fillId="17" borderId="341" xfId="0" applyFont="1" applyFill="1" applyBorder="1" applyAlignment="1">
      <alignment horizontal="center" vertical="center"/>
    </xf>
    <xf numFmtId="0" fontId="41" fillId="17" borderId="340" xfId="0" applyFont="1" applyFill="1" applyBorder="1" applyAlignment="1">
      <alignment horizontal="center" vertical="center"/>
    </xf>
    <xf numFmtId="0" fontId="7" fillId="10" borderId="341" xfId="0" applyFont="1" applyFill="1" applyBorder="1" applyAlignment="1">
      <alignment horizontal="center" vertical="center"/>
    </xf>
    <xf numFmtId="0" fontId="7" fillId="10" borderId="295" xfId="0" applyFont="1" applyFill="1" applyBorder="1" applyAlignment="1">
      <alignment horizontal="center" vertical="center"/>
    </xf>
    <xf numFmtId="0" fontId="7" fillId="10" borderId="340" xfId="0" applyFont="1" applyFill="1" applyBorder="1" applyAlignment="1">
      <alignment horizontal="center" vertical="center"/>
    </xf>
    <xf numFmtId="0" fontId="6" fillId="0" borderId="367" xfId="0" applyFont="1" applyBorder="1" applyAlignment="1">
      <alignment horizontal="center" vertical="center"/>
    </xf>
    <xf numFmtId="0" fontId="0" fillId="0" borderId="304" xfId="0" applyBorder="1"/>
    <xf numFmtId="0" fontId="6" fillId="4" borderId="0" xfId="0" applyFont="1" applyFill="1" applyAlignment="1">
      <alignment horizontal="center" vertical="center"/>
    </xf>
    <xf numFmtId="0" fontId="7" fillId="10" borderId="28" xfId="0" applyFont="1" applyFill="1" applyBorder="1" applyAlignment="1">
      <alignment horizontal="center" vertical="center"/>
    </xf>
    <xf numFmtId="0" fontId="0" fillId="0" borderId="29" xfId="0" applyBorder="1" applyAlignment="1">
      <alignment horizontal="center" vertical="center"/>
    </xf>
    <xf numFmtId="0" fontId="0" fillId="0" borderId="42" xfId="0" applyBorder="1" applyAlignment="1">
      <alignment horizontal="center" vertical="center"/>
    </xf>
    <xf numFmtId="0" fontId="6" fillId="24" borderId="38" xfId="0" applyFont="1" applyFill="1" applyBorder="1" applyAlignment="1">
      <alignment horizontal="center" vertical="center"/>
    </xf>
    <xf numFmtId="0" fontId="6" fillId="24" borderId="40" xfId="0" applyFont="1" applyFill="1" applyBorder="1" applyAlignment="1">
      <alignment horizontal="center" vertical="center"/>
    </xf>
    <xf numFmtId="0" fontId="6" fillId="24" borderId="49" xfId="0" applyFont="1" applyFill="1" applyBorder="1" applyAlignment="1">
      <alignment horizontal="center" vertical="center"/>
    </xf>
    <xf numFmtId="0" fontId="4" fillId="0" borderId="341" xfId="0" applyFont="1" applyBorder="1" applyAlignment="1">
      <alignment horizontal="left" vertical="center"/>
    </xf>
    <xf numFmtId="0" fontId="4" fillId="0" borderId="340" xfId="0" applyFont="1" applyBorder="1" applyAlignment="1">
      <alignment horizontal="left" vertical="center"/>
    </xf>
    <xf numFmtId="0" fontId="7" fillId="10" borderId="42" xfId="0" applyFont="1" applyFill="1" applyBorder="1" applyAlignment="1">
      <alignment horizontal="center" vertical="center"/>
    </xf>
    <xf numFmtId="0" fontId="4" fillId="10" borderId="42" xfId="0" applyFont="1" applyFill="1" applyBorder="1" applyAlignment="1">
      <alignment horizontal="center" vertical="center"/>
    </xf>
    <xf numFmtId="0" fontId="7" fillId="10" borderId="28" xfId="0" applyFont="1" applyFill="1" applyBorder="1" applyAlignment="1">
      <alignment horizontal="right" vertical="center"/>
    </xf>
    <xf numFmtId="0" fontId="4" fillId="10" borderId="42" xfId="0" applyFont="1" applyFill="1" applyBorder="1" applyAlignment="1">
      <alignment vertical="center"/>
    </xf>
    <xf numFmtId="0" fontId="7" fillId="10" borderId="209" xfId="0" applyFont="1" applyFill="1" applyBorder="1" applyAlignment="1">
      <alignment horizontal="center" vertical="center"/>
    </xf>
    <xf numFmtId="0" fontId="7" fillId="10" borderId="211" xfId="0" applyFont="1" applyFill="1" applyBorder="1" applyAlignment="1">
      <alignment horizontal="center" vertical="center"/>
    </xf>
    <xf numFmtId="0" fontId="6" fillId="24" borderId="52" xfId="0" applyFont="1" applyFill="1" applyBorder="1" applyAlignment="1">
      <alignment horizontal="center" vertical="center"/>
    </xf>
    <xf numFmtId="0" fontId="4" fillId="10" borderId="29" xfId="0" applyFont="1" applyFill="1" applyBorder="1" applyAlignment="1">
      <alignment horizontal="center" vertical="center"/>
    </xf>
    <xf numFmtId="0" fontId="7" fillId="10" borderId="223" xfId="0" applyFont="1" applyFill="1" applyBorder="1" applyAlignment="1">
      <alignment horizontal="center" vertical="center"/>
    </xf>
    <xf numFmtId="0" fontId="7" fillId="10" borderId="224" xfId="0" applyFont="1" applyFill="1" applyBorder="1" applyAlignment="1">
      <alignment horizontal="center" vertical="center"/>
    </xf>
    <xf numFmtId="2" fontId="7" fillId="17" borderId="1" xfId="0" applyNumberFormat="1" applyFont="1" applyFill="1" applyBorder="1" applyAlignment="1">
      <alignment horizontal="right" vertical="center"/>
    </xf>
    <xf numFmtId="2" fontId="0" fillId="17" borderId="1" xfId="0" applyNumberFormat="1" applyFill="1" applyBorder="1" applyAlignment="1">
      <alignment vertical="center"/>
    </xf>
    <xf numFmtId="0" fontId="7" fillId="10" borderId="2" xfId="0" applyFont="1" applyFill="1" applyBorder="1" applyAlignment="1">
      <alignment horizontal="right" vertical="center"/>
    </xf>
    <xf numFmtId="0" fontId="4" fillId="0" borderId="42" xfId="0" applyFont="1" applyBorder="1" applyAlignment="1">
      <alignment horizontal="center" vertical="center"/>
    </xf>
    <xf numFmtId="0" fontId="7" fillId="17" borderId="223" xfId="0" applyFont="1" applyFill="1" applyBorder="1" applyAlignment="1">
      <alignment horizontal="center" vertical="center" wrapText="1"/>
    </xf>
    <xf numFmtId="0" fontId="7" fillId="17" borderId="227" xfId="0" applyFont="1" applyFill="1" applyBorder="1" applyAlignment="1">
      <alignment horizontal="center" vertical="center" wrapText="1"/>
    </xf>
    <xf numFmtId="0" fontId="7" fillId="17" borderId="224" xfId="0" applyFont="1" applyFill="1" applyBorder="1" applyAlignment="1">
      <alignment horizontal="center" vertical="center" wrapText="1"/>
    </xf>
    <xf numFmtId="0" fontId="7" fillId="17" borderId="209" xfId="0" applyFont="1" applyFill="1" applyBorder="1" applyAlignment="1">
      <alignment horizontal="center" vertical="center" wrapText="1"/>
    </xf>
    <xf numFmtId="0" fontId="7" fillId="17" borderId="189" xfId="0" applyFont="1" applyFill="1" applyBorder="1" applyAlignment="1">
      <alignment horizontal="center" vertical="center" wrapText="1"/>
    </xf>
    <xf numFmtId="0" fontId="7" fillId="17" borderId="211" xfId="0" applyFont="1" applyFill="1" applyBorder="1" applyAlignment="1">
      <alignment horizontal="center" vertical="center" wrapText="1"/>
    </xf>
    <xf numFmtId="0" fontId="7" fillId="10" borderId="29" xfId="0" applyFont="1" applyFill="1" applyBorder="1" applyAlignment="1">
      <alignment horizontal="center" vertical="center"/>
    </xf>
    <xf numFmtId="0" fontId="4" fillId="10" borderId="227" xfId="0" applyFont="1" applyFill="1" applyBorder="1" applyAlignment="1">
      <alignment vertical="center"/>
    </xf>
    <xf numFmtId="0" fontId="4" fillId="10" borderId="224" xfId="0" applyFont="1" applyFill="1" applyBorder="1" applyAlignment="1">
      <alignment vertical="center"/>
    </xf>
    <xf numFmtId="0" fontId="7" fillId="10" borderId="227" xfId="0" applyFont="1" applyFill="1" applyBorder="1" applyAlignment="1">
      <alignment horizontal="center" vertical="center"/>
    </xf>
    <xf numFmtId="0" fontId="7" fillId="10" borderId="370" xfId="0" applyFont="1" applyFill="1" applyBorder="1" applyAlignment="1">
      <alignment horizontal="center" vertical="center"/>
    </xf>
    <xf numFmtId="0" fontId="7" fillId="10" borderId="38" xfId="0" applyFont="1" applyFill="1" applyBorder="1" applyAlignment="1">
      <alignment horizontal="right" vertical="center"/>
    </xf>
    <xf numFmtId="0" fontId="74" fillId="17" borderId="2" xfId="0" applyFont="1" applyFill="1" applyBorder="1" applyAlignment="1">
      <alignment horizontal="center" vertical="center"/>
    </xf>
    <xf numFmtId="0" fontId="98" fillId="0" borderId="9" xfId="0" applyFont="1" applyBorder="1" applyAlignment="1">
      <alignment horizontal="center" vertical="center"/>
    </xf>
    <xf numFmtId="0" fontId="6" fillId="24" borderId="59" xfId="0" applyFont="1" applyFill="1" applyBorder="1" applyAlignment="1">
      <alignment horizontal="center" vertical="center"/>
    </xf>
    <xf numFmtId="0" fontId="6" fillId="24" borderId="6" xfId="0" applyFont="1" applyFill="1" applyBorder="1" applyAlignment="1">
      <alignment horizontal="center" vertical="center"/>
    </xf>
    <xf numFmtId="0" fontId="64" fillId="24" borderId="52" xfId="0" applyFont="1" applyFill="1" applyBorder="1" applyAlignment="1">
      <alignment horizontal="center" vertical="center"/>
    </xf>
    <xf numFmtId="0" fontId="11" fillId="24" borderId="59" xfId="0" applyFont="1" applyFill="1" applyBorder="1" applyAlignment="1">
      <alignment horizontal="center" vertical="center"/>
    </xf>
    <xf numFmtId="0" fontId="7" fillId="10" borderId="225" xfId="0" applyFont="1" applyFill="1" applyBorder="1" applyAlignment="1">
      <alignment horizontal="center" vertical="center"/>
    </xf>
    <xf numFmtId="0" fontId="7" fillId="10" borderId="26" xfId="0" applyFont="1" applyFill="1" applyBorder="1" applyAlignment="1">
      <alignment horizontal="center" vertical="center"/>
    </xf>
    <xf numFmtId="0" fontId="45" fillId="0" borderId="0" xfId="0" applyFont="1" applyAlignment="1">
      <alignment horizontal="center" vertical="center"/>
    </xf>
    <xf numFmtId="0" fontId="4" fillId="8" borderId="0" xfId="0" applyFont="1" applyFill="1" applyAlignment="1">
      <alignment horizontal="center" vertical="center" wrapText="1"/>
    </xf>
    <xf numFmtId="0" fontId="4" fillId="0" borderId="29" xfId="0" applyFont="1" applyBorder="1" applyAlignment="1">
      <alignment vertical="center" wrapText="1"/>
    </xf>
    <xf numFmtId="0" fontId="10" fillId="0" borderId="0" xfId="1" applyProtection="1">
      <alignment vertical="top"/>
    </xf>
    <xf numFmtId="0" fontId="283" fillId="0" borderId="0" xfId="0" applyFont="1" applyAlignment="1">
      <alignment horizontal="left" vertical="center" wrapText="1" indent="1"/>
    </xf>
    <xf numFmtId="0" fontId="284" fillId="0" borderId="0" xfId="0" applyFont="1" applyAlignment="1">
      <alignment horizontal="left" vertical="center" wrapText="1" indent="1"/>
    </xf>
    <xf numFmtId="0" fontId="268" fillId="0" borderId="0" xfId="0" applyFont="1" applyAlignment="1">
      <alignment horizontal="left" vertical="center" wrapText="1" indent="1"/>
    </xf>
    <xf numFmtId="0" fontId="4" fillId="0" borderId="160" xfId="0" applyFont="1" applyBorder="1" applyAlignment="1">
      <alignment horizontal="left" vertical="center" wrapText="1" indent="1"/>
    </xf>
    <xf numFmtId="0" fontId="0" fillId="0" borderId="386" xfId="0" applyBorder="1" applyAlignment="1">
      <alignment horizontal="left" vertical="center" wrapText="1" indent="1"/>
    </xf>
    <xf numFmtId="0" fontId="0" fillId="0" borderId="334" xfId="0" applyBorder="1" applyAlignment="1">
      <alignment horizontal="left" vertical="center" wrapText="1" indent="1"/>
    </xf>
    <xf numFmtId="0" fontId="7" fillId="24" borderId="228" xfId="0" applyFont="1" applyFill="1" applyBorder="1" applyAlignment="1">
      <alignment horizontal="center" vertical="center" wrapText="1"/>
    </xf>
    <xf numFmtId="0" fontId="0" fillId="0" borderId="376" xfId="0" applyBorder="1" applyAlignment="1">
      <alignment horizontal="center" vertical="center" wrapText="1"/>
    </xf>
    <xf numFmtId="0" fontId="4" fillId="0" borderId="378" xfId="0" applyFont="1" applyBorder="1" applyAlignment="1">
      <alignment horizontal="left" vertical="center" wrapText="1"/>
    </xf>
    <xf numFmtId="0" fontId="4" fillId="0" borderId="304" xfId="0" applyFont="1" applyBorder="1" applyAlignment="1">
      <alignment horizontal="left" vertical="center" wrapText="1"/>
    </xf>
    <xf numFmtId="0" fontId="6" fillId="54" borderId="374" xfId="0" applyFont="1" applyFill="1" applyBorder="1" applyAlignment="1">
      <alignment horizontal="center" vertical="center" wrapText="1"/>
    </xf>
    <xf numFmtId="0" fontId="6" fillId="54" borderId="382" xfId="0" applyFont="1" applyFill="1" applyBorder="1" applyAlignment="1">
      <alignment horizontal="center" vertical="center" wrapText="1"/>
    </xf>
    <xf numFmtId="0" fontId="6" fillId="54" borderId="375" xfId="0" applyFont="1" applyFill="1" applyBorder="1" applyAlignment="1">
      <alignment horizontal="center" vertical="center" wrapText="1"/>
    </xf>
    <xf numFmtId="0" fontId="6" fillId="54" borderId="377" xfId="0" applyFont="1" applyFill="1" applyBorder="1" applyAlignment="1">
      <alignment horizontal="center" vertical="center" wrapText="1"/>
    </xf>
    <xf numFmtId="0" fontId="4" fillId="0" borderId="69" xfId="0" applyFont="1" applyBorder="1" applyAlignment="1">
      <alignment horizontal="left" vertical="center" wrapText="1" indent="1"/>
    </xf>
    <xf numFmtId="0" fontId="4" fillId="0" borderId="240" xfId="0" applyFont="1" applyBorder="1" applyAlignment="1">
      <alignment horizontal="left" vertical="center" wrapText="1" indent="1"/>
    </xf>
    <xf numFmtId="0" fontId="4" fillId="0" borderId="241" xfId="0" applyFont="1" applyBorder="1" applyAlignment="1">
      <alignment horizontal="left" vertical="center" wrapText="1" indent="1"/>
    </xf>
    <xf numFmtId="0" fontId="4" fillId="0" borderId="83" xfId="0" applyFont="1" applyBorder="1" applyAlignment="1">
      <alignment horizontal="left" vertical="center" wrapText="1" indent="1"/>
    </xf>
    <xf numFmtId="0" fontId="4" fillId="0" borderId="161" xfId="0" applyFont="1" applyBorder="1" applyAlignment="1">
      <alignment horizontal="left" vertical="center" wrapText="1" indent="1"/>
    </xf>
    <xf numFmtId="0" fontId="4" fillId="0" borderId="379" xfId="0" applyFont="1" applyBorder="1" applyAlignment="1">
      <alignment horizontal="left" vertical="center" wrapText="1" indent="1"/>
    </xf>
    <xf numFmtId="0" fontId="4" fillId="0" borderId="378" xfId="0" applyFont="1" applyBorder="1" applyAlignment="1">
      <alignment horizontal="left" vertical="center" wrapText="1" indent="1"/>
    </xf>
    <xf numFmtId="0" fontId="4" fillId="0" borderId="304" xfId="0" applyFont="1" applyBorder="1" applyAlignment="1">
      <alignment horizontal="left" vertical="center" wrapText="1" indent="1"/>
    </xf>
    <xf numFmtId="0" fontId="6" fillId="54" borderId="3" xfId="0" applyFont="1" applyFill="1" applyBorder="1" applyAlignment="1">
      <alignment horizontal="center" vertical="center"/>
    </xf>
    <xf numFmtId="0" fontId="4" fillId="54" borderId="47" xfId="0" applyFont="1" applyFill="1" applyBorder="1" applyAlignment="1">
      <alignment horizontal="center" vertical="center"/>
    </xf>
    <xf numFmtId="0" fontId="4" fillId="54" borderId="48" xfId="0" applyFont="1" applyFill="1" applyBorder="1" applyAlignment="1">
      <alignment horizontal="center" vertical="center"/>
    </xf>
    <xf numFmtId="0" fontId="6" fillId="42" borderId="52" xfId="0" applyFont="1" applyFill="1" applyBorder="1" applyAlignment="1">
      <alignment horizontal="center" vertical="center"/>
    </xf>
    <xf numFmtId="0" fontId="4" fillId="42" borderId="59" xfId="0" applyFont="1" applyFill="1" applyBorder="1" applyAlignment="1">
      <alignment horizontal="center" vertical="center"/>
    </xf>
    <xf numFmtId="0" fontId="4" fillId="42" borderId="6" xfId="0" applyFont="1" applyFill="1" applyBorder="1" applyAlignment="1">
      <alignment horizontal="center" vertical="center"/>
    </xf>
    <xf numFmtId="0" fontId="68" fillId="54" borderId="52" xfId="0" applyFont="1" applyFill="1" applyBorder="1" applyAlignment="1">
      <alignment horizontal="center" vertical="center"/>
    </xf>
    <xf numFmtId="0" fontId="0" fillId="54" borderId="59" xfId="0" applyFill="1" applyBorder="1" applyAlignment="1">
      <alignment horizontal="center" vertical="center"/>
    </xf>
    <xf numFmtId="0" fontId="0" fillId="54" borderId="6" xfId="0" applyFill="1" applyBorder="1" applyAlignment="1">
      <alignment horizontal="center" vertical="center"/>
    </xf>
    <xf numFmtId="0" fontId="4" fillId="0" borderId="5" xfId="0" applyFont="1" applyBorder="1" applyAlignment="1">
      <alignment horizontal="left" vertical="center" wrapText="1" indent="1"/>
    </xf>
    <xf numFmtId="0" fontId="4" fillId="0" borderId="33" xfId="0" applyFont="1" applyBorder="1" applyAlignment="1">
      <alignment horizontal="left" vertical="center" wrapText="1" indent="1"/>
    </xf>
    <xf numFmtId="0" fontId="4" fillId="0" borderId="41" xfId="0" applyFont="1" applyBorder="1" applyAlignment="1">
      <alignment horizontal="left" vertical="center" wrapText="1" indent="1"/>
    </xf>
    <xf numFmtId="0" fontId="4" fillId="0" borderId="8" xfId="0" applyFont="1" applyBorder="1" applyAlignment="1">
      <alignment horizontal="left" vertical="center" wrapText="1" indent="1"/>
    </xf>
    <xf numFmtId="0" fontId="6" fillId="0" borderId="376" xfId="0" applyFont="1" applyBorder="1" applyAlignment="1">
      <alignment horizontal="left" vertical="center" wrapText="1"/>
    </xf>
    <xf numFmtId="0" fontId="4" fillId="0" borderId="72" xfId="0" applyFont="1" applyBorder="1" applyAlignment="1">
      <alignment horizontal="left" vertical="center" wrapText="1" indent="1"/>
    </xf>
    <xf numFmtId="0" fontId="4" fillId="0" borderId="32" xfId="0" applyFont="1" applyBorder="1" applyAlignment="1">
      <alignment horizontal="left" vertical="center" wrapText="1" indent="1"/>
    </xf>
    <xf numFmtId="0" fontId="0" fillId="0" borderId="32" xfId="0" applyBorder="1" applyAlignment="1">
      <alignment horizontal="left" vertical="center" wrapText="1" indent="1"/>
    </xf>
    <xf numFmtId="0" fontId="0" fillId="0" borderId="101" xfId="0" applyBorder="1" applyAlignment="1">
      <alignment horizontal="left" vertical="center" wrapText="1" indent="1"/>
    </xf>
    <xf numFmtId="0" fontId="68" fillId="4" borderId="40" xfId="0" applyFont="1" applyFill="1" applyBorder="1" applyAlignment="1">
      <alignment horizontal="center" vertical="center"/>
    </xf>
    <xf numFmtId="0" fontId="236" fillId="0" borderId="40" xfId="0" applyFont="1" applyBorder="1" applyAlignment="1">
      <alignment horizontal="center" vertical="center"/>
    </xf>
    <xf numFmtId="0" fontId="68" fillId="34" borderId="52" xfId="0" applyFont="1" applyFill="1" applyBorder="1" applyAlignment="1">
      <alignment horizontal="center" vertical="center"/>
    </xf>
    <xf numFmtId="0" fontId="68" fillId="34" borderId="59" xfId="0" applyFont="1" applyFill="1" applyBorder="1" applyAlignment="1">
      <alignment horizontal="center" vertical="center"/>
    </xf>
    <xf numFmtId="0" fontId="236" fillId="0" borderId="59" xfId="0" applyFont="1" applyBorder="1"/>
    <xf numFmtId="0" fontId="236" fillId="0" borderId="6" xfId="0" applyFont="1" applyBorder="1"/>
    <xf numFmtId="0" fontId="6" fillId="42" borderId="374" xfId="0" applyFont="1" applyFill="1" applyBorder="1" applyAlignment="1">
      <alignment horizontal="center" vertical="center"/>
    </xf>
    <xf numFmtId="0" fontId="4" fillId="42" borderId="375" xfId="0" applyFont="1" applyFill="1" applyBorder="1" applyAlignment="1">
      <alignment horizontal="center" vertical="center"/>
    </xf>
    <xf numFmtId="0" fontId="4" fillId="42" borderId="377" xfId="0" applyFont="1" applyFill="1" applyBorder="1" applyAlignment="1">
      <alignment horizontal="center" vertical="center"/>
    </xf>
    <xf numFmtId="0" fontId="4" fillId="0" borderId="59" xfId="0" applyFont="1" applyBorder="1" applyAlignment="1">
      <alignment horizontal="center" vertical="center"/>
    </xf>
    <xf numFmtId="0" fontId="4" fillId="0" borderId="6" xfId="0" applyFont="1" applyBorder="1" applyAlignment="1">
      <alignment horizontal="center" vertical="center"/>
    </xf>
    <xf numFmtId="0" fontId="4" fillId="0" borderId="244" xfId="0" applyFont="1" applyBorder="1" applyAlignment="1">
      <alignment horizontal="left" vertical="center" wrapText="1" indent="1"/>
    </xf>
    <xf numFmtId="0" fontId="4" fillId="0" borderId="384" xfId="0" applyFont="1" applyBorder="1" applyAlignment="1">
      <alignment horizontal="left" vertical="center" wrapText="1"/>
    </xf>
    <xf numFmtId="0" fontId="6" fillId="54" borderId="378" xfId="0" applyFont="1" applyFill="1" applyBorder="1" applyAlignment="1">
      <alignment horizontal="center" vertical="center" wrapText="1"/>
    </xf>
    <xf numFmtId="0" fontId="6" fillId="54" borderId="304" xfId="0" applyFont="1" applyFill="1" applyBorder="1" applyAlignment="1">
      <alignment horizontal="center" vertical="center" wrapText="1"/>
    </xf>
    <xf numFmtId="0" fontId="4" fillId="0" borderId="38" xfId="0" applyFont="1" applyBorder="1" applyAlignment="1">
      <alignment horizontal="left" vertical="top" wrapText="1"/>
    </xf>
    <xf numFmtId="0" fontId="0" fillId="0" borderId="40" xfId="0" applyBorder="1" applyAlignment="1">
      <alignment wrapText="1"/>
    </xf>
    <xf numFmtId="0" fontId="0" fillId="0" borderId="49" xfId="0" applyBorder="1" applyAlignment="1">
      <alignment wrapText="1"/>
    </xf>
    <xf numFmtId="0" fontId="0" fillId="0" borderId="2" xfId="0" applyBorder="1" applyAlignment="1">
      <alignment wrapText="1"/>
    </xf>
    <xf numFmtId="0" fontId="0" fillId="0" borderId="9" xfId="0" applyBorder="1" applyAlignment="1">
      <alignment wrapText="1"/>
    </xf>
    <xf numFmtId="0" fontId="0" fillId="0" borderId="3" xfId="0" applyBorder="1" applyAlignment="1">
      <alignment wrapText="1"/>
    </xf>
    <xf numFmtId="0" fontId="0" fillId="0" borderId="47" xfId="0" applyBorder="1" applyAlignment="1">
      <alignment wrapText="1"/>
    </xf>
    <xf numFmtId="0" fontId="0" fillId="0" borderId="48" xfId="0" applyBorder="1" applyAlignment="1">
      <alignment wrapText="1"/>
    </xf>
    <xf numFmtId="0" fontId="4" fillId="0" borderId="161" xfId="0" quotePrefix="1" applyFont="1" applyBorder="1" applyAlignment="1">
      <alignment horizontal="left" vertical="center" wrapText="1" indent="1"/>
    </xf>
    <xf numFmtId="0" fontId="4" fillId="0" borderId="379" xfId="0" quotePrefix="1" applyFont="1" applyBorder="1" applyAlignment="1">
      <alignment horizontal="left" vertical="center" wrapText="1" indent="1"/>
    </xf>
    <xf numFmtId="0" fontId="85" fillId="54" borderId="402" xfId="0" applyFont="1" applyFill="1" applyBorder="1" applyAlignment="1">
      <alignment horizontal="center" vertical="center" wrapText="1"/>
    </xf>
    <xf numFmtId="0" fontId="245" fillId="54" borderId="405" xfId="0" applyFont="1" applyFill="1" applyBorder="1" applyAlignment="1">
      <alignment horizontal="center" vertical="center" wrapText="1"/>
    </xf>
    <xf numFmtId="0" fontId="245" fillId="54" borderId="407" xfId="0" applyFont="1" applyFill="1" applyBorder="1" applyAlignment="1">
      <alignment horizontal="center" vertical="center" wrapText="1"/>
    </xf>
    <xf numFmtId="0" fontId="199" fillId="17" borderId="38" xfId="0" applyFont="1" applyFill="1" applyBorder="1" applyAlignment="1">
      <alignment horizontal="left" vertical="top" wrapText="1" indent="1"/>
    </xf>
    <xf numFmtId="0" fontId="71" fillId="17" borderId="40" xfId="0" applyFont="1" applyFill="1" applyBorder="1" applyAlignment="1">
      <alignment horizontal="left" vertical="top" wrapText="1" indent="1"/>
    </xf>
    <xf numFmtId="0" fontId="71" fillId="17" borderId="49" xfId="0" applyFont="1" applyFill="1" applyBorder="1" applyAlignment="1">
      <alignment horizontal="left" vertical="top" wrapText="1" indent="1"/>
    </xf>
    <xf numFmtId="0" fontId="71" fillId="17" borderId="2" xfId="0" applyFont="1" applyFill="1" applyBorder="1" applyAlignment="1">
      <alignment horizontal="left" vertical="top" wrapText="1" indent="1"/>
    </xf>
    <xf numFmtId="0" fontId="71" fillId="17" borderId="0" xfId="0" applyFont="1" applyFill="1" applyAlignment="1">
      <alignment horizontal="left" vertical="top" wrapText="1" indent="1"/>
    </xf>
    <xf numFmtId="0" fontId="71" fillId="17" borderId="9" xfId="0" applyFont="1" applyFill="1" applyBorder="1" applyAlignment="1">
      <alignment horizontal="left" vertical="top" wrapText="1" indent="1"/>
    </xf>
    <xf numFmtId="0" fontId="71" fillId="17" borderId="3" xfId="0" applyFont="1" applyFill="1" applyBorder="1" applyAlignment="1">
      <alignment horizontal="left" vertical="top" wrapText="1" indent="1"/>
    </xf>
    <xf numFmtId="0" fontId="71" fillId="17" borderId="47" xfId="0" applyFont="1" applyFill="1" applyBorder="1" applyAlignment="1">
      <alignment horizontal="left" vertical="top" wrapText="1" indent="1"/>
    </xf>
    <xf numFmtId="0" fontId="71" fillId="17" borderId="48" xfId="0" applyFont="1" applyFill="1" applyBorder="1" applyAlignment="1">
      <alignment horizontal="left" vertical="top" wrapText="1" indent="1"/>
    </xf>
    <xf numFmtId="0" fontId="68" fillId="52" borderId="52" xfId="0" applyFont="1" applyFill="1" applyBorder="1" applyAlignment="1">
      <alignment horizontal="center" vertical="center"/>
    </xf>
    <xf numFmtId="0" fontId="199" fillId="0" borderId="38" xfId="0" applyFont="1" applyBorder="1" applyAlignment="1">
      <alignment horizontal="left" vertical="center" wrapText="1" indent="1"/>
    </xf>
    <xf numFmtId="0" fontId="71" fillId="0" borderId="40" xfId="0" applyFont="1" applyBorder="1" applyAlignment="1">
      <alignment horizontal="left" vertical="center" wrapText="1" indent="1"/>
    </xf>
    <xf numFmtId="0" fontId="71" fillId="0" borderId="49" xfId="0" applyFont="1" applyBorder="1" applyAlignment="1">
      <alignment horizontal="left" vertical="center" wrapText="1" indent="1"/>
    </xf>
    <xf numFmtId="0" fontId="71" fillId="0" borderId="2" xfId="0" applyFont="1" applyBorder="1" applyAlignment="1">
      <alignment horizontal="left" vertical="center" wrapText="1" indent="1"/>
    </xf>
    <xf numFmtId="0" fontId="71" fillId="0" borderId="0" xfId="0" applyFont="1" applyAlignment="1">
      <alignment horizontal="left" vertical="center" wrapText="1" indent="1"/>
    </xf>
    <xf numFmtId="0" fontId="71" fillId="0" borderId="9" xfId="0" applyFont="1" applyBorder="1" applyAlignment="1">
      <alignment horizontal="left" vertical="center" wrapText="1" indent="1"/>
    </xf>
    <xf numFmtId="0" fontId="71" fillId="0" borderId="3" xfId="0" applyFont="1" applyBorder="1" applyAlignment="1">
      <alignment horizontal="left" vertical="center" wrapText="1" indent="1"/>
    </xf>
    <xf numFmtId="0" fontId="71" fillId="0" borderId="47" xfId="0" applyFont="1" applyBorder="1" applyAlignment="1">
      <alignment horizontal="left" vertical="center" wrapText="1" indent="1"/>
    </xf>
    <xf numFmtId="0" fontId="71" fillId="0" borderId="48" xfId="0" applyFont="1" applyBorder="1" applyAlignment="1">
      <alignment horizontal="left" vertical="center" wrapText="1" indent="1"/>
    </xf>
    <xf numFmtId="0" fontId="7" fillId="52" borderId="332" xfId="0" applyFont="1" applyFill="1" applyBorder="1" applyAlignment="1">
      <alignment horizontal="center" vertical="center" wrapText="1"/>
    </xf>
    <xf numFmtId="0" fontId="7" fillId="52" borderId="376" xfId="0" applyFont="1" applyFill="1" applyBorder="1" applyAlignment="1">
      <alignment horizontal="center" vertical="center" wrapText="1"/>
    </xf>
    <xf numFmtId="0" fontId="0" fillId="0" borderId="376" xfId="0" applyBorder="1" applyAlignment="1">
      <alignment horizontal="center" vertical="center"/>
    </xf>
    <xf numFmtId="0" fontId="85" fillId="24" borderId="52" xfId="0" applyFont="1" applyFill="1" applyBorder="1" applyAlignment="1">
      <alignment horizontal="center" vertical="center"/>
    </xf>
    <xf numFmtId="0" fontId="199" fillId="0" borderId="59" xfId="0" applyFont="1" applyBorder="1" applyAlignment="1">
      <alignment horizontal="center" vertical="center"/>
    </xf>
    <xf numFmtId="0" fontId="199" fillId="0" borderId="6" xfId="0" applyFont="1" applyBorder="1" applyAlignment="1">
      <alignment horizontal="center" vertical="center"/>
    </xf>
    <xf numFmtId="0" fontId="7" fillId="10" borderId="38" xfId="0" applyFont="1" applyFill="1" applyBorder="1" applyAlignment="1">
      <alignment horizontal="center" vertical="center"/>
    </xf>
    <xf numFmtId="0" fontId="4" fillId="0" borderId="102" xfId="0" applyFont="1" applyBorder="1" applyAlignment="1">
      <alignment horizontal="center" vertical="center"/>
    </xf>
    <xf numFmtId="0" fontId="7" fillId="18" borderId="380" xfId="0" applyFont="1" applyFill="1" applyBorder="1" applyAlignment="1">
      <alignment horizontal="center" vertical="center"/>
    </xf>
    <xf numFmtId="0" fontId="4" fillId="0" borderId="379" xfId="0" applyFont="1" applyBorder="1" applyAlignment="1">
      <alignment horizontal="center" vertical="center"/>
    </xf>
    <xf numFmtId="0" fontId="7" fillId="52" borderId="380" xfId="0" applyFont="1" applyFill="1" applyBorder="1" applyAlignment="1">
      <alignment horizontal="center" vertical="center"/>
    </xf>
    <xf numFmtId="0" fontId="4" fillId="52" borderId="379" xfId="0" applyFont="1" applyFill="1" applyBorder="1" applyAlignment="1">
      <alignment horizontal="center" vertical="center"/>
    </xf>
    <xf numFmtId="0" fontId="7" fillId="52" borderId="239" xfId="0" applyFont="1" applyFill="1" applyBorder="1" applyAlignment="1">
      <alignment horizontal="center" vertical="center"/>
    </xf>
    <xf numFmtId="0" fontId="4" fillId="0" borderId="240" xfId="0" applyFont="1" applyBorder="1" applyAlignment="1">
      <alignment horizontal="center" vertical="center"/>
    </xf>
    <xf numFmtId="0" fontId="6" fillId="54" borderId="332" xfId="0" applyFont="1" applyFill="1" applyBorder="1" applyAlignment="1">
      <alignment horizontal="center" vertical="center" wrapText="1"/>
    </xf>
    <xf numFmtId="0" fontId="4" fillId="0" borderId="242" xfId="0" applyFont="1" applyBorder="1" applyAlignment="1">
      <alignment horizontal="left" vertical="center" wrapText="1" indent="1"/>
    </xf>
    <xf numFmtId="0" fontId="4" fillId="0" borderId="56" xfId="0" applyFont="1" applyBorder="1" applyAlignment="1">
      <alignment horizontal="left" vertical="center" wrapText="1" indent="1"/>
    </xf>
    <xf numFmtId="0" fontId="0" fillId="0" borderId="56" xfId="0" applyBorder="1" applyAlignment="1">
      <alignment horizontal="left" vertical="center" wrapText="1" indent="1"/>
    </xf>
    <xf numFmtId="0" fontId="0" fillId="0" borderId="54" xfId="0" applyBorder="1" applyAlignment="1">
      <alignment horizontal="left" vertical="center" wrapText="1" indent="1"/>
    </xf>
    <xf numFmtId="0" fontId="4" fillId="0" borderId="160" xfId="0" quotePrefix="1" applyFont="1" applyBorder="1" applyAlignment="1">
      <alignment horizontal="left" vertical="center" wrapText="1" indent="1"/>
    </xf>
    <xf numFmtId="0" fontId="4" fillId="0" borderId="344" xfId="0" quotePrefix="1" applyFont="1" applyBorder="1" applyAlignment="1">
      <alignment horizontal="left" vertical="center" wrapText="1" indent="1"/>
    </xf>
    <xf numFmtId="0" fontId="0" fillId="0" borderId="344" xfId="0" applyBorder="1" applyAlignment="1">
      <alignment horizontal="left" vertical="center" wrapText="1" indent="1"/>
    </xf>
    <xf numFmtId="0" fontId="7" fillId="18" borderId="160" xfId="0" applyFont="1" applyFill="1" applyBorder="1" applyAlignment="1">
      <alignment horizontal="left" vertical="center" indent="1"/>
    </xf>
    <xf numFmtId="0" fontId="7" fillId="18" borderId="379" xfId="0" applyFont="1" applyFill="1" applyBorder="1" applyAlignment="1">
      <alignment horizontal="left" vertical="center" indent="1"/>
    </xf>
    <xf numFmtId="0" fontId="286" fillId="52" borderId="52" xfId="0" applyFont="1" applyFill="1" applyBorder="1" applyAlignment="1">
      <alignment horizontal="center" vertical="center"/>
    </xf>
    <xf numFmtId="0" fontId="287" fillId="0" borderId="59" xfId="0" applyFont="1" applyBorder="1" applyAlignment="1">
      <alignment horizontal="center" vertical="center"/>
    </xf>
    <xf numFmtId="0" fontId="287" fillId="0" borderId="6" xfId="0" applyFont="1" applyBorder="1" applyAlignment="1">
      <alignment horizontal="center" vertical="center"/>
    </xf>
    <xf numFmtId="0" fontId="71" fillId="0" borderId="40" xfId="0" applyFont="1" applyBorder="1" applyAlignment="1">
      <alignment horizontal="left" vertical="top" wrapText="1" indent="1"/>
    </xf>
    <xf numFmtId="0" fontId="71" fillId="0" borderId="49" xfId="0" applyFont="1" applyBorder="1" applyAlignment="1">
      <alignment horizontal="left" vertical="top" wrapText="1" indent="1"/>
    </xf>
    <xf numFmtId="0" fontId="71" fillId="0" borderId="2" xfId="0" applyFont="1" applyBorder="1" applyAlignment="1">
      <alignment horizontal="left" vertical="top" wrapText="1" indent="1"/>
    </xf>
    <xf numFmtId="0" fontId="71" fillId="0" borderId="0" xfId="0" applyFont="1" applyAlignment="1">
      <alignment horizontal="left" vertical="top" wrapText="1" indent="1"/>
    </xf>
    <xf numFmtId="0" fontId="71" fillId="0" borderId="9" xfId="0" applyFont="1" applyBorder="1" applyAlignment="1">
      <alignment horizontal="left" vertical="top" wrapText="1" indent="1"/>
    </xf>
    <xf numFmtId="0" fontId="71" fillId="0" borderId="3" xfId="0" applyFont="1" applyBorder="1" applyAlignment="1">
      <alignment horizontal="left" vertical="top" wrapText="1" indent="1"/>
    </xf>
    <xf numFmtId="0" fontId="71" fillId="0" borderId="47" xfId="0" applyFont="1" applyBorder="1" applyAlignment="1">
      <alignment horizontal="left" vertical="top" wrapText="1" indent="1"/>
    </xf>
    <xf numFmtId="0" fontId="71" fillId="0" borderId="48" xfId="0" applyFont="1" applyBorder="1" applyAlignment="1">
      <alignment horizontal="left" vertical="top" wrapText="1" indent="1"/>
    </xf>
    <xf numFmtId="0" fontId="7" fillId="52" borderId="312" xfId="0" applyFont="1" applyFill="1" applyBorder="1" applyAlignment="1">
      <alignment horizontal="center" vertical="center" wrapText="1"/>
    </xf>
    <xf numFmtId="0" fontId="280" fillId="46" borderId="378" xfId="0" applyFont="1" applyFill="1" applyBorder="1" applyAlignment="1">
      <alignment horizontal="center" vertical="center"/>
    </xf>
    <xf numFmtId="0" fontId="282" fillId="46" borderId="378" xfId="0" applyFont="1" applyFill="1" applyBorder="1" applyAlignment="1">
      <alignment horizontal="center" vertical="center"/>
    </xf>
    <xf numFmtId="0" fontId="7" fillId="52" borderId="369" xfId="0" applyFont="1" applyFill="1" applyBorder="1" applyAlignment="1">
      <alignment horizontal="center" vertical="center"/>
    </xf>
    <xf numFmtId="0" fontId="0" fillId="0" borderId="11" xfId="0" applyBorder="1" applyAlignment="1">
      <alignment horizontal="center" vertical="center"/>
    </xf>
    <xf numFmtId="0" fontId="7" fillId="18" borderId="161" xfId="0" applyFont="1" applyFill="1" applyBorder="1" applyAlignment="1">
      <alignment horizontal="left" vertical="center" indent="1"/>
    </xf>
    <xf numFmtId="0" fontId="4" fillId="18" borderId="378" xfId="0" applyFont="1" applyFill="1" applyBorder="1" applyAlignment="1">
      <alignment horizontal="left" indent="1"/>
    </xf>
    <xf numFmtId="0" fontId="0" fillId="0" borderId="236" xfId="0" applyBorder="1" applyAlignment="1">
      <alignment horizontal="center" vertical="center"/>
    </xf>
    <xf numFmtId="0" fontId="7" fillId="52" borderId="45" xfId="0" applyFont="1" applyFill="1" applyBorder="1" applyAlignment="1">
      <alignment horizontal="center" vertical="center" wrapText="1"/>
    </xf>
    <xf numFmtId="0" fontId="0" fillId="0" borderId="33" xfId="0" applyBorder="1" applyAlignment="1">
      <alignment horizontal="center" vertical="center" wrapText="1"/>
    </xf>
    <xf numFmtId="0" fontId="7" fillId="39" borderId="380" xfId="0" applyFont="1" applyFill="1" applyBorder="1" applyAlignment="1">
      <alignment horizontal="center" vertical="center"/>
    </xf>
    <xf numFmtId="0" fontId="0" fillId="0" borderId="379" xfId="0" applyBorder="1" applyAlignment="1">
      <alignment horizontal="center" vertical="center"/>
    </xf>
    <xf numFmtId="0" fontId="7" fillId="52" borderId="223" xfId="0" applyFont="1" applyFill="1" applyBorder="1" applyAlignment="1">
      <alignment horizontal="center" vertical="center" wrapText="1"/>
    </xf>
    <xf numFmtId="0" fontId="0" fillId="0" borderId="224" xfId="0" applyBorder="1" applyAlignment="1">
      <alignment horizontal="center" vertical="center" wrapText="1"/>
    </xf>
    <xf numFmtId="0" fontId="0" fillId="0" borderId="209" xfId="0" applyBorder="1" applyAlignment="1">
      <alignment horizontal="center" vertical="center"/>
    </xf>
    <xf numFmtId="0" fontId="0" fillId="0" borderId="211" xfId="0" applyBorder="1" applyAlignment="1">
      <alignment horizontal="center" vertical="center"/>
    </xf>
    <xf numFmtId="0" fontId="4" fillId="55" borderId="16" xfId="0" applyFont="1" applyFill="1" applyBorder="1" applyAlignment="1">
      <alignment horizontal="center" vertical="center"/>
    </xf>
    <xf numFmtId="0" fontId="113" fillId="0" borderId="376" xfId="0" applyFont="1" applyBorder="1" applyAlignment="1">
      <alignment horizontal="center" vertical="center"/>
    </xf>
    <xf numFmtId="0" fontId="12" fillId="22" borderId="62" xfId="0" applyFont="1" applyFill="1" applyBorder="1" applyAlignment="1">
      <alignment horizontal="center" vertical="center" textRotation="90" wrapText="1"/>
    </xf>
    <xf numFmtId="0" fontId="12" fillId="0" borderId="62" xfId="0" applyFont="1" applyBorder="1" applyAlignment="1">
      <alignment horizontal="center" vertical="center" textRotation="90" wrapText="1"/>
    </xf>
    <xf numFmtId="0" fontId="65" fillId="0" borderId="0" xfId="0" applyFont="1" applyAlignment="1">
      <alignment horizontal="center" vertical="center" wrapText="1"/>
    </xf>
    <xf numFmtId="0" fontId="6" fillId="24" borderId="374" xfId="0" applyFont="1" applyFill="1" applyBorder="1" applyAlignment="1">
      <alignment horizontal="center" vertical="center"/>
    </xf>
    <xf numFmtId="0" fontId="4" fillId="0" borderId="375" xfId="0" applyFont="1" applyBorder="1" applyAlignment="1">
      <alignment horizontal="center" vertical="center"/>
    </xf>
    <xf numFmtId="0" fontId="4" fillId="0" borderId="377" xfId="0" applyFont="1" applyBorder="1" applyAlignment="1">
      <alignment horizontal="center" vertical="center"/>
    </xf>
    <xf numFmtId="0" fontId="7" fillId="38" borderId="378" xfId="0" applyFont="1" applyFill="1" applyBorder="1" applyAlignment="1">
      <alignment horizontal="center" vertical="center"/>
    </xf>
    <xf numFmtId="0" fontId="4" fillId="38" borderId="304" xfId="0" applyFont="1" applyFill="1" applyBorder="1" applyAlignment="1">
      <alignment horizontal="center" vertical="center"/>
    </xf>
    <xf numFmtId="0" fontId="7" fillId="7" borderId="241" xfId="0" applyFont="1" applyFill="1" applyBorder="1" applyAlignment="1">
      <alignment horizontal="center" vertical="center"/>
    </xf>
    <xf numFmtId="0" fontId="4" fillId="0" borderId="83" xfId="0" applyFont="1" applyBorder="1" applyAlignment="1">
      <alignment horizontal="center" vertical="center"/>
    </xf>
    <xf numFmtId="0" fontId="199" fillId="24" borderId="59" xfId="0" applyFont="1" applyFill="1" applyBorder="1" applyAlignment="1">
      <alignment horizontal="center" vertical="center"/>
    </xf>
    <xf numFmtId="0" fontId="199" fillId="24" borderId="6" xfId="0" applyFont="1" applyFill="1" applyBorder="1" applyAlignment="1">
      <alignment horizontal="center" vertical="center"/>
    </xf>
    <xf numFmtId="0" fontId="68" fillId="22" borderId="40" xfId="0" applyFont="1" applyFill="1" applyBorder="1" applyAlignment="1">
      <alignment horizontal="center" vertical="center"/>
    </xf>
    <xf numFmtId="0" fontId="281" fillId="22" borderId="40" xfId="0" applyFont="1" applyFill="1" applyBorder="1" applyAlignment="1">
      <alignment horizontal="center" vertical="center"/>
    </xf>
    <xf numFmtId="0" fontId="45" fillId="0" borderId="40" xfId="0" applyFont="1" applyBorder="1" applyAlignment="1">
      <alignment horizontal="center" vertical="center"/>
    </xf>
    <xf numFmtId="0" fontId="4" fillId="0" borderId="18" xfId="0" applyFont="1" applyBorder="1" applyAlignment="1">
      <alignment horizontal="left" vertical="center" wrapText="1" indent="1"/>
    </xf>
    <xf numFmtId="0" fontId="102" fillId="0" borderId="246" xfId="0" applyFont="1" applyBorder="1" applyAlignment="1">
      <alignment horizontal="left" vertical="center" wrapText="1" indent="1"/>
    </xf>
    <xf numFmtId="0" fontId="4" fillId="0" borderId="8" xfId="0" applyFont="1" applyBorder="1" applyAlignment="1">
      <alignment horizontal="left" vertical="center" wrapText="1"/>
    </xf>
    <xf numFmtId="0" fontId="102" fillId="0" borderId="83" xfId="0" applyFont="1" applyBorder="1" applyAlignment="1">
      <alignment horizontal="left" vertical="center"/>
    </xf>
    <xf numFmtId="0" fontId="4" fillId="0" borderId="245" xfId="0" applyFont="1" applyBorder="1" applyAlignment="1">
      <alignment horizontal="left" vertical="center" wrapText="1" indent="1"/>
    </xf>
    <xf numFmtId="0" fontId="102" fillId="0" borderId="16" xfId="0" applyFont="1" applyBorder="1" applyAlignment="1">
      <alignment horizontal="left" vertical="center" wrapText="1" indent="1"/>
    </xf>
    <xf numFmtId="0" fontId="102" fillId="0" borderId="20" xfId="0" applyFont="1" applyBorder="1" applyAlignment="1">
      <alignment horizontal="left" vertical="center" wrapText="1" indent="1"/>
    </xf>
    <xf numFmtId="0" fontId="102" fillId="0" borderId="18" xfId="0" applyFont="1" applyBorder="1" applyAlignment="1">
      <alignment horizontal="left" vertical="center" wrapText="1" indent="1"/>
    </xf>
    <xf numFmtId="0" fontId="102" fillId="0" borderId="244" xfId="0" applyFont="1" applyBorder="1" applyAlignment="1">
      <alignment horizontal="left" vertical="center" wrapText="1" indent="1"/>
    </xf>
    <xf numFmtId="0" fontId="4" fillId="0" borderId="223" xfId="0" applyFont="1" applyBorder="1" applyAlignment="1">
      <alignment horizontal="left" vertical="center" wrapText="1"/>
    </xf>
    <xf numFmtId="0" fontId="4" fillId="0" borderId="224" xfId="0" applyFont="1" applyBorder="1" applyAlignment="1">
      <alignment horizontal="left" vertical="center" wrapText="1"/>
    </xf>
    <xf numFmtId="0" fontId="4" fillId="0" borderId="225" xfId="0" applyFont="1" applyBorder="1" applyAlignment="1">
      <alignment horizontal="left" vertical="center" wrapText="1"/>
    </xf>
    <xf numFmtId="0" fontId="4" fillId="0" borderId="26" xfId="0" applyFont="1" applyBorder="1" applyAlignment="1">
      <alignment horizontal="left" vertical="center" wrapText="1"/>
    </xf>
    <xf numFmtId="0" fontId="4" fillId="0" borderId="209" xfId="0" applyFont="1" applyBorder="1" applyAlignment="1">
      <alignment horizontal="left" vertical="center" wrapText="1"/>
    </xf>
    <xf numFmtId="0" fontId="4" fillId="0" borderId="211" xfId="0" applyFont="1" applyBorder="1" applyAlignment="1">
      <alignment horizontal="left" vertical="center" wrapText="1"/>
    </xf>
    <xf numFmtId="0" fontId="41" fillId="0" borderId="244" xfId="0" applyFont="1" applyBorder="1" applyAlignment="1">
      <alignment horizontal="left" vertical="center" wrapText="1" indent="1"/>
    </xf>
    <xf numFmtId="0" fontId="0" fillId="0" borderId="378" xfId="0" applyBorder="1" applyAlignment="1">
      <alignment horizontal="left" vertical="center" wrapText="1"/>
    </xf>
    <xf numFmtId="0" fontId="12" fillId="0" borderId="378" xfId="0" applyFont="1" applyBorder="1" applyAlignment="1">
      <alignment horizontal="left" vertical="center" wrapText="1"/>
    </xf>
    <xf numFmtId="0" fontId="3" fillId="0" borderId="378" xfId="0" applyFont="1" applyBorder="1" applyAlignment="1">
      <alignment horizontal="left" vertical="center" wrapText="1"/>
    </xf>
    <xf numFmtId="0" fontId="111" fillId="0" borderId="225" xfId="0" applyFont="1" applyBorder="1" applyAlignment="1">
      <alignment vertical="center" wrapText="1"/>
    </xf>
    <xf numFmtId="0" fontId="3" fillId="0" borderId="378" xfId="0" applyFont="1" applyBorder="1" applyAlignment="1">
      <alignment wrapText="1"/>
    </xf>
    <xf numFmtId="0" fontId="2" fillId="0" borderId="378" xfId="0" applyFont="1" applyBorder="1" applyAlignment="1">
      <alignment horizontal="left" vertical="center" wrapText="1"/>
    </xf>
    <xf numFmtId="0" fontId="7" fillId="18" borderId="242" xfId="0" applyFont="1" applyFill="1" applyBorder="1" applyAlignment="1">
      <alignment horizontal="left" vertical="center" indent="1"/>
    </xf>
    <xf numFmtId="0" fontId="7" fillId="18" borderId="240" xfId="0" applyFont="1" applyFill="1" applyBorder="1" applyAlignment="1">
      <alignment horizontal="left" vertical="center" indent="1"/>
    </xf>
    <xf numFmtId="0" fontId="4" fillId="0" borderId="370" xfId="0" applyFont="1" applyBorder="1" applyAlignment="1">
      <alignment horizontal="left" vertical="center" wrapText="1"/>
    </xf>
    <xf numFmtId="0" fontId="4" fillId="0" borderId="0" xfId="0" applyFont="1" applyAlignment="1">
      <alignment horizontal="left" vertical="center" wrapText="1"/>
    </xf>
    <xf numFmtId="0" fontId="4" fillId="0" borderId="210" xfId="0" applyFont="1" applyBorder="1" applyAlignment="1">
      <alignment horizontal="left" vertical="center" wrapText="1"/>
    </xf>
    <xf numFmtId="0" fontId="4" fillId="0" borderId="378" xfId="0" applyFont="1" applyBorder="1" applyAlignment="1">
      <alignment horizontal="center" vertical="center" wrapText="1"/>
    </xf>
    <xf numFmtId="0" fontId="0" fillId="0" borderId="378" xfId="0" applyBorder="1" applyAlignment="1">
      <alignment horizontal="center" vertical="center" wrapText="1"/>
    </xf>
    <xf numFmtId="0" fontId="7" fillId="21" borderId="225" xfId="0" applyFont="1" applyFill="1" applyBorder="1" applyAlignment="1">
      <alignment horizontal="center" vertical="center"/>
    </xf>
    <xf numFmtId="0" fontId="4" fillId="0" borderId="344" xfId="0" applyFont="1" applyBorder="1" applyAlignment="1">
      <alignment horizontal="left" vertical="center" wrapText="1" indent="1"/>
    </xf>
    <xf numFmtId="0" fontId="4" fillId="0" borderId="242" xfId="0" quotePrefix="1" applyFont="1" applyBorder="1" applyAlignment="1">
      <alignment horizontal="left" vertical="center" wrapText="1" indent="1"/>
    </xf>
    <xf numFmtId="0" fontId="4" fillId="0" borderId="56" xfId="0" quotePrefix="1" applyFont="1" applyBorder="1" applyAlignment="1">
      <alignment horizontal="left" vertical="center" wrapText="1" indent="1"/>
    </xf>
    <xf numFmtId="0" fontId="4" fillId="0" borderId="381" xfId="0" applyFont="1" applyBorder="1" applyAlignment="1">
      <alignment horizontal="left" vertical="center" wrapText="1" indent="1"/>
    </xf>
    <xf numFmtId="0" fontId="4" fillId="0" borderId="370" xfId="0" applyFont="1" applyBorder="1" applyAlignment="1">
      <alignment horizontal="left" vertical="center" wrapText="1" indent="1"/>
    </xf>
    <xf numFmtId="0" fontId="0" fillId="0" borderId="370" xfId="0" applyBorder="1" applyAlignment="1">
      <alignment horizontal="left" vertical="center" wrapText="1" indent="1"/>
    </xf>
    <xf numFmtId="0" fontId="0" fillId="0" borderId="125" xfId="0" applyBorder="1" applyAlignment="1">
      <alignment horizontal="left" vertical="center" wrapText="1" indent="1"/>
    </xf>
    <xf numFmtId="0" fontId="0" fillId="0" borderId="2" xfId="0" applyBorder="1" applyAlignment="1">
      <alignment horizontal="left" vertical="center" wrapText="1" indent="1"/>
    </xf>
    <xf numFmtId="0" fontId="0" fillId="0" borderId="9" xfId="0" applyBorder="1" applyAlignment="1">
      <alignment horizontal="left" vertical="center" wrapText="1" indent="1"/>
    </xf>
    <xf numFmtId="0" fontId="0" fillId="0" borderId="3" xfId="0" applyBorder="1" applyAlignment="1">
      <alignment horizontal="left" vertical="center" wrapText="1" indent="1"/>
    </xf>
    <xf numFmtId="0" fontId="0" fillId="0" borderId="47" xfId="0" applyBorder="1" applyAlignment="1">
      <alignment horizontal="left" vertical="center" wrapText="1" indent="1"/>
    </xf>
    <xf numFmtId="0" fontId="0" fillId="0" borderId="48" xfId="0" applyBorder="1" applyAlignment="1">
      <alignment horizontal="left" vertical="center" wrapText="1" indent="1"/>
    </xf>
    <xf numFmtId="0" fontId="104" fillId="24" borderId="52" xfId="0" applyFont="1" applyFill="1" applyBorder="1" applyAlignment="1">
      <alignment horizontal="center" vertical="center"/>
    </xf>
    <xf numFmtId="0" fontId="13" fillId="0" borderId="59" xfId="0" applyFont="1" applyBorder="1" applyAlignment="1">
      <alignment horizontal="center" vertical="center"/>
    </xf>
    <xf numFmtId="0" fontId="13" fillId="0" borderId="6" xfId="0" applyFont="1" applyBorder="1" applyAlignment="1">
      <alignment horizontal="center" vertical="center"/>
    </xf>
    <xf numFmtId="0" fontId="276" fillId="51" borderId="239" xfId="0" applyFont="1" applyFill="1" applyBorder="1" applyAlignment="1">
      <alignment horizontal="center" vertical="center"/>
    </xf>
    <xf numFmtId="0" fontId="71" fillId="0" borderId="56" xfId="0" applyFont="1" applyBorder="1" applyAlignment="1">
      <alignment horizontal="center" vertical="center"/>
    </xf>
    <xf numFmtId="0" fontId="71" fillId="0" borderId="54" xfId="0" applyFont="1" applyBorder="1" applyAlignment="1">
      <alignment horizontal="center" vertical="center"/>
    </xf>
    <xf numFmtId="0" fontId="4" fillId="22" borderId="0" xfId="0" applyFont="1" applyFill="1" applyAlignment="1">
      <alignment horizontal="center" vertical="center" wrapText="1"/>
    </xf>
    <xf numFmtId="0" fontId="275" fillId="51" borderId="38" xfId="0" applyFont="1" applyFill="1" applyBorder="1" applyAlignment="1">
      <alignment horizontal="center" vertical="center" wrapText="1"/>
    </xf>
    <xf numFmtId="0" fontId="0" fillId="0" borderId="49" xfId="0" applyBorder="1" applyAlignment="1">
      <alignment horizontal="center" vertical="center" wrapText="1"/>
    </xf>
    <xf numFmtId="0" fontId="0" fillId="0" borderId="9" xfId="0" applyBorder="1" applyAlignment="1">
      <alignment horizontal="center" vertical="center" wrapText="1"/>
    </xf>
    <xf numFmtId="0" fontId="276" fillId="51" borderId="3" xfId="0" applyFont="1" applyFill="1" applyBorder="1" applyAlignment="1">
      <alignment horizontal="center" vertical="center" wrapText="1"/>
    </xf>
    <xf numFmtId="0" fontId="0" fillId="0" borderId="47" xfId="0" applyBorder="1" applyAlignment="1">
      <alignment horizontal="center" vertical="center" wrapText="1"/>
    </xf>
    <xf numFmtId="0" fontId="0" fillId="0" borderId="35" xfId="0" applyBorder="1" applyAlignment="1">
      <alignment horizontal="center" vertical="center" wrapText="1"/>
    </xf>
    <xf numFmtId="0" fontId="5" fillId="0" borderId="38" xfId="0" applyFont="1" applyBorder="1" applyAlignment="1">
      <alignment horizontal="center" vertical="center" wrapText="1"/>
    </xf>
    <xf numFmtId="0" fontId="0" fillId="0" borderId="40" xfId="0" applyBorder="1" applyAlignment="1">
      <alignment horizontal="center" wrapText="1"/>
    </xf>
    <xf numFmtId="0" fontId="0" fillId="0" borderId="49" xfId="0" applyBorder="1" applyAlignment="1">
      <alignment horizontal="center" wrapText="1"/>
    </xf>
    <xf numFmtId="0" fontId="68" fillId="56" borderId="52" xfId="0" applyFont="1" applyFill="1" applyBorder="1" applyAlignment="1">
      <alignment horizontal="center" vertical="center"/>
    </xf>
    <xf numFmtId="0" fontId="0" fillId="0" borderId="59" xfId="0" applyBorder="1" applyAlignment="1">
      <alignment horizontal="center"/>
    </xf>
    <xf numFmtId="0" fontId="0" fillId="0" borderId="6" xfId="0" applyBorder="1" applyAlignment="1">
      <alignment horizontal="center"/>
    </xf>
    <xf numFmtId="0" fontId="5" fillId="0" borderId="38" xfId="0" applyFont="1" applyBorder="1" applyAlignment="1">
      <alignment horizontal="left" vertical="center" wrapText="1" indent="1"/>
    </xf>
    <xf numFmtId="0" fontId="67" fillId="0" borderId="40" xfId="0" applyFont="1" applyBorder="1" applyAlignment="1">
      <alignment horizontal="left" wrapText="1" indent="1"/>
    </xf>
    <xf numFmtId="0" fontId="67" fillId="0" borderId="49" xfId="0" applyFont="1" applyBorder="1" applyAlignment="1">
      <alignment horizontal="left" wrapText="1" indent="1"/>
    </xf>
    <xf numFmtId="0" fontId="5" fillId="0" borderId="2" xfId="0" applyFont="1" applyBorder="1" applyAlignment="1">
      <alignment horizontal="left" vertical="center" wrapText="1" indent="1"/>
    </xf>
    <xf numFmtId="0" fontId="67" fillId="0" borderId="0" xfId="0" applyFont="1" applyAlignment="1">
      <alignment horizontal="left" wrapText="1" indent="1"/>
    </xf>
    <xf numFmtId="0" fontId="67" fillId="0" borderId="9" xfId="0" applyFont="1" applyBorder="1" applyAlignment="1">
      <alignment horizontal="left" wrapText="1" indent="1"/>
    </xf>
    <xf numFmtId="0" fontId="67" fillId="0" borderId="2" xfId="0" applyFont="1" applyBorder="1" applyAlignment="1">
      <alignment horizontal="left" wrapText="1" indent="1"/>
    </xf>
    <xf numFmtId="0" fontId="67" fillId="0" borderId="3" xfId="0" applyFont="1" applyBorder="1" applyAlignment="1">
      <alignment horizontal="left" wrapText="1" indent="1"/>
    </xf>
    <xf numFmtId="0" fontId="67" fillId="0" borderId="47" xfId="0" applyFont="1" applyBorder="1" applyAlignment="1">
      <alignment horizontal="left" wrapText="1" indent="1"/>
    </xf>
    <xf numFmtId="0" fontId="67" fillId="0" borderId="48" xfId="0" applyFont="1" applyBorder="1" applyAlignment="1">
      <alignment horizontal="left" wrapText="1" indent="1"/>
    </xf>
    <xf numFmtId="0" fontId="4" fillId="0" borderId="38" xfId="0" applyFont="1" applyBorder="1" applyAlignment="1" applyProtection="1">
      <alignment horizontal="left" vertical="top" wrapText="1"/>
      <protection locked="0"/>
    </xf>
    <xf numFmtId="0" fontId="0" fillId="0" borderId="40" xfId="0" applyBorder="1" applyAlignment="1" applyProtection="1">
      <alignment horizontal="left" vertical="top" wrapText="1"/>
      <protection locked="0"/>
    </xf>
    <xf numFmtId="0" fontId="0" fillId="0" borderId="49"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3" xfId="0" applyBorder="1" applyAlignment="1" applyProtection="1">
      <alignment horizontal="left" vertical="top" wrapText="1"/>
      <protection locked="0"/>
    </xf>
    <xf numFmtId="0" fontId="0" fillId="0" borderId="47" xfId="0" applyBorder="1" applyAlignment="1" applyProtection="1">
      <alignment horizontal="left" vertical="top" wrapText="1"/>
      <protection locked="0"/>
    </xf>
    <xf numFmtId="0" fontId="0" fillId="0" borderId="48" xfId="0" applyBorder="1" applyAlignment="1" applyProtection="1">
      <alignment horizontal="left" vertical="top" wrapText="1"/>
      <protection locked="0"/>
    </xf>
    <xf numFmtId="0" fontId="5" fillId="43" borderId="137" xfId="0" applyFont="1" applyFill="1" applyBorder="1" applyAlignment="1">
      <alignment horizontal="center" vertical="center" wrapText="1"/>
    </xf>
    <xf numFmtId="0" fontId="5" fillId="0" borderId="28" xfId="0" applyFont="1" applyBorder="1" applyAlignment="1">
      <alignment horizontal="center" vertical="center" wrapText="1"/>
    </xf>
    <xf numFmtId="0" fontId="5" fillId="0" borderId="42" xfId="0" applyFont="1" applyBorder="1" applyAlignment="1">
      <alignment horizontal="center" vertical="center" wrapText="1"/>
    </xf>
    <xf numFmtId="0" fontId="5" fillId="43" borderId="28" xfId="0" applyFont="1" applyFill="1" applyBorder="1" applyAlignment="1">
      <alignment horizontal="center" vertical="center" wrapText="1"/>
    </xf>
    <xf numFmtId="0" fontId="5" fillId="43" borderId="42" xfId="0" applyFont="1" applyFill="1" applyBorder="1" applyAlignment="1">
      <alignment horizontal="center" vertical="center" wrapText="1"/>
    </xf>
    <xf numFmtId="0" fontId="4" fillId="6" borderId="1" xfId="0" applyFont="1" applyFill="1" applyBorder="1" applyAlignment="1">
      <alignment horizontal="center" vertical="center"/>
    </xf>
  </cellXfs>
  <cellStyles count="6">
    <cellStyle name="Comma" xfId="5" builtinId="3"/>
    <cellStyle name="Hyperlink" xfId="1" builtinId="8"/>
    <cellStyle name="Normal" xfId="0" builtinId="0"/>
    <cellStyle name="Normal 2" xfId="4" xr:uid="{00000000-0005-0000-0000-000002000000}"/>
    <cellStyle name="Normal_New Rev. 21.xls" xfId="2" xr:uid="{00000000-0005-0000-0000-000003000000}"/>
    <cellStyle name="Normal_New TEELs Rev 20 &amp; 21" xfId="3" xr:uid="{00000000-0005-0000-0000-000004000000}"/>
  </cellStyles>
  <dxfs count="820">
    <dxf>
      <font>
        <b/>
        <i/>
        <color rgb="FFC00000"/>
      </font>
      <fill>
        <patternFill>
          <bgColor theme="4" tint="0.79998168889431442"/>
        </patternFill>
      </fill>
    </dxf>
    <dxf>
      <font>
        <b/>
        <i/>
        <color rgb="FFC00000"/>
      </font>
      <fill>
        <patternFill>
          <bgColor theme="4" tint="0.79998168889431442"/>
        </patternFill>
      </fill>
    </dxf>
    <dxf>
      <font>
        <color rgb="FF00B050"/>
      </font>
      <fill>
        <patternFill>
          <bgColor rgb="FF00B050"/>
        </patternFill>
      </fill>
    </dxf>
    <dxf>
      <font>
        <color rgb="FFFFFF00"/>
      </font>
      <fill>
        <patternFill>
          <bgColor rgb="FFFFFF00"/>
        </patternFill>
      </fill>
    </dxf>
    <dxf>
      <font>
        <color theme="9" tint="0.39994506668294322"/>
      </font>
      <fill>
        <patternFill>
          <bgColor theme="9" tint="0.39994506668294322"/>
        </patternFill>
      </fill>
    </dxf>
    <dxf>
      <font>
        <color rgb="FFFF0000"/>
      </font>
      <fill>
        <patternFill>
          <bgColor rgb="FFFF0000"/>
        </patternFill>
      </fill>
    </dxf>
    <dxf>
      <font>
        <color rgb="FF00B050"/>
      </font>
      <fill>
        <patternFill>
          <bgColor rgb="FF00B050"/>
        </patternFill>
      </fill>
    </dxf>
    <dxf>
      <font>
        <color rgb="FFFFFF00"/>
      </font>
      <fill>
        <patternFill>
          <bgColor rgb="FFFFFF00"/>
        </patternFill>
      </fill>
    </dxf>
    <dxf>
      <font>
        <color theme="9" tint="0.39994506668294322"/>
      </font>
      <fill>
        <patternFill>
          <bgColor theme="9" tint="0.39994506668294322"/>
        </patternFill>
      </fill>
    </dxf>
    <dxf>
      <font>
        <color rgb="FFFF0000"/>
      </font>
      <fill>
        <patternFill>
          <bgColor rgb="FFFF0000"/>
        </patternFill>
      </fill>
    </dxf>
    <dxf>
      <font>
        <color rgb="FF00B050"/>
      </font>
      <fill>
        <patternFill>
          <bgColor rgb="FF00B050"/>
        </patternFill>
      </fill>
    </dxf>
    <dxf>
      <font>
        <color rgb="FFFFFF00"/>
      </font>
      <fill>
        <patternFill>
          <bgColor rgb="FFFFFF00"/>
        </patternFill>
      </fill>
    </dxf>
    <dxf>
      <font>
        <color theme="9" tint="0.39994506668294322"/>
      </font>
      <fill>
        <patternFill>
          <bgColor theme="9" tint="0.39994506668294322"/>
        </patternFill>
      </fill>
    </dxf>
    <dxf>
      <font>
        <color rgb="FFFF0000"/>
      </font>
      <fill>
        <patternFill>
          <bgColor rgb="FFFF0000"/>
        </patternFill>
      </fill>
    </dxf>
    <dxf>
      <font>
        <color rgb="FF00B050"/>
      </font>
      <fill>
        <patternFill>
          <bgColor rgb="FF00B050"/>
        </patternFill>
      </fill>
    </dxf>
    <dxf>
      <font>
        <color rgb="FFFFFF00"/>
      </font>
      <fill>
        <patternFill>
          <bgColor rgb="FFFFFF00"/>
        </patternFill>
      </fill>
    </dxf>
    <dxf>
      <font>
        <color theme="9" tint="0.39994506668294322"/>
      </font>
      <fill>
        <patternFill>
          <bgColor theme="9" tint="0.39994506668294322"/>
        </patternFill>
      </fill>
    </dxf>
    <dxf>
      <font>
        <color rgb="FFFF0000"/>
      </font>
      <fill>
        <patternFill>
          <bgColor rgb="FFFF0000"/>
        </patternFill>
      </fill>
    </dxf>
    <dxf>
      <fill>
        <patternFill>
          <bgColor rgb="FFFFFFCC"/>
        </patternFill>
      </fill>
    </dxf>
    <dxf>
      <fill>
        <patternFill>
          <bgColor rgb="FFCCFFCC"/>
        </patternFill>
      </fill>
    </dxf>
    <dxf>
      <fill>
        <patternFill>
          <bgColor indexed="47"/>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ont>
        <color auto="1"/>
      </font>
      <fill>
        <patternFill>
          <bgColor rgb="FFFF99FF"/>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ont>
        <strike val="0"/>
        <color theme="9" tint="0.59996337778862885"/>
      </font>
      <fill>
        <patternFill>
          <bgColor theme="9" tint="0.59996337778862885"/>
        </patternFill>
      </fill>
    </dxf>
    <dxf>
      <font>
        <color rgb="FFFCD5B4"/>
      </font>
      <fill>
        <patternFill>
          <bgColor theme="9" tint="0.59996337778862885"/>
        </patternFill>
      </fill>
    </dxf>
    <dxf>
      <font>
        <strike val="0"/>
        <color theme="9" tint="0.59996337778862885"/>
      </font>
      <fill>
        <patternFill>
          <bgColor theme="9" tint="0.59996337778862885"/>
        </patternFill>
      </fill>
    </dxf>
    <dxf>
      <fill>
        <patternFill>
          <bgColor indexed="47"/>
        </patternFill>
      </fill>
    </dxf>
    <dxf>
      <font>
        <b/>
        <i val="0"/>
        <color theme="0"/>
      </font>
      <fill>
        <patternFill>
          <bgColor rgb="FFFF0000"/>
        </patternFill>
      </fill>
    </dxf>
    <dxf>
      <font>
        <b/>
        <i val="0"/>
        <condense val="0"/>
        <extend val="0"/>
        <color indexed="12"/>
      </font>
      <border>
        <left style="thin">
          <color indexed="12"/>
        </left>
        <right style="thin">
          <color indexed="12"/>
        </right>
        <top style="thin">
          <color indexed="12"/>
        </top>
        <bottom style="thin">
          <color indexed="12"/>
        </bottom>
      </border>
    </dxf>
    <dxf>
      <font>
        <b/>
        <i val="0"/>
        <condense val="0"/>
        <extend val="0"/>
        <color indexed="12"/>
      </font>
      <border>
        <left style="thin">
          <color indexed="12"/>
        </left>
        <right style="thin">
          <color indexed="12"/>
        </right>
        <top style="thin">
          <color indexed="12"/>
        </top>
        <bottom style="thin">
          <color indexed="12"/>
        </bottom>
      </border>
    </dxf>
    <dxf>
      <fill>
        <patternFill>
          <bgColor indexed="47"/>
        </patternFill>
      </fill>
    </dxf>
    <dxf>
      <fill>
        <patternFill>
          <bgColor indexed="47"/>
        </patternFill>
      </fill>
    </dxf>
    <dxf>
      <fill>
        <patternFill>
          <bgColor indexed="47"/>
        </patternFill>
      </fill>
    </dxf>
    <dxf>
      <fill>
        <patternFill>
          <bgColor indexed="47"/>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b val="0"/>
        <i val="0"/>
        <color theme="0"/>
      </font>
      <fill>
        <patternFill>
          <bgColor theme="0"/>
        </patternFill>
      </fill>
    </dxf>
    <dxf>
      <font>
        <color auto="1"/>
      </font>
      <fill>
        <patternFill>
          <bgColor theme="5" tint="0.59996337778862885"/>
        </patternFill>
      </fill>
      <border>
        <left style="thin">
          <color auto="1"/>
        </left>
        <right style="thin">
          <color auto="1"/>
        </right>
        <top style="thin">
          <color auto="1"/>
        </top>
        <bottom style="thin">
          <color auto="1"/>
        </bottom>
      </border>
    </dxf>
    <dxf>
      <font>
        <strike val="0"/>
        <color auto="1"/>
      </font>
      <fill>
        <patternFill>
          <bgColor theme="6" tint="0.39994506668294322"/>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strike val="0"/>
        <condense val="0"/>
        <extend val="0"/>
        <color indexed="51"/>
      </font>
    </dxf>
    <dxf>
      <font>
        <strike val="0"/>
        <condense val="0"/>
        <extend val="0"/>
        <color indexed="12"/>
      </font>
    </dxf>
    <dxf>
      <font>
        <strike val="0"/>
        <condense val="0"/>
        <extend val="0"/>
        <color indexed="10"/>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12"/>
      </font>
    </dxf>
    <dxf>
      <font>
        <strike val="0"/>
        <condense val="0"/>
        <extend val="0"/>
        <color indexed="10"/>
      </font>
    </dxf>
    <dxf>
      <font>
        <strike val="0"/>
        <condense val="0"/>
        <extend val="0"/>
        <color indexed="8"/>
      </font>
    </dxf>
    <dxf>
      <font>
        <b val="0"/>
        <i val="0"/>
        <color theme="0"/>
      </font>
      <fill>
        <patternFill>
          <bgColor theme="0"/>
        </patternFill>
      </fill>
    </dxf>
    <dxf>
      <font>
        <strike val="0"/>
        <condense val="0"/>
        <extend val="0"/>
        <color indexed="51"/>
      </font>
    </dxf>
    <dxf>
      <font>
        <strike val="0"/>
        <condense val="0"/>
        <extend val="0"/>
        <color indexed="12"/>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b val="0"/>
        <i val="0"/>
        <color theme="0"/>
      </font>
      <fill>
        <patternFill>
          <bgColor theme="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color auto="1"/>
      </font>
      <fill>
        <patternFill>
          <bgColor theme="5" tint="0.59996337778862885"/>
        </patternFill>
      </fill>
    </dxf>
    <dxf>
      <font>
        <strike val="0"/>
        <color auto="1"/>
      </font>
      <fill>
        <patternFill>
          <bgColor theme="6" tint="0.39994506668294322"/>
        </patternFill>
      </fill>
    </dxf>
    <dxf>
      <fill>
        <patternFill>
          <bgColor rgb="FFFFFF00"/>
        </patternFill>
      </fill>
    </dxf>
    <dxf>
      <font>
        <strike val="0"/>
        <condense val="0"/>
        <extend val="0"/>
        <color indexed="51"/>
      </font>
    </dxf>
    <dxf>
      <font>
        <strike val="0"/>
        <condense val="0"/>
        <extend val="0"/>
        <color indexed="12"/>
      </font>
    </dxf>
    <dxf>
      <font>
        <strike val="0"/>
        <condense val="0"/>
        <extend val="0"/>
        <color indexed="10"/>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51"/>
      </font>
    </dxf>
    <dxf>
      <font>
        <strike val="0"/>
        <condense val="0"/>
        <extend val="0"/>
        <color indexed="12"/>
      </font>
    </dxf>
    <dxf>
      <font>
        <strike val="0"/>
        <condense val="0"/>
        <extend val="0"/>
        <color indexed="51"/>
      </font>
    </dxf>
    <dxf>
      <font>
        <strike val="0"/>
        <condense val="0"/>
        <extend val="0"/>
        <color indexed="12"/>
      </font>
    </dxf>
    <dxf>
      <font>
        <strike val="0"/>
        <condense val="0"/>
        <extend val="0"/>
        <color indexed="10"/>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12"/>
      </font>
    </dxf>
    <dxf>
      <font>
        <strike val="0"/>
        <condense val="0"/>
        <extend val="0"/>
        <color indexed="10"/>
      </font>
    </dxf>
    <dxf>
      <font>
        <strike val="0"/>
        <condense val="0"/>
        <extend val="0"/>
        <color indexed="8"/>
      </font>
    </dxf>
    <dxf>
      <font>
        <b val="0"/>
        <i val="0"/>
        <color theme="0"/>
      </font>
      <fill>
        <patternFill>
          <bgColor theme="0"/>
        </patternFill>
      </fill>
    </dxf>
    <dxf>
      <font>
        <strike val="0"/>
        <condense val="0"/>
        <extend val="0"/>
        <color indexed="51"/>
      </font>
    </dxf>
    <dxf>
      <font>
        <strike val="0"/>
        <condense val="0"/>
        <extend val="0"/>
        <color indexed="12"/>
      </font>
    </dxf>
    <dxf>
      <font>
        <color auto="1"/>
      </font>
      <fill>
        <patternFill>
          <bgColor theme="5" tint="0.59996337778862885"/>
        </patternFill>
      </fill>
      <border>
        <left style="thin">
          <color auto="1"/>
        </left>
        <right style="thin">
          <color auto="1"/>
        </right>
        <top style="thin">
          <color auto="1"/>
        </top>
        <bottom style="thin">
          <color auto="1"/>
        </bottom>
      </border>
    </dxf>
    <dxf>
      <font>
        <strike val="0"/>
        <color auto="1"/>
      </font>
      <fill>
        <patternFill>
          <bgColor theme="6" tint="0.39994506668294322"/>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b val="0"/>
        <i val="0"/>
        <color theme="0"/>
      </font>
      <fill>
        <patternFill>
          <bgColor theme="0"/>
        </patternFill>
      </fill>
    </dxf>
    <dxf>
      <font>
        <strike val="0"/>
        <condense val="0"/>
        <extend val="0"/>
        <color indexed="51"/>
      </font>
    </dxf>
    <dxf>
      <font>
        <strike val="0"/>
        <condense val="0"/>
        <extend val="0"/>
        <color indexed="12"/>
      </font>
    </dxf>
    <dxf>
      <font>
        <strike val="0"/>
        <condense val="0"/>
        <extend val="0"/>
        <color indexed="10"/>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12"/>
      </font>
    </dxf>
    <dxf>
      <font>
        <strike val="0"/>
        <condense val="0"/>
        <extend val="0"/>
        <color indexed="10"/>
      </font>
    </dxf>
    <dxf>
      <font>
        <strike val="0"/>
        <condense val="0"/>
        <extend val="0"/>
        <color indexed="8"/>
      </font>
    </dxf>
    <dxf>
      <font>
        <strike val="0"/>
        <condense val="0"/>
        <extend val="0"/>
        <color indexed="12"/>
      </font>
    </dxf>
    <dxf>
      <font>
        <strike val="0"/>
        <condense val="0"/>
        <extend val="0"/>
        <color indexed="10"/>
      </font>
    </dxf>
    <dxf>
      <font>
        <strike val="0"/>
        <condense val="0"/>
        <extend val="0"/>
        <color indexed="8"/>
      </font>
    </dxf>
    <dxf>
      <font>
        <b val="0"/>
        <i val="0"/>
        <color theme="0"/>
      </font>
      <fill>
        <patternFill>
          <bgColor theme="0"/>
        </patternFill>
      </fill>
    </dxf>
    <dxf>
      <font>
        <strike val="0"/>
        <condense val="0"/>
        <extend val="0"/>
        <color indexed="51"/>
      </font>
    </dxf>
    <dxf>
      <font>
        <strike val="0"/>
        <condense val="0"/>
        <extend val="0"/>
        <color indexed="12"/>
      </font>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theme="0"/>
      </font>
    </dxf>
    <dxf>
      <font>
        <color theme="0"/>
      </font>
    </dxf>
    <dxf>
      <font>
        <color rgb="FF0000FF"/>
      </font>
      <fill>
        <patternFill>
          <bgColor theme="0"/>
        </patternFill>
      </fill>
      <border>
        <left style="thin">
          <color auto="1"/>
        </left>
        <right style="thin">
          <color auto="1"/>
        </right>
        <top style="thin">
          <color auto="1"/>
        </top>
        <bottom style="thin">
          <color auto="1"/>
        </bottom>
      </border>
    </dxf>
    <dxf>
      <font>
        <color rgb="FF0000FF"/>
      </font>
      <fill>
        <patternFill>
          <bgColor theme="0"/>
        </patternFill>
      </fill>
      <border>
        <left style="thin">
          <color auto="1"/>
        </left>
        <right style="thin">
          <color auto="1"/>
        </right>
        <top style="thin">
          <color auto="1"/>
        </top>
        <bottom style="thin">
          <color auto="1"/>
        </bottom>
      </border>
    </dxf>
    <dxf>
      <font>
        <color rgb="FF0000FF"/>
      </font>
      <fill>
        <patternFill>
          <bgColor theme="0"/>
        </patternFill>
      </fill>
      <border>
        <left style="thin">
          <color auto="1"/>
        </left>
        <right style="thin">
          <color auto="1"/>
        </right>
        <top style="thin">
          <color auto="1"/>
        </top>
        <bottom style="thin">
          <color auto="1"/>
        </bottom>
      </border>
    </dxf>
    <dxf>
      <font>
        <color rgb="FF0000FF"/>
      </font>
      <fill>
        <patternFill>
          <bgColor theme="0"/>
        </patternFill>
      </fill>
      <border>
        <left style="thin">
          <color auto="1"/>
        </left>
        <right style="thin">
          <color auto="1"/>
        </right>
        <top style="thin">
          <color auto="1"/>
        </top>
        <bottom style="thin">
          <color auto="1"/>
        </bottom>
      </border>
    </dxf>
    <dxf>
      <font>
        <color rgb="FF0000FF"/>
      </font>
      <fill>
        <patternFill>
          <bgColor theme="0"/>
        </patternFill>
      </fill>
      <border>
        <left style="thin">
          <color auto="1"/>
        </left>
        <right style="thin">
          <color auto="1"/>
        </right>
        <top style="thin">
          <color auto="1"/>
        </top>
        <bottom style="thin">
          <color auto="1"/>
        </bottom>
      </border>
    </dxf>
    <dxf>
      <font>
        <color rgb="FF0000FF"/>
      </font>
      <fill>
        <patternFill>
          <bgColor theme="0"/>
        </patternFill>
      </fill>
      <border>
        <left style="thin">
          <color auto="1"/>
        </left>
        <right style="thin">
          <color auto="1"/>
        </right>
        <top style="thin">
          <color auto="1"/>
        </top>
        <bottom style="thin">
          <color auto="1"/>
        </bottom>
      </border>
    </dxf>
    <dxf>
      <font>
        <color rgb="FF0000FF"/>
      </font>
      <fill>
        <patternFill>
          <bgColor theme="0"/>
        </patternFill>
      </fill>
      <border>
        <left style="thin">
          <color auto="1"/>
        </left>
        <right style="thin">
          <color auto="1"/>
        </right>
        <top style="thin">
          <color auto="1"/>
        </top>
        <bottom style="thin">
          <color auto="1"/>
        </bottom>
      </border>
    </dxf>
    <dxf>
      <font>
        <color rgb="FF0000FF"/>
      </font>
      <fill>
        <patternFill>
          <bgColor theme="0"/>
        </patternFill>
      </fill>
      <border>
        <left style="thin">
          <color auto="1"/>
        </left>
        <right style="thin">
          <color auto="1"/>
        </right>
        <top style="thin">
          <color auto="1"/>
        </top>
        <bottom style="thin">
          <color auto="1"/>
        </bottom>
      </border>
    </dxf>
    <dxf>
      <font>
        <color rgb="FF0000FF"/>
      </font>
      <fill>
        <patternFill>
          <bgColor theme="0"/>
        </patternFill>
      </fill>
      <border>
        <left style="thin">
          <color auto="1"/>
        </left>
        <right style="thin">
          <color auto="1"/>
        </right>
        <top style="thin">
          <color auto="1"/>
        </top>
        <bottom style="thin">
          <color auto="1"/>
        </bottom>
      </border>
    </dxf>
    <dxf>
      <font>
        <color rgb="FF0000FF"/>
      </font>
      <fill>
        <patternFill>
          <bgColor theme="0"/>
        </patternFill>
      </fill>
      <border>
        <left style="thin">
          <color auto="1"/>
        </left>
        <right style="thin">
          <color auto="1"/>
        </right>
        <top style="thin">
          <color auto="1"/>
        </top>
        <bottom style="thin">
          <color auto="1"/>
        </bottom>
      </border>
    </dxf>
    <dxf>
      <font>
        <b val="0"/>
        <i val="0"/>
        <condense val="0"/>
        <extend val="0"/>
      </font>
      <fill>
        <patternFill>
          <bgColor indexed="43"/>
        </patternFill>
      </fill>
    </dxf>
    <dxf>
      <fill>
        <patternFill>
          <bgColor theme="0" tint="-0.24994659260841701"/>
        </patternFill>
      </fill>
    </dxf>
    <dxf>
      <fill>
        <patternFill>
          <bgColor rgb="FFFFFF99"/>
        </patternFill>
      </fill>
    </dxf>
    <dxf>
      <fill>
        <patternFill>
          <bgColor indexed="43"/>
        </patternFill>
      </fill>
    </dxf>
    <dxf>
      <font>
        <color rgb="FF0000FF"/>
      </font>
      <fill>
        <patternFill>
          <bgColor theme="0"/>
        </patternFill>
      </fill>
      <border>
        <left style="thin">
          <color auto="1"/>
        </left>
        <right style="thin">
          <color auto="1"/>
        </right>
        <top style="thin">
          <color auto="1"/>
        </top>
        <bottom style="thin">
          <color auto="1"/>
        </bottom>
      </border>
    </dxf>
    <dxf>
      <font>
        <color theme="0"/>
      </font>
      <fill>
        <patternFill>
          <bgColor theme="0"/>
        </patternFill>
      </fill>
    </dxf>
    <dxf>
      <font>
        <color rgb="FF0000FF"/>
      </font>
      <fill>
        <patternFill>
          <bgColor theme="0"/>
        </patternFill>
      </fill>
      <border>
        <left style="thin">
          <color auto="1"/>
        </left>
        <right style="thin">
          <color auto="1"/>
        </right>
        <top style="thin">
          <color auto="1"/>
        </top>
        <bottom style="thin">
          <color auto="1"/>
        </bottom>
      </border>
    </dxf>
    <dxf>
      <font>
        <b val="0"/>
        <i val="0"/>
        <condense val="0"/>
        <extend val="0"/>
      </font>
      <fill>
        <patternFill>
          <bgColor indexed="43"/>
        </patternFill>
      </fill>
    </dxf>
    <dxf>
      <font>
        <color theme="0" tint="-0.24994659260841701"/>
      </font>
    </dxf>
    <dxf>
      <font>
        <color theme="0" tint="-0.24994659260841701"/>
      </font>
    </dxf>
    <dxf>
      <fill>
        <patternFill>
          <bgColor theme="0" tint="-0.24994659260841701"/>
        </patternFill>
      </fill>
    </dxf>
    <dxf>
      <fill>
        <patternFill>
          <bgColor rgb="FFFFFF99"/>
        </patternFill>
      </fill>
    </dxf>
    <dxf>
      <fill>
        <patternFill>
          <bgColor indexed="43"/>
        </patternFill>
      </fill>
    </dxf>
    <dxf>
      <fill>
        <patternFill>
          <bgColor rgb="FFFFFF99"/>
        </patternFill>
      </fill>
    </dxf>
    <dxf>
      <fill>
        <patternFill>
          <bgColor indexed="43"/>
        </patternFill>
      </fill>
    </dxf>
    <dxf>
      <fill>
        <patternFill>
          <bgColor rgb="FFFFFF99"/>
        </patternFill>
      </fill>
    </dxf>
    <dxf>
      <fill>
        <patternFill>
          <bgColor indexed="43"/>
        </patternFill>
      </fill>
    </dxf>
    <dxf>
      <fill>
        <patternFill>
          <bgColor rgb="FFFFFF99"/>
        </patternFill>
      </fill>
    </dxf>
    <dxf>
      <fill>
        <patternFill>
          <bgColor indexed="43"/>
        </patternFill>
      </fill>
    </dxf>
    <dxf>
      <fill>
        <patternFill>
          <bgColor indexed="43"/>
        </patternFill>
      </fill>
    </dxf>
    <dxf>
      <fill>
        <patternFill>
          <bgColor indexed="43"/>
        </patternFill>
      </fill>
    </dxf>
    <dxf>
      <font>
        <condense val="0"/>
        <extend val="0"/>
        <color auto="1"/>
      </font>
      <fill>
        <patternFill>
          <bgColor indexed="9"/>
        </patternFill>
      </fill>
      <border>
        <left style="thin">
          <color indexed="64"/>
        </left>
        <right style="thin">
          <color indexed="64"/>
        </right>
        <top style="thin">
          <color indexed="64"/>
        </top>
        <bottom style="thin">
          <color indexed="64"/>
        </bottom>
      </border>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ont>
        <b/>
        <i val="0"/>
        <strike val="0"/>
        <color theme="6" tint="-0.24994659260841701"/>
      </font>
    </dxf>
    <dxf>
      <font>
        <color theme="6" tint="-0.24994659260841701"/>
      </font>
    </dxf>
    <dxf>
      <font>
        <color theme="6" tint="-0.24994659260841701"/>
      </font>
    </dxf>
    <dxf>
      <font>
        <color theme="6" tint="-0.24994659260841701"/>
      </font>
    </dxf>
    <dxf>
      <font>
        <color theme="6" tint="-0.24994659260841701"/>
      </font>
    </dxf>
    <dxf>
      <font>
        <color theme="6" tint="-0.24994659260841701"/>
      </font>
    </dxf>
    <dxf>
      <font>
        <color theme="6" tint="-0.24994659260841701"/>
      </font>
    </dxf>
    <dxf>
      <font>
        <color theme="6" tint="-0.24994659260841701"/>
      </font>
    </dxf>
    <dxf>
      <font>
        <color theme="6" tint="-0.24994659260841701"/>
      </font>
    </dxf>
    <dxf>
      <font>
        <color theme="6" tint="-0.24994659260841701"/>
      </font>
    </dxf>
    <dxf>
      <font>
        <color theme="6" tint="-0.24994659260841701"/>
      </font>
    </dxf>
    <dxf>
      <font>
        <color theme="6" tint="-0.24994659260841701"/>
      </font>
    </dxf>
    <dxf>
      <font>
        <color theme="6" tint="-0.24994659260841701"/>
      </font>
    </dxf>
    <dxf>
      <font>
        <color theme="6" tint="-0.24994659260841701"/>
      </font>
    </dxf>
    <dxf>
      <font>
        <color theme="6" tint="-0.24994659260841701"/>
      </font>
    </dxf>
    <dxf>
      <font>
        <color theme="6" tint="-0.24994659260841701"/>
      </font>
    </dxf>
    <dxf>
      <font>
        <color theme="6" tint="-0.24994659260841701"/>
      </font>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rgb="FFFFFF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9" tint="0.79998168889431442"/>
        </patternFill>
      </fill>
    </dxf>
    <dxf>
      <fill>
        <patternFill>
          <bgColor theme="6" tint="0.59996337778862885"/>
        </patternFill>
      </fill>
    </dxf>
    <dxf>
      <fill>
        <patternFill>
          <bgColor theme="6" tint="0.59996337778862885"/>
        </patternFill>
      </fill>
    </dxf>
    <dxf>
      <fill>
        <patternFill>
          <bgColor theme="6" tint="0.59996337778862885"/>
        </patternFill>
      </fill>
    </dxf>
    <dxf>
      <font>
        <color rgb="FFFF0000"/>
      </font>
    </dxf>
    <dxf>
      <font>
        <color rgb="FFFF0000"/>
      </font>
    </dxf>
    <dxf>
      <font>
        <color rgb="FFFF0000"/>
      </font>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ont>
        <color rgb="FF0033CC"/>
      </font>
    </dxf>
    <dxf>
      <font>
        <b/>
        <i val="0"/>
        <strike val="0"/>
        <color rgb="FFC00000"/>
      </font>
    </dxf>
    <dxf>
      <font>
        <b/>
        <i val="0"/>
        <strike val="0"/>
        <color rgb="FFC00000"/>
      </font>
    </dxf>
    <dxf>
      <font>
        <b/>
        <i val="0"/>
      </font>
    </dxf>
    <dxf>
      <font>
        <b/>
        <i val="0"/>
        <strike val="0"/>
        <color rgb="FFC00000"/>
      </font>
    </dxf>
    <dxf>
      <font>
        <b/>
        <i val="0"/>
      </font>
    </dxf>
    <dxf>
      <fill>
        <patternFill>
          <bgColor theme="6" tint="0.59996337778862885"/>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rgb="FFFFCC99"/>
        </patternFill>
      </fill>
    </dxf>
    <dxf>
      <fill>
        <patternFill>
          <bgColor rgb="FFFFCC99"/>
        </patternFill>
      </fill>
    </dxf>
    <dxf>
      <fill>
        <patternFill>
          <bgColor rgb="FFFFCC99"/>
        </patternFill>
      </fill>
    </dxf>
    <dxf>
      <fill>
        <patternFill>
          <bgColor indexed="47"/>
        </patternFill>
      </fill>
    </dxf>
    <dxf>
      <fill>
        <patternFill>
          <bgColor indexed="47"/>
        </patternFill>
      </fill>
    </dxf>
    <dxf>
      <fill>
        <patternFill>
          <bgColor theme="9" tint="0.39994506668294322"/>
        </patternFill>
      </fill>
    </dxf>
    <dxf>
      <fill>
        <patternFill>
          <bgColor rgb="FFFFFFCC"/>
        </patternFill>
      </fill>
    </dxf>
    <dxf>
      <fill>
        <patternFill>
          <bgColor theme="9" tint="0.39994506668294322"/>
        </patternFill>
      </fill>
    </dxf>
    <dxf>
      <fill>
        <patternFill>
          <bgColor rgb="FFFFFFCC"/>
        </patternFill>
      </fill>
    </dxf>
    <dxf>
      <fill>
        <patternFill>
          <bgColor theme="9" tint="0.39994506668294322"/>
        </patternFill>
      </fill>
    </dxf>
    <dxf>
      <fill>
        <patternFill>
          <bgColor rgb="FFFFFFCC"/>
        </patternFill>
      </fill>
    </dxf>
    <dxf>
      <fill>
        <patternFill>
          <bgColor theme="9" tint="0.39994506668294322"/>
        </patternFill>
      </fill>
    </dxf>
    <dxf>
      <fill>
        <patternFill>
          <bgColor rgb="FFFFFFCC"/>
        </patternFill>
      </fill>
    </dxf>
    <dxf>
      <fill>
        <patternFill>
          <bgColor theme="9" tint="0.39994506668294322"/>
        </patternFill>
      </fill>
    </dxf>
    <dxf>
      <fill>
        <patternFill>
          <bgColor rgb="FFFFFFCC"/>
        </patternFill>
      </fill>
    </dxf>
    <dxf>
      <fill>
        <patternFill>
          <bgColor theme="9" tint="0.39994506668294322"/>
        </patternFill>
      </fill>
    </dxf>
    <dxf>
      <fill>
        <patternFill>
          <bgColor rgb="FFFFFFCC"/>
        </patternFill>
      </fill>
    </dxf>
    <dxf>
      <fill>
        <patternFill>
          <bgColor theme="9" tint="0.39994506668294322"/>
        </patternFill>
      </fill>
    </dxf>
    <dxf>
      <fill>
        <patternFill>
          <bgColor rgb="FFFFFFCC"/>
        </patternFill>
      </fill>
    </dxf>
    <dxf>
      <fill>
        <patternFill>
          <bgColor theme="9" tint="0.39994506668294322"/>
        </patternFill>
      </fill>
    </dxf>
    <dxf>
      <fill>
        <patternFill>
          <bgColor rgb="FFFFFFCC"/>
        </patternFill>
      </fill>
    </dxf>
    <dxf>
      <fill>
        <patternFill>
          <bgColor theme="9" tint="0.39994506668294322"/>
        </patternFill>
      </fill>
    </dxf>
    <dxf>
      <fill>
        <patternFill>
          <bgColor rgb="FFFFFFCC"/>
        </patternFill>
      </fill>
    </dxf>
    <dxf>
      <fill>
        <patternFill>
          <bgColor theme="9" tint="0.39994506668294322"/>
        </patternFill>
      </fill>
    </dxf>
    <dxf>
      <fill>
        <patternFill>
          <bgColor rgb="FFFFFFCC"/>
        </patternFill>
      </fill>
    </dxf>
    <dxf>
      <fill>
        <patternFill>
          <bgColor theme="9" tint="0.39994506668294322"/>
        </patternFill>
      </fill>
    </dxf>
    <dxf>
      <fill>
        <patternFill>
          <bgColor rgb="FFFFFFCC"/>
        </patternFill>
      </fill>
    </dxf>
    <dxf>
      <fill>
        <patternFill>
          <bgColor theme="9" tint="0.39994506668294322"/>
        </patternFill>
      </fill>
    </dxf>
    <dxf>
      <fill>
        <patternFill>
          <bgColor rgb="FFFFFFCC"/>
        </patternFill>
      </fill>
    </dxf>
    <dxf>
      <fill>
        <patternFill>
          <bgColor theme="9" tint="0.5999633777886288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strike/>
        <color theme="0" tint="-0.499984740745262"/>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ill>
        <patternFill>
          <bgColor rgb="FFFFFF00"/>
        </patternFill>
      </fill>
    </dxf>
    <dxf>
      <fill>
        <patternFill>
          <bgColor rgb="FFFFFF66"/>
        </patternFill>
      </fill>
    </dxf>
    <dxf>
      <fill>
        <patternFill>
          <bgColor rgb="FFFFFF66"/>
        </patternFill>
      </fill>
    </dxf>
    <dxf>
      <fill>
        <patternFill>
          <bgColor rgb="FFFFFF00"/>
        </patternFill>
      </fill>
    </dxf>
    <dxf>
      <fill>
        <patternFill>
          <bgColor rgb="FFFFFF00"/>
        </patternFill>
      </fill>
    </dxf>
    <dxf>
      <fill>
        <patternFill>
          <bgColor theme="9" tint="0.59996337778862885"/>
        </patternFill>
      </fill>
    </dxf>
    <dxf>
      <fill>
        <patternFill>
          <bgColor rgb="FFFFFF00"/>
        </patternFill>
      </fill>
    </dxf>
    <dxf>
      <fill>
        <patternFill>
          <bgColor rgb="FFFFFF00"/>
        </patternFill>
      </fill>
    </dxf>
    <dxf>
      <fill>
        <patternFill>
          <bgColor theme="9" tint="0.59996337778862885"/>
        </patternFill>
      </fill>
    </dxf>
    <dxf>
      <fill>
        <patternFill>
          <bgColor theme="9" tint="0.59996337778862885"/>
        </patternFill>
      </fill>
    </dxf>
    <dxf>
      <font>
        <strike val="0"/>
        <condense val="0"/>
        <extend val="0"/>
        <color indexed="22"/>
      </font>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FF00"/>
        </patternFill>
      </fill>
    </dxf>
    <dxf>
      <fill>
        <patternFill>
          <bgColor theme="9" tint="0.59996337778862885"/>
        </patternFill>
      </fill>
    </dxf>
    <dxf>
      <fill>
        <patternFill>
          <bgColor theme="9" tint="0.59996337778862885"/>
        </patternFill>
      </fill>
    </dxf>
    <dxf>
      <fill>
        <patternFill>
          <bgColor rgb="FFFFFF00"/>
        </patternFill>
      </fill>
    </dxf>
    <dxf>
      <fill>
        <patternFill>
          <bgColor theme="9" tint="0.59996337778862885"/>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theme="9" tint="0.59996337778862885"/>
        </patternFill>
      </fill>
    </dxf>
    <dxf>
      <font>
        <strike val="0"/>
        <condense val="0"/>
        <extend val="0"/>
        <color indexed="22"/>
      </font>
    </dxf>
    <dxf>
      <fill>
        <patternFill>
          <bgColor rgb="FFFFFF00"/>
        </patternFill>
      </fill>
    </dxf>
    <dxf>
      <fill>
        <patternFill>
          <bgColor rgb="FFFFFF00"/>
        </patternFill>
      </fill>
    </dxf>
    <dxf>
      <fill>
        <patternFill>
          <bgColor theme="9"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theme="9" tint="0.59996337778862885"/>
        </patternFill>
      </fill>
    </dxf>
    <dxf>
      <fill>
        <patternFill>
          <bgColor theme="9" tint="0.59996337778862885"/>
        </patternFill>
      </fill>
    </dxf>
    <dxf>
      <font>
        <strike val="0"/>
        <condense val="0"/>
        <extend val="0"/>
        <color indexed="22"/>
      </font>
    </dxf>
    <dxf>
      <fill>
        <patternFill>
          <bgColor rgb="FFFFFF00"/>
        </patternFill>
      </fill>
    </dxf>
    <dxf>
      <fill>
        <patternFill>
          <bgColor theme="9" tint="0.59996337778862885"/>
        </patternFill>
      </fill>
    </dxf>
    <dxf>
      <fill>
        <patternFill>
          <bgColor theme="0" tint="-0.24994659260841701"/>
        </patternFill>
      </fill>
    </dxf>
    <dxf>
      <fill>
        <patternFill>
          <bgColor theme="0" tint="-0.24994659260841701"/>
        </patternFill>
      </fill>
    </dxf>
    <dxf>
      <fill>
        <patternFill>
          <bgColor rgb="FFFFFF00"/>
        </patternFill>
      </fill>
    </dxf>
    <dxf>
      <fill>
        <patternFill>
          <bgColor theme="9" tint="0.59996337778862885"/>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99"/>
        </patternFill>
      </fill>
    </dxf>
    <dxf>
      <fill>
        <patternFill>
          <bgColor rgb="FFFFFF00"/>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theme="9" tint="0.59996337778862885"/>
        </patternFill>
      </fill>
    </dxf>
    <dxf>
      <fill>
        <patternFill>
          <bgColor rgb="FFFFFF00"/>
        </patternFill>
      </fill>
    </dxf>
    <dxf>
      <fill>
        <patternFill>
          <bgColor theme="9" tint="0.59996337778862885"/>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FF00"/>
        </patternFill>
      </fill>
    </dxf>
    <dxf>
      <fill>
        <patternFill>
          <bgColor rgb="FFFFFF00"/>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9" tint="0.39994506668294322"/>
        </patternFill>
      </fill>
    </dxf>
    <dxf>
      <fill>
        <patternFill>
          <bgColor rgb="FFFFFF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rgb="FFFFFF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34998626667073579"/>
        </patternFill>
      </fill>
    </dxf>
    <dxf>
      <fill>
        <patternFill>
          <bgColor rgb="FFFFFF00"/>
        </patternFill>
      </fill>
    </dxf>
    <dxf>
      <fill>
        <patternFill>
          <bgColor rgb="FFFFFF00"/>
        </patternFill>
      </fill>
    </dxf>
    <dxf>
      <fill>
        <patternFill>
          <bgColor theme="9" tint="0.59996337778862885"/>
        </patternFill>
      </fill>
    </dxf>
    <dxf>
      <fill>
        <patternFill>
          <bgColor theme="0" tint="-0.34998626667073579"/>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theme="9" tint="0.5999633777886288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ont>
        <strike/>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ill>
        <patternFill>
          <bgColor rgb="FFFFFF00"/>
        </patternFill>
      </fill>
    </dxf>
    <dxf>
      <fill>
        <patternFill>
          <bgColor rgb="FFFFFF00"/>
        </patternFill>
      </fill>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00B050"/>
      </font>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FF00"/>
        </patternFill>
      </fill>
    </dxf>
    <dxf>
      <fill>
        <patternFill>
          <bgColor theme="9" tint="0.59996337778862885"/>
        </patternFill>
      </fill>
    </dxf>
    <dxf>
      <font>
        <b/>
        <i val="0"/>
        <color rgb="FFC00000"/>
      </font>
    </dxf>
    <dxf>
      <font>
        <b/>
        <i val="0"/>
        <color rgb="FF00B050"/>
      </font>
    </dxf>
    <dxf>
      <fill>
        <patternFill>
          <bgColor theme="9" tint="0.59996337778862885"/>
        </patternFill>
      </fill>
    </dxf>
    <dxf>
      <fill>
        <patternFill>
          <bgColor theme="9" tint="0.59996337778862885"/>
        </patternFill>
      </fill>
    </dxf>
    <dxf>
      <fill>
        <patternFill>
          <bgColor theme="9" tint="0.59996337778862885"/>
        </patternFill>
      </fill>
    </dxf>
    <dxf>
      <font>
        <condense val="0"/>
        <extend val="0"/>
        <color auto="1"/>
      </font>
      <fill>
        <patternFill>
          <bgColor indexed="47"/>
        </patternFill>
      </fill>
    </dxf>
    <dxf>
      <font>
        <condense val="0"/>
        <extend val="0"/>
        <color auto="1"/>
      </font>
      <fill>
        <patternFill>
          <bgColor indexed="47"/>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lor theme="0" tint="-0.34998626667073579"/>
      </font>
      <fill>
        <patternFill>
          <bgColor theme="0" tint="-0.34998626667073579"/>
        </patternFill>
      </fill>
    </dxf>
    <dxf>
      <font>
        <b/>
        <i val="0"/>
        <condense val="0"/>
        <extend val="0"/>
      </font>
    </dxf>
    <dxf>
      <font>
        <b/>
        <i val="0"/>
        <condense val="0"/>
        <extend val="0"/>
      </font>
    </dxf>
    <dxf>
      <font>
        <b/>
        <i val="0"/>
        <condense val="0"/>
        <extend val="0"/>
      </font>
    </dxf>
    <dxf>
      <font>
        <b/>
        <i val="0"/>
        <condense val="0"/>
        <extend val="0"/>
      </font>
    </dxf>
    <dxf>
      <font>
        <color theme="0" tint="-0.34998626667073579"/>
      </font>
      <fill>
        <patternFill>
          <bgColor theme="0" tint="-0.34998626667073579"/>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ill>
        <patternFill>
          <bgColor indexed="47"/>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FFCC"/>
        </patternFill>
      </fill>
    </dxf>
    <dxf>
      <fill>
        <patternFill>
          <bgColor rgb="FFFFCC99"/>
        </patternFill>
      </fill>
    </dxf>
    <dxf>
      <font>
        <color rgb="FF00B050"/>
      </font>
      <fill>
        <patternFill>
          <bgColor rgb="FF00B050"/>
        </patternFill>
      </fill>
    </dxf>
    <dxf>
      <font>
        <color rgb="FFFFFF00"/>
      </font>
      <fill>
        <patternFill>
          <bgColor rgb="FFFFFF00"/>
        </patternFill>
      </fill>
    </dxf>
    <dxf>
      <font>
        <color theme="9" tint="0.39994506668294322"/>
      </font>
      <fill>
        <patternFill>
          <bgColor theme="9" tint="0.39994506668294322"/>
        </patternFill>
      </fill>
    </dxf>
    <dxf>
      <font>
        <color rgb="FFFF0000"/>
      </font>
      <fill>
        <patternFill>
          <bgColor rgb="FFFF0000"/>
        </patternFill>
      </fill>
    </dxf>
    <dxf>
      <font>
        <color rgb="FF00B050"/>
      </font>
      <fill>
        <patternFill>
          <bgColor rgb="FF00B050"/>
        </patternFill>
      </fill>
    </dxf>
    <dxf>
      <font>
        <color rgb="FFFFFF00"/>
      </font>
      <fill>
        <patternFill>
          <bgColor rgb="FFFFFF00"/>
        </patternFill>
      </fill>
    </dxf>
    <dxf>
      <font>
        <color theme="9" tint="0.39994506668294322"/>
      </font>
      <fill>
        <patternFill>
          <bgColor theme="9" tint="0.39994506668294322"/>
        </patternFill>
      </fill>
    </dxf>
    <dxf>
      <font>
        <color rgb="FFFF0000"/>
      </font>
      <fill>
        <patternFill>
          <bgColor rgb="FFFF0000"/>
        </patternFill>
      </fill>
    </dxf>
    <dxf>
      <font>
        <color rgb="FF00B050"/>
      </font>
      <fill>
        <patternFill>
          <bgColor rgb="FF00B050"/>
        </patternFill>
      </fill>
    </dxf>
    <dxf>
      <font>
        <color rgb="FFFFFF00"/>
      </font>
      <fill>
        <patternFill>
          <bgColor rgb="FFFFFF00"/>
        </patternFill>
      </fill>
    </dxf>
    <dxf>
      <font>
        <color theme="9" tint="0.39994506668294322"/>
      </font>
      <fill>
        <patternFill>
          <bgColor theme="9" tint="0.39994506668294322"/>
        </patternFill>
      </fill>
    </dxf>
    <dxf>
      <font>
        <color rgb="FFFF0000"/>
      </font>
      <fill>
        <patternFill>
          <bgColor rgb="FFFF0000"/>
        </patternFill>
      </fill>
    </dxf>
    <dxf>
      <font>
        <color rgb="FF00B050"/>
      </font>
      <fill>
        <patternFill>
          <bgColor rgb="FF00B050"/>
        </patternFill>
      </fill>
    </dxf>
    <dxf>
      <font>
        <color rgb="FFFFFF00"/>
      </font>
      <fill>
        <patternFill>
          <bgColor rgb="FFFFFF00"/>
        </patternFill>
      </fill>
    </dxf>
    <dxf>
      <font>
        <color theme="9" tint="0.39994506668294322"/>
      </font>
      <fill>
        <patternFill>
          <bgColor theme="9" tint="0.39994506668294322"/>
        </patternFill>
      </fill>
    </dxf>
    <dxf>
      <font>
        <color rgb="FFFF0000"/>
      </font>
      <fill>
        <patternFill>
          <bgColor rgb="FFFF0000"/>
        </patternFill>
      </fill>
    </dxf>
    <dxf>
      <fill>
        <patternFill>
          <bgColor theme="6" tint="0.79998168889431442"/>
        </patternFill>
      </fill>
    </dxf>
    <dxf>
      <fill>
        <patternFill>
          <bgColor theme="6" tint="0.7999816888943144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ont>
        <b/>
        <i val="0"/>
        <color rgb="FF00B050"/>
      </font>
      <fill>
        <patternFill>
          <bgColor theme="0"/>
        </patternFill>
      </fill>
    </dxf>
    <dxf>
      <font>
        <b/>
        <i val="0"/>
        <color rgb="FF006600"/>
      </font>
    </dxf>
    <dxf>
      <font>
        <b/>
        <i val="0"/>
        <color rgb="FFC00000"/>
      </font>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9" defaultPivotStyle="PivotStyleLight16"/>
  <colors>
    <mruColors>
      <color rgb="FFFFFFFF"/>
      <color rgb="FF0033CC"/>
      <color rgb="FFFFFF99"/>
      <color rgb="FFC0C0C0"/>
      <color rgb="FFFFCC99"/>
      <color rgb="FFFF9900"/>
      <color rgb="FFD8E4BC"/>
      <color rgb="FFFCD5B4"/>
      <color rgb="FFFABF8F"/>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LOPA fTF Curve</a:t>
            </a:r>
          </a:p>
        </c:rich>
      </c:tx>
      <c:overlay val="0"/>
      <c:spPr>
        <a:noFill/>
        <a:ln w="25400">
          <a:noFill/>
        </a:ln>
      </c:spPr>
    </c:title>
    <c:autoTitleDeleted val="0"/>
    <c:plotArea>
      <c:layout/>
      <c:scatterChart>
        <c:scatterStyle val="smoothMarker"/>
        <c:varyColors val="0"/>
        <c:ser>
          <c:idx val="1"/>
          <c:order val="0"/>
          <c:tx>
            <c:v>Actual</c:v>
          </c:tx>
          <c:spPr>
            <a:ln w="25400">
              <a:solidFill>
                <a:srgbClr val="0000FF"/>
              </a:solidFill>
              <a:prstDash val="solid"/>
            </a:ln>
          </c:spPr>
          <c:marker>
            <c:symbol val="none"/>
          </c:marker>
          <c:xVal>
            <c:numLit>
              <c:formatCode>General</c:formatCode>
              <c:ptCount val="1"/>
              <c:pt idx="0">
                <c:v>1</c:v>
              </c:pt>
            </c:numLit>
          </c:xVal>
          <c:yVal>
            <c:numLit>
              <c:formatCode>General</c:formatCode>
              <c:ptCount val="1"/>
              <c:pt idx="0">
                <c:v>1</c:v>
              </c:pt>
            </c:numLit>
          </c:yVal>
          <c:smooth val="1"/>
          <c:extLst>
            <c:ext xmlns:c16="http://schemas.microsoft.com/office/drawing/2014/chart" uri="{C3380CC4-5D6E-409C-BE32-E72D297353CC}">
              <c16:uniqueId val="{00000000-7830-4006-8199-84FD36279209}"/>
            </c:ext>
          </c:extLst>
        </c:ser>
        <c:ser>
          <c:idx val="2"/>
          <c:order val="1"/>
          <c:tx>
            <c:v>Bus. Elevation Criteria</c:v>
          </c:tx>
          <c:spPr>
            <a:ln w="38100">
              <a:solidFill>
                <a:srgbClr val="339966"/>
              </a:solidFill>
              <a:prstDash val="solid"/>
            </a:ln>
          </c:spPr>
          <c:marker>
            <c:symbol val="none"/>
          </c:marker>
          <c:xVal>
            <c:numLit>
              <c:formatCode>General</c:formatCode>
              <c:ptCount val="1"/>
              <c:pt idx="0">
                <c:v>1</c:v>
              </c:pt>
            </c:numLit>
          </c:xVal>
          <c:yVal>
            <c:numLit>
              <c:formatCode>General</c:formatCode>
              <c:ptCount val="1"/>
              <c:pt idx="0">
                <c:v>1</c:v>
              </c:pt>
            </c:numLit>
          </c:yVal>
          <c:smooth val="1"/>
          <c:extLst>
            <c:ext xmlns:c16="http://schemas.microsoft.com/office/drawing/2014/chart" uri="{C3380CC4-5D6E-409C-BE32-E72D297353CC}">
              <c16:uniqueId val="{00000001-7830-4006-8199-84FD36279209}"/>
            </c:ext>
          </c:extLst>
        </c:ser>
        <c:ser>
          <c:idx val="0"/>
          <c:order val="2"/>
          <c:tx>
            <c:v>Corp. Elevation Criteria</c:v>
          </c:tx>
          <c:spPr>
            <a:ln w="38100">
              <a:solidFill>
                <a:srgbClr val="FF0000"/>
              </a:solidFill>
              <a:prstDash val="solid"/>
            </a:ln>
          </c:spPr>
          <c:marker>
            <c:symbol val="none"/>
          </c:marker>
          <c:xVal>
            <c:numLit>
              <c:formatCode>General</c:formatCode>
              <c:ptCount val="1"/>
              <c:pt idx="0">
                <c:v>1</c:v>
              </c:pt>
            </c:numLit>
          </c:xVal>
          <c:yVal>
            <c:numLit>
              <c:formatCode>General</c:formatCode>
              <c:ptCount val="1"/>
              <c:pt idx="0">
                <c:v>1</c:v>
              </c:pt>
            </c:numLit>
          </c:yVal>
          <c:smooth val="1"/>
          <c:extLst>
            <c:ext xmlns:c16="http://schemas.microsoft.com/office/drawing/2014/chart" uri="{C3380CC4-5D6E-409C-BE32-E72D297353CC}">
              <c16:uniqueId val="{00000002-7830-4006-8199-84FD36279209}"/>
            </c:ext>
          </c:extLst>
        </c:ser>
        <c:dLbls>
          <c:showLegendKey val="0"/>
          <c:showVal val="0"/>
          <c:showCatName val="0"/>
          <c:showSerName val="0"/>
          <c:showPercent val="0"/>
          <c:showBubbleSize val="0"/>
        </c:dLbls>
        <c:axId val="125278552"/>
        <c:axId val="191124184"/>
      </c:scatterChart>
      <c:valAx>
        <c:axId val="125278552"/>
        <c:scaling>
          <c:orientation val="minMax"/>
          <c:max val="10"/>
          <c:min val="5"/>
        </c:scaling>
        <c:delete val="0"/>
        <c:axPos val="b"/>
        <c:title>
          <c:tx>
            <c:rich>
              <a:bodyPr/>
              <a:lstStyle/>
              <a:p>
                <a:pPr>
                  <a:defRPr sz="125" b="1" i="0" u="none" strike="noStrike" baseline="0">
                    <a:solidFill>
                      <a:srgbClr val="000000"/>
                    </a:solidFill>
                    <a:latin typeface="Arial"/>
                    <a:ea typeface="Arial"/>
                    <a:cs typeface="Arial"/>
                  </a:defRPr>
                </a:pPr>
                <a:r>
                  <a:rPr lang="en-US"/>
                  <a:t>LOPA TF</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91124184"/>
        <c:crossesAt val="1.0000000000003789E-8"/>
        <c:crossBetween val="midCat"/>
        <c:majorUnit val="1"/>
        <c:minorUnit val="0.4"/>
      </c:valAx>
      <c:valAx>
        <c:axId val="191124184"/>
        <c:scaling>
          <c:logBase val="10"/>
          <c:orientation val="minMax"/>
          <c:max val="10"/>
          <c:min val="1.0000000000003789E-8"/>
        </c:scaling>
        <c:delete val="0"/>
        <c:axPos val="l"/>
        <c:title>
          <c:tx>
            <c:rich>
              <a:bodyPr/>
              <a:lstStyle/>
              <a:p>
                <a:pPr>
                  <a:defRPr sz="125" b="1" i="0" u="none" strike="noStrike" baseline="0">
                    <a:solidFill>
                      <a:srgbClr val="000000"/>
                    </a:solidFill>
                    <a:latin typeface="Arial"/>
                    <a:ea typeface="Arial"/>
                    <a:cs typeface="Arial"/>
                  </a:defRPr>
                </a:pPr>
                <a:r>
                  <a:rPr lang="en-US"/>
                  <a:t>Frequency</a:t>
                </a:r>
              </a:p>
            </c:rich>
          </c:tx>
          <c:overlay val="0"/>
          <c:spPr>
            <a:noFill/>
            <a:ln w="25400">
              <a:noFill/>
            </a:ln>
          </c:spPr>
        </c:title>
        <c:numFmt formatCode="0\.00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25278552"/>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1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0" i="0" u="none" strike="noStrike" baseline="0">
                <a:solidFill>
                  <a:srgbClr val="000000"/>
                </a:solidFill>
                <a:latin typeface="Arial"/>
                <a:ea typeface="Arial"/>
                <a:cs typeface="Arial"/>
              </a:defRPr>
            </a:pPr>
            <a:r>
              <a:rPr lang="en-US" sz="1200" b="1" i="0" u="none" strike="noStrike" baseline="0">
                <a:solidFill>
                  <a:srgbClr val="000000"/>
                </a:solidFill>
                <a:latin typeface="Arial Narrow"/>
              </a:rPr>
              <a:t>Reaction Heat Gain or Cooling Loss versus Temperature</a:t>
            </a:r>
            <a:endParaRPr lang="en-US" sz="1475" b="1" i="0" u="none" strike="noStrike" baseline="0">
              <a:solidFill>
                <a:srgbClr val="000000"/>
              </a:solidFill>
              <a:latin typeface="Arial Narrow"/>
            </a:endParaRPr>
          </a:p>
          <a:p>
            <a:pPr>
              <a:defRPr sz="1125" b="0" i="0" u="none" strike="noStrike" baseline="0">
                <a:solidFill>
                  <a:srgbClr val="000000"/>
                </a:solidFill>
                <a:latin typeface="Arial"/>
                <a:ea typeface="Arial"/>
                <a:cs typeface="Arial"/>
              </a:defRPr>
            </a:pPr>
            <a:r>
              <a:rPr lang="en-US" sz="1100" b="1" i="1" u="none" strike="noStrike" baseline="0">
                <a:solidFill>
                  <a:srgbClr val="000000"/>
                </a:solidFill>
                <a:latin typeface="Arial Narrow"/>
              </a:rPr>
              <a:t>(Exothermic Reaction Assuming First Order Kinetics)</a:t>
            </a:r>
          </a:p>
        </c:rich>
      </c:tx>
      <c:layout>
        <c:manualLayout>
          <c:xMode val="edge"/>
          <c:yMode val="edge"/>
          <c:x val="0.21519006326740844"/>
          <c:y val="1.2345679012345723E-2"/>
        </c:manualLayout>
      </c:layout>
      <c:overlay val="0"/>
      <c:spPr>
        <a:noFill/>
        <a:ln w="25400">
          <a:noFill/>
        </a:ln>
      </c:spPr>
    </c:title>
    <c:autoTitleDeleted val="0"/>
    <c:plotArea>
      <c:layout>
        <c:manualLayout>
          <c:layoutTarget val="inner"/>
          <c:xMode val="edge"/>
          <c:yMode val="edge"/>
          <c:x val="0.13253566497929131"/>
          <c:y val="0.13154116248798595"/>
          <c:w val="0.80310301755323055"/>
          <c:h val="0.62458483570272039"/>
        </c:manualLayout>
      </c:layout>
      <c:scatterChart>
        <c:scatterStyle val="lineMarker"/>
        <c:varyColors val="0"/>
        <c:ser>
          <c:idx val="0"/>
          <c:order val="0"/>
          <c:tx>
            <c:strRef>
              <c:f>'Reaction Input'!$AY$5</c:f>
              <c:strCache>
                <c:ptCount val="1"/>
                <c:pt idx="0">
                  <c:v>Adiabatic Reaction Heat Rate</c:v>
                </c:pt>
              </c:strCache>
            </c:strRef>
          </c:tx>
          <c:spPr>
            <a:ln w="25400">
              <a:solidFill>
                <a:srgbClr val="333333"/>
              </a:solidFill>
              <a:prstDash val="sysDash"/>
            </a:ln>
          </c:spPr>
          <c:marker>
            <c:symbol val="none"/>
          </c:marker>
          <c:xVal>
            <c:numRef>
              <c:f>'Reaction Input'!$AX$8:$AX$22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Input'!$AY$8:$AY$22</c:f>
              <c:numCache>
                <c:formatCode>0.00E+00</c:formatCode>
                <c:ptCount val="15"/>
                <c:pt idx="0">
                  <c:v>1E-3</c:v>
                </c:pt>
                <c:pt idx="1">
                  <c:v>1E-3</c:v>
                </c:pt>
                <c:pt idx="2">
                  <c:v>1E-3</c:v>
                </c:pt>
                <c:pt idx="3">
                  <c:v>1E-3</c:v>
                </c:pt>
                <c:pt idx="4">
                  <c:v>1E-3</c:v>
                </c:pt>
                <c:pt idx="5">
                  <c:v>1E-3</c:v>
                </c:pt>
                <c:pt idx="6">
                  <c:v>1E-3</c:v>
                </c:pt>
                <c:pt idx="7">
                  <c:v>1E-3</c:v>
                </c:pt>
                <c:pt idx="8">
                  <c:v>1E-3</c:v>
                </c:pt>
                <c:pt idx="9">
                  <c:v>1E-3</c:v>
                </c:pt>
                <c:pt idx="10">
                  <c:v>1E-3</c:v>
                </c:pt>
                <c:pt idx="11">
                  <c:v>1E-3</c:v>
                </c:pt>
                <c:pt idx="12">
                  <c:v>1E-3</c:v>
                </c:pt>
                <c:pt idx="13">
                  <c:v>1E-3</c:v>
                </c:pt>
                <c:pt idx="14">
                  <c:v>1E-3</c:v>
                </c:pt>
              </c:numCache>
            </c:numRef>
          </c:yVal>
          <c:smooth val="0"/>
          <c:extLst>
            <c:ext xmlns:c16="http://schemas.microsoft.com/office/drawing/2014/chart" uri="{C3380CC4-5D6E-409C-BE32-E72D297353CC}">
              <c16:uniqueId val="{00000000-3105-48D5-A6FE-E7102C1D5B86}"/>
            </c:ext>
          </c:extLst>
        </c:ser>
        <c:ser>
          <c:idx val="2"/>
          <c:order val="1"/>
          <c:tx>
            <c:strRef>
              <c:f>'Reaction Input'!$BB$5</c:f>
              <c:strCache>
                <c:ptCount val="1"/>
                <c:pt idx="0">
                  <c:v>Convective Heat Loss Rate</c:v>
                </c:pt>
              </c:strCache>
            </c:strRef>
          </c:tx>
          <c:spPr>
            <a:ln w="38100">
              <a:solidFill>
                <a:srgbClr val="FFFF00"/>
              </a:solidFill>
              <a:prstDash val="sysDash"/>
            </a:ln>
          </c:spPr>
          <c:marker>
            <c:symbol val="none"/>
          </c:marker>
          <c:xVal>
            <c:numRef>
              <c:f>'Reaction Input'!$AX$8:$AX$22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Input'!$BB$8:$BB$22</c:f>
              <c:numCache>
                <c:formatCode>0.00E+00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1"/>
          <c:extLst>
            <c:ext xmlns:c16="http://schemas.microsoft.com/office/drawing/2014/chart" uri="{C3380CC4-5D6E-409C-BE32-E72D297353CC}">
              <c16:uniqueId val="{00000001-3105-48D5-A6FE-E7102C1D5B86}"/>
            </c:ext>
          </c:extLst>
        </c:ser>
        <c:ser>
          <c:idx val="3"/>
          <c:order val="2"/>
          <c:tx>
            <c:strRef>
              <c:f>'Reaction Input'!$BC$5</c:f>
              <c:strCache>
                <c:ptCount val="1"/>
                <c:pt idx="0">
                  <c:v>Maximum Cooling Capacity</c:v>
                </c:pt>
              </c:strCache>
            </c:strRef>
          </c:tx>
          <c:spPr>
            <a:ln w="38100">
              <a:solidFill>
                <a:srgbClr val="00FF00"/>
              </a:solidFill>
              <a:prstDash val="sysDash"/>
            </a:ln>
          </c:spPr>
          <c:marker>
            <c:symbol val="none"/>
          </c:marker>
          <c:xVal>
            <c:numRef>
              <c:f>'Reaction Input'!$AX$8:$AX$22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Input'!$BC$8:$BC$22</c:f>
              <c:numCache>
                <c:formatCode>0.00E+00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1"/>
          <c:extLst>
            <c:ext xmlns:c16="http://schemas.microsoft.com/office/drawing/2014/chart" uri="{C3380CC4-5D6E-409C-BE32-E72D297353CC}">
              <c16:uniqueId val="{00000002-3105-48D5-A6FE-E7102C1D5B86}"/>
            </c:ext>
          </c:extLst>
        </c:ser>
        <c:ser>
          <c:idx val="7"/>
          <c:order val="3"/>
          <c:tx>
            <c:strRef>
              <c:f>'Reaction Input'!$BF$5</c:f>
              <c:strCache>
                <c:ptCount val="1"/>
                <c:pt idx="0">
                  <c:v>Reaction-Thermal Initiated</c:v>
                </c:pt>
              </c:strCache>
            </c:strRef>
          </c:tx>
          <c:spPr>
            <a:ln w="38100">
              <a:solidFill>
                <a:srgbClr val="000080"/>
              </a:solidFill>
              <a:prstDash val="solid"/>
            </a:ln>
          </c:spPr>
          <c:marker>
            <c:symbol val="none"/>
          </c:marker>
          <c:xVal>
            <c:numRef>
              <c:f>'Reaction Input'!$BE$8:$BE$22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Input'!$BF$8:$BF$22</c:f>
              <c:numCache>
                <c:formatCode>0.00E+00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1"/>
          <c:extLst>
            <c:ext xmlns:c16="http://schemas.microsoft.com/office/drawing/2014/chart" uri="{C3380CC4-5D6E-409C-BE32-E72D297353CC}">
              <c16:uniqueId val="{00000003-3105-48D5-A6FE-E7102C1D5B86}"/>
            </c:ext>
          </c:extLst>
        </c:ser>
        <c:ser>
          <c:idx val="8"/>
          <c:order val="4"/>
          <c:tx>
            <c:strRef>
              <c:f>'Reaction Input'!$BJ$5</c:f>
              <c:strCache>
                <c:ptCount val="1"/>
                <c:pt idx="0">
                  <c:v>Reaction Plus Fire</c:v>
                </c:pt>
              </c:strCache>
            </c:strRef>
          </c:tx>
          <c:spPr>
            <a:ln w="38100">
              <a:solidFill>
                <a:srgbClr val="FF0000"/>
              </a:solidFill>
              <a:prstDash val="solid"/>
            </a:ln>
          </c:spPr>
          <c:marker>
            <c:symbol val="none"/>
          </c:marker>
          <c:xVal>
            <c:numRef>
              <c:f>'Reaction Input'!$BI$8:$BI$22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Input'!$BJ$8:$BJ$22</c:f>
              <c:numCache>
                <c:formatCode>0.00E+00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1"/>
          <c:extLst>
            <c:ext xmlns:c16="http://schemas.microsoft.com/office/drawing/2014/chart" uri="{C3380CC4-5D6E-409C-BE32-E72D297353CC}">
              <c16:uniqueId val="{00000004-3105-48D5-A6FE-E7102C1D5B86}"/>
            </c:ext>
          </c:extLst>
        </c:ser>
        <c:ser>
          <c:idx val="1"/>
          <c:order val="5"/>
          <c:tx>
            <c:strRef>
              <c:f>'Reaction Input'!$BM$5</c:f>
              <c:strCache>
                <c:ptCount val="1"/>
                <c:pt idx="0">
                  <c:v>Reaction with Catalyst</c:v>
                </c:pt>
              </c:strCache>
            </c:strRef>
          </c:tx>
          <c:spPr>
            <a:ln w="38100">
              <a:solidFill>
                <a:srgbClr val="FF9900"/>
              </a:solidFill>
              <a:prstDash val="solid"/>
            </a:ln>
          </c:spPr>
          <c:marker>
            <c:symbol val="none"/>
          </c:marker>
          <c:xVal>
            <c:numRef>
              <c:f>'Reaction Input'!$BL$8:$BL$22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Input'!$BM$8:$BM$22</c:f>
              <c:numCache>
                <c:formatCode>0.00E+00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1"/>
          <c:extLst>
            <c:ext xmlns:c16="http://schemas.microsoft.com/office/drawing/2014/chart" uri="{C3380CC4-5D6E-409C-BE32-E72D297353CC}">
              <c16:uniqueId val="{00000005-3105-48D5-A6FE-E7102C1D5B86}"/>
            </c:ext>
          </c:extLst>
        </c:ser>
        <c:ser>
          <c:idx val="4"/>
          <c:order val="6"/>
          <c:tx>
            <c:strRef>
              <c:f>'Reaction Input'!$BP$5</c:f>
              <c:strCache>
                <c:ptCount val="1"/>
                <c:pt idx="0">
                  <c:v>Reaction with Pooling</c:v>
                </c:pt>
              </c:strCache>
            </c:strRef>
          </c:tx>
          <c:spPr>
            <a:ln w="38100">
              <a:solidFill>
                <a:srgbClr val="FF00FF"/>
              </a:solidFill>
              <a:prstDash val="solid"/>
            </a:ln>
          </c:spPr>
          <c:marker>
            <c:symbol val="none"/>
          </c:marker>
          <c:xVal>
            <c:numRef>
              <c:f>'Reaction Input'!$BO$8:$BO$22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Input'!$BP$8:$BP$22</c:f>
              <c:numCache>
                <c:formatCode>0.00E+00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1"/>
          <c:extLst>
            <c:ext xmlns:c16="http://schemas.microsoft.com/office/drawing/2014/chart" uri="{C3380CC4-5D6E-409C-BE32-E72D297353CC}">
              <c16:uniqueId val="{00000006-3105-48D5-A6FE-E7102C1D5B86}"/>
            </c:ext>
          </c:extLst>
        </c:ser>
        <c:ser>
          <c:idx val="5"/>
          <c:order val="7"/>
          <c:tx>
            <c:strRef>
              <c:f>'Reaction Input'!$BS$5</c:f>
              <c:strCache>
                <c:ptCount val="1"/>
                <c:pt idx="0">
                  <c:v>Reaction with Mis-Loading</c:v>
                </c:pt>
              </c:strCache>
            </c:strRef>
          </c:tx>
          <c:spPr>
            <a:ln w="38100">
              <a:solidFill>
                <a:srgbClr val="008080"/>
              </a:solidFill>
              <a:prstDash val="solid"/>
            </a:ln>
          </c:spPr>
          <c:marker>
            <c:symbol val="none"/>
          </c:marker>
          <c:xVal>
            <c:numRef>
              <c:f>'Reaction Input'!$BR$8:$BR$22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Input'!$BS$8:$BS$22</c:f>
              <c:numCache>
                <c:formatCode>0.00E+00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1"/>
          <c:extLst>
            <c:ext xmlns:c16="http://schemas.microsoft.com/office/drawing/2014/chart" uri="{C3380CC4-5D6E-409C-BE32-E72D297353CC}">
              <c16:uniqueId val="{00000007-3105-48D5-A6FE-E7102C1D5B86}"/>
            </c:ext>
          </c:extLst>
        </c:ser>
        <c:dLbls>
          <c:showLegendKey val="0"/>
          <c:showVal val="0"/>
          <c:showCatName val="0"/>
          <c:showSerName val="0"/>
          <c:showPercent val="0"/>
          <c:showBubbleSize val="0"/>
        </c:dLbls>
        <c:axId val="475730840"/>
        <c:axId val="475731232"/>
      </c:scatterChart>
      <c:valAx>
        <c:axId val="475730840"/>
        <c:scaling>
          <c:orientation val="minMax"/>
        </c:scaling>
        <c:delete val="0"/>
        <c:axPos val="b"/>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900" b="1" i="0" u="none" strike="noStrike" baseline="0">
                    <a:solidFill>
                      <a:srgbClr val="000000"/>
                    </a:solidFill>
                    <a:latin typeface="Arial Narrow"/>
                  </a:rPr>
                  <a:t>Temperature (</a:t>
                </a:r>
                <a:r>
                  <a:rPr lang="en-US" sz="900" b="1" i="0" u="none" strike="noStrike" baseline="30000">
                    <a:solidFill>
                      <a:srgbClr val="000000"/>
                    </a:solidFill>
                    <a:latin typeface="Arial Narrow"/>
                  </a:rPr>
                  <a:t>o</a:t>
                </a:r>
                <a:r>
                  <a:rPr lang="en-US" sz="900" b="1" i="0" u="none" strike="noStrike" baseline="0">
                    <a:solidFill>
                      <a:srgbClr val="000000"/>
                    </a:solidFill>
                    <a:latin typeface="Arial Narrow"/>
                  </a:rPr>
                  <a:t>C)</a:t>
                </a:r>
              </a:p>
            </c:rich>
          </c:tx>
          <c:layout>
            <c:manualLayout>
              <c:xMode val="edge"/>
              <c:yMode val="edge"/>
              <c:x val="0.4502716274389752"/>
              <c:y val="0.79506354298305248"/>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Narrow"/>
                <a:ea typeface="Arial Narrow"/>
                <a:cs typeface="Arial Narrow"/>
              </a:defRPr>
            </a:pPr>
            <a:endParaRPr lang="en-US"/>
          </a:p>
        </c:txPr>
        <c:crossAx val="475731232"/>
        <c:crossesAt val="1.0000000000009551E-20"/>
        <c:crossBetween val="midCat"/>
      </c:valAx>
      <c:valAx>
        <c:axId val="475731232"/>
        <c:scaling>
          <c:logBase val="10"/>
          <c:orientation val="minMax"/>
          <c:min val="1.0000000000000221E-4"/>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Narrow"/>
                    <a:ea typeface="Arial Narrow"/>
                    <a:cs typeface="Arial Narrow"/>
                  </a:defRPr>
                </a:pPr>
                <a:r>
                  <a:rPr lang="en-US"/>
                  <a:t>Heat Rate (cal/gm min)</a:t>
                </a:r>
              </a:p>
            </c:rich>
          </c:tx>
          <c:layout>
            <c:manualLayout>
              <c:xMode val="edge"/>
              <c:yMode val="edge"/>
              <c:x val="3.2549728752260441E-2"/>
              <c:y val="0.29876620977933332"/>
            </c:manualLayout>
          </c:layout>
          <c:overlay val="0"/>
          <c:spPr>
            <a:noFill/>
            <a:ln w="25400">
              <a:noFill/>
            </a:ln>
          </c:spPr>
        </c:title>
        <c:numFmt formatCode="General" sourceLinked="0"/>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Narrow"/>
                <a:ea typeface="Arial Narrow"/>
                <a:cs typeface="Arial Narrow"/>
              </a:defRPr>
            </a:pPr>
            <a:endParaRPr lang="en-US"/>
          </a:p>
        </c:txPr>
        <c:crossAx val="475730840"/>
        <c:crossesAt val="-300"/>
        <c:crossBetween val="midCat"/>
      </c:valAx>
      <c:spPr>
        <a:solidFill>
          <a:srgbClr val="C0C0C0"/>
        </a:solidFill>
        <a:ln w="38100">
          <a:solidFill>
            <a:srgbClr val="808080"/>
          </a:solidFill>
          <a:prstDash val="solid"/>
        </a:ln>
      </c:spPr>
    </c:plotArea>
    <c:legend>
      <c:legendPos val="r"/>
      <c:layout>
        <c:manualLayout>
          <c:xMode val="edge"/>
          <c:yMode val="edge"/>
          <c:x val="9.4668332128104767E-3"/>
          <c:y val="0.86599048559390646"/>
          <c:w val="0.72736835185060456"/>
          <c:h val="0.12494390090656179"/>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al"/>
                <a:ea typeface="Arial"/>
                <a:cs typeface="Arial"/>
              </a:defRPr>
            </a:pPr>
            <a:r>
              <a:rPr lang="en-US" sz="1425" b="1" i="0" u="none" strike="noStrike" baseline="0">
                <a:solidFill>
                  <a:srgbClr val="000000"/>
                </a:solidFill>
                <a:latin typeface="Arial Narrow"/>
              </a:rPr>
              <a:t>Reaction Pressure versus Temperature</a:t>
            </a:r>
          </a:p>
          <a:p>
            <a:pPr>
              <a:defRPr sz="1150" b="0" i="0" u="none" strike="noStrike" baseline="0">
                <a:solidFill>
                  <a:srgbClr val="000000"/>
                </a:solidFill>
                <a:latin typeface="Arial"/>
                <a:ea typeface="Arial"/>
                <a:cs typeface="Arial"/>
              </a:defRPr>
            </a:pPr>
            <a:r>
              <a:rPr lang="en-US" sz="1125" b="1" i="1" u="none" strike="noStrike" baseline="0">
                <a:solidFill>
                  <a:srgbClr val="000000"/>
                </a:solidFill>
                <a:latin typeface="Arial Narrow"/>
              </a:rPr>
              <a:t>(Adiabatic Exothermic Reaction Assuming First Order Kinetics)</a:t>
            </a:r>
          </a:p>
        </c:rich>
      </c:tx>
      <c:layout>
        <c:manualLayout>
          <c:xMode val="edge"/>
          <c:yMode val="edge"/>
          <c:x val="0.20540578373650994"/>
          <c:y val="1.2755102040816327E-2"/>
        </c:manualLayout>
      </c:layout>
      <c:overlay val="0"/>
      <c:spPr>
        <a:noFill/>
        <a:ln w="25400">
          <a:noFill/>
        </a:ln>
      </c:spPr>
    </c:title>
    <c:autoTitleDeleted val="0"/>
    <c:plotArea>
      <c:layout>
        <c:manualLayout>
          <c:layoutTarget val="inner"/>
          <c:xMode val="edge"/>
          <c:yMode val="edge"/>
          <c:x val="0.13677453163893619"/>
          <c:y val="0.15579357351511094"/>
          <c:w val="0.79549325298051365"/>
          <c:h val="0.56975935456963633"/>
        </c:manualLayout>
      </c:layout>
      <c:scatterChart>
        <c:scatterStyle val="lineMarker"/>
        <c:varyColors val="0"/>
        <c:ser>
          <c:idx val="1"/>
          <c:order val="0"/>
          <c:tx>
            <c:strRef>
              <c:f>'Reaction Input'!$AZ$5</c:f>
              <c:strCache>
                <c:ptCount val="1"/>
                <c:pt idx="0">
                  <c:v>Pressure - Adiabatic Rx</c:v>
                </c:pt>
              </c:strCache>
            </c:strRef>
          </c:tx>
          <c:spPr>
            <a:ln w="25400">
              <a:solidFill>
                <a:srgbClr val="808080"/>
              </a:solidFill>
              <a:prstDash val="sysDash"/>
            </a:ln>
          </c:spPr>
          <c:marker>
            <c:symbol val="none"/>
          </c:marker>
          <c:xVal>
            <c:numRef>
              <c:f>'Reaction Input'!$AX$8:$AX$22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Input'!$AZ$8:$AZ$22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1"/>
          <c:extLst>
            <c:ext xmlns:c16="http://schemas.microsoft.com/office/drawing/2014/chart" uri="{C3380CC4-5D6E-409C-BE32-E72D297353CC}">
              <c16:uniqueId val="{00000000-8BE5-48D7-B1CE-EEAEC80FE0CA}"/>
            </c:ext>
          </c:extLst>
        </c:ser>
        <c:ser>
          <c:idx val="0"/>
          <c:order val="1"/>
          <c:tx>
            <c:strRef>
              <c:f>'Reaction Input'!$BA$5</c:f>
              <c:strCache>
                <c:ptCount val="1"/>
                <c:pt idx="0">
                  <c:v>Vapor Pressure</c:v>
                </c:pt>
              </c:strCache>
            </c:strRef>
          </c:tx>
          <c:spPr>
            <a:ln w="38100">
              <a:solidFill>
                <a:srgbClr val="800000"/>
              </a:solidFill>
              <a:prstDash val="sysDash"/>
            </a:ln>
          </c:spPr>
          <c:marker>
            <c:symbol val="none"/>
          </c:marker>
          <c:xVal>
            <c:numRef>
              <c:f>'Reaction Input'!$AX$8:$AX$22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Input'!$BA$8:$BA$22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1"/>
          <c:extLst>
            <c:ext xmlns:c16="http://schemas.microsoft.com/office/drawing/2014/chart" uri="{C3380CC4-5D6E-409C-BE32-E72D297353CC}">
              <c16:uniqueId val="{00000001-8BE5-48D7-B1CE-EEAEC80FE0CA}"/>
            </c:ext>
          </c:extLst>
        </c:ser>
        <c:ser>
          <c:idx val="2"/>
          <c:order val="2"/>
          <c:tx>
            <c:strRef>
              <c:f>'Reaction Input'!$BV$5</c:f>
              <c:strCache>
                <c:ptCount val="1"/>
                <c:pt idx="0">
                  <c:v>Relief Set Point</c:v>
                </c:pt>
              </c:strCache>
            </c:strRef>
          </c:tx>
          <c:spPr>
            <a:ln w="28575">
              <a:noFill/>
            </a:ln>
          </c:spPr>
          <c:marker>
            <c:symbol val="triangle"/>
            <c:size val="7"/>
            <c:spPr>
              <a:solidFill>
                <a:srgbClr val="FFFF00"/>
              </a:solidFill>
              <a:ln>
                <a:solidFill>
                  <a:srgbClr val="FFFF00"/>
                </a:solidFill>
                <a:prstDash val="solid"/>
              </a:ln>
            </c:spPr>
          </c:marker>
          <c:xVal>
            <c:numRef>
              <c:f>'Reaction Input'!$AX$23:$AX$23</c:f>
              <c:numCache>
                <c:formatCode>General</c:formatCode>
                <c:ptCount val="1"/>
                <c:pt idx="0">
                  <c:v>#N/A</c:v>
                </c:pt>
              </c:numCache>
            </c:numRef>
          </c:xVal>
          <c:yVal>
            <c:numRef>
              <c:f>'Reaction Input'!$BV$23:$BV$23</c:f>
              <c:numCache>
                <c:formatCode>General</c:formatCode>
                <c:ptCount val="1"/>
                <c:pt idx="0">
                  <c:v>1</c:v>
                </c:pt>
              </c:numCache>
            </c:numRef>
          </c:yVal>
          <c:smooth val="0"/>
          <c:extLst>
            <c:ext xmlns:c16="http://schemas.microsoft.com/office/drawing/2014/chart" uri="{C3380CC4-5D6E-409C-BE32-E72D297353CC}">
              <c16:uniqueId val="{00000002-8BE5-48D7-B1CE-EEAEC80FE0CA}"/>
            </c:ext>
          </c:extLst>
        </c:ser>
        <c:ser>
          <c:idx val="3"/>
          <c:order val="3"/>
          <c:tx>
            <c:strRef>
              <c:f>'Reaction Input'!$BG$5</c:f>
              <c:strCache>
                <c:ptCount val="1"/>
                <c:pt idx="0">
                  <c:v>Pressure-Rx Thermal Initiated</c:v>
                </c:pt>
              </c:strCache>
            </c:strRef>
          </c:tx>
          <c:spPr>
            <a:ln w="38100">
              <a:solidFill>
                <a:srgbClr val="000080"/>
              </a:solidFill>
              <a:prstDash val="solid"/>
            </a:ln>
          </c:spPr>
          <c:marker>
            <c:symbol val="none"/>
          </c:marker>
          <c:xVal>
            <c:numRef>
              <c:f>'Reaction Input'!$BE$8:$BE$22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Input'!$BG$8:$BG$22</c:f>
              <c:numCache>
                <c:formatCode>0.00E+00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3-8BE5-48D7-B1CE-EEAEC80FE0CA}"/>
            </c:ext>
          </c:extLst>
        </c:ser>
        <c:ser>
          <c:idx val="4"/>
          <c:order val="4"/>
          <c:tx>
            <c:strRef>
              <c:f>'Reaction Input'!$BK$5</c:f>
              <c:strCache>
                <c:ptCount val="1"/>
                <c:pt idx="0">
                  <c:v>Pressure-Rx with Fire</c:v>
                </c:pt>
              </c:strCache>
            </c:strRef>
          </c:tx>
          <c:spPr>
            <a:ln w="38100">
              <a:solidFill>
                <a:srgbClr val="FF0000"/>
              </a:solidFill>
              <a:prstDash val="solid"/>
            </a:ln>
          </c:spPr>
          <c:marker>
            <c:symbol val="none"/>
          </c:marker>
          <c:xVal>
            <c:numRef>
              <c:f>'Reaction Input'!$BI$8:$BI$22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Input'!$BK$8:$BK$22</c:f>
              <c:numCache>
                <c:formatCode>0.00E+00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4-8BE5-48D7-B1CE-EEAEC80FE0CA}"/>
            </c:ext>
          </c:extLst>
        </c:ser>
        <c:ser>
          <c:idx val="5"/>
          <c:order val="5"/>
          <c:tx>
            <c:strRef>
              <c:f>'Reaction Input'!$BN$5</c:f>
              <c:strCache>
                <c:ptCount val="1"/>
                <c:pt idx="0">
                  <c:v>Pressure-Rx with Catalyst</c:v>
                </c:pt>
              </c:strCache>
            </c:strRef>
          </c:tx>
          <c:spPr>
            <a:ln w="38100">
              <a:solidFill>
                <a:srgbClr val="FFCC00"/>
              </a:solidFill>
              <a:prstDash val="solid"/>
            </a:ln>
          </c:spPr>
          <c:marker>
            <c:symbol val="none"/>
          </c:marker>
          <c:xVal>
            <c:numRef>
              <c:f>'Reaction Input'!$BL$8:$BL$22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Input'!$BN$8:$BN$22</c:f>
              <c:numCache>
                <c:formatCode>0.00E+00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8BE5-48D7-B1CE-EEAEC80FE0CA}"/>
            </c:ext>
          </c:extLst>
        </c:ser>
        <c:ser>
          <c:idx val="6"/>
          <c:order val="6"/>
          <c:tx>
            <c:strRef>
              <c:f>'Reaction Input'!$BQ$5</c:f>
              <c:strCache>
                <c:ptCount val="1"/>
                <c:pt idx="0">
                  <c:v>Pressure-Rx with Pooling</c:v>
                </c:pt>
              </c:strCache>
            </c:strRef>
          </c:tx>
          <c:spPr>
            <a:ln w="38100">
              <a:solidFill>
                <a:srgbClr val="FF00FF"/>
              </a:solidFill>
              <a:prstDash val="solid"/>
            </a:ln>
          </c:spPr>
          <c:marker>
            <c:symbol val="none"/>
          </c:marker>
          <c:xVal>
            <c:numRef>
              <c:f>'Reaction Input'!$BO$8:$BO$22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Input'!$BQ$8:$BQ$22</c:f>
              <c:numCache>
                <c:formatCode>0.00E+00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8BE5-48D7-B1CE-EEAEC80FE0CA}"/>
            </c:ext>
          </c:extLst>
        </c:ser>
        <c:ser>
          <c:idx val="7"/>
          <c:order val="7"/>
          <c:tx>
            <c:strRef>
              <c:f>'Reaction Input'!$BT$5</c:f>
              <c:strCache>
                <c:ptCount val="1"/>
                <c:pt idx="0">
                  <c:v>Pressure-Rx with MisLoading</c:v>
                </c:pt>
              </c:strCache>
            </c:strRef>
          </c:tx>
          <c:spPr>
            <a:ln w="38100">
              <a:solidFill>
                <a:srgbClr val="008080"/>
              </a:solidFill>
              <a:prstDash val="solid"/>
            </a:ln>
          </c:spPr>
          <c:marker>
            <c:symbol val="none"/>
          </c:marker>
          <c:xVal>
            <c:numRef>
              <c:f>'Reaction Input'!$BR$8:$BR$22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Input'!$BT$8:$BT$22</c:f>
              <c:numCache>
                <c:formatCode>0.00E+00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7-8BE5-48D7-B1CE-EEAEC80FE0CA}"/>
            </c:ext>
          </c:extLst>
        </c:ser>
        <c:ser>
          <c:idx val="8"/>
          <c:order val="8"/>
          <c:tx>
            <c:strRef>
              <c:f>'Reaction Input'!$BU$5</c:f>
              <c:strCache>
                <c:ptCount val="1"/>
                <c:pt idx="0">
                  <c:v>Relief Set Pressure</c:v>
                </c:pt>
              </c:strCache>
            </c:strRef>
          </c:tx>
          <c:spPr>
            <a:ln w="25400">
              <a:solidFill>
                <a:srgbClr val="FFFF00"/>
              </a:solidFill>
              <a:prstDash val="lgDash"/>
            </a:ln>
          </c:spPr>
          <c:marker>
            <c:symbol val="none"/>
          </c:marker>
          <c:xVal>
            <c:numRef>
              <c:f>'Reaction Input'!$AX$8:$AX$22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'Reaction Input'!$BU$8:$BU$22</c:f>
              <c:numCache>
                <c:formatCode>0.00E+00</c:formatCode>
                <c:ptCount val="15"/>
                <c:pt idx="0">
                  <c:v>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1</c:v>
                </c:pt>
              </c:numCache>
            </c:numRef>
          </c:yVal>
          <c:smooth val="1"/>
          <c:extLst>
            <c:ext xmlns:c16="http://schemas.microsoft.com/office/drawing/2014/chart" uri="{C3380CC4-5D6E-409C-BE32-E72D297353CC}">
              <c16:uniqueId val="{00000008-8BE5-48D7-B1CE-EEAEC80FE0CA}"/>
            </c:ext>
          </c:extLst>
        </c:ser>
        <c:dLbls>
          <c:showLegendKey val="0"/>
          <c:showVal val="0"/>
          <c:showCatName val="0"/>
          <c:showSerName val="0"/>
          <c:showPercent val="0"/>
          <c:showBubbleSize val="0"/>
        </c:dLbls>
        <c:axId val="475732016"/>
        <c:axId val="475732408"/>
      </c:scatterChart>
      <c:valAx>
        <c:axId val="475732016"/>
        <c:scaling>
          <c:orientation val="minMax"/>
        </c:scaling>
        <c:delete val="0"/>
        <c:axPos val="b"/>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950" b="1" i="0" u="none" strike="noStrike" baseline="0">
                    <a:solidFill>
                      <a:srgbClr val="000000"/>
                    </a:solidFill>
                    <a:latin typeface="Arial Narrow"/>
                  </a:rPr>
                  <a:t>Temperature (</a:t>
                </a:r>
                <a:r>
                  <a:rPr lang="en-US" sz="950" b="1" i="0" u="none" strike="noStrike" baseline="30000">
                    <a:solidFill>
                      <a:srgbClr val="000000"/>
                    </a:solidFill>
                    <a:latin typeface="Arial Narrow"/>
                  </a:rPr>
                  <a:t>o</a:t>
                </a:r>
                <a:r>
                  <a:rPr lang="en-US" sz="950" b="1" i="0" u="none" strike="noStrike" baseline="0">
                    <a:solidFill>
                      <a:srgbClr val="000000"/>
                    </a:solidFill>
                    <a:latin typeface="Arial Narrow"/>
                  </a:rPr>
                  <a:t>C)</a:t>
                </a:r>
              </a:p>
            </c:rich>
          </c:tx>
          <c:layout>
            <c:manualLayout>
              <c:xMode val="edge"/>
              <c:yMode val="edge"/>
              <c:x val="0.4414421981036154"/>
              <c:y val="0.7678571428571429"/>
            </c:manualLayout>
          </c:layout>
          <c:overlay val="0"/>
          <c:spPr>
            <a:noFill/>
            <a:ln w="25400">
              <a:noFill/>
            </a:ln>
          </c:spPr>
        </c:title>
        <c:numFmt formatCode="General" sourceLinked="1"/>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Narrow"/>
                <a:ea typeface="Arial Narrow"/>
                <a:cs typeface="Arial Narrow"/>
              </a:defRPr>
            </a:pPr>
            <a:endParaRPr lang="en-US"/>
          </a:p>
        </c:txPr>
        <c:crossAx val="475732408"/>
        <c:crossesAt val="1.0000000000009551E-20"/>
        <c:crossBetween val="midCat"/>
      </c:valAx>
      <c:valAx>
        <c:axId val="475732408"/>
        <c:scaling>
          <c:logBase val="10"/>
          <c:orientation val="minMax"/>
          <c:min val="0.1"/>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Narrow"/>
                    <a:ea typeface="Arial Narrow"/>
                    <a:cs typeface="Arial Narrow"/>
                  </a:defRPr>
                </a:pPr>
                <a:r>
                  <a:rPr lang="en-US"/>
                  <a:t>Pressure (atm-</a:t>
                </a:r>
                <a:r>
                  <a:rPr lang="en-US" baseline="0"/>
                  <a:t> absolute)</a:t>
                </a:r>
                <a:endParaRPr lang="en-US"/>
              </a:p>
            </c:rich>
          </c:tx>
          <c:layout>
            <c:manualLayout>
              <c:xMode val="edge"/>
              <c:yMode val="edge"/>
              <c:x val="4.8648704068241483E-2"/>
              <c:y val="0.26163950800912616"/>
            </c:manualLayout>
          </c:layout>
          <c:overlay val="0"/>
          <c:spPr>
            <a:noFill/>
            <a:ln w="25400">
              <a:noFill/>
            </a:ln>
          </c:spPr>
        </c:title>
        <c:numFmt formatCode="General" sourceLinked="0"/>
        <c:majorTickMark val="out"/>
        <c:minorTickMark val="out"/>
        <c:tickLblPos val="nextTo"/>
        <c:spPr>
          <a:ln w="3175">
            <a:solidFill>
              <a:srgbClr val="000000"/>
            </a:solidFill>
            <a:prstDash val="solid"/>
          </a:ln>
        </c:spPr>
        <c:txPr>
          <a:bodyPr rot="0" vert="horz"/>
          <a:lstStyle/>
          <a:p>
            <a:pPr>
              <a:defRPr sz="800" b="0" i="0" u="none" strike="noStrike" baseline="0">
                <a:solidFill>
                  <a:srgbClr val="000000"/>
                </a:solidFill>
                <a:latin typeface="Arial Narrow"/>
                <a:ea typeface="Arial Narrow"/>
                <a:cs typeface="Arial Narrow"/>
              </a:defRPr>
            </a:pPr>
            <a:endParaRPr lang="en-US"/>
          </a:p>
        </c:txPr>
        <c:crossAx val="475732016"/>
        <c:crossesAt val="-300"/>
        <c:crossBetween val="midCat"/>
      </c:valAx>
      <c:spPr>
        <a:solidFill>
          <a:srgbClr val="C0C0C0"/>
        </a:solidFill>
        <a:ln w="38100">
          <a:solidFill>
            <a:srgbClr val="808080"/>
          </a:solidFill>
          <a:prstDash val="solid"/>
        </a:ln>
      </c:spPr>
    </c:plotArea>
    <c:legend>
      <c:legendPos val="r"/>
      <c:legendEntry>
        <c:idx val="2"/>
        <c:delete val="1"/>
      </c:legendEntry>
      <c:layout>
        <c:manualLayout>
          <c:xMode val="edge"/>
          <c:yMode val="edge"/>
          <c:x val="9.4327263199301247E-3"/>
          <c:y val="0.84128529698152565"/>
          <c:w val="0.77505567928733365"/>
          <c:h val="0.14243983864241669"/>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Cumulative Frequency Versus Consequence</a:t>
            </a:r>
          </a:p>
        </c:rich>
      </c:tx>
      <c:overlay val="1"/>
    </c:title>
    <c:autoTitleDeleted val="0"/>
    <c:plotArea>
      <c:layout>
        <c:manualLayout>
          <c:layoutTarget val="inner"/>
          <c:xMode val="edge"/>
          <c:yMode val="edge"/>
          <c:x val="0.13643242717888143"/>
          <c:y val="0.13529615522951471"/>
          <c:w val="0.79658123507064682"/>
          <c:h val="0.71803567458697903"/>
        </c:manualLayout>
      </c:layout>
      <c:scatterChart>
        <c:scatterStyle val="lineMarker"/>
        <c:varyColors val="0"/>
        <c:ser>
          <c:idx val="0"/>
          <c:order val="0"/>
          <c:tx>
            <c:strRef>
              <c:f>'Risk Summary'!$AC$3</c:f>
              <c:strCache>
                <c:ptCount val="1"/>
                <c:pt idx="0">
                  <c:v>After IPL Implemented</c:v>
                </c:pt>
              </c:strCache>
            </c:strRef>
          </c:tx>
          <c:spPr>
            <a:ln w="38100">
              <a:solidFill>
                <a:schemeClr val="accent1"/>
              </a:solidFill>
            </a:ln>
          </c:spPr>
          <c:xVal>
            <c:numRef>
              <c:f>'Risk Summary'!$AB$4:$AB$10</c:f>
              <c:numCache>
                <c:formatCode>General</c:formatCode>
                <c:ptCount val="7"/>
                <c:pt idx="0">
                  <c:v>8</c:v>
                </c:pt>
                <c:pt idx="1">
                  <c:v>7</c:v>
                </c:pt>
                <c:pt idx="2">
                  <c:v>6</c:v>
                </c:pt>
                <c:pt idx="3">
                  <c:v>5</c:v>
                </c:pt>
                <c:pt idx="4">
                  <c:v>4</c:v>
                </c:pt>
                <c:pt idx="5">
                  <c:v>3</c:v>
                </c:pt>
                <c:pt idx="6">
                  <c:v>2</c:v>
                </c:pt>
              </c:numCache>
            </c:numRef>
          </c:xVal>
          <c:yVal>
            <c:numRef>
              <c:f>'Risk Summary'!$AC$4:$AC$10</c:f>
              <c:numCache>
                <c:formatCode>General</c:formatCode>
                <c:ptCount val="7"/>
                <c:pt idx="0">
                  <c:v>9.9999999999999995E-21</c:v>
                </c:pt>
                <c:pt idx="1">
                  <c:v>9.9999999999999995E-21</c:v>
                </c:pt>
                <c:pt idx="2">
                  <c:v>9.9999999999999995E-21</c:v>
                </c:pt>
                <c:pt idx="3">
                  <c:v>9.9999999999999995E-21</c:v>
                </c:pt>
                <c:pt idx="4">
                  <c:v>9.9999999999999995E-21</c:v>
                </c:pt>
                <c:pt idx="5">
                  <c:v>9.9999999999999995E-21</c:v>
                </c:pt>
                <c:pt idx="6">
                  <c:v>9.9999999999999995E-21</c:v>
                </c:pt>
              </c:numCache>
            </c:numRef>
          </c:yVal>
          <c:smooth val="0"/>
          <c:extLst>
            <c:ext xmlns:c16="http://schemas.microsoft.com/office/drawing/2014/chart" uri="{C3380CC4-5D6E-409C-BE32-E72D297353CC}">
              <c16:uniqueId val="{00000000-2724-46D0-A405-4E12E88A9F63}"/>
            </c:ext>
          </c:extLst>
        </c:ser>
        <c:ser>
          <c:idx val="1"/>
          <c:order val="1"/>
          <c:tx>
            <c:strRef>
              <c:f>'Risk Summary'!$AD$3</c:f>
              <c:strCache>
                <c:ptCount val="1"/>
                <c:pt idx="0">
                  <c:v>Current IPL Implemented</c:v>
                </c:pt>
              </c:strCache>
            </c:strRef>
          </c:tx>
          <c:spPr>
            <a:ln w="38100"/>
          </c:spPr>
          <c:marker>
            <c:symbol val="square"/>
            <c:size val="5"/>
          </c:marker>
          <c:xVal>
            <c:numRef>
              <c:f>'Risk Summary'!$AB$4:$AB$10</c:f>
              <c:numCache>
                <c:formatCode>General</c:formatCode>
                <c:ptCount val="7"/>
                <c:pt idx="0">
                  <c:v>8</c:v>
                </c:pt>
                <c:pt idx="1">
                  <c:v>7</c:v>
                </c:pt>
                <c:pt idx="2">
                  <c:v>6</c:v>
                </c:pt>
                <c:pt idx="3">
                  <c:v>5</c:v>
                </c:pt>
                <c:pt idx="4">
                  <c:v>4</c:v>
                </c:pt>
                <c:pt idx="5">
                  <c:v>3</c:v>
                </c:pt>
                <c:pt idx="6">
                  <c:v>2</c:v>
                </c:pt>
              </c:numCache>
            </c:numRef>
          </c:xVal>
          <c:yVal>
            <c:numRef>
              <c:f>'Risk Summary'!$AD$4:$AD$10</c:f>
              <c:numCache>
                <c:formatCode>General</c:formatCode>
                <c:ptCount val="7"/>
                <c:pt idx="0">
                  <c:v>9.9999999999999995E-21</c:v>
                </c:pt>
                <c:pt idx="1">
                  <c:v>9.9999999999999995E-21</c:v>
                </c:pt>
                <c:pt idx="2">
                  <c:v>9.9999999999999995E-21</c:v>
                </c:pt>
                <c:pt idx="3">
                  <c:v>9.9999999999999995E-21</c:v>
                </c:pt>
                <c:pt idx="4">
                  <c:v>9.9999999999999995E-21</c:v>
                </c:pt>
                <c:pt idx="5">
                  <c:v>9.9999999999999995E-21</c:v>
                </c:pt>
                <c:pt idx="6">
                  <c:v>9.9999999999999995E-21</c:v>
                </c:pt>
              </c:numCache>
            </c:numRef>
          </c:yVal>
          <c:smooth val="0"/>
          <c:extLst>
            <c:ext xmlns:c16="http://schemas.microsoft.com/office/drawing/2014/chart" uri="{C3380CC4-5D6E-409C-BE32-E72D297353CC}">
              <c16:uniqueId val="{00000001-2724-46D0-A405-4E12E88A9F63}"/>
            </c:ext>
          </c:extLst>
        </c:ser>
        <c:dLbls>
          <c:showLegendKey val="0"/>
          <c:showVal val="0"/>
          <c:showCatName val="0"/>
          <c:showSerName val="0"/>
          <c:showPercent val="0"/>
          <c:showBubbleSize val="0"/>
        </c:dLbls>
        <c:axId val="478131736"/>
        <c:axId val="478132128"/>
      </c:scatterChart>
      <c:valAx>
        <c:axId val="478131736"/>
        <c:scaling>
          <c:orientation val="minMax"/>
          <c:max val="8"/>
        </c:scaling>
        <c:delete val="0"/>
        <c:axPos val="b"/>
        <c:majorGridlines/>
        <c:title>
          <c:tx>
            <c:rich>
              <a:bodyPr/>
              <a:lstStyle/>
              <a:p>
                <a:pPr>
                  <a:defRPr sz="1200"/>
                </a:pPr>
                <a:r>
                  <a:rPr lang="en-US" sz="1200"/>
                  <a:t>Consequence at the Tolerable Frequency Factor</a:t>
                </a:r>
              </a:p>
            </c:rich>
          </c:tx>
          <c:layout>
            <c:manualLayout>
              <c:xMode val="edge"/>
              <c:yMode val="edge"/>
              <c:x val="0.30987846722417817"/>
              <c:y val="0.93462320449138458"/>
            </c:manualLayout>
          </c:layout>
          <c:overlay val="0"/>
        </c:title>
        <c:numFmt formatCode="General" sourceLinked="1"/>
        <c:majorTickMark val="out"/>
        <c:minorTickMark val="none"/>
        <c:tickLblPos val="nextTo"/>
        <c:txPr>
          <a:bodyPr/>
          <a:lstStyle/>
          <a:p>
            <a:pPr>
              <a:defRPr b="1"/>
            </a:pPr>
            <a:endParaRPr lang="en-US"/>
          </a:p>
        </c:txPr>
        <c:crossAx val="478132128"/>
        <c:crossesAt val="1.0000000000000008E-14"/>
        <c:crossBetween val="midCat"/>
      </c:valAx>
      <c:valAx>
        <c:axId val="478132128"/>
        <c:scaling>
          <c:logBase val="10"/>
          <c:orientation val="minMax"/>
          <c:min val="1.0000000000000005E-7"/>
        </c:scaling>
        <c:delete val="0"/>
        <c:axPos val="l"/>
        <c:majorGridlines/>
        <c:title>
          <c:tx>
            <c:rich>
              <a:bodyPr rot="-5400000" vert="horz"/>
              <a:lstStyle/>
              <a:p>
                <a:pPr>
                  <a:defRPr sz="1200"/>
                </a:pPr>
                <a:r>
                  <a:rPr lang="en-US" sz="1200"/>
                  <a:t>Cumulative Frequency per year</a:t>
                </a:r>
              </a:p>
            </c:rich>
          </c:tx>
          <c:overlay val="0"/>
        </c:title>
        <c:numFmt formatCode="General" sourceLinked="1"/>
        <c:majorTickMark val="out"/>
        <c:minorTickMark val="out"/>
        <c:tickLblPos val="nextTo"/>
        <c:txPr>
          <a:bodyPr/>
          <a:lstStyle/>
          <a:p>
            <a:pPr>
              <a:defRPr b="1"/>
            </a:pPr>
            <a:endParaRPr lang="en-US"/>
          </a:p>
        </c:txPr>
        <c:crossAx val="478131736"/>
        <c:crossesAt val="1.0000000000000006E-10"/>
        <c:crossBetween val="midCat"/>
      </c:valAx>
      <c:spPr>
        <a:solidFill>
          <a:schemeClr val="bg1">
            <a:lumMod val="95000"/>
          </a:schemeClr>
        </a:solidFill>
      </c:spPr>
    </c:plotArea>
    <c:legend>
      <c:legendPos val="r"/>
      <c:layout>
        <c:manualLayout>
          <c:xMode val="edge"/>
          <c:yMode val="edge"/>
          <c:x val="0.14583101829329512"/>
          <c:y val="0.71218501020705749"/>
          <c:w val="0.26690811634171424"/>
          <c:h val="0.10199545056867891"/>
        </c:manualLayout>
      </c:layout>
      <c:overlay val="0"/>
      <c:spPr>
        <a:solidFill>
          <a:schemeClr val="bg1"/>
        </a:solidFill>
        <a:ln w="3175">
          <a:solidFill>
            <a:schemeClr val="accent1"/>
          </a:solidFill>
        </a:ln>
      </c:spPr>
    </c:legend>
    <c:plotVisOnly val="0"/>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19.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527050</xdr:colOff>
          <xdr:row>1</xdr:row>
          <xdr:rowOff>260350</xdr:rowOff>
        </xdr:from>
        <xdr:to>
          <xdr:col>9</xdr:col>
          <xdr:colOff>736600</xdr:colOff>
          <xdr:row>2</xdr:row>
          <xdr:rowOff>127000</xdr:rowOff>
        </xdr:to>
        <xdr:sp macro="" textlink="">
          <xdr:nvSpPr>
            <xdr:cNvPr id="1176577" name="Button 1" hidden="1">
              <a:extLst>
                <a:ext uri="{63B3BB69-23CF-44E3-9099-C40C66FF867C}">
                  <a14:compatExt spid="_x0000_s1176577"/>
                </a:ext>
                <a:ext uri="{FF2B5EF4-FFF2-40B4-BE49-F238E27FC236}">
                  <a16:creationId xmlns:a16="http://schemas.microsoft.com/office/drawing/2014/main" id="{00000000-0008-0000-0000-000001F41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Go To Main Menu &gt;&gt;</a:t>
              </a:r>
            </a:p>
          </xdr:txBody>
        </xdr:sp>
        <xdr:clientData fPrintsWithSheet="0"/>
      </xdr:twoCellAnchor>
    </mc:Choice>
    <mc:Fallback/>
  </mc:AlternateContent>
  <xdr:twoCellAnchor editAs="oneCell">
    <xdr:from>
      <xdr:col>1</xdr:col>
      <xdr:colOff>35276</xdr:colOff>
      <xdr:row>0</xdr:row>
      <xdr:rowOff>35271</xdr:rowOff>
    </xdr:from>
    <xdr:to>
      <xdr:col>3</xdr:col>
      <xdr:colOff>352778</xdr:colOff>
      <xdr:row>5</xdr:row>
      <xdr:rowOff>84664</xdr:rowOff>
    </xdr:to>
    <xdr:pic>
      <xdr:nvPicPr>
        <xdr:cNvPr id="3" name="Pictur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3943" y="35271"/>
          <a:ext cx="1686279" cy="1079504"/>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4</xdr:row>
          <xdr:rowOff>152400</xdr:rowOff>
        </xdr:from>
        <xdr:to>
          <xdr:col>7</xdr:col>
          <xdr:colOff>641350</xdr:colOff>
          <xdr:row>6</xdr:row>
          <xdr:rowOff>38100</xdr:rowOff>
        </xdr:to>
        <xdr:sp macro="" textlink="">
          <xdr:nvSpPr>
            <xdr:cNvPr id="930818" name="Import_from_File" hidden="1">
              <a:extLst>
                <a:ext uri="{63B3BB69-23CF-44E3-9099-C40C66FF867C}">
                  <a14:compatExt spid="_x0000_s930818"/>
                </a:ext>
                <a:ext uri="{FF2B5EF4-FFF2-40B4-BE49-F238E27FC236}">
                  <a16:creationId xmlns:a16="http://schemas.microsoft.com/office/drawing/2014/main" id="{00000000-0008-0000-0100-000002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000000"/>
                  </a:solidFill>
                  <a:latin typeface="Arial"/>
                  <a:cs typeface="Arial"/>
                </a:rPr>
                <a:t>Import from RAST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31</xdr:row>
          <xdr:rowOff>0</xdr:rowOff>
        </xdr:from>
        <xdr:to>
          <xdr:col>2</xdr:col>
          <xdr:colOff>647700</xdr:colOff>
          <xdr:row>32</xdr:row>
          <xdr:rowOff>0</xdr:rowOff>
        </xdr:to>
        <xdr:sp macro="" textlink="">
          <xdr:nvSpPr>
            <xdr:cNvPr id="930820" name="Go_To_Equipment_Input" hidden="1">
              <a:extLst>
                <a:ext uri="{63B3BB69-23CF-44E3-9099-C40C66FF867C}">
                  <a14:compatExt spid="_x0000_s930820"/>
                </a:ext>
                <a:ext uri="{FF2B5EF4-FFF2-40B4-BE49-F238E27FC236}">
                  <a16:creationId xmlns:a16="http://schemas.microsoft.com/office/drawing/2014/main" id="{00000000-0008-0000-0100-000004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Equipment Parameter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298450</xdr:colOff>
          <xdr:row>29</xdr:row>
          <xdr:rowOff>0</xdr:rowOff>
        </xdr:from>
        <xdr:to>
          <xdr:col>2</xdr:col>
          <xdr:colOff>647700</xdr:colOff>
          <xdr:row>30</xdr:row>
          <xdr:rowOff>12700</xdr:rowOff>
        </xdr:to>
        <xdr:sp macro="" textlink="">
          <xdr:nvSpPr>
            <xdr:cNvPr id="930821" name="Go_To_Chemical_Input" hidden="1">
              <a:extLst>
                <a:ext uri="{63B3BB69-23CF-44E3-9099-C40C66FF867C}">
                  <a14:compatExt spid="_x0000_s930821"/>
                </a:ext>
                <a:ext uri="{FF2B5EF4-FFF2-40B4-BE49-F238E27FC236}">
                  <a16:creationId xmlns:a16="http://schemas.microsoft.com/office/drawing/2014/main" id="{00000000-0008-0000-0100-000005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Chemical Data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508000</xdr:colOff>
          <xdr:row>36</xdr:row>
          <xdr:rowOff>152400</xdr:rowOff>
        </xdr:from>
        <xdr:to>
          <xdr:col>2</xdr:col>
          <xdr:colOff>647700</xdr:colOff>
          <xdr:row>38</xdr:row>
          <xdr:rowOff>0</xdr:rowOff>
        </xdr:to>
        <xdr:sp macro="" textlink="">
          <xdr:nvSpPr>
            <xdr:cNvPr id="930822" name="Go_To_Reaction_Input" hidden="1">
              <a:extLst>
                <a:ext uri="{63B3BB69-23CF-44E3-9099-C40C66FF867C}">
                  <a14:compatExt spid="_x0000_s930822"/>
                </a:ext>
                <a:ext uri="{FF2B5EF4-FFF2-40B4-BE49-F238E27FC236}">
                  <a16:creationId xmlns:a16="http://schemas.microsoft.com/office/drawing/2014/main" id="{00000000-0008-0000-0100-000006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Reaction Input and Evaluation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469900</xdr:colOff>
          <xdr:row>28</xdr:row>
          <xdr:rowOff>146050</xdr:rowOff>
        </xdr:from>
        <xdr:to>
          <xdr:col>9</xdr:col>
          <xdr:colOff>228600</xdr:colOff>
          <xdr:row>30</xdr:row>
          <xdr:rowOff>152400</xdr:rowOff>
        </xdr:to>
        <xdr:sp macro="" textlink="">
          <xdr:nvSpPr>
            <xdr:cNvPr id="930826" name="F&amp;EI / CEI" hidden="1">
              <a:extLst>
                <a:ext uri="{63B3BB69-23CF-44E3-9099-C40C66FF867C}">
                  <a14:compatExt spid="_x0000_s930826"/>
                </a:ext>
                <a:ext uri="{FF2B5EF4-FFF2-40B4-BE49-F238E27FC236}">
                  <a16:creationId xmlns:a16="http://schemas.microsoft.com/office/drawing/2014/main" id="{00000000-0008-0000-0100-00000A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Fire &amp; Explosion Index / </a:t>
              </a:r>
            </a:p>
            <a:p>
              <a:pPr algn="ctr" rtl="0">
                <a:defRPr sz="1000"/>
              </a:pPr>
              <a:r>
                <a:rPr lang="en-US" sz="800" b="0" i="0" u="none" strike="noStrike" baseline="0">
                  <a:solidFill>
                    <a:srgbClr val="808000"/>
                  </a:solidFill>
                  <a:latin typeface="Arial"/>
                  <a:cs typeface="Arial"/>
                </a:rPr>
                <a:t>Chemical Exposure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723900</xdr:colOff>
          <xdr:row>15</xdr:row>
          <xdr:rowOff>12700</xdr:rowOff>
        </xdr:from>
        <xdr:to>
          <xdr:col>2</xdr:col>
          <xdr:colOff>679450</xdr:colOff>
          <xdr:row>16</xdr:row>
          <xdr:rowOff>38100</xdr:rowOff>
        </xdr:to>
        <xdr:sp macro="" textlink="">
          <xdr:nvSpPr>
            <xdr:cNvPr id="930828" name="English_Units" hidden="1">
              <a:extLst>
                <a:ext uri="{63B3BB69-23CF-44E3-9099-C40C66FF867C}">
                  <a14:compatExt spid="_x0000_s930828"/>
                </a:ext>
                <a:ext uri="{FF2B5EF4-FFF2-40B4-BE49-F238E27FC236}">
                  <a16:creationId xmlns:a16="http://schemas.microsoft.com/office/drawing/2014/main" id="{00000000-0008-0000-0100-00000C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000000"/>
                  </a:solidFill>
                  <a:latin typeface="Arial"/>
                  <a:cs typeface="Arial"/>
                </a:rPr>
                <a:t>English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717550</xdr:colOff>
          <xdr:row>15</xdr:row>
          <xdr:rowOff>0</xdr:rowOff>
        </xdr:from>
        <xdr:to>
          <xdr:col>5</xdr:col>
          <xdr:colOff>69850</xdr:colOff>
          <xdr:row>16</xdr:row>
          <xdr:rowOff>38100</xdr:rowOff>
        </xdr:to>
        <xdr:sp macro="" textlink="">
          <xdr:nvSpPr>
            <xdr:cNvPr id="930829" name="SI_Units" hidden="1">
              <a:extLst>
                <a:ext uri="{63B3BB69-23CF-44E3-9099-C40C66FF867C}">
                  <a14:compatExt spid="_x0000_s930829"/>
                </a:ext>
                <a:ext uri="{FF2B5EF4-FFF2-40B4-BE49-F238E27FC236}">
                  <a16:creationId xmlns:a16="http://schemas.microsoft.com/office/drawing/2014/main" id="{00000000-0008-0000-0100-00000D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000000"/>
                  </a:solidFill>
                  <a:latin typeface="Arial"/>
                  <a:cs typeface="Arial"/>
                </a:rPr>
                <a:t>SI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469900</xdr:colOff>
          <xdr:row>36</xdr:row>
          <xdr:rowOff>38100</xdr:rowOff>
        </xdr:from>
        <xdr:to>
          <xdr:col>9</xdr:col>
          <xdr:colOff>228600</xdr:colOff>
          <xdr:row>37</xdr:row>
          <xdr:rowOff>76200</xdr:rowOff>
        </xdr:to>
        <xdr:sp macro="" textlink="">
          <xdr:nvSpPr>
            <xdr:cNvPr id="930830" name="Relief_Effluent_Screening" hidden="1">
              <a:extLst>
                <a:ext uri="{63B3BB69-23CF-44E3-9099-C40C66FF867C}">
                  <a14:compatExt spid="_x0000_s930830"/>
                </a:ext>
                <a:ext uri="{FF2B5EF4-FFF2-40B4-BE49-F238E27FC236}">
                  <a16:creationId xmlns:a16="http://schemas.microsoft.com/office/drawing/2014/main" id="{00000000-0008-0000-0100-00000E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Relief Effluent Screening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469900</xdr:colOff>
          <xdr:row>33</xdr:row>
          <xdr:rowOff>152400</xdr:rowOff>
        </xdr:from>
        <xdr:to>
          <xdr:col>9</xdr:col>
          <xdr:colOff>107950</xdr:colOff>
          <xdr:row>35</xdr:row>
          <xdr:rowOff>12700</xdr:rowOff>
        </xdr:to>
        <xdr:sp macro="" textlink="">
          <xdr:nvSpPr>
            <xdr:cNvPr id="930833" name="Scenario_Identification" hidden="1">
              <a:extLst>
                <a:ext uri="{63B3BB69-23CF-44E3-9099-C40C66FF867C}">
                  <a14:compatExt spid="_x0000_s930833"/>
                </a:ext>
                <a:ext uri="{FF2B5EF4-FFF2-40B4-BE49-F238E27FC236}">
                  <a16:creationId xmlns:a16="http://schemas.microsoft.com/office/drawing/2014/main" id="{00000000-0008-0000-0100-000011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Scenario Identification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317500</xdr:colOff>
          <xdr:row>29</xdr:row>
          <xdr:rowOff>0</xdr:rowOff>
        </xdr:from>
        <xdr:to>
          <xdr:col>7</xdr:col>
          <xdr:colOff>69850</xdr:colOff>
          <xdr:row>30</xdr:row>
          <xdr:rowOff>152400</xdr:rowOff>
        </xdr:to>
        <xdr:sp macro="" textlink="">
          <xdr:nvSpPr>
            <xdr:cNvPr id="930832" name="Check_Inputs" hidden="1">
              <a:extLst>
                <a:ext uri="{63B3BB69-23CF-44E3-9099-C40C66FF867C}">
                  <a14:compatExt spid="_x0000_s930832"/>
                </a:ext>
                <a:ext uri="{FF2B5EF4-FFF2-40B4-BE49-F238E27FC236}">
                  <a16:creationId xmlns:a16="http://schemas.microsoft.com/office/drawing/2014/main" id="{00000000-0008-0000-0100-0000103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Arial"/>
                  <a:cs typeface="Arial"/>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31</xdr:row>
          <xdr:rowOff>127000</xdr:rowOff>
        </xdr:from>
        <xdr:to>
          <xdr:col>7</xdr:col>
          <xdr:colOff>114300</xdr:colOff>
          <xdr:row>34</xdr:row>
          <xdr:rowOff>69850</xdr:rowOff>
        </xdr:to>
        <xdr:sp macro="" textlink="">
          <xdr:nvSpPr>
            <xdr:cNvPr id="930836" name="Save to Equipment Table" hidden="1">
              <a:extLst>
                <a:ext uri="{63B3BB69-23CF-44E3-9099-C40C66FF867C}">
                  <a14:compatExt spid="_x0000_s930836"/>
                </a:ext>
                <a:ext uri="{FF2B5EF4-FFF2-40B4-BE49-F238E27FC236}">
                  <a16:creationId xmlns:a16="http://schemas.microsoft.com/office/drawing/2014/main" id="{00000000-0008-0000-0100-0000143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Arial"/>
                  <a:cs typeface="Arial"/>
                </a:rPr>
                <a:t>Save Inputs to</a:t>
              </a:r>
            </a:p>
            <a:p>
              <a:pPr algn="ctr" rtl="0">
                <a:defRPr sz="1000"/>
              </a:pPr>
              <a:r>
                <a:rPr lang="en-US" sz="1000" b="1" i="0" u="none" strike="noStrike" baseline="0">
                  <a:solidFill>
                    <a:srgbClr val="0000FF"/>
                  </a:solidFill>
                  <a:latin typeface="Arial"/>
                  <a:cs typeface="Arial"/>
                </a:rPr>
                <a:t>Equipment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9</xdr:row>
          <xdr:rowOff>0</xdr:rowOff>
        </xdr:from>
        <xdr:to>
          <xdr:col>8</xdr:col>
          <xdr:colOff>266700</xdr:colOff>
          <xdr:row>10</xdr:row>
          <xdr:rowOff>38100</xdr:rowOff>
        </xdr:to>
        <xdr:sp macro="" textlink="">
          <xdr:nvSpPr>
            <xdr:cNvPr id="930837" name="Go To Equipment Table" hidden="1">
              <a:extLst>
                <a:ext uri="{63B3BB69-23CF-44E3-9099-C40C66FF867C}">
                  <a14:compatExt spid="_x0000_s930837"/>
                </a:ext>
                <a:ext uri="{FF2B5EF4-FFF2-40B4-BE49-F238E27FC236}">
                  <a16:creationId xmlns:a16="http://schemas.microsoft.com/office/drawing/2014/main" id="{00000000-0008-0000-0100-00001534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Go to Equipment Table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33</xdr:row>
          <xdr:rowOff>0</xdr:rowOff>
        </xdr:from>
        <xdr:to>
          <xdr:col>2</xdr:col>
          <xdr:colOff>647700</xdr:colOff>
          <xdr:row>34</xdr:row>
          <xdr:rowOff>0</xdr:rowOff>
        </xdr:to>
        <xdr:sp macro="" textlink="">
          <xdr:nvSpPr>
            <xdr:cNvPr id="930850" name="Process Conditions" hidden="1">
              <a:extLst>
                <a:ext uri="{63B3BB69-23CF-44E3-9099-C40C66FF867C}">
                  <a14:compatExt spid="_x0000_s930850"/>
                </a:ext>
                <a:ext uri="{FF2B5EF4-FFF2-40B4-BE49-F238E27FC236}">
                  <a16:creationId xmlns:a16="http://schemas.microsoft.com/office/drawing/2014/main" id="{00000000-0008-0000-0100-000022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Process Conditions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304800</xdr:colOff>
          <xdr:row>35</xdr:row>
          <xdr:rowOff>0</xdr:rowOff>
        </xdr:from>
        <xdr:to>
          <xdr:col>2</xdr:col>
          <xdr:colOff>647700</xdr:colOff>
          <xdr:row>36</xdr:row>
          <xdr:rowOff>31750</xdr:rowOff>
        </xdr:to>
        <xdr:sp macro="" textlink="">
          <xdr:nvSpPr>
            <xdr:cNvPr id="930851" name="Plant Layout" hidden="1">
              <a:extLst>
                <a:ext uri="{63B3BB69-23CF-44E3-9099-C40C66FF867C}">
                  <a14:compatExt spid="_x0000_s930851"/>
                </a:ext>
                <a:ext uri="{FF2B5EF4-FFF2-40B4-BE49-F238E27FC236}">
                  <a16:creationId xmlns:a16="http://schemas.microsoft.com/office/drawing/2014/main" id="{00000000-0008-0000-0100-000023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Plant Layout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457200</xdr:colOff>
          <xdr:row>31</xdr:row>
          <xdr:rowOff>127000</xdr:rowOff>
        </xdr:from>
        <xdr:to>
          <xdr:col>9</xdr:col>
          <xdr:colOff>304800</xdr:colOff>
          <xdr:row>33</xdr:row>
          <xdr:rowOff>0</xdr:rowOff>
        </xdr:to>
        <xdr:sp macro="" textlink="">
          <xdr:nvSpPr>
            <xdr:cNvPr id="930853" name="Hazards &amp; Consequences" hidden="1">
              <a:extLst>
                <a:ext uri="{63B3BB69-23CF-44E3-9099-C40C66FF867C}">
                  <a14:compatExt spid="_x0000_s930853"/>
                </a:ext>
                <a:ext uri="{FF2B5EF4-FFF2-40B4-BE49-F238E27FC236}">
                  <a16:creationId xmlns:a16="http://schemas.microsoft.com/office/drawing/2014/main" id="{00000000-0008-0000-0100-000025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Hazards &amp; Consequences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342900</xdr:colOff>
          <xdr:row>38</xdr:row>
          <xdr:rowOff>76200</xdr:rowOff>
        </xdr:from>
        <xdr:to>
          <xdr:col>7</xdr:col>
          <xdr:colOff>76200</xdr:colOff>
          <xdr:row>39</xdr:row>
          <xdr:rowOff>152400</xdr:rowOff>
        </xdr:to>
        <xdr:sp macro="" textlink="">
          <xdr:nvSpPr>
            <xdr:cNvPr id="930855" name="Layers of Protection Analysis" hidden="1">
              <a:extLst>
                <a:ext uri="{63B3BB69-23CF-44E3-9099-C40C66FF867C}">
                  <a14:compatExt spid="_x0000_s930855"/>
                </a:ext>
                <a:ext uri="{FF2B5EF4-FFF2-40B4-BE49-F238E27FC236}">
                  <a16:creationId xmlns:a16="http://schemas.microsoft.com/office/drawing/2014/main" id="{00000000-0008-0000-0100-0000273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8000"/>
                  </a:solidFill>
                  <a:latin typeface="Arial"/>
                  <a:cs typeface="Arial"/>
                </a:rPr>
                <a:t>LOPA Menu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0</xdr:row>
          <xdr:rowOff>152400</xdr:rowOff>
        </xdr:from>
        <xdr:to>
          <xdr:col>10</xdr:col>
          <xdr:colOff>31750</xdr:colOff>
          <xdr:row>0</xdr:row>
          <xdr:rowOff>342900</xdr:rowOff>
        </xdr:to>
        <xdr:sp macro="" textlink="">
          <xdr:nvSpPr>
            <xdr:cNvPr id="930857" name="Button 41" hidden="1">
              <a:extLst>
                <a:ext uri="{63B3BB69-23CF-44E3-9099-C40C66FF867C}">
                  <a14:compatExt spid="_x0000_s930857"/>
                </a:ext>
                <a:ext uri="{FF2B5EF4-FFF2-40B4-BE49-F238E27FC236}">
                  <a16:creationId xmlns:a16="http://schemas.microsoft.com/office/drawing/2014/main" id="{00000000-0008-0000-0100-000029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FF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35</xdr:row>
          <xdr:rowOff>69850</xdr:rowOff>
        </xdr:from>
        <xdr:to>
          <xdr:col>7</xdr:col>
          <xdr:colOff>298450</xdr:colOff>
          <xdr:row>37</xdr:row>
          <xdr:rowOff>114300</xdr:rowOff>
        </xdr:to>
        <xdr:sp macro="" textlink="">
          <xdr:nvSpPr>
            <xdr:cNvPr id="930858" name="Calculate" hidden="1">
              <a:extLst>
                <a:ext uri="{63B3BB69-23CF-44E3-9099-C40C66FF867C}">
                  <a14:compatExt spid="_x0000_s930858"/>
                </a:ext>
                <a:ext uri="{FF2B5EF4-FFF2-40B4-BE49-F238E27FC236}">
                  <a16:creationId xmlns:a16="http://schemas.microsoft.com/office/drawing/2014/main" id="{00000000-0008-0000-0100-00002A3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Arial"/>
                  <a:cs typeface="Arial"/>
                </a:rPr>
                <a:t>Update Scenarios for </a:t>
              </a:r>
            </a:p>
            <a:p>
              <a:pPr algn="ctr" rtl="0">
                <a:defRPr sz="1000"/>
              </a:pPr>
              <a:r>
                <a:rPr lang="en-US" sz="1000" b="1" i="0" u="none" strike="noStrike" baseline="0">
                  <a:solidFill>
                    <a:srgbClr val="0000FF"/>
                  </a:solidFill>
                  <a:latin typeface="Arial"/>
                  <a:cs typeface="Arial"/>
                </a:rPr>
                <a:t>Equipment Loaded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38</xdr:row>
          <xdr:rowOff>152400</xdr:rowOff>
        </xdr:from>
        <xdr:to>
          <xdr:col>2</xdr:col>
          <xdr:colOff>660400</xdr:colOff>
          <xdr:row>40</xdr:row>
          <xdr:rowOff>0</xdr:rowOff>
        </xdr:to>
        <xdr:sp macro="" textlink="">
          <xdr:nvSpPr>
            <xdr:cNvPr id="930859" name="Button 43" hidden="1">
              <a:extLst>
                <a:ext uri="{63B3BB69-23CF-44E3-9099-C40C66FF867C}">
                  <a14:compatExt spid="_x0000_s930859"/>
                </a:ext>
                <a:ext uri="{FF2B5EF4-FFF2-40B4-BE49-F238E27FC236}">
                  <a16:creationId xmlns:a16="http://schemas.microsoft.com/office/drawing/2014/main" id="{00000000-0008-0000-0100-00002B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1" u="none" strike="noStrike" baseline="0">
                  <a:solidFill>
                    <a:srgbClr val="808000"/>
                  </a:solidFill>
                  <a:latin typeface="Arial"/>
                  <a:cs typeface="Arial"/>
                </a:rPr>
                <a:t>Input Guidance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184150</xdr:colOff>
          <xdr:row>0</xdr:row>
          <xdr:rowOff>146050</xdr:rowOff>
        </xdr:from>
        <xdr:to>
          <xdr:col>1</xdr:col>
          <xdr:colOff>584200</xdr:colOff>
          <xdr:row>1</xdr:row>
          <xdr:rowOff>114300</xdr:rowOff>
        </xdr:to>
        <xdr:sp macro="" textlink="">
          <xdr:nvSpPr>
            <xdr:cNvPr id="930861" name="Clear_All" hidden="1">
              <a:extLst>
                <a:ext uri="{63B3BB69-23CF-44E3-9099-C40C66FF867C}">
                  <a14:compatExt spid="_x0000_s930861"/>
                </a:ext>
                <a:ext uri="{FF2B5EF4-FFF2-40B4-BE49-F238E27FC236}">
                  <a16:creationId xmlns:a16="http://schemas.microsoft.com/office/drawing/2014/main" id="{00000000-0008-0000-0100-00002D340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1" i="0" u="none" strike="noStrike" baseline="0">
                  <a:solidFill>
                    <a:srgbClr val="FF0000"/>
                  </a:solidFill>
                  <a:latin typeface="Arial Narrow"/>
                </a:rPr>
                <a:t>CLEAR EVERYTHING </a:t>
              </a:r>
            </a:p>
            <a:p>
              <a:pPr algn="ctr" rtl="0">
                <a:defRPr sz="1000"/>
              </a:pPr>
              <a:r>
                <a:rPr lang="en-US" sz="800" b="1" i="0" u="none" strike="noStrike" baseline="0">
                  <a:solidFill>
                    <a:srgbClr val="FF0000"/>
                  </a:solidFill>
                  <a:latin typeface="Arial Narrow"/>
                </a:rPr>
                <a:t>IN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457200</xdr:colOff>
          <xdr:row>38</xdr:row>
          <xdr:rowOff>76200</xdr:rowOff>
        </xdr:from>
        <xdr:to>
          <xdr:col>9</xdr:col>
          <xdr:colOff>12700</xdr:colOff>
          <xdr:row>39</xdr:row>
          <xdr:rowOff>107950</xdr:rowOff>
        </xdr:to>
        <xdr:sp macro="" textlink="">
          <xdr:nvSpPr>
            <xdr:cNvPr id="930863" name="Pool Fire" hidden="1">
              <a:extLst>
                <a:ext uri="{63B3BB69-23CF-44E3-9099-C40C66FF867C}">
                  <a14:compatExt spid="_x0000_s930863"/>
                </a:ext>
                <a:ext uri="{FF2B5EF4-FFF2-40B4-BE49-F238E27FC236}">
                  <a16:creationId xmlns:a16="http://schemas.microsoft.com/office/drawing/2014/main" id="{00000000-0008-0000-0100-00002F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Pool Fire Evaluation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7</xdr:row>
          <xdr:rowOff>12700</xdr:rowOff>
        </xdr:from>
        <xdr:to>
          <xdr:col>8</xdr:col>
          <xdr:colOff>165100</xdr:colOff>
          <xdr:row>8</xdr:row>
          <xdr:rowOff>38100</xdr:rowOff>
        </xdr:to>
        <xdr:sp macro="" textlink="">
          <xdr:nvSpPr>
            <xdr:cNvPr id="930865" name="Button 49" hidden="1">
              <a:extLst>
                <a:ext uri="{63B3BB69-23CF-44E3-9099-C40C66FF867C}">
                  <a14:compatExt spid="_x0000_s930865"/>
                </a:ext>
                <a:ext uri="{FF2B5EF4-FFF2-40B4-BE49-F238E27FC236}">
                  <a16:creationId xmlns:a16="http://schemas.microsoft.com/office/drawing/2014/main" id="{00000000-0008-0000-0100-0000313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000000"/>
                  </a:solidFill>
                  <a:latin typeface="Arial"/>
                  <a:cs typeface="Arial"/>
                </a:rPr>
                <a:t>Merge Data from Another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13</xdr:row>
          <xdr:rowOff>12700</xdr:rowOff>
        </xdr:from>
        <xdr:to>
          <xdr:col>8</xdr:col>
          <xdr:colOff>266700</xdr:colOff>
          <xdr:row>14</xdr:row>
          <xdr:rowOff>50800</xdr:rowOff>
        </xdr:to>
        <xdr:sp macro="" textlink="">
          <xdr:nvSpPr>
            <xdr:cNvPr id="930866" name="Button 50" hidden="1">
              <a:extLst>
                <a:ext uri="{63B3BB69-23CF-44E3-9099-C40C66FF867C}">
                  <a14:compatExt spid="_x0000_s930866"/>
                </a:ext>
                <a:ext uri="{FF2B5EF4-FFF2-40B4-BE49-F238E27FC236}">
                  <a16:creationId xmlns:a16="http://schemas.microsoft.com/office/drawing/2014/main" id="{00000000-0008-0000-0100-00003234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Go to Workbook Notes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3</xdr:row>
          <xdr:rowOff>0</xdr:rowOff>
        </xdr:from>
        <xdr:to>
          <xdr:col>6</xdr:col>
          <xdr:colOff>450850</xdr:colOff>
          <xdr:row>4</xdr:row>
          <xdr:rowOff>50800</xdr:rowOff>
        </xdr:to>
        <xdr:sp macro="" textlink="">
          <xdr:nvSpPr>
            <xdr:cNvPr id="930867" name="Button 51" hidden="1">
              <a:extLst>
                <a:ext uri="{63B3BB69-23CF-44E3-9099-C40C66FF867C}">
                  <a14:compatExt spid="_x0000_s930867"/>
                </a:ext>
                <a:ext uri="{FF2B5EF4-FFF2-40B4-BE49-F238E27FC236}">
                  <a16:creationId xmlns:a16="http://schemas.microsoft.com/office/drawing/2014/main" id="{00000000-0008-0000-0100-00003334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800" b="1" i="0" u="none" strike="noStrike" baseline="0">
                  <a:solidFill>
                    <a:srgbClr val="008000"/>
                  </a:solidFill>
                  <a:latin typeface="Arial"/>
                  <a:cs typeface="Arial"/>
                </a:rPr>
                <a:t>Go to Revision Log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11</xdr:row>
          <xdr:rowOff>0</xdr:rowOff>
        </xdr:from>
        <xdr:to>
          <xdr:col>8</xdr:col>
          <xdr:colOff>304800</xdr:colOff>
          <xdr:row>12</xdr:row>
          <xdr:rowOff>38100</xdr:rowOff>
        </xdr:to>
        <xdr:sp macro="" textlink="">
          <xdr:nvSpPr>
            <xdr:cNvPr id="930868" name="Scenario Results" hidden="1">
              <a:extLst>
                <a:ext uri="{63B3BB69-23CF-44E3-9099-C40C66FF867C}">
                  <a14:compatExt spid="_x0000_s930868"/>
                </a:ext>
                <a:ext uri="{FF2B5EF4-FFF2-40B4-BE49-F238E27FC236}">
                  <a16:creationId xmlns:a16="http://schemas.microsoft.com/office/drawing/2014/main" id="{00000000-0008-0000-0100-00003434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Go To Scenario Results &gt;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1</xdr:col>
          <xdr:colOff>1212850</xdr:colOff>
          <xdr:row>1</xdr:row>
          <xdr:rowOff>114300</xdr:rowOff>
        </xdr:to>
        <xdr:sp macro="" textlink="">
          <xdr:nvSpPr>
            <xdr:cNvPr id="1216525" name="Main Menu" hidden="1">
              <a:extLst>
                <a:ext uri="{63B3BB69-23CF-44E3-9099-C40C66FF867C}">
                  <a14:compatExt spid="_x0000_s1216525"/>
                </a:ext>
                <a:ext uri="{FF2B5EF4-FFF2-40B4-BE49-F238E27FC236}">
                  <a16:creationId xmlns:a16="http://schemas.microsoft.com/office/drawing/2014/main" id="{00000000-0008-0000-0200-00000D90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xdr:colOff>
          <xdr:row>49</xdr:row>
          <xdr:rowOff>133350</xdr:rowOff>
        </xdr:from>
        <xdr:to>
          <xdr:col>1</xdr:col>
          <xdr:colOff>1327150</xdr:colOff>
          <xdr:row>51</xdr:row>
          <xdr:rowOff>0</xdr:rowOff>
        </xdr:to>
        <xdr:sp macro="" textlink="">
          <xdr:nvSpPr>
            <xdr:cNvPr id="1216526" name="Button 14" hidden="1">
              <a:extLst>
                <a:ext uri="{63B3BB69-23CF-44E3-9099-C40C66FF867C}">
                  <a14:compatExt spid="_x0000_s1216526"/>
                </a:ext>
                <a:ext uri="{FF2B5EF4-FFF2-40B4-BE49-F238E27FC236}">
                  <a16:creationId xmlns:a16="http://schemas.microsoft.com/office/drawing/2014/main" id="{00000000-0008-0000-0200-00000E901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1" i="0" u="none" strike="noStrike" baseline="0">
                  <a:solidFill>
                    <a:srgbClr val="808000"/>
                  </a:solidFill>
                  <a:latin typeface="Arial Narrow"/>
                </a:rPr>
                <a:t>Show Possible IPLs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49</xdr:row>
          <xdr:rowOff>146050</xdr:rowOff>
        </xdr:from>
        <xdr:to>
          <xdr:col>4</xdr:col>
          <xdr:colOff>171450</xdr:colOff>
          <xdr:row>50</xdr:row>
          <xdr:rowOff>171450</xdr:rowOff>
        </xdr:to>
        <xdr:sp macro="" textlink="">
          <xdr:nvSpPr>
            <xdr:cNvPr id="1216527" name="Button 15" hidden="1">
              <a:extLst>
                <a:ext uri="{63B3BB69-23CF-44E3-9099-C40C66FF867C}">
                  <a14:compatExt spid="_x0000_s1216527"/>
                </a:ext>
                <a:ext uri="{FF2B5EF4-FFF2-40B4-BE49-F238E27FC236}">
                  <a16:creationId xmlns:a16="http://schemas.microsoft.com/office/drawing/2014/main" id="{00000000-0008-0000-0200-00000F901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1" i="0" u="none" strike="noStrike" baseline="0">
                  <a:solidFill>
                    <a:srgbClr val="808000"/>
                  </a:solidFill>
                  <a:latin typeface="Arial Narrow"/>
                </a:rPr>
                <a:t>Hide Possible IPLs</a:t>
              </a:r>
            </a:p>
          </xdr:txBody>
        </xdr:sp>
        <xdr:clientData fPrintsWithSheet="0"/>
      </xdr:twoCellAnchor>
    </mc:Choice>
    <mc:Fallback/>
  </mc:AlternateContent>
  <xdr:twoCellAnchor>
    <xdr:from>
      <xdr:col>21</xdr:col>
      <xdr:colOff>199571</xdr:colOff>
      <xdr:row>12</xdr:row>
      <xdr:rowOff>117929</xdr:rowOff>
    </xdr:from>
    <xdr:to>
      <xdr:col>21</xdr:col>
      <xdr:colOff>211364</xdr:colOff>
      <xdr:row>30</xdr:row>
      <xdr:rowOff>127000</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flipH="1">
          <a:off x="18705285" y="2050143"/>
          <a:ext cx="11793" cy="298450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49757</xdr:colOff>
      <xdr:row>37</xdr:row>
      <xdr:rowOff>144318</xdr:rowOff>
    </xdr:from>
    <xdr:to>
      <xdr:col>19</xdr:col>
      <xdr:colOff>548408</xdr:colOff>
      <xdr:row>37</xdr:row>
      <xdr:rowOff>144593</xdr:rowOff>
    </xdr:to>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flipH="1">
          <a:off x="15491802" y="6176818"/>
          <a:ext cx="2317061" cy="27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0</xdr:colOff>
      <xdr:row>7</xdr:row>
      <xdr:rowOff>0</xdr:rowOff>
    </xdr:from>
    <xdr:to>
      <xdr:col>24</xdr:col>
      <xdr:colOff>0</xdr:colOff>
      <xdr:row>7</xdr:row>
      <xdr:rowOff>0</xdr:rowOff>
    </xdr:to>
    <xdr:graphicFrame macro="">
      <xdr:nvGraphicFramePr>
        <xdr:cNvPr id="3" name="Chart 26">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152400</xdr:colOff>
          <xdr:row>23</xdr:row>
          <xdr:rowOff>12700</xdr:rowOff>
        </xdr:from>
        <xdr:to>
          <xdr:col>7</xdr:col>
          <xdr:colOff>76200</xdr:colOff>
          <xdr:row>25</xdr:row>
          <xdr:rowOff>38100</xdr:rowOff>
        </xdr:to>
        <xdr:sp macro="" textlink="">
          <xdr:nvSpPr>
            <xdr:cNvPr id="959504" name="Calculate" hidden="1">
              <a:extLst>
                <a:ext uri="{63B3BB69-23CF-44E3-9099-C40C66FF867C}">
                  <a14:compatExt spid="_x0000_s959504"/>
                </a:ext>
                <a:ext uri="{FF2B5EF4-FFF2-40B4-BE49-F238E27FC236}">
                  <a16:creationId xmlns:a16="http://schemas.microsoft.com/office/drawing/2014/main" id="{00000000-0008-0000-0300-000010A4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FF"/>
                  </a:solidFill>
                  <a:latin typeface="Arial"/>
                  <a:cs typeface="Arial"/>
                </a:rPr>
                <a:t>Update Scenarios for </a:t>
              </a:r>
            </a:p>
            <a:p>
              <a:pPr algn="ctr" rtl="0">
                <a:defRPr sz="1000"/>
              </a:pPr>
              <a:r>
                <a:rPr lang="en-US" sz="900" b="1" i="0" u="none" strike="noStrike" baseline="0">
                  <a:solidFill>
                    <a:srgbClr val="0000FF"/>
                  </a:solidFill>
                  <a:latin typeface="Arial"/>
                  <a:cs typeface="Arial"/>
                </a:rPr>
                <a:t>Equipment Loaded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17</xdr:row>
          <xdr:rowOff>31750</xdr:rowOff>
        </xdr:from>
        <xdr:to>
          <xdr:col>11</xdr:col>
          <xdr:colOff>146050</xdr:colOff>
          <xdr:row>18</xdr:row>
          <xdr:rowOff>31750</xdr:rowOff>
        </xdr:to>
        <xdr:sp macro="" textlink="">
          <xdr:nvSpPr>
            <xdr:cNvPr id="959505" name="Scenario Results" hidden="1">
              <a:extLst>
                <a:ext uri="{63B3BB69-23CF-44E3-9099-C40C66FF867C}">
                  <a14:compatExt spid="_x0000_s959505"/>
                </a:ext>
                <a:ext uri="{FF2B5EF4-FFF2-40B4-BE49-F238E27FC236}">
                  <a16:creationId xmlns:a16="http://schemas.microsoft.com/office/drawing/2014/main" id="{00000000-0008-0000-0300-000011A4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Go To Scenario Results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190500</xdr:colOff>
          <xdr:row>26</xdr:row>
          <xdr:rowOff>146050</xdr:rowOff>
        </xdr:from>
        <xdr:to>
          <xdr:col>24</xdr:col>
          <xdr:colOff>114300</xdr:colOff>
          <xdr:row>28</xdr:row>
          <xdr:rowOff>0</xdr:rowOff>
        </xdr:to>
        <xdr:sp macro="" textlink="">
          <xdr:nvSpPr>
            <xdr:cNvPr id="959507" name="Risk_Graph" hidden="1">
              <a:extLst>
                <a:ext uri="{63B3BB69-23CF-44E3-9099-C40C66FF867C}">
                  <a14:compatExt spid="_x0000_s959507"/>
                </a:ext>
                <a:ext uri="{FF2B5EF4-FFF2-40B4-BE49-F238E27FC236}">
                  <a16:creationId xmlns:a16="http://schemas.microsoft.com/office/drawing/2014/main" id="{00000000-0008-0000-0300-000013A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Risk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23</xdr:row>
          <xdr:rowOff>0</xdr:rowOff>
        </xdr:from>
        <xdr:to>
          <xdr:col>12</xdr:col>
          <xdr:colOff>127000</xdr:colOff>
          <xdr:row>25</xdr:row>
          <xdr:rowOff>50800</xdr:rowOff>
        </xdr:to>
        <xdr:sp macro="" textlink="">
          <xdr:nvSpPr>
            <xdr:cNvPr id="959509" name="Calculate_All" hidden="1">
              <a:extLst>
                <a:ext uri="{63B3BB69-23CF-44E3-9099-C40C66FF867C}">
                  <a14:compatExt spid="_x0000_s959509"/>
                </a:ext>
                <a:ext uri="{FF2B5EF4-FFF2-40B4-BE49-F238E27FC236}">
                  <a16:creationId xmlns:a16="http://schemas.microsoft.com/office/drawing/2014/main" id="{00000000-0008-0000-0300-000015A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000000"/>
                  </a:solidFill>
                  <a:latin typeface="Arial"/>
                  <a:cs typeface="Arial"/>
                </a:rPr>
                <a:t>Update Scenarios for </a:t>
              </a:r>
            </a:p>
            <a:p>
              <a:pPr algn="ctr" rtl="0">
                <a:defRPr sz="1000"/>
              </a:pPr>
              <a:r>
                <a:rPr lang="en-US" sz="800" b="0" i="0" u="none" strike="noStrike" baseline="0">
                  <a:solidFill>
                    <a:srgbClr val="000000"/>
                  </a:solidFill>
                  <a:latin typeface="Arial"/>
                  <a:cs typeface="Arial"/>
                </a:rPr>
                <a:t>ALL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0</xdr:row>
          <xdr:rowOff>127000</xdr:rowOff>
        </xdr:from>
        <xdr:to>
          <xdr:col>7</xdr:col>
          <xdr:colOff>114300</xdr:colOff>
          <xdr:row>1</xdr:row>
          <xdr:rowOff>114300</xdr:rowOff>
        </xdr:to>
        <xdr:sp macro="" textlink="">
          <xdr:nvSpPr>
            <xdr:cNvPr id="959517" name="Main Menu" hidden="1">
              <a:extLst>
                <a:ext uri="{63B3BB69-23CF-44E3-9099-C40C66FF867C}">
                  <a14:compatExt spid="_x0000_s959517"/>
                </a:ext>
                <a:ext uri="{FF2B5EF4-FFF2-40B4-BE49-F238E27FC236}">
                  <a16:creationId xmlns:a16="http://schemas.microsoft.com/office/drawing/2014/main" id="{00000000-0008-0000-0300-00001DA4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222250</xdr:colOff>
          <xdr:row>0</xdr:row>
          <xdr:rowOff>114300</xdr:rowOff>
        </xdr:from>
        <xdr:to>
          <xdr:col>25</xdr:col>
          <xdr:colOff>0</xdr:colOff>
          <xdr:row>1</xdr:row>
          <xdr:rowOff>76200</xdr:rowOff>
        </xdr:to>
        <xdr:sp macro="" textlink="">
          <xdr:nvSpPr>
            <xdr:cNvPr id="959520" name="Clear Input" hidden="1">
              <a:extLst>
                <a:ext uri="{63B3BB69-23CF-44E3-9099-C40C66FF867C}">
                  <a14:compatExt spid="_x0000_s959520"/>
                </a:ext>
                <a:ext uri="{FF2B5EF4-FFF2-40B4-BE49-F238E27FC236}">
                  <a16:creationId xmlns:a16="http://schemas.microsoft.com/office/drawing/2014/main" id="{00000000-0008-0000-0300-000020A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FF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12700</xdr:colOff>
          <xdr:row>22</xdr:row>
          <xdr:rowOff>152400</xdr:rowOff>
        </xdr:from>
        <xdr:to>
          <xdr:col>24</xdr:col>
          <xdr:colOff>127000</xdr:colOff>
          <xdr:row>24</xdr:row>
          <xdr:rowOff>31750</xdr:rowOff>
        </xdr:to>
        <xdr:sp macro="" textlink="">
          <xdr:nvSpPr>
            <xdr:cNvPr id="959527" name="MART-MALR" hidden="1">
              <a:extLst>
                <a:ext uri="{63B3BB69-23CF-44E3-9099-C40C66FF867C}">
                  <a14:compatExt spid="_x0000_s959527"/>
                </a:ext>
                <a:ext uri="{FF2B5EF4-FFF2-40B4-BE49-F238E27FC236}">
                  <a16:creationId xmlns:a16="http://schemas.microsoft.com/office/drawing/2014/main" id="{00000000-0008-0000-0300-000027A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MART-MALR Estimation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203200</xdr:colOff>
          <xdr:row>21</xdr:row>
          <xdr:rowOff>0</xdr:rowOff>
        </xdr:from>
        <xdr:to>
          <xdr:col>12</xdr:col>
          <xdr:colOff>114300</xdr:colOff>
          <xdr:row>21</xdr:row>
          <xdr:rowOff>152400</xdr:rowOff>
        </xdr:to>
        <xdr:sp macro="" textlink="">
          <xdr:nvSpPr>
            <xdr:cNvPr id="959530" name="Button 42" hidden="1">
              <a:extLst>
                <a:ext uri="{63B3BB69-23CF-44E3-9099-C40C66FF867C}">
                  <a14:compatExt spid="_x0000_s959530"/>
                </a:ext>
                <a:ext uri="{FF2B5EF4-FFF2-40B4-BE49-F238E27FC236}">
                  <a16:creationId xmlns:a16="http://schemas.microsoft.com/office/drawing/2014/main" id="{00000000-0008-0000-0300-00002AA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339966"/>
                  </a:solidFill>
                  <a:latin typeface="Arial"/>
                  <a:cs typeface="Arial"/>
                </a:rPr>
                <a:t>Guidance for Selection of IPLs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31750</xdr:colOff>
          <xdr:row>21</xdr:row>
          <xdr:rowOff>0</xdr:rowOff>
        </xdr:from>
        <xdr:to>
          <xdr:col>24</xdr:col>
          <xdr:colOff>127000</xdr:colOff>
          <xdr:row>22</xdr:row>
          <xdr:rowOff>38100</xdr:rowOff>
        </xdr:to>
        <xdr:sp macro="" textlink="">
          <xdr:nvSpPr>
            <xdr:cNvPr id="959531" name="Pool Fire" hidden="1">
              <a:extLst>
                <a:ext uri="{63B3BB69-23CF-44E3-9099-C40C66FF867C}">
                  <a14:compatExt spid="_x0000_s959531"/>
                </a:ext>
                <a:ext uri="{FF2B5EF4-FFF2-40B4-BE49-F238E27FC236}">
                  <a16:creationId xmlns:a16="http://schemas.microsoft.com/office/drawing/2014/main" id="{00000000-0008-0000-0300-00002BA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Pool Fire Evaluation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18</xdr:row>
          <xdr:rowOff>114300</xdr:rowOff>
        </xdr:from>
        <xdr:to>
          <xdr:col>11</xdr:col>
          <xdr:colOff>146050</xdr:colOff>
          <xdr:row>20</xdr:row>
          <xdr:rowOff>0</xdr:rowOff>
        </xdr:to>
        <xdr:sp macro="" textlink="">
          <xdr:nvSpPr>
            <xdr:cNvPr id="959539" name="Go To Equipment Table" hidden="1">
              <a:extLst>
                <a:ext uri="{63B3BB69-23CF-44E3-9099-C40C66FF867C}">
                  <a14:compatExt spid="_x0000_s959539"/>
                </a:ext>
                <a:ext uri="{FF2B5EF4-FFF2-40B4-BE49-F238E27FC236}">
                  <a16:creationId xmlns:a16="http://schemas.microsoft.com/office/drawing/2014/main" id="{00000000-0008-0000-0300-000033A4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Go to Equipment Table &gt;</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55</xdr:col>
          <xdr:colOff>76200</xdr:colOff>
          <xdr:row>186</xdr:row>
          <xdr:rowOff>69850</xdr:rowOff>
        </xdr:from>
        <xdr:ext cx="806450" cy="165100"/>
        <xdr:sp macro="" textlink="">
          <xdr:nvSpPr>
            <xdr:cNvPr id="959544" name="Pool Fire" hidden="1">
              <a:extLst>
                <a:ext uri="{63B3BB69-23CF-44E3-9099-C40C66FF867C}">
                  <a14:compatExt spid="_x0000_s959544"/>
                </a:ext>
                <a:ext uri="{FF2B5EF4-FFF2-40B4-BE49-F238E27FC236}">
                  <a16:creationId xmlns:a16="http://schemas.microsoft.com/office/drawing/2014/main" id="{00000000-0008-0000-0300-000038A40E00}"/>
                </a:ext>
              </a:extLst>
            </xdr:cNvPr>
            <xdr:cNvSpPr/>
          </xdr:nvSpPr>
          <xdr:spPr bwMode="auto">
            <a:xfrm>
              <a:off x="0" y="0"/>
              <a:ext cx="0" cy="0"/>
            </a:xfrm>
            <a:prstGeom prst="rect">
              <a:avLst/>
            </a:prstGeom>
            <a:noFill/>
            <a:ln w="9525">
              <a:miter lim="800000"/>
              <a:headEnd/>
              <a:tailEnd/>
            </a:ln>
          </xdr:spPr>
          <xdr:txBody>
            <a:bodyPr wrap="none" lIns="27432" tIns="22860" rIns="27432" bIns="22860" anchor="ctr" upright="1">
              <a:spAutoFit/>
            </a:bodyPr>
            <a:lstStyle/>
            <a:p>
              <a:pPr algn="ctr" rtl="0">
                <a:defRPr sz="1000"/>
              </a:pPr>
              <a:r>
                <a:rPr lang="en-US" sz="800" b="0" i="0" u="none" strike="noStrike" baseline="0">
                  <a:solidFill>
                    <a:srgbClr val="0000FF"/>
                  </a:solidFill>
                  <a:latin typeface="Arial"/>
                  <a:cs typeface="Arial"/>
                </a:rPr>
                <a:t>Generate IPL List</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20</xdr:col>
          <xdr:colOff>184150</xdr:colOff>
          <xdr:row>24</xdr:row>
          <xdr:rowOff>152400</xdr:rowOff>
        </xdr:from>
        <xdr:to>
          <xdr:col>24</xdr:col>
          <xdr:colOff>107950</xdr:colOff>
          <xdr:row>26</xdr:row>
          <xdr:rowOff>12700</xdr:rowOff>
        </xdr:to>
        <xdr:sp macro="" textlink="">
          <xdr:nvSpPr>
            <xdr:cNvPr id="959545" name="Risk_Graph" hidden="1">
              <a:extLst>
                <a:ext uri="{63B3BB69-23CF-44E3-9099-C40C66FF867C}">
                  <a14:compatExt spid="_x0000_s959545"/>
                </a:ext>
                <a:ext uri="{FF2B5EF4-FFF2-40B4-BE49-F238E27FC236}">
                  <a16:creationId xmlns:a16="http://schemas.microsoft.com/office/drawing/2014/main" id="{00000000-0008-0000-0300-000039A40E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Create IPL List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2247900</xdr:colOff>
          <xdr:row>0</xdr:row>
          <xdr:rowOff>127000</xdr:rowOff>
        </xdr:from>
        <xdr:ext cx="1568450" cy="196850"/>
        <xdr:sp macro="" textlink="">
          <xdr:nvSpPr>
            <xdr:cNvPr id="3194" name="Delete_User_Chemicals" hidden="1">
              <a:extLst>
                <a:ext uri="{63B3BB69-23CF-44E3-9099-C40C66FF867C}">
                  <a14:compatExt spid="_x0000_s3194"/>
                </a:ext>
                <a:ext uri="{FF2B5EF4-FFF2-40B4-BE49-F238E27FC236}">
                  <a16:creationId xmlns:a16="http://schemas.microsoft.com/office/drawing/2014/main" id="{00000000-0008-0000-0400-00007A0C0000}"/>
                </a:ext>
              </a:extLst>
            </xdr:cNvPr>
            <xdr:cNvSpPr/>
          </xdr:nvSpPr>
          <xdr:spPr bwMode="auto">
            <a:xfrm>
              <a:off x="0" y="0"/>
              <a:ext cx="0" cy="0"/>
            </a:xfrm>
            <a:prstGeom prst="rect">
              <a:avLst/>
            </a:prstGeom>
            <a:noFill/>
            <a:ln w="9525">
              <a:miter lim="800000"/>
              <a:headEnd/>
              <a:tailEnd/>
            </a:ln>
          </xdr:spPr>
          <xdr:txBody>
            <a:bodyPr wrap="none" lIns="27432" tIns="27432" rIns="27432" bIns="27432" anchor="ctr" upright="1">
              <a:spAutoFit/>
            </a:bodyPr>
            <a:lstStyle/>
            <a:p>
              <a:pPr algn="ctr" rtl="0">
                <a:defRPr sz="1000"/>
              </a:pPr>
              <a:r>
                <a:rPr lang="en-US" sz="1000" b="0" i="0" u="none" strike="noStrike" baseline="0">
                  <a:solidFill>
                    <a:srgbClr val="FF0000"/>
                  </a:solidFill>
                  <a:latin typeface="Arial"/>
                  <a:cs typeface="Arial"/>
                </a:rPr>
                <a:t>Delete ALL User Chemicals</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304800</xdr:colOff>
          <xdr:row>0</xdr:row>
          <xdr:rowOff>127000</xdr:rowOff>
        </xdr:from>
        <xdr:ext cx="1771650" cy="196850"/>
        <xdr:sp macro="" textlink="">
          <xdr:nvSpPr>
            <xdr:cNvPr id="3263" name="Button 191" hidden="1">
              <a:extLst>
                <a:ext uri="{63B3BB69-23CF-44E3-9099-C40C66FF867C}">
                  <a14:compatExt spid="_x0000_s3263"/>
                </a:ext>
                <a:ext uri="{FF2B5EF4-FFF2-40B4-BE49-F238E27FC236}">
                  <a16:creationId xmlns:a16="http://schemas.microsoft.com/office/drawing/2014/main" id="{00000000-0008-0000-0400-0000BF0C0000}"/>
                </a:ext>
              </a:extLst>
            </xdr:cNvPr>
            <xdr:cNvSpPr/>
          </xdr:nvSpPr>
          <xdr:spPr bwMode="auto">
            <a:xfrm>
              <a:off x="0" y="0"/>
              <a:ext cx="0" cy="0"/>
            </a:xfrm>
            <a:prstGeom prst="rect">
              <a:avLst/>
            </a:prstGeom>
            <a:noFill/>
            <a:ln w="9525">
              <a:miter lim="800000"/>
              <a:headEnd/>
              <a:tailEnd/>
            </a:ln>
          </xdr:spPr>
          <xdr:txBody>
            <a:bodyPr wrap="none" lIns="27432" tIns="27432" rIns="27432" bIns="27432" anchor="ctr" upright="1">
              <a:spAutoFit/>
            </a:bodyPr>
            <a:lstStyle/>
            <a:p>
              <a:pPr algn="ctr" rtl="0">
                <a:defRPr sz="1000"/>
              </a:pPr>
              <a:r>
                <a:rPr lang="en-US" sz="1000" b="0" i="0" u="none" strike="noStrike" baseline="0">
                  <a:solidFill>
                    <a:srgbClr val="FF0000"/>
                  </a:solidFill>
                  <a:latin typeface="Arial"/>
                  <a:cs typeface="Arial"/>
                </a:rPr>
                <a:t>Delete Selected User Chemical</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0</xdr:row>
          <xdr:rowOff>50800</xdr:rowOff>
        </xdr:from>
        <xdr:to>
          <xdr:col>0</xdr:col>
          <xdr:colOff>127000</xdr:colOff>
          <xdr:row>0</xdr:row>
          <xdr:rowOff>50800</xdr:rowOff>
        </xdr:to>
        <xdr:sp macro="" textlink="">
          <xdr:nvSpPr>
            <xdr:cNvPr id="3264" name="Button 192" hidden="1">
              <a:extLst>
                <a:ext uri="{63B3BB69-23CF-44E3-9099-C40C66FF867C}">
                  <a14:compatExt spid="_x0000_s3264"/>
                </a:ext>
                <a:ext uri="{FF2B5EF4-FFF2-40B4-BE49-F238E27FC236}">
                  <a16:creationId xmlns:a16="http://schemas.microsoft.com/office/drawing/2014/main" id="{00000000-0008-0000-0400-0000C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8000"/>
                  </a:solidFill>
                  <a:latin typeface="Arial"/>
                  <a:cs typeface="Arial"/>
                </a:rPr>
                <a:t>&lt; Go To New Chemical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1562100</xdr:colOff>
          <xdr:row>0</xdr:row>
          <xdr:rowOff>88900</xdr:rowOff>
        </xdr:from>
        <xdr:to>
          <xdr:col>0</xdr:col>
          <xdr:colOff>2203450</xdr:colOff>
          <xdr:row>0</xdr:row>
          <xdr:rowOff>476250</xdr:rowOff>
        </xdr:to>
        <xdr:sp macro="" textlink="">
          <xdr:nvSpPr>
            <xdr:cNvPr id="8194" name="Load_Selected_Equipment"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Arial"/>
                  <a:cs typeface="Arial"/>
                </a:rPr>
                <a:t>Load</a:t>
              </a:r>
            </a:p>
            <a:p>
              <a:pPr algn="ctr" rtl="0">
                <a:defRPr sz="1000"/>
              </a:pPr>
              <a:r>
                <a:rPr lang="en-US" sz="1000" b="1" i="0" u="none" strike="noStrike" baseline="0">
                  <a:solidFill>
                    <a:srgbClr val="0000FF"/>
                  </a:solidFill>
                  <a:latin typeface="Arial"/>
                  <a:cs typeface="Arial"/>
                </a:rPr>
                <a:t>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355600</xdr:colOff>
          <xdr:row>0</xdr:row>
          <xdr:rowOff>127000</xdr:rowOff>
        </xdr:from>
        <xdr:to>
          <xdr:col>6</xdr:col>
          <xdr:colOff>774700</xdr:colOff>
          <xdr:row>0</xdr:row>
          <xdr:rowOff>317500</xdr:rowOff>
        </xdr:to>
        <xdr:sp macro="" textlink="">
          <xdr:nvSpPr>
            <xdr:cNvPr id="8197" name="Clear_Equipment_Table"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FF0000"/>
                  </a:solidFill>
                  <a:latin typeface="Arial"/>
                  <a:cs typeface="Arial"/>
                </a:rPr>
                <a:t>Clear Equipment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355600</xdr:colOff>
          <xdr:row>0</xdr:row>
          <xdr:rowOff>393700</xdr:rowOff>
        </xdr:from>
        <xdr:to>
          <xdr:col>9</xdr:col>
          <xdr:colOff>546100</xdr:colOff>
          <xdr:row>0</xdr:row>
          <xdr:rowOff>584200</xdr:rowOff>
        </xdr:to>
        <xdr:sp macro="" textlink="">
          <xdr:nvSpPr>
            <xdr:cNvPr id="8200" name="Go_To_Results"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Go To Scenario Results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457200</xdr:colOff>
          <xdr:row>0</xdr:row>
          <xdr:rowOff>69850</xdr:rowOff>
        </xdr:from>
        <xdr:to>
          <xdr:col>9</xdr:col>
          <xdr:colOff>565150</xdr:colOff>
          <xdr:row>0</xdr:row>
          <xdr:rowOff>260350</xdr:rowOff>
        </xdr:to>
        <xdr:sp macro="" textlink="">
          <xdr:nvSpPr>
            <xdr:cNvPr id="8202" name="Go_To_Input" hidden="1">
              <a:extLst>
                <a:ext uri="{63B3BB69-23CF-44E3-9099-C40C66FF867C}">
                  <a14:compatExt spid="_x0000_s8202"/>
                </a:ext>
                <a:ext uri="{FF2B5EF4-FFF2-40B4-BE49-F238E27FC236}">
                  <a16:creationId xmlns:a16="http://schemas.microsoft.com/office/drawing/2014/main" id="{00000000-0008-0000-0500-00000A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Go to Equipment Input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0</xdr:row>
          <xdr:rowOff>69850</xdr:rowOff>
        </xdr:from>
        <xdr:to>
          <xdr:col>1</xdr:col>
          <xdr:colOff>1257300</xdr:colOff>
          <xdr:row>0</xdr:row>
          <xdr:rowOff>393700</xdr:rowOff>
        </xdr:to>
        <xdr:sp macro="" textlink="">
          <xdr:nvSpPr>
            <xdr:cNvPr id="8461" name="Calculate" hidden="1">
              <a:extLst>
                <a:ext uri="{63B3BB69-23CF-44E3-9099-C40C66FF867C}">
                  <a14:compatExt spid="_x0000_s8461"/>
                </a:ext>
                <a:ext uri="{FF2B5EF4-FFF2-40B4-BE49-F238E27FC236}">
                  <a16:creationId xmlns:a16="http://schemas.microsoft.com/office/drawing/2014/main" id="{00000000-0008-0000-0500-00000D21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000000"/>
                  </a:solidFill>
                  <a:latin typeface="Arial"/>
                  <a:cs typeface="Arial"/>
                </a:rPr>
                <a:t>Update Scenarios for </a:t>
              </a:r>
            </a:p>
            <a:p>
              <a:pPr algn="ctr" rtl="0">
                <a:defRPr sz="1000"/>
              </a:pPr>
              <a:r>
                <a:rPr lang="en-US" sz="800" b="0" i="0" u="none" strike="noStrike" baseline="0">
                  <a:solidFill>
                    <a:srgbClr val="000000"/>
                  </a:solidFill>
                  <a:latin typeface="Arial"/>
                  <a:cs typeface="Arial"/>
                </a:rPr>
                <a:t>Equipment Loaded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69850</xdr:rowOff>
        </xdr:from>
        <xdr:to>
          <xdr:col>2</xdr:col>
          <xdr:colOff>1212850</xdr:colOff>
          <xdr:row>0</xdr:row>
          <xdr:rowOff>393700</xdr:rowOff>
        </xdr:to>
        <xdr:sp macro="" textlink="">
          <xdr:nvSpPr>
            <xdr:cNvPr id="8462" name="Calculate_All" hidden="1">
              <a:extLst>
                <a:ext uri="{63B3BB69-23CF-44E3-9099-C40C66FF867C}">
                  <a14:compatExt spid="_x0000_s8462"/>
                </a:ext>
                <a:ext uri="{FF2B5EF4-FFF2-40B4-BE49-F238E27FC236}">
                  <a16:creationId xmlns:a16="http://schemas.microsoft.com/office/drawing/2014/main" id="{00000000-0008-0000-0500-00000E21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000000"/>
                  </a:solidFill>
                  <a:latin typeface="Arial"/>
                  <a:cs typeface="Arial"/>
                </a:rPr>
                <a:t>Update Scenarios for </a:t>
              </a:r>
            </a:p>
            <a:p>
              <a:pPr algn="ctr" rtl="0">
                <a:defRPr sz="1000"/>
              </a:pPr>
              <a:r>
                <a:rPr lang="en-US" sz="800" b="0" i="0" u="none" strike="noStrike" baseline="0">
                  <a:solidFill>
                    <a:srgbClr val="000000"/>
                  </a:solidFill>
                  <a:latin typeface="Arial"/>
                  <a:cs typeface="Arial"/>
                </a:rPr>
                <a:t>ALL Equipment</a:t>
              </a:r>
            </a:p>
          </xdr:txBody>
        </xdr:sp>
        <xdr:clientData fPrintsWithSheet="0"/>
      </xdr:twoCellAnchor>
    </mc:Choice>
    <mc:Fallback/>
  </mc:AlternateContent>
  <xdr:twoCellAnchor editAs="absolute">
    <xdr:from>
      <xdr:col>2</xdr:col>
      <xdr:colOff>1343820</xdr:colOff>
      <xdr:row>0</xdr:row>
      <xdr:rowOff>179916</xdr:rowOff>
    </xdr:from>
    <xdr:to>
      <xdr:col>4</xdr:col>
      <xdr:colOff>202444</xdr:colOff>
      <xdr:row>0</xdr:row>
      <xdr:rowOff>666961</xdr:rowOff>
    </xdr:to>
    <xdr:sp macro="" textlink="Equipment_Tag">
      <xdr:nvSpPr>
        <xdr:cNvPr id="9" name="Rectangle 18">
          <a:extLst>
            <a:ext uri="{FF2B5EF4-FFF2-40B4-BE49-F238E27FC236}">
              <a16:creationId xmlns:a16="http://schemas.microsoft.com/office/drawing/2014/main" id="{00000000-0008-0000-0500-000009000000}"/>
            </a:ext>
          </a:extLst>
        </xdr:cNvPr>
        <xdr:cNvSpPr>
          <a:spLocks noChangeArrowheads="1" noTextEdit="1"/>
        </xdr:cNvSpPr>
      </xdr:nvSpPr>
      <xdr:spPr bwMode="auto">
        <a:xfrm>
          <a:off x="4857751" y="179916"/>
          <a:ext cx="1515041" cy="487045"/>
        </a:xfrm>
        <a:prstGeom prst="rect">
          <a:avLst/>
        </a:prstGeom>
        <a:solidFill>
          <a:srgbClr val="FFFFFF"/>
        </a:solidFill>
        <a:ln w="9525">
          <a:solidFill>
            <a:srgbClr val="000000"/>
          </a:solidFill>
          <a:miter lim="800000"/>
          <a:headEnd/>
          <a:tailEnd/>
        </a:ln>
      </xdr:spPr>
      <xdr:txBody>
        <a:bodyPr/>
        <a:lstStyle/>
        <a:p>
          <a:fld id="{57140997-E873-4B22-B4B1-8027F1F701A3}" type="TxLink">
            <a:rPr lang="en-US" sz="1000" b="1" i="0" u="none" strike="noStrike">
              <a:solidFill>
                <a:srgbClr val="0000FF"/>
              </a:solidFill>
              <a:latin typeface="Arial Narrow"/>
            </a:rPr>
            <a:pPr/>
            <a:t> </a:t>
          </a:fld>
          <a:endParaRPr lang="en-US"/>
        </a:p>
      </xdr:txBody>
    </xdr:sp>
    <xdr:clientData/>
  </xdr:twoCellAnchor>
  <xdr:twoCellAnchor editAs="absolute">
    <xdr:from>
      <xdr:col>2</xdr:col>
      <xdr:colOff>1428623</xdr:colOff>
      <xdr:row>0</xdr:row>
      <xdr:rowOff>0</xdr:rowOff>
    </xdr:from>
    <xdr:to>
      <xdr:col>4</xdr:col>
      <xdr:colOff>104941</xdr:colOff>
      <xdr:row>0</xdr:row>
      <xdr:rowOff>219075</xdr:rowOff>
    </xdr:to>
    <xdr:sp macro="" textlink="">
      <xdr:nvSpPr>
        <xdr:cNvPr id="10" name="Rectangle 19">
          <a:extLst>
            <a:ext uri="{FF2B5EF4-FFF2-40B4-BE49-F238E27FC236}">
              <a16:creationId xmlns:a16="http://schemas.microsoft.com/office/drawing/2014/main" id="{00000000-0008-0000-0500-00000A000000}"/>
            </a:ext>
          </a:extLst>
        </xdr:cNvPr>
        <xdr:cNvSpPr>
          <a:spLocks noChangeArrowheads="1"/>
        </xdr:cNvSpPr>
      </xdr:nvSpPr>
      <xdr:spPr bwMode="auto">
        <a:xfrm>
          <a:off x="4948904" y="0"/>
          <a:ext cx="1332735" cy="219075"/>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1000" b="1" i="0" u="none" strike="noStrike" baseline="0">
              <a:solidFill>
                <a:srgbClr val="333399"/>
              </a:solidFill>
              <a:latin typeface="Arial Narrow"/>
            </a:rPr>
            <a:t>Equipment Loaded</a:t>
          </a:r>
        </a:p>
      </xdr:txBody>
    </xdr:sp>
    <xdr:clientData/>
  </xdr:twoCellAnchor>
  <mc:AlternateContent xmlns:mc="http://schemas.openxmlformats.org/markup-compatibility/2006">
    <mc:Choice xmlns:a14="http://schemas.microsoft.com/office/drawing/2010/main" Requires="a14">
      <xdr:twoCellAnchor>
        <xdr:from>
          <xdr:col>0</xdr:col>
          <xdr:colOff>1562100</xdr:colOff>
          <xdr:row>0</xdr:row>
          <xdr:rowOff>88900</xdr:rowOff>
        </xdr:from>
        <xdr:to>
          <xdr:col>0</xdr:col>
          <xdr:colOff>2203450</xdr:colOff>
          <xdr:row>0</xdr:row>
          <xdr:rowOff>476250</xdr:rowOff>
        </xdr:to>
        <xdr:sp macro="" textlink="">
          <xdr:nvSpPr>
            <xdr:cNvPr id="8464" name="Load_Selected_Equipment" hidden="1">
              <a:extLst>
                <a:ext uri="{63B3BB69-23CF-44E3-9099-C40C66FF867C}">
                  <a14:compatExt spid="_x0000_s8464"/>
                </a:ext>
                <a:ext uri="{FF2B5EF4-FFF2-40B4-BE49-F238E27FC236}">
                  <a16:creationId xmlns:a16="http://schemas.microsoft.com/office/drawing/2014/main" id="{00000000-0008-0000-0500-0000102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Arial"/>
                  <a:cs typeface="Arial"/>
                </a:rPr>
                <a:t>Load</a:t>
              </a:r>
            </a:p>
            <a:p>
              <a:pPr algn="ctr" rtl="0">
                <a:defRPr sz="1000"/>
              </a:pPr>
              <a:r>
                <a:rPr lang="en-US" sz="1000" b="1" i="0" u="none" strike="noStrike" baseline="0">
                  <a:solidFill>
                    <a:srgbClr val="0000FF"/>
                  </a:solidFill>
                  <a:latin typeface="Arial"/>
                  <a:cs typeface="Arial"/>
                </a:rPr>
                <a:t>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0</xdr:row>
          <xdr:rowOff>95250</xdr:rowOff>
        </xdr:from>
        <xdr:to>
          <xdr:col>0</xdr:col>
          <xdr:colOff>774700</xdr:colOff>
          <xdr:row>0</xdr:row>
          <xdr:rowOff>476250</xdr:rowOff>
        </xdr:to>
        <xdr:sp macro="" textlink="">
          <xdr:nvSpPr>
            <xdr:cNvPr id="8465" name="Layers of Protection Analysis" hidden="1">
              <a:extLst>
                <a:ext uri="{63B3BB69-23CF-44E3-9099-C40C66FF867C}">
                  <a14:compatExt spid="_x0000_s8465"/>
                </a:ext>
                <a:ext uri="{FF2B5EF4-FFF2-40B4-BE49-F238E27FC236}">
                  <a16:creationId xmlns:a16="http://schemas.microsoft.com/office/drawing/2014/main" id="{00000000-0008-0000-0500-0000112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8000"/>
                  </a:solidFill>
                  <a:latin typeface="Arial"/>
                  <a:cs typeface="Arial"/>
                </a:rPr>
                <a:t>&lt; LOPA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850900</xdr:colOff>
          <xdr:row>0</xdr:row>
          <xdr:rowOff>76200</xdr:rowOff>
        </xdr:from>
        <xdr:to>
          <xdr:col>0</xdr:col>
          <xdr:colOff>1498600</xdr:colOff>
          <xdr:row>0</xdr:row>
          <xdr:rowOff>469900</xdr:rowOff>
        </xdr:to>
        <xdr:sp macro="" textlink="">
          <xdr:nvSpPr>
            <xdr:cNvPr id="8466" name="Button 274" hidden="1">
              <a:extLst>
                <a:ext uri="{63B3BB69-23CF-44E3-9099-C40C66FF867C}">
                  <a14:compatExt spid="_x0000_s8466"/>
                </a:ext>
                <a:ext uri="{FF2B5EF4-FFF2-40B4-BE49-F238E27FC236}">
                  <a16:creationId xmlns:a16="http://schemas.microsoft.com/office/drawing/2014/main" id="{00000000-0008-0000-0500-00001221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Main Menu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736600</xdr:colOff>
          <xdr:row>1</xdr:row>
          <xdr:rowOff>88900</xdr:rowOff>
        </xdr:from>
        <xdr:to>
          <xdr:col>10</xdr:col>
          <xdr:colOff>127000</xdr:colOff>
          <xdr:row>2</xdr:row>
          <xdr:rowOff>50800</xdr:rowOff>
        </xdr:to>
        <xdr:sp macro="" textlink="">
          <xdr:nvSpPr>
            <xdr:cNvPr id="10310" name="Button 70" hidden="1">
              <a:extLst>
                <a:ext uri="{63B3BB69-23CF-44E3-9099-C40C66FF867C}">
                  <a14:compatExt spid="_x0000_s10310"/>
                </a:ext>
                <a:ext uri="{FF2B5EF4-FFF2-40B4-BE49-F238E27FC236}">
                  <a16:creationId xmlns:a16="http://schemas.microsoft.com/office/drawing/2014/main" id="{00000000-0008-0000-0600-000046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Go To Process Conditions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1905000</xdr:colOff>
          <xdr:row>1</xdr:row>
          <xdr:rowOff>114300</xdr:rowOff>
        </xdr:from>
        <xdr:to>
          <xdr:col>4</xdr:col>
          <xdr:colOff>508000</xdr:colOff>
          <xdr:row>2</xdr:row>
          <xdr:rowOff>152400</xdr:rowOff>
        </xdr:to>
        <xdr:sp macro="" textlink="">
          <xdr:nvSpPr>
            <xdr:cNvPr id="10598" name="Button 358" hidden="1">
              <a:extLst>
                <a:ext uri="{63B3BB69-23CF-44E3-9099-C40C66FF867C}">
                  <a14:compatExt spid="_x0000_s10598"/>
                </a:ext>
                <a:ext uri="{FF2B5EF4-FFF2-40B4-BE49-F238E27FC236}">
                  <a16:creationId xmlns:a16="http://schemas.microsoft.com/office/drawing/2014/main" id="{00000000-0008-0000-0600-00006629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FF"/>
                  </a:solidFill>
                  <a:latin typeface="Arial"/>
                  <a:cs typeface="Arial"/>
                </a:rPr>
                <a:t>Save All Input to Equipment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1</xdr:row>
          <xdr:rowOff>69850</xdr:rowOff>
        </xdr:from>
        <xdr:to>
          <xdr:col>1</xdr:col>
          <xdr:colOff>1460500</xdr:colOff>
          <xdr:row>2</xdr:row>
          <xdr:rowOff>88900</xdr:rowOff>
        </xdr:to>
        <xdr:sp macro="" textlink="">
          <xdr:nvSpPr>
            <xdr:cNvPr id="221842" name="Button 1682" hidden="1">
              <a:extLst>
                <a:ext uri="{63B3BB69-23CF-44E3-9099-C40C66FF867C}">
                  <a14:compatExt spid="_x0000_s221842"/>
                </a:ext>
                <a:ext uri="{FF2B5EF4-FFF2-40B4-BE49-F238E27FC236}">
                  <a16:creationId xmlns:a16="http://schemas.microsoft.com/office/drawing/2014/main" id="{00000000-0008-0000-0600-00009262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808000"/>
                  </a:solidFill>
                  <a:latin typeface="Arial"/>
                  <a:cs typeface="Arial"/>
                </a:rPr>
                <a:t>Enter New Chemical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146050</xdr:colOff>
          <xdr:row>1</xdr:row>
          <xdr:rowOff>146050</xdr:rowOff>
        </xdr:from>
        <xdr:to>
          <xdr:col>6</xdr:col>
          <xdr:colOff>222250</xdr:colOff>
          <xdr:row>2</xdr:row>
          <xdr:rowOff>107950</xdr:rowOff>
        </xdr:to>
        <xdr:sp macro="" textlink="">
          <xdr:nvSpPr>
            <xdr:cNvPr id="221845" name="Button 1685" hidden="1">
              <a:extLst>
                <a:ext uri="{63B3BB69-23CF-44E3-9099-C40C66FF867C}">
                  <a14:compatExt spid="_x0000_s221845"/>
                </a:ext>
                <a:ext uri="{FF2B5EF4-FFF2-40B4-BE49-F238E27FC236}">
                  <a16:creationId xmlns:a16="http://schemas.microsoft.com/office/drawing/2014/main" id="{00000000-0008-0000-0600-00009562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FF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0</xdr:row>
          <xdr:rowOff>50800</xdr:rowOff>
        </xdr:from>
        <xdr:to>
          <xdr:col>1</xdr:col>
          <xdr:colOff>1422400</xdr:colOff>
          <xdr:row>1</xdr:row>
          <xdr:rowOff>38100</xdr:rowOff>
        </xdr:to>
        <xdr:sp macro="" textlink="">
          <xdr:nvSpPr>
            <xdr:cNvPr id="221864" name="Button 1704" hidden="1">
              <a:extLst>
                <a:ext uri="{63B3BB69-23CF-44E3-9099-C40C66FF867C}">
                  <a14:compatExt spid="_x0000_s221864"/>
                </a:ext>
                <a:ext uri="{FF2B5EF4-FFF2-40B4-BE49-F238E27FC236}">
                  <a16:creationId xmlns:a16="http://schemas.microsoft.com/office/drawing/2014/main" id="{00000000-0008-0000-0600-0000A862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279400</xdr:colOff>
          <xdr:row>2</xdr:row>
          <xdr:rowOff>88900</xdr:rowOff>
        </xdr:from>
        <xdr:to>
          <xdr:col>10</xdr:col>
          <xdr:colOff>127000</xdr:colOff>
          <xdr:row>3</xdr:row>
          <xdr:rowOff>114300</xdr:rowOff>
        </xdr:to>
        <xdr:sp macro="" textlink="">
          <xdr:nvSpPr>
            <xdr:cNvPr id="221872" name="Button 1712" hidden="1">
              <a:extLst>
                <a:ext uri="{63B3BB69-23CF-44E3-9099-C40C66FF867C}">
                  <a14:compatExt spid="_x0000_s221872"/>
                </a:ext>
                <a:ext uri="{FF2B5EF4-FFF2-40B4-BE49-F238E27FC236}">
                  <a16:creationId xmlns:a16="http://schemas.microsoft.com/office/drawing/2014/main" id="{00000000-0008-0000-0600-0000B062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Go To Plant Layout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54</xdr:row>
          <xdr:rowOff>76200</xdr:rowOff>
        </xdr:from>
        <xdr:to>
          <xdr:col>1</xdr:col>
          <xdr:colOff>1066800</xdr:colOff>
          <xdr:row>55</xdr:row>
          <xdr:rowOff>107950</xdr:rowOff>
        </xdr:to>
        <xdr:sp macro="" textlink="">
          <xdr:nvSpPr>
            <xdr:cNvPr id="221877" name="Button 1717" hidden="1">
              <a:extLst>
                <a:ext uri="{63B3BB69-23CF-44E3-9099-C40C66FF867C}">
                  <a14:compatExt spid="_x0000_s221877"/>
                </a:ext>
                <a:ext uri="{FF2B5EF4-FFF2-40B4-BE49-F238E27FC236}">
                  <a16:creationId xmlns:a16="http://schemas.microsoft.com/office/drawing/2014/main" id="{00000000-0008-0000-0600-0000B562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1" i="0" u="none" strike="noStrike" baseline="0">
                  <a:solidFill>
                    <a:srgbClr val="808000"/>
                  </a:solidFill>
                  <a:latin typeface="Arial Narrow"/>
                </a:rPr>
                <a:t>Show Chemical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1333500</xdr:colOff>
          <xdr:row>54</xdr:row>
          <xdr:rowOff>76200</xdr:rowOff>
        </xdr:from>
        <xdr:to>
          <xdr:col>2</xdr:col>
          <xdr:colOff>298450</xdr:colOff>
          <xdr:row>55</xdr:row>
          <xdr:rowOff>107950</xdr:rowOff>
        </xdr:to>
        <xdr:sp macro="" textlink="">
          <xdr:nvSpPr>
            <xdr:cNvPr id="221878" name="Button 1718" hidden="1">
              <a:extLst>
                <a:ext uri="{63B3BB69-23CF-44E3-9099-C40C66FF867C}">
                  <a14:compatExt spid="_x0000_s221878"/>
                </a:ext>
                <a:ext uri="{FF2B5EF4-FFF2-40B4-BE49-F238E27FC236}">
                  <a16:creationId xmlns:a16="http://schemas.microsoft.com/office/drawing/2014/main" id="{00000000-0008-0000-0600-0000B662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1" i="0" u="none" strike="noStrike" baseline="0">
                  <a:solidFill>
                    <a:srgbClr val="808000"/>
                  </a:solidFill>
                  <a:latin typeface="Arial Narrow"/>
                </a:rPr>
                <a:t>Hide Chemical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50800</xdr:colOff>
          <xdr:row>0</xdr:row>
          <xdr:rowOff>76200</xdr:rowOff>
        </xdr:from>
        <xdr:to>
          <xdr:col>10</xdr:col>
          <xdr:colOff>127000</xdr:colOff>
          <xdr:row>1</xdr:row>
          <xdr:rowOff>38100</xdr:rowOff>
        </xdr:to>
        <xdr:sp macro="" textlink="">
          <xdr:nvSpPr>
            <xdr:cNvPr id="221896" name="Button 1736" hidden="1">
              <a:extLst>
                <a:ext uri="{63B3BB69-23CF-44E3-9099-C40C66FF867C}">
                  <a14:compatExt spid="_x0000_s221896"/>
                </a:ext>
                <a:ext uri="{FF2B5EF4-FFF2-40B4-BE49-F238E27FC236}">
                  <a16:creationId xmlns:a16="http://schemas.microsoft.com/office/drawing/2014/main" id="{00000000-0008-0000-0600-0000C862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Go To Equipment Input &gt;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419100</xdr:colOff>
          <xdr:row>1</xdr:row>
          <xdr:rowOff>88900</xdr:rowOff>
        </xdr:from>
        <xdr:to>
          <xdr:col>6</xdr:col>
          <xdr:colOff>1174750</xdr:colOff>
          <xdr:row>2</xdr:row>
          <xdr:rowOff>76200</xdr:rowOff>
        </xdr:to>
        <xdr:sp macro="" textlink="">
          <xdr:nvSpPr>
            <xdr:cNvPr id="5273" name="Button 153" hidden="1">
              <a:extLst>
                <a:ext uri="{63B3BB69-23CF-44E3-9099-C40C66FF867C}">
                  <a14:compatExt spid="_x0000_s5273"/>
                </a:ext>
                <a:ext uri="{FF2B5EF4-FFF2-40B4-BE49-F238E27FC236}">
                  <a16:creationId xmlns:a16="http://schemas.microsoft.com/office/drawing/2014/main" id="{00000000-0008-0000-0700-000099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FF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1822450</xdr:colOff>
          <xdr:row>1</xdr:row>
          <xdr:rowOff>127000</xdr:rowOff>
        </xdr:from>
        <xdr:to>
          <xdr:col>5</xdr:col>
          <xdr:colOff>0</xdr:colOff>
          <xdr:row>2</xdr:row>
          <xdr:rowOff>146050</xdr:rowOff>
        </xdr:to>
        <xdr:sp macro="" textlink="">
          <xdr:nvSpPr>
            <xdr:cNvPr id="5384" name="Button 264" hidden="1">
              <a:extLst>
                <a:ext uri="{63B3BB69-23CF-44E3-9099-C40C66FF867C}">
                  <a14:compatExt spid="_x0000_s5384"/>
                </a:ext>
                <a:ext uri="{FF2B5EF4-FFF2-40B4-BE49-F238E27FC236}">
                  <a16:creationId xmlns:a16="http://schemas.microsoft.com/office/drawing/2014/main" id="{00000000-0008-0000-0700-00000815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FF"/>
                  </a:solidFill>
                  <a:latin typeface="Arial"/>
                  <a:cs typeface="Arial"/>
                </a:rPr>
                <a:t>Save Input to Equipment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1</xdr:row>
          <xdr:rowOff>107950</xdr:rowOff>
        </xdr:from>
        <xdr:to>
          <xdr:col>1</xdr:col>
          <xdr:colOff>1289050</xdr:colOff>
          <xdr:row>2</xdr:row>
          <xdr:rowOff>88900</xdr:rowOff>
        </xdr:to>
        <xdr:sp macro="" textlink="">
          <xdr:nvSpPr>
            <xdr:cNvPr id="5473" name="Button 353" hidden="1">
              <a:extLst>
                <a:ext uri="{63B3BB69-23CF-44E3-9099-C40C66FF867C}">
                  <a14:compatExt spid="_x0000_s5473"/>
                </a:ext>
                <a:ext uri="{FF2B5EF4-FFF2-40B4-BE49-F238E27FC236}">
                  <a16:creationId xmlns:a16="http://schemas.microsoft.com/office/drawing/2014/main" id="{00000000-0008-0000-0700-00006115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&lt; Go To Chemical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0</xdr:row>
          <xdr:rowOff>50800</xdr:rowOff>
        </xdr:from>
        <xdr:to>
          <xdr:col>1</xdr:col>
          <xdr:colOff>1371600</xdr:colOff>
          <xdr:row>1</xdr:row>
          <xdr:rowOff>38100</xdr:rowOff>
        </xdr:to>
        <xdr:sp macro="" textlink="">
          <xdr:nvSpPr>
            <xdr:cNvPr id="757856" name="Button 2144" hidden="1">
              <a:extLst>
                <a:ext uri="{63B3BB69-23CF-44E3-9099-C40C66FF867C}">
                  <a14:compatExt spid="_x0000_s757856"/>
                </a:ext>
                <a:ext uri="{FF2B5EF4-FFF2-40B4-BE49-F238E27FC236}">
                  <a16:creationId xmlns:a16="http://schemas.microsoft.com/office/drawing/2014/main" id="{00000000-0008-0000-0700-00006090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2438400</xdr:colOff>
          <xdr:row>0</xdr:row>
          <xdr:rowOff>69850</xdr:rowOff>
        </xdr:from>
        <xdr:to>
          <xdr:col>9</xdr:col>
          <xdr:colOff>69850</xdr:colOff>
          <xdr:row>1</xdr:row>
          <xdr:rowOff>12700</xdr:rowOff>
        </xdr:to>
        <xdr:sp macro="" textlink="">
          <xdr:nvSpPr>
            <xdr:cNvPr id="757875" name="Button 2163" hidden="1">
              <a:extLst>
                <a:ext uri="{63B3BB69-23CF-44E3-9099-C40C66FF867C}">
                  <a14:compatExt spid="_x0000_s757875"/>
                </a:ext>
                <a:ext uri="{FF2B5EF4-FFF2-40B4-BE49-F238E27FC236}">
                  <a16:creationId xmlns:a16="http://schemas.microsoft.com/office/drawing/2014/main" id="{00000000-0008-0000-0700-000073900B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Go To Process Conditions Input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469900</xdr:colOff>
          <xdr:row>1</xdr:row>
          <xdr:rowOff>88900</xdr:rowOff>
        </xdr:from>
        <xdr:to>
          <xdr:col>9</xdr:col>
          <xdr:colOff>69850</xdr:colOff>
          <xdr:row>2</xdr:row>
          <xdr:rowOff>31750</xdr:rowOff>
        </xdr:to>
        <xdr:sp macro="" textlink="">
          <xdr:nvSpPr>
            <xdr:cNvPr id="757876" name="Button 2164" hidden="1">
              <a:extLst>
                <a:ext uri="{63B3BB69-23CF-44E3-9099-C40C66FF867C}">
                  <a14:compatExt spid="_x0000_s757876"/>
                </a:ext>
                <a:ext uri="{FF2B5EF4-FFF2-40B4-BE49-F238E27FC236}">
                  <a16:creationId xmlns:a16="http://schemas.microsoft.com/office/drawing/2014/main" id="{00000000-0008-0000-0700-000074900B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Go To Plant Layout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412750</xdr:colOff>
          <xdr:row>2</xdr:row>
          <xdr:rowOff>88900</xdr:rowOff>
        </xdr:from>
        <xdr:to>
          <xdr:col>9</xdr:col>
          <xdr:colOff>50800</xdr:colOff>
          <xdr:row>3</xdr:row>
          <xdr:rowOff>114300</xdr:rowOff>
        </xdr:to>
        <xdr:sp macro="" textlink="">
          <xdr:nvSpPr>
            <xdr:cNvPr id="757877" name="Button 2165" hidden="1">
              <a:extLst>
                <a:ext uri="{63B3BB69-23CF-44E3-9099-C40C66FF867C}">
                  <a14:compatExt spid="_x0000_s757877"/>
                </a:ext>
                <a:ext uri="{FF2B5EF4-FFF2-40B4-BE49-F238E27FC236}">
                  <a16:creationId xmlns:a16="http://schemas.microsoft.com/office/drawing/2014/main" id="{00000000-0008-0000-0700-000075900B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Go To Reaction Input &gt;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14</xdr:col>
      <xdr:colOff>371475</xdr:colOff>
      <xdr:row>2</xdr:row>
      <xdr:rowOff>0</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782425" y="495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twoCellAnchor>
    <xdr:from>
      <xdr:col>5</xdr:col>
      <xdr:colOff>5077</xdr:colOff>
      <xdr:row>9</xdr:row>
      <xdr:rowOff>0</xdr:rowOff>
    </xdr:from>
    <xdr:to>
      <xdr:col>5</xdr:col>
      <xdr:colOff>149857</xdr:colOff>
      <xdr:row>18</xdr:row>
      <xdr:rowOff>167640</xdr:rowOff>
    </xdr:to>
    <xdr:sp macro="" textlink="">
      <xdr:nvSpPr>
        <xdr:cNvPr id="4" name="Right Brace 3">
          <a:extLst>
            <a:ext uri="{FF2B5EF4-FFF2-40B4-BE49-F238E27FC236}">
              <a16:creationId xmlns:a16="http://schemas.microsoft.com/office/drawing/2014/main" id="{00000000-0008-0000-0800-000004000000}"/>
            </a:ext>
          </a:extLst>
        </xdr:cNvPr>
        <xdr:cNvSpPr/>
      </xdr:nvSpPr>
      <xdr:spPr>
        <a:xfrm>
          <a:off x="5217157" y="1973580"/>
          <a:ext cx="144780" cy="177546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5</xdr:col>
      <xdr:colOff>237315</xdr:colOff>
      <xdr:row>9</xdr:row>
      <xdr:rowOff>181427</xdr:rowOff>
    </xdr:from>
    <xdr:to>
      <xdr:col>5</xdr:col>
      <xdr:colOff>382095</xdr:colOff>
      <xdr:row>16</xdr:row>
      <xdr:rowOff>177799</xdr:rowOff>
    </xdr:to>
    <xdr:sp macro="" textlink="">
      <xdr:nvSpPr>
        <xdr:cNvPr id="5" name="Right Brace 4">
          <a:extLst>
            <a:ext uri="{FF2B5EF4-FFF2-40B4-BE49-F238E27FC236}">
              <a16:creationId xmlns:a16="http://schemas.microsoft.com/office/drawing/2014/main" id="{00000000-0008-0000-0800-000005000000}"/>
            </a:ext>
          </a:extLst>
        </xdr:cNvPr>
        <xdr:cNvSpPr/>
      </xdr:nvSpPr>
      <xdr:spPr>
        <a:xfrm flipH="1" flipV="1">
          <a:off x="4999815" y="2155007"/>
          <a:ext cx="144780" cy="1246052"/>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5</xdr:col>
      <xdr:colOff>149857</xdr:colOff>
      <xdr:row>13</xdr:row>
      <xdr:rowOff>80553</xdr:rowOff>
    </xdr:from>
    <xdr:to>
      <xdr:col>5</xdr:col>
      <xdr:colOff>237315</xdr:colOff>
      <xdr:row>13</xdr:row>
      <xdr:rowOff>163830</xdr:rowOff>
    </xdr:to>
    <xdr:cxnSp macro="">
      <xdr:nvCxnSpPr>
        <xdr:cNvPr id="7" name="Straight Connector 6">
          <a:extLst>
            <a:ext uri="{FF2B5EF4-FFF2-40B4-BE49-F238E27FC236}">
              <a16:creationId xmlns:a16="http://schemas.microsoft.com/office/drawing/2014/main" id="{00000000-0008-0000-0800-000007000000}"/>
            </a:ext>
          </a:extLst>
        </xdr:cNvPr>
        <xdr:cNvCxnSpPr>
          <a:stCxn id="4" idx="1"/>
          <a:endCxn id="5" idx="1"/>
        </xdr:cNvCxnSpPr>
      </xdr:nvCxnSpPr>
      <xdr:spPr>
        <a:xfrm flipV="1">
          <a:off x="5361937" y="2778033"/>
          <a:ext cx="87458" cy="8327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6</xdr:col>
          <xdr:colOff>952500</xdr:colOff>
          <xdr:row>0</xdr:row>
          <xdr:rowOff>146050</xdr:rowOff>
        </xdr:from>
        <xdr:to>
          <xdr:col>10</xdr:col>
          <xdr:colOff>38100</xdr:colOff>
          <xdr:row>1</xdr:row>
          <xdr:rowOff>76200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0800-000001CC0C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FF"/>
                  </a:solidFill>
                  <a:latin typeface="Arial"/>
                  <a:cs typeface="Arial"/>
                </a:rPr>
                <a:t>Save Chemical Data to Chemical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88900</xdr:rowOff>
        </xdr:from>
        <xdr:to>
          <xdr:col>3</xdr:col>
          <xdr:colOff>266700</xdr:colOff>
          <xdr:row>1</xdr:row>
          <xdr:rowOff>0</xdr:rowOff>
        </xdr:to>
        <xdr:sp macro="" textlink="">
          <xdr:nvSpPr>
            <xdr:cNvPr id="838689" name="Button 33" hidden="1">
              <a:extLst>
                <a:ext uri="{63B3BB69-23CF-44E3-9099-C40C66FF867C}">
                  <a14:compatExt spid="_x0000_s838689"/>
                </a:ext>
                <a:ext uri="{FF2B5EF4-FFF2-40B4-BE49-F238E27FC236}">
                  <a16:creationId xmlns:a16="http://schemas.microsoft.com/office/drawing/2014/main" id="{00000000-0008-0000-0800-000021CC0C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FF0000"/>
                  </a:solidFill>
                  <a:latin typeface="Arial"/>
                  <a:cs typeface="Arial"/>
                </a:rPr>
                <a:t>Clear Chemical Data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76200</xdr:rowOff>
        </xdr:from>
        <xdr:to>
          <xdr:col>1</xdr:col>
          <xdr:colOff>1790700</xdr:colOff>
          <xdr:row>1</xdr:row>
          <xdr:rowOff>12700</xdr:rowOff>
        </xdr:to>
        <xdr:sp macro="" textlink="">
          <xdr:nvSpPr>
            <xdr:cNvPr id="838695" name="Button 39" hidden="1">
              <a:extLst>
                <a:ext uri="{63B3BB69-23CF-44E3-9099-C40C66FF867C}">
                  <a14:compatExt spid="_x0000_s838695"/>
                </a:ext>
                <a:ext uri="{FF2B5EF4-FFF2-40B4-BE49-F238E27FC236}">
                  <a16:creationId xmlns:a16="http://schemas.microsoft.com/office/drawing/2014/main" id="{00000000-0008-0000-0800-000027CC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 Go To Chemical Data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914400</xdr:colOff>
          <xdr:row>2</xdr:row>
          <xdr:rowOff>69850</xdr:rowOff>
        </xdr:from>
        <xdr:to>
          <xdr:col>10</xdr:col>
          <xdr:colOff>38100</xdr:colOff>
          <xdr:row>2</xdr:row>
          <xdr:rowOff>260350</xdr:rowOff>
        </xdr:to>
        <xdr:sp macro="" textlink="">
          <xdr:nvSpPr>
            <xdr:cNvPr id="838702" name="Button 46" hidden="1">
              <a:extLst>
                <a:ext uri="{63B3BB69-23CF-44E3-9099-C40C66FF867C}">
                  <a14:compatExt spid="_x0000_s838702"/>
                </a:ext>
                <a:ext uri="{FF2B5EF4-FFF2-40B4-BE49-F238E27FC236}">
                  <a16:creationId xmlns:a16="http://schemas.microsoft.com/office/drawing/2014/main" id="{00000000-0008-0000-0800-00002ECC0C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Go To Chemical Table to Delete User Chemical &gt;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495300</xdr:colOff>
          <xdr:row>1</xdr:row>
          <xdr:rowOff>127000</xdr:rowOff>
        </xdr:from>
        <xdr:to>
          <xdr:col>6</xdr:col>
          <xdr:colOff>1289050</xdr:colOff>
          <xdr:row>2</xdr:row>
          <xdr:rowOff>88900</xdr:rowOff>
        </xdr:to>
        <xdr:sp macro="" textlink="">
          <xdr:nvSpPr>
            <xdr:cNvPr id="988178" name="Button 18" hidden="1">
              <a:extLst>
                <a:ext uri="{63B3BB69-23CF-44E3-9099-C40C66FF867C}">
                  <a14:compatExt spid="_x0000_s988178"/>
                </a:ext>
                <a:ext uri="{FF2B5EF4-FFF2-40B4-BE49-F238E27FC236}">
                  <a16:creationId xmlns:a16="http://schemas.microsoft.com/office/drawing/2014/main" id="{00000000-0008-0000-0900-00001214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FF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1803400</xdr:colOff>
          <xdr:row>1</xdr:row>
          <xdr:rowOff>127000</xdr:rowOff>
        </xdr:from>
        <xdr:to>
          <xdr:col>6</xdr:col>
          <xdr:colOff>0</xdr:colOff>
          <xdr:row>2</xdr:row>
          <xdr:rowOff>146050</xdr:rowOff>
        </xdr:to>
        <xdr:sp macro="" textlink="">
          <xdr:nvSpPr>
            <xdr:cNvPr id="988179" name="Button 19" hidden="1">
              <a:extLst>
                <a:ext uri="{63B3BB69-23CF-44E3-9099-C40C66FF867C}">
                  <a14:compatExt spid="_x0000_s988179"/>
                </a:ext>
                <a:ext uri="{FF2B5EF4-FFF2-40B4-BE49-F238E27FC236}">
                  <a16:creationId xmlns:a16="http://schemas.microsoft.com/office/drawing/2014/main" id="{00000000-0008-0000-0900-00001314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FF"/>
                  </a:solidFill>
                  <a:latin typeface="Arial"/>
                  <a:cs typeface="Arial"/>
                </a:rPr>
                <a:t>Save Input to Equipment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1295400</xdr:colOff>
          <xdr:row>2</xdr:row>
          <xdr:rowOff>69850</xdr:rowOff>
        </xdr:to>
        <xdr:sp macro="" textlink="">
          <xdr:nvSpPr>
            <xdr:cNvPr id="988181" name="Button 21" hidden="1">
              <a:extLst>
                <a:ext uri="{63B3BB69-23CF-44E3-9099-C40C66FF867C}">
                  <a14:compatExt spid="_x0000_s988181"/>
                </a:ext>
                <a:ext uri="{FF2B5EF4-FFF2-40B4-BE49-F238E27FC236}">
                  <a16:creationId xmlns:a16="http://schemas.microsoft.com/office/drawing/2014/main" id="{00000000-0008-0000-0900-00001514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&lt; Go To Chemical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222250</xdr:colOff>
          <xdr:row>0</xdr:row>
          <xdr:rowOff>76200</xdr:rowOff>
        </xdr:from>
        <xdr:to>
          <xdr:col>9</xdr:col>
          <xdr:colOff>114300</xdr:colOff>
          <xdr:row>1</xdr:row>
          <xdr:rowOff>76200</xdr:rowOff>
        </xdr:to>
        <xdr:sp macro="" textlink="">
          <xdr:nvSpPr>
            <xdr:cNvPr id="988200" name="Button 40" hidden="1">
              <a:extLst>
                <a:ext uri="{63B3BB69-23CF-44E3-9099-C40C66FF867C}">
                  <a14:compatExt spid="_x0000_s988200"/>
                </a:ext>
                <a:ext uri="{FF2B5EF4-FFF2-40B4-BE49-F238E27FC236}">
                  <a16:creationId xmlns:a16="http://schemas.microsoft.com/office/drawing/2014/main" id="{00000000-0008-0000-0900-00002814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Go To Plant Layout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38100</xdr:rowOff>
        </xdr:from>
        <xdr:to>
          <xdr:col>1</xdr:col>
          <xdr:colOff>1422400</xdr:colOff>
          <xdr:row>1</xdr:row>
          <xdr:rowOff>31750</xdr:rowOff>
        </xdr:to>
        <xdr:sp macro="" textlink="">
          <xdr:nvSpPr>
            <xdr:cNvPr id="988205" name="Button 45" hidden="1">
              <a:extLst>
                <a:ext uri="{63B3BB69-23CF-44E3-9099-C40C66FF867C}">
                  <a14:compatExt spid="_x0000_s988205"/>
                </a:ext>
                <a:ext uri="{FF2B5EF4-FFF2-40B4-BE49-F238E27FC236}">
                  <a16:creationId xmlns:a16="http://schemas.microsoft.com/office/drawing/2014/main" id="{00000000-0008-0000-0900-00002D14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xdr:row>
          <xdr:rowOff>127000</xdr:rowOff>
        </xdr:from>
        <xdr:to>
          <xdr:col>1</xdr:col>
          <xdr:colOff>1384300</xdr:colOff>
          <xdr:row>3</xdr:row>
          <xdr:rowOff>88900</xdr:rowOff>
        </xdr:to>
        <xdr:sp macro="" textlink="">
          <xdr:nvSpPr>
            <xdr:cNvPr id="988208" name="Button 48" hidden="1">
              <a:extLst>
                <a:ext uri="{63B3BB69-23CF-44E3-9099-C40C66FF867C}">
                  <a14:compatExt spid="_x0000_s988208"/>
                </a:ext>
                <a:ext uri="{FF2B5EF4-FFF2-40B4-BE49-F238E27FC236}">
                  <a16:creationId xmlns:a16="http://schemas.microsoft.com/office/drawing/2014/main" id="{00000000-0008-0000-0900-00003014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&lt; Go To Equipment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228600</xdr:colOff>
          <xdr:row>1</xdr:row>
          <xdr:rowOff>146050</xdr:rowOff>
        </xdr:from>
        <xdr:to>
          <xdr:col>9</xdr:col>
          <xdr:colOff>114300</xdr:colOff>
          <xdr:row>2</xdr:row>
          <xdr:rowOff>127000</xdr:rowOff>
        </xdr:to>
        <xdr:sp macro="" textlink="">
          <xdr:nvSpPr>
            <xdr:cNvPr id="988209" name="Button 49" hidden="1">
              <a:extLst>
                <a:ext uri="{63B3BB69-23CF-44E3-9099-C40C66FF867C}">
                  <a14:compatExt spid="_x0000_s988209"/>
                </a:ext>
                <a:ext uri="{FF2B5EF4-FFF2-40B4-BE49-F238E27FC236}">
                  <a16:creationId xmlns:a16="http://schemas.microsoft.com/office/drawing/2014/main" id="{00000000-0008-0000-0900-00003114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Go To Reaction Input &gt;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260350</xdr:colOff>
          <xdr:row>1</xdr:row>
          <xdr:rowOff>146050</xdr:rowOff>
        </xdr:from>
        <xdr:to>
          <xdr:col>6</xdr:col>
          <xdr:colOff>990600</xdr:colOff>
          <xdr:row>2</xdr:row>
          <xdr:rowOff>127000</xdr:rowOff>
        </xdr:to>
        <xdr:sp macro="" textlink="">
          <xdr:nvSpPr>
            <xdr:cNvPr id="989216" name="Button 32" hidden="1">
              <a:extLst>
                <a:ext uri="{63B3BB69-23CF-44E3-9099-C40C66FF867C}">
                  <a14:compatExt spid="_x0000_s989216"/>
                </a:ext>
                <a:ext uri="{FF2B5EF4-FFF2-40B4-BE49-F238E27FC236}">
                  <a16:creationId xmlns:a16="http://schemas.microsoft.com/office/drawing/2014/main" id="{00000000-0008-0000-0A00-00002018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FF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1917700</xdr:colOff>
          <xdr:row>1</xdr:row>
          <xdr:rowOff>152400</xdr:rowOff>
        </xdr:from>
        <xdr:to>
          <xdr:col>5</xdr:col>
          <xdr:colOff>88900</xdr:colOff>
          <xdr:row>2</xdr:row>
          <xdr:rowOff>184150</xdr:rowOff>
        </xdr:to>
        <xdr:sp macro="" textlink="">
          <xdr:nvSpPr>
            <xdr:cNvPr id="989217" name="Button 33" hidden="1">
              <a:extLst>
                <a:ext uri="{63B3BB69-23CF-44E3-9099-C40C66FF867C}">
                  <a14:compatExt spid="_x0000_s989217"/>
                </a:ext>
                <a:ext uri="{FF2B5EF4-FFF2-40B4-BE49-F238E27FC236}">
                  <a16:creationId xmlns:a16="http://schemas.microsoft.com/office/drawing/2014/main" id="{00000000-0008-0000-0A00-00002118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FF"/>
                  </a:solidFill>
                  <a:latin typeface="Arial"/>
                  <a:cs typeface="Arial"/>
                </a:rPr>
                <a:t>Save Input to Equipment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1943100</xdr:colOff>
          <xdr:row>1</xdr:row>
          <xdr:rowOff>107950</xdr:rowOff>
        </xdr:from>
        <xdr:to>
          <xdr:col>8</xdr:col>
          <xdr:colOff>736600</xdr:colOff>
          <xdr:row>2</xdr:row>
          <xdr:rowOff>107950</xdr:rowOff>
        </xdr:to>
        <xdr:sp macro="" textlink="">
          <xdr:nvSpPr>
            <xdr:cNvPr id="989224" name="Button 40" hidden="1">
              <a:extLst>
                <a:ext uri="{63B3BB69-23CF-44E3-9099-C40C66FF867C}">
                  <a14:compatExt spid="_x0000_s989224"/>
                </a:ext>
                <a:ext uri="{FF2B5EF4-FFF2-40B4-BE49-F238E27FC236}">
                  <a16:creationId xmlns:a16="http://schemas.microsoft.com/office/drawing/2014/main" id="{00000000-0008-0000-0A00-00002818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&lt; Go To Process Conditions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165100</xdr:colOff>
          <xdr:row>0</xdr:row>
          <xdr:rowOff>50800</xdr:rowOff>
        </xdr:from>
        <xdr:to>
          <xdr:col>8</xdr:col>
          <xdr:colOff>736600</xdr:colOff>
          <xdr:row>1</xdr:row>
          <xdr:rowOff>38100</xdr:rowOff>
        </xdr:to>
        <xdr:sp macro="" textlink="">
          <xdr:nvSpPr>
            <xdr:cNvPr id="989230" name="Button 46" hidden="1">
              <a:extLst>
                <a:ext uri="{63B3BB69-23CF-44E3-9099-C40C66FF867C}">
                  <a14:compatExt spid="_x0000_s989230"/>
                </a:ext>
                <a:ext uri="{FF2B5EF4-FFF2-40B4-BE49-F238E27FC236}">
                  <a16:creationId xmlns:a16="http://schemas.microsoft.com/office/drawing/2014/main" id="{00000000-0008-0000-0A00-00002E18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Go To Reaction Input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0</xdr:row>
          <xdr:rowOff>50800</xdr:rowOff>
        </xdr:from>
        <xdr:to>
          <xdr:col>1</xdr:col>
          <xdr:colOff>1346200</xdr:colOff>
          <xdr:row>1</xdr:row>
          <xdr:rowOff>69850</xdr:rowOff>
        </xdr:to>
        <xdr:sp macro="" textlink="">
          <xdr:nvSpPr>
            <xdr:cNvPr id="989256" name="Button 72" hidden="1">
              <a:extLst>
                <a:ext uri="{63B3BB69-23CF-44E3-9099-C40C66FF867C}">
                  <a14:compatExt spid="_x0000_s989256"/>
                </a:ext>
                <a:ext uri="{FF2B5EF4-FFF2-40B4-BE49-F238E27FC236}">
                  <a16:creationId xmlns:a16="http://schemas.microsoft.com/office/drawing/2014/main" id="{00000000-0008-0000-0A00-00004818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xdr:row>
          <xdr:rowOff>184150</xdr:rowOff>
        </xdr:from>
        <xdr:to>
          <xdr:col>1</xdr:col>
          <xdr:colOff>1327150</xdr:colOff>
          <xdr:row>4</xdr:row>
          <xdr:rowOff>31750</xdr:rowOff>
        </xdr:to>
        <xdr:sp macro="" textlink="">
          <xdr:nvSpPr>
            <xdr:cNvPr id="989258" name="Button 74" hidden="1">
              <a:extLst>
                <a:ext uri="{63B3BB69-23CF-44E3-9099-C40C66FF867C}">
                  <a14:compatExt spid="_x0000_s989258"/>
                </a:ext>
                <a:ext uri="{FF2B5EF4-FFF2-40B4-BE49-F238E27FC236}">
                  <a16:creationId xmlns:a16="http://schemas.microsoft.com/office/drawing/2014/main" id="{00000000-0008-0000-0A00-00004A18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&lt; Go To Equipment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xdr:row>
          <xdr:rowOff>107950</xdr:rowOff>
        </xdr:from>
        <xdr:to>
          <xdr:col>1</xdr:col>
          <xdr:colOff>1257300</xdr:colOff>
          <xdr:row>2</xdr:row>
          <xdr:rowOff>114300</xdr:rowOff>
        </xdr:to>
        <xdr:sp macro="" textlink="">
          <xdr:nvSpPr>
            <xdr:cNvPr id="989259" name="Button 75" hidden="1">
              <a:extLst>
                <a:ext uri="{63B3BB69-23CF-44E3-9099-C40C66FF867C}">
                  <a14:compatExt spid="_x0000_s989259"/>
                </a:ext>
                <a:ext uri="{FF2B5EF4-FFF2-40B4-BE49-F238E27FC236}">
                  <a16:creationId xmlns:a16="http://schemas.microsoft.com/office/drawing/2014/main" id="{00000000-0008-0000-0A00-00004B18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&lt; Go To Chemical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6</xdr:col>
      <xdr:colOff>24938</xdr:colOff>
      <xdr:row>4</xdr:row>
      <xdr:rowOff>49876</xdr:rowOff>
    </xdr:from>
    <xdr:to>
      <xdr:col>12</xdr:col>
      <xdr:colOff>8313</xdr:colOff>
      <xdr:row>29</xdr:row>
      <xdr:rowOff>83127</xdr:rowOff>
    </xdr:to>
    <xdr:graphicFrame macro="">
      <xdr:nvGraphicFramePr>
        <xdr:cNvPr id="9865" name="Chart 9">
          <a:extLst>
            <a:ext uri="{FF2B5EF4-FFF2-40B4-BE49-F238E27FC236}">
              <a16:creationId xmlns:a16="http://schemas.microsoft.com/office/drawing/2014/main" id="{00000000-0008-0000-0B00-0000892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35675</xdr:colOff>
      <xdr:row>30</xdr:row>
      <xdr:rowOff>38100</xdr:rowOff>
    </xdr:from>
    <xdr:to>
      <xdr:col>12</xdr:col>
      <xdr:colOff>35675</xdr:colOff>
      <xdr:row>54</xdr:row>
      <xdr:rowOff>8313</xdr:rowOff>
    </xdr:to>
    <xdr:graphicFrame macro="">
      <xdr:nvGraphicFramePr>
        <xdr:cNvPr id="9866" name="Chart 179">
          <a:extLst>
            <a:ext uri="{FF2B5EF4-FFF2-40B4-BE49-F238E27FC236}">
              <a16:creationId xmlns:a16="http://schemas.microsoft.com/office/drawing/2014/main" id="{00000000-0008-0000-0B00-00008A2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127000</xdr:colOff>
          <xdr:row>1</xdr:row>
          <xdr:rowOff>146050</xdr:rowOff>
        </xdr:from>
        <xdr:to>
          <xdr:col>8</xdr:col>
          <xdr:colOff>146050</xdr:colOff>
          <xdr:row>2</xdr:row>
          <xdr:rowOff>152400</xdr:rowOff>
        </xdr:to>
        <xdr:sp macro="" textlink="">
          <xdr:nvSpPr>
            <xdr:cNvPr id="9857" name="Button 641" hidden="1">
              <a:extLst>
                <a:ext uri="{63B3BB69-23CF-44E3-9099-C40C66FF867C}">
                  <a14:compatExt spid="_x0000_s9857"/>
                </a:ext>
                <a:ext uri="{FF2B5EF4-FFF2-40B4-BE49-F238E27FC236}">
                  <a16:creationId xmlns:a16="http://schemas.microsoft.com/office/drawing/2014/main" id="{00000000-0008-0000-0B00-00008126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0000FF"/>
                  </a:solidFill>
                  <a:latin typeface="Arial"/>
                  <a:cs typeface="Arial"/>
                </a:rPr>
                <a:t>Save Reaction Data to Chemical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260350</xdr:colOff>
          <xdr:row>1</xdr:row>
          <xdr:rowOff>146050</xdr:rowOff>
        </xdr:from>
        <xdr:to>
          <xdr:col>11</xdr:col>
          <xdr:colOff>736600</xdr:colOff>
          <xdr:row>2</xdr:row>
          <xdr:rowOff>146050</xdr:rowOff>
        </xdr:to>
        <xdr:sp macro="" textlink="">
          <xdr:nvSpPr>
            <xdr:cNvPr id="9858" name="Button 642" hidden="1">
              <a:extLst>
                <a:ext uri="{63B3BB69-23CF-44E3-9099-C40C66FF867C}">
                  <a14:compatExt spid="_x0000_s9858"/>
                </a:ext>
                <a:ext uri="{FF2B5EF4-FFF2-40B4-BE49-F238E27FC236}">
                  <a16:creationId xmlns:a16="http://schemas.microsoft.com/office/drawing/2014/main" id="{00000000-0008-0000-0B00-00008226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&lt; Go To Plant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0</xdr:row>
          <xdr:rowOff>31750</xdr:rowOff>
        </xdr:from>
        <xdr:to>
          <xdr:col>2</xdr:col>
          <xdr:colOff>317500</xdr:colOff>
          <xdr:row>1</xdr:row>
          <xdr:rowOff>38100</xdr:rowOff>
        </xdr:to>
        <xdr:sp macro="" textlink="">
          <xdr:nvSpPr>
            <xdr:cNvPr id="9884" name="Button 668" hidden="1">
              <a:extLst>
                <a:ext uri="{63B3BB69-23CF-44E3-9099-C40C66FF867C}">
                  <a14:compatExt spid="_x0000_s9884"/>
                </a:ext>
                <a:ext uri="{FF2B5EF4-FFF2-40B4-BE49-F238E27FC236}">
                  <a16:creationId xmlns:a16="http://schemas.microsoft.com/office/drawing/2014/main" id="{00000000-0008-0000-0B00-00009C2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584200</xdr:colOff>
          <xdr:row>1</xdr:row>
          <xdr:rowOff>114300</xdr:rowOff>
        </xdr:from>
        <xdr:to>
          <xdr:col>5</xdr:col>
          <xdr:colOff>146050</xdr:colOff>
          <xdr:row>2</xdr:row>
          <xdr:rowOff>127000</xdr:rowOff>
        </xdr:to>
        <xdr:sp macro="" textlink="">
          <xdr:nvSpPr>
            <xdr:cNvPr id="9885" name="Button 669" hidden="1">
              <a:extLst>
                <a:ext uri="{63B3BB69-23CF-44E3-9099-C40C66FF867C}">
                  <a14:compatExt spid="_x0000_s9885"/>
                </a:ext>
                <a:ext uri="{FF2B5EF4-FFF2-40B4-BE49-F238E27FC236}">
                  <a16:creationId xmlns:a16="http://schemas.microsoft.com/office/drawing/2014/main" id="{00000000-0008-0000-0B00-00009D26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FF"/>
                  </a:solidFill>
                  <a:latin typeface="Arial"/>
                  <a:cs typeface="Arial"/>
                </a:rPr>
                <a:t>Save Input to Equipment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1</xdr:row>
          <xdr:rowOff>88900</xdr:rowOff>
        </xdr:from>
        <xdr:to>
          <xdr:col>2</xdr:col>
          <xdr:colOff>38100</xdr:colOff>
          <xdr:row>2</xdr:row>
          <xdr:rowOff>69850</xdr:rowOff>
        </xdr:to>
        <xdr:sp macro="" textlink="">
          <xdr:nvSpPr>
            <xdr:cNvPr id="9886" name="Button 670" hidden="1">
              <a:extLst>
                <a:ext uri="{63B3BB69-23CF-44E3-9099-C40C66FF867C}">
                  <a14:compatExt spid="_x0000_s9886"/>
                </a:ext>
                <a:ext uri="{FF2B5EF4-FFF2-40B4-BE49-F238E27FC236}">
                  <a16:creationId xmlns:a16="http://schemas.microsoft.com/office/drawing/2014/main" id="{00000000-0008-0000-0B00-00009E26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&lt; Go To Chemical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xdr:row>
          <xdr:rowOff>127000</xdr:rowOff>
        </xdr:from>
        <xdr:to>
          <xdr:col>2</xdr:col>
          <xdr:colOff>241300</xdr:colOff>
          <xdr:row>4</xdr:row>
          <xdr:rowOff>0</xdr:rowOff>
        </xdr:to>
        <xdr:sp macro="" textlink="">
          <xdr:nvSpPr>
            <xdr:cNvPr id="9887" name="Button 671" hidden="1">
              <a:extLst>
                <a:ext uri="{63B3BB69-23CF-44E3-9099-C40C66FF867C}">
                  <a14:compatExt spid="_x0000_s9887"/>
                </a:ext>
                <a:ext uri="{FF2B5EF4-FFF2-40B4-BE49-F238E27FC236}">
                  <a16:creationId xmlns:a16="http://schemas.microsoft.com/office/drawing/2014/main" id="{00000000-0008-0000-0B00-00009F26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&lt; Go To Equipment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1295400</xdr:colOff>
          <xdr:row>0</xdr:row>
          <xdr:rowOff>76200</xdr:rowOff>
        </xdr:from>
        <xdr:to>
          <xdr:col>11</xdr:col>
          <xdr:colOff>755650</xdr:colOff>
          <xdr:row>1</xdr:row>
          <xdr:rowOff>69850</xdr:rowOff>
        </xdr:to>
        <xdr:sp macro="" textlink="">
          <xdr:nvSpPr>
            <xdr:cNvPr id="9888" name="Button 672" hidden="1">
              <a:extLst>
                <a:ext uri="{63B3BB69-23CF-44E3-9099-C40C66FF867C}">
                  <a14:compatExt spid="_x0000_s9888"/>
                </a:ext>
                <a:ext uri="{FF2B5EF4-FFF2-40B4-BE49-F238E27FC236}">
                  <a16:creationId xmlns:a16="http://schemas.microsoft.com/office/drawing/2014/main" id="{00000000-0008-0000-0B00-0000A026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&lt; Go To Process Conditions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390698</xdr:colOff>
      <xdr:row>10</xdr:row>
      <xdr:rowOff>108065</xdr:rowOff>
    </xdr:from>
    <xdr:to>
      <xdr:col>2</xdr:col>
      <xdr:colOff>41564</xdr:colOff>
      <xdr:row>11</xdr:row>
      <xdr:rowOff>99753</xdr:rowOff>
    </xdr:to>
    <xdr:sp macro="" textlink="">
      <xdr:nvSpPr>
        <xdr:cNvPr id="121913" name="Oval 2">
          <a:extLst>
            <a:ext uri="{FF2B5EF4-FFF2-40B4-BE49-F238E27FC236}">
              <a16:creationId xmlns:a16="http://schemas.microsoft.com/office/drawing/2014/main" id="{00000000-0008-0000-0C00-000039DC0100}"/>
            </a:ext>
          </a:extLst>
        </xdr:cNvPr>
        <xdr:cNvSpPr>
          <a:spLocks noChangeArrowheads="1"/>
        </xdr:cNvSpPr>
      </xdr:nvSpPr>
      <xdr:spPr bwMode="auto">
        <a:xfrm>
          <a:off x="390698" y="1687484"/>
          <a:ext cx="689957" cy="174567"/>
        </a:xfrm>
        <a:prstGeom prst="ellipse">
          <a:avLst/>
        </a:prstGeom>
        <a:solidFill>
          <a:srgbClr val="777777"/>
        </a:solidFill>
        <a:ln w="9525">
          <a:solidFill>
            <a:srgbClr val="000000"/>
          </a:solidFill>
          <a:round/>
          <a:headEnd/>
          <a:tailEnd/>
        </a:ln>
      </xdr:spPr>
    </xdr:sp>
    <xdr:clientData/>
  </xdr:twoCellAnchor>
  <xdr:twoCellAnchor>
    <xdr:from>
      <xdr:col>0</xdr:col>
      <xdr:colOff>382385</xdr:colOff>
      <xdr:row>6</xdr:row>
      <xdr:rowOff>0</xdr:rowOff>
    </xdr:from>
    <xdr:to>
      <xdr:col>2</xdr:col>
      <xdr:colOff>49876</xdr:colOff>
      <xdr:row>11</xdr:row>
      <xdr:rowOff>8313</xdr:rowOff>
    </xdr:to>
    <xdr:sp macro="" textlink="">
      <xdr:nvSpPr>
        <xdr:cNvPr id="121914" name="Rectangle 3">
          <a:extLst>
            <a:ext uri="{FF2B5EF4-FFF2-40B4-BE49-F238E27FC236}">
              <a16:creationId xmlns:a16="http://schemas.microsoft.com/office/drawing/2014/main" id="{00000000-0008-0000-0C00-00003ADC0100}"/>
            </a:ext>
          </a:extLst>
        </xdr:cNvPr>
        <xdr:cNvSpPr>
          <a:spLocks noChangeArrowheads="1"/>
        </xdr:cNvSpPr>
      </xdr:nvSpPr>
      <xdr:spPr bwMode="auto">
        <a:xfrm>
          <a:off x="382385" y="847898"/>
          <a:ext cx="706582" cy="922713"/>
        </a:xfrm>
        <a:prstGeom prst="rect">
          <a:avLst/>
        </a:prstGeom>
        <a:gradFill rotWithShape="1">
          <a:gsLst>
            <a:gs pos="0">
              <a:srgbClr val="FFFFFF"/>
            </a:gs>
            <a:gs pos="100000">
              <a:srgbClr val="767676"/>
            </a:gs>
          </a:gsLst>
          <a:lin ang="5400000" scaled="1"/>
        </a:gradFill>
        <a:ln w="9525">
          <a:noFill/>
          <a:miter lim="800000"/>
          <a:headEnd/>
          <a:tailEnd/>
        </a:ln>
      </xdr:spPr>
    </xdr:sp>
    <xdr:clientData/>
  </xdr:twoCellAnchor>
  <xdr:twoCellAnchor>
    <xdr:from>
      <xdr:col>0</xdr:col>
      <xdr:colOff>390698</xdr:colOff>
      <xdr:row>5</xdr:row>
      <xdr:rowOff>83127</xdr:rowOff>
    </xdr:from>
    <xdr:to>
      <xdr:col>2</xdr:col>
      <xdr:colOff>41564</xdr:colOff>
      <xdr:row>6</xdr:row>
      <xdr:rowOff>74815</xdr:rowOff>
    </xdr:to>
    <xdr:sp macro="" textlink="">
      <xdr:nvSpPr>
        <xdr:cNvPr id="121915" name="Oval 1">
          <a:extLst>
            <a:ext uri="{FF2B5EF4-FFF2-40B4-BE49-F238E27FC236}">
              <a16:creationId xmlns:a16="http://schemas.microsoft.com/office/drawing/2014/main" id="{00000000-0008-0000-0C00-00003BDC0100}"/>
            </a:ext>
          </a:extLst>
        </xdr:cNvPr>
        <xdr:cNvSpPr>
          <a:spLocks noChangeArrowheads="1"/>
        </xdr:cNvSpPr>
      </xdr:nvSpPr>
      <xdr:spPr bwMode="auto">
        <a:xfrm>
          <a:off x="390698" y="748145"/>
          <a:ext cx="689957" cy="174568"/>
        </a:xfrm>
        <a:prstGeom prst="ellipse">
          <a:avLst/>
        </a:prstGeom>
        <a:solidFill>
          <a:srgbClr val="FFFFFF"/>
        </a:solidFill>
        <a:ln w="9525">
          <a:solidFill>
            <a:srgbClr val="000000"/>
          </a:solidFill>
          <a:round/>
          <a:headEnd/>
          <a:tailEnd/>
        </a:ln>
      </xdr:spPr>
    </xdr:sp>
    <xdr:clientData/>
  </xdr:twoCellAnchor>
  <xdr:twoCellAnchor>
    <xdr:from>
      <xdr:col>0</xdr:col>
      <xdr:colOff>216131</xdr:colOff>
      <xdr:row>5</xdr:row>
      <xdr:rowOff>174567</xdr:rowOff>
    </xdr:from>
    <xdr:to>
      <xdr:col>0</xdr:col>
      <xdr:colOff>216131</xdr:colOff>
      <xdr:row>11</xdr:row>
      <xdr:rowOff>8313</xdr:rowOff>
    </xdr:to>
    <xdr:sp macro="" textlink="">
      <xdr:nvSpPr>
        <xdr:cNvPr id="121916" name="Line 4">
          <a:extLst>
            <a:ext uri="{FF2B5EF4-FFF2-40B4-BE49-F238E27FC236}">
              <a16:creationId xmlns:a16="http://schemas.microsoft.com/office/drawing/2014/main" id="{00000000-0008-0000-0C00-00003CDC0100}"/>
            </a:ext>
          </a:extLst>
        </xdr:cNvPr>
        <xdr:cNvSpPr>
          <a:spLocks noChangeShapeType="1"/>
        </xdr:cNvSpPr>
      </xdr:nvSpPr>
      <xdr:spPr bwMode="auto">
        <a:xfrm>
          <a:off x="216131" y="839585"/>
          <a:ext cx="0" cy="931026"/>
        </a:xfrm>
        <a:prstGeom prst="line">
          <a:avLst/>
        </a:prstGeom>
        <a:noFill/>
        <a:ln w="9525">
          <a:solidFill>
            <a:srgbClr val="000000"/>
          </a:solidFill>
          <a:round/>
          <a:headEnd type="triangle" w="med" len="med"/>
          <a:tailEnd type="triangle" w="med" len="med"/>
        </a:ln>
      </xdr:spPr>
    </xdr:sp>
    <xdr:clientData/>
  </xdr:twoCellAnchor>
  <xdr:twoCellAnchor>
    <xdr:from>
      <xdr:col>0</xdr:col>
      <xdr:colOff>124691</xdr:colOff>
      <xdr:row>5</xdr:row>
      <xdr:rowOff>174567</xdr:rowOff>
    </xdr:from>
    <xdr:to>
      <xdr:col>0</xdr:col>
      <xdr:colOff>390698</xdr:colOff>
      <xdr:row>5</xdr:row>
      <xdr:rowOff>174567</xdr:rowOff>
    </xdr:to>
    <xdr:sp macro="" textlink="">
      <xdr:nvSpPr>
        <xdr:cNvPr id="121917" name="Line 5">
          <a:extLst>
            <a:ext uri="{FF2B5EF4-FFF2-40B4-BE49-F238E27FC236}">
              <a16:creationId xmlns:a16="http://schemas.microsoft.com/office/drawing/2014/main" id="{00000000-0008-0000-0C00-00003DDC0100}"/>
            </a:ext>
          </a:extLst>
        </xdr:cNvPr>
        <xdr:cNvSpPr>
          <a:spLocks noChangeShapeType="1"/>
        </xdr:cNvSpPr>
      </xdr:nvSpPr>
      <xdr:spPr bwMode="auto">
        <a:xfrm flipH="1">
          <a:off x="124691" y="839585"/>
          <a:ext cx="266007" cy="0"/>
        </a:xfrm>
        <a:prstGeom prst="line">
          <a:avLst/>
        </a:prstGeom>
        <a:noFill/>
        <a:ln w="9525">
          <a:solidFill>
            <a:srgbClr val="000000"/>
          </a:solidFill>
          <a:round/>
          <a:headEnd/>
          <a:tailEnd/>
        </a:ln>
      </xdr:spPr>
    </xdr:sp>
    <xdr:clientData/>
  </xdr:twoCellAnchor>
  <xdr:twoCellAnchor>
    <xdr:from>
      <xdr:col>0</xdr:col>
      <xdr:colOff>124691</xdr:colOff>
      <xdr:row>11</xdr:row>
      <xdr:rowOff>8313</xdr:rowOff>
    </xdr:from>
    <xdr:to>
      <xdr:col>0</xdr:col>
      <xdr:colOff>390698</xdr:colOff>
      <xdr:row>11</xdr:row>
      <xdr:rowOff>8313</xdr:rowOff>
    </xdr:to>
    <xdr:sp macro="" textlink="">
      <xdr:nvSpPr>
        <xdr:cNvPr id="121918" name="Line 6">
          <a:extLst>
            <a:ext uri="{FF2B5EF4-FFF2-40B4-BE49-F238E27FC236}">
              <a16:creationId xmlns:a16="http://schemas.microsoft.com/office/drawing/2014/main" id="{00000000-0008-0000-0C00-00003EDC0100}"/>
            </a:ext>
          </a:extLst>
        </xdr:cNvPr>
        <xdr:cNvSpPr>
          <a:spLocks noChangeShapeType="1"/>
        </xdr:cNvSpPr>
      </xdr:nvSpPr>
      <xdr:spPr bwMode="auto">
        <a:xfrm flipH="1">
          <a:off x="124691" y="1770611"/>
          <a:ext cx="266007" cy="0"/>
        </a:xfrm>
        <a:prstGeom prst="line">
          <a:avLst/>
        </a:prstGeom>
        <a:noFill/>
        <a:ln w="9525">
          <a:solidFill>
            <a:srgbClr val="000000"/>
          </a:solidFill>
          <a:round/>
          <a:headEnd/>
          <a:tailEnd/>
        </a:ln>
      </xdr:spPr>
    </xdr:sp>
    <xdr:clientData/>
  </xdr:twoCellAnchor>
  <xdr:twoCellAnchor>
    <xdr:from>
      <xdr:col>0</xdr:col>
      <xdr:colOff>390698</xdr:colOff>
      <xdr:row>5</xdr:row>
      <xdr:rowOff>157942</xdr:rowOff>
    </xdr:from>
    <xdr:to>
      <xdr:col>0</xdr:col>
      <xdr:colOff>390698</xdr:colOff>
      <xdr:row>13</xdr:row>
      <xdr:rowOff>74815</xdr:rowOff>
    </xdr:to>
    <xdr:sp macro="" textlink="">
      <xdr:nvSpPr>
        <xdr:cNvPr id="121919" name="Line 7">
          <a:extLst>
            <a:ext uri="{FF2B5EF4-FFF2-40B4-BE49-F238E27FC236}">
              <a16:creationId xmlns:a16="http://schemas.microsoft.com/office/drawing/2014/main" id="{00000000-0008-0000-0C00-00003FDC0100}"/>
            </a:ext>
          </a:extLst>
        </xdr:cNvPr>
        <xdr:cNvSpPr>
          <a:spLocks noChangeShapeType="1"/>
        </xdr:cNvSpPr>
      </xdr:nvSpPr>
      <xdr:spPr bwMode="auto">
        <a:xfrm>
          <a:off x="390698" y="822960"/>
          <a:ext cx="0" cy="1379913"/>
        </a:xfrm>
        <a:prstGeom prst="line">
          <a:avLst/>
        </a:prstGeom>
        <a:noFill/>
        <a:ln w="9525">
          <a:solidFill>
            <a:srgbClr val="000000"/>
          </a:solidFill>
          <a:round/>
          <a:headEnd/>
          <a:tailEnd/>
        </a:ln>
      </xdr:spPr>
    </xdr:sp>
    <xdr:clientData/>
  </xdr:twoCellAnchor>
  <xdr:twoCellAnchor>
    <xdr:from>
      <xdr:col>2</xdr:col>
      <xdr:colOff>41564</xdr:colOff>
      <xdr:row>5</xdr:row>
      <xdr:rowOff>157942</xdr:rowOff>
    </xdr:from>
    <xdr:to>
      <xdr:col>2</xdr:col>
      <xdr:colOff>41564</xdr:colOff>
      <xdr:row>13</xdr:row>
      <xdr:rowOff>74815</xdr:rowOff>
    </xdr:to>
    <xdr:sp macro="" textlink="">
      <xdr:nvSpPr>
        <xdr:cNvPr id="121920" name="Line 8">
          <a:extLst>
            <a:ext uri="{FF2B5EF4-FFF2-40B4-BE49-F238E27FC236}">
              <a16:creationId xmlns:a16="http://schemas.microsoft.com/office/drawing/2014/main" id="{00000000-0008-0000-0C00-000040DC0100}"/>
            </a:ext>
          </a:extLst>
        </xdr:cNvPr>
        <xdr:cNvSpPr>
          <a:spLocks noChangeShapeType="1"/>
        </xdr:cNvSpPr>
      </xdr:nvSpPr>
      <xdr:spPr bwMode="auto">
        <a:xfrm>
          <a:off x="1080655" y="822960"/>
          <a:ext cx="0" cy="1379913"/>
        </a:xfrm>
        <a:prstGeom prst="line">
          <a:avLst/>
        </a:prstGeom>
        <a:noFill/>
        <a:ln w="9525">
          <a:solidFill>
            <a:srgbClr val="000000"/>
          </a:solidFill>
          <a:round/>
          <a:headEnd/>
          <a:tailEnd/>
        </a:ln>
      </xdr:spPr>
    </xdr:sp>
    <xdr:clientData/>
  </xdr:twoCellAnchor>
  <xdr:twoCellAnchor>
    <xdr:from>
      <xdr:col>0</xdr:col>
      <xdr:colOff>390698</xdr:colOff>
      <xdr:row>12</xdr:row>
      <xdr:rowOff>133004</xdr:rowOff>
    </xdr:from>
    <xdr:to>
      <xdr:col>2</xdr:col>
      <xdr:colOff>41564</xdr:colOff>
      <xdr:row>12</xdr:row>
      <xdr:rowOff>133004</xdr:rowOff>
    </xdr:to>
    <xdr:sp macro="" textlink="">
      <xdr:nvSpPr>
        <xdr:cNvPr id="121921" name="Line 9">
          <a:extLst>
            <a:ext uri="{FF2B5EF4-FFF2-40B4-BE49-F238E27FC236}">
              <a16:creationId xmlns:a16="http://schemas.microsoft.com/office/drawing/2014/main" id="{00000000-0008-0000-0C00-000041DC0100}"/>
            </a:ext>
          </a:extLst>
        </xdr:cNvPr>
        <xdr:cNvSpPr>
          <a:spLocks noChangeShapeType="1"/>
        </xdr:cNvSpPr>
      </xdr:nvSpPr>
      <xdr:spPr bwMode="auto">
        <a:xfrm>
          <a:off x="390698" y="2078182"/>
          <a:ext cx="689957" cy="0"/>
        </a:xfrm>
        <a:prstGeom prst="line">
          <a:avLst/>
        </a:prstGeom>
        <a:noFill/>
        <a:ln w="9525">
          <a:solidFill>
            <a:srgbClr val="000000"/>
          </a:solidFill>
          <a:round/>
          <a:headEnd type="triangle" w="med" len="med"/>
          <a:tailEnd type="triangle" w="med" len="med"/>
        </a:ln>
      </xdr:spPr>
    </xdr:sp>
    <xdr:clientData/>
  </xdr:twoCellAnchor>
  <xdr:oneCellAnchor>
    <xdr:from>
      <xdr:col>1</xdr:col>
      <xdr:colOff>219075</xdr:colOff>
      <xdr:row>13</xdr:row>
      <xdr:rowOff>0</xdr:rowOff>
    </xdr:from>
    <xdr:ext cx="105251" cy="170392"/>
    <xdr:sp macro="" textlink="">
      <xdr:nvSpPr>
        <xdr:cNvPr id="121866" name="Text Box 10">
          <a:extLst>
            <a:ext uri="{FF2B5EF4-FFF2-40B4-BE49-F238E27FC236}">
              <a16:creationId xmlns:a16="http://schemas.microsoft.com/office/drawing/2014/main" id="{00000000-0008-0000-0C00-00000ADC0100}"/>
            </a:ext>
          </a:extLst>
        </xdr:cNvPr>
        <xdr:cNvSpPr txBox="1">
          <a:spLocks noChangeArrowheads="1"/>
        </xdr:cNvSpPr>
      </xdr:nvSpPr>
      <xdr:spPr bwMode="auto">
        <a:xfrm>
          <a:off x="685800" y="1952625"/>
          <a:ext cx="161925" cy="200025"/>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D</a:t>
          </a:r>
        </a:p>
      </xdr:txBody>
    </xdr:sp>
    <xdr:clientData/>
  </xdr:oneCellAnchor>
  <xdr:oneCellAnchor>
    <xdr:from>
      <xdr:col>0</xdr:col>
      <xdr:colOff>66675</xdr:colOff>
      <xdr:row>7</xdr:row>
      <xdr:rowOff>113088</xdr:rowOff>
    </xdr:from>
    <xdr:ext cx="93133" cy="176945"/>
    <xdr:sp macro="" textlink="">
      <xdr:nvSpPr>
        <xdr:cNvPr id="121867" name="Text Box 11">
          <a:extLst>
            <a:ext uri="{FF2B5EF4-FFF2-40B4-BE49-F238E27FC236}">
              <a16:creationId xmlns:a16="http://schemas.microsoft.com/office/drawing/2014/main" id="{00000000-0008-0000-0C00-00000BDC0100}"/>
            </a:ext>
          </a:extLst>
        </xdr:cNvPr>
        <xdr:cNvSpPr txBox="1">
          <a:spLocks noChangeArrowheads="1"/>
        </xdr:cNvSpPr>
      </xdr:nvSpPr>
      <xdr:spPr bwMode="auto">
        <a:xfrm>
          <a:off x="66675" y="1085850"/>
          <a:ext cx="152400" cy="200025"/>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L</a:t>
          </a:r>
        </a:p>
      </xdr:txBody>
    </xdr:sp>
    <xdr:clientData/>
  </xdr:oneCellAnchor>
  <mc:AlternateContent xmlns:mc="http://schemas.openxmlformats.org/markup-compatibility/2006">
    <mc:Choice xmlns:a14="http://schemas.microsoft.com/office/drawing/2010/main" Requires="a14">
      <xdr:twoCellAnchor>
        <xdr:from>
          <xdr:col>0</xdr:col>
          <xdr:colOff>152400</xdr:colOff>
          <xdr:row>1</xdr:row>
          <xdr:rowOff>0</xdr:rowOff>
        </xdr:from>
        <xdr:to>
          <xdr:col>2</xdr:col>
          <xdr:colOff>419100</xdr:colOff>
          <xdr:row>2</xdr:row>
          <xdr:rowOff>31750</xdr:rowOff>
        </xdr:to>
        <xdr:sp macro="" textlink="">
          <xdr:nvSpPr>
            <xdr:cNvPr id="121900" name="Button 44" hidden="1">
              <a:extLst>
                <a:ext uri="{63B3BB69-23CF-44E3-9099-C40C66FF867C}">
                  <a14:compatExt spid="_x0000_s121900"/>
                </a:ext>
                <a:ext uri="{FF2B5EF4-FFF2-40B4-BE49-F238E27FC236}">
                  <a16:creationId xmlns:a16="http://schemas.microsoft.com/office/drawing/2014/main" id="{00000000-0008-0000-0C00-00002CD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Main Menu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50800</xdr:rowOff>
        </xdr:from>
        <xdr:to>
          <xdr:col>1</xdr:col>
          <xdr:colOff>1346200</xdr:colOff>
          <xdr:row>1</xdr:row>
          <xdr:rowOff>50800</xdr:rowOff>
        </xdr:to>
        <xdr:sp macro="" textlink="">
          <xdr:nvSpPr>
            <xdr:cNvPr id="1027073" name="Button 1" hidden="1">
              <a:extLst>
                <a:ext uri="{63B3BB69-23CF-44E3-9099-C40C66FF867C}">
                  <a14:compatExt spid="_x0000_s1027073"/>
                </a:ext>
                <a:ext uri="{FF2B5EF4-FFF2-40B4-BE49-F238E27FC236}">
                  <a16:creationId xmlns:a16="http://schemas.microsoft.com/office/drawing/2014/main" id="{00000000-0008-0000-0D00-000001A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Main Menu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50800</xdr:rowOff>
        </xdr:from>
        <xdr:to>
          <xdr:col>1</xdr:col>
          <xdr:colOff>1562100</xdr:colOff>
          <xdr:row>3</xdr:row>
          <xdr:rowOff>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0E00-00001A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8000"/>
                  </a:solidFill>
                  <a:latin typeface="Arial"/>
                  <a:cs typeface="Arial"/>
                </a:rPr>
                <a:t>&lt;&lt; Go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0</xdr:rowOff>
        </xdr:from>
        <xdr:to>
          <xdr:col>4</xdr:col>
          <xdr:colOff>184150</xdr:colOff>
          <xdr:row>3</xdr:row>
          <xdr:rowOff>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0E00-00001CA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Rounded MT Bold"/>
                </a:rPr>
                <a:t>Clear Input This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508000</xdr:colOff>
          <xdr:row>0</xdr:row>
          <xdr:rowOff>69850</xdr:rowOff>
        </xdr:from>
        <xdr:to>
          <xdr:col>12</xdr:col>
          <xdr:colOff>717550</xdr:colOff>
          <xdr:row>2</xdr:row>
          <xdr:rowOff>38100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0E00-00001D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808000"/>
                  </a:solidFill>
                  <a:latin typeface="Arial Narrow"/>
                </a:rPr>
                <a:t>Hide F&amp;EI and CEI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69850</xdr:rowOff>
        </xdr:from>
        <xdr:to>
          <xdr:col>10</xdr:col>
          <xdr:colOff>260350</xdr:colOff>
          <xdr:row>2</xdr:row>
          <xdr:rowOff>38100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0E00-00001E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808000"/>
                  </a:solidFill>
                  <a:latin typeface="Arial Narrow"/>
                </a:rPr>
                <a:t>Show F&amp;EI and CEI Details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4</xdr:row>
          <xdr:rowOff>12700</xdr:rowOff>
        </xdr:from>
        <xdr:to>
          <xdr:col>0</xdr:col>
          <xdr:colOff>1047750</xdr:colOff>
          <xdr:row>4</xdr:row>
          <xdr:rowOff>279400</xdr:rowOff>
        </xdr:to>
        <xdr:sp macro="" textlink="">
          <xdr:nvSpPr>
            <xdr:cNvPr id="22542" name="Update" hidden="1">
              <a:extLst>
                <a:ext uri="{63B3BB69-23CF-44E3-9099-C40C66FF867C}">
                  <a14:compatExt spid="_x0000_s22542"/>
                </a:ext>
                <a:ext uri="{FF2B5EF4-FFF2-40B4-BE49-F238E27FC236}">
                  <a16:creationId xmlns:a16="http://schemas.microsoft.com/office/drawing/2014/main" id="{00000000-0008-0000-0F00-00000E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Update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260350</xdr:colOff>
          <xdr:row>0</xdr:row>
          <xdr:rowOff>69850</xdr:rowOff>
        </xdr:from>
        <xdr:to>
          <xdr:col>20</xdr:col>
          <xdr:colOff>666750</xdr:colOff>
          <xdr:row>1</xdr:row>
          <xdr:rowOff>57150</xdr:rowOff>
        </xdr:to>
        <xdr:sp macro="" textlink="">
          <xdr:nvSpPr>
            <xdr:cNvPr id="22544" name="Go_To_Scenario_Results" hidden="1">
              <a:extLst>
                <a:ext uri="{63B3BB69-23CF-44E3-9099-C40C66FF867C}">
                  <a14:compatExt spid="_x0000_s22544"/>
                </a:ext>
                <a:ext uri="{FF2B5EF4-FFF2-40B4-BE49-F238E27FC236}">
                  <a16:creationId xmlns:a16="http://schemas.microsoft.com/office/drawing/2014/main" id="{00000000-0008-0000-0F00-000010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Go To Scenario Results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57150</xdr:rowOff>
        </xdr:from>
        <xdr:to>
          <xdr:col>0</xdr:col>
          <xdr:colOff>1047750</xdr:colOff>
          <xdr:row>1</xdr:row>
          <xdr:rowOff>190500</xdr:rowOff>
        </xdr:to>
        <xdr:sp macro="" textlink="">
          <xdr:nvSpPr>
            <xdr:cNvPr id="22836" name="Button 308" hidden="1">
              <a:extLst>
                <a:ext uri="{63B3BB69-23CF-44E3-9099-C40C66FF867C}">
                  <a14:compatExt spid="_x0000_s22836"/>
                </a:ext>
                <a:ext uri="{FF2B5EF4-FFF2-40B4-BE49-F238E27FC236}">
                  <a16:creationId xmlns:a16="http://schemas.microsoft.com/office/drawing/2014/main" id="{00000000-0008-0000-0F00-0000345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5</xdr:row>
          <xdr:rowOff>50800</xdr:rowOff>
        </xdr:from>
        <xdr:to>
          <xdr:col>0</xdr:col>
          <xdr:colOff>1047750</xdr:colOff>
          <xdr:row>7</xdr:row>
          <xdr:rowOff>95250</xdr:rowOff>
        </xdr:to>
        <xdr:sp macro="" textlink="">
          <xdr:nvSpPr>
            <xdr:cNvPr id="22837" name="Create_User_Scenario" hidden="1">
              <a:extLst>
                <a:ext uri="{63B3BB69-23CF-44E3-9099-C40C66FF867C}">
                  <a14:compatExt spid="_x0000_s22837"/>
                </a:ext>
                <a:ext uri="{FF2B5EF4-FFF2-40B4-BE49-F238E27FC236}">
                  <a16:creationId xmlns:a16="http://schemas.microsoft.com/office/drawing/2014/main" id="{00000000-0008-0000-0F00-0000355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Create User</a:t>
              </a:r>
            </a:p>
            <a:p>
              <a:pPr algn="ctr" rtl="0">
                <a:defRPr sz="1000"/>
              </a:pPr>
              <a:r>
                <a:rPr lang="en-US" sz="1000" b="1" i="0" u="none" strike="noStrike" baseline="0">
                  <a:solidFill>
                    <a:srgbClr val="000000"/>
                  </a:solidFill>
                  <a:latin typeface="Arial"/>
                  <a:cs typeface="Arial"/>
                </a:rPr>
                <a:t>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285750</xdr:colOff>
          <xdr:row>4</xdr:row>
          <xdr:rowOff>146050</xdr:rowOff>
        </xdr:from>
        <xdr:to>
          <xdr:col>20</xdr:col>
          <xdr:colOff>774700</xdr:colOff>
          <xdr:row>5</xdr:row>
          <xdr:rowOff>88900</xdr:rowOff>
        </xdr:to>
        <xdr:sp macro="" textlink="">
          <xdr:nvSpPr>
            <xdr:cNvPr id="22842" name="Button 314" hidden="1">
              <a:extLst>
                <a:ext uri="{63B3BB69-23CF-44E3-9099-C40C66FF867C}">
                  <a14:compatExt spid="_x0000_s22842"/>
                </a:ext>
                <a:ext uri="{FF2B5EF4-FFF2-40B4-BE49-F238E27FC236}">
                  <a16:creationId xmlns:a16="http://schemas.microsoft.com/office/drawing/2014/main" id="{00000000-0008-0000-0F00-00003A5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FF0000"/>
                  </a:solidFill>
                  <a:latin typeface="Arial"/>
                  <a:cs typeface="Arial"/>
                </a:rPr>
                <a:t>Clear Input this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260350</xdr:colOff>
          <xdr:row>6</xdr:row>
          <xdr:rowOff>114300</xdr:rowOff>
        </xdr:from>
        <xdr:to>
          <xdr:col>20</xdr:col>
          <xdr:colOff>1003300</xdr:colOff>
          <xdr:row>7</xdr:row>
          <xdr:rowOff>190500</xdr:rowOff>
        </xdr:to>
        <xdr:sp macro="" textlink="">
          <xdr:nvSpPr>
            <xdr:cNvPr id="22843" name="Button 315" hidden="1">
              <a:extLst>
                <a:ext uri="{63B3BB69-23CF-44E3-9099-C40C66FF867C}">
                  <a14:compatExt spid="_x0000_s22843"/>
                </a:ext>
                <a:ext uri="{FF2B5EF4-FFF2-40B4-BE49-F238E27FC236}">
                  <a16:creationId xmlns:a16="http://schemas.microsoft.com/office/drawing/2014/main" id="{00000000-0008-0000-0F00-00003B5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Arial"/>
                  <a:cs typeface="Arial"/>
                </a:rPr>
                <a:t>Save Input to Equipment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133350</xdr:colOff>
          <xdr:row>1</xdr:row>
          <xdr:rowOff>279400</xdr:rowOff>
        </xdr:from>
        <xdr:to>
          <xdr:col>0</xdr:col>
          <xdr:colOff>1047750</xdr:colOff>
          <xdr:row>3</xdr:row>
          <xdr:rowOff>146050</xdr:rowOff>
        </xdr:to>
        <xdr:sp macro="" textlink="">
          <xdr:nvSpPr>
            <xdr:cNvPr id="22846" name="Go To Equipment Table" hidden="1">
              <a:extLst>
                <a:ext uri="{63B3BB69-23CF-44E3-9099-C40C66FF867C}">
                  <a14:compatExt spid="_x0000_s22846"/>
                </a:ext>
                <a:ext uri="{FF2B5EF4-FFF2-40B4-BE49-F238E27FC236}">
                  <a16:creationId xmlns:a16="http://schemas.microsoft.com/office/drawing/2014/main" id="{00000000-0008-0000-0F00-00003E5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 Equipment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285750</xdr:colOff>
          <xdr:row>1</xdr:row>
          <xdr:rowOff>209550</xdr:rowOff>
        </xdr:from>
        <xdr:to>
          <xdr:col>20</xdr:col>
          <xdr:colOff>431800</xdr:colOff>
          <xdr:row>3</xdr:row>
          <xdr:rowOff>95250</xdr:rowOff>
        </xdr:to>
        <xdr:sp macro="" textlink="">
          <xdr:nvSpPr>
            <xdr:cNvPr id="22848" name="Calculate" hidden="1">
              <a:extLst>
                <a:ext uri="{63B3BB69-23CF-44E3-9099-C40C66FF867C}">
                  <a14:compatExt spid="_x0000_s22848"/>
                </a:ext>
                <a:ext uri="{FF2B5EF4-FFF2-40B4-BE49-F238E27FC236}">
                  <a16:creationId xmlns:a16="http://schemas.microsoft.com/office/drawing/2014/main" id="{00000000-0008-0000-0F00-0000405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Arial"/>
                  <a:cs typeface="Arial"/>
                </a:rPr>
                <a:t>Update Scenarios for </a:t>
              </a:r>
            </a:p>
            <a:p>
              <a:pPr algn="ctr" rtl="0">
                <a:defRPr sz="1000"/>
              </a:pPr>
              <a:r>
                <a:rPr lang="en-US" sz="1000" b="1" i="0" u="none" strike="noStrike" baseline="0">
                  <a:solidFill>
                    <a:srgbClr val="0000FF"/>
                  </a:solidFill>
                  <a:latin typeface="Arial"/>
                  <a:cs typeface="Arial"/>
                </a:rPr>
                <a:t>Equipment Loaded</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69850</xdr:rowOff>
        </xdr:from>
        <xdr:to>
          <xdr:col>3</xdr:col>
          <xdr:colOff>1028700</xdr:colOff>
          <xdr:row>2</xdr:row>
          <xdr:rowOff>69850</xdr:rowOff>
        </xdr:to>
        <xdr:sp macro="" textlink="">
          <xdr:nvSpPr>
            <xdr:cNvPr id="1012762" name="Button 26" hidden="1">
              <a:extLst>
                <a:ext uri="{63B3BB69-23CF-44E3-9099-C40C66FF867C}">
                  <a14:compatExt spid="_x0000_s1012762"/>
                </a:ext>
                <a:ext uri="{FF2B5EF4-FFF2-40B4-BE49-F238E27FC236}">
                  <a16:creationId xmlns:a16="http://schemas.microsoft.com/office/drawing/2014/main" id="{00000000-0008-0000-1000-00001A74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Main Menu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1333500</xdr:colOff>
          <xdr:row>1</xdr:row>
          <xdr:rowOff>114300</xdr:rowOff>
        </xdr:from>
        <xdr:to>
          <xdr:col>3</xdr:col>
          <xdr:colOff>647700</xdr:colOff>
          <xdr:row>3</xdr:row>
          <xdr:rowOff>76200</xdr:rowOff>
        </xdr:to>
        <xdr:sp macro="" textlink="">
          <xdr:nvSpPr>
            <xdr:cNvPr id="1055746" name="Button 2" hidden="1">
              <a:extLst>
                <a:ext uri="{63B3BB69-23CF-44E3-9099-C40C66FF867C}">
                  <a14:compatExt spid="_x0000_s1055746"/>
                </a:ext>
                <a:ext uri="{FF2B5EF4-FFF2-40B4-BE49-F238E27FC236}">
                  <a16:creationId xmlns:a16="http://schemas.microsoft.com/office/drawing/2014/main" id="{00000000-0008-0000-1100-0000021C1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FF"/>
                  </a:solidFill>
                  <a:latin typeface="Arial"/>
                  <a:cs typeface="Arial"/>
                </a:rPr>
                <a:t>Save Input to Equipment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381000</xdr:colOff>
          <xdr:row>1</xdr:row>
          <xdr:rowOff>114300</xdr:rowOff>
        </xdr:from>
        <xdr:to>
          <xdr:col>6</xdr:col>
          <xdr:colOff>495300</xdr:colOff>
          <xdr:row>3</xdr:row>
          <xdr:rowOff>76200</xdr:rowOff>
        </xdr:to>
        <xdr:sp macro="" textlink="">
          <xdr:nvSpPr>
            <xdr:cNvPr id="1055747" name="Button 3" hidden="1">
              <a:extLst>
                <a:ext uri="{63B3BB69-23CF-44E3-9099-C40C66FF867C}">
                  <a14:compatExt spid="_x0000_s1055747"/>
                </a:ext>
                <a:ext uri="{FF2B5EF4-FFF2-40B4-BE49-F238E27FC236}">
                  <a16:creationId xmlns:a16="http://schemas.microsoft.com/office/drawing/2014/main" id="{00000000-0008-0000-1100-0000031C1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1" i="0" u="none" strike="noStrike" baseline="0">
                  <a:solidFill>
                    <a:srgbClr val="FF0000"/>
                  </a:solidFill>
                  <a:latin typeface="Arial"/>
                  <a:cs typeface="Arial"/>
                </a:rPr>
                <a:t>Clear Input This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xdr:row>
          <xdr:rowOff>88900</xdr:rowOff>
        </xdr:from>
        <xdr:to>
          <xdr:col>2</xdr:col>
          <xdr:colOff>1181100</xdr:colOff>
          <xdr:row>3</xdr:row>
          <xdr:rowOff>50800</xdr:rowOff>
        </xdr:to>
        <xdr:sp macro="" textlink="">
          <xdr:nvSpPr>
            <xdr:cNvPr id="1055772" name="Button 28" hidden="1">
              <a:extLst>
                <a:ext uri="{63B3BB69-23CF-44E3-9099-C40C66FF867C}">
                  <a14:compatExt spid="_x0000_s1055772"/>
                </a:ext>
                <a:ext uri="{FF2B5EF4-FFF2-40B4-BE49-F238E27FC236}">
                  <a16:creationId xmlns:a16="http://schemas.microsoft.com/office/drawing/2014/main" id="{00000000-0008-0000-1100-00001C1C1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1" i="0" u="none" strike="noStrike" baseline="0">
                  <a:solidFill>
                    <a:srgbClr val="339966"/>
                  </a:solidFill>
                  <a:latin typeface="Arial"/>
                  <a:cs typeface="Arial"/>
                </a:rPr>
                <a:t>&lt;&lt; Go To Main Menu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18</xdr:col>
      <xdr:colOff>152400</xdr:colOff>
      <xdr:row>29</xdr:row>
      <xdr:rowOff>180974</xdr:rowOff>
    </xdr:from>
    <xdr:to>
      <xdr:col>23</xdr:col>
      <xdr:colOff>0</xdr:colOff>
      <xdr:row>38</xdr:row>
      <xdr:rowOff>38100</xdr:rowOff>
    </xdr:to>
    <xdr:grpSp>
      <xdr:nvGrpSpPr>
        <xdr:cNvPr id="2" name="Group 19">
          <a:extLst>
            <a:ext uri="{FF2B5EF4-FFF2-40B4-BE49-F238E27FC236}">
              <a16:creationId xmlns:a16="http://schemas.microsoft.com/office/drawing/2014/main" id="{00000000-0008-0000-1200-000002000000}"/>
            </a:ext>
          </a:extLst>
        </xdr:cNvPr>
        <xdr:cNvGrpSpPr>
          <a:grpSpLocks/>
        </xdr:cNvGrpSpPr>
      </xdr:nvGrpSpPr>
      <xdr:grpSpPr bwMode="auto">
        <a:xfrm>
          <a:off x="14336713" y="5387974"/>
          <a:ext cx="2609850" cy="1428751"/>
          <a:chOff x="607" y="861"/>
          <a:chExt cx="269" cy="183"/>
        </a:xfrm>
      </xdr:grpSpPr>
      <xdr:pic>
        <xdr:nvPicPr>
          <xdr:cNvPr id="3" name="Picture 14">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07" y="861"/>
            <a:ext cx="269" cy="183"/>
          </a:xfrm>
          <a:prstGeom prst="rect">
            <a:avLst/>
          </a:prstGeom>
          <a:noFill/>
          <a:ln w="1">
            <a:noFill/>
            <a:miter lim="800000"/>
            <a:headEnd/>
            <a:tailEnd/>
          </a:ln>
        </xdr:spPr>
      </xdr:pic>
      <xdr:sp macro="" textlink="">
        <xdr:nvSpPr>
          <xdr:cNvPr id="4" name="Rectangle 15">
            <a:extLst>
              <a:ext uri="{FF2B5EF4-FFF2-40B4-BE49-F238E27FC236}">
                <a16:creationId xmlns:a16="http://schemas.microsoft.com/office/drawing/2014/main" id="{00000000-0008-0000-1200-000004000000}"/>
              </a:ext>
            </a:extLst>
          </xdr:cNvPr>
          <xdr:cNvSpPr>
            <a:spLocks noChangeArrowheads="1"/>
          </xdr:cNvSpPr>
        </xdr:nvSpPr>
        <xdr:spPr bwMode="auto">
          <a:xfrm>
            <a:off x="761" y="910"/>
            <a:ext cx="114" cy="52"/>
          </a:xfrm>
          <a:prstGeom prst="rect">
            <a:avLst/>
          </a:prstGeom>
          <a:solidFill>
            <a:srgbClr val="FFFFFF"/>
          </a:solidFill>
          <a:ln w="9525">
            <a:noFill/>
            <a:miter lim="800000"/>
            <a:headEnd/>
            <a:tailEnd/>
          </a:ln>
        </xdr:spPr>
      </xdr:sp>
    </xdr:grpSp>
    <xdr:clientData/>
  </xdr:twoCellAnchor>
  <xdr:twoCellAnchor editAs="oneCell">
    <xdr:from>
      <xdr:col>18</xdr:col>
      <xdr:colOff>129722</xdr:colOff>
      <xdr:row>27</xdr:row>
      <xdr:rowOff>57150</xdr:rowOff>
    </xdr:from>
    <xdr:to>
      <xdr:col>21</xdr:col>
      <xdr:colOff>245269</xdr:colOff>
      <xdr:row>30</xdr:row>
      <xdr:rowOff>0</xdr:rowOff>
    </xdr:to>
    <xdr:pic>
      <xdr:nvPicPr>
        <xdr:cNvPr id="5" name="Picture 16">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121822" y="4219575"/>
          <a:ext cx="1689554" cy="476250"/>
        </a:xfrm>
        <a:prstGeom prst="rect">
          <a:avLst/>
        </a:prstGeom>
        <a:noFill/>
        <a:ln w="9525">
          <a:noFill/>
          <a:miter lim="800000"/>
          <a:headEnd/>
          <a:tailEnd/>
        </a:ln>
      </xdr:spPr>
    </xdr:pic>
    <xdr:clientData/>
  </xdr:twoCellAnchor>
  <xdr:twoCellAnchor editAs="oneCell">
    <xdr:from>
      <xdr:col>20</xdr:col>
      <xdr:colOff>266700</xdr:colOff>
      <xdr:row>34</xdr:row>
      <xdr:rowOff>57150</xdr:rowOff>
    </xdr:from>
    <xdr:to>
      <xdr:col>23</xdr:col>
      <xdr:colOff>504825</xdr:colOff>
      <xdr:row>37</xdr:row>
      <xdr:rowOff>47625</xdr:rowOff>
    </xdr:to>
    <xdr:pic>
      <xdr:nvPicPr>
        <xdr:cNvPr id="6" name="Picture 18">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cstate="print"/>
        <a:srcRect l="5823" r="1772"/>
        <a:stretch>
          <a:fillRect/>
        </a:stretch>
      </xdr:blipFill>
      <xdr:spPr bwMode="auto">
        <a:xfrm>
          <a:off x="14287500" y="5486400"/>
          <a:ext cx="1876425" cy="533400"/>
        </a:xfrm>
        <a:prstGeom prst="rect">
          <a:avLst/>
        </a:prstGeom>
        <a:noFill/>
        <a:ln w="9525">
          <a:noFill/>
          <a:miter lim="800000"/>
          <a:headEnd/>
          <a:tailEnd/>
        </a:ln>
      </xdr:spPr>
    </xdr:pic>
    <xdr:clientData/>
  </xdr:twoCellAnchor>
  <xdr:twoCellAnchor editAs="oneCell">
    <xdr:from>
      <xdr:col>18</xdr:col>
      <xdr:colOff>85725</xdr:colOff>
      <xdr:row>23</xdr:row>
      <xdr:rowOff>76200</xdr:rowOff>
    </xdr:from>
    <xdr:to>
      <xdr:col>24</xdr:col>
      <xdr:colOff>49212</xdr:colOff>
      <xdr:row>27</xdr:row>
      <xdr:rowOff>47625</xdr:rowOff>
    </xdr:to>
    <xdr:sp macro="" textlink="">
      <xdr:nvSpPr>
        <xdr:cNvPr id="7" name="Text Box 17">
          <a:extLst>
            <a:ext uri="{FF2B5EF4-FFF2-40B4-BE49-F238E27FC236}">
              <a16:creationId xmlns:a16="http://schemas.microsoft.com/office/drawing/2014/main" id="{00000000-0008-0000-1200-000007000000}"/>
            </a:ext>
          </a:extLst>
        </xdr:cNvPr>
        <xdr:cNvSpPr txBox="1">
          <a:spLocks noChangeArrowheads="1"/>
        </xdr:cNvSpPr>
      </xdr:nvSpPr>
      <xdr:spPr bwMode="auto">
        <a:xfrm>
          <a:off x="13077825" y="3514725"/>
          <a:ext cx="3076575" cy="695325"/>
        </a:xfrm>
        <a:prstGeom prst="rect">
          <a:avLst/>
        </a:prstGeom>
        <a:noFill/>
        <a:ln w="9525">
          <a:noFill/>
          <a:miter lim="800000"/>
          <a:headEnd/>
          <a:tailEnd/>
        </a:ln>
      </xdr:spPr>
      <xdr:txBody>
        <a:bodyPr vertOverflow="clip" wrap="square" lIns="27432" tIns="22860" rIns="0" bIns="0" anchor="t" upright="1"/>
        <a:lstStyle/>
        <a:p>
          <a:pPr algn="ctr" rtl="0">
            <a:defRPr sz="1000"/>
          </a:pPr>
          <a:r>
            <a:rPr lang="en-US" sz="1000" b="1" i="1" u="sng" strike="noStrike" baseline="0">
              <a:solidFill>
                <a:srgbClr val="000000"/>
              </a:solidFill>
              <a:latin typeface="Arial"/>
              <a:cs typeface="Arial"/>
            </a:rPr>
            <a:t>API 521 Flammability Hazard Analysis</a:t>
          </a:r>
        </a:p>
        <a:p>
          <a:pPr algn="l" rtl="0">
            <a:defRPr sz="1000"/>
          </a:pPr>
          <a:endParaRPr lang="en-US" sz="400" b="1" i="1" u="none" strike="noStrike" baseline="0">
            <a:solidFill>
              <a:srgbClr val="000000"/>
            </a:solidFill>
            <a:latin typeface="Arial"/>
            <a:cs typeface="Arial"/>
          </a:endParaRPr>
        </a:p>
        <a:p>
          <a:pPr algn="l" rtl="0">
            <a:defRPr sz="1000"/>
          </a:pPr>
          <a:r>
            <a:rPr lang="en-US" sz="1000" b="1" i="1" u="none" strike="noStrike" baseline="0">
              <a:solidFill>
                <a:srgbClr val="000000"/>
              </a:solidFill>
              <a:latin typeface="Arial"/>
              <a:cs typeface="Arial"/>
            </a:rPr>
            <a:t>The released vapor will be diluted below the LFL due to jet mixing if the Reynolds number, Re, meets the criterion of the following equation:</a:t>
          </a:r>
        </a:p>
      </xdr:txBody>
    </xdr:sp>
    <xdr:clientData/>
  </xdr:twoCellAnchor>
  <xdr:twoCellAnchor editAs="oneCell">
    <xdr:from>
      <xdr:col>21</xdr:col>
      <xdr:colOff>219076</xdr:colOff>
      <xdr:row>28</xdr:row>
      <xdr:rowOff>1</xdr:rowOff>
    </xdr:from>
    <xdr:to>
      <xdr:col>23</xdr:col>
      <xdr:colOff>502444</xdr:colOff>
      <xdr:row>29</xdr:row>
      <xdr:rowOff>0</xdr:rowOff>
    </xdr:to>
    <xdr:sp macro="" textlink="">
      <xdr:nvSpPr>
        <xdr:cNvPr id="8" name="Text Box 17">
          <a:extLst>
            <a:ext uri="{FF2B5EF4-FFF2-40B4-BE49-F238E27FC236}">
              <a16:creationId xmlns:a16="http://schemas.microsoft.com/office/drawing/2014/main" id="{00000000-0008-0000-1200-000008000000}"/>
            </a:ext>
          </a:extLst>
        </xdr:cNvPr>
        <xdr:cNvSpPr txBox="1">
          <a:spLocks noChangeArrowheads="1"/>
        </xdr:cNvSpPr>
      </xdr:nvSpPr>
      <xdr:spPr bwMode="auto">
        <a:xfrm>
          <a:off x="14763751" y="4343401"/>
          <a:ext cx="1314449" cy="171449"/>
        </a:xfrm>
        <a:prstGeom prst="rect">
          <a:avLst/>
        </a:prstGeom>
        <a:noFill/>
        <a:ln w="9525">
          <a:noFill/>
          <a:miter lim="800000"/>
          <a:headEnd/>
          <a:tailEnd/>
        </a:ln>
      </xdr:spPr>
      <xdr:txBody>
        <a:bodyPr vertOverflow="clip" wrap="square" lIns="27432" tIns="22860" rIns="0" bIns="0" anchor="t" upright="1"/>
        <a:lstStyle/>
        <a:p>
          <a:pPr algn="ctr" rtl="0">
            <a:defRPr sz="1000"/>
          </a:pPr>
          <a:r>
            <a:rPr lang="en-US" sz="900" b="0" i="1" u="none" strike="noStrike" baseline="0">
              <a:solidFill>
                <a:srgbClr val="000000"/>
              </a:solidFill>
              <a:latin typeface="Arial"/>
              <a:cs typeface="Arial"/>
            </a:rPr>
            <a:t>API 521 5th ed. Eq 22</a:t>
          </a:r>
        </a:p>
      </xdr:txBody>
    </xdr:sp>
    <xdr:clientData/>
  </xdr:twoCellAnchor>
  <mc:AlternateContent xmlns:mc="http://schemas.openxmlformats.org/markup-compatibility/2006">
    <mc:Choice xmlns:a14="http://schemas.microsoft.com/office/drawing/2010/main" Requires="a14">
      <xdr:twoCellAnchor>
        <xdr:from>
          <xdr:col>6</xdr:col>
          <xdr:colOff>190500</xdr:colOff>
          <xdr:row>0</xdr:row>
          <xdr:rowOff>127000</xdr:rowOff>
        </xdr:from>
        <xdr:to>
          <xdr:col>8</xdr:col>
          <xdr:colOff>222250</xdr:colOff>
          <xdr:row>1</xdr:row>
          <xdr:rowOff>152400</xdr:rowOff>
        </xdr:to>
        <xdr:sp macro="" textlink="">
          <xdr:nvSpPr>
            <xdr:cNvPr id="428232" name="Button 200" hidden="1">
              <a:extLst>
                <a:ext uri="{63B3BB69-23CF-44E3-9099-C40C66FF867C}">
                  <a14:compatExt spid="_x0000_s428232"/>
                </a:ext>
                <a:ext uri="{FF2B5EF4-FFF2-40B4-BE49-F238E27FC236}">
                  <a16:creationId xmlns:a16="http://schemas.microsoft.com/office/drawing/2014/main" id="{00000000-0008-0000-1200-0000C88806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0000FF"/>
                  </a:solidFill>
                  <a:latin typeface="Arial"/>
                  <a:cs typeface="Arial"/>
                </a:rPr>
                <a:t>Save Input to Equipment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0</xdr:row>
          <xdr:rowOff>146050</xdr:rowOff>
        </xdr:from>
        <xdr:to>
          <xdr:col>1</xdr:col>
          <xdr:colOff>1219200</xdr:colOff>
          <xdr:row>2</xdr:row>
          <xdr:rowOff>12700</xdr:rowOff>
        </xdr:to>
        <xdr:sp macro="" textlink="">
          <xdr:nvSpPr>
            <xdr:cNvPr id="428233" name="Button 201" hidden="1">
              <a:extLst>
                <a:ext uri="{63B3BB69-23CF-44E3-9099-C40C66FF867C}">
                  <a14:compatExt spid="_x0000_s428233"/>
                </a:ext>
                <a:ext uri="{FF2B5EF4-FFF2-40B4-BE49-F238E27FC236}">
                  <a16:creationId xmlns:a16="http://schemas.microsoft.com/office/drawing/2014/main" id="{00000000-0008-0000-1200-0000C98806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 Go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2260600</xdr:colOff>
          <xdr:row>2</xdr:row>
          <xdr:rowOff>88900</xdr:rowOff>
        </xdr:from>
        <xdr:to>
          <xdr:col>8</xdr:col>
          <xdr:colOff>228600</xdr:colOff>
          <xdr:row>2</xdr:row>
          <xdr:rowOff>304800</xdr:rowOff>
        </xdr:to>
        <xdr:sp macro="" textlink="">
          <xdr:nvSpPr>
            <xdr:cNvPr id="428234" name="Button 202" hidden="1">
              <a:extLst>
                <a:ext uri="{63B3BB69-23CF-44E3-9099-C40C66FF867C}">
                  <a14:compatExt spid="_x0000_s428234"/>
                </a:ext>
                <a:ext uri="{FF2B5EF4-FFF2-40B4-BE49-F238E27FC236}">
                  <a16:creationId xmlns:a16="http://schemas.microsoft.com/office/drawing/2014/main" id="{00000000-0008-0000-1200-0000CA88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FF0000"/>
                  </a:solidFill>
                  <a:latin typeface="Arial"/>
                  <a:cs typeface="Arial"/>
                </a:rPr>
                <a:t>Clear Input This Worksheet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876300</xdr:colOff>
          <xdr:row>0</xdr:row>
          <xdr:rowOff>152400</xdr:rowOff>
        </xdr:from>
        <xdr:to>
          <xdr:col>2</xdr:col>
          <xdr:colOff>1981200</xdr:colOff>
          <xdr:row>1</xdr:row>
          <xdr:rowOff>203200</xdr:rowOff>
        </xdr:to>
        <xdr:sp macro="" textlink="">
          <xdr:nvSpPr>
            <xdr:cNvPr id="7218" name="Button 50" hidden="1">
              <a:extLst>
                <a:ext uri="{63B3BB69-23CF-44E3-9099-C40C66FF867C}">
                  <a14:compatExt spid="_x0000_s7218"/>
                </a:ext>
                <a:ext uri="{FF2B5EF4-FFF2-40B4-BE49-F238E27FC236}">
                  <a16:creationId xmlns:a16="http://schemas.microsoft.com/office/drawing/2014/main" id="{00000000-0008-0000-1300-00003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All Considered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0</xdr:row>
          <xdr:rowOff>146050</xdr:rowOff>
        </xdr:from>
        <xdr:to>
          <xdr:col>2</xdr:col>
          <xdr:colOff>762000</xdr:colOff>
          <xdr:row>1</xdr:row>
          <xdr:rowOff>190500</xdr:rowOff>
        </xdr:to>
        <xdr:sp macro="" textlink="">
          <xdr:nvSpPr>
            <xdr:cNvPr id="7219" name="Button 51" hidden="1">
              <a:extLst>
                <a:ext uri="{63B3BB69-23CF-44E3-9099-C40C66FF867C}">
                  <a14:compatExt spid="_x0000_s7219"/>
                </a:ext>
                <a:ext uri="{FF2B5EF4-FFF2-40B4-BE49-F238E27FC236}">
                  <a16:creationId xmlns:a16="http://schemas.microsoft.com/office/drawing/2014/main" id="{00000000-0008-0000-1300-00003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All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2133600</xdr:colOff>
          <xdr:row>0</xdr:row>
          <xdr:rowOff>152400</xdr:rowOff>
        </xdr:from>
        <xdr:to>
          <xdr:col>2</xdr:col>
          <xdr:colOff>3346450</xdr:colOff>
          <xdr:row>1</xdr:row>
          <xdr:rowOff>203200</xdr:rowOff>
        </xdr:to>
        <xdr:sp macro="" textlink="">
          <xdr:nvSpPr>
            <xdr:cNvPr id="7220" name="Button 52" hidden="1">
              <a:extLst>
                <a:ext uri="{63B3BB69-23CF-44E3-9099-C40C66FF867C}">
                  <a14:compatExt spid="_x0000_s7220"/>
                </a:ext>
                <a:ext uri="{FF2B5EF4-FFF2-40B4-BE49-F238E27FC236}">
                  <a16:creationId xmlns:a16="http://schemas.microsoft.com/office/drawing/2014/main" id="{00000000-0008-0000-1300-00003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Applicable Only</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5</xdr:col>
      <xdr:colOff>1123950</xdr:colOff>
      <xdr:row>23</xdr:row>
      <xdr:rowOff>36888</xdr:rowOff>
    </xdr:from>
    <xdr:to>
      <xdr:col>7</xdr:col>
      <xdr:colOff>40351</xdr:colOff>
      <xdr:row>23</xdr:row>
      <xdr:rowOff>36888</xdr:rowOff>
    </xdr:to>
    <xdr:sp macro="" textlink="">
      <xdr:nvSpPr>
        <xdr:cNvPr id="59113" name="Line 178">
          <a:extLst>
            <a:ext uri="{FF2B5EF4-FFF2-40B4-BE49-F238E27FC236}">
              <a16:creationId xmlns:a16="http://schemas.microsoft.com/office/drawing/2014/main" id="{00000000-0008-0000-1500-0000E9E60000}"/>
            </a:ext>
          </a:extLst>
        </xdr:cNvPr>
        <xdr:cNvSpPr>
          <a:spLocks noChangeShapeType="1"/>
        </xdr:cNvSpPr>
      </xdr:nvSpPr>
      <xdr:spPr bwMode="auto">
        <a:xfrm flipV="1">
          <a:off x="3781425" y="3770688"/>
          <a:ext cx="164176" cy="0"/>
        </a:xfrm>
        <a:prstGeom prst="line">
          <a:avLst/>
        </a:prstGeom>
        <a:noFill/>
        <a:ln w="19050">
          <a:solidFill>
            <a:srgbClr val="000000"/>
          </a:solidFill>
          <a:round/>
          <a:headEnd type="triangle" w="med" len="med"/>
          <a:tailEnd/>
        </a:ln>
      </xdr:spPr>
    </xdr:sp>
    <xdr:clientData/>
  </xdr:twoCellAnchor>
  <xdr:twoCellAnchor>
    <xdr:from>
      <xdr:col>7</xdr:col>
      <xdr:colOff>58189</xdr:colOff>
      <xdr:row>1</xdr:row>
      <xdr:rowOff>34464</xdr:rowOff>
    </xdr:from>
    <xdr:to>
      <xdr:col>7</xdr:col>
      <xdr:colOff>103908</xdr:colOff>
      <xdr:row>49</xdr:row>
      <xdr:rowOff>57150</xdr:rowOff>
    </xdr:to>
    <xdr:sp macro="" textlink="">
      <xdr:nvSpPr>
        <xdr:cNvPr id="59114" name="AutoShape 182">
          <a:extLst>
            <a:ext uri="{FF2B5EF4-FFF2-40B4-BE49-F238E27FC236}">
              <a16:creationId xmlns:a16="http://schemas.microsoft.com/office/drawing/2014/main" id="{00000000-0008-0000-1500-0000EAE60000}"/>
            </a:ext>
          </a:extLst>
        </xdr:cNvPr>
        <xdr:cNvSpPr>
          <a:spLocks/>
        </xdr:cNvSpPr>
      </xdr:nvSpPr>
      <xdr:spPr bwMode="auto">
        <a:xfrm>
          <a:off x="3963439" y="205914"/>
          <a:ext cx="45719" cy="5042361"/>
        </a:xfrm>
        <a:prstGeom prst="leftBracket">
          <a:avLst>
            <a:gd name="adj" fmla="val 761763"/>
          </a:avLst>
        </a:prstGeom>
        <a:noFill/>
        <a:ln w="9525">
          <a:solidFill>
            <a:srgbClr val="000000"/>
          </a:solidFill>
          <a:round/>
          <a:headEnd/>
          <a:tailEnd/>
        </a:ln>
      </xdr:spPr>
    </xdr:sp>
    <xdr:clientData/>
  </xdr:twoCellAnchor>
  <xdr:twoCellAnchor>
    <xdr:from>
      <xdr:col>4</xdr:col>
      <xdr:colOff>63500</xdr:colOff>
      <xdr:row>34</xdr:row>
      <xdr:rowOff>87312</xdr:rowOff>
    </xdr:from>
    <xdr:to>
      <xdr:col>8</xdr:col>
      <xdr:colOff>47626</xdr:colOff>
      <xdr:row>35</xdr:row>
      <xdr:rowOff>57150</xdr:rowOff>
    </xdr:to>
    <xdr:sp macro="" textlink="">
      <xdr:nvSpPr>
        <xdr:cNvPr id="59115" name="Line 668">
          <a:extLst>
            <a:ext uri="{FF2B5EF4-FFF2-40B4-BE49-F238E27FC236}">
              <a16:creationId xmlns:a16="http://schemas.microsoft.com/office/drawing/2014/main" id="{00000000-0008-0000-1500-0000EBE60000}"/>
            </a:ext>
          </a:extLst>
        </xdr:cNvPr>
        <xdr:cNvSpPr>
          <a:spLocks noChangeShapeType="1"/>
        </xdr:cNvSpPr>
      </xdr:nvSpPr>
      <xdr:spPr bwMode="auto">
        <a:xfrm>
          <a:off x="2492375" y="5524500"/>
          <a:ext cx="1936751" cy="128588"/>
        </a:xfrm>
        <a:prstGeom prst="line">
          <a:avLst/>
        </a:prstGeom>
        <a:noFill/>
        <a:ln w="19050">
          <a:solidFill>
            <a:srgbClr val="000000"/>
          </a:solidFill>
          <a:round/>
          <a:headEnd type="triangle" w="med" len="med"/>
          <a:tailEnd/>
        </a:ln>
      </xdr:spPr>
    </xdr:sp>
    <xdr:clientData/>
  </xdr:twoCellAnchor>
  <mc:AlternateContent xmlns:mc="http://schemas.openxmlformats.org/markup-compatibility/2006">
    <mc:Choice xmlns:a14="http://schemas.microsoft.com/office/drawing/2010/main" Requires="a14">
      <xdr:twoCellAnchor>
        <xdr:from>
          <xdr:col>1</xdr:col>
          <xdr:colOff>812800</xdr:colOff>
          <xdr:row>41</xdr:row>
          <xdr:rowOff>76200</xdr:rowOff>
        </xdr:from>
        <xdr:to>
          <xdr:col>2</xdr:col>
          <xdr:colOff>69850</xdr:colOff>
          <xdr:row>42</xdr:row>
          <xdr:rowOff>107950</xdr:rowOff>
        </xdr:to>
        <xdr:sp macro="" textlink="">
          <xdr:nvSpPr>
            <xdr:cNvPr id="58561" name="Button 193" hidden="1">
              <a:extLst>
                <a:ext uri="{63B3BB69-23CF-44E3-9099-C40C66FF867C}">
                  <a14:compatExt spid="_x0000_s58561"/>
                </a:ext>
                <a:ext uri="{FF2B5EF4-FFF2-40B4-BE49-F238E27FC236}">
                  <a16:creationId xmlns:a16="http://schemas.microsoft.com/office/drawing/2014/main" id="{00000000-0008-0000-1500-0000C1E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0000FF"/>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41</xdr:row>
          <xdr:rowOff>76200</xdr:rowOff>
        </xdr:from>
        <xdr:to>
          <xdr:col>5</xdr:col>
          <xdr:colOff>127000</xdr:colOff>
          <xdr:row>42</xdr:row>
          <xdr:rowOff>107950</xdr:rowOff>
        </xdr:to>
        <xdr:sp macro="" textlink="">
          <xdr:nvSpPr>
            <xdr:cNvPr id="58562" name="Button 194" hidden="1">
              <a:extLst>
                <a:ext uri="{63B3BB69-23CF-44E3-9099-C40C66FF867C}">
                  <a14:compatExt spid="_x0000_s58562"/>
                </a:ext>
                <a:ext uri="{FF2B5EF4-FFF2-40B4-BE49-F238E27FC236}">
                  <a16:creationId xmlns:a16="http://schemas.microsoft.com/office/drawing/2014/main" id="{00000000-0008-0000-1500-0000C2E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808000"/>
                  </a:solidFill>
                  <a:latin typeface="Arial"/>
                  <a:cs typeface="Arial"/>
                </a:rPr>
                <a:t>Cancel and Go 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41</xdr:row>
          <xdr:rowOff>76200</xdr:rowOff>
        </xdr:from>
        <xdr:to>
          <xdr:col>1</xdr:col>
          <xdr:colOff>641350</xdr:colOff>
          <xdr:row>42</xdr:row>
          <xdr:rowOff>107950</xdr:rowOff>
        </xdr:to>
        <xdr:sp macro="" textlink="">
          <xdr:nvSpPr>
            <xdr:cNvPr id="58563" name="Button 195" hidden="1">
              <a:extLst>
                <a:ext uri="{63B3BB69-23CF-44E3-9099-C40C66FF867C}">
                  <a14:compatExt spid="_x0000_s58563"/>
                </a:ext>
                <a:ext uri="{FF2B5EF4-FFF2-40B4-BE49-F238E27FC236}">
                  <a16:creationId xmlns:a16="http://schemas.microsoft.com/office/drawing/2014/main" id="{00000000-0008-0000-1500-0000C3E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FF0000"/>
                  </a:solidFill>
                  <a:latin typeface="Arial"/>
                  <a:cs typeface="Arial"/>
                </a:rPr>
                <a:t>Clear Inputs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76200</xdr:rowOff>
        </xdr:from>
        <xdr:to>
          <xdr:col>1</xdr:col>
          <xdr:colOff>1689100</xdr:colOff>
          <xdr:row>2</xdr:row>
          <xdr:rowOff>0</xdr:rowOff>
        </xdr:to>
        <xdr:sp macro="" textlink="">
          <xdr:nvSpPr>
            <xdr:cNvPr id="1175553" name="Button 1" hidden="1">
              <a:extLst>
                <a:ext uri="{63B3BB69-23CF-44E3-9099-C40C66FF867C}">
                  <a14:compatExt spid="_x0000_s1175553"/>
                </a:ext>
                <a:ext uri="{FF2B5EF4-FFF2-40B4-BE49-F238E27FC236}">
                  <a16:creationId xmlns:a16="http://schemas.microsoft.com/office/drawing/2014/main" id="{00000000-0008-0000-1700-000001F01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1" i="0" u="none" strike="noStrike" baseline="0">
                  <a:solidFill>
                    <a:srgbClr val="339966"/>
                  </a:solidFill>
                  <a:latin typeface="Arial"/>
                  <a:cs typeface="Arial"/>
                </a:rPr>
                <a:t>&lt;&lt; Go To LOPA Menu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absolute">
    <xdr:from>
      <xdr:col>5</xdr:col>
      <xdr:colOff>893601</xdr:colOff>
      <xdr:row>0</xdr:row>
      <xdr:rowOff>162445</xdr:rowOff>
    </xdr:from>
    <xdr:to>
      <xdr:col>5</xdr:col>
      <xdr:colOff>1142983</xdr:colOff>
      <xdr:row>0</xdr:row>
      <xdr:rowOff>409864</xdr:rowOff>
    </xdr:to>
    <xdr:sp macro="" textlink="">
      <xdr:nvSpPr>
        <xdr:cNvPr id="756743" name="Rectangle 14">
          <a:extLst>
            <a:ext uri="{FF2B5EF4-FFF2-40B4-BE49-F238E27FC236}">
              <a16:creationId xmlns:a16="http://schemas.microsoft.com/office/drawing/2014/main" id="{00000000-0008-0000-1800-0000078C0B00}"/>
            </a:ext>
          </a:extLst>
        </xdr:cNvPr>
        <xdr:cNvSpPr>
          <a:spLocks noChangeArrowheads="1"/>
        </xdr:cNvSpPr>
      </xdr:nvSpPr>
      <xdr:spPr bwMode="auto">
        <a:xfrm>
          <a:off x="8733328" y="165620"/>
          <a:ext cx="249382" cy="241069"/>
        </a:xfrm>
        <a:prstGeom prst="rect">
          <a:avLst/>
        </a:prstGeom>
        <a:solidFill>
          <a:srgbClr val="FFFF00"/>
        </a:solidFill>
        <a:ln w="9525">
          <a:solidFill>
            <a:srgbClr val="000000"/>
          </a:solidFill>
          <a:miter lim="800000"/>
          <a:headEnd/>
          <a:tailEnd/>
        </a:ln>
      </xdr:spPr>
    </xdr:sp>
    <xdr:clientData fPrintsWithSheet="0"/>
  </xdr:twoCellAnchor>
  <xdr:twoCellAnchor editAs="absolute">
    <xdr:from>
      <xdr:col>5</xdr:col>
      <xdr:colOff>1240427</xdr:colOff>
      <xdr:row>0</xdr:row>
      <xdr:rowOff>202046</xdr:rowOff>
    </xdr:from>
    <xdr:to>
      <xdr:col>6</xdr:col>
      <xdr:colOff>1058518</xdr:colOff>
      <xdr:row>0</xdr:row>
      <xdr:rowOff>370263</xdr:rowOff>
    </xdr:to>
    <xdr:sp macro="" textlink="">
      <xdr:nvSpPr>
        <xdr:cNvPr id="756744" name="Text Box 15">
          <a:extLst>
            <a:ext uri="{FF2B5EF4-FFF2-40B4-BE49-F238E27FC236}">
              <a16:creationId xmlns:a16="http://schemas.microsoft.com/office/drawing/2014/main" id="{00000000-0008-0000-1800-0000088C0B00}"/>
            </a:ext>
          </a:extLst>
        </xdr:cNvPr>
        <xdr:cNvSpPr txBox="1">
          <a:spLocks noChangeArrowheads="1"/>
        </xdr:cNvSpPr>
      </xdr:nvSpPr>
      <xdr:spPr bwMode="auto">
        <a:xfrm>
          <a:off x="9080154" y="198871"/>
          <a:ext cx="1562792" cy="174567"/>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u="none" strike="noStrike" baseline="0">
              <a:solidFill>
                <a:srgbClr val="000000"/>
              </a:solidFill>
              <a:latin typeface="Arial"/>
              <a:cs typeface="Arial"/>
            </a:rPr>
            <a:t>Defines a Unique Scenario</a:t>
          </a:r>
        </a:p>
      </xdr:txBody>
    </xdr:sp>
    <xdr:clientData fPrintsWithSheet="0"/>
  </xdr:twoCellAnchor>
  <xdr:twoCellAnchor editAs="absolute">
    <xdr:from>
      <xdr:col>5</xdr:col>
      <xdr:colOff>893601</xdr:colOff>
      <xdr:row>0</xdr:row>
      <xdr:rowOff>581545</xdr:rowOff>
    </xdr:from>
    <xdr:to>
      <xdr:col>5</xdr:col>
      <xdr:colOff>1142983</xdr:colOff>
      <xdr:row>0</xdr:row>
      <xdr:rowOff>828964</xdr:rowOff>
    </xdr:to>
    <xdr:sp macro="" textlink="">
      <xdr:nvSpPr>
        <xdr:cNvPr id="756745" name="Rectangle 16">
          <a:extLst>
            <a:ext uri="{FF2B5EF4-FFF2-40B4-BE49-F238E27FC236}">
              <a16:creationId xmlns:a16="http://schemas.microsoft.com/office/drawing/2014/main" id="{00000000-0008-0000-1800-0000098C0B00}"/>
            </a:ext>
          </a:extLst>
        </xdr:cNvPr>
        <xdr:cNvSpPr>
          <a:spLocks noChangeArrowheads="1"/>
        </xdr:cNvSpPr>
      </xdr:nvSpPr>
      <xdr:spPr bwMode="auto">
        <a:xfrm>
          <a:off x="8733328" y="584720"/>
          <a:ext cx="249382" cy="241069"/>
        </a:xfrm>
        <a:prstGeom prst="rect">
          <a:avLst/>
        </a:prstGeom>
        <a:solidFill>
          <a:srgbClr val="CCFFFF"/>
        </a:solidFill>
        <a:ln w="9525">
          <a:solidFill>
            <a:srgbClr val="000000"/>
          </a:solidFill>
          <a:miter lim="800000"/>
          <a:headEnd/>
          <a:tailEnd/>
        </a:ln>
      </xdr:spPr>
    </xdr:sp>
    <xdr:clientData fPrintsWithSheet="0"/>
  </xdr:twoCellAnchor>
  <xdr:twoCellAnchor editAs="absolute">
    <xdr:from>
      <xdr:col>5</xdr:col>
      <xdr:colOff>1240427</xdr:colOff>
      <xdr:row>0</xdr:row>
      <xdr:rowOff>621146</xdr:rowOff>
    </xdr:from>
    <xdr:to>
      <xdr:col>6</xdr:col>
      <xdr:colOff>867326</xdr:colOff>
      <xdr:row>0</xdr:row>
      <xdr:rowOff>789363</xdr:rowOff>
    </xdr:to>
    <xdr:sp macro="" textlink="">
      <xdr:nvSpPr>
        <xdr:cNvPr id="756746" name="Text Box 17">
          <a:extLst>
            <a:ext uri="{FF2B5EF4-FFF2-40B4-BE49-F238E27FC236}">
              <a16:creationId xmlns:a16="http://schemas.microsoft.com/office/drawing/2014/main" id="{00000000-0008-0000-1800-00000A8C0B00}"/>
            </a:ext>
          </a:extLst>
        </xdr:cNvPr>
        <xdr:cNvSpPr txBox="1">
          <a:spLocks noChangeArrowheads="1"/>
        </xdr:cNvSpPr>
      </xdr:nvSpPr>
      <xdr:spPr bwMode="auto">
        <a:xfrm>
          <a:off x="9080154" y="617971"/>
          <a:ext cx="1371600" cy="174567"/>
        </a:xfrm>
        <a:prstGeom prst="rect">
          <a:avLst/>
        </a:prstGeom>
        <a:noFill/>
        <a:ln w="9525">
          <a:noFill/>
          <a:miter lim="800000"/>
          <a:headEnd/>
          <a:tailEnd/>
        </a:ln>
      </xdr:spPr>
      <xdr:txBody>
        <a:bodyPr wrap="none" lIns="18288" tIns="18288" rIns="0" bIns="0" anchor="t" upright="1">
          <a:spAutoFit/>
        </a:bodyPr>
        <a:lstStyle/>
        <a:p>
          <a:pPr algn="l" rtl="0">
            <a:defRPr sz="1000"/>
          </a:pPr>
          <a:r>
            <a:rPr lang="en-US" sz="1000" b="0" i="0" u="none" strike="noStrike" baseline="0">
              <a:solidFill>
                <a:srgbClr val="000000"/>
              </a:solidFill>
              <a:latin typeface="Arial"/>
              <a:cs typeface="Arial"/>
            </a:rPr>
            <a:t>LOPA Worksheet Entry</a:t>
          </a:r>
        </a:p>
      </xdr:txBody>
    </xdr:sp>
    <xdr:clientData fPrintsWithSheet="0"/>
  </xdr:twoCellAnchor>
  <xdr:twoCellAnchor editAs="absolute">
    <xdr:from>
      <xdr:col>1</xdr:col>
      <xdr:colOff>41275</xdr:colOff>
      <xdr:row>0</xdr:row>
      <xdr:rowOff>236451</xdr:rowOff>
    </xdr:from>
    <xdr:to>
      <xdr:col>2</xdr:col>
      <xdr:colOff>688033</xdr:colOff>
      <xdr:row>0</xdr:row>
      <xdr:rowOff>717146</xdr:rowOff>
    </xdr:to>
    <xdr:sp macro="" textlink="Equipment_Tag">
      <xdr:nvSpPr>
        <xdr:cNvPr id="315410" name="Equip_Loaded">
          <a:extLst>
            <a:ext uri="{FF2B5EF4-FFF2-40B4-BE49-F238E27FC236}">
              <a16:creationId xmlns:a16="http://schemas.microsoft.com/office/drawing/2014/main" id="{00000000-0008-0000-1800-000012D00400}"/>
            </a:ext>
          </a:extLst>
        </xdr:cNvPr>
        <xdr:cNvSpPr>
          <a:spLocks noChangeArrowheads="1" noTextEdit="1"/>
        </xdr:cNvSpPr>
      </xdr:nvSpPr>
      <xdr:spPr bwMode="auto">
        <a:xfrm>
          <a:off x="914400" y="236451"/>
          <a:ext cx="1361133" cy="480695"/>
        </a:xfrm>
        <a:prstGeom prst="rect">
          <a:avLst/>
        </a:prstGeom>
        <a:solidFill>
          <a:srgbClr val="FFFFFF"/>
        </a:solidFill>
        <a:ln w="9525">
          <a:solidFill>
            <a:srgbClr val="000000"/>
          </a:solidFill>
          <a:miter lim="800000"/>
          <a:headEnd/>
          <a:tailEnd/>
        </a:ln>
      </xdr:spPr>
      <xdr:txBody>
        <a:bodyPr/>
        <a:lstStyle/>
        <a:p>
          <a:fld id="{57140997-E873-4B22-B4B1-8027F1F701A3}" type="TxLink">
            <a:rPr lang="en-US" sz="1000" b="1" i="0" u="none" strike="noStrike">
              <a:solidFill>
                <a:srgbClr val="0000FF"/>
              </a:solidFill>
              <a:latin typeface="Arial Narrow"/>
            </a:rPr>
            <a:pPr/>
            <a:t> </a:t>
          </a:fld>
          <a:endParaRPr lang="en-US"/>
        </a:p>
      </xdr:txBody>
    </xdr:sp>
    <xdr:clientData fPrintsWithSheet="0"/>
  </xdr:twoCellAnchor>
  <xdr:twoCellAnchor editAs="absolute">
    <xdr:from>
      <xdr:col>1</xdr:col>
      <xdr:colOff>126092</xdr:colOff>
      <xdr:row>0</xdr:row>
      <xdr:rowOff>44740</xdr:rowOff>
    </xdr:from>
    <xdr:to>
      <xdr:col>2</xdr:col>
      <xdr:colOff>603216</xdr:colOff>
      <xdr:row>0</xdr:row>
      <xdr:rowOff>207188</xdr:rowOff>
    </xdr:to>
    <xdr:sp macro="" textlink="">
      <xdr:nvSpPr>
        <xdr:cNvPr id="315411" name="Equip_Loaded_Label">
          <a:extLst>
            <a:ext uri="{FF2B5EF4-FFF2-40B4-BE49-F238E27FC236}">
              <a16:creationId xmlns:a16="http://schemas.microsoft.com/office/drawing/2014/main" id="{00000000-0008-0000-1800-000013D00400}"/>
            </a:ext>
          </a:extLst>
        </xdr:cNvPr>
        <xdr:cNvSpPr>
          <a:spLocks noChangeArrowheads="1"/>
        </xdr:cNvSpPr>
      </xdr:nvSpPr>
      <xdr:spPr bwMode="auto">
        <a:xfrm>
          <a:off x="999217" y="44740"/>
          <a:ext cx="1191499" cy="162448"/>
        </a:xfrm>
        <a:prstGeom prst="rect">
          <a:avLst/>
        </a:prstGeom>
        <a:noFill/>
        <a:ln w="9525">
          <a:noFill/>
          <a:miter lim="800000"/>
          <a:headEnd/>
          <a:tailEnd/>
        </a:ln>
      </xdr:spPr>
      <xdr:txBody>
        <a:bodyPr wrap="square" lIns="18288" tIns="18288" rIns="18288" bIns="0" anchor="t" upright="1">
          <a:spAutoFit/>
        </a:bodyPr>
        <a:lstStyle/>
        <a:p>
          <a:pPr algn="ctr" rtl="0">
            <a:defRPr sz="1000"/>
          </a:pPr>
          <a:r>
            <a:rPr lang="en-US" sz="1000" b="1" i="0" u="none" strike="noStrike" baseline="0">
              <a:solidFill>
                <a:srgbClr val="333399"/>
              </a:solidFill>
              <a:latin typeface="Arial Narrow"/>
            </a:rPr>
            <a:t>Equipment Loaded</a:t>
          </a:r>
        </a:p>
      </xdr:txBody>
    </xdr:sp>
    <xdr:clientData fPrintsWithSheet="0"/>
  </xdr:twoCellAnchor>
  <xdr:twoCellAnchor editAs="absolute">
    <xdr:from>
      <xdr:col>0</xdr:col>
      <xdr:colOff>92676</xdr:colOff>
      <xdr:row>0</xdr:row>
      <xdr:rowOff>68349</xdr:rowOff>
    </xdr:from>
    <xdr:to>
      <xdr:col>0</xdr:col>
      <xdr:colOff>582310</xdr:colOff>
      <xdr:row>0</xdr:row>
      <xdr:rowOff>292631</xdr:rowOff>
    </xdr:to>
    <xdr:sp macro="" textlink="">
      <xdr:nvSpPr>
        <xdr:cNvPr id="337448" name="Text Box 20008">
          <a:extLst>
            <a:ext uri="{FF2B5EF4-FFF2-40B4-BE49-F238E27FC236}">
              <a16:creationId xmlns:a16="http://schemas.microsoft.com/office/drawing/2014/main" id="{00000000-0008-0000-1800-000028260500}"/>
            </a:ext>
          </a:extLst>
        </xdr:cNvPr>
        <xdr:cNvSpPr txBox="1">
          <a:spLocks noChangeArrowheads="1"/>
        </xdr:cNvSpPr>
      </xdr:nvSpPr>
      <xdr:spPr bwMode="auto">
        <a:xfrm>
          <a:off x="92676" y="71524"/>
          <a:ext cx="492809" cy="217932"/>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1000" b="0" i="0" u="none" strike="noStrike" baseline="0">
              <a:solidFill>
                <a:srgbClr val="000000"/>
              </a:solidFill>
              <a:latin typeface="Arial Narrow"/>
            </a:rPr>
            <a:t>Version</a:t>
          </a:r>
        </a:p>
      </xdr:txBody>
    </xdr:sp>
    <xdr:clientData fPrintsWithSheet="0"/>
  </xdr:twoCellAnchor>
  <mc:AlternateContent xmlns:mc="http://schemas.openxmlformats.org/markup-compatibility/2006">
    <mc:Choice xmlns:a14="http://schemas.microsoft.com/office/drawing/2010/main" Requires="a14">
      <xdr:twoCellAnchor editAs="absolute">
        <xdr:from>
          <xdr:col>4</xdr:col>
          <xdr:colOff>1697683</xdr:colOff>
          <xdr:row>0</xdr:row>
          <xdr:rowOff>457200</xdr:rowOff>
        </xdr:from>
        <xdr:to>
          <xdr:col>4</xdr:col>
          <xdr:colOff>2459683</xdr:colOff>
          <xdr:row>0</xdr:row>
          <xdr:rowOff>914400</xdr:rowOff>
        </xdr:to>
        <xdr:sp macro="" textlink="">
          <xdr:nvSpPr>
            <xdr:cNvPr id="756749" name="Risk_Graph" hidden="1">
              <a:extLst>
                <a:ext uri="{63B3BB69-23CF-44E3-9099-C40C66FF867C}">
                  <a14:compatExt spid="_x0000_s756749"/>
                </a:ext>
                <a:ext uri="{FF2B5EF4-FFF2-40B4-BE49-F238E27FC236}">
                  <a16:creationId xmlns:a16="http://schemas.microsoft.com/office/drawing/2014/main" id="{00000000-0008-0000-1800-00000D8C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Risk Summary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783283</xdr:colOff>
          <xdr:row>0</xdr:row>
          <xdr:rowOff>127000</xdr:rowOff>
        </xdr:from>
        <xdr:to>
          <xdr:col>4</xdr:col>
          <xdr:colOff>2116783</xdr:colOff>
          <xdr:row>0</xdr:row>
          <xdr:rowOff>381000</xdr:rowOff>
        </xdr:to>
        <xdr:sp macro="" textlink="">
          <xdr:nvSpPr>
            <xdr:cNvPr id="756750" name="LOPA_Worksheet_&gt;" hidden="1">
              <a:extLst>
                <a:ext uri="{63B3BB69-23CF-44E3-9099-C40C66FF867C}">
                  <a14:compatExt spid="_x0000_s756750"/>
                </a:ext>
                <a:ext uri="{FF2B5EF4-FFF2-40B4-BE49-F238E27FC236}">
                  <a16:creationId xmlns:a16="http://schemas.microsoft.com/office/drawing/2014/main" id="{00000000-0008-0000-1800-00000E8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339966"/>
                  </a:solidFill>
                  <a:latin typeface="Arial"/>
                  <a:cs typeface="Arial"/>
                </a:rPr>
                <a:t>LOPA Worksheet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184150</xdr:colOff>
          <xdr:row>0</xdr:row>
          <xdr:rowOff>146050</xdr:rowOff>
        </xdr:from>
        <xdr:to>
          <xdr:col>8</xdr:col>
          <xdr:colOff>12700</xdr:colOff>
          <xdr:row>0</xdr:row>
          <xdr:rowOff>381000</xdr:rowOff>
        </xdr:to>
        <xdr:sp macro="" textlink="">
          <xdr:nvSpPr>
            <xdr:cNvPr id="756752" name="Clear_Results" hidden="1">
              <a:extLst>
                <a:ext uri="{63B3BB69-23CF-44E3-9099-C40C66FF867C}">
                  <a14:compatExt spid="_x0000_s756752"/>
                </a:ext>
                <a:ext uri="{FF2B5EF4-FFF2-40B4-BE49-F238E27FC236}">
                  <a16:creationId xmlns:a16="http://schemas.microsoft.com/office/drawing/2014/main" id="{00000000-0008-0000-1800-0000108C0B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FF0000"/>
                  </a:solidFill>
                  <a:latin typeface="Arial"/>
                  <a:cs typeface="Arial"/>
                </a:rPr>
                <a:t>Clear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745183</xdr:colOff>
          <xdr:row>0</xdr:row>
          <xdr:rowOff>469900</xdr:rowOff>
        </xdr:from>
        <xdr:to>
          <xdr:col>3</xdr:col>
          <xdr:colOff>1659583</xdr:colOff>
          <xdr:row>0</xdr:row>
          <xdr:rowOff>927100</xdr:rowOff>
        </xdr:to>
        <xdr:sp macro="" textlink="">
          <xdr:nvSpPr>
            <xdr:cNvPr id="756754" name="Create_User_Scenario" hidden="1">
              <a:extLst>
                <a:ext uri="{63B3BB69-23CF-44E3-9099-C40C66FF867C}">
                  <a14:compatExt spid="_x0000_s756754"/>
                </a:ext>
                <a:ext uri="{FF2B5EF4-FFF2-40B4-BE49-F238E27FC236}">
                  <a16:creationId xmlns:a16="http://schemas.microsoft.com/office/drawing/2014/main" id="{00000000-0008-0000-1800-0000128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User</a:t>
              </a:r>
            </a:p>
            <a:p>
              <a:pPr algn="ctr" rtl="0">
                <a:defRPr sz="1000"/>
              </a:pPr>
              <a:r>
                <a:rPr lang="en-US" sz="1100" b="0" i="0" u="none" strike="noStrike" baseline="0">
                  <a:solidFill>
                    <a:srgbClr val="000000"/>
                  </a:solidFill>
                  <a:latin typeface="Arial"/>
                  <a:cs typeface="Arial"/>
                </a:rPr>
                <a:t>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1761183</xdr:colOff>
          <xdr:row>0</xdr:row>
          <xdr:rowOff>469900</xdr:rowOff>
        </xdr:from>
        <xdr:to>
          <xdr:col>4</xdr:col>
          <xdr:colOff>541983</xdr:colOff>
          <xdr:row>0</xdr:row>
          <xdr:rowOff>927100</xdr:rowOff>
        </xdr:to>
        <xdr:sp macro="" textlink="">
          <xdr:nvSpPr>
            <xdr:cNvPr id="756757" name="Modify_User_Scenario" hidden="1">
              <a:extLst>
                <a:ext uri="{63B3BB69-23CF-44E3-9099-C40C66FF867C}">
                  <a14:compatExt spid="_x0000_s756757"/>
                </a:ext>
                <a:ext uri="{FF2B5EF4-FFF2-40B4-BE49-F238E27FC236}">
                  <a16:creationId xmlns:a16="http://schemas.microsoft.com/office/drawing/2014/main" id="{00000000-0008-0000-1800-0000158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Modify User</a:t>
              </a:r>
            </a:p>
            <a:p>
              <a:pPr algn="ctr" rtl="0">
                <a:defRPr sz="1000"/>
              </a:pPr>
              <a:r>
                <a:rPr lang="en-US" sz="1100" b="0" i="0" u="none" strike="noStrike" baseline="0">
                  <a:solidFill>
                    <a:srgbClr val="000000"/>
                  </a:solidFill>
                  <a:latin typeface="Arial"/>
                  <a:cs typeface="Arial"/>
                </a:rPr>
                <a: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643583</xdr:colOff>
          <xdr:row>0</xdr:row>
          <xdr:rowOff>469900</xdr:rowOff>
        </xdr:from>
        <xdr:to>
          <xdr:col>4</xdr:col>
          <xdr:colOff>1596083</xdr:colOff>
          <xdr:row>0</xdr:row>
          <xdr:rowOff>927100</xdr:rowOff>
        </xdr:to>
        <xdr:sp macro="" textlink="">
          <xdr:nvSpPr>
            <xdr:cNvPr id="799300" name="Duplicate" hidden="1">
              <a:extLst>
                <a:ext uri="{63B3BB69-23CF-44E3-9099-C40C66FF867C}">
                  <a14:compatExt spid="_x0000_s799300"/>
                </a:ext>
                <a:ext uri="{FF2B5EF4-FFF2-40B4-BE49-F238E27FC236}">
                  <a16:creationId xmlns:a16="http://schemas.microsoft.com/office/drawing/2014/main" id="{00000000-0008-0000-1800-00004432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Duplicate</a:t>
              </a:r>
            </a:p>
            <a:p>
              <a:pPr algn="ctr" rtl="0">
                <a:defRPr sz="1000"/>
              </a:pPr>
              <a:r>
                <a:rPr lang="en-US" sz="1100" b="0" i="0" u="none" strike="noStrike" baseline="0">
                  <a:solidFill>
                    <a:srgbClr val="000000"/>
                  </a:solidFill>
                  <a:latin typeface="Arial"/>
                  <a:cs typeface="Arial"/>
                </a:rPr>
                <a:t>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148283</xdr:colOff>
          <xdr:row>0</xdr:row>
          <xdr:rowOff>457200</xdr:rowOff>
        </xdr:from>
        <xdr:to>
          <xdr:col>3</xdr:col>
          <xdr:colOff>643583</xdr:colOff>
          <xdr:row>0</xdr:row>
          <xdr:rowOff>914400</xdr:rowOff>
        </xdr:to>
        <xdr:sp macro="" textlink="">
          <xdr:nvSpPr>
            <xdr:cNvPr id="799301" name="Reset_Filters" hidden="1">
              <a:extLst>
                <a:ext uri="{63B3BB69-23CF-44E3-9099-C40C66FF867C}">
                  <a14:compatExt spid="_x0000_s799301"/>
                </a:ext>
                <a:ext uri="{FF2B5EF4-FFF2-40B4-BE49-F238E27FC236}">
                  <a16:creationId xmlns:a16="http://schemas.microsoft.com/office/drawing/2014/main" id="{00000000-0008-0000-1800-00004532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a:t>
              </a:r>
            </a:p>
            <a:p>
              <a:pPr algn="ctr" rtl="0">
                <a:defRPr sz="1000"/>
              </a:pPr>
              <a:r>
                <a:rPr lang="en-US" sz="1100" b="0" i="0" u="none" strike="noStrike" baseline="0">
                  <a:solidFill>
                    <a:srgbClr val="000000"/>
                  </a:solidFill>
                  <a:latin typeface="Arial"/>
                  <a:cs typeface="Arial"/>
                </a:rPr>
                <a:t>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789633</xdr:colOff>
          <xdr:row>0</xdr:row>
          <xdr:rowOff>127000</xdr:rowOff>
        </xdr:from>
        <xdr:to>
          <xdr:col>3</xdr:col>
          <xdr:colOff>1056333</xdr:colOff>
          <xdr:row>0</xdr:row>
          <xdr:rowOff>381000</xdr:rowOff>
        </xdr:to>
        <xdr:sp macro="" textlink="">
          <xdr:nvSpPr>
            <xdr:cNvPr id="799302" name="Go To Equipment Table" hidden="1">
              <a:extLst>
                <a:ext uri="{63B3BB69-23CF-44E3-9099-C40C66FF867C}">
                  <a14:compatExt spid="_x0000_s799302"/>
                </a:ext>
                <a:ext uri="{FF2B5EF4-FFF2-40B4-BE49-F238E27FC236}">
                  <a16:creationId xmlns:a16="http://schemas.microsoft.com/office/drawing/2014/main" id="{00000000-0008-0000-1800-00004632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339966"/>
                  </a:solidFill>
                  <a:latin typeface="Arial"/>
                  <a:cs typeface="Arial"/>
                </a:rPr>
                <a:t>&lt;&lt; Equipment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789633</xdr:colOff>
          <xdr:row>0</xdr:row>
          <xdr:rowOff>457200</xdr:rowOff>
        </xdr:from>
        <xdr:to>
          <xdr:col>3</xdr:col>
          <xdr:colOff>46683</xdr:colOff>
          <xdr:row>0</xdr:row>
          <xdr:rowOff>914400</xdr:rowOff>
        </xdr:to>
        <xdr:sp macro="" textlink="">
          <xdr:nvSpPr>
            <xdr:cNvPr id="799504" name="Sort" hidden="1">
              <a:extLst>
                <a:ext uri="{63B3BB69-23CF-44E3-9099-C40C66FF867C}">
                  <a14:compatExt spid="_x0000_s799504"/>
                </a:ext>
                <a:ext uri="{FF2B5EF4-FFF2-40B4-BE49-F238E27FC236}">
                  <a16:creationId xmlns:a16="http://schemas.microsoft.com/office/drawing/2014/main" id="{00000000-0008-0000-1800-00001033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1157933</xdr:colOff>
          <xdr:row>0</xdr:row>
          <xdr:rowOff>114300</xdr:rowOff>
        </xdr:from>
        <xdr:to>
          <xdr:col>4</xdr:col>
          <xdr:colOff>681683</xdr:colOff>
          <xdr:row>0</xdr:row>
          <xdr:rowOff>374650</xdr:rowOff>
        </xdr:to>
        <xdr:sp macro="" textlink="">
          <xdr:nvSpPr>
            <xdr:cNvPr id="1273994" name="Scenario_Identification" hidden="1">
              <a:extLst>
                <a:ext uri="{63B3BB69-23CF-44E3-9099-C40C66FF867C}">
                  <a14:compatExt spid="_x0000_s1273994"/>
                </a:ext>
                <a:ext uri="{FF2B5EF4-FFF2-40B4-BE49-F238E27FC236}">
                  <a16:creationId xmlns:a16="http://schemas.microsoft.com/office/drawing/2014/main" id="{00000000-0008-0000-1800-00008A701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339966"/>
                  </a:solidFill>
                  <a:latin typeface="Arial"/>
                  <a:cs typeface="Arial"/>
                </a:rPr>
                <a:t>&lt; Scenario Identification</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76200</xdr:rowOff>
        </xdr:from>
        <xdr:to>
          <xdr:col>2</xdr:col>
          <xdr:colOff>660400</xdr:colOff>
          <xdr:row>1</xdr:row>
          <xdr:rowOff>146050</xdr:rowOff>
        </xdr:to>
        <xdr:sp macro="" textlink="">
          <xdr:nvSpPr>
            <xdr:cNvPr id="1048589" name="Button 13" hidden="1">
              <a:extLst>
                <a:ext uri="{63B3BB69-23CF-44E3-9099-C40C66FF867C}">
                  <a14:compatExt spid="_x0000_s1048589"/>
                </a:ext>
                <a:ext uri="{FF2B5EF4-FFF2-40B4-BE49-F238E27FC236}">
                  <a16:creationId xmlns:a16="http://schemas.microsoft.com/office/drawing/2014/main" id="{00000000-0008-0000-1900-00000D001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LOPA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76200</xdr:rowOff>
        </xdr:from>
        <xdr:to>
          <xdr:col>9</xdr:col>
          <xdr:colOff>381000</xdr:colOff>
          <xdr:row>1</xdr:row>
          <xdr:rowOff>114300</xdr:rowOff>
        </xdr:to>
        <xdr:sp macro="" textlink="">
          <xdr:nvSpPr>
            <xdr:cNvPr id="1048591" name="Button 15" hidden="1">
              <a:extLst>
                <a:ext uri="{63B3BB69-23CF-44E3-9099-C40C66FF867C}">
                  <a14:compatExt spid="_x0000_s1048591"/>
                </a:ext>
                <a:ext uri="{FF2B5EF4-FFF2-40B4-BE49-F238E27FC236}">
                  <a16:creationId xmlns:a16="http://schemas.microsoft.com/office/drawing/2014/main" id="{00000000-0008-0000-1900-00000F001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FF0000"/>
                  </a:solidFill>
                  <a:latin typeface="Arial"/>
                  <a:cs typeface="Arial"/>
                </a:rPr>
                <a:t>Clear Input This Worksheet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127000</xdr:colOff>
          <xdr:row>0</xdr:row>
          <xdr:rowOff>127000</xdr:rowOff>
        </xdr:from>
        <xdr:ext cx="1327150" cy="209550"/>
        <xdr:sp macro="" textlink="">
          <xdr:nvSpPr>
            <xdr:cNvPr id="1251329" name="Button 1" hidden="1">
              <a:extLst>
                <a:ext uri="{63B3BB69-23CF-44E3-9099-C40C66FF867C}">
                  <a14:compatExt spid="_x0000_s1251329"/>
                </a:ext>
                <a:ext uri="{FF2B5EF4-FFF2-40B4-BE49-F238E27FC236}">
                  <a16:creationId xmlns:a16="http://schemas.microsoft.com/office/drawing/2014/main" id="{00000000-0008-0000-1A00-000001181300}"/>
                </a:ext>
              </a:extLst>
            </xdr:cNvPr>
            <xdr:cNvSpPr/>
          </xdr:nvSpPr>
          <xdr:spPr bwMode="auto">
            <a:xfrm>
              <a:off x="0" y="0"/>
              <a:ext cx="0" cy="0"/>
            </a:xfrm>
            <a:prstGeom prst="rect">
              <a:avLst/>
            </a:prstGeom>
            <a:noFill/>
            <a:ln w="9525">
              <a:miter lim="800000"/>
              <a:headEnd/>
              <a:tailEnd/>
            </a:ln>
          </xdr:spPr>
          <xdr:txBody>
            <a:bodyPr wrap="none" lIns="27432" tIns="27432" rIns="27432" bIns="27432" anchor="ctr" upright="1">
              <a:spAutoFit/>
            </a:bodyPr>
            <a:lstStyle/>
            <a:p>
              <a:pPr algn="ctr" rtl="0">
                <a:defRPr sz="1000"/>
              </a:pPr>
              <a:r>
                <a:rPr lang="en-US" sz="1000" b="1" i="0" u="none" strike="noStrike" baseline="0">
                  <a:solidFill>
                    <a:srgbClr val="339966"/>
                  </a:solidFill>
                  <a:latin typeface="Arial"/>
                  <a:cs typeface="Arial"/>
                </a:rPr>
                <a:t>&lt;&lt; Go To LOPA Menu</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7</xdr:col>
          <xdr:colOff>1333500</xdr:colOff>
          <xdr:row>0</xdr:row>
          <xdr:rowOff>69850</xdr:rowOff>
        </xdr:from>
        <xdr:to>
          <xdr:col>7</xdr:col>
          <xdr:colOff>2298700</xdr:colOff>
          <xdr:row>0</xdr:row>
          <xdr:rowOff>279400</xdr:rowOff>
        </xdr:to>
        <xdr:sp macro="" textlink="">
          <xdr:nvSpPr>
            <xdr:cNvPr id="1251330" name="Pool Fire" hidden="1">
              <a:extLst>
                <a:ext uri="{63B3BB69-23CF-44E3-9099-C40C66FF867C}">
                  <a14:compatExt spid="_x0000_s1251330"/>
                </a:ext>
                <a:ext uri="{FF2B5EF4-FFF2-40B4-BE49-F238E27FC236}">
                  <a16:creationId xmlns:a16="http://schemas.microsoft.com/office/drawing/2014/main" id="{00000000-0008-0000-1A00-000002181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FF0000"/>
                  </a:solidFill>
                  <a:latin typeface="Arial"/>
                  <a:cs typeface="Arial"/>
                </a:rPr>
                <a:t>Clear IPL List</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1</xdr:col>
          <xdr:colOff>125412</xdr:colOff>
          <xdr:row>0</xdr:row>
          <xdr:rowOff>127000</xdr:rowOff>
        </xdr:from>
        <xdr:ext cx="2197100" cy="196850"/>
        <xdr:sp macro="" textlink="">
          <xdr:nvSpPr>
            <xdr:cNvPr id="1251331" name="Button 3" hidden="1">
              <a:extLst>
                <a:ext uri="{63B3BB69-23CF-44E3-9099-C40C66FF867C}">
                  <a14:compatExt spid="_x0000_s1251331"/>
                </a:ext>
                <a:ext uri="{FF2B5EF4-FFF2-40B4-BE49-F238E27FC236}">
                  <a16:creationId xmlns:a16="http://schemas.microsoft.com/office/drawing/2014/main" id="{00000000-0008-0000-1A00-000003181300}"/>
                </a:ext>
              </a:extLst>
            </xdr:cNvPr>
            <xdr:cNvSpPr/>
          </xdr:nvSpPr>
          <xdr:spPr bwMode="auto">
            <a:xfrm>
              <a:off x="0" y="0"/>
              <a:ext cx="0" cy="0"/>
            </a:xfrm>
            <a:prstGeom prst="rect">
              <a:avLst/>
            </a:prstGeom>
            <a:noFill/>
            <a:ln w="9525">
              <a:miter lim="800000"/>
              <a:headEnd/>
              <a:tailEnd/>
            </a:ln>
          </xdr:spPr>
          <xdr:txBody>
            <a:bodyPr wrap="none" lIns="27432" tIns="22860" rIns="27432" bIns="22860" anchor="ctr" upright="1">
              <a:spAutoFit/>
            </a:bodyPr>
            <a:lstStyle/>
            <a:p>
              <a:pPr algn="ctr" rtl="0">
                <a:defRPr sz="1000"/>
              </a:pPr>
              <a:r>
                <a:rPr lang="en-US" sz="1000" b="0" i="0" u="none" strike="noStrike" baseline="0">
                  <a:solidFill>
                    <a:srgbClr val="0000FF"/>
                  </a:solidFill>
                  <a:latin typeface="Arial"/>
                  <a:cs typeface="Arial"/>
                </a:rPr>
                <a:t>Write IPL List Back to Scenario Results</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6</xdr:col>
          <xdr:colOff>2260600</xdr:colOff>
          <xdr:row>0</xdr:row>
          <xdr:rowOff>69850</xdr:rowOff>
        </xdr:from>
        <xdr:to>
          <xdr:col>7</xdr:col>
          <xdr:colOff>984250</xdr:colOff>
          <xdr:row>0</xdr:row>
          <xdr:rowOff>304800</xdr:rowOff>
        </xdr:to>
        <xdr:sp macro="" textlink="">
          <xdr:nvSpPr>
            <xdr:cNvPr id="1251333" name="Pool Fire" hidden="1">
              <a:extLst>
                <a:ext uri="{63B3BB69-23CF-44E3-9099-C40C66FF867C}">
                  <a14:compatExt spid="_x0000_s1251333"/>
                </a:ext>
                <a:ext uri="{FF2B5EF4-FFF2-40B4-BE49-F238E27FC236}">
                  <a16:creationId xmlns:a16="http://schemas.microsoft.com/office/drawing/2014/main" id="{00000000-0008-0000-1A00-000005181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808000"/>
                  </a:solidFill>
                  <a:latin typeface="Arial"/>
                  <a:cs typeface="Arial"/>
                </a:rPr>
                <a:t>Update IPL List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107950</xdr:colOff>
          <xdr:row>0</xdr:row>
          <xdr:rowOff>146050</xdr:rowOff>
        </xdr:from>
        <xdr:to>
          <xdr:col>1</xdr:col>
          <xdr:colOff>1860550</xdr:colOff>
          <xdr:row>1</xdr:row>
          <xdr:rowOff>146050</xdr:rowOff>
        </xdr:to>
        <xdr:sp macro="" textlink="">
          <xdr:nvSpPr>
            <xdr:cNvPr id="119903" name="Button 95" hidden="1">
              <a:extLst>
                <a:ext uri="{63B3BB69-23CF-44E3-9099-C40C66FF867C}">
                  <a14:compatExt spid="_x0000_s119903"/>
                </a:ext>
                <a:ext uri="{FF2B5EF4-FFF2-40B4-BE49-F238E27FC236}">
                  <a16:creationId xmlns:a16="http://schemas.microsoft.com/office/drawing/2014/main" id="{00000000-0008-0000-1B00-00005F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8080"/>
                  </a:solidFill>
                  <a:latin typeface="Arial"/>
                  <a:cs typeface="Arial"/>
                </a:rPr>
                <a:t>&lt;&lt; Go To LOPA Menu</a:t>
              </a:r>
            </a:p>
          </xdr:txBody>
        </xdr:sp>
        <xdr:clientData fPrintsWithSheet="0"/>
      </xdr:twoCellAnchor>
    </mc:Choice>
    <mc:Fallback/>
  </mc:AlternateContent>
  <xdr:twoCellAnchor>
    <xdr:from>
      <xdr:col>17</xdr:col>
      <xdr:colOff>109538</xdr:colOff>
      <xdr:row>1</xdr:row>
      <xdr:rowOff>2381</xdr:rowOff>
    </xdr:from>
    <xdr:to>
      <xdr:col>25</xdr:col>
      <xdr:colOff>571500</xdr:colOff>
      <xdr:row>21</xdr:row>
      <xdr:rowOff>19050</xdr:rowOff>
    </xdr:to>
    <xdr:graphicFrame macro="">
      <xdr:nvGraphicFramePr>
        <xdr:cNvPr id="3" name="Chart 2">
          <a:extLst>
            <a:ext uri="{FF2B5EF4-FFF2-40B4-BE49-F238E27FC236}">
              <a16:creationId xmlns:a16="http://schemas.microsoft.com/office/drawing/2014/main" id="{00000000-0008-0000-1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79375</xdr:colOff>
      <xdr:row>3</xdr:row>
      <xdr:rowOff>103187</xdr:rowOff>
    </xdr:from>
    <xdr:to>
      <xdr:col>10</xdr:col>
      <xdr:colOff>420688</xdr:colOff>
      <xdr:row>3</xdr:row>
      <xdr:rowOff>103187</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4905375" y="682625"/>
          <a:ext cx="1770063" cy="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79375</xdr:colOff>
      <xdr:row>25</xdr:row>
      <xdr:rowOff>103187</xdr:rowOff>
    </xdr:from>
    <xdr:to>
      <xdr:col>10</xdr:col>
      <xdr:colOff>420688</xdr:colOff>
      <xdr:row>25</xdr:row>
      <xdr:rowOff>103187</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4905375" y="682625"/>
          <a:ext cx="1770063" cy="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223838</xdr:colOff>
      <xdr:row>6</xdr:row>
      <xdr:rowOff>17462</xdr:rowOff>
    </xdr:from>
    <xdr:to>
      <xdr:col>13</xdr:col>
      <xdr:colOff>230188</xdr:colOff>
      <xdr:row>10</xdr:row>
      <xdr:rowOff>134937</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flipH="1" flipV="1">
          <a:off x="7907338" y="1200150"/>
          <a:ext cx="6350" cy="911225"/>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223838</xdr:colOff>
      <xdr:row>28</xdr:row>
      <xdr:rowOff>17462</xdr:rowOff>
    </xdr:from>
    <xdr:to>
      <xdr:col>13</xdr:col>
      <xdr:colOff>230188</xdr:colOff>
      <xdr:row>32</xdr:row>
      <xdr:rowOff>134937</xdr:rowOff>
    </xdr:to>
    <xdr:cxnSp macro="">
      <xdr:nvCxnSpPr>
        <xdr:cNvPr id="9" name="Straight Arrow Connector 8">
          <a:extLst>
            <a:ext uri="{FF2B5EF4-FFF2-40B4-BE49-F238E27FC236}">
              <a16:creationId xmlns:a16="http://schemas.microsoft.com/office/drawing/2014/main" id="{00000000-0008-0000-1B00-000009000000}"/>
            </a:ext>
          </a:extLst>
        </xdr:cNvPr>
        <xdr:cNvCxnSpPr/>
      </xdr:nvCxnSpPr>
      <xdr:spPr>
        <a:xfrm flipH="1" flipV="1">
          <a:off x="7907338" y="1200150"/>
          <a:ext cx="6350" cy="911225"/>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7.xml><?xml version="1.0" encoding="utf-8"?>
<xdr:wsDr xmlns:xdr="http://schemas.openxmlformats.org/drawingml/2006/spreadsheetDrawing" xmlns:a="http://schemas.openxmlformats.org/drawingml/2006/main">
  <xdr:oneCellAnchor>
    <xdr:from>
      <xdr:col>20</xdr:col>
      <xdr:colOff>428625</xdr:colOff>
      <xdr:row>0</xdr:row>
      <xdr:rowOff>38292</xdr:rowOff>
    </xdr:from>
    <xdr:ext cx="65" cy="117725"/>
    <xdr:sp macro="" textlink="">
      <xdr:nvSpPr>
        <xdr:cNvPr id="5" name="TextBox 4">
          <a:extLst>
            <a:ext uri="{FF2B5EF4-FFF2-40B4-BE49-F238E27FC236}">
              <a16:creationId xmlns:a16="http://schemas.microsoft.com/office/drawing/2014/main" id="{00000000-0008-0000-1C00-000005000000}"/>
            </a:ext>
          </a:extLst>
        </xdr:cNvPr>
        <xdr:cNvSpPr txBox="1"/>
      </xdr:nvSpPr>
      <xdr:spPr>
        <a:xfrm>
          <a:off x="11505847" y="38292"/>
          <a:ext cx="65" cy="117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lIns="0" tIns="0" rIns="0" bIns="0" rtlCol="0" anchor="t">
          <a:spAutoFit/>
        </a:bodyPr>
        <a:lstStyle/>
        <a:p>
          <a:endParaRPr lang="en-US" sz="800">
            <a:latin typeface="Arial Narrow" pitchFamily="34" charset="0"/>
          </a:endParaRPr>
        </a:p>
      </xdr:txBody>
    </xdr:sp>
    <xdr:clientData/>
  </xdr:oneCellAnchor>
  <mc:AlternateContent xmlns:mc="http://schemas.openxmlformats.org/markup-compatibility/2006">
    <mc:Choice xmlns:a14="http://schemas.microsoft.com/office/drawing/2010/main" Requires="a14">
      <xdr:twoCellAnchor>
        <xdr:from>
          <xdr:col>0</xdr:col>
          <xdr:colOff>69850</xdr:colOff>
          <xdr:row>0</xdr:row>
          <xdr:rowOff>50800</xdr:rowOff>
        </xdr:from>
        <xdr:to>
          <xdr:col>2</xdr:col>
          <xdr:colOff>533400</xdr:colOff>
          <xdr:row>0</xdr:row>
          <xdr:rowOff>228600</xdr:rowOff>
        </xdr:to>
        <xdr:sp macro="" textlink="">
          <xdr:nvSpPr>
            <xdr:cNvPr id="13314" name="&lt;_Back_to_Results" hidden="1">
              <a:extLst>
                <a:ext uri="{63B3BB69-23CF-44E3-9099-C40C66FF867C}">
                  <a14:compatExt spid="_x0000_s13314"/>
                </a:ext>
                <a:ext uri="{FF2B5EF4-FFF2-40B4-BE49-F238E27FC236}">
                  <a16:creationId xmlns:a16="http://schemas.microsoft.com/office/drawing/2014/main" id="{00000000-0008-0000-1C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8000"/>
                  </a:solidFill>
                  <a:latin typeface="Arial Narrow"/>
                </a:rPr>
                <a:t>&lt; Back to Scenario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1255712</xdr:colOff>
          <xdr:row>1</xdr:row>
          <xdr:rowOff>225425</xdr:rowOff>
        </xdr:from>
        <xdr:to>
          <xdr:col>8</xdr:col>
          <xdr:colOff>1395412</xdr:colOff>
          <xdr:row>1</xdr:row>
          <xdr:rowOff>365125</xdr:rowOff>
        </xdr:to>
        <xdr:sp macro="" textlink="">
          <xdr:nvSpPr>
            <xdr:cNvPr id="13607" name="IE" hidden="1">
              <a:extLst>
                <a:ext uri="{63B3BB69-23CF-44E3-9099-C40C66FF867C}">
                  <a14:compatExt spid="_x0000_s13607"/>
                </a:ext>
                <a:ext uri="{FF2B5EF4-FFF2-40B4-BE49-F238E27FC236}">
                  <a16:creationId xmlns:a16="http://schemas.microsoft.com/office/drawing/2014/main" id="{00000000-0008-0000-1C00-000027350000}"/>
                </a:ext>
              </a:extLst>
            </xdr:cNvPr>
            <xdr:cNvSpPr/>
          </xdr:nvSpPr>
          <xdr:spPr bwMode="auto">
            <a:xfrm>
              <a:off x="0" y="0"/>
              <a:ext cx="0" cy="0"/>
            </a:xfrm>
            <a:prstGeom prst="rect">
              <a:avLst/>
            </a:prstGeom>
            <a:noFill/>
            <a:ln w="9525">
              <a:miter lim="800000"/>
              <a:headEnd/>
              <a:tailEnd/>
            </a:ln>
          </xdr:spPr>
          <xdr:txBody>
            <a:bodyPr vertOverflow="clip" wrap="square" lIns="27432" tIns="0" rIns="27432" bIns="0" anchor="ctr" upright="1"/>
            <a:lstStyle/>
            <a:p>
              <a:pPr algn="ctr" rtl="0">
                <a:defRPr sz="1000"/>
              </a:pPr>
              <a:r>
                <a:rPr lang="en-US" sz="800" b="0"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1252537</xdr:colOff>
          <xdr:row>1</xdr:row>
          <xdr:rowOff>225425</xdr:rowOff>
        </xdr:from>
        <xdr:to>
          <xdr:col>17</xdr:col>
          <xdr:colOff>1392237</xdr:colOff>
          <xdr:row>1</xdr:row>
          <xdr:rowOff>365125</xdr:rowOff>
        </xdr:to>
        <xdr:sp macro="" textlink="">
          <xdr:nvSpPr>
            <xdr:cNvPr id="13608" name="BPCS" hidden="1">
              <a:extLst>
                <a:ext uri="{63B3BB69-23CF-44E3-9099-C40C66FF867C}">
                  <a14:compatExt spid="_x0000_s13608"/>
                </a:ext>
                <a:ext uri="{FF2B5EF4-FFF2-40B4-BE49-F238E27FC236}">
                  <a16:creationId xmlns:a16="http://schemas.microsoft.com/office/drawing/2014/main" id="{00000000-0008-0000-1C00-000028350000}"/>
                </a:ext>
              </a:extLst>
            </xdr:cNvPr>
            <xdr:cNvSpPr/>
          </xdr:nvSpPr>
          <xdr:spPr bwMode="auto">
            <a:xfrm>
              <a:off x="0" y="0"/>
              <a:ext cx="0" cy="0"/>
            </a:xfrm>
            <a:prstGeom prst="rect">
              <a:avLst/>
            </a:prstGeom>
            <a:noFill/>
            <a:ln w="9525">
              <a:miter lim="800000"/>
              <a:headEnd/>
              <a:tailEnd/>
            </a:ln>
          </xdr:spPr>
          <xdr:txBody>
            <a:bodyPr vertOverflow="clip" wrap="square" lIns="27432" tIns="0" rIns="27432" bIns="0" anchor="ctr" upright="1"/>
            <a:lstStyle/>
            <a:p>
              <a:pPr algn="ctr" rtl="0">
                <a:defRPr sz="1000"/>
              </a:pPr>
              <a:r>
                <a:rPr lang="en-US" sz="800" b="0"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1250950</xdr:colOff>
          <xdr:row>1</xdr:row>
          <xdr:rowOff>225425</xdr:rowOff>
        </xdr:from>
        <xdr:to>
          <xdr:col>20</xdr:col>
          <xdr:colOff>1390650</xdr:colOff>
          <xdr:row>1</xdr:row>
          <xdr:rowOff>365125</xdr:rowOff>
        </xdr:to>
        <xdr:sp macro="" textlink="">
          <xdr:nvSpPr>
            <xdr:cNvPr id="13609" name="Alarm" hidden="1">
              <a:extLst>
                <a:ext uri="{63B3BB69-23CF-44E3-9099-C40C66FF867C}">
                  <a14:compatExt spid="_x0000_s13609"/>
                </a:ext>
                <a:ext uri="{FF2B5EF4-FFF2-40B4-BE49-F238E27FC236}">
                  <a16:creationId xmlns:a16="http://schemas.microsoft.com/office/drawing/2014/main" id="{00000000-0008-0000-1C00-000029350000}"/>
                </a:ext>
              </a:extLst>
            </xdr:cNvPr>
            <xdr:cNvSpPr/>
          </xdr:nvSpPr>
          <xdr:spPr bwMode="auto">
            <a:xfrm>
              <a:off x="0" y="0"/>
              <a:ext cx="0" cy="0"/>
            </a:xfrm>
            <a:prstGeom prst="rect">
              <a:avLst/>
            </a:prstGeom>
            <a:noFill/>
            <a:ln w="9525">
              <a:miter lim="800000"/>
              <a:headEnd/>
              <a:tailEnd/>
            </a:ln>
          </xdr:spPr>
          <xdr:txBody>
            <a:bodyPr vertOverflow="clip" wrap="square" lIns="27432" tIns="0" rIns="27432" bIns="0" anchor="ctr" upright="1"/>
            <a:lstStyle/>
            <a:p>
              <a:pPr algn="ctr" rtl="0">
                <a:defRPr sz="1000"/>
              </a:pPr>
              <a:r>
                <a:rPr lang="en-US" sz="800" b="0"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1014412</xdr:colOff>
          <xdr:row>1</xdr:row>
          <xdr:rowOff>225425</xdr:rowOff>
        </xdr:from>
        <xdr:to>
          <xdr:col>23</xdr:col>
          <xdr:colOff>1154112</xdr:colOff>
          <xdr:row>1</xdr:row>
          <xdr:rowOff>365125</xdr:rowOff>
        </xdr:to>
        <xdr:sp macro="" textlink="">
          <xdr:nvSpPr>
            <xdr:cNvPr id="13610" name="SISA" hidden="1">
              <a:extLst>
                <a:ext uri="{63B3BB69-23CF-44E3-9099-C40C66FF867C}">
                  <a14:compatExt spid="_x0000_s13610"/>
                </a:ext>
                <a:ext uri="{FF2B5EF4-FFF2-40B4-BE49-F238E27FC236}">
                  <a16:creationId xmlns:a16="http://schemas.microsoft.com/office/drawing/2014/main" id="{00000000-0008-0000-1C00-00002A350000}"/>
                </a:ext>
              </a:extLst>
            </xdr:cNvPr>
            <xdr:cNvSpPr/>
          </xdr:nvSpPr>
          <xdr:spPr bwMode="auto">
            <a:xfrm>
              <a:off x="0" y="0"/>
              <a:ext cx="0" cy="0"/>
            </a:xfrm>
            <a:prstGeom prst="rect">
              <a:avLst/>
            </a:prstGeom>
            <a:noFill/>
            <a:ln w="9525">
              <a:miter lim="800000"/>
              <a:headEnd/>
              <a:tailEnd/>
            </a:ln>
          </xdr:spPr>
          <xdr:txBody>
            <a:bodyPr vertOverflow="clip" wrap="square" lIns="27432" tIns="0" rIns="27432" bIns="0" anchor="ctr" upright="1"/>
            <a:lstStyle/>
            <a:p>
              <a:pPr algn="ctr" rtl="0">
                <a:defRPr sz="1000"/>
              </a:pPr>
              <a:r>
                <a:rPr lang="en-US" sz="800" b="0"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1016000</xdr:colOff>
          <xdr:row>1</xdr:row>
          <xdr:rowOff>225425</xdr:rowOff>
        </xdr:from>
        <xdr:to>
          <xdr:col>26</xdr:col>
          <xdr:colOff>1155700</xdr:colOff>
          <xdr:row>1</xdr:row>
          <xdr:rowOff>365125</xdr:rowOff>
        </xdr:to>
        <xdr:sp macro="" textlink="">
          <xdr:nvSpPr>
            <xdr:cNvPr id="13611" name="SISB" hidden="1">
              <a:extLst>
                <a:ext uri="{63B3BB69-23CF-44E3-9099-C40C66FF867C}">
                  <a14:compatExt spid="_x0000_s13611"/>
                </a:ext>
                <a:ext uri="{FF2B5EF4-FFF2-40B4-BE49-F238E27FC236}">
                  <a16:creationId xmlns:a16="http://schemas.microsoft.com/office/drawing/2014/main" id="{00000000-0008-0000-1C00-00002B350000}"/>
                </a:ext>
              </a:extLst>
            </xdr:cNvPr>
            <xdr:cNvSpPr/>
          </xdr:nvSpPr>
          <xdr:spPr bwMode="auto">
            <a:xfrm>
              <a:off x="0" y="0"/>
              <a:ext cx="0" cy="0"/>
            </a:xfrm>
            <a:prstGeom prst="rect">
              <a:avLst/>
            </a:prstGeom>
            <a:noFill/>
            <a:ln w="9525">
              <a:miter lim="800000"/>
              <a:headEnd/>
              <a:tailEnd/>
            </a:ln>
          </xdr:spPr>
          <xdr:txBody>
            <a:bodyPr vertOverflow="clip" wrap="square" lIns="27432" tIns="0" rIns="27432" bIns="0" anchor="ctr" upright="1"/>
            <a:lstStyle/>
            <a:p>
              <a:pPr algn="ctr" rtl="0">
                <a:defRPr sz="1000"/>
              </a:pPr>
              <a:r>
                <a:rPr lang="en-US" sz="800" b="0"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0</xdr:row>
          <xdr:rowOff>69850</xdr:rowOff>
        </xdr:from>
        <xdr:to>
          <xdr:col>2</xdr:col>
          <xdr:colOff>1295400</xdr:colOff>
          <xdr:row>0</xdr:row>
          <xdr:rowOff>241300</xdr:rowOff>
        </xdr:to>
        <xdr:sp macro="" textlink="">
          <xdr:nvSpPr>
            <xdr:cNvPr id="13612" name="Expand" hidden="1">
              <a:extLst>
                <a:ext uri="{63B3BB69-23CF-44E3-9099-C40C66FF867C}">
                  <a14:compatExt spid="_x0000_s13612"/>
                </a:ext>
                <a:ext uri="{FF2B5EF4-FFF2-40B4-BE49-F238E27FC236}">
                  <a16:creationId xmlns:a16="http://schemas.microsoft.com/office/drawing/2014/main" id="{00000000-0008-0000-1C00-00002C350000}"/>
                </a:ext>
              </a:extLst>
            </xdr:cNvPr>
            <xdr:cNvSpPr/>
          </xdr:nvSpPr>
          <xdr:spPr bwMode="auto">
            <a:xfrm>
              <a:off x="0" y="0"/>
              <a:ext cx="0" cy="0"/>
            </a:xfrm>
            <a:prstGeom prst="rect">
              <a:avLst/>
            </a:prstGeom>
            <a:noFill/>
            <a:ln w="9525">
              <a:miter lim="800000"/>
              <a:headEnd/>
              <a:tailEnd/>
            </a:ln>
          </xdr:spPr>
          <xdr:txBody>
            <a:bodyPr vertOverflow="clip" wrap="square" lIns="27432" tIns="0" rIns="27432" bIns="0" anchor="ctr" upright="1"/>
            <a:lstStyle/>
            <a:p>
              <a:pPr algn="ctr" rtl="0">
                <a:defRPr sz="1000"/>
              </a:pPr>
              <a:r>
                <a:rPr lang="en-US" sz="800" b="0" i="0" u="none" strike="noStrike" baseline="0">
                  <a:solidFill>
                    <a:srgbClr val="0000FF"/>
                  </a:solidFill>
                  <a:latin typeface="Arial"/>
                  <a:cs typeface="Arial"/>
                </a:rPr>
                <a:t>Expand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1384300</xdr:colOff>
          <xdr:row>0</xdr:row>
          <xdr:rowOff>50800</xdr:rowOff>
        </xdr:from>
        <xdr:to>
          <xdr:col>2</xdr:col>
          <xdr:colOff>1993900</xdr:colOff>
          <xdr:row>0</xdr:row>
          <xdr:rowOff>241300</xdr:rowOff>
        </xdr:to>
        <xdr:sp macro="" textlink="">
          <xdr:nvSpPr>
            <xdr:cNvPr id="13613" name="Collapse" hidden="1">
              <a:extLst>
                <a:ext uri="{63B3BB69-23CF-44E3-9099-C40C66FF867C}">
                  <a14:compatExt spid="_x0000_s13613"/>
                </a:ext>
                <a:ext uri="{FF2B5EF4-FFF2-40B4-BE49-F238E27FC236}">
                  <a16:creationId xmlns:a16="http://schemas.microsoft.com/office/drawing/2014/main" id="{00000000-0008-0000-1C00-00002D350000}"/>
                </a:ext>
              </a:extLst>
            </xdr:cNvPr>
            <xdr:cNvSpPr/>
          </xdr:nvSpPr>
          <xdr:spPr bwMode="auto">
            <a:xfrm>
              <a:off x="0" y="0"/>
              <a:ext cx="0" cy="0"/>
            </a:xfrm>
            <a:prstGeom prst="rect">
              <a:avLst/>
            </a:prstGeom>
            <a:noFill/>
            <a:ln w="9525">
              <a:miter lim="800000"/>
              <a:headEnd/>
              <a:tailEnd/>
            </a:ln>
          </xdr:spPr>
          <xdr:txBody>
            <a:bodyPr vertOverflow="clip" wrap="square" lIns="27432" tIns="0" rIns="27432" bIns="0" anchor="ctr" upright="1"/>
            <a:lstStyle/>
            <a:p>
              <a:pPr algn="ctr" rtl="0">
                <a:defRPr sz="1000"/>
              </a:pPr>
              <a:r>
                <a:rPr lang="en-US" sz="800" b="0" i="0" u="none" strike="noStrike" baseline="0">
                  <a:solidFill>
                    <a:srgbClr val="0000FF"/>
                  </a:solidFill>
                  <a:latin typeface="Arial"/>
                  <a:cs typeface="Arial"/>
                </a:rPr>
                <a:t>Collapse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36512</xdr:colOff>
          <xdr:row>1</xdr:row>
          <xdr:rowOff>225425</xdr:rowOff>
        </xdr:from>
        <xdr:to>
          <xdr:col>8</xdr:col>
          <xdr:colOff>950912</xdr:colOff>
          <xdr:row>1</xdr:row>
          <xdr:rowOff>365125</xdr:rowOff>
        </xdr:to>
        <xdr:sp macro="" textlink="">
          <xdr:nvSpPr>
            <xdr:cNvPr id="255207" name="HE" hidden="1">
              <a:extLst>
                <a:ext uri="{63B3BB69-23CF-44E3-9099-C40C66FF867C}">
                  <a14:compatExt spid="_x0000_s255207"/>
                </a:ext>
                <a:ext uri="{FF2B5EF4-FFF2-40B4-BE49-F238E27FC236}">
                  <a16:creationId xmlns:a16="http://schemas.microsoft.com/office/drawing/2014/main" id="{00000000-0008-0000-1C00-0000E7E40300}"/>
                </a:ext>
              </a:extLst>
            </xdr:cNvPr>
            <xdr:cNvSpPr/>
          </xdr:nvSpPr>
          <xdr:spPr bwMode="auto">
            <a:xfrm>
              <a:off x="0" y="0"/>
              <a:ext cx="0" cy="0"/>
            </a:xfrm>
            <a:prstGeom prst="rect">
              <a:avLst/>
            </a:prstGeom>
            <a:noFill/>
            <a:ln w="9525">
              <a:miter lim="800000"/>
              <a:headEnd/>
              <a:tailEnd/>
            </a:ln>
          </xdr:spPr>
          <xdr:txBody>
            <a:bodyPr vertOverflow="clip" wrap="square" lIns="27432" tIns="0" rIns="27432" bIns="0" anchor="ctr" upright="1"/>
            <a:lstStyle/>
            <a:p>
              <a:pPr algn="ctr" rtl="0">
                <a:defRPr sz="1000"/>
              </a:pPr>
              <a:r>
                <a:rPr lang="en-US" sz="800" b="0" i="0" u="none" strike="noStrike" baseline="0">
                  <a:solidFill>
                    <a:srgbClr val="0000FF"/>
                  </a:solidFill>
                  <a:latin typeface="Arial"/>
                  <a:cs typeface="Arial"/>
                </a:rPr>
                <a:t>&gt; Human Error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990600</xdr:colOff>
          <xdr:row>1</xdr:row>
          <xdr:rowOff>225425</xdr:rowOff>
        </xdr:from>
        <xdr:to>
          <xdr:col>13</xdr:col>
          <xdr:colOff>1130300</xdr:colOff>
          <xdr:row>1</xdr:row>
          <xdr:rowOff>365125</xdr:rowOff>
        </xdr:to>
        <xdr:sp macro="" textlink="">
          <xdr:nvSpPr>
            <xdr:cNvPr id="255648" name="Alt_PE" hidden="1">
              <a:extLst>
                <a:ext uri="{63B3BB69-23CF-44E3-9099-C40C66FF867C}">
                  <a14:compatExt spid="_x0000_s255648"/>
                </a:ext>
                <a:ext uri="{FF2B5EF4-FFF2-40B4-BE49-F238E27FC236}">
                  <a16:creationId xmlns:a16="http://schemas.microsoft.com/office/drawing/2014/main" id="{00000000-0008-0000-1C00-0000A0E60300}"/>
                </a:ext>
              </a:extLst>
            </xdr:cNvPr>
            <xdr:cNvSpPr/>
          </xdr:nvSpPr>
          <xdr:spPr bwMode="auto">
            <a:xfrm>
              <a:off x="0" y="0"/>
              <a:ext cx="0" cy="0"/>
            </a:xfrm>
            <a:prstGeom prst="rect">
              <a:avLst/>
            </a:prstGeom>
            <a:noFill/>
            <a:ln w="9525">
              <a:miter lim="800000"/>
              <a:headEnd/>
              <a:tailEnd/>
            </a:ln>
          </xdr:spPr>
          <xdr:txBody>
            <a:bodyPr vertOverflow="clip" wrap="square" lIns="27432" tIns="0" rIns="27432" bIns="0" anchor="ctr" upright="1"/>
            <a:lstStyle/>
            <a:p>
              <a:pPr algn="ctr" rtl="0">
                <a:defRPr sz="1000"/>
              </a:pPr>
              <a:r>
                <a:rPr lang="en-US" sz="800" b="0"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1511300</xdr:colOff>
          <xdr:row>1</xdr:row>
          <xdr:rowOff>225425</xdr:rowOff>
        </xdr:from>
        <xdr:to>
          <xdr:col>4</xdr:col>
          <xdr:colOff>1651000</xdr:colOff>
          <xdr:row>1</xdr:row>
          <xdr:rowOff>365125</xdr:rowOff>
        </xdr:to>
        <xdr:sp macro="" textlink="">
          <xdr:nvSpPr>
            <xdr:cNvPr id="255649" name="Alt_TF" hidden="1">
              <a:extLst>
                <a:ext uri="{63B3BB69-23CF-44E3-9099-C40C66FF867C}">
                  <a14:compatExt spid="_x0000_s255649"/>
                </a:ext>
                <a:ext uri="{FF2B5EF4-FFF2-40B4-BE49-F238E27FC236}">
                  <a16:creationId xmlns:a16="http://schemas.microsoft.com/office/drawing/2014/main" id="{00000000-0008-0000-1C00-0000A1E60300}"/>
                </a:ext>
              </a:extLst>
            </xdr:cNvPr>
            <xdr:cNvSpPr/>
          </xdr:nvSpPr>
          <xdr:spPr bwMode="auto">
            <a:xfrm>
              <a:off x="0" y="0"/>
              <a:ext cx="0" cy="0"/>
            </a:xfrm>
            <a:prstGeom prst="rect">
              <a:avLst/>
            </a:prstGeom>
            <a:noFill/>
            <a:ln w="9525">
              <a:miter lim="800000"/>
              <a:headEnd/>
              <a:tailEnd/>
            </a:ln>
          </xdr:spPr>
          <xdr:txBody>
            <a:bodyPr vertOverflow="clip" wrap="square" lIns="27432" tIns="0" rIns="27432" bIns="0" anchor="ctr" upright="1"/>
            <a:lstStyle/>
            <a:p>
              <a:pPr algn="ctr" rtl="0">
                <a:defRPr sz="1000"/>
              </a:pPr>
              <a:r>
                <a:rPr lang="en-US" sz="800" b="0"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1006475</xdr:colOff>
          <xdr:row>1</xdr:row>
          <xdr:rowOff>225425</xdr:rowOff>
        </xdr:from>
        <xdr:to>
          <xdr:col>11</xdr:col>
          <xdr:colOff>1146175</xdr:colOff>
          <xdr:row>1</xdr:row>
          <xdr:rowOff>365125</xdr:rowOff>
        </xdr:to>
        <xdr:sp macro="" textlink="">
          <xdr:nvSpPr>
            <xdr:cNvPr id="255747" name="Alt_PI" hidden="1">
              <a:extLst>
                <a:ext uri="{63B3BB69-23CF-44E3-9099-C40C66FF867C}">
                  <a14:compatExt spid="_x0000_s255747"/>
                </a:ext>
                <a:ext uri="{FF2B5EF4-FFF2-40B4-BE49-F238E27FC236}">
                  <a16:creationId xmlns:a16="http://schemas.microsoft.com/office/drawing/2014/main" id="{00000000-0008-0000-1C00-000003E70300}"/>
                </a:ext>
              </a:extLst>
            </xdr:cNvPr>
            <xdr:cNvSpPr/>
          </xdr:nvSpPr>
          <xdr:spPr bwMode="auto">
            <a:xfrm>
              <a:off x="0" y="0"/>
              <a:ext cx="0" cy="0"/>
            </a:xfrm>
            <a:prstGeom prst="rect">
              <a:avLst/>
            </a:prstGeom>
            <a:noFill/>
            <a:ln w="9525">
              <a:miter lim="800000"/>
              <a:headEnd/>
              <a:tailEnd/>
            </a:ln>
          </xdr:spPr>
          <xdr:txBody>
            <a:bodyPr vertOverflow="clip" wrap="square" lIns="27432" tIns="0" rIns="27432" bIns="0" anchor="ctr" upright="1"/>
            <a:lstStyle/>
            <a:p>
              <a:pPr algn="ctr" rtl="0">
                <a:defRPr sz="1000"/>
              </a:pPr>
              <a:r>
                <a:rPr lang="en-US" sz="800" b="0"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1711325</xdr:colOff>
          <xdr:row>1</xdr:row>
          <xdr:rowOff>225425</xdr:rowOff>
        </xdr:from>
        <xdr:to>
          <xdr:col>2</xdr:col>
          <xdr:colOff>2073275</xdr:colOff>
          <xdr:row>1</xdr:row>
          <xdr:rowOff>365125</xdr:rowOff>
        </xdr:to>
        <xdr:sp macro="" textlink="">
          <xdr:nvSpPr>
            <xdr:cNvPr id="255832" name="SuggestedIPLs" hidden="1">
              <a:extLst>
                <a:ext uri="{63B3BB69-23CF-44E3-9099-C40C66FF867C}">
                  <a14:compatExt spid="_x0000_s255832"/>
                </a:ext>
                <a:ext uri="{FF2B5EF4-FFF2-40B4-BE49-F238E27FC236}">
                  <a16:creationId xmlns:a16="http://schemas.microsoft.com/office/drawing/2014/main" id="{00000000-0008-0000-1C00-000058E70300}"/>
                </a:ext>
              </a:extLst>
            </xdr:cNvPr>
            <xdr:cNvSpPr/>
          </xdr:nvSpPr>
          <xdr:spPr bwMode="auto">
            <a:xfrm>
              <a:off x="0" y="0"/>
              <a:ext cx="0" cy="0"/>
            </a:xfrm>
            <a:prstGeom prst="rect">
              <a:avLst/>
            </a:prstGeom>
            <a:noFill/>
            <a:ln w="9525">
              <a:miter lim="800000"/>
              <a:headEnd/>
              <a:tailEnd/>
            </a:ln>
          </xdr:spPr>
          <xdr:txBody>
            <a:bodyPr vertOverflow="clip" wrap="square" lIns="27432" tIns="0" rIns="27432" bIns="0" anchor="ctr" upright="1"/>
            <a:lstStyle/>
            <a:p>
              <a:pPr algn="ctr" rtl="0">
                <a:defRPr sz="1000"/>
              </a:pPr>
              <a:r>
                <a:rPr lang="en-US" sz="800" b="0" i="0" u="none" strike="noStrike" baseline="0">
                  <a:solidFill>
                    <a:srgbClr val="0000FF"/>
                  </a:solidFill>
                  <a:latin typeface="Arial"/>
                  <a:cs typeface="Arial"/>
                </a:rPr>
                <a:t>&gt; Possible IPLs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32</xdr:row>
          <xdr:rowOff>165100</xdr:rowOff>
        </xdr:from>
        <xdr:to>
          <xdr:col>2</xdr:col>
          <xdr:colOff>266700</xdr:colOff>
          <xdr:row>34</xdr:row>
          <xdr:rowOff>69850</xdr:rowOff>
        </xdr:to>
        <xdr:sp macro="" textlink="">
          <xdr:nvSpPr>
            <xdr:cNvPr id="97310" name="Main Menu" hidden="1">
              <a:extLst>
                <a:ext uri="{63B3BB69-23CF-44E3-9099-C40C66FF867C}">
                  <a14:compatExt spid="_x0000_s97310"/>
                </a:ext>
                <a:ext uri="{FF2B5EF4-FFF2-40B4-BE49-F238E27FC236}">
                  <a16:creationId xmlns:a16="http://schemas.microsoft.com/office/drawing/2014/main" id="{00000000-0008-0000-1F00-00001E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9966"/>
                  </a:solidFill>
                  <a:latin typeface="Arial"/>
                  <a:cs typeface="Arial"/>
                </a:rPr>
                <a:t>&lt;&lt; Go To Main Menu</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24</xdr:col>
      <xdr:colOff>190500</xdr:colOff>
      <xdr:row>115</xdr:row>
      <xdr:rowOff>108857</xdr:rowOff>
    </xdr:from>
    <xdr:to>
      <xdr:col>24</xdr:col>
      <xdr:colOff>199572</xdr:colOff>
      <xdr:row>134</xdr:row>
      <xdr:rowOff>36286</xdr:rowOff>
    </xdr:to>
    <xdr:cxnSp macro="">
      <xdr:nvCxnSpPr>
        <xdr:cNvPr id="3" name="Straight Arrow Connector 2">
          <a:extLst>
            <a:ext uri="{FF2B5EF4-FFF2-40B4-BE49-F238E27FC236}">
              <a16:creationId xmlns:a16="http://schemas.microsoft.com/office/drawing/2014/main" id="{00000000-0008-0000-2000-000003000000}"/>
            </a:ext>
          </a:extLst>
        </xdr:cNvPr>
        <xdr:cNvCxnSpPr/>
      </xdr:nvCxnSpPr>
      <xdr:spPr>
        <a:xfrm flipH="1">
          <a:off x="18886714" y="8400143"/>
          <a:ext cx="9072" cy="314778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9071</xdr:colOff>
      <xdr:row>141</xdr:row>
      <xdr:rowOff>136072</xdr:rowOff>
    </xdr:from>
    <xdr:to>
      <xdr:col>24</xdr:col>
      <xdr:colOff>36286</xdr:colOff>
      <xdr:row>141</xdr:row>
      <xdr:rowOff>154215</xdr:rowOff>
    </xdr:to>
    <xdr:cxnSp macro="">
      <xdr:nvCxnSpPr>
        <xdr:cNvPr id="4" name="Straight Arrow Connector 3">
          <a:extLst>
            <a:ext uri="{FF2B5EF4-FFF2-40B4-BE49-F238E27FC236}">
              <a16:creationId xmlns:a16="http://schemas.microsoft.com/office/drawing/2014/main" id="{00000000-0008-0000-2000-000004000000}"/>
            </a:ext>
          </a:extLst>
        </xdr:cNvPr>
        <xdr:cNvCxnSpPr/>
      </xdr:nvCxnSpPr>
      <xdr:spPr>
        <a:xfrm flipV="1">
          <a:off x="15621000" y="12654643"/>
          <a:ext cx="2494643" cy="18143"/>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vmlDrawing" Target="../drawings/vmlDrawing2.v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4.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4.xml"/><Relationship Id="rId16" Type="http://schemas.openxmlformats.org/officeDocument/2006/relationships/comments" Target="../comments3.xml"/><Relationship Id="rId1" Type="http://schemas.openxmlformats.org/officeDocument/2006/relationships/printerSettings" Target="../printerSettings/printerSettings4.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6.vml"/><Relationship Id="rId7" Type="http://schemas.openxmlformats.org/officeDocument/2006/relationships/ctrlProp" Target="../ctrlProps/ctrlProp48.xml"/><Relationship Id="rId12" Type="http://schemas.openxmlformats.org/officeDocument/2006/relationships/ctrlProp" Target="../ctrlProps/ctrlProp5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7.xml"/><Relationship Id="rId3" Type="http://schemas.openxmlformats.org/officeDocument/2006/relationships/vmlDrawing" Target="../drawings/vmlDrawing8.vml"/><Relationship Id="rId7" Type="http://schemas.openxmlformats.org/officeDocument/2006/relationships/ctrlProp" Target="../ctrlProps/ctrlProp66.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65.xml"/><Relationship Id="rId11" Type="http://schemas.openxmlformats.org/officeDocument/2006/relationships/comments" Target="../comments6.xml"/><Relationship Id="rId5" Type="http://schemas.openxmlformats.org/officeDocument/2006/relationships/ctrlProp" Target="../ctrlProps/ctrlProp64.xml"/><Relationship Id="rId10" Type="http://schemas.openxmlformats.org/officeDocument/2006/relationships/ctrlProp" Target="../ctrlProps/ctrlProp69.xml"/><Relationship Id="rId4" Type="http://schemas.openxmlformats.org/officeDocument/2006/relationships/ctrlProp" Target="../ctrlProps/ctrlProp63.xml"/><Relationship Id="rId9" Type="http://schemas.openxmlformats.org/officeDocument/2006/relationships/ctrlProp" Target="../ctrlProps/ctrlProp68.xml"/></Relationships>
</file>

<file path=xl/worksheets/_rels/sheet9.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ctrlProp" Target="../ctrlProps/ctrlProp73.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8.xml"/><Relationship Id="rId3" Type="http://schemas.openxmlformats.org/officeDocument/2006/relationships/vmlDrawing" Target="../drawings/vmlDrawing10.vml"/><Relationship Id="rId7" Type="http://schemas.openxmlformats.org/officeDocument/2006/relationships/ctrlProp" Target="../ctrlProps/ctrlProp77.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76.xml"/><Relationship Id="rId11" Type="http://schemas.openxmlformats.org/officeDocument/2006/relationships/comments" Target="../comments8.xml"/><Relationship Id="rId5" Type="http://schemas.openxmlformats.org/officeDocument/2006/relationships/ctrlProp" Target="../ctrlProps/ctrlProp7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5.xml"/><Relationship Id="rId3" Type="http://schemas.openxmlformats.org/officeDocument/2006/relationships/vmlDrawing" Target="../drawings/vmlDrawing11.vml"/><Relationship Id="rId7" Type="http://schemas.openxmlformats.org/officeDocument/2006/relationships/ctrlProp" Target="../ctrlProps/ctrlProp84.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83.xml"/><Relationship Id="rId11" Type="http://schemas.openxmlformats.org/officeDocument/2006/relationships/comments" Target="../comments9.xml"/><Relationship Id="rId5" Type="http://schemas.openxmlformats.org/officeDocument/2006/relationships/ctrlProp" Target="../ctrlProps/ctrlProp82.xml"/><Relationship Id="rId10" Type="http://schemas.openxmlformats.org/officeDocument/2006/relationships/ctrlProp" Target="../ctrlProps/ctrlProp87.xml"/><Relationship Id="rId4" Type="http://schemas.openxmlformats.org/officeDocument/2006/relationships/ctrlProp" Target="../ctrlProps/ctrlProp81.xml"/><Relationship Id="rId9" Type="http://schemas.openxmlformats.org/officeDocument/2006/relationships/ctrlProp" Target="../ctrlProps/ctrlProp8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vmlDrawing" Target="../drawings/vmlDrawing12.vml"/><Relationship Id="rId7" Type="http://schemas.openxmlformats.org/officeDocument/2006/relationships/ctrlProp" Target="../ctrlProps/ctrlProp91.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90.xml"/><Relationship Id="rId11" Type="http://schemas.openxmlformats.org/officeDocument/2006/relationships/comments" Target="../comments10.xml"/><Relationship Id="rId5" Type="http://schemas.openxmlformats.org/officeDocument/2006/relationships/ctrlProp" Target="../ctrlProps/ctrlProp89.xml"/><Relationship Id="rId10" Type="http://schemas.openxmlformats.org/officeDocument/2006/relationships/ctrlProp" Target="../ctrlProps/ctrlProp94.xml"/><Relationship Id="rId4" Type="http://schemas.openxmlformats.org/officeDocument/2006/relationships/ctrlProp" Target="../ctrlProps/ctrlProp88.xml"/><Relationship Id="rId9" Type="http://schemas.openxmlformats.org/officeDocument/2006/relationships/ctrlProp" Target="../ctrlProps/ctrlProp9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9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96.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5.vml"/><Relationship Id="rId7" Type="http://schemas.openxmlformats.org/officeDocument/2006/relationships/ctrlProp" Target="../ctrlProps/ctrlProp100.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05.xml"/><Relationship Id="rId3" Type="http://schemas.openxmlformats.org/officeDocument/2006/relationships/vmlDrawing" Target="../drawings/vmlDrawing16.vml"/><Relationship Id="rId7" Type="http://schemas.openxmlformats.org/officeDocument/2006/relationships/ctrlProp" Target="../ctrlProps/ctrlProp104.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103.xml"/><Relationship Id="rId11" Type="http://schemas.openxmlformats.org/officeDocument/2006/relationships/ctrlProp" Target="../ctrlProps/ctrlProp108.xml"/><Relationship Id="rId5" Type="http://schemas.openxmlformats.org/officeDocument/2006/relationships/ctrlProp" Target="../ctrlProps/ctrlProp102.xml"/><Relationship Id="rId10" Type="http://schemas.openxmlformats.org/officeDocument/2006/relationships/ctrlProp" Target="../ctrlProps/ctrlProp107.xml"/><Relationship Id="rId4" Type="http://schemas.openxmlformats.org/officeDocument/2006/relationships/ctrlProp" Target="../ctrlProps/ctrlProp101.xml"/><Relationship Id="rId9" Type="http://schemas.openxmlformats.org/officeDocument/2006/relationships/ctrlProp" Target="../ctrlProps/ctrlProp10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0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omments" Target="../comments14.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omments" Target="../comments15.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115.xml"/><Relationship Id="rId5" Type="http://schemas.openxmlformats.org/officeDocument/2006/relationships/ctrlProp" Target="../ctrlProps/ctrlProp114.xml"/><Relationship Id="rId4" Type="http://schemas.openxmlformats.org/officeDocument/2006/relationships/ctrlProp" Target="../ctrlProps/ctrlProp1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6.x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omments" Target="../comments17.x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trlProp" Target="../ctrlProps/ctrlProp121.xml"/><Relationship Id="rId5" Type="http://schemas.openxmlformats.org/officeDocument/2006/relationships/ctrlProp" Target="../ctrlProps/ctrlProp120.xml"/><Relationship Id="rId4" Type="http://schemas.openxmlformats.org/officeDocument/2006/relationships/ctrlProp" Target="../ctrlProps/ctrlProp119.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trlProp" Target="../ctrlProps/ctrlProp122.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27.xml"/><Relationship Id="rId13" Type="http://schemas.openxmlformats.org/officeDocument/2006/relationships/ctrlProp" Target="../ctrlProps/ctrlProp132.xml"/><Relationship Id="rId3" Type="http://schemas.openxmlformats.org/officeDocument/2006/relationships/vmlDrawing" Target="../drawings/vmlDrawing24.vml"/><Relationship Id="rId7" Type="http://schemas.openxmlformats.org/officeDocument/2006/relationships/ctrlProp" Target="../ctrlProps/ctrlProp126.xml"/><Relationship Id="rId12" Type="http://schemas.openxmlformats.org/officeDocument/2006/relationships/ctrlProp" Target="../ctrlProps/ctrlProp131.xml"/><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trlProp" Target="../ctrlProps/ctrlProp125.xml"/><Relationship Id="rId11" Type="http://schemas.openxmlformats.org/officeDocument/2006/relationships/ctrlProp" Target="../ctrlProps/ctrlProp130.xml"/><Relationship Id="rId5" Type="http://schemas.openxmlformats.org/officeDocument/2006/relationships/ctrlProp" Target="../ctrlProps/ctrlProp124.xml"/><Relationship Id="rId10" Type="http://schemas.openxmlformats.org/officeDocument/2006/relationships/ctrlProp" Target="../ctrlProps/ctrlProp129.xml"/><Relationship Id="rId4" Type="http://schemas.openxmlformats.org/officeDocument/2006/relationships/ctrlProp" Target="../ctrlProps/ctrlProp123.xml"/><Relationship Id="rId9" Type="http://schemas.openxmlformats.org/officeDocument/2006/relationships/ctrlProp" Target="../ctrlProps/ctrlProp128.xml"/><Relationship Id="rId14" Type="http://schemas.openxmlformats.org/officeDocument/2006/relationships/comments" Target="../comments1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mments" Target="../comments20.xml"/><Relationship Id="rId5" Type="http://schemas.openxmlformats.org/officeDocument/2006/relationships/ctrlProp" Target="../ctrlProps/ctrlProp134.xml"/><Relationship Id="rId4" Type="http://schemas.openxmlformats.org/officeDocument/2006/relationships/ctrlProp" Target="../ctrlProps/ctrlProp13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trlProp" Target="../ctrlProps/ctrlProp138.xml"/><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trlProp" Target="../ctrlProps/ctrlProp137.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8.bin"/><Relationship Id="rId4" Type="http://schemas.openxmlformats.org/officeDocument/2006/relationships/ctrlProp" Target="../ctrlProps/ctrlProp139.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44.xml"/><Relationship Id="rId13" Type="http://schemas.openxmlformats.org/officeDocument/2006/relationships/ctrlProp" Target="../ctrlProps/ctrlProp149.xml"/><Relationship Id="rId3" Type="http://schemas.openxmlformats.org/officeDocument/2006/relationships/vmlDrawing" Target="../drawings/vmlDrawing28.vml"/><Relationship Id="rId7" Type="http://schemas.openxmlformats.org/officeDocument/2006/relationships/ctrlProp" Target="../ctrlProps/ctrlProp143.xml"/><Relationship Id="rId12" Type="http://schemas.openxmlformats.org/officeDocument/2006/relationships/ctrlProp" Target="../ctrlProps/ctrlProp148.xml"/><Relationship Id="rId17" Type="http://schemas.openxmlformats.org/officeDocument/2006/relationships/comments" Target="../comments21.xml"/><Relationship Id="rId2" Type="http://schemas.openxmlformats.org/officeDocument/2006/relationships/drawing" Target="../drawings/drawing27.xml"/><Relationship Id="rId16" Type="http://schemas.openxmlformats.org/officeDocument/2006/relationships/ctrlProp" Target="../ctrlProps/ctrlProp152.xml"/><Relationship Id="rId1" Type="http://schemas.openxmlformats.org/officeDocument/2006/relationships/printerSettings" Target="../printerSettings/printerSettings29.bin"/><Relationship Id="rId6" Type="http://schemas.openxmlformats.org/officeDocument/2006/relationships/ctrlProp" Target="../ctrlProps/ctrlProp142.xml"/><Relationship Id="rId11" Type="http://schemas.openxmlformats.org/officeDocument/2006/relationships/ctrlProp" Target="../ctrlProps/ctrlProp147.xml"/><Relationship Id="rId5" Type="http://schemas.openxmlformats.org/officeDocument/2006/relationships/ctrlProp" Target="../ctrlProps/ctrlProp141.xml"/><Relationship Id="rId15" Type="http://schemas.openxmlformats.org/officeDocument/2006/relationships/ctrlProp" Target="../ctrlProps/ctrlProp151.xml"/><Relationship Id="rId10" Type="http://schemas.openxmlformats.org/officeDocument/2006/relationships/ctrlProp" Target="../ctrlProps/ctrlProp146.xml"/><Relationship Id="rId4" Type="http://schemas.openxmlformats.org/officeDocument/2006/relationships/ctrlProp" Target="../ctrlProps/ctrlProp140.xml"/><Relationship Id="rId9" Type="http://schemas.openxmlformats.org/officeDocument/2006/relationships/ctrlProp" Target="../ctrlProps/ctrlProp145.xml"/><Relationship Id="rId14" Type="http://schemas.openxmlformats.org/officeDocument/2006/relationships/ctrlProp" Target="../ctrlProps/ctrlProp15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9.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30.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8.xml"/><Relationship Id="rId1" Type="http://schemas.openxmlformats.org/officeDocument/2006/relationships/printerSettings" Target="../printerSettings/printerSettings32.bin"/><Relationship Id="rId5" Type="http://schemas.openxmlformats.org/officeDocument/2006/relationships/comments" Target="../comments24.xml"/><Relationship Id="rId4" Type="http://schemas.openxmlformats.org/officeDocument/2006/relationships/ctrlProp" Target="../ctrlProps/ctrlProp153.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9.xml"/><Relationship Id="rId1" Type="http://schemas.openxmlformats.org/officeDocument/2006/relationships/printerSettings" Target="../printerSettings/printerSettings33.bin"/><Relationship Id="rId4" Type="http://schemas.openxmlformats.org/officeDocument/2006/relationships/comments" Target="../comments25.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5">
    <tabColor rgb="FF00B050"/>
    <pageSetUpPr autoPageBreaks="0"/>
  </sheetPr>
  <dimension ref="B2:J47"/>
  <sheetViews>
    <sheetView showGridLines="0" showRowColHeaders="0" tabSelected="1" zoomScaleNormal="100" workbookViewId="0"/>
  </sheetViews>
  <sheetFormatPr defaultColWidth="9.1796875" defaultRowHeight="12.5" x14ac:dyDescent="0.25"/>
  <cols>
    <col min="1" max="1" width="4.81640625" style="2372" customWidth="1"/>
    <col min="2" max="9" width="9.81640625" style="2372" customWidth="1"/>
    <col min="10" max="10" width="12.81640625" style="2372" customWidth="1"/>
    <col min="11" max="11" width="4.81640625" style="2372" customWidth="1"/>
    <col min="12" max="16384" width="9.1796875" style="2372"/>
  </cols>
  <sheetData>
    <row r="2" spans="2:10" ht="31.5" x14ac:dyDescent="0.25">
      <c r="C2" s="3400" t="s">
        <v>428</v>
      </c>
      <c r="D2" s="3401"/>
      <c r="E2" s="3401"/>
      <c r="F2" s="3401"/>
      <c r="G2" s="3401"/>
      <c r="H2" s="3401"/>
      <c r="I2" s="3401"/>
      <c r="J2" s="2373"/>
    </row>
    <row r="3" spans="2:10" ht="12.75" customHeight="1" x14ac:dyDescent="0.25">
      <c r="C3" s="3402" t="s">
        <v>791</v>
      </c>
      <c r="D3" s="3403"/>
      <c r="E3" s="3403"/>
      <c r="F3" s="3403"/>
      <c r="G3" s="3403"/>
      <c r="H3" s="3403"/>
      <c r="I3" s="3403"/>
    </row>
    <row r="4" spans="2:10" ht="12.75" customHeight="1" x14ac:dyDescent="0.25">
      <c r="C4" s="3404" t="str">
        <f>"Version "&amp;Version</f>
        <v>Version 4.5</v>
      </c>
      <c r="D4" s="3405"/>
      <c r="E4" s="3405"/>
      <c r="F4" s="3405"/>
      <c r="G4" s="3405"/>
      <c r="H4" s="3403"/>
      <c r="I4" s="3403"/>
    </row>
    <row r="5" spans="2:10" ht="12.75" customHeight="1" x14ac:dyDescent="0.3">
      <c r="C5" s="3408" t="str">
        <f>"Latest Revision Date " &amp; TEXT(MAX('Revision History'!E:E),"M/DD/YY")</f>
        <v>Latest Revision Date 1/29/25</v>
      </c>
      <c r="D5" s="3408"/>
      <c r="E5" s="3408"/>
      <c r="F5" s="3408"/>
      <c r="G5" s="3408"/>
      <c r="H5" s="3408"/>
      <c r="I5" s="3408"/>
    </row>
    <row r="6" spans="2:10" ht="12.75" customHeight="1" x14ac:dyDescent="0.3">
      <c r="C6" s="2513"/>
      <c r="D6" s="2513"/>
      <c r="E6" s="2513"/>
      <c r="F6" s="2513"/>
      <c r="G6" s="2513"/>
      <c r="H6" s="2513"/>
      <c r="I6" s="2513"/>
    </row>
    <row r="7" spans="2:10" ht="12.75" customHeight="1" x14ac:dyDescent="0.3">
      <c r="C7" s="2513"/>
      <c r="D7" s="2513"/>
      <c r="E7" s="2513"/>
      <c r="F7" s="2513"/>
      <c r="G7" s="2513"/>
      <c r="H7" s="2513"/>
      <c r="I7" s="2513"/>
    </row>
    <row r="8" spans="2:10" ht="12.75" customHeight="1" x14ac:dyDescent="0.25">
      <c r="B8" s="3406" t="s">
        <v>5233</v>
      </c>
      <c r="C8" s="3407"/>
      <c r="D8" s="3407"/>
      <c r="E8" s="3407"/>
      <c r="F8" s="3407"/>
      <c r="G8" s="3407"/>
      <c r="H8" s="3407"/>
      <c r="I8" s="3407"/>
      <c r="J8" s="3407"/>
    </row>
    <row r="9" spans="2:10" ht="12.75" customHeight="1" x14ac:dyDescent="0.25">
      <c r="B9" s="3407"/>
      <c r="C9" s="3407"/>
      <c r="D9" s="3407"/>
      <c r="E9" s="3407"/>
      <c r="F9" s="3407"/>
      <c r="G9" s="3407"/>
      <c r="H9" s="3407"/>
      <c r="I9" s="3407"/>
      <c r="J9" s="3407"/>
    </row>
    <row r="10" spans="2:10" ht="12.75" customHeight="1" x14ac:dyDescent="0.25">
      <c r="B10" s="3407"/>
      <c r="C10" s="3407"/>
      <c r="D10" s="3407"/>
      <c r="E10" s="3407"/>
      <c r="F10" s="3407"/>
      <c r="G10" s="3407"/>
      <c r="H10" s="3407"/>
      <c r="I10" s="3407"/>
      <c r="J10" s="3407"/>
    </row>
    <row r="11" spans="2:10" ht="12.75" customHeight="1" x14ac:dyDescent="0.25">
      <c r="B11" s="3407"/>
      <c r="C11" s="3407"/>
      <c r="D11" s="3407"/>
      <c r="E11" s="3407"/>
      <c r="F11" s="3407"/>
      <c r="G11" s="3407"/>
      <c r="H11" s="3407"/>
      <c r="I11" s="3407"/>
      <c r="J11" s="3407"/>
    </row>
    <row r="12" spans="2:10" ht="12.75" customHeight="1" x14ac:dyDescent="0.25">
      <c r="B12" s="3407"/>
      <c r="C12" s="3407"/>
      <c r="D12" s="3407"/>
      <c r="E12" s="3407"/>
      <c r="F12" s="3407"/>
      <c r="G12" s="3407"/>
      <c r="H12" s="3407"/>
      <c r="I12" s="3407"/>
      <c r="J12" s="3407"/>
    </row>
    <row r="13" spans="2:10" ht="12.75" customHeight="1" x14ac:dyDescent="0.25">
      <c r="B13" s="3407"/>
      <c r="C13" s="3407"/>
      <c r="D13" s="3407"/>
      <c r="E13" s="3407"/>
      <c r="F13" s="3407"/>
      <c r="G13" s="3407"/>
      <c r="H13" s="3407"/>
      <c r="I13" s="3407"/>
      <c r="J13" s="3407"/>
    </row>
    <row r="14" spans="2:10" ht="12.75" customHeight="1" x14ac:dyDescent="0.25">
      <c r="B14" s="3407"/>
      <c r="C14" s="3407"/>
      <c r="D14" s="3407"/>
      <c r="E14" s="3407"/>
      <c r="F14" s="3407"/>
      <c r="G14" s="3407"/>
      <c r="H14" s="3407"/>
      <c r="I14" s="3407"/>
      <c r="J14" s="3407"/>
    </row>
    <row r="15" spans="2:10" ht="12.75" customHeight="1" x14ac:dyDescent="0.25">
      <c r="B15" s="3407"/>
      <c r="C15" s="3407"/>
      <c r="D15" s="3407"/>
      <c r="E15" s="3407"/>
      <c r="F15" s="3407"/>
      <c r="G15" s="3407"/>
      <c r="H15" s="3407"/>
      <c r="I15" s="3407"/>
      <c r="J15" s="3407"/>
    </row>
    <row r="16" spans="2:10" ht="12.75" customHeight="1" x14ac:dyDescent="0.25">
      <c r="B16" s="3407"/>
      <c r="C16" s="3407"/>
      <c r="D16" s="3407"/>
      <c r="E16" s="3407"/>
      <c r="F16" s="3407"/>
      <c r="G16" s="3407"/>
      <c r="H16" s="3407"/>
      <c r="I16" s="3407"/>
      <c r="J16" s="3407"/>
    </row>
    <row r="17" spans="2:10" ht="12.75" customHeight="1" x14ac:dyDescent="0.25">
      <c r="B17" s="3407"/>
      <c r="C17" s="3407"/>
      <c r="D17" s="3407"/>
      <c r="E17" s="3407"/>
      <c r="F17" s="3407"/>
      <c r="G17" s="3407"/>
      <c r="H17" s="3407"/>
      <c r="I17" s="3407"/>
      <c r="J17" s="3407"/>
    </row>
    <row r="18" spans="2:10" ht="12.75" customHeight="1" x14ac:dyDescent="0.25">
      <c r="B18" s="3407"/>
      <c r="C18" s="3407"/>
      <c r="D18" s="3407"/>
      <c r="E18" s="3407"/>
      <c r="F18" s="3407"/>
      <c r="G18" s="3407"/>
      <c r="H18" s="3407"/>
      <c r="I18" s="3407"/>
      <c r="J18" s="3407"/>
    </row>
    <row r="19" spans="2:10" x14ac:dyDescent="0.25">
      <c r="B19" s="3407"/>
      <c r="C19" s="3407"/>
      <c r="D19" s="3407"/>
      <c r="E19" s="3407"/>
      <c r="F19" s="3407"/>
      <c r="G19" s="3407"/>
      <c r="H19" s="3407"/>
      <c r="I19" s="3407"/>
      <c r="J19" s="3407"/>
    </row>
    <row r="21" spans="2:10" x14ac:dyDescent="0.25">
      <c r="B21" s="3398" t="s">
        <v>5194</v>
      </c>
      <c r="C21" s="3399"/>
      <c r="D21" s="3399"/>
      <c r="E21" s="3399"/>
      <c r="F21" s="3399"/>
      <c r="G21" s="3399"/>
      <c r="H21" s="3399"/>
      <c r="I21" s="3399"/>
      <c r="J21" s="3399"/>
    </row>
    <row r="22" spans="2:10" x14ac:dyDescent="0.25">
      <c r="B22" s="3399"/>
      <c r="C22" s="3399"/>
      <c r="D22" s="3399"/>
      <c r="E22" s="3399"/>
      <c r="F22" s="3399"/>
      <c r="G22" s="3399"/>
      <c r="H22" s="3399"/>
      <c r="I22" s="3399"/>
      <c r="J22" s="3399"/>
    </row>
    <row r="23" spans="2:10" x14ac:dyDescent="0.25">
      <c r="B23" s="3399"/>
      <c r="C23" s="3399"/>
      <c r="D23" s="3399"/>
      <c r="E23" s="3399"/>
      <c r="F23" s="3399"/>
      <c r="G23" s="3399"/>
      <c r="H23" s="3399"/>
      <c r="I23" s="3399"/>
      <c r="J23" s="3399"/>
    </row>
    <row r="24" spans="2:10" x14ac:dyDescent="0.25">
      <c r="B24" s="3399"/>
      <c r="C24" s="3399"/>
      <c r="D24" s="3399"/>
      <c r="E24" s="3399"/>
      <c r="F24" s="3399"/>
      <c r="G24" s="3399"/>
      <c r="H24" s="3399"/>
      <c r="I24" s="3399"/>
      <c r="J24" s="3399"/>
    </row>
    <row r="25" spans="2:10" x14ac:dyDescent="0.25">
      <c r="B25" s="3399"/>
      <c r="C25" s="3399"/>
      <c r="D25" s="3399"/>
      <c r="E25" s="3399"/>
      <c r="F25" s="3399"/>
      <c r="G25" s="3399"/>
      <c r="H25" s="3399"/>
      <c r="I25" s="3399"/>
      <c r="J25" s="3399"/>
    </row>
    <row r="26" spans="2:10" x14ac:dyDescent="0.25">
      <c r="B26" s="3399"/>
      <c r="C26" s="3399"/>
      <c r="D26" s="3399"/>
      <c r="E26" s="3399"/>
      <c r="F26" s="3399"/>
      <c r="G26" s="3399"/>
      <c r="H26" s="3399"/>
      <c r="I26" s="3399"/>
      <c r="J26" s="3399"/>
    </row>
    <row r="27" spans="2:10" x14ac:dyDescent="0.25">
      <c r="B27" s="3399"/>
      <c r="C27" s="3399"/>
      <c r="D27" s="3399"/>
      <c r="E27" s="3399"/>
      <c r="F27" s="3399"/>
      <c r="G27" s="3399"/>
      <c r="H27" s="3399"/>
      <c r="I27" s="3399"/>
      <c r="J27" s="3399"/>
    </row>
    <row r="28" spans="2:10" x14ac:dyDescent="0.25">
      <c r="B28" s="3399"/>
      <c r="C28" s="3399"/>
      <c r="D28" s="3399"/>
      <c r="E28" s="3399"/>
      <c r="F28" s="3399"/>
      <c r="G28" s="3399"/>
      <c r="H28" s="3399"/>
      <c r="I28" s="3399"/>
      <c r="J28" s="3399"/>
    </row>
    <row r="29" spans="2:10" x14ac:dyDescent="0.25">
      <c r="B29" s="3399"/>
      <c r="C29" s="3399"/>
      <c r="D29" s="3399"/>
      <c r="E29" s="3399"/>
      <c r="F29" s="3399"/>
      <c r="G29" s="3399"/>
      <c r="H29" s="3399"/>
      <c r="I29" s="3399"/>
      <c r="J29" s="3399"/>
    </row>
    <row r="30" spans="2:10" x14ac:dyDescent="0.25">
      <c r="B30" s="3399"/>
      <c r="C30" s="3399"/>
      <c r="D30" s="3399"/>
      <c r="E30" s="3399"/>
      <c r="F30" s="3399"/>
      <c r="G30" s="3399"/>
      <c r="H30" s="3399"/>
      <c r="I30" s="3399"/>
      <c r="J30" s="3399"/>
    </row>
    <row r="31" spans="2:10" x14ac:dyDescent="0.25">
      <c r="B31" s="3399"/>
      <c r="C31" s="3399"/>
      <c r="D31" s="3399"/>
      <c r="E31" s="3399"/>
      <c r="F31" s="3399"/>
      <c r="G31" s="3399"/>
      <c r="H31" s="3399"/>
      <c r="I31" s="3399"/>
      <c r="J31" s="3399"/>
    </row>
    <row r="32" spans="2:10" x14ac:dyDescent="0.25">
      <c r="B32" s="3399"/>
      <c r="C32" s="3399"/>
      <c r="D32" s="3399"/>
      <c r="E32" s="3399"/>
      <c r="F32" s="3399"/>
      <c r="G32" s="3399"/>
      <c r="H32" s="3399"/>
      <c r="I32" s="3399"/>
      <c r="J32" s="3399"/>
    </row>
    <row r="33" spans="2:10" x14ac:dyDescent="0.25">
      <c r="B33" s="3399"/>
      <c r="C33" s="3399"/>
      <c r="D33" s="3399"/>
      <c r="E33" s="3399"/>
      <c r="F33" s="3399"/>
      <c r="G33" s="3399"/>
      <c r="H33" s="3399"/>
      <c r="I33" s="3399"/>
      <c r="J33" s="3399"/>
    </row>
    <row r="34" spans="2:10" x14ac:dyDescent="0.25">
      <c r="B34" s="3399"/>
      <c r="C34" s="3399"/>
      <c r="D34" s="3399"/>
      <c r="E34" s="3399"/>
      <c r="F34" s="3399"/>
      <c r="G34" s="3399"/>
      <c r="H34" s="3399"/>
      <c r="I34" s="3399"/>
      <c r="J34" s="3399"/>
    </row>
    <row r="35" spans="2:10" x14ac:dyDescent="0.25">
      <c r="B35" s="3399"/>
      <c r="C35" s="3399"/>
      <c r="D35" s="3399"/>
      <c r="E35" s="3399"/>
      <c r="F35" s="3399"/>
      <c r="G35" s="3399"/>
      <c r="H35" s="3399"/>
      <c r="I35" s="3399"/>
      <c r="J35" s="3399"/>
    </row>
    <row r="36" spans="2:10" x14ac:dyDescent="0.25">
      <c r="B36" s="3399"/>
      <c r="C36" s="3399"/>
      <c r="D36" s="3399"/>
      <c r="E36" s="3399"/>
      <c r="F36" s="3399"/>
      <c r="G36" s="3399"/>
      <c r="H36" s="3399"/>
      <c r="I36" s="3399"/>
      <c r="J36" s="3399"/>
    </row>
    <row r="37" spans="2:10" x14ac:dyDescent="0.25">
      <c r="B37" s="3399"/>
      <c r="C37" s="3399"/>
      <c r="D37" s="3399"/>
      <c r="E37" s="3399"/>
      <c r="F37" s="3399"/>
      <c r="G37" s="3399"/>
      <c r="H37" s="3399"/>
      <c r="I37" s="3399"/>
      <c r="J37" s="3399"/>
    </row>
    <row r="38" spans="2:10" x14ac:dyDescent="0.25">
      <c r="B38" s="3399"/>
      <c r="C38" s="3399"/>
      <c r="D38" s="3399"/>
      <c r="E38" s="3399"/>
      <c r="F38" s="3399"/>
      <c r="G38" s="3399"/>
      <c r="H38" s="3399"/>
      <c r="I38" s="3399"/>
      <c r="J38" s="3399"/>
    </row>
    <row r="39" spans="2:10" x14ac:dyDescent="0.25">
      <c r="B39" s="3396" t="s">
        <v>4704</v>
      </c>
      <c r="C39" s="3397"/>
      <c r="D39" s="3397"/>
      <c r="E39" s="3397"/>
      <c r="F39" s="3397"/>
      <c r="G39" s="3397"/>
      <c r="H39" s="3397"/>
      <c r="I39" s="3397"/>
      <c r="J39" s="3397"/>
    </row>
    <row r="40" spans="2:10" x14ac:dyDescent="0.25">
      <c r="B40" s="3397"/>
      <c r="C40" s="3397"/>
      <c r="D40" s="3397"/>
      <c r="E40" s="3397"/>
      <c r="F40" s="3397"/>
      <c r="G40" s="3397"/>
      <c r="H40" s="3397"/>
      <c r="I40" s="3397"/>
      <c r="J40" s="3397"/>
    </row>
    <row r="41" spans="2:10" x14ac:dyDescent="0.25">
      <c r="B41" s="3397"/>
      <c r="C41" s="3397"/>
      <c r="D41" s="3397"/>
      <c r="E41" s="3397"/>
      <c r="F41" s="3397"/>
      <c r="G41" s="3397"/>
      <c r="H41" s="3397"/>
      <c r="I41" s="3397"/>
      <c r="J41" s="3397"/>
    </row>
    <row r="42" spans="2:10" x14ac:dyDescent="0.25">
      <c r="B42" s="3397"/>
      <c r="C42" s="3397"/>
      <c r="D42" s="3397"/>
      <c r="E42" s="3397"/>
      <c r="F42" s="3397"/>
      <c r="G42" s="3397"/>
      <c r="H42" s="3397"/>
      <c r="I42" s="3397"/>
      <c r="J42" s="3397"/>
    </row>
    <row r="43" spans="2:10" x14ac:dyDescent="0.25">
      <c r="B43" s="3397"/>
      <c r="C43" s="3397"/>
      <c r="D43" s="3397"/>
      <c r="E43" s="3397"/>
      <c r="F43" s="3397"/>
      <c r="G43" s="3397"/>
      <c r="H43" s="3397"/>
      <c r="I43" s="3397"/>
      <c r="J43" s="3397"/>
    </row>
    <row r="44" spans="2:10" x14ac:dyDescent="0.25">
      <c r="B44" s="3397"/>
      <c r="C44" s="3397"/>
      <c r="D44" s="3397"/>
      <c r="E44" s="3397"/>
      <c r="F44" s="3397"/>
      <c r="G44" s="3397"/>
      <c r="H44" s="3397"/>
      <c r="I44" s="3397"/>
      <c r="J44" s="3397"/>
    </row>
    <row r="45" spans="2:10" x14ac:dyDescent="0.25">
      <c r="B45" s="3397"/>
      <c r="C45" s="3397"/>
      <c r="D45" s="3397"/>
      <c r="E45" s="3397"/>
      <c r="F45" s="3397"/>
      <c r="G45" s="3397"/>
      <c r="H45" s="3397"/>
      <c r="I45" s="3397"/>
      <c r="J45" s="3397"/>
    </row>
    <row r="46" spans="2:10" x14ac:dyDescent="0.25">
      <c r="C46" s="3394" t="s">
        <v>5316</v>
      </c>
      <c r="D46" s="3395"/>
      <c r="E46" s="1151"/>
      <c r="F46" s="1151"/>
      <c r="G46" s="1151"/>
      <c r="H46" s="1151"/>
      <c r="I46" s="1151"/>
    </row>
    <row r="47" spans="2:10" x14ac:dyDescent="0.25">
      <c r="C47" s="1151" t="s">
        <v>4705</v>
      </c>
      <c r="D47" s="1151"/>
      <c r="E47" s="1151"/>
      <c r="F47" s="1151"/>
      <c r="G47" s="1151"/>
      <c r="H47" s="1151"/>
      <c r="I47" s="1151"/>
    </row>
  </sheetData>
  <sheetProtection sheet="1" objects="1" scenarios="1"/>
  <mergeCells count="8">
    <mergeCell ref="C46:D46"/>
    <mergeCell ref="B39:J45"/>
    <mergeCell ref="B21:J38"/>
    <mergeCell ref="C2:I2"/>
    <mergeCell ref="C3:I3"/>
    <mergeCell ref="C4:I4"/>
    <mergeCell ref="B8:J19"/>
    <mergeCell ref="C5:I5"/>
  </mergeCells>
  <phoneticPr fontId="3" type="noConversion"/>
  <pageMargins left="0.25" right="0.25" top="0.5" bottom="0.5" header="0.25" footer="0.2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76577" r:id="rId4" name="Button 1">
              <controlPr defaultSize="0" print="0" autoFill="0" autoPict="0" macro="[0]!Go_To_Main_Menu">
                <anchor moveWithCells="1" sizeWithCells="1">
                  <from>
                    <xdr:col>7</xdr:col>
                    <xdr:colOff>527050</xdr:colOff>
                    <xdr:row>1</xdr:row>
                    <xdr:rowOff>260350</xdr:rowOff>
                  </from>
                  <to>
                    <xdr:col>9</xdr:col>
                    <xdr:colOff>736600</xdr:colOff>
                    <xdr:row>2</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2">
    <tabColor rgb="FF00B050"/>
    <pageSetUpPr autoPageBreaks="0"/>
  </sheetPr>
  <dimension ref="A1:N47"/>
  <sheetViews>
    <sheetView showGridLines="0" showRowColHeaders="0" zoomScaleNormal="100" workbookViewId="0">
      <selection activeCell="F20" sqref="F20:H20"/>
    </sheetView>
  </sheetViews>
  <sheetFormatPr defaultColWidth="9.1796875" defaultRowHeight="12.5" x14ac:dyDescent="0.25"/>
  <cols>
    <col min="1" max="1" width="8.1796875" style="2374" customWidth="1"/>
    <col min="2" max="2" width="11" style="2374" customWidth="1"/>
    <col min="3" max="3" width="10.81640625" style="2374" customWidth="1"/>
    <col min="4" max="5" width="2.81640625" style="2374" customWidth="1"/>
    <col min="6" max="6" width="9.1796875" style="2374"/>
    <col min="7" max="7" width="9.453125" style="2374" customWidth="1"/>
    <col min="8" max="8" width="12.1796875" style="2374" customWidth="1"/>
    <col min="9" max="9" width="9.81640625" style="2374" customWidth="1"/>
    <col min="10" max="10" width="8.1796875" style="2374" customWidth="1"/>
    <col min="11" max="11" width="1.81640625" style="2374" customWidth="1"/>
    <col min="12" max="12" width="9.1796875" style="2374" hidden="1" customWidth="1"/>
    <col min="13" max="16384" width="9.1796875" style="2374"/>
  </cols>
  <sheetData>
    <row r="1" spans="1:14" ht="31.5" x14ac:dyDescent="0.25">
      <c r="A1" s="3409" t="s">
        <v>428</v>
      </c>
      <c r="B1" s="3409"/>
      <c r="C1" s="3409"/>
      <c r="D1" s="3409"/>
      <c r="E1" s="3409"/>
      <c r="F1" s="3409"/>
      <c r="G1" s="3409"/>
      <c r="H1" s="3409"/>
      <c r="I1" s="3409"/>
      <c r="J1" s="3409"/>
      <c r="K1" s="3409"/>
    </row>
    <row r="2" spans="1:14" ht="15.5" x14ac:dyDescent="0.25">
      <c r="A2" s="3422" t="str">
        <f>"Risk Analysis Screening Tools (V "&amp;Version&amp;")"</f>
        <v>Risk Analysis Screening Tools (V 4.5)</v>
      </c>
      <c r="B2" s="3422"/>
      <c r="C2" s="3422"/>
      <c r="D2" s="3422"/>
      <c r="E2" s="3422"/>
      <c r="F2" s="3422"/>
      <c r="G2" s="3422"/>
      <c r="H2" s="3422"/>
      <c r="I2" s="3422"/>
      <c r="J2" s="3422"/>
      <c r="K2" s="3422"/>
      <c r="N2" s="2375"/>
    </row>
    <row r="3" spans="1:14" ht="13" x14ac:dyDescent="0.25">
      <c r="A3" s="3426" t="str">
        <f>"Latest Revision Date " &amp; TEXT(MAX('Revision History'!E:E),"M/DD/YY")</f>
        <v>Latest Revision Date 1/29/25</v>
      </c>
      <c r="B3" s="3426"/>
      <c r="C3" s="3426"/>
      <c r="D3" s="3426"/>
      <c r="E3" s="3426"/>
      <c r="F3" s="3426"/>
      <c r="G3" s="3426"/>
      <c r="H3" s="3426"/>
      <c r="I3" s="3426"/>
      <c r="J3" s="3426"/>
      <c r="K3" s="3426"/>
      <c r="N3" s="2375"/>
    </row>
    <row r="4" spans="1:14" ht="13" x14ac:dyDescent="0.3">
      <c r="A4" s="2376"/>
      <c r="B4" s="2377"/>
      <c r="C4" s="2378"/>
      <c r="D4" s="2378"/>
      <c r="E4" s="2378"/>
      <c r="F4" s="2378"/>
      <c r="G4" s="2376"/>
      <c r="H4" s="2376"/>
      <c r="I4" s="2376"/>
      <c r="J4" s="2379"/>
      <c r="K4" s="2378"/>
    </row>
    <row r="5" spans="1:14" ht="13" x14ac:dyDescent="0.3">
      <c r="A5" s="2376"/>
      <c r="B5" s="2377"/>
      <c r="C5" s="2378"/>
      <c r="D5" s="2378"/>
      <c r="E5" s="2378"/>
      <c r="F5" s="2378"/>
      <c r="G5" s="2376"/>
      <c r="H5" s="2376"/>
      <c r="I5" s="2376"/>
      <c r="J5" s="2378"/>
      <c r="K5" s="2378"/>
    </row>
    <row r="6" spans="1:14" ht="13" x14ac:dyDescent="0.3">
      <c r="A6" s="2376"/>
      <c r="B6" s="2376"/>
      <c r="C6" s="2378"/>
      <c r="D6" s="2378"/>
      <c r="E6" s="2378"/>
      <c r="F6" s="2380" t="s">
        <v>2301</v>
      </c>
      <c r="G6" s="2376"/>
      <c r="H6" s="2376"/>
      <c r="I6" s="2376"/>
      <c r="J6" s="2378"/>
      <c r="K6" s="2378"/>
    </row>
    <row r="7" spans="1:14" ht="6" customHeight="1" x14ac:dyDescent="0.3">
      <c r="A7" s="2376"/>
      <c r="B7" s="2376"/>
      <c r="C7" s="2376"/>
      <c r="D7" s="2376"/>
      <c r="E7" s="2376"/>
      <c r="F7" s="2376"/>
      <c r="G7" s="2376"/>
      <c r="H7" s="2376"/>
      <c r="I7" s="2376"/>
      <c r="J7" s="2378"/>
      <c r="K7" s="2378"/>
    </row>
    <row r="8" spans="1:14" ht="13.5" customHeight="1" x14ac:dyDescent="0.3">
      <c r="A8" s="2376"/>
      <c r="B8" s="2376"/>
      <c r="C8" s="2376"/>
      <c r="D8" s="2376"/>
      <c r="E8" s="2376"/>
      <c r="F8" s="2380" t="s">
        <v>2984</v>
      </c>
      <c r="G8" s="2376"/>
      <c r="H8" s="2376"/>
      <c r="I8" s="2376"/>
      <c r="J8" s="2378"/>
      <c r="K8" s="2378"/>
    </row>
    <row r="9" spans="1:14" ht="6" customHeight="1" x14ac:dyDescent="0.3">
      <c r="A9" s="2376"/>
      <c r="B9" s="2376"/>
      <c r="C9" s="2376"/>
      <c r="D9" s="2376"/>
      <c r="E9" s="2376"/>
      <c r="F9" s="2376"/>
      <c r="G9" s="2376"/>
      <c r="H9" s="2376"/>
      <c r="I9" s="2376"/>
      <c r="J9" s="2378"/>
      <c r="K9" s="2378"/>
    </row>
    <row r="10" spans="1:14" ht="13" x14ac:dyDescent="0.3">
      <c r="A10" s="2376"/>
      <c r="B10" s="2376"/>
      <c r="C10" s="2376"/>
      <c r="D10" s="2376"/>
      <c r="E10" s="2376"/>
      <c r="F10" s="2380" t="s">
        <v>2456</v>
      </c>
      <c r="G10" s="2376"/>
      <c r="H10" s="2376"/>
      <c r="I10" s="2376"/>
      <c r="J10" s="2378"/>
      <c r="K10" s="2378"/>
      <c r="M10" s="2381"/>
    </row>
    <row r="11" spans="1:14" ht="6" customHeight="1" x14ac:dyDescent="0.3">
      <c r="A11" s="2376"/>
      <c r="B11" s="2376"/>
      <c r="C11" s="2376"/>
      <c r="D11" s="2376"/>
      <c r="E11" s="2376"/>
      <c r="F11" s="2380"/>
      <c r="G11" s="2376"/>
      <c r="H11" s="2376"/>
      <c r="I11" s="2376"/>
      <c r="J11" s="2378"/>
      <c r="K11" s="2378"/>
      <c r="M11" s="2381"/>
    </row>
    <row r="12" spans="1:14" ht="13" x14ac:dyDescent="0.3">
      <c r="A12" s="2376"/>
      <c r="B12" s="2376"/>
      <c r="C12" s="2376"/>
      <c r="D12" s="2376"/>
      <c r="E12" s="2376"/>
      <c r="F12" s="2380" t="s">
        <v>2733</v>
      </c>
      <c r="G12" s="2376"/>
      <c r="H12" s="2376"/>
      <c r="I12" s="2376"/>
      <c r="J12" s="2378"/>
      <c r="K12" s="2378"/>
      <c r="M12" s="2381"/>
    </row>
    <row r="13" spans="1:14" ht="6" customHeight="1" x14ac:dyDescent="0.3">
      <c r="A13" s="2376"/>
      <c r="B13" s="2376"/>
      <c r="C13" s="2376"/>
      <c r="D13" s="2376"/>
      <c r="E13" s="2376"/>
      <c r="F13" s="2380"/>
      <c r="G13" s="2376"/>
      <c r="H13" s="2376"/>
      <c r="I13" s="2376"/>
      <c r="J13" s="2378"/>
      <c r="K13" s="2378"/>
      <c r="M13" s="2381"/>
    </row>
    <row r="14" spans="1:14" ht="12.75" customHeight="1" x14ac:dyDescent="0.3">
      <c r="A14" s="2376"/>
      <c r="B14" s="2376"/>
      <c r="C14" s="2376"/>
      <c r="D14" s="2376"/>
      <c r="E14" s="2376"/>
      <c r="F14" s="2380" t="s">
        <v>3111</v>
      </c>
      <c r="G14" s="2376"/>
      <c r="H14" s="2376"/>
      <c r="I14" s="2376"/>
      <c r="J14" s="2378"/>
      <c r="K14" s="2378"/>
      <c r="M14" s="2381"/>
    </row>
    <row r="15" spans="1:14" ht="13" x14ac:dyDescent="0.3">
      <c r="A15" s="2376"/>
      <c r="B15" s="2376"/>
      <c r="C15" s="2376"/>
      <c r="D15" s="2376"/>
      <c r="E15" s="2376"/>
      <c r="F15" s="2376"/>
      <c r="G15" s="2376"/>
      <c r="H15" s="2376"/>
      <c r="I15" s="2376"/>
      <c r="J15" s="2378"/>
      <c r="K15" s="2378"/>
      <c r="M15" s="2381"/>
    </row>
    <row r="16" spans="1:14" ht="13" x14ac:dyDescent="0.3">
      <c r="A16" s="2376"/>
      <c r="B16" s="2380" t="s">
        <v>2303</v>
      </c>
      <c r="C16" s="2378"/>
      <c r="D16" s="2380"/>
      <c r="E16" s="2378"/>
      <c r="F16" s="2380" t="s">
        <v>2304</v>
      </c>
      <c r="G16" s="2382" t="str">
        <f ca="1">MID(CELL("filename"),SEARCH("[",CELL("filename"))+1, SEARCH("]",CELL("filename"))-SEARCH("[",CELL("filename"))-1)</f>
        <v>Risk Analysis Screening Tool V4.5.xlsm</v>
      </c>
      <c r="H16" s="2383"/>
      <c r="I16" s="2384"/>
      <c r="J16" s="2385"/>
      <c r="K16" s="2378"/>
      <c r="M16" s="2386"/>
    </row>
    <row r="17" spans="1:13" ht="15" customHeight="1" x14ac:dyDescent="0.3">
      <c r="A17" s="2376"/>
      <c r="B17" s="2380"/>
      <c r="C17" s="2376"/>
      <c r="D17" s="2376"/>
      <c r="E17" s="2376"/>
      <c r="F17" s="2380"/>
      <c r="G17" s="2376"/>
      <c r="H17" s="2376"/>
      <c r="I17" s="2376"/>
      <c r="J17" s="2378"/>
      <c r="K17" s="2378"/>
      <c r="M17" s="2386"/>
    </row>
    <row r="18" spans="1:13" ht="15" customHeight="1" x14ac:dyDescent="0.3">
      <c r="A18" s="2378"/>
      <c r="B18" s="2380" t="s">
        <v>2454</v>
      </c>
      <c r="C18" s="3086" t="s">
        <v>1897</v>
      </c>
      <c r="D18" s="2387"/>
      <c r="E18" s="2387"/>
      <c r="F18" s="2380" t="s">
        <v>2455</v>
      </c>
      <c r="G18" s="3411"/>
      <c r="H18" s="3412"/>
      <c r="I18" s="3412"/>
      <c r="J18" s="3413"/>
      <c r="K18" s="2378"/>
      <c r="M18" s="2386"/>
    </row>
    <row r="19" spans="1:13" ht="15" customHeight="1" x14ac:dyDescent="0.3">
      <c r="A19" s="2376"/>
      <c r="B19" s="2376"/>
      <c r="C19" s="2376"/>
      <c r="D19" s="2376"/>
      <c r="E19" s="2376"/>
      <c r="F19" s="2376"/>
      <c r="G19" s="2376"/>
      <c r="H19" s="2376"/>
      <c r="I19" s="2376"/>
      <c r="J19" s="2378"/>
      <c r="K19" s="2378"/>
    </row>
    <row r="20" spans="1:13" ht="13" customHeight="1" x14ac:dyDescent="0.3">
      <c r="A20" s="2376"/>
      <c r="B20" s="2376"/>
      <c r="C20" s="2376"/>
      <c r="D20" s="2376"/>
      <c r="E20" s="2388" t="s">
        <v>2326</v>
      </c>
      <c r="F20" s="3420"/>
      <c r="G20" s="3421"/>
      <c r="H20" s="3421"/>
      <c r="I20" s="2376"/>
      <c r="J20" s="2378"/>
      <c r="K20" s="2378"/>
      <c r="M20" s="2381"/>
    </row>
    <row r="21" spans="1:13" ht="12" customHeight="1" x14ac:dyDescent="0.3">
      <c r="A21" s="2376"/>
      <c r="B21" s="2376"/>
      <c r="C21" s="2376"/>
      <c r="D21" s="2378"/>
      <c r="E21" s="2389" t="s">
        <v>1005</v>
      </c>
      <c r="F21" s="3416"/>
      <c r="G21" s="3417"/>
      <c r="H21" s="3418"/>
      <c r="I21" s="2376"/>
      <c r="J21" s="2378"/>
      <c r="K21" s="2378"/>
      <c r="M21" s="2381"/>
    </row>
    <row r="22" spans="1:13" ht="12.75" customHeight="1" x14ac:dyDescent="0.3">
      <c r="A22" s="2376"/>
      <c r="B22" s="2376"/>
      <c r="C22" s="2376"/>
      <c r="D22" s="2378"/>
      <c r="E22" s="2389" t="s">
        <v>1828</v>
      </c>
      <c r="F22" s="3419"/>
      <c r="G22" s="3419"/>
      <c r="H22" s="3419"/>
      <c r="I22" s="2376"/>
      <c r="J22" s="2378"/>
      <c r="K22" s="2378"/>
    </row>
    <row r="23" spans="1:13" ht="12.75" customHeight="1" x14ac:dyDescent="0.3">
      <c r="A23" s="2376"/>
      <c r="B23" s="2376"/>
      <c r="C23" s="2376"/>
      <c r="D23" s="2378"/>
      <c r="E23" s="2389" t="s">
        <v>3123</v>
      </c>
      <c r="F23" s="3419"/>
      <c r="G23" s="3419"/>
      <c r="H23" s="3419"/>
      <c r="I23" s="2376"/>
      <c r="J23" s="2378"/>
      <c r="K23" s="2378"/>
    </row>
    <row r="24" spans="1:13" ht="12.75" customHeight="1" x14ac:dyDescent="0.3">
      <c r="A24" s="2376"/>
      <c r="B24" s="2376"/>
      <c r="C24" s="2376"/>
      <c r="D24" s="2376"/>
      <c r="E24" s="2376"/>
      <c r="F24" s="2376"/>
      <c r="G24" s="2376"/>
      <c r="H24" s="2376"/>
      <c r="I24" s="2376"/>
      <c r="J24" s="2378"/>
      <c r="K24" s="2378"/>
    </row>
    <row r="25" spans="1:13" ht="12.75" customHeight="1" x14ac:dyDescent="0.3">
      <c r="A25" s="2376"/>
      <c r="B25" s="2376"/>
      <c r="C25" s="2376"/>
      <c r="D25" s="2376"/>
      <c r="E25" s="2390" t="s">
        <v>2316</v>
      </c>
      <c r="F25" s="3423"/>
      <c r="G25" s="3423"/>
      <c r="H25" s="3424"/>
      <c r="I25" s="2376"/>
      <c r="J25" s="2378"/>
      <c r="K25" s="2378"/>
      <c r="L25" s="2374" t="b">
        <f ca="1">IF(COUNTIF('Input Error Check'!$C$97:'Input Error Check'!$C$145,"Critical")=0,TRUE,FALSE)</f>
        <v>0</v>
      </c>
    </row>
    <row r="26" spans="1:13" ht="12.75" customHeight="1" x14ac:dyDescent="0.3">
      <c r="A26" s="2376"/>
      <c r="B26" s="2376"/>
      <c r="C26" s="2376"/>
      <c r="D26" s="2376"/>
      <c r="E26" s="2390" t="s">
        <v>2317</v>
      </c>
      <c r="F26" s="3423"/>
      <c r="G26" s="3425"/>
      <c r="H26" s="2376"/>
      <c r="I26" s="2376"/>
      <c r="J26" s="2378"/>
      <c r="K26" s="2378"/>
      <c r="L26" s="2374" t="b">
        <f>IF(COUNTIF('Input Error Check'!$C$5:'Input Error Check'!$C$53,"Critical")=0,TRUE,FALSE)</f>
        <v>0</v>
      </c>
    </row>
    <row r="27" spans="1:13" ht="12.75" customHeight="1" x14ac:dyDescent="0.3">
      <c r="A27" s="2376"/>
      <c r="B27" s="2376"/>
      <c r="C27" s="2376"/>
      <c r="D27" s="2376"/>
      <c r="E27" s="2376"/>
      <c r="F27" s="2376"/>
      <c r="G27" s="2376"/>
      <c r="H27" s="2376"/>
      <c r="I27" s="2376"/>
      <c r="J27" s="2378"/>
      <c r="K27" s="2378"/>
      <c r="L27" s="2374" t="b">
        <f>IF(COUNTIF('Input Error Check'!$C$79:'Input Error Check'!$C$95,"Critical")=0,TRUE,FALSE)</f>
        <v>0</v>
      </c>
    </row>
    <row r="28" spans="1:13" ht="12.75" customHeight="1" x14ac:dyDescent="0.35">
      <c r="A28" s="2376"/>
      <c r="B28" s="3414" t="s">
        <v>2321</v>
      </c>
      <c r="C28" s="3415"/>
      <c r="D28" s="2391" t="s">
        <v>2463</v>
      </c>
      <c r="E28" s="2376"/>
      <c r="F28" s="2376"/>
      <c r="G28" s="2376"/>
      <c r="H28" s="3414" t="s">
        <v>2322</v>
      </c>
      <c r="I28" s="3414"/>
      <c r="J28" s="3414"/>
      <c r="K28" s="2378"/>
      <c r="L28" s="2374" t="b">
        <f>IF(COUNTIF('Input Error Check'!$C$56:'Input Error Check'!$C$77,"Critical")=0,TRUE,FALSE)</f>
        <v>0</v>
      </c>
    </row>
    <row r="29" spans="1:13" ht="12.75" customHeight="1" x14ac:dyDescent="0.3">
      <c r="A29" s="2376"/>
      <c r="B29" s="2376"/>
      <c r="C29" s="2376"/>
      <c r="D29" s="2392" t="s">
        <v>2458</v>
      </c>
      <c r="E29" s="2378"/>
      <c r="F29" s="2376"/>
      <c r="G29" s="2376"/>
      <c r="H29" s="2376"/>
      <c r="I29" s="2376"/>
      <c r="J29" s="2378"/>
      <c r="K29" s="2378"/>
    </row>
    <row r="30" spans="1:13" ht="12.75" customHeight="1" x14ac:dyDescent="0.3">
      <c r="A30" s="2376"/>
      <c r="B30" s="2376"/>
      <c r="C30" s="2376"/>
      <c r="D30" s="2393"/>
      <c r="E30" s="2378"/>
      <c r="F30" s="2376"/>
      <c r="G30" s="2376"/>
      <c r="H30" s="2376"/>
      <c r="I30" s="2376"/>
      <c r="J30" s="2378"/>
      <c r="K30" s="2378"/>
    </row>
    <row r="31" spans="1:13" ht="12.75" customHeight="1" x14ac:dyDescent="0.3">
      <c r="A31" s="2376"/>
      <c r="B31" s="2376"/>
      <c r="C31" s="2376"/>
      <c r="D31" s="2376"/>
      <c r="E31" s="2378"/>
      <c r="F31" s="2376"/>
      <c r="G31" s="2376"/>
      <c r="H31" s="2376"/>
      <c r="I31" s="2376"/>
      <c r="J31" s="2378"/>
      <c r="K31" s="2378"/>
    </row>
    <row r="32" spans="1:13" ht="12.75" customHeight="1" x14ac:dyDescent="0.3">
      <c r="A32" s="2376"/>
      <c r="B32" s="2376"/>
      <c r="C32" s="2376"/>
      <c r="D32" s="2393"/>
      <c r="E32" s="2378"/>
      <c r="F32" s="2376"/>
      <c r="G32" s="2376"/>
      <c r="H32" s="2376"/>
      <c r="I32" s="2376"/>
      <c r="J32" s="2378"/>
      <c r="K32" s="2378"/>
    </row>
    <row r="33" spans="1:11" ht="12.75" customHeight="1" x14ac:dyDescent="0.3">
      <c r="A33" s="2376"/>
      <c r="B33" s="2376"/>
      <c r="C33" s="2376"/>
      <c r="D33" s="2376"/>
      <c r="E33" s="2378"/>
      <c r="F33" s="2376"/>
      <c r="G33" s="2376"/>
      <c r="H33" s="2378"/>
      <c r="I33" s="2378"/>
      <c r="J33" s="2378"/>
      <c r="K33" s="2378"/>
    </row>
    <row r="34" spans="1:11" ht="12.75" customHeight="1" x14ac:dyDescent="0.3">
      <c r="A34" s="2376"/>
      <c r="B34" s="2378"/>
      <c r="C34" s="2378"/>
      <c r="D34" s="2393"/>
      <c r="E34" s="2378"/>
      <c r="F34" s="2376"/>
      <c r="G34" s="2376"/>
      <c r="H34" s="2376"/>
      <c r="I34" s="2376"/>
      <c r="J34" s="2378"/>
      <c r="K34" s="2378"/>
    </row>
    <row r="35" spans="1:11" ht="12.75" customHeight="1" x14ac:dyDescent="0.3">
      <c r="A35" s="2376"/>
      <c r="B35" s="2376"/>
      <c r="C35" s="2376"/>
      <c r="D35" s="2376"/>
      <c r="E35" s="2378"/>
      <c r="F35" s="2376"/>
      <c r="G35" s="2376"/>
      <c r="H35" s="2376"/>
      <c r="I35" s="2376"/>
      <c r="J35" s="2378"/>
      <c r="K35" s="2378"/>
    </row>
    <row r="36" spans="1:11" ht="12.75" customHeight="1" x14ac:dyDescent="0.3">
      <c r="A36" s="2376"/>
      <c r="B36" s="2378"/>
      <c r="C36" s="2378"/>
      <c r="D36" s="2393"/>
      <c r="E36" s="2378"/>
      <c r="F36" s="2376"/>
      <c r="G36" s="2376"/>
      <c r="H36" s="2376"/>
      <c r="I36" s="2376"/>
      <c r="J36" s="2378"/>
      <c r="K36" s="2378"/>
    </row>
    <row r="37" spans="1:11" ht="12.75" customHeight="1" x14ac:dyDescent="0.3">
      <c r="A37" s="2376"/>
      <c r="B37" s="2376"/>
      <c r="C37" s="2376"/>
      <c r="D37" s="2376"/>
      <c r="E37" s="2378"/>
      <c r="F37" s="2376"/>
      <c r="G37" s="2376"/>
      <c r="H37" s="2376"/>
      <c r="I37" s="2376"/>
      <c r="J37" s="2378"/>
      <c r="K37" s="2378"/>
    </row>
    <row r="38" spans="1:11" ht="13" x14ac:dyDescent="0.3">
      <c r="A38" s="2376"/>
      <c r="B38" s="2376"/>
      <c r="C38" s="2376"/>
      <c r="D38" s="2376"/>
      <c r="E38" s="2376"/>
      <c r="F38" s="2376"/>
      <c r="G38" s="2376"/>
      <c r="H38" s="2376"/>
      <c r="I38" s="2376"/>
      <c r="J38" s="2378"/>
      <c r="K38" s="2378"/>
    </row>
    <row r="39" spans="1:11" ht="12.75" customHeight="1" x14ac:dyDescent="0.3">
      <c r="A39" s="2376"/>
      <c r="B39" s="2376"/>
      <c r="C39" s="2376"/>
      <c r="D39" s="2376"/>
      <c r="E39" s="2376"/>
      <c r="F39" s="2376"/>
      <c r="G39" s="2376"/>
      <c r="H39" s="2376"/>
      <c r="I39" s="2376"/>
      <c r="J39" s="2378"/>
      <c r="K39" s="2378"/>
    </row>
    <row r="40" spans="1:11" ht="12.75" customHeight="1" x14ac:dyDescent="0.3">
      <c r="A40" s="2376"/>
      <c r="B40" s="2376"/>
      <c r="C40" s="2376"/>
      <c r="D40" s="2376"/>
      <c r="E40" s="2376"/>
      <c r="F40" s="2376"/>
      <c r="G40" s="2376"/>
      <c r="H40" s="2376"/>
      <c r="I40" s="2376"/>
      <c r="J40" s="2378"/>
      <c r="K40" s="2378"/>
    </row>
    <row r="41" spans="1:11" ht="13" x14ac:dyDescent="0.3">
      <c r="A41" s="2376"/>
      <c r="B41" s="2376"/>
      <c r="C41" s="2376"/>
      <c r="D41" s="2376"/>
      <c r="E41" s="2378"/>
      <c r="F41" s="2376"/>
      <c r="G41" s="2376"/>
      <c r="H41" s="2376"/>
      <c r="I41" s="2376"/>
      <c r="J41" s="2378"/>
      <c r="K41" s="2378"/>
    </row>
    <row r="42" spans="1:11" x14ac:dyDescent="0.25">
      <c r="A42" s="2378"/>
      <c r="B42" s="3410" t="str">
        <f ca="1">IF(COUNTIF('Input Error Check'!$C$5:'Input Error Check'!$C$986,"Critical")=0,"Input Data Sufficient to Proceed with Analysis","Insufficient Input Data to Proceed with Analysis,  Critical Errors = "&amp;COUNTIF('Input Error Check'!$C$5:'Input Error Check'!$C$986,"Critical"))</f>
        <v>Insufficient Input Data to Proceed with Analysis,  Critical Errors = 18</v>
      </c>
      <c r="C42" s="3410"/>
      <c r="D42" s="3410"/>
      <c r="E42" s="3410"/>
      <c r="F42" s="3410"/>
      <c r="G42" s="3410"/>
      <c r="H42" s="3410"/>
      <c r="I42" s="3410"/>
      <c r="J42" s="2378"/>
      <c r="K42" s="2378"/>
    </row>
    <row r="43" spans="1:11" x14ac:dyDescent="0.25">
      <c r="A43" s="2378"/>
      <c r="B43" s="3410"/>
      <c r="C43" s="3410"/>
      <c r="D43" s="3410"/>
      <c r="E43" s="3410"/>
      <c r="F43" s="3410"/>
      <c r="G43" s="3410"/>
      <c r="H43" s="3410"/>
      <c r="I43" s="3410"/>
      <c r="J43" s="2378"/>
      <c r="K43" s="2378"/>
    </row>
    <row r="44" spans="1:11" x14ac:dyDescent="0.25">
      <c r="A44" s="2378"/>
      <c r="B44" s="2378"/>
      <c r="C44" s="2378"/>
      <c r="D44" s="2378"/>
      <c r="E44" s="2378"/>
      <c r="F44" s="2378"/>
      <c r="G44" s="2378"/>
      <c r="H44" s="2378"/>
      <c r="I44" s="2378"/>
      <c r="J44" s="2378"/>
      <c r="K44" s="2378"/>
    </row>
    <row r="46" spans="1:11" ht="13" customHeight="1" x14ac:dyDescent="0.25">
      <c r="B46" s="3394" t="s">
        <v>5316</v>
      </c>
      <c r="C46" s="3395"/>
      <c r="D46" s="1151"/>
      <c r="E46" s="1151"/>
      <c r="F46" s="1151"/>
      <c r="G46" s="1151"/>
      <c r="H46" s="1151"/>
    </row>
    <row r="47" spans="1:11" x14ac:dyDescent="0.25">
      <c r="B47" s="1151" t="s">
        <v>4705</v>
      </c>
      <c r="C47" s="1151"/>
      <c r="D47" s="1151"/>
      <c r="E47" s="1151"/>
      <c r="F47" s="1151"/>
      <c r="G47" s="1151"/>
      <c r="H47" s="1151"/>
    </row>
  </sheetData>
  <mergeCells count="14">
    <mergeCell ref="B46:C46"/>
    <mergeCell ref="A1:K1"/>
    <mergeCell ref="B42:I43"/>
    <mergeCell ref="G18:J18"/>
    <mergeCell ref="B28:C28"/>
    <mergeCell ref="F21:H21"/>
    <mergeCell ref="F22:H22"/>
    <mergeCell ref="F20:H20"/>
    <mergeCell ref="H28:J28"/>
    <mergeCell ref="A2:K2"/>
    <mergeCell ref="F25:H25"/>
    <mergeCell ref="F26:G26"/>
    <mergeCell ref="F23:H23"/>
    <mergeCell ref="A3:K3"/>
  </mergeCells>
  <conditionalFormatting sqref="D30">
    <cfRule type="expression" dxfId="819" priority="12">
      <formula>$L$25</formula>
    </cfRule>
  </conditionalFormatting>
  <conditionalFormatting sqref="D32">
    <cfRule type="expression" dxfId="818" priority="11">
      <formula>$L$26</formula>
    </cfRule>
  </conditionalFormatting>
  <conditionalFormatting sqref="D34">
    <cfRule type="expression" dxfId="817" priority="10">
      <formula>$L$27</formula>
    </cfRule>
  </conditionalFormatting>
  <conditionalFormatting sqref="D36">
    <cfRule type="expression" dxfId="816" priority="9">
      <formula>$L$28</formula>
    </cfRule>
  </conditionalFormatting>
  <conditionalFormatting sqref="F20:H20">
    <cfRule type="expression" dxfId="815" priority="8">
      <formula>IF($F$20="",TRUE,FALSE)</formula>
    </cfRule>
  </conditionalFormatting>
  <conditionalFormatting sqref="F21:H21">
    <cfRule type="expression" dxfId="814" priority="6">
      <formula>IF(FIND("Solids",$F$21,1)&gt;0,TRUE,FALSE)</formula>
    </cfRule>
    <cfRule type="expression" dxfId="813" priority="7">
      <formula>IF(FIND("Fired",$F$21,1)&gt;0,TRUE,FALSE)</formula>
    </cfRule>
  </conditionalFormatting>
  <conditionalFormatting sqref="B42:I43">
    <cfRule type="expression" dxfId="812" priority="4">
      <formula>IF($B$42="Input Data Sufficient to Proceed with Analysis",TRUE,FALSE)</formula>
    </cfRule>
  </conditionalFormatting>
  <conditionalFormatting sqref="F21">
    <cfRule type="expression" dxfId="811" priority="5">
      <formula>IF($F$21="",TRUE,FALSE)</formula>
    </cfRule>
  </conditionalFormatting>
  <conditionalFormatting sqref="F22:H22">
    <cfRule type="expression" dxfId="810" priority="3">
      <formula>IF($F$22="",TRUE,FALSE)</formula>
    </cfRule>
  </conditionalFormatting>
  <conditionalFormatting sqref="C18">
    <cfRule type="expression" dxfId="809" priority="2">
      <formula>IF($C$18="",TRUE,FALSE)</formula>
    </cfRule>
  </conditionalFormatting>
  <conditionalFormatting sqref="G18:J18">
    <cfRule type="expression" dxfId="808" priority="1">
      <formula>IF($G$18="",TRUE,FALSE)</formula>
    </cfRule>
  </conditionalFormatting>
  <dataValidations count="3">
    <dataValidation type="list" allowBlank="1" showInputMessage="1" showErrorMessage="1" sqref="F22:H22" xr:uid="{00000000-0002-0000-0100-000000000000}">
      <formula1>Location_List</formula1>
    </dataValidation>
    <dataValidation type="list" allowBlank="1" showInputMessage="1" showErrorMessage="1" sqref="F21" xr:uid="{00000000-0002-0000-0100-000001000000}">
      <formula1>Equipment_Type</formula1>
    </dataValidation>
    <dataValidation type="textLength" operator="lessThan" allowBlank="1" showInputMessage="1" showErrorMessage="1" errorTitle="Input Error" error="Too many characters for Equipment ID. Maximum of 40 characters allowed.  Use Equipment Description field on Equipment Input sheet to describe details of equipment." sqref="F20:H20" xr:uid="{00000000-0002-0000-0100-000002000000}">
      <formula1>40</formula1>
    </dataValidation>
  </dataValidations>
  <pageMargins left="1" right="0.5" top="0.75" bottom="0.5" header="0.5" footer="0.25"/>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0818" r:id="rId4" name="Import_from_File">
              <controlPr defaultSize="0" print="0" autoFill="0" autoPict="0" macro="[0]!Import_RAST">
                <anchor moveWithCells="1" sizeWithCells="1">
                  <from>
                    <xdr:col>6</xdr:col>
                    <xdr:colOff>76200</xdr:colOff>
                    <xdr:row>4</xdr:row>
                    <xdr:rowOff>152400</xdr:rowOff>
                  </from>
                  <to>
                    <xdr:col>7</xdr:col>
                    <xdr:colOff>641350</xdr:colOff>
                    <xdr:row>6</xdr:row>
                    <xdr:rowOff>38100</xdr:rowOff>
                  </to>
                </anchor>
              </controlPr>
            </control>
          </mc:Choice>
        </mc:AlternateContent>
        <mc:AlternateContent xmlns:mc="http://schemas.openxmlformats.org/markup-compatibility/2006">
          <mc:Choice Requires="x14">
            <control shapeId="930820" r:id="rId5" name="Go_To_Equipment_Input">
              <controlPr defaultSize="0" print="0" autoFill="0" autoPict="0" macro="[0]!Go_To_Input_Data">
                <anchor moveWithCells="1" sizeWithCells="1">
                  <from>
                    <xdr:col>1</xdr:col>
                    <xdr:colOff>38100</xdr:colOff>
                    <xdr:row>31</xdr:row>
                    <xdr:rowOff>0</xdr:rowOff>
                  </from>
                  <to>
                    <xdr:col>2</xdr:col>
                    <xdr:colOff>647700</xdr:colOff>
                    <xdr:row>32</xdr:row>
                    <xdr:rowOff>0</xdr:rowOff>
                  </to>
                </anchor>
              </controlPr>
            </control>
          </mc:Choice>
        </mc:AlternateContent>
        <mc:AlternateContent xmlns:mc="http://schemas.openxmlformats.org/markup-compatibility/2006">
          <mc:Choice Requires="x14">
            <control shapeId="930821" r:id="rId6" name="Go_To_Chemical_Input">
              <controlPr defaultSize="0" print="0" autoFill="0" autoPict="0" macro="[0]!Go_To_Chemical_Data">
                <anchor moveWithCells="1" sizeWithCells="1">
                  <from>
                    <xdr:col>1</xdr:col>
                    <xdr:colOff>298450</xdr:colOff>
                    <xdr:row>29</xdr:row>
                    <xdr:rowOff>0</xdr:rowOff>
                  </from>
                  <to>
                    <xdr:col>2</xdr:col>
                    <xdr:colOff>647700</xdr:colOff>
                    <xdr:row>30</xdr:row>
                    <xdr:rowOff>12700</xdr:rowOff>
                  </to>
                </anchor>
              </controlPr>
            </control>
          </mc:Choice>
        </mc:AlternateContent>
        <mc:AlternateContent xmlns:mc="http://schemas.openxmlformats.org/markup-compatibility/2006">
          <mc:Choice Requires="x14">
            <control shapeId="930822" r:id="rId7" name="Go_To_Reaction_Input">
              <controlPr defaultSize="0" print="0" autoFill="0" autoPict="0" macro="[0]!Go_To_Reaction_Input">
                <anchor moveWithCells="1" sizeWithCells="1">
                  <from>
                    <xdr:col>0</xdr:col>
                    <xdr:colOff>508000</xdr:colOff>
                    <xdr:row>36</xdr:row>
                    <xdr:rowOff>152400</xdr:rowOff>
                  </from>
                  <to>
                    <xdr:col>2</xdr:col>
                    <xdr:colOff>647700</xdr:colOff>
                    <xdr:row>38</xdr:row>
                    <xdr:rowOff>0</xdr:rowOff>
                  </to>
                </anchor>
              </controlPr>
            </control>
          </mc:Choice>
        </mc:AlternateContent>
        <mc:AlternateContent xmlns:mc="http://schemas.openxmlformats.org/markup-compatibility/2006">
          <mc:Choice Requires="x14">
            <control shapeId="930826" r:id="rId8" name="F&amp;EI / CEI">
              <controlPr defaultSize="0" print="0" autoFill="0" autoPict="0" macro="[0]!Go_To_FE">
                <anchor moveWithCells="1" sizeWithCells="1">
                  <from>
                    <xdr:col>7</xdr:col>
                    <xdr:colOff>469900</xdr:colOff>
                    <xdr:row>28</xdr:row>
                    <xdr:rowOff>146050</xdr:rowOff>
                  </from>
                  <to>
                    <xdr:col>9</xdr:col>
                    <xdr:colOff>228600</xdr:colOff>
                    <xdr:row>30</xdr:row>
                    <xdr:rowOff>152400</xdr:rowOff>
                  </to>
                </anchor>
              </controlPr>
            </control>
          </mc:Choice>
        </mc:AlternateContent>
        <mc:AlternateContent xmlns:mc="http://schemas.openxmlformats.org/markup-compatibility/2006">
          <mc:Choice Requires="x14">
            <control shapeId="930828" r:id="rId9" name="English_Units">
              <controlPr defaultSize="0" print="0" autoFill="0" autoPict="0" macro="[0]!Input_Data_Units_English">
                <anchor moveWithCells="1" sizeWithCells="1">
                  <from>
                    <xdr:col>1</xdr:col>
                    <xdr:colOff>723900</xdr:colOff>
                    <xdr:row>15</xdr:row>
                    <xdr:rowOff>12700</xdr:rowOff>
                  </from>
                  <to>
                    <xdr:col>2</xdr:col>
                    <xdr:colOff>679450</xdr:colOff>
                    <xdr:row>16</xdr:row>
                    <xdr:rowOff>38100</xdr:rowOff>
                  </to>
                </anchor>
              </controlPr>
            </control>
          </mc:Choice>
        </mc:AlternateContent>
        <mc:AlternateContent xmlns:mc="http://schemas.openxmlformats.org/markup-compatibility/2006">
          <mc:Choice Requires="x14">
            <control shapeId="930829" r:id="rId10" name="SI_Units">
              <controlPr defaultSize="0" print="0" autoFill="0" autoPict="0" macro="[0]!Input_Data_Units_SI">
                <anchor moveWithCells="1" sizeWithCells="1">
                  <from>
                    <xdr:col>2</xdr:col>
                    <xdr:colOff>717550</xdr:colOff>
                    <xdr:row>15</xdr:row>
                    <xdr:rowOff>0</xdr:rowOff>
                  </from>
                  <to>
                    <xdr:col>5</xdr:col>
                    <xdr:colOff>69850</xdr:colOff>
                    <xdr:row>16</xdr:row>
                    <xdr:rowOff>38100</xdr:rowOff>
                  </to>
                </anchor>
              </controlPr>
            </control>
          </mc:Choice>
        </mc:AlternateContent>
        <mc:AlternateContent xmlns:mc="http://schemas.openxmlformats.org/markup-compatibility/2006">
          <mc:Choice Requires="x14">
            <control shapeId="930830" r:id="rId11" name="Relief_Effluent_Screening">
              <controlPr defaultSize="0" print="0" autoFill="0" autoPict="0" macro="[0]!Go_To_Relief_Effluent">
                <anchor moveWithCells="1" sizeWithCells="1">
                  <from>
                    <xdr:col>7</xdr:col>
                    <xdr:colOff>469900</xdr:colOff>
                    <xdr:row>36</xdr:row>
                    <xdr:rowOff>38100</xdr:rowOff>
                  </from>
                  <to>
                    <xdr:col>9</xdr:col>
                    <xdr:colOff>228600</xdr:colOff>
                    <xdr:row>37</xdr:row>
                    <xdr:rowOff>76200</xdr:rowOff>
                  </to>
                </anchor>
              </controlPr>
            </control>
          </mc:Choice>
        </mc:AlternateContent>
        <mc:AlternateContent xmlns:mc="http://schemas.openxmlformats.org/markup-compatibility/2006">
          <mc:Choice Requires="x14">
            <control shapeId="930833" r:id="rId12" name="Scenario_Identification">
              <controlPr defaultSize="0" print="0" autoFill="0" autoPict="0" macro="[0]!Go_To_Scenario_List">
                <anchor moveWithCells="1" sizeWithCells="1">
                  <from>
                    <xdr:col>7</xdr:col>
                    <xdr:colOff>469900</xdr:colOff>
                    <xdr:row>33</xdr:row>
                    <xdr:rowOff>152400</xdr:rowOff>
                  </from>
                  <to>
                    <xdr:col>9</xdr:col>
                    <xdr:colOff>107950</xdr:colOff>
                    <xdr:row>35</xdr:row>
                    <xdr:rowOff>12700</xdr:rowOff>
                  </to>
                </anchor>
              </controlPr>
            </control>
          </mc:Choice>
        </mc:AlternateContent>
        <mc:AlternateContent xmlns:mc="http://schemas.openxmlformats.org/markup-compatibility/2006">
          <mc:Choice Requires="x14">
            <control shapeId="930832" r:id="rId13" name="Check_Inputs">
              <controlPr defaultSize="0" print="0" autoFill="0" autoPict="0" macro="[0]!Go_To_Input_Error_Check">
                <anchor moveWithCells="1" sizeWithCells="1">
                  <from>
                    <xdr:col>5</xdr:col>
                    <xdr:colOff>317500</xdr:colOff>
                    <xdr:row>29</xdr:row>
                    <xdr:rowOff>0</xdr:rowOff>
                  </from>
                  <to>
                    <xdr:col>7</xdr:col>
                    <xdr:colOff>69850</xdr:colOff>
                    <xdr:row>30</xdr:row>
                    <xdr:rowOff>152400</xdr:rowOff>
                  </to>
                </anchor>
              </controlPr>
            </control>
          </mc:Choice>
        </mc:AlternateContent>
        <mc:AlternateContent xmlns:mc="http://schemas.openxmlformats.org/markup-compatibility/2006">
          <mc:Choice Requires="x14">
            <control shapeId="930836" r:id="rId14" name="Save to Equipment Table">
              <controlPr defaultSize="0" print="0" autoFill="0" autoPict="0" macro="[0]!Save_Equipment">
                <anchor moveWithCells="1" sizeWithCells="1">
                  <from>
                    <xdr:col>5</xdr:col>
                    <xdr:colOff>228600</xdr:colOff>
                    <xdr:row>31</xdr:row>
                    <xdr:rowOff>127000</xdr:rowOff>
                  </from>
                  <to>
                    <xdr:col>7</xdr:col>
                    <xdr:colOff>114300</xdr:colOff>
                    <xdr:row>34</xdr:row>
                    <xdr:rowOff>69850</xdr:rowOff>
                  </to>
                </anchor>
              </controlPr>
            </control>
          </mc:Choice>
        </mc:AlternateContent>
        <mc:AlternateContent xmlns:mc="http://schemas.openxmlformats.org/markup-compatibility/2006">
          <mc:Choice Requires="x14">
            <control shapeId="930837" r:id="rId15" name="Go To Equipment Table">
              <controlPr defaultSize="0" print="0" autoFill="0" autoPict="0" macro="[0]!Go_To_Equipment_Table">
                <anchor moveWithCells="1" sizeWithCells="1">
                  <from>
                    <xdr:col>6</xdr:col>
                    <xdr:colOff>76200</xdr:colOff>
                    <xdr:row>9</xdr:row>
                    <xdr:rowOff>0</xdr:rowOff>
                  </from>
                  <to>
                    <xdr:col>8</xdr:col>
                    <xdr:colOff>266700</xdr:colOff>
                    <xdr:row>10</xdr:row>
                    <xdr:rowOff>38100</xdr:rowOff>
                  </to>
                </anchor>
              </controlPr>
            </control>
          </mc:Choice>
        </mc:AlternateContent>
        <mc:AlternateContent xmlns:mc="http://schemas.openxmlformats.org/markup-compatibility/2006">
          <mc:Choice Requires="x14">
            <control shapeId="930850" r:id="rId16" name="Process Conditions">
              <controlPr defaultSize="0" print="0" autoFill="0" autoPict="0" macro="[0]!Go_To_Process_Conditions">
                <anchor moveWithCells="1" sizeWithCells="1">
                  <from>
                    <xdr:col>1</xdr:col>
                    <xdr:colOff>165100</xdr:colOff>
                    <xdr:row>33</xdr:row>
                    <xdr:rowOff>0</xdr:rowOff>
                  </from>
                  <to>
                    <xdr:col>2</xdr:col>
                    <xdr:colOff>647700</xdr:colOff>
                    <xdr:row>34</xdr:row>
                    <xdr:rowOff>0</xdr:rowOff>
                  </to>
                </anchor>
              </controlPr>
            </control>
          </mc:Choice>
        </mc:AlternateContent>
        <mc:AlternateContent xmlns:mc="http://schemas.openxmlformats.org/markup-compatibility/2006">
          <mc:Choice Requires="x14">
            <control shapeId="930851" r:id="rId17" name="Plant Layout">
              <controlPr defaultSize="0" print="0" autoFill="0" autoPict="0" macro="[0]!Go_To_Plant_Layout">
                <anchor moveWithCells="1" sizeWithCells="1">
                  <from>
                    <xdr:col>1</xdr:col>
                    <xdr:colOff>304800</xdr:colOff>
                    <xdr:row>35</xdr:row>
                    <xdr:rowOff>0</xdr:rowOff>
                  </from>
                  <to>
                    <xdr:col>2</xdr:col>
                    <xdr:colOff>647700</xdr:colOff>
                    <xdr:row>36</xdr:row>
                    <xdr:rowOff>31750</xdr:rowOff>
                  </to>
                </anchor>
              </controlPr>
            </control>
          </mc:Choice>
        </mc:AlternateContent>
        <mc:AlternateContent xmlns:mc="http://schemas.openxmlformats.org/markup-compatibility/2006">
          <mc:Choice Requires="x14">
            <control shapeId="930853" r:id="rId18" name="Hazards &amp; Consequences">
              <controlPr defaultSize="0" print="0" autoFill="0" autoPict="0" macro="[0]!Go_To_Hazards">
                <anchor moveWithCells="1" sizeWithCells="1">
                  <from>
                    <xdr:col>7</xdr:col>
                    <xdr:colOff>457200</xdr:colOff>
                    <xdr:row>31</xdr:row>
                    <xdr:rowOff>127000</xdr:rowOff>
                  </from>
                  <to>
                    <xdr:col>9</xdr:col>
                    <xdr:colOff>304800</xdr:colOff>
                    <xdr:row>33</xdr:row>
                    <xdr:rowOff>0</xdr:rowOff>
                  </to>
                </anchor>
              </controlPr>
            </control>
          </mc:Choice>
        </mc:AlternateContent>
        <mc:AlternateContent xmlns:mc="http://schemas.openxmlformats.org/markup-compatibility/2006">
          <mc:Choice Requires="x14">
            <control shapeId="930855" r:id="rId19" name="Layers of Protection Analysis">
              <controlPr defaultSize="0" print="0" autoFill="0" autoPict="0" macro="[0]!Go_To_LOPA_Menu">
                <anchor moveWithCells="1" sizeWithCells="1">
                  <from>
                    <xdr:col>5</xdr:col>
                    <xdr:colOff>342900</xdr:colOff>
                    <xdr:row>38</xdr:row>
                    <xdr:rowOff>76200</xdr:rowOff>
                  </from>
                  <to>
                    <xdr:col>7</xdr:col>
                    <xdr:colOff>76200</xdr:colOff>
                    <xdr:row>39</xdr:row>
                    <xdr:rowOff>152400</xdr:rowOff>
                  </to>
                </anchor>
              </controlPr>
            </control>
          </mc:Choice>
        </mc:AlternateContent>
        <mc:AlternateContent xmlns:mc="http://schemas.openxmlformats.org/markup-compatibility/2006">
          <mc:Choice Requires="x14">
            <control shapeId="930857" r:id="rId20" name="Button 41">
              <controlPr defaultSize="0" print="0" autoFill="0" autoPict="0" macro="[0]!Clear_Input_Data">
                <anchor moveWithCells="1" sizeWithCells="1">
                  <from>
                    <xdr:col>8</xdr:col>
                    <xdr:colOff>609600</xdr:colOff>
                    <xdr:row>0</xdr:row>
                    <xdr:rowOff>152400</xdr:rowOff>
                  </from>
                  <to>
                    <xdr:col>10</xdr:col>
                    <xdr:colOff>31750</xdr:colOff>
                    <xdr:row>0</xdr:row>
                    <xdr:rowOff>342900</xdr:rowOff>
                  </to>
                </anchor>
              </controlPr>
            </control>
          </mc:Choice>
        </mc:AlternateContent>
        <mc:AlternateContent xmlns:mc="http://schemas.openxmlformats.org/markup-compatibility/2006">
          <mc:Choice Requires="x14">
            <control shapeId="930858" r:id="rId21" name="Calculate">
              <controlPr defaultSize="0" print="0" autoFill="0" autoPict="0" macro="[0]!Calculate_Scenarios">
                <anchor moveWithCells="1" sizeWithCells="1">
                  <from>
                    <xdr:col>5</xdr:col>
                    <xdr:colOff>152400</xdr:colOff>
                    <xdr:row>35</xdr:row>
                    <xdr:rowOff>69850</xdr:rowOff>
                  </from>
                  <to>
                    <xdr:col>7</xdr:col>
                    <xdr:colOff>298450</xdr:colOff>
                    <xdr:row>37</xdr:row>
                    <xdr:rowOff>114300</xdr:rowOff>
                  </to>
                </anchor>
              </controlPr>
            </control>
          </mc:Choice>
        </mc:AlternateContent>
        <mc:AlternateContent xmlns:mc="http://schemas.openxmlformats.org/markup-compatibility/2006">
          <mc:Choice Requires="x14">
            <control shapeId="930859" r:id="rId22" name="Button 43">
              <controlPr defaultSize="0" print="0" autoFill="0" autoPict="0" macro="[0]!Go_To_Input_Guidance">
                <anchor moveWithCells="1" sizeWithCells="1">
                  <from>
                    <xdr:col>1</xdr:col>
                    <xdr:colOff>31750</xdr:colOff>
                    <xdr:row>38</xdr:row>
                    <xdr:rowOff>152400</xdr:rowOff>
                  </from>
                  <to>
                    <xdr:col>2</xdr:col>
                    <xdr:colOff>660400</xdr:colOff>
                    <xdr:row>40</xdr:row>
                    <xdr:rowOff>0</xdr:rowOff>
                  </to>
                </anchor>
              </controlPr>
            </control>
          </mc:Choice>
        </mc:AlternateContent>
        <mc:AlternateContent xmlns:mc="http://schemas.openxmlformats.org/markup-compatibility/2006">
          <mc:Choice Requires="x14">
            <control shapeId="930861" r:id="rId23" name="Clear_All">
              <controlPr defaultSize="0" print="0" autoFill="0" autoPict="0" macro="[0]!Clear_All">
                <anchor moveWithCells="1" sizeWithCells="1">
                  <from>
                    <xdr:col>0</xdr:col>
                    <xdr:colOff>184150</xdr:colOff>
                    <xdr:row>0</xdr:row>
                    <xdr:rowOff>146050</xdr:rowOff>
                  </from>
                  <to>
                    <xdr:col>1</xdr:col>
                    <xdr:colOff>584200</xdr:colOff>
                    <xdr:row>1</xdr:row>
                    <xdr:rowOff>114300</xdr:rowOff>
                  </to>
                </anchor>
              </controlPr>
            </control>
          </mc:Choice>
        </mc:AlternateContent>
        <mc:AlternateContent xmlns:mc="http://schemas.openxmlformats.org/markup-compatibility/2006">
          <mc:Choice Requires="x14">
            <control shapeId="930863" r:id="rId24" name="Pool Fire">
              <controlPr defaultSize="0" print="0" autoFill="0" autoPict="0" macro="[0]!Go_To_Pool_Fire">
                <anchor moveWithCells="1" sizeWithCells="1">
                  <from>
                    <xdr:col>7</xdr:col>
                    <xdr:colOff>457200</xdr:colOff>
                    <xdr:row>38</xdr:row>
                    <xdr:rowOff>76200</xdr:rowOff>
                  </from>
                  <to>
                    <xdr:col>9</xdr:col>
                    <xdr:colOff>12700</xdr:colOff>
                    <xdr:row>39</xdr:row>
                    <xdr:rowOff>107950</xdr:rowOff>
                  </to>
                </anchor>
              </controlPr>
            </control>
          </mc:Choice>
        </mc:AlternateContent>
        <mc:AlternateContent xmlns:mc="http://schemas.openxmlformats.org/markup-compatibility/2006">
          <mc:Choice Requires="x14">
            <control shapeId="930865" r:id="rId25" name="Button 49">
              <controlPr defaultSize="0" print="0" autoFill="0" autoPict="0" macro="[0]!Merge_Data">
                <anchor moveWithCells="1" sizeWithCells="1">
                  <from>
                    <xdr:col>6</xdr:col>
                    <xdr:colOff>76200</xdr:colOff>
                    <xdr:row>7</xdr:row>
                    <xdr:rowOff>12700</xdr:rowOff>
                  </from>
                  <to>
                    <xdr:col>8</xdr:col>
                    <xdr:colOff>165100</xdr:colOff>
                    <xdr:row>8</xdr:row>
                    <xdr:rowOff>38100</xdr:rowOff>
                  </to>
                </anchor>
              </controlPr>
            </control>
          </mc:Choice>
        </mc:AlternateContent>
        <mc:AlternateContent xmlns:mc="http://schemas.openxmlformats.org/markup-compatibility/2006">
          <mc:Choice Requires="x14">
            <control shapeId="930866" r:id="rId26" name="Button 50">
              <controlPr defaultSize="0" print="0" autoFill="0" autoPict="0" macro="[0]!Goto_Workbook_Notes">
                <anchor moveWithCells="1" sizeWithCells="1">
                  <from>
                    <xdr:col>6</xdr:col>
                    <xdr:colOff>76200</xdr:colOff>
                    <xdr:row>13</xdr:row>
                    <xdr:rowOff>12700</xdr:rowOff>
                  </from>
                  <to>
                    <xdr:col>8</xdr:col>
                    <xdr:colOff>266700</xdr:colOff>
                    <xdr:row>14</xdr:row>
                    <xdr:rowOff>50800</xdr:rowOff>
                  </to>
                </anchor>
              </controlPr>
            </control>
          </mc:Choice>
        </mc:AlternateContent>
        <mc:AlternateContent xmlns:mc="http://schemas.openxmlformats.org/markup-compatibility/2006">
          <mc:Choice Requires="x14">
            <control shapeId="930867" r:id="rId27" name="Button 51">
              <controlPr defaultSize="0" print="0" autoFill="0" autoPict="0" macro="[0]!Goto_Revision_Log">
                <anchor moveWithCells="1" sizeWithCells="1">
                  <from>
                    <xdr:col>4</xdr:col>
                    <xdr:colOff>38100</xdr:colOff>
                    <xdr:row>3</xdr:row>
                    <xdr:rowOff>0</xdr:rowOff>
                  </from>
                  <to>
                    <xdr:col>6</xdr:col>
                    <xdr:colOff>450850</xdr:colOff>
                    <xdr:row>4</xdr:row>
                    <xdr:rowOff>50800</xdr:rowOff>
                  </to>
                </anchor>
              </controlPr>
            </control>
          </mc:Choice>
        </mc:AlternateContent>
        <mc:AlternateContent xmlns:mc="http://schemas.openxmlformats.org/markup-compatibility/2006">
          <mc:Choice Requires="x14">
            <control shapeId="930868" r:id="rId28" name="Scenario Results">
              <controlPr defaultSize="0" print="0" autoFill="0" autoPict="0" macro="[0]!Go_To_Scenario_Results">
                <anchor moveWithCells="1" sizeWithCells="1">
                  <from>
                    <xdr:col>6</xdr:col>
                    <xdr:colOff>76200</xdr:colOff>
                    <xdr:row>11</xdr:row>
                    <xdr:rowOff>0</xdr:rowOff>
                  </from>
                  <to>
                    <xdr:col>8</xdr:col>
                    <xdr:colOff>304800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0">
    <tabColor rgb="FF00B050"/>
    <pageSetUpPr autoPageBreaks="0"/>
  </sheetPr>
  <dimension ref="A1:V111"/>
  <sheetViews>
    <sheetView showGridLines="0" showRowColHeaders="0" topLeftCell="A3" zoomScale="80" zoomScaleNormal="80" workbookViewId="0">
      <selection activeCell="D54" sqref="D54:G54"/>
    </sheetView>
  </sheetViews>
  <sheetFormatPr defaultColWidth="9.1796875" defaultRowHeight="13" x14ac:dyDescent="0.3"/>
  <cols>
    <col min="1" max="1" width="5.81640625" style="750" customWidth="1"/>
    <col min="2" max="2" width="30.81640625" style="750" customWidth="1"/>
    <col min="3" max="4" width="10.54296875" style="750" customWidth="1"/>
    <col min="5" max="5" width="3.453125" style="750" customWidth="1"/>
    <col min="6" max="6" width="28.81640625" style="750" customWidth="1"/>
    <col min="7" max="7" width="10.54296875" style="750" customWidth="1"/>
    <col min="8" max="8" width="12.54296875" style="750" customWidth="1"/>
    <col min="9" max="9" width="3" style="750" customWidth="1"/>
    <col min="10" max="10" width="3.1796875" style="750" customWidth="1"/>
    <col min="11" max="11" width="13.1796875" style="750" customWidth="1"/>
    <col min="12" max="12" width="55.54296875" style="750" customWidth="1"/>
    <col min="13" max="13" width="50.54296875" style="750" customWidth="1"/>
    <col min="14" max="14" width="20.54296875" style="750" customWidth="1"/>
    <col min="15" max="15" width="3.54296875" style="750" customWidth="1"/>
    <col min="16" max="21" width="8.54296875" style="750" customWidth="1"/>
    <col min="22" max="22" width="5.54296875" style="750" customWidth="1"/>
    <col min="23" max="16384" width="9.1796875" style="750"/>
  </cols>
  <sheetData>
    <row r="1" spans="1:22" ht="15" customHeight="1" thickBot="1" x14ac:dyDescent="0.35">
      <c r="A1" s="553"/>
      <c r="B1" s="553"/>
      <c r="C1" s="553"/>
      <c r="D1" s="553"/>
      <c r="E1" s="553"/>
      <c r="F1" s="553"/>
      <c r="G1" s="553"/>
      <c r="H1" s="553"/>
      <c r="J1" s="553"/>
      <c r="K1" s="553"/>
      <c r="L1" s="553"/>
      <c r="M1" s="553"/>
      <c r="N1" s="553"/>
      <c r="O1" s="553"/>
      <c r="P1" s="553"/>
      <c r="Q1" s="553"/>
      <c r="R1" s="553"/>
      <c r="S1" s="553"/>
      <c r="T1" s="553"/>
      <c r="U1" s="553"/>
      <c r="V1" s="553"/>
    </row>
    <row r="2" spans="1:22" ht="25" customHeight="1" x14ac:dyDescent="0.3">
      <c r="A2" s="3442" t="s">
        <v>428</v>
      </c>
      <c r="B2" s="3442"/>
      <c r="C2" s="3442"/>
      <c r="D2" s="3442"/>
      <c r="E2" s="3442"/>
      <c r="F2" s="3442"/>
      <c r="G2" s="3442"/>
      <c r="H2" s="3442"/>
      <c r="I2" s="2618"/>
      <c r="J2" s="553"/>
      <c r="K2" s="3427" t="s">
        <v>4947</v>
      </c>
      <c r="L2" s="3428"/>
      <c r="M2" s="3428"/>
      <c r="N2" s="3428"/>
      <c r="O2" s="3428"/>
      <c r="P2" s="3428"/>
      <c r="Q2" s="3428"/>
      <c r="R2" s="3428"/>
      <c r="S2" s="3428"/>
      <c r="T2" s="3428"/>
      <c r="U2" s="3429"/>
      <c r="V2" s="553"/>
    </row>
    <row r="3" spans="1:22" ht="20.149999999999999" customHeight="1" thickBot="1" x14ac:dyDescent="0.35">
      <c r="A3" s="3441" t="str">
        <f>"Risk Analysis Screening Tools (v."&amp;Version&amp;")"</f>
        <v>Risk Analysis Screening Tools (v.4.5)</v>
      </c>
      <c r="B3" s="3441"/>
      <c r="C3" s="3441"/>
      <c r="D3" s="3441"/>
      <c r="E3" s="3441"/>
      <c r="F3" s="3441"/>
      <c r="G3" s="3441"/>
      <c r="H3" s="3441"/>
      <c r="I3" s="2619"/>
      <c r="J3" s="553"/>
      <c r="K3" s="3430"/>
      <c r="L3" s="3431"/>
      <c r="M3" s="3431"/>
      <c r="N3" s="3431"/>
      <c r="O3" s="3431"/>
      <c r="P3" s="3431"/>
      <c r="Q3" s="3431"/>
      <c r="R3" s="3431"/>
      <c r="S3" s="3431"/>
      <c r="T3" s="3431"/>
      <c r="U3" s="3432"/>
      <c r="V3" s="553"/>
    </row>
    <row r="4" spans="1:22" ht="16" customHeight="1" thickBot="1" x14ac:dyDescent="0.35">
      <c r="A4" s="553"/>
      <c r="B4" s="553"/>
      <c r="C4" s="553"/>
      <c r="D4" s="553"/>
      <c r="E4" s="553"/>
      <c r="F4" s="553"/>
      <c r="G4" s="553"/>
      <c r="H4" s="553"/>
      <c r="J4" s="553"/>
      <c r="K4" s="553"/>
      <c r="L4" s="553"/>
      <c r="M4" s="553"/>
      <c r="N4" s="553"/>
      <c r="O4" s="553"/>
      <c r="P4" s="2630">
        <v>2</v>
      </c>
      <c r="Q4" s="2630">
        <v>3</v>
      </c>
      <c r="R4" s="2630">
        <v>4</v>
      </c>
      <c r="S4" s="2630">
        <v>5</v>
      </c>
      <c r="T4" s="2630">
        <v>6</v>
      </c>
      <c r="U4" s="2630">
        <v>7</v>
      </c>
      <c r="V4" s="553"/>
    </row>
    <row r="5" spans="1:22" ht="16" customHeight="1" x14ac:dyDescent="0.3">
      <c r="A5" s="553"/>
      <c r="B5" s="555" t="s">
        <v>3119</v>
      </c>
      <c r="C5" s="3443"/>
      <c r="D5" s="3444"/>
      <c r="E5" s="3444"/>
      <c r="F5" s="3444"/>
      <c r="G5" s="553"/>
      <c r="H5" s="553"/>
      <c r="J5" s="553"/>
      <c r="K5" s="3476" t="s">
        <v>4948</v>
      </c>
      <c r="L5" s="3476"/>
      <c r="M5" s="3476"/>
      <c r="N5" s="3476"/>
      <c r="O5" s="3476"/>
      <c r="P5" s="3476"/>
      <c r="Q5" s="3476"/>
      <c r="R5" s="3476"/>
      <c r="S5" s="3476"/>
      <c r="T5" s="3476"/>
      <c r="U5" s="3476"/>
      <c r="V5" s="553"/>
    </row>
    <row r="6" spans="1:22" ht="16" customHeight="1" x14ac:dyDescent="0.3">
      <c r="A6" s="553"/>
      <c r="B6" s="555" t="s">
        <v>3016</v>
      </c>
      <c r="C6" s="3445"/>
      <c r="D6" s="3444"/>
      <c r="E6" s="3444"/>
      <c r="F6" s="3444"/>
      <c r="G6" s="553"/>
      <c r="H6" s="553"/>
      <c r="J6" s="553"/>
      <c r="K6" s="3477"/>
      <c r="L6" s="3477"/>
      <c r="M6" s="3477"/>
      <c r="N6" s="3477"/>
      <c r="O6" s="3477"/>
      <c r="P6" s="3477"/>
      <c r="Q6" s="3477"/>
      <c r="R6" s="3477"/>
      <c r="S6" s="3477"/>
      <c r="T6" s="3477"/>
      <c r="U6" s="3477"/>
      <c r="V6" s="553"/>
    </row>
    <row r="7" spans="1:22" ht="16" customHeight="1" x14ac:dyDescent="0.3">
      <c r="A7" s="553"/>
      <c r="B7" s="3455" t="s">
        <v>3114</v>
      </c>
      <c r="C7" s="3455"/>
      <c r="D7" s="3455"/>
      <c r="E7" s="3455"/>
      <c r="F7" s="3455"/>
      <c r="G7" s="3455"/>
      <c r="H7" s="553"/>
      <c r="J7" s="553"/>
      <c r="K7" s="3458" t="s">
        <v>4766</v>
      </c>
      <c r="L7" s="3459"/>
      <c r="M7" s="3459"/>
      <c r="N7" s="3460"/>
      <c r="O7" s="2626"/>
      <c r="P7" s="3461" t="s">
        <v>4767</v>
      </c>
      <c r="Q7" s="3461"/>
      <c r="R7" s="3461"/>
      <c r="S7" s="3461"/>
      <c r="T7" s="3461"/>
      <c r="U7" s="3461"/>
      <c r="V7" s="553"/>
    </row>
    <row r="8" spans="1:22" ht="16" customHeight="1" x14ac:dyDescent="0.3">
      <c r="A8" s="553"/>
      <c r="B8" s="3446"/>
      <c r="C8" s="3447"/>
      <c r="D8" s="3447"/>
      <c r="E8" s="3447"/>
      <c r="F8" s="3447"/>
      <c r="G8" s="3448"/>
      <c r="H8" s="553"/>
      <c r="J8" s="553"/>
      <c r="K8" s="2616" t="s">
        <v>38</v>
      </c>
      <c r="L8" s="2616" t="s">
        <v>4071</v>
      </c>
      <c r="M8" s="2629" t="s">
        <v>4763</v>
      </c>
      <c r="N8" s="2616" t="s">
        <v>4072</v>
      </c>
      <c r="O8" s="553"/>
      <c r="P8" s="2617" t="s">
        <v>4771</v>
      </c>
      <c r="Q8" s="2617" t="s">
        <v>4772</v>
      </c>
      <c r="R8" s="2617" t="s">
        <v>4773</v>
      </c>
      <c r="S8" s="2617" t="s">
        <v>4774</v>
      </c>
      <c r="T8" s="2617" t="s">
        <v>4775</v>
      </c>
      <c r="U8" s="2617" t="s">
        <v>4888</v>
      </c>
      <c r="V8" s="553"/>
    </row>
    <row r="9" spans="1:22" ht="16" customHeight="1" x14ac:dyDescent="0.3">
      <c r="A9" s="553"/>
      <c r="B9" s="3449"/>
      <c r="C9" s="3450"/>
      <c r="D9" s="3450"/>
      <c r="E9" s="3450"/>
      <c r="F9" s="3450"/>
      <c r="G9" s="3451"/>
      <c r="H9" s="553"/>
      <c r="J9" s="553"/>
      <c r="K9" s="3462" t="str">
        <f>'Study Parameters'!I113</f>
        <v>Moderate Severity</v>
      </c>
      <c r="L9" s="3463" t="str">
        <f>'Study Parameters'!J113</f>
        <v>Minor Injury On-site
(or &lt; 0.01 Person Severely Impacted On-site)
Potential for Adverse Local Publicity</v>
      </c>
      <c r="M9" s="2869" t="str">
        <f>'Study Parameters'!N113</f>
        <v>Reportable Incident to Environmental Agency  OR</v>
      </c>
      <c r="N9" s="3464" t="str">
        <f>'Study Parameters'!Q113</f>
        <v>Property Damage and Business Loss &lt; $50M</v>
      </c>
      <c r="O9" s="3465">
        <f>'Study Parameters'!Z113</f>
        <v>2</v>
      </c>
      <c r="P9" s="3437" t="str">
        <f t="shared" ref="P9:U9" si="0">IF($K9="","",IF($O9&gt;P$4,"Red",IF($O9=P$4,"Orange",IF($O9+N_OffSite=P$4,"Yellow","Green"))))</f>
        <v>Orange</v>
      </c>
      <c r="Q9" s="3437" t="str">
        <f t="shared" si="0"/>
        <v>Yellow</v>
      </c>
      <c r="R9" s="3437" t="str">
        <f t="shared" si="0"/>
        <v>Green</v>
      </c>
      <c r="S9" s="3437" t="str">
        <f t="shared" si="0"/>
        <v>Green</v>
      </c>
      <c r="T9" s="3437" t="str">
        <f t="shared" si="0"/>
        <v>Green</v>
      </c>
      <c r="U9" s="3437" t="str">
        <f t="shared" si="0"/>
        <v>Green</v>
      </c>
      <c r="V9" s="3433" t="s">
        <v>4777</v>
      </c>
    </row>
    <row r="10" spans="1:22" ht="16" customHeight="1" x14ac:dyDescent="0.3">
      <c r="A10" s="553"/>
      <c r="B10" s="3449"/>
      <c r="C10" s="3450"/>
      <c r="D10" s="3450"/>
      <c r="E10" s="3450"/>
      <c r="F10" s="3450"/>
      <c r="G10" s="3451"/>
      <c r="H10" s="553"/>
      <c r="J10" s="553"/>
      <c r="K10" s="3462"/>
      <c r="L10" s="3463"/>
      <c r="M10" s="2870" t="str">
        <f>'Study Parameters'!N114</f>
        <v>&lt; 10 kg  Very Toxic to Waterway  OR &lt; 100 kg NFPA-H4 to Soil</v>
      </c>
      <c r="N10" s="3464"/>
      <c r="O10" s="3466"/>
      <c r="P10" s="3438"/>
      <c r="Q10" s="3438"/>
      <c r="R10" s="3438"/>
      <c r="S10" s="3438"/>
      <c r="T10" s="3438"/>
      <c r="U10" s="3438"/>
      <c r="V10" s="3434"/>
    </row>
    <row r="11" spans="1:22" ht="16" customHeight="1" x14ac:dyDescent="0.3">
      <c r="A11" s="553"/>
      <c r="B11" s="3449"/>
      <c r="C11" s="3450"/>
      <c r="D11" s="3450"/>
      <c r="E11" s="3450"/>
      <c r="F11" s="3450"/>
      <c r="G11" s="3451"/>
      <c r="H11" s="553"/>
      <c r="J11" s="553"/>
      <c r="K11" s="3462"/>
      <c r="L11" s="3463"/>
      <c r="M11" s="2870" t="str">
        <f>'Study Parameters'!N115</f>
        <v>&lt; 100 kg  Toxic to Waterway  OR &lt; 1000 kg NFPA-H3 to Soil</v>
      </c>
      <c r="N11" s="3464"/>
      <c r="O11" s="3466"/>
      <c r="P11" s="3438"/>
      <c r="Q11" s="3438"/>
      <c r="R11" s="3438"/>
      <c r="S11" s="3438"/>
      <c r="T11" s="3438"/>
      <c r="U11" s="3438"/>
      <c r="V11" s="3434"/>
    </row>
    <row r="12" spans="1:22" ht="16" customHeight="1" x14ac:dyDescent="0.3">
      <c r="A12" s="553"/>
      <c r="B12" s="3452"/>
      <c r="C12" s="3453"/>
      <c r="D12" s="3453"/>
      <c r="E12" s="3453"/>
      <c r="F12" s="3453"/>
      <c r="G12" s="3454"/>
      <c r="H12" s="553"/>
      <c r="J12" s="553"/>
      <c r="K12" s="3462"/>
      <c r="L12" s="3463"/>
      <c r="M12" s="2870" t="str">
        <f>'Study Parameters'!N116</f>
        <v>&lt; 1000 kg  Harmful to Waterway  OR &lt; 10000 kg NFPA-H2 to Soil</v>
      </c>
      <c r="N12" s="3464"/>
      <c r="O12" s="3466"/>
      <c r="P12" s="3439"/>
      <c r="Q12" s="3439"/>
      <c r="R12" s="3439"/>
      <c r="S12" s="3439"/>
      <c r="T12" s="3439"/>
      <c r="U12" s="3439"/>
      <c r="V12" s="3434"/>
    </row>
    <row r="13" spans="1:22" ht="16" customHeight="1" x14ac:dyDescent="0.3">
      <c r="A13" s="553"/>
      <c r="B13" s="553"/>
      <c r="C13" s="553"/>
      <c r="D13" s="553"/>
      <c r="E13" s="553"/>
      <c r="F13" s="553"/>
      <c r="G13" s="553"/>
      <c r="H13" s="553"/>
      <c r="J13" s="553"/>
      <c r="K13" s="3462" t="str">
        <f>'Study Parameters'!I117</f>
        <v>High Severity</v>
      </c>
      <c r="L13" s="3463" t="str">
        <f>'Study Parameters'!J117</f>
        <v>Major Injury On-site
(or 0.01 to 0.1 Person Severely Impacted On-site)
Public Required to Shelter Indoors
(or Minor Injury Off-site)</v>
      </c>
      <c r="M13" s="2869" t="str">
        <f>'Study Parameters'!N117</f>
        <v>Environmental Contamination Confined to Site  OR</v>
      </c>
      <c r="N13" s="3464" t="str">
        <f>'Study Parameters'!Q117</f>
        <v>Property Damage and Business Loss $50 M to $500 M</v>
      </c>
      <c r="O13" s="3465">
        <f>'Study Parameters'!Z117</f>
        <v>3</v>
      </c>
      <c r="P13" s="3437" t="str">
        <f t="shared" ref="P13:U13" si="1">IF($K13="","",IF($O13&gt;P$4,"Red",IF($O13=P$4,"Orange",IF($O13+N_OffSite=P$4,"Yellow","Green"))))</f>
        <v>Red</v>
      </c>
      <c r="Q13" s="3437" t="str">
        <f t="shared" si="1"/>
        <v>Orange</v>
      </c>
      <c r="R13" s="3437" t="str">
        <f t="shared" si="1"/>
        <v>Yellow</v>
      </c>
      <c r="S13" s="3437" t="str">
        <f t="shared" si="1"/>
        <v>Green</v>
      </c>
      <c r="T13" s="3437" t="str">
        <f t="shared" si="1"/>
        <v>Green</v>
      </c>
      <c r="U13" s="3437" t="str">
        <f t="shared" si="1"/>
        <v>Green</v>
      </c>
      <c r="V13" s="553"/>
    </row>
    <row r="14" spans="1:22" ht="16" customHeight="1" x14ac:dyDescent="0.35">
      <c r="A14" s="553"/>
      <c r="B14" s="553"/>
      <c r="C14" s="553"/>
      <c r="D14" s="1390"/>
      <c r="E14" s="1256" t="s">
        <v>3112</v>
      </c>
      <c r="F14" s="553"/>
      <c r="G14" s="553"/>
      <c r="H14" s="553"/>
      <c r="J14" s="553"/>
      <c r="K14" s="3462"/>
      <c r="L14" s="3463"/>
      <c r="M14" s="2870" t="str">
        <f>'Study Parameters'!N118</f>
        <v>&lt; 100 kg  Very Toxic to Waterway  OR &lt; 1000 kg NFPA-H4 to Soil</v>
      </c>
      <c r="N14" s="3464"/>
      <c r="O14" s="3466"/>
      <c r="P14" s="3438"/>
      <c r="Q14" s="3438"/>
      <c r="R14" s="3438"/>
      <c r="S14" s="3438"/>
      <c r="T14" s="3438"/>
      <c r="U14" s="3438"/>
      <c r="V14" s="553"/>
    </row>
    <row r="15" spans="1:22" ht="16" customHeight="1" x14ac:dyDescent="0.3">
      <c r="A15" s="553"/>
      <c r="B15" s="553"/>
      <c r="C15" s="553"/>
      <c r="D15" s="553"/>
      <c r="E15" s="553"/>
      <c r="F15" s="553"/>
      <c r="G15" s="553"/>
      <c r="H15" s="553"/>
      <c r="J15" s="553"/>
      <c r="K15" s="3462"/>
      <c r="L15" s="3463"/>
      <c r="M15" s="2870" t="str">
        <f>'Study Parameters'!N119</f>
        <v>&lt; 1000 kg  Toxic to Waterway  OR &lt; 10000 kg NFPA-H3 to Soil</v>
      </c>
      <c r="N15" s="3464"/>
      <c r="O15" s="3466"/>
      <c r="P15" s="3438"/>
      <c r="Q15" s="3438"/>
      <c r="R15" s="3438"/>
      <c r="S15" s="3438"/>
      <c r="T15" s="3438"/>
      <c r="U15" s="3438"/>
      <c r="V15" s="553"/>
    </row>
    <row r="16" spans="1:22" ht="16" customHeight="1" x14ac:dyDescent="0.3">
      <c r="A16" s="553"/>
      <c r="B16" s="1255" t="s">
        <v>3115</v>
      </c>
      <c r="C16" s="553"/>
      <c r="D16" s="553"/>
      <c r="E16" s="553"/>
      <c r="F16" s="1255" t="s">
        <v>3116</v>
      </c>
      <c r="G16" s="1252"/>
      <c r="H16" s="553"/>
      <c r="J16" s="553"/>
      <c r="K16" s="3462"/>
      <c r="L16" s="3463"/>
      <c r="M16" s="2870" t="str">
        <f>'Study Parameters'!N120</f>
        <v>&lt; 10000 kg  Harmful to Waterway  OR &lt; 100000 kg NFPA-H2 to Soil</v>
      </c>
      <c r="N16" s="3464"/>
      <c r="O16" s="3466"/>
      <c r="P16" s="3439"/>
      <c r="Q16" s="3439"/>
      <c r="R16" s="3439"/>
      <c r="S16" s="3439"/>
      <c r="T16" s="3439"/>
      <c r="U16" s="3439"/>
      <c r="V16" s="553"/>
    </row>
    <row r="17" spans="1:22" ht="16" customHeight="1" x14ac:dyDescent="0.3">
      <c r="A17" s="553"/>
      <c r="B17" s="1258" t="s">
        <v>4707</v>
      </c>
      <c r="C17" s="1251">
        <f>Ambient_T_Default</f>
        <v>25</v>
      </c>
      <c r="D17" s="2025" t="s">
        <v>1836</v>
      </c>
      <c r="E17" s="553"/>
      <c r="F17" s="2521" t="s">
        <v>3718</v>
      </c>
      <c r="G17" s="2520">
        <f>LFL_Fract_FlashFIre</f>
        <v>0.5</v>
      </c>
      <c r="H17" s="2025"/>
      <c r="J17" s="553"/>
      <c r="K17" s="3462" t="str">
        <f>'Study Parameters'!I121</f>
        <v>Very High Severity</v>
      </c>
      <c r="L17" s="3463" t="str">
        <f>'Study Parameters'!J121</f>
        <v>Potential Fatality On-site
(or 0.1 to 1.1 Person Severely Impacted On-site)
or Potential Major Injury Off-site</v>
      </c>
      <c r="M17" s="2869" t="str">
        <f>'Study Parameters'!N121</f>
        <v>Environmental Contamination of Local Groundwater  OR</v>
      </c>
      <c r="N17" s="3464" t="str">
        <f>'Study Parameters'!Q121</f>
        <v>Property Damage and Business Loss $5 MM to $50 MM</v>
      </c>
      <c r="O17" s="3465">
        <f>'Study Parameters'!Z121</f>
        <v>4</v>
      </c>
      <c r="P17" s="3437" t="str">
        <f t="shared" ref="P17:U17" si="2">IF($K17="","",IF($O17&gt;P$4,"Red",IF($O17=P$4,"Orange",IF($O17+N_OffSite=P$4,"Yellow","Green"))))</f>
        <v>Red</v>
      </c>
      <c r="Q17" s="3437" t="str">
        <f t="shared" si="2"/>
        <v>Red</v>
      </c>
      <c r="R17" s="3437" t="str">
        <f t="shared" si="2"/>
        <v>Orange</v>
      </c>
      <c r="S17" s="3437" t="str">
        <f t="shared" si="2"/>
        <v>Yellow</v>
      </c>
      <c r="T17" s="3437" t="str">
        <f t="shared" si="2"/>
        <v>Green</v>
      </c>
      <c r="U17" s="3437" t="str">
        <f t="shared" si="2"/>
        <v>Green</v>
      </c>
      <c r="V17" s="553"/>
    </row>
    <row r="18" spans="1:22" ht="16" customHeight="1" x14ac:dyDescent="0.3">
      <c r="A18" s="553"/>
      <c r="B18" s="1258" t="s">
        <v>4691</v>
      </c>
      <c r="C18" s="1251">
        <f>Max_Duration</f>
        <v>3600</v>
      </c>
      <c r="D18" s="2025" t="s">
        <v>1760</v>
      </c>
      <c r="E18" s="553"/>
      <c r="F18" s="1258" t="s">
        <v>4091</v>
      </c>
      <c r="G18" s="1251">
        <f>IF(Flame_Speed_Feed="High",VCE_LowTotal,VCE_HighTotal)</f>
        <v>100</v>
      </c>
      <c r="H18" s="2025" t="s">
        <v>1497</v>
      </c>
      <c r="I18" s="2620"/>
      <c r="J18" s="553"/>
      <c r="K18" s="3462"/>
      <c r="L18" s="3463"/>
      <c r="M18" s="2870" t="str">
        <f>'Study Parameters'!N122</f>
        <v>&lt; 1000 kg  Very Toxic to Waterway  OR &lt; 10000 kg NFPA-H4 to Soil</v>
      </c>
      <c r="N18" s="3464"/>
      <c r="O18" s="3466"/>
      <c r="P18" s="3438"/>
      <c r="Q18" s="3438"/>
      <c r="R18" s="3438"/>
      <c r="S18" s="3438"/>
      <c r="T18" s="3438"/>
      <c r="U18" s="3438"/>
      <c r="V18" s="553"/>
    </row>
    <row r="19" spans="1:22" ht="16" customHeight="1" x14ac:dyDescent="0.3">
      <c r="A19" s="553"/>
      <c r="B19" s="1258" t="s">
        <v>4089</v>
      </c>
      <c r="C19" s="1251">
        <f>Wind</f>
        <v>3</v>
      </c>
      <c r="D19" s="2027" t="s">
        <v>1714</v>
      </c>
      <c r="E19" s="553"/>
      <c r="F19" s="1258" t="s">
        <v>4678</v>
      </c>
      <c r="G19" s="2520">
        <f>LFL_Limit</f>
        <v>1</v>
      </c>
      <c r="H19" s="553"/>
      <c r="I19" s="2620"/>
      <c r="J19" s="553"/>
      <c r="K19" s="3462"/>
      <c r="L19" s="3463"/>
      <c r="M19" s="2870" t="str">
        <f>'Study Parameters'!N123</f>
        <v>&lt; 10000 kg  Toxic to Waterway  OR &lt; 100000 kg NFPA-H3 to Soil</v>
      </c>
      <c r="N19" s="3464"/>
      <c r="O19" s="3466"/>
      <c r="P19" s="3438"/>
      <c r="Q19" s="3438"/>
      <c r="R19" s="3438"/>
      <c r="S19" s="3438"/>
      <c r="T19" s="3438"/>
      <c r="U19" s="3438"/>
      <c r="V19" s="553"/>
    </row>
    <row r="20" spans="1:22" ht="16" customHeight="1" x14ac:dyDescent="0.3">
      <c r="A20" s="553"/>
      <c r="B20" s="1258" t="s">
        <v>3696</v>
      </c>
      <c r="C20" s="1251">
        <f>Wind_Night</f>
        <v>1.5</v>
      </c>
      <c r="D20" s="687"/>
      <c r="E20" s="553"/>
      <c r="F20" s="1258" t="s">
        <v>2252</v>
      </c>
      <c r="G20" s="1251">
        <f>Fire_Efficiency</f>
        <v>0.9</v>
      </c>
      <c r="H20" s="553"/>
      <c r="I20" s="2620"/>
      <c r="J20" s="553"/>
      <c r="K20" s="3462"/>
      <c r="L20" s="3463"/>
      <c r="M20" s="2870" t="str">
        <f>'Study Parameters'!N124</f>
        <v>&lt; 100000 kg  Harmful to Waterway  OR &lt; 1000000 kg NFPA-H2 to Soil</v>
      </c>
      <c r="N20" s="3464"/>
      <c r="O20" s="3466"/>
      <c r="P20" s="3439"/>
      <c r="Q20" s="3439"/>
      <c r="R20" s="3439"/>
      <c r="S20" s="3439"/>
      <c r="T20" s="3439"/>
      <c r="U20" s="3439"/>
      <c r="V20" s="553"/>
    </row>
    <row r="21" spans="1:22" ht="16" customHeight="1" x14ac:dyDescent="0.3">
      <c r="A21" s="553"/>
      <c r="B21" s="1258" t="s">
        <v>4090</v>
      </c>
      <c r="C21" s="3456" t="str">
        <f>Atm_Stability</f>
        <v>Class D</v>
      </c>
      <c r="D21" s="3457"/>
      <c r="E21" s="553"/>
      <c r="F21" s="1258" t="s">
        <v>4692</v>
      </c>
      <c r="G21" s="2520">
        <f>Blast_Direct</f>
        <v>10</v>
      </c>
      <c r="H21" s="2025" t="s">
        <v>968</v>
      </c>
      <c r="I21" s="2620"/>
      <c r="J21" s="553"/>
      <c r="K21" s="3462" t="str">
        <f>'Study Parameters'!I125</f>
        <v>Extremely High Severity</v>
      </c>
      <c r="L21" s="3463" t="str">
        <f>'Study Parameters'!J125</f>
        <v>1.1 to 10 People Severely Impacted On-site
0.1 to 1.1 People Severely Impacted Off-site</v>
      </c>
      <c r="M21" s="2869" t="str">
        <f>'Study Parameters'!N125</f>
        <v>Incident Requiring Significant Off-Site Remediation  OR</v>
      </c>
      <c r="N21" s="3464" t="str">
        <f>'Study Parameters'!Q125</f>
        <v>Property Damage and Business Loss $5 MM to $50 MM</v>
      </c>
      <c r="O21" s="3465">
        <f>'Study Parameters'!Z125</f>
        <v>5</v>
      </c>
      <c r="P21" s="3437" t="str">
        <f t="shared" ref="P21:R21" si="3">IF($K21="","",IF($O21&gt;P$4,"Red",IF($O21=P$4,"Orange",IF($O21+N_OffSite=P$4,"Yellow","Green"))))</f>
        <v>Red</v>
      </c>
      <c r="Q21" s="3437" t="str">
        <f t="shared" si="3"/>
        <v>Red</v>
      </c>
      <c r="R21" s="3437" t="str">
        <f t="shared" si="3"/>
        <v>Red</v>
      </c>
      <c r="S21" s="3437" t="str">
        <f>IF($K21="","",IF($O21+IF($O21=$O17,N_OffSite,0)&gt;S$4,"Red",IF($O21+IF($O21=$O17,N_OffSite,0)=S$4,"Orange",IF($O21+IF($O21=$O17,N_OffSite,0)+N_OffSite=S$4,"Yellow","Green"))))</f>
        <v>Orange</v>
      </c>
      <c r="T21" s="3437" t="str">
        <f>IF($K21="","",IF($O21+IF($O21=$O17,N_OffSite,0)&gt;T$4,"Red",IF($O21+IF($O21=$O17,N_OffSite,0)=T$4,"Orange",IF($O21+IF($O21=$O17,N_OffSite,0)+N_OffSite=T$4,"Yellow","Green"))))</f>
        <v>Yellow</v>
      </c>
      <c r="U21" s="3437" t="str">
        <f>IF($K21="","",IF($O21+IF($O21=$O17,N_OffSite,0)&gt;U$4,"Red",IF($O21+IF($O21=$O17,N_OffSite,0)=U$4,"Orange",IF($O21+IF($O21=$O17,N_OffSite,0)+N_OffSite=U$4,"Yellow","Green"))))</f>
        <v>Green</v>
      </c>
      <c r="V21" s="553"/>
    </row>
    <row r="22" spans="1:22" ht="16" customHeight="1" x14ac:dyDescent="0.3">
      <c r="A22" s="553"/>
      <c r="B22" s="1258" t="s">
        <v>3601</v>
      </c>
      <c r="C22" s="3456" t="str">
        <f>Atm_Stability_Night</f>
        <v>Class F</v>
      </c>
      <c r="D22" s="3457"/>
      <c r="E22" s="553"/>
      <c r="F22" s="553"/>
      <c r="G22" s="553"/>
      <c r="H22" s="553"/>
      <c r="J22" s="553"/>
      <c r="K22" s="3462"/>
      <c r="L22" s="3463"/>
      <c r="M22" s="2870" t="str">
        <f>'Study Parameters'!N126</f>
        <v>&lt; 10000 kg  Very Toxic to Waterway  OR &lt; 100000 kg NFPA-H4 to Soil</v>
      </c>
      <c r="N22" s="3464"/>
      <c r="O22" s="3466"/>
      <c r="P22" s="3438"/>
      <c r="Q22" s="3438"/>
      <c r="R22" s="3438"/>
      <c r="S22" s="3438"/>
      <c r="T22" s="3438"/>
      <c r="U22" s="3438"/>
      <c r="V22" s="553"/>
    </row>
    <row r="23" spans="1:22" ht="16" customHeight="1" x14ac:dyDescent="0.3">
      <c r="A23" s="553"/>
      <c r="B23" s="1258" t="s">
        <v>1657</v>
      </c>
      <c r="C23" s="3456" t="str">
        <f>Roughness</f>
        <v>Industrial</v>
      </c>
      <c r="D23" s="3457"/>
      <c r="E23" s="553"/>
      <c r="F23" s="1255" t="s">
        <v>3120</v>
      </c>
      <c r="G23" s="553"/>
      <c r="H23" s="553"/>
      <c r="J23" s="553"/>
      <c r="K23" s="3462"/>
      <c r="L23" s="3463"/>
      <c r="M23" s="2870" t="str">
        <f>'Study Parameters'!N127</f>
        <v>&lt; 100000 kg  Toxic to Waterway  OR &lt; 1000000 kg NFPA-H3 to Soil</v>
      </c>
      <c r="N23" s="3464"/>
      <c r="O23" s="3466"/>
      <c r="P23" s="3438"/>
      <c r="Q23" s="3438"/>
      <c r="R23" s="3438"/>
      <c r="S23" s="3438"/>
      <c r="T23" s="3438"/>
      <c r="U23" s="3438"/>
      <c r="V23" s="553"/>
    </row>
    <row r="24" spans="1:22" ht="16" customHeight="1" x14ac:dyDescent="0.3">
      <c r="A24" s="553"/>
      <c r="B24" s="1258" t="s">
        <v>4086</v>
      </c>
      <c r="C24" s="1940">
        <f>Fract_1.5_F</f>
        <v>0.2</v>
      </c>
      <c r="D24" s="553"/>
      <c r="E24" s="553"/>
      <c r="F24" s="1258" t="s">
        <v>2262</v>
      </c>
      <c r="G24" s="1364">
        <f>Fill_Max_Limit</f>
        <v>0.8</v>
      </c>
      <c r="H24" s="553"/>
      <c r="I24" s="2620"/>
      <c r="J24" s="553"/>
      <c r="K24" s="3462"/>
      <c r="L24" s="3463"/>
      <c r="M24" s="2870" t="str">
        <f>'Study Parameters'!N128</f>
        <v>&gt; 100000 kg  Harmful to Waterway  OR &gt; 100000 kg NFPA-H2 to Soil</v>
      </c>
      <c r="N24" s="3464"/>
      <c r="O24" s="3466"/>
      <c r="P24" s="3439"/>
      <c r="Q24" s="3439"/>
      <c r="R24" s="3439"/>
      <c r="S24" s="3439"/>
      <c r="T24" s="3439"/>
      <c r="U24" s="3439"/>
      <c r="V24" s="553"/>
    </row>
    <row r="25" spans="1:22" ht="16" customHeight="1" x14ac:dyDescent="0.3">
      <c r="A25" s="553"/>
      <c r="B25" s="1258" t="s">
        <v>3117</v>
      </c>
      <c r="C25" s="1251">
        <f>Wind_Indoor</f>
        <v>0.1</v>
      </c>
      <c r="D25" s="2027" t="s">
        <v>1714</v>
      </c>
      <c r="E25" s="553"/>
      <c r="F25" s="1258" t="s">
        <v>2261</v>
      </c>
      <c r="G25" s="1251">
        <f>Fill_Min</f>
        <v>0.2</v>
      </c>
      <c r="H25" s="553"/>
      <c r="J25" s="553"/>
      <c r="K25" s="3462" t="str">
        <f>'Study Parameters'!I129</f>
        <v>Catastrophic Severity</v>
      </c>
      <c r="L25" s="3463" t="str">
        <f>'Study Parameters'!J129</f>
        <v>&gt; 10 People Severely Impacted On-site
&gt; 1.1 Person Severely Impacted Off-site</v>
      </c>
      <c r="M25" s="2869" t="str">
        <f>'Study Parameters'!N129</f>
        <v>Incident with Significant National Media Attention  OR</v>
      </c>
      <c r="N25" s="3464" t="str">
        <f>'Study Parameters'!Q129</f>
        <v>Property Damage and Business Loss &gt; $50 MM</v>
      </c>
      <c r="O25" s="3465">
        <f>'Study Parameters'!Z129</f>
        <v>6</v>
      </c>
      <c r="P25" s="3437" t="str">
        <f t="shared" ref="P25:R25" si="4">IF($K25="","",IF($O25&gt;P$4,"Red",IF($O25=P$4,"Orange",IF($O25+N_OffSite=P$4,"Yellow","Green"))))</f>
        <v>Red</v>
      </c>
      <c r="Q25" s="3437" t="str">
        <f t="shared" si="4"/>
        <v>Red</v>
      </c>
      <c r="R25" s="3437" t="str">
        <f t="shared" si="4"/>
        <v>Red</v>
      </c>
      <c r="S25" s="3437" t="str">
        <f>IF($K25="","",IF($O25+IF($O25=$O21,N_OffSite,0)&gt;S$4,"Red",IF($O25+IF($O25=$O21,N_OffSite,0)=S$4,"Orange",IF($O25+IF($O25=$O21,N_OffSite,0)+N_OffSite=S$4,"Yellow","Green"))))</f>
        <v>Red</v>
      </c>
      <c r="T25" s="3437" t="str">
        <f>IF($K25="","",IF($O25+IF($O25=$O21,N_OffSite,0)&gt;T$4,"Red",IF($O25+IF($O25=$O21,N_OffSite,0)=T$4,"Orange",IF($O25+IF($O25=$O21,N_OffSite,0)+N_OffSite=T$4,"Yellow","Green"))))</f>
        <v>Orange</v>
      </c>
      <c r="U25" s="3437" t="str">
        <f>IF($K25="","",IF($O25+IF($O25=$O21,N_OffSite,0)&gt;U$4,"Red",IF($O25+IF($O25=$O21,N_OffSite,0)=U$4,"Orange",IF($O25+IF($O25=$O21,N_OffSite,0)+N_OffSite=U$4,"Yellow","Green"))))</f>
        <v>Yellow</v>
      </c>
      <c r="V25" s="553"/>
    </row>
    <row r="26" spans="1:22" ht="16" customHeight="1" x14ac:dyDescent="0.3">
      <c r="A26" s="553"/>
      <c r="B26" s="1258" t="s">
        <v>3697</v>
      </c>
      <c r="C26" s="1251">
        <f>Solar_Input</f>
        <v>0.5</v>
      </c>
      <c r="D26" s="2027" t="s">
        <v>3113</v>
      </c>
      <c r="E26" s="553"/>
      <c r="F26" s="1258" t="s">
        <v>2250</v>
      </c>
      <c r="G26" s="479">
        <f>Ht_Loss_Coeff_A</f>
        <v>5.0000000000000001E-4</v>
      </c>
      <c r="H26" s="2025" t="s">
        <v>3121</v>
      </c>
      <c r="J26" s="553"/>
      <c r="K26" s="3462"/>
      <c r="L26" s="3463"/>
      <c r="M26" s="2870" t="str">
        <f>'Study Parameters'!N130</f>
        <v>&lt; 100000 kg  Very Toxic to Waterway  OR &lt; 1000000 kg NFPA-H4 to Soil</v>
      </c>
      <c r="N26" s="3464"/>
      <c r="O26" s="3466"/>
      <c r="P26" s="3438"/>
      <c r="Q26" s="3438"/>
      <c r="R26" s="3438"/>
      <c r="S26" s="3438"/>
      <c r="T26" s="3438"/>
      <c r="U26" s="3438"/>
      <c r="V26" s="553"/>
    </row>
    <row r="27" spans="1:22" ht="16" customHeight="1" x14ac:dyDescent="0.3">
      <c r="A27" s="553"/>
      <c r="B27" s="1795" t="s">
        <v>3523</v>
      </c>
      <c r="C27" s="1251">
        <f>Occ_Bldg_Vent</f>
        <v>3</v>
      </c>
      <c r="D27" s="553"/>
      <c r="E27" s="553"/>
      <c r="F27" s="1258" t="s">
        <v>2251</v>
      </c>
      <c r="G27" s="479">
        <f>Ht_Loss_Coeff_B</f>
        <v>0.01</v>
      </c>
      <c r="H27" s="2025" t="s">
        <v>3121</v>
      </c>
      <c r="J27" s="553"/>
      <c r="K27" s="3462"/>
      <c r="L27" s="3463"/>
      <c r="M27" s="2870" t="str">
        <f>'Study Parameters'!N131</f>
        <v>&gt; 100000 kg  Toxic to Waterway  OR &gt; 1000000 kg NFPA-H3 to Soil</v>
      </c>
      <c r="N27" s="3464"/>
      <c r="O27" s="3466"/>
      <c r="P27" s="3438"/>
      <c r="Q27" s="3438"/>
      <c r="R27" s="3438"/>
      <c r="S27" s="3438"/>
      <c r="T27" s="3438"/>
      <c r="U27" s="3438"/>
      <c r="V27" s="553"/>
    </row>
    <row r="28" spans="1:22" ht="16" customHeight="1" x14ac:dyDescent="0.3">
      <c r="A28" s="553"/>
      <c r="B28" s="1795" t="s">
        <v>4084</v>
      </c>
      <c r="C28" s="1251">
        <f>Vent_Nat</f>
        <v>0.5</v>
      </c>
      <c r="D28" s="553"/>
      <c r="E28" s="553"/>
      <c r="F28" s="1258" t="s">
        <v>3719</v>
      </c>
      <c r="G28" s="479">
        <f>HD_Severe_Impact</f>
        <v>3</v>
      </c>
      <c r="H28" s="2025" t="s">
        <v>1068</v>
      </c>
      <c r="J28" s="553"/>
      <c r="K28" s="3462"/>
      <c r="L28" s="3463"/>
      <c r="M28" s="2870" t="str">
        <f>'Study Parameters'!N132</f>
        <v/>
      </c>
      <c r="N28" s="3464"/>
      <c r="O28" s="3466"/>
      <c r="P28" s="3439"/>
      <c r="Q28" s="3439"/>
      <c r="R28" s="3439"/>
      <c r="S28" s="3439"/>
      <c r="T28" s="3439"/>
      <c r="U28" s="3439"/>
      <c r="V28" s="553"/>
    </row>
    <row r="29" spans="1:22" ht="16" customHeight="1" x14ac:dyDescent="0.3">
      <c r="A29" s="553"/>
      <c r="B29" s="1795" t="s">
        <v>3522</v>
      </c>
      <c r="C29" s="1251">
        <f>ConcFract_Indoor</f>
        <v>0.5</v>
      </c>
      <c r="D29" s="553"/>
      <c r="E29" s="553"/>
      <c r="F29" s="553"/>
      <c r="G29" s="553"/>
      <c r="H29" s="553"/>
      <c r="I29" s="2620"/>
      <c r="J29" s="553"/>
      <c r="K29" s="3462" t="str">
        <f>'Study Parameters'!I133</f>
        <v/>
      </c>
      <c r="L29" s="3463" t="str">
        <f>'Study Parameters'!J133</f>
        <v/>
      </c>
      <c r="M29" s="2869" t="str">
        <f>'Study Parameters'!N133</f>
        <v/>
      </c>
      <c r="N29" s="3464" t="str">
        <f>'Study Parameters'!Q133</f>
        <v/>
      </c>
      <c r="O29" s="3465">
        <f>'Study Parameters'!Z133</f>
        <v>6</v>
      </c>
      <c r="P29" s="3437" t="str">
        <f t="shared" ref="P29:R29" si="5">IF($K29="","",IF($O29&gt;P$4,"Red",IF($O29=P$4,"Orange",IF($O29+N_OffSite=P$4,"Yellow","Green"))))</f>
        <v/>
      </c>
      <c r="Q29" s="3437" t="str">
        <f t="shared" si="5"/>
        <v/>
      </c>
      <c r="R29" s="3437" t="str">
        <f t="shared" si="5"/>
        <v/>
      </c>
      <c r="S29" s="3437" t="str">
        <f>IF($K29="","",IF($O29+IF($O29=$O25,N_OffSite,0)&gt;S$4,"Red",IF($O29+IF($O29=$O25,N_OffSite,0)=S$4,"Orange",IF($O29+IF($O29=$O25,N_OffSite,0)+N_OffSite=S$4,"Yellow","Green"))))</f>
        <v/>
      </c>
      <c r="T29" s="3437" t="str">
        <f>IF($K29="","",IF($O29+IF($O29=$O25,N_OffSite,0)&gt;T$4,"Red",IF($O29+IF($O29=$O25,N_OffSite,0)=T$4,"Orange",IF($O29+IF($O29=$O25,N_OffSite,0)+N_OffSite=T$4,"Yellow","Green"))))</f>
        <v/>
      </c>
      <c r="U29" s="3437" t="str">
        <f>IF($K29="","",IF($O29+IF($O29=$O25,N_OffSite,0)&gt;U$4,"Red",IF($O29+IF($O29=$O25,N_OffSite,0)=U$4,"Orange",IF($O29+IF($O29=$O25,N_OffSite,0)+N_OffSite=U$4,"Yellow","Green"))))</f>
        <v/>
      </c>
      <c r="V29" s="553"/>
    </row>
    <row r="30" spans="1:22" ht="16" customHeight="1" x14ac:dyDescent="0.3">
      <c r="A30" s="553"/>
      <c r="B30" s="1795" t="s">
        <v>4698</v>
      </c>
      <c r="C30" s="1251">
        <f>AvgTime_Correction</f>
        <v>2</v>
      </c>
      <c r="D30" s="553"/>
      <c r="E30" s="553"/>
      <c r="F30" s="1796" t="s">
        <v>3699</v>
      </c>
      <c r="G30" s="1258"/>
      <c r="H30" s="1258"/>
      <c r="I30" s="2620"/>
      <c r="J30" s="553"/>
      <c r="K30" s="3462"/>
      <c r="L30" s="3463"/>
      <c r="M30" s="2870" t="str">
        <f>'Study Parameters'!N134</f>
        <v/>
      </c>
      <c r="N30" s="3464"/>
      <c r="O30" s="3466"/>
      <c r="P30" s="3438"/>
      <c r="Q30" s="3438"/>
      <c r="R30" s="3438"/>
      <c r="S30" s="3438"/>
      <c r="T30" s="3438"/>
      <c r="U30" s="3438"/>
      <c r="V30" s="553"/>
    </row>
    <row r="31" spans="1:22" ht="16" customHeight="1" x14ac:dyDescent="0.3">
      <c r="A31" s="553"/>
      <c r="B31" s="2523" t="s">
        <v>4699</v>
      </c>
      <c r="C31" s="553"/>
      <c r="D31" s="553"/>
      <c r="E31" s="553"/>
      <c r="F31" s="1258" t="s">
        <v>3576</v>
      </c>
      <c r="G31" s="1364">
        <f>Failure_API_NoAnchored</f>
        <v>1.1000000000000001</v>
      </c>
      <c r="H31" s="1258"/>
      <c r="I31" s="2620"/>
      <c r="J31" s="553"/>
      <c r="K31" s="3462"/>
      <c r="L31" s="3463"/>
      <c r="M31" s="2870" t="str">
        <f>'Study Parameters'!N135</f>
        <v/>
      </c>
      <c r="N31" s="3464"/>
      <c r="O31" s="3466"/>
      <c r="P31" s="3438"/>
      <c r="Q31" s="3438"/>
      <c r="R31" s="3438"/>
      <c r="S31" s="3438"/>
      <c r="T31" s="3438"/>
      <c r="U31" s="3438"/>
      <c r="V31" s="553"/>
    </row>
    <row r="32" spans="1:22" ht="16" customHeight="1" x14ac:dyDescent="0.3">
      <c r="A32" s="553"/>
      <c r="B32" s="553"/>
      <c r="C32" s="553"/>
      <c r="D32" s="553"/>
      <c r="E32" s="553"/>
      <c r="F32" s="1258" t="s">
        <v>3700</v>
      </c>
      <c r="G32" s="1251">
        <f>Failure_API_Anchored</f>
        <v>1.5</v>
      </c>
      <c r="H32" s="553"/>
      <c r="I32" s="2621"/>
      <c r="J32" s="553"/>
      <c r="K32" s="3462"/>
      <c r="L32" s="3463"/>
      <c r="M32" s="2871" t="str">
        <f>'Study Parameters'!N136</f>
        <v/>
      </c>
      <c r="N32" s="3464"/>
      <c r="O32" s="3466"/>
      <c r="P32" s="3439"/>
      <c r="Q32" s="3439"/>
      <c r="R32" s="3439"/>
      <c r="S32" s="3439"/>
      <c r="T32" s="3439"/>
      <c r="U32" s="3439"/>
      <c r="V32" s="553"/>
    </row>
    <row r="33" spans="1:22" ht="16" customHeight="1" x14ac:dyDescent="0.3">
      <c r="A33" s="553"/>
      <c r="B33" s="1255" t="s">
        <v>3118</v>
      </c>
      <c r="C33" s="553"/>
      <c r="D33" s="553"/>
      <c r="E33" s="553"/>
      <c r="F33" s="1258" t="s">
        <v>3613</v>
      </c>
      <c r="G33" s="1251">
        <f>Failure_ASME</f>
        <v>2</v>
      </c>
      <c r="H33" s="553"/>
      <c r="I33" s="2621"/>
      <c r="J33" s="553"/>
      <c r="K33" s="3462" t="s">
        <v>1897</v>
      </c>
      <c r="L33" s="3472" t="s">
        <v>1897</v>
      </c>
      <c r="M33" s="529"/>
      <c r="N33" s="2624"/>
      <c r="O33" s="3465">
        <f>'Study Parameters'!Z137</f>
        <v>6</v>
      </c>
      <c r="P33" s="3437" t="str">
        <f t="shared" ref="P33:U33" si="6">IF($K33="","",IF($O33&gt;P$4,"Red",IF($O33=P$4,"Orange",IF($O33+N_OffSite=P$4,"Yellow","Green"))))</f>
        <v/>
      </c>
      <c r="Q33" s="3437" t="str">
        <f t="shared" si="6"/>
        <v/>
      </c>
      <c r="R33" s="3437" t="str">
        <f t="shared" si="6"/>
        <v/>
      </c>
      <c r="S33" s="3437" t="str">
        <f t="shared" si="6"/>
        <v/>
      </c>
      <c r="T33" s="3437" t="str">
        <f t="shared" si="6"/>
        <v/>
      </c>
      <c r="U33" s="3437" t="str">
        <f t="shared" si="6"/>
        <v/>
      </c>
      <c r="V33" s="3433" t="s">
        <v>4778</v>
      </c>
    </row>
    <row r="34" spans="1:22" ht="16" customHeight="1" x14ac:dyDescent="0.3">
      <c r="A34" s="553"/>
      <c r="B34" s="346" t="s">
        <v>4256</v>
      </c>
      <c r="C34" s="1251">
        <f>Toxic_Limit</f>
        <v>1000</v>
      </c>
      <c r="D34" s="2025" t="s">
        <v>1506</v>
      </c>
      <c r="E34" s="553"/>
      <c r="F34" s="1258" t="s">
        <v>3701</v>
      </c>
      <c r="G34" s="1251">
        <f>Failure_T_Default</f>
        <v>600</v>
      </c>
      <c r="H34" s="2025" t="s">
        <v>1836</v>
      </c>
      <c r="I34" s="2621"/>
      <c r="J34" s="553"/>
      <c r="K34" s="3462"/>
      <c r="L34" s="3472"/>
      <c r="M34" s="529"/>
      <c r="N34" s="2625"/>
      <c r="O34" s="3466"/>
      <c r="P34" s="3438"/>
      <c r="Q34" s="3438"/>
      <c r="R34" s="3438"/>
      <c r="S34" s="3438"/>
      <c r="T34" s="3438"/>
      <c r="U34" s="3438"/>
      <c r="V34" s="3434"/>
    </row>
    <row r="35" spans="1:22" ht="16" customHeight="1" x14ac:dyDescent="0.3">
      <c r="A35" s="553"/>
      <c r="B35" s="1258" t="s">
        <v>4690</v>
      </c>
      <c r="C35" s="1251">
        <f>HD_Factor</f>
        <v>0.5</v>
      </c>
      <c r="D35" s="553"/>
      <c r="E35" s="553"/>
      <c r="F35" s="1258"/>
      <c r="G35" s="1258"/>
      <c r="H35" s="1258"/>
      <c r="J35" s="553"/>
      <c r="K35" s="3462"/>
      <c r="L35" s="3472"/>
      <c r="M35" s="553"/>
      <c r="N35" s="2624"/>
      <c r="O35" s="3466"/>
      <c r="P35" s="3438"/>
      <c r="Q35" s="3438"/>
      <c r="R35" s="3438"/>
      <c r="S35" s="3438"/>
      <c r="T35" s="3438"/>
      <c r="U35" s="3438"/>
      <c r="V35" s="3434"/>
    </row>
    <row r="36" spans="1:22" ht="16" customHeight="1" x14ac:dyDescent="0.3">
      <c r="A36" s="553"/>
      <c r="B36" s="1258" t="s">
        <v>4694</v>
      </c>
      <c r="C36" s="1604">
        <f>LC1_Ratio</f>
        <v>2</v>
      </c>
      <c r="D36" s="553"/>
      <c r="E36" s="1365"/>
      <c r="F36" s="1255" t="s">
        <v>4085</v>
      </c>
      <c r="G36" s="553"/>
      <c r="H36" s="553"/>
      <c r="J36" s="553"/>
      <c r="K36" s="3471"/>
      <c r="L36" s="3473"/>
      <c r="M36" s="553"/>
      <c r="N36" s="2624"/>
      <c r="O36" s="3466"/>
      <c r="P36" s="3439"/>
      <c r="Q36" s="3439"/>
      <c r="R36" s="3439"/>
      <c r="S36" s="3439"/>
      <c r="T36" s="3439"/>
      <c r="U36" s="3439"/>
      <c r="V36" s="3434"/>
    </row>
    <row r="37" spans="1:22" ht="16" customHeight="1" x14ac:dyDescent="0.3">
      <c r="A37" s="553"/>
      <c r="B37" s="1258" t="s">
        <v>4695</v>
      </c>
      <c r="C37" s="1604">
        <f>LC50_Ratio</f>
        <v>5</v>
      </c>
      <c r="D37" s="553"/>
      <c r="E37" s="553"/>
      <c r="F37" s="1258" t="s">
        <v>3698</v>
      </c>
      <c r="G37" s="1363">
        <f>IF(Conseq_Criteria="Hazard Distance","",Offsite_PD)</f>
        <v>1500</v>
      </c>
      <c r="H37" s="2027" t="s">
        <v>3237</v>
      </c>
      <c r="I37" s="2620"/>
      <c r="J37" s="553"/>
      <c r="K37" s="525"/>
      <c r="L37" s="525"/>
      <c r="M37" s="525"/>
      <c r="N37" s="525"/>
      <c r="O37" s="525"/>
      <c r="P37" s="525"/>
      <c r="Q37" s="525"/>
      <c r="R37" s="525"/>
      <c r="S37" s="525"/>
      <c r="T37" s="525"/>
      <c r="U37" s="525"/>
      <c r="V37" s="553"/>
    </row>
    <row r="38" spans="1:22" ht="16" customHeight="1" x14ac:dyDescent="0.3">
      <c r="A38" s="553"/>
      <c r="B38" s="553"/>
      <c r="C38" s="553"/>
      <c r="D38" s="553"/>
      <c r="E38" s="553"/>
      <c r="F38" s="1258" t="s">
        <v>3695</v>
      </c>
      <c r="G38" s="1363">
        <f>IF(Conseq_Criteria="Hazard Distance","",Onsite_PD_Default)</f>
        <v>200</v>
      </c>
      <c r="H38" s="2027" t="s">
        <v>3237</v>
      </c>
      <c r="I38" s="2621"/>
      <c r="J38" s="553"/>
      <c r="K38" s="525"/>
      <c r="L38" s="525"/>
      <c r="M38" s="525"/>
      <c r="N38" s="3469" t="s">
        <v>4768</v>
      </c>
      <c r="O38" s="3470"/>
      <c r="P38" s="3435" t="s">
        <v>4780</v>
      </c>
      <c r="Q38" s="525"/>
      <c r="R38" s="525"/>
      <c r="S38" s="525"/>
      <c r="T38" s="525"/>
      <c r="U38" s="3435" t="s">
        <v>4779</v>
      </c>
      <c r="V38" s="553"/>
    </row>
    <row r="39" spans="1:22" ht="16" customHeight="1" x14ac:dyDescent="0.3">
      <c r="A39" s="553"/>
      <c r="B39" s="1255" t="s">
        <v>4693</v>
      </c>
      <c r="C39" s="553"/>
      <c r="D39" s="553"/>
      <c r="E39" s="1258"/>
      <c r="F39" s="1795" t="s">
        <v>4087</v>
      </c>
      <c r="G39" s="1254">
        <f>IF(Conseq_Criteria="Hazard Distance","",Outdoor_Fract)</f>
        <v>0.1</v>
      </c>
      <c r="H39" s="1253"/>
      <c r="J39" s="553"/>
      <c r="K39" s="525"/>
      <c r="L39" s="525"/>
      <c r="M39" s="525"/>
      <c r="N39" s="2627" t="s">
        <v>4769</v>
      </c>
      <c r="O39" s="2612"/>
      <c r="P39" s="3436"/>
      <c r="Q39" s="525"/>
      <c r="R39" s="525"/>
      <c r="S39" s="525"/>
      <c r="T39" s="525"/>
      <c r="U39" s="3436"/>
      <c r="V39" s="553"/>
    </row>
    <row r="40" spans="1:22" ht="16" customHeight="1" x14ac:dyDescent="0.3">
      <c r="A40" s="553"/>
      <c r="B40" s="1258" t="s">
        <v>3763</v>
      </c>
      <c r="C40" s="1251">
        <f>Thermal_Liquid_High</f>
        <v>55</v>
      </c>
      <c r="D40" s="2025" t="s">
        <v>1836</v>
      </c>
      <c r="E40" s="1258"/>
      <c r="F40" s="1795" t="s">
        <v>4088</v>
      </c>
      <c r="G40" s="2026">
        <f>IF(Conseq_Criteria="Hazard Distance","",Outdoor_Fract_Night)</f>
        <v>0.1</v>
      </c>
      <c r="H40" s="1253"/>
      <c r="I40" s="1158"/>
      <c r="J40" s="553"/>
      <c r="K40" s="525"/>
      <c r="L40" s="525"/>
      <c r="M40" s="525"/>
      <c r="N40" s="2627" t="str">
        <f>IF(N_OffSite=1,"Tolerable - Offsite","")</f>
        <v>Tolerable - Offsite</v>
      </c>
      <c r="O40" s="2613"/>
      <c r="P40" s="525"/>
      <c r="Q40" s="525"/>
      <c r="R40" s="525"/>
      <c r="S40" s="525"/>
      <c r="T40" s="525"/>
      <c r="U40" s="525"/>
      <c r="V40" s="553"/>
    </row>
    <row r="41" spans="1:22" ht="16" customHeight="1" x14ac:dyDescent="0.3">
      <c r="A41" s="553"/>
      <c r="B41" s="1258" t="s">
        <v>4700</v>
      </c>
      <c r="C41" s="2520">
        <f>Thermal_Liquid_Low</f>
        <v>-23</v>
      </c>
      <c r="D41" s="2025" t="s">
        <v>1836</v>
      </c>
      <c r="E41" s="1258"/>
      <c r="F41" s="1795" t="s">
        <v>1145</v>
      </c>
      <c r="G41" s="1254">
        <f>IF(Conseq_Criteria="Hazard Distance","",Op_Indoors)</f>
        <v>2</v>
      </c>
      <c r="H41" s="1259" t="s">
        <v>1146</v>
      </c>
      <c r="I41" s="1158"/>
      <c r="J41" s="553"/>
      <c r="K41" s="525"/>
      <c r="L41" s="525"/>
      <c r="M41" s="525"/>
      <c r="N41" s="2627" t="str">
        <f>"Tolerable "&amp;IF(N_OffSite=1,"- Onsite","")</f>
        <v>Tolerable - Onsite</v>
      </c>
      <c r="O41" s="2614"/>
      <c r="P41" s="525"/>
      <c r="Q41" s="525"/>
      <c r="R41" s="525"/>
      <c r="S41" s="525"/>
      <c r="T41" s="525"/>
      <c r="U41" s="525"/>
      <c r="V41" s="553"/>
    </row>
    <row r="42" spans="1:22" ht="16" customHeight="1" x14ac:dyDescent="0.3">
      <c r="A42" s="553"/>
      <c r="B42" s="1258" t="s">
        <v>3765</v>
      </c>
      <c r="C42" s="1251">
        <f>Thermal_Vapor_High</f>
        <v>80</v>
      </c>
      <c r="D42" s="2025" t="s">
        <v>1836</v>
      </c>
      <c r="E42" s="1258"/>
      <c r="F42" s="1258"/>
      <c r="G42" s="1258"/>
      <c r="H42" s="1258"/>
      <c r="I42" s="2622"/>
      <c r="J42" s="553"/>
      <c r="K42" s="525"/>
      <c r="L42" s="525"/>
      <c r="M42" s="525"/>
      <c r="N42" s="2628" t="s">
        <v>4770</v>
      </c>
      <c r="O42" s="2615"/>
      <c r="P42" s="525"/>
      <c r="Q42" s="525"/>
      <c r="R42" s="525"/>
      <c r="S42" s="525"/>
      <c r="T42" s="525"/>
      <c r="U42" s="525"/>
      <c r="V42" s="553"/>
    </row>
    <row r="43" spans="1:22" ht="16" customHeight="1" x14ac:dyDescent="0.3">
      <c r="A43" s="553"/>
      <c r="B43" s="1258" t="s">
        <v>3715</v>
      </c>
      <c r="C43" s="1251">
        <f>ThermRad_Screening_Limit</f>
        <v>4</v>
      </c>
      <c r="D43" s="2025" t="s">
        <v>4696</v>
      </c>
      <c r="E43" s="1258"/>
      <c r="F43" s="1258"/>
      <c r="G43" s="1258"/>
      <c r="H43" s="1258"/>
      <c r="I43" s="2622"/>
      <c r="J43" s="553"/>
      <c r="K43" s="553"/>
      <c r="L43" s="553"/>
      <c r="M43" s="553"/>
      <c r="N43" s="553"/>
      <c r="O43" s="553"/>
      <c r="P43" s="553"/>
      <c r="Q43" s="553"/>
      <c r="R43" s="553"/>
      <c r="S43" s="553"/>
      <c r="T43" s="553"/>
      <c r="U43" s="553"/>
      <c r="V43" s="553"/>
    </row>
    <row r="44" spans="1:22" ht="16" customHeight="1" x14ac:dyDescent="0.3">
      <c r="A44" s="553"/>
      <c r="B44" s="553"/>
      <c r="C44" s="553"/>
      <c r="D44" s="553"/>
      <c r="E44" s="1258"/>
      <c r="F44" s="2028" t="s">
        <v>4697</v>
      </c>
      <c r="G44" s="553"/>
      <c r="H44" s="1258"/>
      <c r="I44" s="2623"/>
    </row>
    <row r="45" spans="1:22" ht="16" customHeight="1" x14ac:dyDescent="0.3">
      <c r="A45" s="553"/>
      <c r="B45" s="553"/>
      <c r="C45" s="553"/>
      <c r="D45" s="553"/>
      <c r="E45" s="553"/>
      <c r="F45" s="2029" t="s">
        <v>3238</v>
      </c>
      <c r="G45" s="2030"/>
      <c r="H45" s="1258"/>
      <c r="I45" s="2621"/>
    </row>
    <row r="46" spans="1:22" ht="16" customHeight="1" x14ac:dyDescent="0.3">
      <c r="A46" s="553"/>
      <c r="B46" s="2735" t="s">
        <v>4873</v>
      </c>
      <c r="C46" s="553"/>
      <c r="D46" s="553"/>
      <c r="E46" s="553"/>
      <c r="F46" s="2029" t="s">
        <v>3241</v>
      </c>
      <c r="G46" s="2030"/>
      <c r="H46" s="553"/>
    </row>
    <row r="47" spans="1:22" ht="16" customHeight="1" x14ac:dyDescent="0.3">
      <c r="A47" s="553"/>
      <c r="B47" s="2736" t="str">
        <f>Conseq_Criteria</f>
        <v>Estimated Number of People Impacted</v>
      </c>
      <c r="C47" s="553"/>
      <c r="D47" s="553"/>
      <c r="E47" s="553"/>
      <c r="F47" s="2029" t="s">
        <v>3239</v>
      </c>
      <c r="G47" s="2030"/>
      <c r="H47" s="553"/>
    </row>
    <row r="48" spans="1:22" ht="16" customHeight="1" x14ac:dyDescent="0.3">
      <c r="A48" s="553"/>
      <c r="B48" s="553"/>
      <c r="C48" s="553"/>
      <c r="D48" s="553"/>
      <c r="E48" s="553"/>
      <c r="F48" s="2029" t="s">
        <v>3240</v>
      </c>
      <c r="G48" s="2030"/>
      <c r="H48" s="553"/>
    </row>
    <row r="49" spans="1:12" ht="16" customHeight="1" x14ac:dyDescent="0.3">
      <c r="A49" s="553"/>
      <c r="B49" s="553"/>
      <c r="C49" s="553"/>
      <c r="D49" s="553"/>
      <c r="E49" s="553"/>
      <c r="F49" s="2029" t="s">
        <v>886</v>
      </c>
      <c r="G49" s="2030"/>
      <c r="H49" s="553"/>
    </row>
    <row r="50" spans="1:12" ht="16" customHeight="1" x14ac:dyDescent="0.3">
      <c r="A50" s="553"/>
      <c r="B50" s="553"/>
      <c r="C50" s="553"/>
      <c r="D50" s="553"/>
      <c r="E50" s="553"/>
      <c r="F50" s="2029" t="s">
        <v>2387</v>
      </c>
      <c r="G50" s="2031"/>
      <c r="H50" s="553"/>
    </row>
    <row r="51" spans="1:12" ht="16" customHeight="1" x14ac:dyDescent="0.3">
      <c r="A51" s="553"/>
      <c r="B51" s="553"/>
      <c r="C51" s="553"/>
      <c r="D51" s="553"/>
      <c r="E51" s="553"/>
      <c r="F51" s="2029" t="s">
        <v>123</v>
      </c>
      <c r="G51" s="2030"/>
      <c r="H51" s="553"/>
    </row>
    <row r="52" spans="1:12" ht="16" customHeight="1" x14ac:dyDescent="0.3">
      <c r="A52" s="553"/>
      <c r="B52" s="553"/>
      <c r="C52" s="553"/>
      <c r="D52" s="553"/>
      <c r="E52" s="553"/>
      <c r="F52" s="553"/>
      <c r="G52" s="553"/>
      <c r="H52" s="553"/>
    </row>
    <row r="53" spans="1:12" ht="16" hidden="1" customHeight="1" x14ac:dyDescent="0.3">
      <c r="A53" s="1565"/>
      <c r="B53" s="1565"/>
      <c r="C53" s="1565"/>
      <c r="D53" s="1565"/>
      <c r="E53" s="1565"/>
      <c r="F53" s="1565"/>
      <c r="G53" s="1565"/>
      <c r="H53" s="1565"/>
    </row>
    <row r="54" spans="1:12" ht="15" hidden="1" customHeight="1" x14ac:dyDescent="0.3">
      <c r="A54" s="1565"/>
      <c r="B54" s="1567" t="s">
        <v>152</v>
      </c>
      <c r="C54" s="1565"/>
      <c r="D54" s="3440" t="s">
        <v>3314</v>
      </c>
      <c r="E54" s="3440"/>
      <c r="F54" s="3440"/>
      <c r="G54" s="3440"/>
      <c r="H54" s="1565"/>
    </row>
    <row r="55" spans="1:12" hidden="1" x14ac:dyDescent="0.3">
      <c r="A55" s="1565"/>
      <c r="B55" s="1565"/>
      <c r="C55" s="1566" t="str">
        <f>'Scenario Identification'!C6</f>
        <v>Accumulation of Untreated Vent or Waste</v>
      </c>
      <c r="D55" s="3467"/>
      <c r="E55" s="3468"/>
      <c r="F55" s="3468"/>
      <c r="G55" s="3468"/>
      <c r="H55" s="1565"/>
    </row>
    <row r="56" spans="1:12" hidden="1" x14ac:dyDescent="0.3">
      <c r="A56" s="1565"/>
      <c r="B56" s="1565"/>
      <c r="C56" s="1566" t="str">
        <f>'Scenario Identification'!C7</f>
        <v>Blocked-In with Thermal Expansion</v>
      </c>
      <c r="D56" s="3467"/>
      <c r="E56" s="3468"/>
      <c r="F56" s="3468"/>
      <c r="G56" s="3468"/>
      <c r="H56" s="1565"/>
    </row>
    <row r="57" spans="1:12" hidden="1" x14ac:dyDescent="0.3">
      <c r="A57" s="1565"/>
      <c r="B57" s="1565"/>
      <c r="C57" s="1566" t="str">
        <f>'Scenario Identification'!C8</f>
        <v>Casing or Containment Failure</v>
      </c>
      <c r="D57" s="3467"/>
      <c r="E57" s="3468"/>
      <c r="F57" s="3468"/>
      <c r="G57" s="3468"/>
      <c r="H57" s="1565"/>
    </row>
    <row r="58" spans="1:12" hidden="1" x14ac:dyDescent="0.3">
      <c r="A58" s="1565"/>
      <c r="B58" s="1565"/>
      <c r="C58" s="1566" t="str">
        <f>'Scenario Identification'!C9</f>
        <v>Connection Failure</v>
      </c>
      <c r="D58" s="3467"/>
      <c r="E58" s="3468"/>
      <c r="F58" s="3468"/>
      <c r="G58" s="3468"/>
      <c r="H58" s="1565"/>
      <c r="L58" s="598"/>
    </row>
    <row r="59" spans="1:12" hidden="1" x14ac:dyDescent="0.3">
      <c r="A59" s="1565"/>
      <c r="B59" s="1565"/>
      <c r="C59" s="1566" t="str">
        <f>'Scenario Identification'!C10</f>
        <v>Drain or Vent Valve Open</v>
      </c>
      <c r="D59" s="3467"/>
      <c r="E59" s="3468"/>
      <c r="F59" s="3468"/>
      <c r="G59" s="3468"/>
      <c r="H59" s="1565"/>
    </row>
    <row r="60" spans="1:12" hidden="1" x14ac:dyDescent="0.3">
      <c r="A60" s="1565"/>
      <c r="B60" s="1565"/>
      <c r="C60" s="1566" t="str">
        <f>'Scenario Identification'!C11</f>
        <v>Dust Accumulation in Process Area</v>
      </c>
      <c r="D60" s="3467"/>
      <c r="E60" s="3468"/>
      <c r="F60" s="3468"/>
      <c r="G60" s="3468"/>
      <c r="H60" s="1565"/>
    </row>
    <row r="61" spans="1:12" hidden="1" x14ac:dyDescent="0.3">
      <c r="A61" s="1565"/>
      <c r="B61" s="1565"/>
      <c r="C61" s="1566" t="str">
        <f>'Scenario Identification'!C12</f>
        <v>Ignitable Headspace</v>
      </c>
      <c r="D61" s="3467"/>
      <c r="E61" s="3468"/>
      <c r="F61" s="3468"/>
      <c r="G61" s="3468"/>
      <c r="H61" s="1565"/>
    </row>
    <row r="62" spans="1:12" hidden="1" x14ac:dyDescent="0.3">
      <c r="A62" s="1565"/>
      <c r="B62" s="1565"/>
      <c r="C62" s="1566" t="str">
        <f>'Scenario Identification'!C13</f>
        <v>Excessive Heat Input - Heat Transfer</v>
      </c>
      <c r="D62" s="3467"/>
      <c r="E62" s="3468"/>
      <c r="F62" s="3468"/>
      <c r="G62" s="3468"/>
      <c r="H62" s="1565"/>
    </row>
    <row r="63" spans="1:12" hidden="1" x14ac:dyDescent="0.3">
      <c r="A63" s="1565"/>
      <c r="B63" s="1565"/>
      <c r="C63" s="1566" t="str">
        <f>'Scenario Identification'!C14</f>
        <v>Excessive Heat Input - Mechanical</v>
      </c>
      <c r="D63" s="3467"/>
      <c r="E63" s="3468"/>
      <c r="F63" s="3468"/>
      <c r="G63" s="3468"/>
      <c r="H63" s="1565"/>
    </row>
    <row r="64" spans="1:12" hidden="1" x14ac:dyDescent="0.3">
      <c r="A64" s="1565"/>
      <c r="B64" s="1565"/>
      <c r="C64" s="1566" t="str">
        <f>'Scenario Identification'!C15</f>
        <v>Excessive Heat Input - Pool Fire Exposure</v>
      </c>
      <c r="D64" s="3467"/>
      <c r="E64" s="3468"/>
      <c r="F64" s="3468"/>
      <c r="G64" s="3468"/>
      <c r="H64" s="1565"/>
    </row>
    <row r="65" spans="1:8" hidden="1" x14ac:dyDescent="0.3">
      <c r="A65" s="1565"/>
      <c r="B65" s="1565"/>
      <c r="C65" s="1566" t="str">
        <f>'Scenario Identification'!C16</f>
        <v>Excessive Pad Gas Pressure</v>
      </c>
      <c r="D65" s="3467"/>
      <c r="E65" s="3468"/>
      <c r="F65" s="3468"/>
      <c r="G65" s="3468"/>
      <c r="H65" s="1565"/>
    </row>
    <row r="66" spans="1:8" hidden="1" x14ac:dyDescent="0.3">
      <c r="A66" s="1565"/>
      <c r="B66" s="1565"/>
      <c r="C66" s="1566" t="str">
        <f>'Scenario Identification'!C17</f>
        <v>Excessive Vapor Feed Flow</v>
      </c>
      <c r="D66" s="3467"/>
      <c r="E66" s="3468"/>
      <c r="F66" s="3468"/>
      <c r="G66" s="3468"/>
      <c r="H66" s="1565"/>
    </row>
    <row r="67" spans="1:8" hidden="1" x14ac:dyDescent="0.3">
      <c r="A67" s="1565"/>
      <c r="B67" s="1565"/>
      <c r="C67" s="1566" t="str">
        <f>'Scenario Identification'!C18</f>
        <v>Pad Gas Compression</v>
      </c>
      <c r="D67" s="3467"/>
      <c r="E67" s="3468"/>
      <c r="F67" s="3468"/>
      <c r="G67" s="3468"/>
      <c r="H67" s="1565"/>
    </row>
    <row r="68" spans="1:8" hidden="1" x14ac:dyDescent="0.3">
      <c r="A68" s="1565"/>
      <c r="B68" s="1565"/>
      <c r="C68" s="1566" t="str">
        <f>'Scenario Identification'!C20</f>
        <v>Flash Back of Vent to Fired Equipment</v>
      </c>
      <c r="D68" s="3467"/>
      <c r="E68" s="3468"/>
      <c r="F68" s="3468"/>
      <c r="G68" s="3468"/>
      <c r="H68" s="1565"/>
    </row>
    <row r="69" spans="1:8" hidden="1" x14ac:dyDescent="0.3">
      <c r="A69" s="1565"/>
      <c r="B69" s="1565"/>
      <c r="C69" s="1566" t="str">
        <f>'Scenario Identification'!C21</f>
        <v>Fuel Accumulation during Light Off</v>
      </c>
      <c r="D69" s="3467"/>
      <c r="E69" s="3468"/>
      <c r="F69" s="3468"/>
      <c r="G69" s="3468"/>
      <c r="H69" s="1565"/>
    </row>
    <row r="70" spans="1:8" hidden="1" x14ac:dyDescent="0.3">
      <c r="A70" s="1565"/>
      <c r="B70" s="1565"/>
      <c r="C70" s="1566" t="str">
        <f>'Scenario Identification'!C22</f>
        <v>Fuel Accumulation during Operation</v>
      </c>
      <c r="D70" s="3467"/>
      <c r="E70" s="3468"/>
      <c r="F70" s="3468"/>
      <c r="G70" s="3468"/>
      <c r="H70" s="1565"/>
    </row>
    <row r="71" spans="1:8" hidden="1" x14ac:dyDescent="0.3">
      <c r="A71" s="1565"/>
      <c r="B71" s="1565"/>
      <c r="C71" s="1566" t="str">
        <f>'Scenario Identification'!C23</f>
        <v>Fuel Accumulation while Down</v>
      </c>
      <c r="D71" s="3467"/>
      <c r="E71" s="3468"/>
      <c r="F71" s="3468"/>
      <c r="G71" s="3468"/>
      <c r="H71" s="1565"/>
    </row>
    <row r="72" spans="1:8" hidden="1" x14ac:dyDescent="0.3">
      <c r="A72" s="1565"/>
      <c r="B72" s="1565"/>
      <c r="C72" s="1566" t="str">
        <f>'Scenario Identification'!C24</f>
        <v>High Fuel Flow or Energy Content</v>
      </c>
      <c r="D72" s="3467"/>
      <c r="E72" s="3468"/>
      <c r="F72" s="3468"/>
      <c r="G72" s="3468"/>
      <c r="H72" s="1565"/>
    </row>
    <row r="73" spans="1:8" hidden="1" x14ac:dyDescent="0.3">
      <c r="A73" s="1565"/>
      <c r="B73" s="1565"/>
      <c r="C73" s="1566" t="str">
        <f>'Scenario Identification'!C25</f>
        <v>High Temperature Failure</v>
      </c>
      <c r="D73" s="3467"/>
      <c r="E73" s="3468"/>
      <c r="F73" s="3468"/>
      <c r="G73" s="3468"/>
      <c r="H73" s="1565"/>
    </row>
    <row r="74" spans="1:8" hidden="1" x14ac:dyDescent="0.3">
      <c r="A74" s="1565"/>
      <c r="B74" s="1565"/>
      <c r="C74" s="1566" t="str">
        <f>'Scenario Identification'!C26</f>
        <v>Hose or Loading Arm Connection</v>
      </c>
      <c r="D74" s="3467"/>
      <c r="E74" s="3468"/>
      <c r="F74" s="3468"/>
      <c r="G74" s="3468"/>
      <c r="H74" s="1565"/>
    </row>
    <row r="75" spans="1:8" hidden="1" x14ac:dyDescent="0.3">
      <c r="A75" s="1565"/>
      <c r="B75" s="1565"/>
      <c r="C75" s="1566" t="str">
        <f>'Scenario Identification'!C27</f>
        <v>Damage from Movement</v>
      </c>
      <c r="D75" s="3467"/>
      <c r="E75" s="3468"/>
      <c r="F75" s="3468"/>
      <c r="G75" s="3468"/>
      <c r="H75" s="1565"/>
    </row>
    <row r="76" spans="1:8" hidden="1" x14ac:dyDescent="0.3">
      <c r="A76" s="1565"/>
      <c r="B76" s="1565"/>
      <c r="C76" s="1566" t="str">
        <f>'Scenario Identification'!C28</f>
        <v>Hydraulic Surge</v>
      </c>
      <c r="D76" s="3467"/>
      <c r="E76" s="3468"/>
      <c r="F76" s="3468"/>
      <c r="G76" s="3468"/>
      <c r="H76" s="1565"/>
    </row>
    <row r="77" spans="1:8" hidden="1" x14ac:dyDescent="0.3">
      <c r="A77" s="1565"/>
      <c r="B77" s="1565"/>
      <c r="C77" s="1566" t="str">
        <f>'Scenario Identification'!C29</f>
        <v>Hydraulic Overpressure</v>
      </c>
      <c r="D77" s="3467"/>
      <c r="E77" s="3468"/>
      <c r="F77" s="3468"/>
      <c r="G77" s="3468"/>
      <c r="H77" s="1565"/>
    </row>
    <row r="78" spans="1:8" hidden="1" x14ac:dyDescent="0.3">
      <c r="A78" s="1565"/>
      <c r="B78" s="1565"/>
      <c r="C78" s="1566" t="str">
        <f>'Scenario Identification'!C30</f>
        <v>Introduction of Foreign Material</v>
      </c>
      <c r="D78" s="3467"/>
      <c r="E78" s="3468"/>
      <c r="F78" s="3468"/>
      <c r="G78" s="3468"/>
      <c r="H78" s="1565"/>
    </row>
    <row r="79" spans="1:8" hidden="1" x14ac:dyDescent="0.3">
      <c r="A79" s="1565"/>
      <c r="B79" s="1565"/>
      <c r="C79" s="1566" t="str">
        <f>'Scenario Identification'!C31</f>
        <v>Liquid in Vapor Feed</v>
      </c>
      <c r="D79" s="3467"/>
      <c r="E79" s="3468"/>
      <c r="F79" s="3468"/>
      <c r="G79" s="3468"/>
      <c r="H79" s="1565"/>
    </row>
    <row r="80" spans="1:8" hidden="1" x14ac:dyDescent="0.3">
      <c r="A80" s="1565"/>
      <c r="B80" s="1565"/>
      <c r="C80" s="1566" t="str">
        <f>'Scenario Identification'!C32</f>
        <v>Loss of Flow - Adsorber or Scrubber</v>
      </c>
      <c r="D80" s="3467"/>
      <c r="E80" s="3468"/>
      <c r="F80" s="3468"/>
      <c r="G80" s="3468"/>
      <c r="H80" s="1565"/>
    </row>
    <row r="81" spans="1:8" hidden="1" x14ac:dyDescent="0.3">
      <c r="A81" s="1565"/>
      <c r="B81" s="1565"/>
      <c r="C81" s="1566" t="str">
        <f>'Scenario Identification'!C33</f>
        <v>Loss of Flow or Level - Fired Equipment</v>
      </c>
      <c r="D81" s="3467"/>
      <c r="E81" s="3468"/>
      <c r="F81" s="3468"/>
      <c r="G81" s="3468"/>
      <c r="H81" s="1565"/>
    </row>
    <row r="82" spans="1:8" hidden="1" x14ac:dyDescent="0.3">
      <c r="A82" s="1565"/>
      <c r="B82" s="1565"/>
      <c r="C82" s="1566" t="str">
        <f>'Scenario Identification'!C34</f>
        <v>Loss of Pilot or Ignition</v>
      </c>
      <c r="D82" s="3467"/>
      <c r="E82" s="3468"/>
      <c r="F82" s="3468"/>
      <c r="G82" s="3468"/>
      <c r="H82" s="1565"/>
    </row>
    <row r="83" spans="1:8" hidden="1" x14ac:dyDescent="0.3">
      <c r="A83" s="1565"/>
      <c r="B83" s="1565"/>
      <c r="C83" s="1566" t="str">
        <f>'Scenario Identification'!C35</f>
        <v>Loss of Vacuum - Thermal Oxidizer</v>
      </c>
      <c r="D83" s="3467"/>
      <c r="E83" s="3468"/>
      <c r="F83" s="3468"/>
      <c r="G83" s="3468"/>
      <c r="H83" s="1565"/>
    </row>
    <row r="84" spans="1:8" hidden="1" x14ac:dyDescent="0.3">
      <c r="A84" s="1565"/>
      <c r="B84" s="1565"/>
      <c r="C84" s="1566" t="str">
        <f>'Scenario Identification'!C36</f>
        <v>Low Temperature Embrittlement</v>
      </c>
      <c r="D84" s="3467"/>
      <c r="E84" s="3468"/>
      <c r="F84" s="3468"/>
      <c r="G84" s="3468"/>
      <c r="H84" s="1565"/>
    </row>
    <row r="85" spans="1:8" hidden="1" x14ac:dyDescent="0.3">
      <c r="A85" s="1565"/>
      <c r="B85" s="1565"/>
      <c r="C85" s="1566" t="str">
        <f>'Scenario Identification'!C37</f>
        <v>Overfill or Overflow</v>
      </c>
      <c r="D85" s="3467"/>
      <c r="E85" s="3468"/>
      <c r="F85" s="3468"/>
      <c r="G85" s="3468"/>
      <c r="H85" s="1565"/>
    </row>
    <row r="86" spans="1:8" hidden="1" x14ac:dyDescent="0.3">
      <c r="A86" s="1565"/>
      <c r="B86" s="1565"/>
      <c r="C86" s="1566" t="str">
        <f>'Scenario Identification'!C39</f>
        <v>Overflow - Flooding or Plugging</v>
      </c>
      <c r="D86" s="3467"/>
      <c r="E86" s="3468"/>
      <c r="F86" s="3468"/>
      <c r="G86" s="3468"/>
      <c r="H86" s="1565"/>
    </row>
    <row r="87" spans="1:8" hidden="1" x14ac:dyDescent="0.3">
      <c r="A87" s="1565"/>
      <c r="B87" s="1565"/>
      <c r="C87" s="1566" t="str">
        <f>'Scenario Identification'!C40</f>
        <v>Physical Damage or Puncture</v>
      </c>
      <c r="D87" s="3467"/>
      <c r="E87" s="3468"/>
      <c r="F87" s="3468"/>
      <c r="G87" s="3468"/>
      <c r="H87" s="1565"/>
    </row>
    <row r="88" spans="1:8" hidden="1" x14ac:dyDescent="0.3">
      <c r="A88" s="1565"/>
      <c r="B88" s="1565"/>
      <c r="C88" s="1566" t="str">
        <f>'Scenario Identification'!C41</f>
        <v>Mechanical Integrity Failure - Extremely Large</v>
      </c>
      <c r="D88" s="3467"/>
      <c r="E88" s="3468"/>
      <c r="F88" s="3468"/>
      <c r="G88" s="3468"/>
      <c r="H88" s="1565"/>
    </row>
    <row r="89" spans="1:8" hidden="1" x14ac:dyDescent="0.3">
      <c r="A89" s="1565"/>
      <c r="B89" s="1565"/>
      <c r="C89" s="1566" t="str">
        <f>'Scenario Identification'!C42</f>
        <v>Mechanical Integrity Failure - Very Large</v>
      </c>
      <c r="D89" s="3467"/>
      <c r="E89" s="3468"/>
      <c r="F89" s="3468"/>
      <c r="G89" s="3468"/>
      <c r="H89" s="1565"/>
    </row>
    <row r="90" spans="1:8" hidden="1" x14ac:dyDescent="0.3">
      <c r="A90" s="1565"/>
      <c r="B90" s="1565"/>
      <c r="C90" s="1566" t="str">
        <f>'Scenario Identification'!C43</f>
        <v>Piping or Equipment Leak - Full Bore</v>
      </c>
      <c r="D90" s="3467"/>
      <c r="E90" s="3468"/>
      <c r="F90" s="3468"/>
      <c r="G90" s="3468"/>
      <c r="H90" s="1565"/>
    </row>
    <row r="91" spans="1:8" hidden="1" x14ac:dyDescent="0.3">
      <c r="A91" s="1565"/>
      <c r="B91" s="1565"/>
      <c r="C91" s="1566" t="str">
        <f>'Scenario Identification'!C44</f>
        <v>Mechanical Integrity Failure - Medium</v>
      </c>
      <c r="D91" s="3467"/>
      <c r="E91" s="3468"/>
      <c r="F91" s="3468"/>
      <c r="G91" s="3468"/>
      <c r="H91" s="1565"/>
    </row>
    <row r="92" spans="1:8" hidden="1" x14ac:dyDescent="0.3">
      <c r="A92" s="1565"/>
      <c r="B92" s="1565"/>
      <c r="C92" s="1566" t="str">
        <f>'Scenario Identification'!C45</f>
        <v>Relief Device Failure</v>
      </c>
      <c r="D92" s="3467"/>
      <c r="E92" s="3468"/>
      <c r="F92" s="3468"/>
      <c r="G92" s="3468"/>
      <c r="H92" s="1565"/>
    </row>
    <row r="93" spans="1:8" hidden="1" x14ac:dyDescent="0.3">
      <c r="A93" s="1565"/>
      <c r="B93" s="1565"/>
      <c r="C93" s="1566" t="str">
        <f>'Scenario Identification'!C46</f>
        <v>Piping or Equipment Leak - Small</v>
      </c>
      <c r="D93" s="3467"/>
      <c r="E93" s="3468"/>
      <c r="F93" s="3468"/>
      <c r="G93" s="3468"/>
      <c r="H93" s="1565"/>
    </row>
    <row r="94" spans="1:8" hidden="1" x14ac:dyDescent="0.3">
      <c r="A94" s="1565"/>
      <c r="B94" s="1565"/>
      <c r="C94" s="1566" t="str">
        <f>'Scenario Identification'!C47</f>
        <v>Mechanical Integrity Failure - Very Small</v>
      </c>
      <c r="D94" s="3467"/>
      <c r="E94" s="3468"/>
      <c r="F94" s="3468"/>
      <c r="G94" s="3468"/>
      <c r="H94" s="1565"/>
    </row>
    <row r="95" spans="1:8" hidden="1" x14ac:dyDescent="0.3">
      <c r="A95" s="1565"/>
      <c r="B95" s="1565"/>
      <c r="C95" s="1566" t="str">
        <f>'Scenario Identification'!C48</f>
        <v>Plugged or Frozen Vent Line</v>
      </c>
      <c r="D95" s="3467"/>
      <c r="E95" s="3468"/>
      <c r="F95" s="3468"/>
      <c r="G95" s="3468"/>
      <c r="H95" s="1565"/>
    </row>
    <row r="96" spans="1:8" hidden="1" x14ac:dyDescent="0.3">
      <c r="A96" s="1565"/>
      <c r="B96" s="1565"/>
      <c r="C96" s="1566" t="str">
        <f>'Scenario Identification'!C49</f>
        <v>Pressure Damage</v>
      </c>
      <c r="D96" s="3467"/>
      <c r="E96" s="3468"/>
      <c r="F96" s="3468"/>
      <c r="G96" s="3468"/>
      <c r="H96" s="1565"/>
    </row>
    <row r="97" spans="1:8" hidden="1" x14ac:dyDescent="0.3">
      <c r="A97" s="1565"/>
      <c r="B97" s="1565"/>
      <c r="C97" s="1566" t="str">
        <f>'Scenario Identification'!C50</f>
        <v>Propagation of Flame or Burning Ember</v>
      </c>
      <c r="D97" s="3467"/>
      <c r="E97" s="3468"/>
      <c r="F97" s="3468"/>
      <c r="G97" s="3468"/>
      <c r="H97" s="1565"/>
    </row>
    <row r="98" spans="1:8" hidden="1" x14ac:dyDescent="0.3">
      <c r="A98" s="1565"/>
      <c r="B98" s="1565"/>
      <c r="C98" s="1566" t="str">
        <f>'Scenario Identification'!C51</f>
        <v>Pump Deadhead</v>
      </c>
      <c r="D98" s="3467"/>
      <c r="E98" s="3468"/>
      <c r="F98" s="3468"/>
      <c r="G98" s="3468"/>
      <c r="H98" s="1565"/>
    </row>
    <row r="99" spans="1:8" hidden="1" x14ac:dyDescent="0.3">
      <c r="A99" s="1565"/>
      <c r="B99" s="1565"/>
      <c r="C99" s="1566" t="str">
        <f>'Scenario Identification'!C52</f>
        <v>Rotating Equipment Damage</v>
      </c>
      <c r="D99" s="3467"/>
      <c r="E99" s="3468"/>
      <c r="F99" s="3468"/>
      <c r="G99" s="3468"/>
      <c r="H99" s="1565"/>
    </row>
    <row r="100" spans="1:8" hidden="1" x14ac:dyDescent="0.3">
      <c r="A100" s="1565"/>
      <c r="B100" s="1565"/>
      <c r="C100" s="1566" t="str">
        <f>'Scenario Identification'!C53</f>
        <v>Seal Leak</v>
      </c>
      <c r="D100" s="3467"/>
      <c r="E100" s="3468"/>
      <c r="F100" s="3468"/>
      <c r="G100" s="3468"/>
      <c r="H100" s="1565"/>
    </row>
    <row r="101" spans="1:8" hidden="1" x14ac:dyDescent="0.3">
      <c r="A101" s="1565"/>
      <c r="B101" s="1565"/>
      <c r="C101" s="1566" t="str">
        <f>'Scenario Identification'!C54</f>
        <v>Tube Failure</v>
      </c>
      <c r="D101" s="3467"/>
      <c r="E101" s="3468"/>
      <c r="F101" s="3468"/>
      <c r="G101" s="3468"/>
      <c r="H101" s="1565"/>
    </row>
    <row r="102" spans="1:8" hidden="1" x14ac:dyDescent="0.3">
      <c r="A102" s="1565"/>
      <c r="B102" s="1565"/>
      <c r="C102" s="1566" t="str">
        <f>'Scenario Identification'!C55</f>
        <v>Uncontrolled Reaction - Adiabatic</v>
      </c>
      <c r="D102" s="3467"/>
      <c r="E102" s="3468"/>
      <c r="F102" s="3468"/>
      <c r="G102" s="3468"/>
      <c r="H102" s="1565"/>
    </row>
    <row r="103" spans="1:8" hidden="1" x14ac:dyDescent="0.3">
      <c r="A103" s="1565"/>
      <c r="B103" s="1565"/>
      <c r="C103" s="1566" t="str">
        <f>'Scenario Identification'!C56</f>
        <v>Uncontrolled Reaction - Thermal Initiation</v>
      </c>
      <c r="D103" s="3467"/>
      <c r="E103" s="3468"/>
      <c r="F103" s="3468"/>
      <c r="G103" s="3468"/>
      <c r="H103" s="1565"/>
    </row>
    <row r="104" spans="1:8" hidden="1" x14ac:dyDescent="0.3">
      <c r="A104" s="1565"/>
      <c r="B104" s="1565"/>
      <c r="C104" s="1566" t="str">
        <f>'Scenario Identification'!C57</f>
        <v>Uncontrolled Reaction - Fire Induced</v>
      </c>
      <c r="D104" s="3467"/>
      <c r="E104" s="3468"/>
      <c r="F104" s="3468"/>
      <c r="G104" s="3468"/>
      <c r="H104" s="1565"/>
    </row>
    <row r="105" spans="1:8" hidden="1" x14ac:dyDescent="0.3">
      <c r="A105" s="1565"/>
      <c r="B105" s="1565"/>
      <c r="C105" s="1566" t="str">
        <f>'Scenario Identification'!C58</f>
        <v>Uncontrolled Reaction - Catalyst or Impurity</v>
      </c>
      <c r="D105" s="3467"/>
      <c r="E105" s="3468"/>
      <c r="F105" s="3468"/>
      <c r="G105" s="3468"/>
      <c r="H105" s="1565"/>
    </row>
    <row r="106" spans="1:8" hidden="1" x14ac:dyDescent="0.3">
      <c r="A106" s="1565"/>
      <c r="B106" s="1565"/>
      <c r="C106" s="1566" t="str">
        <f>'Scenario Identification'!C59</f>
        <v>Uncontrolled Reaction - Pooling of Reactants</v>
      </c>
      <c r="D106" s="3467"/>
      <c r="E106" s="3468"/>
      <c r="F106" s="3468"/>
      <c r="G106" s="3468"/>
      <c r="H106" s="1565"/>
    </row>
    <row r="107" spans="1:8" hidden="1" x14ac:dyDescent="0.3">
      <c r="A107" s="1565"/>
      <c r="B107" s="1565"/>
      <c r="C107" s="1566" t="str">
        <f>'Scenario Identification'!C60</f>
        <v>Uncontrolled Reaction - Mis-Loading</v>
      </c>
      <c r="D107" s="3467"/>
      <c r="E107" s="3468"/>
      <c r="F107" s="3468"/>
      <c r="G107" s="3468"/>
      <c r="H107" s="1565"/>
    </row>
    <row r="108" spans="1:8" hidden="1" x14ac:dyDescent="0.3">
      <c r="A108" s="1565"/>
      <c r="B108" s="1565"/>
      <c r="C108" s="1566" t="str">
        <f>'Scenario Identification'!C61</f>
        <v>Uncontrolled Reaction - Incompatible Materials</v>
      </c>
      <c r="D108" s="3467"/>
      <c r="E108" s="3468"/>
      <c r="F108" s="3468"/>
      <c r="G108" s="3468"/>
      <c r="H108" s="1565"/>
    </row>
    <row r="109" spans="1:8" hidden="1" x14ac:dyDescent="0.3">
      <c r="A109" s="1565"/>
      <c r="B109" s="1565"/>
      <c r="C109" s="1566" t="str">
        <f>'Scenario Identification'!C62</f>
        <v>Vacuum Damage</v>
      </c>
      <c r="D109" s="3467"/>
      <c r="E109" s="3468"/>
      <c r="F109" s="3468"/>
      <c r="G109" s="3468"/>
      <c r="H109" s="1565"/>
    </row>
    <row r="110" spans="1:8" hidden="1" x14ac:dyDescent="0.3">
      <c r="A110" s="1565"/>
      <c r="B110" s="1565"/>
      <c r="C110" s="1566" t="str">
        <f>'Scenario Identification'!C63</f>
        <v>USER DEFINED - EVENT TYPE</v>
      </c>
      <c r="D110" s="3474"/>
      <c r="E110" s="3475"/>
      <c r="F110" s="3475"/>
      <c r="G110" s="3475"/>
      <c r="H110" s="1565"/>
    </row>
    <row r="111" spans="1:8" hidden="1" x14ac:dyDescent="0.3">
      <c r="A111" s="1565"/>
      <c r="B111" s="1565"/>
      <c r="C111" s="1565"/>
      <c r="D111" s="1565"/>
      <c r="E111" s="1565"/>
      <c r="F111" s="1565"/>
      <c r="G111" s="1565"/>
      <c r="H111" s="1565"/>
    </row>
  </sheetData>
  <sheetProtection sheet="1" objects="1" scenarios="1"/>
  <mergeCells count="144">
    <mergeCell ref="D77:G77"/>
    <mergeCell ref="S25:S28"/>
    <mergeCell ref="T25:T28"/>
    <mergeCell ref="O21:O24"/>
    <mergeCell ref="P21:P24"/>
    <mergeCell ref="K5:U6"/>
    <mergeCell ref="R33:R36"/>
    <mergeCell ref="S33:S36"/>
    <mergeCell ref="T33:T36"/>
    <mergeCell ref="U33:U36"/>
    <mergeCell ref="U29:U32"/>
    <mergeCell ref="Q25:Q28"/>
    <mergeCell ref="R25:R28"/>
    <mergeCell ref="R9:R12"/>
    <mergeCell ref="S9:S12"/>
    <mergeCell ref="T9:T12"/>
    <mergeCell ref="U9:U12"/>
    <mergeCell ref="Q13:Q16"/>
    <mergeCell ref="Q33:Q36"/>
    <mergeCell ref="Q29:Q32"/>
    <mergeCell ref="S29:S32"/>
    <mergeCell ref="T29:T32"/>
    <mergeCell ref="K29:K32"/>
    <mergeCell ref="L29:L32"/>
    <mergeCell ref="N29:N32"/>
    <mergeCell ref="O29:O32"/>
    <mergeCell ref="P29:P32"/>
    <mergeCell ref="D108:G108"/>
    <mergeCell ref="D109:G109"/>
    <mergeCell ref="D110:G110"/>
    <mergeCell ref="D103:G103"/>
    <mergeCell ref="D104:G104"/>
    <mergeCell ref="D105:G105"/>
    <mergeCell ref="D106:G106"/>
    <mergeCell ref="D107:G107"/>
    <mergeCell ref="D98:G98"/>
    <mergeCell ref="D99:G99"/>
    <mergeCell ref="D100:G100"/>
    <mergeCell ref="D101:G101"/>
    <mergeCell ref="D102:G102"/>
    <mergeCell ref="D93:G93"/>
    <mergeCell ref="D94:G94"/>
    <mergeCell ref="D95:G95"/>
    <mergeCell ref="D96:G96"/>
    <mergeCell ref="D97:G97"/>
    <mergeCell ref="D88:G88"/>
    <mergeCell ref="D89:G89"/>
    <mergeCell ref="D90:G90"/>
    <mergeCell ref="D91:G91"/>
    <mergeCell ref="D92:G92"/>
    <mergeCell ref="D83:G83"/>
    <mergeCell ref="D84:G84"/>
    <mergeCell ref="D85:G85"/>
    <mergeCell ref="D86:G86"/>
    <mergeCell ref="D87:G87"/>
    <mergeCell ref="D78:G78"/>
    <mergeCell ref="D79:G79"/>
    <mergeCell ref="D80:G80"/>
    <mergeCell ref="D81:G81"/>
    <mergeCell ref="D82:G82"/>
    <mergeCell ref="D72:G72"/>
    <mergeCell ref="D73:G73"/>
    <mergeCell ref="D74:G74"/>
    <mergeCell ref="D75:G75"/>
    <mergeCell ref="D76:G76"/>
    <mergeCell ref="D65:G65"/>
    <mergeCell ref="D68:G68"/>
    <mergeCell ref="D69:G69"/>
    <mergeCell ref="D70:G70"/>
    <mergeCell ref="D71:G71"/>
    <mergeCell ref="D66:G66"/>
    <mergeCell ref="D67:G67"/>
    <mergeCell ref="D64:G64"/>
    <mergeCell ref="D55:G55"/>
    <mergeCell ref="D56:G56"/>
    <mergeCell ref="D57:G57"/>
    <mergeCell ref="D58:G58"/>
    <mergeCell ref="D59:G59"/>
    <mergeCell ref="R13:R16"/>
    <mergeCell ref="S13:S16"/>
    <mergeCell ref="T13:T16"/>
    <mergeCell ref="K13:K16"/>
    <mergeCell ref="L13:L16"/>
    <mergeCell ref="N13:N16"/>
    <mergeCell ref="O13:O16"/>
    <mergeCell ref="P13:P16"/>
    <mergeCell ref="Q17:Q20"/>
    <mergeCell ref="R17:R20"/>
    <mergeCell ref="S17:S20"/>
    <mergeCell ref="T17:T20"/>
    <mergeCell ref="K17:K20"/>
    <mergeCell ref="L17:L20"/>
    <mergeCell ref="N17:N20"/>
    <mergeCell ref="O17:O20"/>
    <mergeCell ref="P17:P20"/>
    <mergeCell ref="K25:K28"/>
    <mergeCell ref="D60:G60"/>
    <mergeCell ref="D61:G61"/>
    <mergeCell ref="D62:G62"/>
    <mergeCell ref="D63:G63"/>
    <mergeCell ref="U13:U16"/>
    <mergeCell ref="U17:U20"/>
    <mergeCell ref="U25:U28"/>
    <mergeCell ref="L25:L28"/>
    <mergeCell ref="N25:N28"/>
    <mergeCell ref="O25:O28"/>
    <mergeCell ref="P25:P28"/>
    <mergeCell ref="Q21:Q24"/>
    <mergeCell ref="R21:R24"/>
    <mergeCell ref="S21:S24"/>
    <mergeCell ref="T21:T24"/>
    <mergeCell ref="U21:U24"/>
    <mergeCell ref="K21:K24"/>
    <mergeCell ref="L21:L24"/>
    <mergeCell ref="N21:N24"/>
    <mergeCell ref="N38:O38"/>
    <mergeCell ref="K33:K36"/>
    <mergeCell ref="L33:L36"/>
    <mergeCell ref="O33:O36"/>
    <mergeCell ref="P33:P36"/>
    <mergeCell ref="K2:U3"/>
    <mergeCell ref="V9:V12"/>
    <mergeCell ref="V33:V36"/>
    <mergeCell ref="U38:U39"/>
    <mergeCell ref="P38:P39"/>
    <mergeCell ref="R29:R32"/>
    <mergeCell ref="D54:G54"/>
    <mergeCell ref="A3:H3"/>
    <mergeCell ref="A2:H2"/>
    <mergeCell ref="C5:F5"/>
    <mergeCell ref="C6:F6"/>
    <mergeCell ref="B8:G12"/>
    <mergeCell ref="B7:G7"/>
    <mergeCell ref="C23:D23"/>
    <mergeCell ref="C21:D21"/>
    <mergeCell ref="C22:D22"/>
    <mergeCell ref="K7:N7"/>
    <mergeCell ref="P7:U7"/>
    <mergeCell ref="K9:K12"/>
    <mergeCell ref="L9:L12"/>
    <mergeCell ref="N9:N12"/>
    <mergeCell ref="O9:O12"/>
    <mergeCell ref="P9:P12"/>
    <mergeCell ref="Q9:Q12"/>
  </mergeCells>
  <conditionalFormatting sqref="C5:F5">
    <cfRule type="expression" dxfId="807" priority="114">
      <formula>IF($C$5="",TRUE,FALSE)</formula>
    </cfRule>
  </conditionalFormatting>
  <conditionalFormatting sqref="C6:F6">
    <cfRule type="expression" dxfId="806" priority="113">
      <formula>IF($C$6="",TRUE,FALSE)</formula>
    </cfRule>
  </conditionalFormatting>
  <conditionalFormatting sqref="P9:P12">
    <cfRule type="expression" dxfId="805" priority="25">
      <formula>IF(P9="Red",TRUE,FALSE)</formula>
    </cfRule>
    <cfRule type="expression" dxfId="804" priority="26">
      <formula>IF(P9="Orange",TRUE,FALSE)</formula>
    </cfRule>
    <cfRule type="expression" dxfId="803" priority="27">
      <formula>IF(P9="Yellow",TRUE,FALSE)</formula>
    </cfRule>
    <cfRule type="expression" dxfId="802" priority="28">
      <formula>IF(P9="Green",TRUE,FALSE)</formula>
    </cfRule>
  </conditionalFormatting>
  <conditionalFormatting sqref="Q9:U12">
    <cfRule type="expression" dxfId="801" priority="9">
      <formula>IF(Q9="Red",TRUE,FALSE)</formula>
    </cfRule>
    <cfRule type="expression" dxfId="800" priority="10">
      <formula>IF(Q9="Orange",TRUE,FALSE)</formula>
    </cfRule>
    <cfRule type="expression" dxfId="799" priority="11">
      <formula>IF(Q9="Yellow",TRUE,FALSE)</formula>
    </cfRule>
    <cfRule type="expression" dxfId="798" priority="12">
      <formula>IF(Q9="Green",TRUE,FALSE)</formula>
    </cfRule>
  </conditionalFormatting>
  <conditionalFormatting sqref="P13:P36">
    <cfRule type="expression" dxfId="797" priority="5">
      <formula>IF(P13="Red",TRUE,FALSE)</formula>
    </cfRule>
    <cfRule type="expression" dxfId="796" priority="6">
      <formula>IF(P13="Orange",TRUE,FALSE)</formula>
    </cfRule>
    <cfRule type="expression" dxfId="795" priority="7">
      <formula>IF(P13="Yellow",TRUE,FALSE)</formula>
    </cfRule>
    <cfRule type="expression" dxfId="794" priority="8">
      <formula>IF(P13="Green",TRUE,FALSE)</formula>
    </cfRule>
  </conditionalFormatting>
  <conditionalFormatting sqref="Q13:U36">
    <cfRule type="expression" dxfId="793" priority="1">
      <formula>IF(Q13="Red",TRUE,FALSE)</formula>
    </cfRule>
    <cfRule type="expression" dxfId="792" priority="2">
      <formula>IF(Q13="Orange",TRUE,FALSE)</formula>
    </cfRule>
    <cfRule type="expression" dxfId="791" priority="3">
      <formula>IF(Q13="Yellow",TRUE,FALSE)</formula>
    </cfRule>
    <cfRule type="expression" dxfId="790" priority="4">
      <formula>IF(Q13="Green",TRUE,FALSE)</formula>
    </cfRule>
  </conditionalFormatting>
  <dataValidations count="7">
    <dataValidation type="list" allowBlank="1" showInputMessage="1" showErrorMessage="1" sqref="G50" xr:uid="{00000000-0002-0000-0200-000000000000}">
      <formula1>Press_List</formula1>
    </dataValidation>
    <dataValidation type="list" allowBlank="1" showInputMessage="1" showErrorMessage="1" sqref="G45" xr:uid="{00000000-0002-0000-0200-000001000000}">
      <formula1>Dist_List</formula1>
    </dataValidation>
    <dataValidation type="list" allowBlank="1" showInputMessage="1" showErrorMessage="1" sqref="G47" xr:uid="{00000000-0002-0000-0200-000002000000}">
      <formula1>Mass_List</formula1>
    </dataValidation>
    <dataValidation type="list" allowBlank="1" showInputMessage="1" showErrorMessage="1" sqref="G48" xr:uid="{00000000-0002-0000-0200-000003000000}">
      <formula1>Rate_List</formula1>
    </dataValidation>
    <dataValidation type="list" allowBlank="1" showInputMessage="1" showErrorMessage="1" sqref="G49" xr:uid="{00000000-0002-0000-0200-000004000000}">
      <formula1>Area_List</formula1>
    </dataValidation>
    <dataValidation type="list" allowBlank="1" showInputMessage="1" showErrorMessage="1" sqref="G46" xr:uid="{00000000-0002-0000-0200-000005000000}">
      <formula1>Size_List</formula1>
    </dataValidation>
    <dataValidation type="list" allowBlank="1" showInputMessage="1" showErrorMessage="1" sqref="G51" xr:uid="{00000000-0002-0000-0200-000006000000}">
      <formula1>EquipVol_List</formula1>
    </dataValidation>
  </dataValidations>
  <pageMargins left="0.5" right="0.25" top="0.25" bottom="0.5" header="0" footer="0.2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6525" r:id="rId4" name="Main Menu">
              <controlPr defaultSize="0" print="0" autoFill="0" autoPict="0" macro="[0]!Go_To_Main_Menu">
                <anchor moveWithCells="1" sizeWithCells="1">
                  <from>
                    <xdr:col>0</xdr:col>
                    <xdr:colOff>114300</xdr:colOff>
                    <xdr:row>0</xdr:row>
                    <xdr:rowOff>76200</xdr:rowOff>
                  </from>
                  <to>
                    <xdr:col>1</xdr:col>
                    <xdr:colOff>1212850</xdr:colOff>
                    <xdr:row>1</xdr:row>
                    <xdr:rowOff>114300</xdr:rowOff>
                  </to>
                </anchor>
              </controlPr>
            </control>
          </mc:Choice>
        </mc:AlternateContent>
        <mc:AlternateContent xmlns:mc="http://schemas.openxmlformats.org/markup-compatibility/2006">
          <mc:Choice Requires="x14">
            <control shapeId="1216526" r:id="rId5" name="Button 14">
              <controlPr defaultSize="0" print="0" autoFill="0" autoPict="0" macro="[0]!Show_SuggestedIPLs">
                <anchor moveWithCells="1" sizeWithCells="1">
                  <from>
                    <xdr:col>1</xdr:col>
                    <xdr:colOff>69850</xdr:colOff>
                    <xdr:row>49</xdr:row>
                    <xdr:rowOff>133350</xdr:rowOff>
                  </from>
                  <to>
                    <xdr:col>1</xdr:col>
                    <xdr:colOff>1327150</xdr:colOff>
                    <xdr:row>51</xdr:row>
                    <xdr:rowOff>0</xdr:rowOff>
                  </to>
                </anchor>
              </controlPr>
            </control>
          </mc:Choice>
        </mc:AlternateContent>
        <mc:AlternateContent xmlns:mc="http://schemas.openxmlformats.org/markup-compatibility/2006">
          <mc:Choice Requires="x14">
            <control shapeId="1216527" r:id="rId6" name="Button 15">
              <controlPr defaultSize="0" print="0" autoFill="0" autoPict="0" macro="[0]!Hide_SuggestedIPLs">
                <anchor moveWithCells="1" sizeWithCells="1">
                  <from>
                    <xdr:col>2</xdr:col>
                    <xdr:colOff>69850</xdr:colOff>
                    <xdr:row>49</xdr:row>
                    <xdr:rowOff>146050</xdr:rowOff>
                  </from>
                  <to>
                    <xdr:col>4</xdr:col>
                    <xdr:colOff>171450</xdr:colOff>
                    <xdr:row>50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3">
    <tabColor rgb="FF00B050"/>
    <pageSetUpPr autoPageBreaks="0"/>
  </sheetPr>
  <dimension ref="A1:AC41"/>
  <sheetViews>
    <sheetView showGridLines="0" showRowColHeaders="0" zoomScaleNormal="100" workbookViewId="0">
      <selection activeCell="K10" sqref="K10:L10"/>
    </sheetView>
  </sheetViews>
  <sheetFormatPr defaultColWidth="9.1796875" defaultRowHeight="12.5" x14ac:dyDescent="0.25"/>
  <cols>
    <col min="1" max="1" width="2" style="337" customWidth="1"/>
    <col min="2" max="11" width="3.1796875" style="337" customWidth="1"/>
    <col min="12" max="25" width="3.1796875" style="812" customWidth="1"/>
    <col min="26" max="26" width="1.81640625" style="812" customWidth="1"/>
    <col min="27" max="27" width="5.1796875" style="337" customWidth="1"/>
    <col min="28" max="28" width="7.1796875" style="337" customWidth="1"/>
    <col min="29" max="29" width="5" style="337" bestFit="1" customWidth="1"/>
    <col min="30" max="40" width="3.1796875" style="337" customWidth="1"/>
    <col min="41" max="16384" width="9.1796875" style="337"/>
  </cols>
  <sheetData>
    <row r="1" spans="1:26" s="816" customFormat="1" ht="18" x14ac:dyDescent="0.4">
      <c r="A1" s="3478" t="s">
        <v>5032</v>
      </c>
      <c r="B1" s="3478"/>
      <c r="C1" s="3478"/>
      <c r="D1" s="3478"/>
      <c r="E1" s="3478"/>
      <c r="F1" s="3478"/>
      <c r="G1" s="3478"/>
      <c r="H1" s="3478"/>
      <c r="I1" s="3478"/>
      <c r="J1" s="3478"/>
      <c r="K1" s="3478"/>
      <c r="L1" s="3478"/>
      <c r="M1" s="3478"/>
      <c r="N1" s="3478"/>
      <c r="O1" s="3478"/>
      <c r="P1" s="3478"/>
      <c r="Q1" s="3478"/>
      <c r="R1" s="3478"/>
      <c r="S1" s="3478"/>
      <c r="T1" s="3478"/>
      <c r="U1" s="3478"/>
      <c r="V1" s="3478"/>
      <c r="W1" s="3478"/>
      <c r="X1" s="3478"/>
      <c r="Y1" s="3478"/>
      <c r="Z1" s="3478"/>
    </row>
    <row r="2" spans="1:26" s="816" customFormat="1" ht="18" x14ac:dyDescent="0.4">
      <c r="A2" s="668"/>
      <c r="B2" s="668"/>
      <c r="C2" s="668"/>
      <c r="D2" s="668"/>
      <c r="E2" s="668"/>
      <c r="F2" s="668"/>
      <c r="G2" s="668"/>
      <c r="H2" s="668"/>
      <c r="I2" s="668"/>
      <c r="J2" s="668"/>
      <c r="K2" s="668"/>
      <c r="L2" s="668"/>
      <c r="M2" s="668"/>
      <c r="N2" s="668"/>
      <c r="O2" s="668"/>
      <c r="P2" s="668"/>
      <c r="Q2" s="668"/>
      <c r="R2" s="668"/>
      <c r="S2" s="668"/>
      <c r="T2" s="668"/>
      <c r="U2" s="668"/>
      <c r="V2" s="668"/>
      <c r="W2" s="668"/>
      <c r="X2" s="668"/>
      <c r="Y2" s="668"/>
      <c r="Z2" s="668"/>
    </row>
    <row r="3" spans="1:26" ht="10.4" customHeight="1" x14ac:dyDescent="0.25">
      <c r="A3" s="525"/>
      <c r="B3" s="525"/>
      <c r="C3" s="525"/>
      <c r="D3" s="525"/>
      <c r="E3" s="525"/>
      <c r="F3" s="815"/>
      <c r="G3" s="815"/>
      <c r="H3" s="811"/>
      <c r="I3" s="811"/>
      <c r="J3" s="811"/>
      <c r="K3" s="811"/>
      <c r="L3" s="813"/>
      <c r="M3" s="813"/>
      <c r="N3" s="813"/>
      <c r="O3" s="813"/>
      <c r="P3" s="813"/>
      <c r="Q3" s="813"/>
      <c r="R3" s="813"/>
      <c r="S3" s="813"/>
      <c r="T3" s="813"/>
      <c r="U3" s="813"/>
      <c r="V3" s="813"/>
      <c r="W3" s="813"/>
      <c r="X3" s="813"/>
      <c r="Y3" s="813"/>
      <c r="Z3" s="813"/>
    </row>
    <row r="4" spans="1:26" s="692" customFormat="1" ht="13" x14ac:dyDescent="0.3">
      <c r="A4" s="667"/>
      <c r="B4" s="525"/>
      <c r="C4" s="525"/>
      <c r="D4" s="525"/>
      <c r="E4" s="525"/>
      <c r="F4" s="815"/>
      <c r="G4" s="815"/>
      <c r="H4" s="771"/>
      <c r="I4" s="667"/>
      <c r="J4" s="667"/>
      <c r="K4" s="554" t="s">
        <v>2304</v>
      </c>
      <c r="L4" s="3481" t="str">
        <f ca="1">MID(CELL("filename"),SEARCH("[",CELL("filename"))+1, SEARCH("]",CELL("filename"))-SEARCH("[",CELL("filename"))-1)</f>
        <v>Risk Analysis Screening Tool V4.5.xlsm</v>
      </c>
      <c r="M4" s="3482"/>
      <c r="N4" s="3482"/>
      <c r="O4" s="3482"/>
      <c r="P4" s="3482"/>
      <c r="Q4" s="3482"/>
      <c r="R4" s="3482"/>
      <c r="S4" s="3482"/>
      <c r="T4" s="3482"/>
      <c r="U4" s="3482"/>
      <c r="V4" s="3482"/>
      <c r="W4" s="3483"/>
      <c r="X4" s="667"/>
      <c r="Y4" s="667"/>
      <c r="Z4" s="667"/>
    </row>
    <row r="5" spans="1:26" s="692" customFormat="1" ht="12.75" customHeight="1" x14ac:dyDescent="0.3">
      <c r="A5" s="667"/>
      <c r="B5" s="525"/>
      <c r="C5" s="525"/>
      <c r="D5" s="525"/>
      <c r="E5" s="525"/>
      <c r="F5" s="815"/>
      <c r="G5" s="815"/>
      <c r="H5" s="771"/>
      <c r="I5" s="667"/>
      <c r="J5" s="667"/>
      <c r="K5" s="554"/>
      <c r="L5" s="818"/>
      <c r="M5" s="819"/>
      <c r="N5" s="819"/>
      <c r="O5" s="819"/>
      <c r="P5" s="819"/>
      <c r="Q5" s="819"/>
      <c r="R5" s="819"/>
      <c r="S5" s="819"/>
      <c r="T5" s="819"/>
      <c r="U5" s="819"/>
      <c r="V5" s="818"/>
      <c r="W5" s="818"/>
      <c r="X5" s="667"/>
      <c r="Y5" s="667"/>
      <c r="Z5" s="667"/>
    </row>
    <row r="6" spans="1:26" ht="13" x14ac:dyDescent="0.3">
      <c r="A6" s="525"/>
      <c r="B6" s="525"/>
      <c r="C6" s="525"/>
      <c r="D6" s="525"/>
      <c r="E6" s="525"/>
      <c r="F6" s="553"/>
      <c r="G6" s="553"/>
      <c r="H6" s="553"/>
      <c r="I6" s="525"/>
      <c r="J6" s="525"/>
      <c r="K6" s="553"/>
      <c r="L6" s="555" t="s">
        <v>2326</v>
      </c>
      <c r="M6" s="3479" t="str">
        <f>IF(Equipment_Tag&lt;&gt;"",Equipment_Tag,"")</f>
        <v/>
      </c>
      <c r="N6" s="3479"/>
      <c r="O6" s="3479"/>
      <c r="P6" s="3479"/>
      <c r="Q6" s="3479"/>
      <c r="R6" s="3479"/>
      <c r="S6" s="3479"/>
      <c r="T6" s="3479"/>
      <c r="U6" s="3479"/>
      <c r="V6" s="813"/>
      <c r="W6" s="813"/>
      <c r="X6" s="813"/>
      <c r="Y6" s="813"/>
      <c r="Z6" s="813"/>
    </row>
    <row r="7" spans="1:26" ht="13" x14ac:dyDescent="0.3">
      <c r="A7" s="525"/>
      <c r="B7" s="525"/>
      <c r="C7" s="525"/>
      <c r="D7" s="525"/>
      <c r="E7" s="525"/>
      <c r="F7" s="525"/>
      <c r="G7" s="525"/>
      <c r="H7" s="525"/>
      <c r="I7" s="525"/>
      <c r="J7" s="525"/>
      <c r="K7" s="553"/>
      <c r="L7" s="526" t="s">
        <v>1005</v>
      </c>
      <c r="M7" s="3480" t="str">
        <f>IF(Equipment&lt;&gt;"",Equipment,"")</f>
        <v/>
      </c>
      <c r="N7" s="3480"/>
      <c r="O7" s="3480"/>
      <c r="P7" s="3480"/>
      <c r="Q7" s="3480"/>
      <c r="R7" s="3480"/>
      <c r="S7" s="3480"/>
      <c r="T7" s="3480"/>
      <c r="U7" s="3480"/>
      <c r="V7" s="813"/>
      <c r="W7" s="813"/>
      <c r="X7" s="814"/>
      <c r="Y7" s="817"/>
      <c r="Z7" s="817"/>
    </row>
    <row r="8" spans="1:26" ht="15" customHeight="1" x14ac:dyDescent="0.3">
      <c r="A8" s="525"/>
      <c r="B8" s="525"/>
      <c r="C8" s="525"/>
      <c r="D8" s="525"/>
      <c r="E8" s="525"/>
      <c r="F8" s="525"/>
      <c r="G8" s="525"/>
      <c r="H8" s="525"/>
      <c r="I8" s="525"/>
      <c r="J8" s="525"/>
      <c r="K8" s="553"/>
      <c r="L8" s="526" t="s">
        <v>1828</v>
      </c>
      <c r="M8" s="3480" t="str">
        <f>IF(Location&lt;&gt;"",Location,"Outdoor Assumed")</f>
        <v>Outdoor Assumed</v>
      </c>
      <c r="N8" s="3480"/>
      <c r="O8" s="3480"/>
      <c r="P8" s="3480"/>
      <c r="Q8" s="3480"/>
      <c r="R8" s="3480"/>
      <c r="S8" s="3480"/>
      <c r="T8" s="3480"/>
      <c r="U8" s="3480"/>
      <c r="V8" s="813"/>
      <c r="W8" s="813"/>
      <c r="X8" s="814"/>
      <c r="Y8" s="813"/>
      <c r="Z8" s="813"/>
    </row>
    <row r="9" spans="1:26" ht="15" customHeight="1" thickBot="1" x14ac:dyDescent="0.35">
      <c r="A9" s="525"/>
      <c r="B9" s="553"/>
      <c r="C9" s="525"/>
      <c r="D9" s="525"/>
      <c r="E9" s="525"/>
      <c r="F9" s="525"/>
      <c r="G9" s="525"/>
      <c r="H9" s="525"/>
      <c r="I9" s="553"/>
      <c r="J9" s="525"/>
      <c r="K9" s="553"/>
      <c r="L9" s="525"/>
      <c r="M9" s="525"/>
      <c r="N9" s="525"/>
      <c r="O9" s="525"/>
      <c r="P9" s="525"/>
      <c r="Q9" s="813"/>
      <c r="R9" s="813"/>
      <c r="S9" s="813"/>
      <c r="T9" s="813"/>
      <c r="U9" s="813"/>
      <c r="V9" s="813"/>
      <c r="W9" s="813"/>
      <c r="X9" s="814"/>
      <c r="Y9" s="813"/>
      <c r="Z9" s="813"/>
    </row>
    <row r="10" spans="1:26" ht="15" customHeight="1" thickBot="1" x14ac:dyDescent="0.35">
      <c r="A10" s="525"/>
      <c r="B10" s="553"/>
      <c r="C10" s="525"/>
      <c r="D10" s="525"/>
      <c r="E10" s="525"/>
      <c r="F10" s="525"/>
      <c r="G10" s="525"/>
      <c r="H10" s="525"/>
      <c r="I10" s="553"/>
      <c r="J10" s="346" t="s">
        <v>5190</v>
      </c>
      <c r="K10" s="3484" t="s">
        <v>1382</v>
      </c>
      <c r="L10" s="3485"/>
      <c r="M10" s="813"/>
      <c r="N10" s="813"/>
      <c r="O10" s="813"/>
      <c r="P10" s="525"/>
      <c r="Q10" s="813"/>
      <c r="R10" s="813"/>
      <c r="S10" s="525"/>
      <c r="T10" s="525"/>
      <c r="U10" s="525"/>
      <c r="V10" s="346" t="s">
        <v>3303</v>
      </c>
      <c r="W10" s="3484" t="s">
        <v>289</v>
      </c>
      <c r="X10" s="3485"/>
      <c r="Y10" s="525"/>
      <c r="Z10" s="525"/>
    </row>
    <row r="11" spans="1:26" ht="9" customHeight="1" thickBot="1" x14ac:dyDescent="0.35">
      <c r="A11" s="525"/>
      <c r="B11" s="553"/>
      <c r="C11" s="525"/>
      <c r="D11" s="525"/>
      <c r="E11" s="525"/>
      <c r="F11" s="525"/>
      <c r="G11" s="525"/>
      <c r="H11" s="525"/>
      <c r="I11" s="553"/>
      <c r="J11" s="346"/>
      <c r="K11" s="813"/>
      <c r="L11" s="813"/>
      <c r="M11" s="813"/>
      <c r="N11" s="813"/>
      <c r="O11" s="813"/>
      <c r="P11" s="525"/>
      <c r="Q11" s="813"/>
      <c r="R11" s="813"/>
      <c r="S11" s="525"/>
      <c r="T11" s="525"/>
      <c r="U11" s="525"/>
      <c r="V11" s="525"/>
      <c r="W11" s="525"/>
      <c r="X11" s="525"/>
      <c r="Y11" s="525"/>
      <c r="Z11" s="525"/>
    </row>
    <row r="12" spans="1:26" ht="15" customHeight="1" thickBot="1" x14ac:dyDescent="0.35">
      <c r="A12" s="525"/>
      <c r="B12" s="553"/>
      <c r="C12" s="525"/>
      <c r="D12" s="525"/>
      <c r="E12" s="525"/>
      <c r="F12" s="525"/>
      <c r="G12" s="525"/>
      <c r="H12" s="525"/>
      <c r="I12" s="553"/>
      <c r="J12" s="525"/>
      <c r="K12" s="553"/>
      <c r="L12" s="525"/>
      <c r="M12" s="525"/>
      <c r="N12" s="525"/>
      <c r="O12" s="346" t="s">
        <v>3142</v>
      </c>
      <c r="P12" s="3484" t="s">
        <v>5165</v>
      </c>
      <c r="Q12" s="3487"/>
      <c r="R12" s="3487"/>
      <c r="S12" s="3487"/>
      <c r="T12" s="3487"/>
      <c r="U12" s="3487"/>
      <c r="V12" s="3485"/>
      <c r="W12" s="525"/>
      <c r="X12" s="525"/>
      <c r="Y12" s="525"/>
      <c r="Z12" s="525"/>
    </row>
    <row r="13" spans="1:26" ht="8.25" customHeight="1" x14ac:dyDescent="0.3">
      <c r="A13" s="525"/>
      <c r="B13" s="553"/>
      <c r="C13" s="525"/>
      <c r="D13" s="525"/>
      <c r="E13" s="525"/>
      <c r="F13" s="525"/>
      <c r="G13" s="525"/>
      <c r="H13" s="525"/>
      <c r="I13" s="553"/>
      <c r="J13" s="525"/>
      <c r="K13" s="553"/>
      <c r="L13" s="346"/>
      <c r="M13" s="1296"/>
      <c r="N13" s="1296"/>
      <c r="O13" s="813"/>
      <c r="P13" s="525"/>
      <c r="Q13" s="813"/>
      <c r="R13" s="813"/>
      <c r="S13" s="525"/>
      <c r="T13" s="525"/>
      <c r="U13" s="525"/>
      <c r="V13" s="346"/>
      <c r="W13" s="1296"/>
      <c r="X13" s="1296"/>
      <c r="Y13" s="525"/>
      <c r="Z13" s="525"/>
    </row>
    <row r="14" spans="1:26" ht="15" customHeight="1" x14ac:dyDescent="0.25">
      <c r="A14" s="3488" t="s">
        <v>3143</v>
      </c>
      <c r="B14" s="3488"/>
      <c r="C14" s="3488"/>
      <c r="D14" s="3488"/>
      <c r="E14" s="3488"/>
      <c r="F14" s="3488"/>
      <c r="G14" s="3488"/>
      <c r="H14" s="3488"/>
      <c r="I14" s="3488"/>
      <c r="J14" s="3488"/>
      <c r="K14" s="3488"/>
      <c r="L14" s="3488"/>
      <c r="M14" s="3488"/>
      <c r="N14" s="3488"/>
      <c r="O14" s="3488"/>
      <c r="P14" s="3488"/>
      <c r="Q14" s="3488"/>
      <c r="R14" s="3488"/>
      <c r="S14" s="3488"/>
      <c r="T14" s="3488"/>
      <c r="U14" s="3488"/>
      <c r="V14" s="3488"/>
      <c r="W14" s="3488"/>
      <c r="X14" s="3488"/>
      <c r="Y14" s="3488"/>
      <c r="Z14" s="3488"/>
    </row>
    <row r="15" spans="1:26" ht="5.5" customHeight="1" thickBot="1" x14ac:dyDescent="0.35">
      <c r="A15" s="525"/>
      <c r="B15" s="553"/>
      <c r="C15" s="553"/>
      <c r="D15" s="525"/>
      <c r="E15" s="526"/>
      <c r="F15" s="526"/>
      <c r="G15" s="526"/>
      <c r="H15" s="529"/>
      <c r="I15" s="553"/>
      <c r="J15" s="553"/>
      <c r="K15" s="553"/>
      <c r="L15" s="813"/>
      <c r="M15" s="813"/>
      <c r="N15" s="813"/>
      <c r="O15" s="813"/>
      <c r="P15" s="813"/>
      <c r="Q15" s="813"/>
      <c r="R15" s="813"/>
      <c r="S15" s="525"/>
      <c r="T15" s="525"/>
      <c r="U15" s="525"/>
      <c r="V15" s="525"/>
      <c r="W15" s="525"/>
      <c r="X15" s="525"/>
      <c r="Y15" s="525"/>
      <c r="Z15" s="525"/>
    </row>
    <row r="16" spans="1:26" ht="15" customHeight="1" thickBot="1" x14ac:dyDescent="0.35">
      <c r="A16" s="525"/>
      <c r="B16" s="553"/>
      <c r="C16" s="525"/>
      <c r="D16" s="525"/>
      <c r="E16" s="525"/>
      <c r="F16" s="525"/>
      <c r="G16" s="525"/>
      <c r="H16" s="346" t="s">
        <v>3144</v>
      </c>
      <c r="I16" s="3484" t="s">
        <v>289</v>
      </c>
      <c r="J16" s="3485"/>
      <c r="K16" s="529"/>
      <c r="L16" s="529"/>
      <c r="M16" s="529"/>
      <c r="N16" s="346" t="s">
        <v>3145</v>
      </c>
      <c r="O16" s="3484" t="s">
        <v>1382</v>
      </c>
      <c r="P16" s="3485"/>
      <c r="Q16" s="529"/>
      <c r="R16" s="529"/>
      <c r="S16" s="529"/>
      <c r="T16" s="346" t="s">
        <v>3146</v>
      </c>
      <c r="U16" s="3484" t="s">
        <v>1382</v>
      </c>
      <c r="V16" s="3485"/>
      <c r="W16" s="525"/>
      <c r="X16" s="525"/>
      <c r="Y16" s="525"/>
      <c r="Z16" s="525"/>
    </row>
    <row r="17" spans="1:29" ht="13" x14ac:dyDescent="0.3">
      <c r="A17" s="525"/>
      <c r="B17" s="553"/>
      <c r="C17" s="525"/>
      <c r="D17" s="525"/>
      <c r="E17" s="525"/>
      <c r="F17" s="525"/>
      <c r="G17" s="525"/>
      <c r="H17" s="346"/>
      <c r="I17" s="1296"/>
      <c r="J17" s="1296"/>
      <c r="K17" s="529"/>
      <c r="L17" s="529"/>
      <c r="M17" s="529"/>
      <c r="N17" s="346"/>
      <c r="O17" s="1296"/>
      <c r="P17" s="1296"/>
      <c r="Q17" s="529"/>
      <c r="R17" s="529"/>
      <c r="S17" s="529"/>
      <c r="T17" s="346"/>
      <c r="U17" s="1296"/>
      <c r="V17" s="1296"/>
      <c r="W17" s="525"/>
      <c r="X17" s="525"/>
      <c r="Y17" s="525"/>
      <c r="Z17" s="525"/>
    </row>
    <row r="18" spans="1:29" ht="15.5" x14ac:dyDescent="0.35">
      <c r="A18" s="525"/>
      <c r="B18" s="553"/>
      <c r="C18" s="525"/>
      <c r="D18" s="525"/>
      <c r="E18" s="525"/>
      <c r="F18" s="525"/>
      <c r="G18" s="525"/>
      <c r="H18" s="525"/>
      <c r="I18" s="525"/>
      <c r="J18" s="553"/>
      <c r="K18" s="553"/>
      <c r="L18" s="813"/>
      <c r="M18" s="920" t="s">
        <v>2733</v>
      </c>
      <c r="N18" s="525"/>
      <c r="O18" s="813"/>
      <c r="P18" s="813"/>
      <c r="Q18" s="813"/>
      <c r="R18" s="813"/>
      <c r="S18" s="813"/>
      <c r="T18" s="813"/>
      <c r="U18" s="813"/>
      <c r="V18" s="813"/>
      <c r="W18" s="813"/>
      <c r="X18" s="813"/>
      <c r="Y18" s="813"/>
      <c r="Z18" s="813"/>
    </row>
    <row r="19" spans="1:29" ht="9.75" customHeight="1" x14ac:dyDescent="0.35">
      <c r="A19" s="525"/>
      <c r="B19" s="553"/>
      <c r="C19" s="525"/>
      <c r="D19" s="525"/>
      <c r="E19" s="525"/>
      <c r="F19" s="525"/>
      <c r="G19" s="525"/>
      <c r="H19" s="525"/>
      <c r="I19" s="525"/>
      <c r="J19" s="553"/>
      <c r="K19" s="553"/>
      <c r="L19" s="813"/>
      <c r="M19" s="920"/>
      <c r="N19" s="525"/>
      <c r="O19" s="813"/>
      <c r="P19" s="813"/>
      <c r="Q19" s="813"/>
      <c r="R19" s="813"/>
      <c r="S19" s="813"/>
      <c r="T19" s="813"/>
      <c r="U19" s="813"/>
      <c r="V19" s="813"/>
      <c r="W19" s="813"/>
      <c r="X19" s="813"/>
      <c r="Y19" s="813"/>
      <c r="Z19" s="813"/>
    </row>
    <row r="20" spans="1:29" ht="15.5" x14ac:dyDescent="0.35">
      <c r="A20" s="525"/>
      <c r="B20" s="553"/>
      <c r="C20" s="525"/>
      <c r="D20" s="525"/>
      <c r="E20" s="525"/>
      <c r="F20" s="525"/>
      <c r="G20" s="525"/>
      <c r="H20" s="525"/>
      <c r="I20" s="525"/>
      <c r="J20" s="553"/>
      <c r="K20" s="553"/>
      <c r="L20" s="813"/>
      <c r="M20" s="920" t="s">
        <v>3304</v>
      </c>
      <c r="N20" s="525"/>
      <c r="O20" s="813"/>
      <c r="P20" s="813"/>
      <c r="Q20" s="813"/>
      <c r="R20" s="813"/>
      <c r="S20" s="813"/>
      <c r="T20" s="813"/>
      <c r="U20" s="813"/>
      <c r="V20" s="813"/>
      <c r="W20" s="813"/>
      <c r="X20" s="813"/>
      <c r="Y20" s="813"/>
      <c r="Z20" s="813"/>
    </row>
    <row r="21" spans="1:29" ht="9" customHeight="1" x14ac:dyDescent="0.35">
      <c r="A21" s="525"/>
      <c r="B21" s="553"/>
      <c r="C21" s="525"/>
      <c r="D21" s="525"/>
      <c r="E21" s="525"/>
      <c r="F21" s="525"/>
      <c r="G21" s="525"/>
      <c r="H21" s="525"/>
      <c r="I21" s="525"/>
      <c r="J21" s="553"/>
      <c r="K21" s="553"/>
      <c r="L21" s="813"/>
      <c r="M21" s="920"/>
      <c r="N21" s="525"/>
      <c r="O21" s="3270"/>
      <c r="P21" s="813"/>
      <c r="Q21" s="813"/>
      <c r="R21" s="813"/>
      <c r="S21" s="813"/>
      <c r="T21" s="813"/>
      <c r="U21" s="813"/>
      <c r="V21" s="813"/>
      <c r="W21" s="813"/>
      <c r="X21" s="813"/>
      <c r="Y21" s="813"/>
      <c r="Z21" s="813"/>
    </row>
    <row r="22" spans="1:29" x14ac:dyDescent="0.25">
      <c r="A22" s="525"/>
      <c r="B22" s="525"/>
      <c r="C22" s="525"/>
      <c r="D22" s="525"/>
      <c r="E22" s="525"/>
      <c r="F22" s="525"/>
      <c r="G22" s="525"/>
      <c r="H22" s="525"/>
      <c r="I22" s="525"/>
      <c r="J22" s="525"/>
      <c r="K22" s="525"/>
      <c r="L22" s="525"/>
      <c r="M22" s="525"/>
      <c r="N22" s="525"/>
      <c r="O22" s="813"/>
      <c r="P22" s="813"/>
      <c r="Q22" s="813"/>
      <c r="R22" s="813"/>
      <c r="S22" s="813"/>
      <c r="T22" s="813"/>
      <c r="U22" s="813"/>
      <c r="V22" s="813"/>
      <c r="W22" s="813"/>
      <c r="X22" s="813"/>
      <c r="Y22" s="813"/>
      <c r="Z22" s="813"/>
    </row>
    <row r="23" spans="1:29" ht="13" x14ac:dyDescent="0.3">
      <c r="A23" s="525"/>
      <c r="B23" s="553"/>
      <c r="C23" s="553"/>
      <c r="D23" s="553"/>
      <c r="E23" s="553"/>
      <c r="F23" s="553"/>
      <c r="G23" s="525"/>
      <c r="H23" s="525"/>
      <c r="I23" s="525"/>
      <c r="J23" s="525"/>
      <c r="K23" s="525"/>
      <c r="L23" s="525"/>
      <c r="M23" s="525"/>
      <c r="N23" s="525"/>
      <c r="O23" s="813"/>
      <c r="P23" s="813"/>
      <c r="Q23" s="813"/>
      <c r="R23" s="813"/>
      <c r="S23" s="813"/>
      <c r="T23" s="813"/>
      <c r="U23" s="813"/>
      <c r="V23" s="813"/>
      <c r="W23" s="813"/>
      <c r="X23" s="814"/>
      <c r="Y23" s="813"/>
      <c r="Z23" s="813"/>
    </row>
    <row r="24" spans="1:29" ht="12.75" customHeight="1" x14ac:dyDescent="0.3">
      <c r="A24" s="525"/>
      <c r="B24" s="553"/>
      <c r="C24" s="553"/>
      <c r="D24" s="553"/>
      <c r="E24" s="553"/>
      <c r="F24" s="553"/>
      <c r="G24" s="553"/>
      <c r="H24" s="553"/>
      <c r="I24" s="553"/>
      <c r="J24" s="553"/>
      <c r="K24" s="553"/>
      <c r="L24" s="553"/>
      <c r="M24" s="553"/>
      <c r="N24" s="553"/>
      <c r="O24" s="813"/>
      <c r="P24" s="813"/>
      <c r="Q24" s="813"/>
      <c r="R24" s="813"/>
      <c r="S24" s="813"/>
      <c r="T24" s="813"/>
      <c r="U24" s="813"/>
      <c r="V24" s="813"/>
      <c r="W24" s="813"/>
      <c r="X24" s="814"/>
      <c r="Y24" s="813"/>
      <c r="Z24" s="813"/>
    </row>
    <row r="25" spans="1:29" ht="13" x14ac:dyDescent="0.3">
      <c r="A25" s="525"/>
      <c r="B25" s="553"/>
      <c r="C25" s="553"/>
      <c r="D25" s="553"/>
      <c r="E25" s="553"/>
      <c r="F25" s="553"/>
      <c r="G25" s="553"/>
      <c r="H25" s="553"/>
      <c r="I25" s="553"/>
      <c r="J25" s="553"/>
      <c r="K25" s="553"/>
      <c r="L25" s="553"/>
      <c r="M25" s="553"/>
      <c r="N25" s="553"/>
      <c r="O25" s="813"/>
      <c r="P25" s="813"/>
      <c r="Q25" s="813"/>
      <c r="R25" s="813"/>
      <c r="S25" s="813"/>
      <c r="T25" s="813"/>
      <c r="U25" s="813"/>
      <c r="V25" s="813"/>
      <c r="W25" s="813"/>
      <c r="X25" s="814"/>
      <c r="Y25" s="813"/>
      <c r="Z25" s="813"/>
    </row>
    <row r="26" spans="1:29" ht="13" x14ac:dyDescent="0.3">
      <c r="A26" s="525"/>
      <c r="B26" s="553"/>
      <c r="C26" s="553"/>
      <c r="D26" s="553"/>
      <c r="E26" s="553"/>
      <c r="F26" s="553"/>
      <c r="G26" s="553"/>
      <c r="H26" s="553"/>
      <c r="I26" s="553"/>
      <c r="J26" s="525"/>
      <c r="K26" s="525"/>
      <c r="L26" s="813"/>
      <c r="M26" s="813"/>
      <c r="N26" s="813"/>
      <c r="O26" s="813"/>
      <c r="P26" s="813"/>
      <c r="Q26" s="813"/>
      <c r="R26" s="813"/>
      <c r="S26" s="813"/>
      <c r="T26" s="813"/>
      <c r="U26" s="813"/>
      <c r="V26" s="813"/>
      <c r="W26" s="813"/>
      <c r="X26" s="814"/>
      <c r="Y26" s="813"/>
      <c r="Z26" s="813"/>
    </row>
    <row r="27" spans="1:29" ht="13" x14ac:dyDescent="0.3">
      <c r="A27" s="525"/>
      <c r="B27" s="553"/>
      <c r="C27" s="553"/>
      <c r="D27" s="553"/>
      <c r="E27" s="553"/>
      <c r="F27" s="553"/>
      <c r="G27" s="553"/>
      <c r="H27" s="553"/>
      <c r="I27" s="553"/>
      <c r="J27" s="525"/>
      <c r="K27" s="525"/>
      <c r="L27" s="813"/>
      <c r="M27" s="813"/>
      <c r="N27" s="813"/>
      <c r="O27" s="813"/>
      <c r="P27" s="813"/>
      <c r="Q27" s="813"/>
      <c r="R27" s="813"/>
      <c r="S27" s="813"/>
      <c r="T27" s="813"/>
      <c r="U27" s="813"/>
      <c r="V27" s="525"/>
      <c r="W27" s="525"/>
      <c r="X27" s="525"/>
      <c r="Y27" s="525"/>
      <c r="Z27" s="813"/>
    </row>
    <row r="28" spans="1:29" ht="13" x14ac:dyDescent="0.3">
      <c r="A28" s="525"/>
      <c r="B28" s="525"/>
      <c r="C28" s="3486"/>
      <c r="D28" s="3486"/>
      <c r="E28" s="3486"/>
      <c r="F28" s="3486"/>
      <c r="G28" s="3486"/>
      <c r="H28" s="3486"/>
      <c r="I28" s="3486"/>
      <c r="J28" s="3486"/>
      <c r="K28" s="3486"/>
      <c r="L28" s="3486"/>
      <c r="M28" s="3486"/>
      <c r="N28" s="3486"/>
      <c r="O28" s="3486"/>
      <c r="P28" s="3486"/>
      <c r="Q28" s="813"/>
      <c r="R28" s="813"/>
      <c r="S28" s="813"/>
      <c r="T28" s="813"/>
      <c r="U28" s="813"/>
      <c r="V28" s="525"/>
      <c r="W28" s="525"/>
      <c r="X28" s="525"/>
      <c r="Y28" s="525"/>
      <c r="Z28" s="813"/>
    </row>
    <row r="29" spans="1:29" ht="13.4" customHeight="1" x14ac:dyDescent="0.3">
      <c r="A29" s="525"/>
      <c r="B29" s="525"/>
      <c r="C29" s="525"/>
      <c r="D29" s="525"/>
      <c r="E29" s="525"/>
      <c r="F29" s="525"/>
      <c r="G29" s="525"/>
      <c r="H29" s="525"/>
      <c r="I29" s="525"/>
      <c r="J29" s="525"/>
      <c r="K29" s="525"/>
      <c r="L29" s="525"/>
      <c r="M29" s="525"/>
      <c r="N29" s="525"/>
      <c r="O29" s="525"/>
      <c r="P29" s="525"/>
      <c r="Q29" s="813"/>
      <c r="R29" s="813"/>
      <c r="S29" s="813"/>
      <c r="T29" s="813"/>
      <c r="U29" s="813"/>
      <c r="V29" s="813"/>
      <c r="W29" s="813"/>
      <c r="X29" s="813"/>
      <c r="Y29" s="813"/>
      <c r="Z29" s="813"/>
      <c r="AC29" s="2111"/>
    </row>
    <row r="30" spans="1:29" ht="13.4" customHeight="1" x14ac:dyDescent="0.25"/>
    <row r="31" spans="1:29" ht="12.75" customHeight="1" x14ac:dyDescent="0.3">
      <c r="C31" s="2519"/>
      <c r="D31" s="3394" t="s">
        <v>5316</v>
      </c>
      <c r="E31" s="3395"/>
      <c r="F31" s="3395"/>
      <c r="G31" s="3395"/>
      <c r="H31" s="3395"/>
      <c r="I31" s="3395"/>
      <c r="J31" s="1151"/>
    </row>
    <row r="32" spans="1:29" ht="12.75" customHeight="1" x14ac:dyDescent="0.25">
      <c r="D32" s="1151" t="s">
        <v>4705</v>
      </c>
      <c r="E32" s="1151"/>
      <c r="F32" s="1151"/>
      <c r="G32" s="1151"/>
      <c r="H32" s="1151"/>
      <c r="I32" s="1151"/>
      <c r="J32" s="1151"/>
    </row>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sheetData>
  <sheetProtection sheet="1" objects="1" scenarios="1"/>
  <dataConsolidate link="1"/>
  <mergeCells count="14">
    <mergeCell ref="D31:I31"/>
    <mergeCell ref="W10:X10"/>
    <mergeCell ref="K10:L10"/>
    <mergeCell ref="C28:P28"/>
    <mergeCell ref="P12:V12"/>
    <mergeCell ref="A14:Z14"/>
    <mergeCell ref="I16:J16"/>
    <mergeCell ref="O16:P16"/>
    <mergeCell ref="U16:V16"/>
    <mergeCell ref="A1:Z1"/>
    <mergeCell ref="M6:U6"/>
    <mergeCell ref="M7:U7"/>
    <mergeCell ref="M8:U8"/>
    <mergeCell ref="L4:W4"/>
  </mergeCells>
  <conditionalFormatting sqref="M8">
    <cfRule type="expression" dxfId="789" priority="33">
      <formula>IF(Location="",TRUE,FALSE)</formula>
    </cfRule>
  </conditionalFormatting>
  <conditionalFormatting sqref="M8">
    <cfRule type="expression" dxfId="788" priority="28">
      <formula>IF(Location="",TRUE,FALSE)</formula>
    </cfRule>
  </conditionalFormatting>
  <conditionalFormatting sqref="M6">
    <cfRule type="expression" dxfId="787" priority="22">
      <formula>IF(Equipment_Tag="",TRUE,FALSE)</formula>
    </cfRule>
  </conditionalFormatting>
  <conditionalFormatting sqref="M7">
    <cfRule type="expression" dxfId="786" priority="21">
      <formula>IF(Equipment="",TRUE,FALSE)</formula>
    </cfRule>
  </conditionalFormatting>
  <dataValidations count="3">
    <dataValidation type="list" allowBlank="1" showInputMessage="1" showErrorMessage="1" sqref="U16:V17 O16:P17 W13 I16:J17 W10" xr:uid="{00000000-0002-0000-0300-000000000000}">
      <formula1>"Yes,No"</formula1>
    </dataValidation>
    <dataValidation type="list" allowBlank="1" showInputMessage="1" showErrorMessage="1" sqref="M13 K10" xr:uid="{00000000-0002-0000-0300-000001000000}">
      <formula1>ExcludeMI_List</formula1>
    </dataValidation>
    <dataValidation type="list" allowBlank="1" showInputMessage="1" showErrorMessage="1" sqref="P12" xr:uid="{00000000-0002-0000-0300-000002000000}">
      <formula1>"Always,Only if No IPL's Entered,Never"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9504" r:id="rId4" name="Calculate">
              <controlPr defaultSize="0" print="0" autoFill="0" autoPict="0" macro="[0]!Calculate_Scenarios">
                <anchor moveWithCells="1" sizeWithCells="1">
                  <from>
                    <xdr:col>1</xdr:col>
                    <xdr:colOff>152400</xdr:colOff>
                    <xdr:row>23</xdr:row>
                    <xdr:rowOff>12700</xdr:rowOff>
                  </from>
                  <to>
                    <xdr:col>7</xdr:col>
                    <xdr:colOff>76200</xdr:colOff>
                    <xdr:row>25</xdr:row>
                    <xdr:rowOff>38100</xdr:rowOff>
                  </to>
                </anchor>
              </controlPr>
            </control>
          </mc:Choice>
        </mc:AlternateContent>
        <mc:AlternateContent xmlns:mc="http://schemas.openxmlformats.org/markup-compatibility/2006">
          <mc:Choice Requires="x14">
            <control shapeId="959505" r:id="rId5" name="Scenario Results">
              <controlPr defaultSize="0" print="0" autoFill="0" autoPict="0" macro="[0]!Go_To_Scenario_Results">
                <anchor moveWithCells="1" sizeWithCells="1">
                  <from>
                    <xdr:col>4</xdr:col>
                    <xdr:colOff>0</xdr:colOff>
                    <xdr:row>17</xdr:row>
                    <xdr:rowOff>31750</xdr:rowOff>
                  </from>
                  <to>
                    <xdr:col>11</xdr:col>
                    <xdr:colOff>146050</xdr:colOff>
                    <xdr:row>18</xdr:row>
                    <xdr:rowOff>31750</xdr:rowOff>
                  </to>
                </anchor>
              </controlPr>
            </control>
          </mc:Choice>
        </mc:AlternateContent>
        <mc:AlternateContent xmlns:mc="http://schemas.openxmlformats.org/markup-compatibility/2006">
          <mc:Choice Requires="x14">
            <control shapeId="959507" r:id="rId6" name="Risk_Graph">
              <controlPr defaultSize="0" print="0" autoFill="0" autoPict="0" macro="[0]!Go_To_Risk_Graph">
                <anchor moveWithCells="1" sizeWithCells="1">
                  <from>
                    <xdr:col>20</xdr:col>
                    <xdr:colOff>190500</xdr:colOff>
                    <xdr:row>26</xdr:row>
                    <xdr:rowOff>146050</xdr:rowOff>
                  </from>
                  <to>
                    <xdr:col>24</xdr:col>
                    <xdr:colOff>114300</xdr:colOff>
                    <xdr:row>28</xdr:row>
                    <xdr:rowOff>0</xdr:rowOff>
                  </to>
                </anchor>
              </controlPr>
            </control>
          </mc:Choice>
        </mc:AlternateContent>
        <mc:AlternateContent xmlns:mc="http://schemas.openxmlformats.org/markup-compatibility/2006">
          <mc:Choice Requires="x14">
            <control shapeId="959509" r:id="rId7" name="Calculate_All">
              <controlPr defaultSize="0" print="0" autoFill="0" autoPict="0" macro="[0]!Calculate_All_Equipment">
                <anchor moveWithCells="1" sizeWithCells="1">
                  <from>
                    <xdr:col>7</xdr:col>
                    <xdr:colOff>152400</xdr:colOff>
                    <xdr:row>23</xdr:row>
                    <xdr:rowOff>0</xdr:rowOff>
                  </from>
                  <to>
                    <xdr:col>12</xdr:col>
                    <xdr:colOff>127000</xdr:colOff>
                    <xdr:row>25</xdr:row>
                    <xdr:rowOff>50800</xdr:rowOff>
                  </to>
                </anchor>
              </controlPr>
            </control>
          </mc:Choice>
        </mc:AlternateContent>
        <mc:AlternateContent xmlns:mc="http://schemas.openxmlformats.org/markup-compatibility/2006">
          <mc:Choice Requires="x14">
            <control shapeId="959517" r:id="rId8" name="Main Menu">
              <controlPr defaultSize="0" print="0" autoFill="0" autoPict="0" macro="[0]!Go_To_Main_Menu">
                <anchor moveWithCells="1" sizeWithCells="1">
                  <from>
                    <xdr:col>0</xdr:col>
                    <xdr:colOff>107950</xdr:colOff>
                    <xdr:row>0</xdr:row>
                    <xdr:rowOff>127000</xdr:rowOff>
                  </from>
                  <to>
                    <xdr:col>7</xdr:col>
                    <xdr:colOff>114300</xdr:colOff>
                    <xdr:row>1</xdr:row>
                    <xdr:rowOff>114300</xdr:rowOff>
                  </to>
                </anchor>
              </controlPr>
            </control>
          </mc:Choice>
        </mc:AlternateContent>
        <mc:AlternateContent xmlns:mc="http://schemas.openxmlformats.org/markup-compatibility/2006">
          <mc:Choice Requires="x14">
            <control shapeId="959520" r:id="rId9" name="Clear Input">
              <controlPr defaultSize="0" print="0" autoFill="0" autoPict="0" macro="[0]!Clear_Input_Data">
                <anchor moveWithCells="1" sizeWithCells="1">
                  <from>
                    <xdr:col>21</xdr:col>
                    <xdr:colOff>222250</xdr:colOff>
                    <xdr:row>0</xdr:row>
                    <xdr:rowOff>114300</xdr:rowOff>
                  </from>
                  <to>
                    <xdr:col>25</xdr:col>
                    <xdr:colOff>0</xdr:colOff>
                    <xdr:row>1</xdr:row>
                    <xdr:rowOff>76200</xdr:rowOff>
                  </to>
                </anchor>
              </controlPr>
            </control>
          </mc:Choice>
        </mc:AlternateContent>
        <mc:AlternateContent xmlns:mc="http://schemas.openxmlformats.org/markup-compatibility/2006">
          <mc:Choice Requires="x14">
            <control shapeId="959527" r:id="rId10" name="MART-MALR">
              <controlPr defaultSize="0" print="0" autoFill="0" autoPict="0" macro="[0]!Go_To_MART_MALR">
                <anchor moveWithCells="1" sizeWithCells="1">
                  <from>
                    <xdr:col>19</xdr:col>
                    <xdr:colOff>12700</xdr:colOff>
                    <xdr:row>22</xdr:row>
                    <xdr:rowOff>152400</xdr:rowOff>
                  </from>
                  <to>
                    <xdr:col>24</xdr:col>
                    <xdr:colOff>127000</xdr:colOff>
                    <xdr:row>24</xdr:row>
                    <xdr:rowOff>31750</xdr:rowOff>
                  </to>
                </anchor>
              </controlPr>
            </control>
          </mc:Choice>
        </mc:AlternateContent>
        <mc:AlternateContent xmlns:mc="http://schemas.openxmlformats.org/markup-compatibility/2006">
          <mc:Choice Requires="x14">
            <control shapeId="959530" r:id="rId11" name="Button 42">
              <controlPr defaultSize="0" print="0" autoFill="0" autoPict="0" macro="[0]!Go_To_IPL_Guidance">
                <anchor moveWithCells="1" sizeWithCells="1">
                  <from>
                    <xdr:col>3</xdr:col>
                    <xdr:colOff>203200</xdr:colOff>
                    <xdr:row>21</xdr:row>
                    <xdr:rowOff>0</xdr:rowOff>
                  </from>
                  <to>
                    <xdr:col>12</xdr:col>
                    <xdr:colOff>114300</xdr:colOff>
                    <xdr:row>21</xdr:row>
                    <xdr:rowOff>152400</xdr:rowOff>
                  </to>
                </anchor>
              </controlPr>
            </control>
          </mc:Choice>
        </mc:AlternateContent>
        <mc:AlternateContent xmlns:mc="http://schemas.openxmlformats.org/markup-compatibility/2006">
          <mc:Choice Requires="x14">
            <control shapeId="959531" r:id="rId12" name="Pool Fire">
              <controlPr defaultSize="0" print="0" autoFill="0" autoPict="0" macro="[0]!Go_To_Pool_Fire">
                <anchor moveWithCells="1" sizeWithCells="1">
                  <from>
                    <xdr:col>20</xdr:col>
                    <xdr:colOff>31750</xdr:colOff>
                    <xdr:row>21</xdr:row>
                    <xdr:rowOff>0</xdr:rowOff>
                  </from>
                  <to>
                    <xdr:col>24</xdr:col>
                    <xdr:colOff>127000</xdr:colOff>
                    <xdr:row>22</xdr:row>
                    <xdr:rowOff>38100</xdr:rowOff>
                  </to>
                </anchor>
              </controlPr>
            </control>
          </mc:Choice>
        </mc:AlternateContent>
        <mc:AlternateContent xmlns:mc="http://schemas.openxmlformats.org/markup-compatibility/2006">
          <mc:Choice Requires="x14">
            <control shapeId="959539" r:id="rId13" name="Go To Equipment Table">
              <controlPr defaultSize="0" print="0" autoFill="0" autoPict="0" macro="[0]!Go_To_Equipment_Table">
                <anchor moveWithCells="1" sizeWithCells="1">
                  <from>
                    <xdr:col>4</xdr:col>
                    <xdr:colOff>31750</xdr:colOff>
                    <xdr:row>18</xdr:row>
                    <xdr:rowOff>114300</xdr:rowOff>
                  </from>
                  <to>
                    <xdr:col>11</xdr:col>
                    <xdr:colOff>146050</xdr:colOff>
                    <xdr:row>20</xdr:row>
                    <xdr:rowOff>0</xdr:rowOff>
                  </to>
                </anchor>
              </controlPr>
            </control>
          </mc:Choice>
        </mc:AlternateContent>
        <mc:AlternateContent xmlns:mc="http://schemas.openxmlformats.org/markup-compatibility/2006">
          <mc:Choice Requires="x14">
            <control shapeId="959544" r:id="rId14" name="Button 56">
              <controlPr defaultSize="0" print="0" autoFill="0" autoPict="0" macro="[0]!Generate_IPL_List">
                <anchor moveWithCells="1">
                  <from>
                    <xdr:col>55</xdr:col>
                    <xdr:colOff>76200</xdr:colOff>
                    <xdr:row>186</xdr:row>
                    <xdr:rowOff>69850</xdr:rowOff>
                  </from>
                  <to>
                    <xdr:col>56</xdr:col>
                    <xdr:colOff>241300</xdr:colOff>
                    <xdr:row>187</xdr:row>
                    <xdr:rowOff>76200</xdr:rowOff>
                  </to>
                </anchor>
              </controlPr>
            </control>
          </mc:Choice>
        </mc:AlternateContent>
        <mc:AlternateContent xmlns:mc="http://schemas.openxmlformats.org/markup-compatibility/2006">
          <mc:Choice Requires="x14">
            <control shapeId="959545" r:id="rId15" name="Button 57">
              <controlPr defaultSize="0" print="0" autoFill="0" autoPict="0" macro="[0]!Generate_IPL_List">
                <anchor moveWithCells="1" sizeWithCells="1">
                  <from>
                    <xdr:col>20</xdr:col>
                    <xdr:colOff>184150</xdr:colOff>
                    <xdr:row>24</xdr:row>
                    <xdr:rowOff>152400</xdr:rowOff>
                  </from>
                  <to>
                    <xdr:col>24</xdr:col>
                    <xdr:colOff>107950</xdr:colOff>
                    <xdr:row>26</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autoPageBreaks="0"/>
  </sheetPr>
  <dimension ref="A1:CP252"/>
  <sheetViews>
    <sheetView showGridLines="0" zoomScaleNormal="100" workbookViewId="0">
      <pane xSplit="2" ySplit="1" topLeftCell="T106" activePane="bottomRight" state="frozenSplit"/>
      <selection activeCell="B1" sqref="A1:B1048576"/>
      <selection pane="topRight" activeCell="C1" sqref="C1"/>
      <selection pane="bottomLeft" activeCell="A2" sqref="A2"/>
      <selection pane="bottomRight" activeCell="Y109" sqref="Y109"/>
    </sheetView>
  </sheetViews>
  <sheetFormatPr defaultColWidth="9.1796875" defaultRowHeight="13" x14ac:dyDescent="0.25"/>
  <cols>
    <col min="1" max="1" width="45" style="26" customWidth="1"/>
    <col min="2" max="2" width="15" style="26" customWidth="1"/>
    <col min="3" max="4" width="10.81640625" style="30" customWidth="1"/>
    <col min="5" max="5" width="19" style="30" customWidth="1"/>
    <col min="6" max="6" width="21.453125" style="30" customWidth="1"/>
    <col min="7" max="19" width="10.81640625" style="30" customWidth="1"/>
    <col min="20" max="20" width="7" style="19" bestFit="1" customWidth="1"/>
    <col min="21" max="21" width="10.81640625" style="19" customWidth="1"/>
    <col min="22" max="23" width="8.81640625" style="19" bestFit="1" customWidth="1"/>
    <col min="24" max="24" width="11" style="19" customWidth="1"/>
    <col min="25" max="25" width="9.81640625" style="19" customWidth="1"/>
    <col min="26" max="27" width="10" style="19" customWidth="1"/>
    <col min="28" max="28" width="8.81640625" style="19" customWidth="1"/>
    <col min="29" max="30" width="10" style="19" customWidth="1"/>
    <col min="31" max="31" width="14.81640625" style="19" customWidth="1"/>
    <col min="32" max="35" width="10" style="19" customWidth="1"/>
    <col min="36" max="36" width="8.81640625" style="19" customWidth="1"/>
    <col min="37" max="37" width="8.1796875" style="19" bestFit="1" customWidth="1"/>
    <col min="38" max="38" width="8.1796875" style="19" customWidth="1"/>
    <col min="39" max="39" width="14.81640625" style="19" customWidth="1"/>
    <col min="40" max="42" width="4.81640625" style="19" bestFit="1" customWidth="1"/>
    <col min="43" max="43" width="9.81640625" style="19" customWidth="1"/>
    <col min="44" max="44" width="9.1796875" style="19"/>
    <col min="45" max="46" width="12.1796875" style="19" bestFit="1" customWidth="1"/>
    <col min="47" max="47" width="12.1796875" style="19" customWidth="1"/>
    <col min="48" max="48" width="14.81640625" style="19" customWidth="1"/>
    <col min="49" max="49" width="12.1796875" style="19" customWidth="1"/>
    <col min="50" max="50" width="13" style="19" customWidth="1"/>
    <col min="51" max="51" width="11.81640625" style="19" customWidth="1"/>
    <col min="52" max="52" width="11" style="1641" bestFit="1" customWidth="1"/>
    <col min="53" max="55" width="10.81640625" style="19" customWidth="1"/>
    <col min="56" max="56" width="13.81640625" style="19" customWidth="1"/>
    <col min="57" max="57" width="14.1796875" style="19" customWidth="1"/>
    <col min="58" max="58" width="12.81640625" style="19" customWidth="1"/>
    <col min="59" max="59" width="37.1796875" style="19" customWidth="1"/>
    <col min="60" max="61" width="11.81640625" style="19" customWidth="1"/>
    <col min="62" max="62" width="14.81640625" style="19" customWidth="1"/>
    <col min="63" max="63" width="12.1796875" style="19" customWidth="1"/>
    <col min="64" max="64" width="14.81640625" style="19" customWidth="1"/>
    <col min="65" max="65" width="14.81640625" style="26" customWidth="1"/>
    <col min="66" max="68" width="12" style="19" customWidth="1"/>
    <col min="69" max="69" width="9" customWidth="1"/>
    <col min="70" max="16384" width="9.1796875" style="26"/>
  </cols>
  <sheetData>
    <row r="1" spans="1:68" s="71" customFormat="1" ht="78" customHeight="1" thickBot="1" x14ac:dyDescent="0.3">
      <c r="A1" s="37" t="s">
        <v>849</v>
      </c>
      <c r="B1" s="37" t="s">
        <v>1896</v>
      </c>
      <c r="C1" s="28" t="s">
        <v>173</v>
      </c>
      <c r="D1" s="28" t="s">
        <v>1650</v>
      </c>
      <c r="E1" s="1198" t="s">
        <v>2952</v>
      </c>
      <c r="F1" s="422" t="s">
        <v>2175</v>
      </c>
      <c r="G1" s="422" t="s">
        <v>1724</v>
      </c>
      <c r="H1" s="422" t="s">
        <v>174</v>
      </c>
      <c r="I1" s="422" t="s">
        <v>175</v>
      </c>
      <c r="J1" s="422" t="s">
        <v>2180</v>
      </c>
      <c r="K1" s="422" t="s">
        <v>1208</v>
      </c>
      <c r="L1" s="422" t="s">
        <v>1722</v>
      </c>
      <c r="M1" s="422" t="s">
        <v>1723</v>
      </c>
      <c r="N1" s="422" t="s">
        <v>2179</v>
      </c>
      <c r="O1" s="422" t="s">
        <v>1515</v>
      </c>
      <c r="P1" s="422" t="s">
        <v>1218</v>
      </c>
      <c r="Q1" s="422" t="s">
        <v>810</v>
      </c>
      <c r="R1" s="422" t="s">
        <v>1034</v>
      </c>
      <c r="S1" s="422" t="s">
        <v>2181</v>
      </c>
      <c r="T1" s="28" t="s">
        <v>1743</v>
      </c>
      <c r="U1" s="28" t="s">
        <v>683</v>
      </c>
      <c r="V1" s="28" t="s">
        <v>557</v>
      </c>
      <c r="W1" s="28" t="s">
        <v>558</v>
      </c>
      <c r="X1" s="2198" t="s">
        <v>4258</v>
      </c>
      <c r="Y1" s="2593" t="s">
        <v>4742</v>
      </c>
      <c r="Z1" s="2079" t="s">
        <v>4573</v>
      </c>
      <c r="AA1" s="2079" t="s">
        <v>4574</v>
      </c>
      <c r="AB1" s="1622" t="s">
        <v>3411</v>
      </c>
      <c r="AC1" s="28" t="s">
        <v>2189</v>
      </c>
      <c r="AD1" s="28" t="s">
        <v>2186</v>
      </c>
      <c r="AE1" s="28" t="s">
        <v>816</v>
      </c>
      <c r="AF1" s="28" t="s">
        <v>529</v>
      </c>
      <c r="AG1" s="28" t="s">
        <v>1967</v>
      </c>
      <c r="AH1" s="28" t="s">
        <v>1081</v>
      </c>
      <c r="AI1" s="28" t="s">
        <v>1995</v>
      </c>
      <c r="AJ1" s="28" t="s">
        <v>2187</v>
      </c>
      <c r="AK1" s="28" t="s">
        <v>1986</v>
      </c>
      <c r="AL1" s="28" t="s">
        <v>2020</v>
      </c>
      <c r="AM1" s="28" t="s">
        <v>2188</v>
      </c>
      <c r="AN1" s="37" t="s">
        <v>1672</v>
      </c>
      <c r="AO1" s="37" t="s">
        <v>1673</v>
      </c>
      <c r="AP1" s="37" t="s">
        <v>1674</v>
      </c>
      <c r="AQ1" s="28" t="s">
        <v>1407</v>
      </c>
      <c r="AR1" s="28" t="s">
        <v>136</v>
      </c>
      <c r="AS1" s="28" t="s">
        <v>1675</v>
      </c>
      <c r="AT1" s="28" t="s">
        <v>1035</v>
      </c>
      <c r="AU1" s="28" t="s">
        <v>2804</v>
      </c>
      <c r="AV1" s="28" t="s">
        <v>161</v>
      </c>
      <c r="AW1" s="28" t="s">
        <v>257</v>
      </c>
      <c r="AX1" s="28" t="s">
        <v>1474</v>
      </c>
      <c r="AY1" s="28" t="s">
        <v>1475</v>
      </c>
      <c r="AZ1" s="1637" t="s">
        <v>1476</v>
      </c>
      <c r="BA1" s="28" t="s">
        <v>900</v>
      </c>
      <c r="BB1" s="28" t="s">
        <v>588</v>
      </c>
      <c r="BC1" s="28" t="s">
        <v>1915</v>
      </c>
      <c r="BD1" s="28" t="s">
        <v>1939</v>
      </c>
      <c r="BE1" s="28" t="s">
        <v>618</v>
      </c>
      <c r="BF1" s="28" t="s">
        <v>1430</v>
      </c>
      <c r="BG1" s="28" t="s">
        <v>1182</v>
      </c>
      <c r="BH1" s="28" t="s">
        <v>944</v>
      </c>
      <c r="BI1" s="28" t="s">
        <v>760</v>
      </c>
      <c r="BJ1" s="28" t="s">
        <v>2184</v>
      </c>
      <c r="BK1" s="28" t="s">
        <v>2185</v>
      </c>
      <c r="BL1" s="28" t="s">
        <v>761</v>
      </c>
      <c r="BM1" s="28" t="s">
        <v>1351</v>
      </c>
      <c r="BN1" s="28" t="s">
        <v>1874</v>
      </c>
      <c r="BO1" s="28" t="s">
        <v>282</v>
      </c>
      <c r="BP1" s="28" t="s">
        <v>273</v>
      </c>
    </row>
    <row r="2" spans="1:68" ht="12.75" customHeight="1" x14ac:dyDescent="0.25">
      <c r="A2" s="3263" t="s">
        <v>255</v>
      </c>
      <c r="B2" s="3264" t="s">
        <v>95</v>
      </c>
      <c r="C2" s="3265" t="s">
        <v>842</v>
      </c>
      <c r="D2" s="3265">
        <v>1</v>
      </c>
      <c r="E2" s="3265"/>
      <c r="F2" s="3263" t="s">
        <v>255</v>
      </c>
      <c r="G2" s="3265"/>
      <c r="H2" s="3265"/>
      <c r="I2" s="3265"/>
      <c r="J2" s="3265"/>
      <c r="K2" s="3265"/>
      <c r="L2" s="3265"/>
      <c r="M2" s="3265"/>
      <c r="N2" s="3265"/>
      <c r="O2" s="3265"/>
      <c r="P2" s="3265"/>
      <c r="Q2" s="3265"/>
      <c r="R2" s="3265"/>
      <c r="S2" s="3265"/>
      <c r="T2" s="3265">
        <v>44.05</v>
      </c>
      <c r="U2" s="3265">
        <v>10</v>
      </c>
      <c r="V2" s="3265">
        <v>200</v>
      </c>
      <c r="W2" s="3265">
        <v>1000</v>
      </c>
      <c r="X2" s="3265" t="s">
        <v>4259</v>
      </c>
      <c r="Y2" s="3265"/>
      <c r="Z2" s="3266"/>
      <c r="AA2" s="3266"/>
      <c r="AB2" s="3265"/>
      <c r="AC2" s="3265">
        <v>20.3</v>
      </c>
      <c r="AD2" s="3265">
        <v>-123</v>
      </c>
      <c r="AE2" s="3265"/>
      <c r="AF2" s="3265"/>
      <c r="AG2" s="3265"/>
      <c r="AH2" s="3265"/>
      <c r="AI2" s="3265"/>
      <c r="AJ2" s="3265">
        <v>-37.799999999999997</v>
      </c>
      <c r="AK2" s="3265">
        <v>4</v>
      </c>
      <c r="AL2" s="3265"/>
      <c r="AM2" s="3265"/>
      <c r="AN2" s="3265">
        <v>2</v>
      </c>
      <c r="AO2" s="3265">
        <v>4</v>
      </c>
      <c r="AP2" s="3265">
        <v>2</v>
      </c>
      <c r="AQ2" s="3265" t="s">
        <v>139</v>
      </c>
      <c r="AR2" s="3265" t="s">
        <v>138</v>
      </c>
      <c r="AS2" s="3265"/>
      <c r="AT2" s="3265"/>
      <c r="AU2" s="3265"/>
      <c r="AV2" s="3265" t="s">
        <v>158</v>
      </c>
      <c r="AW2" s="3265">
        <v>0.79500000000000004</v>
      </c>
      <c r="AX2" s="3265">
        <v>1.364E-3</v>
      </c>
      <c r="AY2" s="3265">
        <v>0.5</v>
      </c>
      <c r="AZ2" s="3267">
        <v>7.7300000000000003E-4</v>
      </c>
      <c r="BA2" s="3265">
        <v>145.19999999999999</v>
      </c>
      <c r="BB2" s="3265">
        <v>0.26850000000000002</v>
      </c>
      <c r="BC2" s="3265">
        <v>3.5500000000000001E-4</v>
      </c>
      <c r="BD2" s="3265">
        <v>9.9343000000000004</v>
      </c>
      <c r="BE2" s="3265">
        <v>2608.4</v>
      </c>
      <c r="BF2" s="3265">
        <v>30.8</v>
      </c>
      <c r="BG2" s="3265"/>
      <c r="BH2" s="3265"/>
      <c r="BI2" s="3265"/>
      <c r="BJ2" s="3265"/>
      <c r="BK2" s="3265"/>
      <c r="BL2" s="3265"/>
      <c r="BM2" s="3265"/>
      <c r="BN2" s="3265"/>
      <c r="BO2" s="3265"/>
      <c r="BP2" s="3265"/>
    </row>
    <row r="3" spans="1:68" ht="12.75" customHeight="1" x14ac:dyDescent="0.25">
      <c r="A3" s="3331" t="s">
        <v>1800</v>
      </c>
      <c r="B3" s="3332" t="s">
        <v>96</v>
      </c>
      <c r="C3" s="3333" t="s">
        <v>842</v>
      </c>
      <c r="D3" s="3333">
        <v>1</v>
      </c>
      <c r="E3" s="3333"/>
      <c r="F3" s="3331" t="s">
        <v>1800</v>
      </c>
      <c r="G3" s="3333"/>
      <c r="H3" s="3333"/>
      <c r="I3" s="3333"/>
      <c r="J3" s="3333"/>
      <c r="K3" s="3333"/>
      <c r="L3" s="3333"/>
      <c r="M3" s="3333"/>
      <c r="N3" s="3333"/>
      <c r="O3" s="3333"/>
      <c r="P3" s="3333"/>
      <c r="Q3" s="3333"/>
      <c r="R3" s="3333"/>
      <c r="S3" s="3333"/>
      <c r="T3" s="3333">
        <v>60.1</v>
      </c>
      <c r="U3" s="3333">
        <v>5</v>
      </c>
      <c r="V3" s="3333">
        <v>35</v>
      </c>
      <c r="W3" s="3333">
        <v>250</v>
      </c>
      <c r="X3" s="3333" t="s">
        <v>4259</v>
      </c>
      <c r="Y3" s="3333"/>
      <c r="Z3" s="3334"/>
      <c r="AA3" s="3334"/>
      <c r="AB3" s="3333"/>
      <c r="AC3" s="3333">
        <v>117.9</v>
      </c>
      <c r="AD3" s="3333">
        <v>16.5</v>
      </c>
      <c r="AE3" s="3333"/>
      <c r="AF3" s="3333"/>
      <c r="AG3" s="3333"/>
      <c r="AH3" s="3333"/>
      <c r="AI3" s="3333"/>
      <c r="AJ3" s="3333">
        <v>40</v>
      </c>
      <c r="AK3" s="3333">
        <v>5.4</v>
      </c>
      <c r="AL3" s="3333"/>
      <c r="AM3" s="3333"/>
      <c r="AN3" s="3333">
        <v>3</v>
      </c>
      <c r="AO3" s="3333">
        <v>3</v>
      </c>
      <c r="AP3" s="3333">
        <v>0</v>
      </c>
      <c r="AQ3" s="3333" t="s">
        <v>139</v>
      </c>
      <c r="AR3" s="3333" t="s">
        <v>138</v>
      </c>
      <c r="AS3" s="3333" t="s">
        <v>1514</v>
      </c>
      <c r="AT3" s="3333"/>
      <c r="AU3" s="3333"/>
      <c r="AV3" s="3333" t="s">
        <v>158</v>
      </c>
      <c r="AW3" s="3333">
        <v>1.073</v>
      </c>
      <c r="AX3" s="3333">
        <v>1.2310000000000001E-3</v>
      </c>
      <c r="AY3" s="3333">
        <v>0.46400000000000002</v>
      </c>
      <c r="AZ3" s="3335">
        <v>1.062E-3</v>
      </c>
      <c r="BA3" s="3333">
        <v>96</v>
      </c>
      <c r="BB3" s="3333">
        <v>1.2999999999999999E-2</v>
      </c>
      <c r="BC3" s="3333">
        <v>2.61E-4</v>
      </c>
      <c r="BD3" s="3333">
        <v>10.7691</v>
      </c>
      <c r="BE3" s="3333">
        <v>3764.2</v>
      </c>
      <c r="BF3" s="3333">
        <v>41.38</v>
      </c>
      <c r="BG3" s="3333"/>
      <c r="BH3" s="3333"/>
      <c r="BI3" s="3333"/>
      <c r="BJ3" s="3333"/>
      <c r="BK3" s="3333"/>
      <c r="BL3" s="3333"/>
      <c r="BM3" s="3333"/>
      <c r="BN3" s="3333"/>
      <c r="BO3" s="3333"/>
      <c r="BP3" s="3333"/>
    </row>
    <row r="4" spans="1:68" ht="12.75" customHeight="1" x14ac:dyDescent="0.25">
      <c r="A4" s="3331" t="s">
        <v>1040</v>
      </c>
      <c r="B4" s="3332" t="s">
        <v>97</v>
      </c>
      <c r="C4" s="3333" t="s">
        <v>842</v>
      </c>
      <c r="D4" s="3333">
        <v>1</v>
      </c>
      <c r="E4" s="3333"/>
      <c r="F4" s="3331" t="s">
        <v>1040</v>
      </c>
      <c r="G4" s="3333"/>
      <c r="H4" s="3333"/>
      <c r="I4" s="3333"/>
      <c r="J4" s="3333"/>
      <c r="K4" s="3333"/>
      <c r="L4" s="3333"/>
      <c r="M4" s="3333"/>
      <c r="N4" s="3333"/>
      <c r="O4" s="3333"/>
      <c r="P4" s="3333"/>
      <c r="Q4" s="3333"/>
      <c r="R4" s="3333"/>
      <c r="S4" s="3333"/>
      <c r="T4" s="3333">
        <v>102.1</v>
      </c>
      <c r="U4" s="3333">
        <v>0.5</v>
      </c>
      <c r="V4" s="3333">
        <v>15</v>
      </c>
      <c r="W4" s="3333">
        <v>100</v>
      </c>
      <c r="X4" s="3333" t="s">
        <v>4259</v>
      </c>
      <c r="Y4" s="3333"/>
      <c r="Z4" s="3334"/>
      <c r="AA4" s="3334"/>
      <c r="AB4" s="3333"/>
      <c r="AC4" s="3333">
        <v>138.6</v>
      </c>
      <c r="AD4" s="3333">
        <v>-73</v>
      </c>
      <c r="AE4" s="3333"/>
      <c r="AF4" s="3333"/>
      <c r="AG4" s="3333"/>
      <c r="AH4" s="3333"/>
      <c r="AI4" s="3333"/>
      <c r="AJ4" s="3333">
        <v>54</v>
      </c>
      <c r="AK4" s="3333">
        <v>2.7</v>
      </c>
      <c r="AL4" s="3333"/>
      <c r="AM4" s="3333"/>
      <c r="AN4" s="3333">
        <v>3</v>
      </c>
      <c r="AO4" s="3333">
        <v>2</v>
      </c>
      <c r="AP4" s="3333">
        <v>1</v>
      </c>
      <c r="AQ4" s="3333" t="s">
        <v>139</v>
      </c>
      <c r="AR4" s="3333" t="s">
        <v>138</v>
      </c>
      <c r="AS4" s="3333" t="s">
        <v>1514</v>
      </c>
      <c r="AT4" s="3333"/>
      <c r="AU4" s="3333"/>
      <c r="AV4" s="3333" t="s">
        <v>158</v>
      </c>
      <c r="AW4" s="3333">
        <v>1.1040000000000001</v>
      </c>
      <c r="AX4" s="3333">
        <v>1.2999999999999999E-3</v>
      </c>
      <c r="AY4" s="3333">
        <v>0.34499999999999997</v>
      </c>
      <c r="AZ4" s="3335">
        <v>8.1599999999999999E-4</v>
      </c>
      <c r="BA4" s="3333">
        <v>117.8</v>
      </c>
      <c r="BB4" s="3333">
        <v>0.40100000000000002</v>
      </c>
      <c r="BC4" s="3333">
        <v>0</v>
      </c>
      <c r="BD4" s="3333">
        <v>13.311</v>
      </c>
      <c r="BE4" s="3333">
        <v>5481.3</v>
      </c>
      <c r="BF4" s="3333">
        <v>0</v>
      </c>
      <c r="BG4" s="3333"/>
      <c r="BH4" s="3333"/>
      <c r="BI4" s="3333"/>
      <c r="BJ4" s="3333"/>
      <c r="BK4" s="3333"/>
      <c r="BL4" s="3333"/>
      <c r="BM4" s="3333"/>
      <c r="BN4" s="3333"/>
      <c r="BO4" s="3333"/>
      <c r="BP4" s="3333"/>
    </row>
    <row r="5" spans="1:68" ht="12.75" customHeight="1" x14ac:dyDescent="0.25">
      <c r="A5" s="3331" t="s">
        <v>256</v>
      </c>
      <c r="B5" s="3332" t="s">
        <v>98</v>
      </c>
      <c r="C5" s="3333" t="s">
        <v>842</v>
      </c>
      <c r="D5" s="3333">
        <v>1</v>
      </c>
      <c r="E5" s="3333"/>
      <c r="F5" s="3331" t="s">
        <v>256</v>
      </c>
      <c r="G5" s="3333"/>
      <c r="H5" s="3333"/>
      <c r="I5" s="3333"/>
      <c r="J5" s="3333"/>
      <c r="K5" s="3333"/>
      <c r="L5" s="3333"/>
      <c r="M5" s="3333"/>
      <c r="N5" s="3333"/>
      <c r="O5" s="3333"/>
      <c r="P5" s="3333"/>
      <c r="Q5" s="3333"/>
      <c r="R5" s="3333"/>
      <c r="S5" s="3333"/>
      <c r="T5" s="3333">
        <v>58.1</v>
      </c>
      <c r="U5" s="3333">
        <v>200</v>
      </c>
      <c r="V5" s="3333">
        <v>3200</v>
      </c>
      <c r="W5" s="3333">
        <v>5200</v>
      </c>
      <c r="X5" s="3333" t="s">
        <v>4457</v>
      </c>
      <c r="Y5" s="3333"/>
      <c r="Z5" s="3334"/>
      <c r="AA5" s="3334"/>
      <c r="AB5" s="3333"/>
      <c r="AC5" s="3333">
        <v>56.1</v>
      </c>
      <c r="AD5" s="3333">
        <v>-94.6</v>
      </c>
      <c r="AE5" s="3333"/>
      <c r="AF5" s="3333"/>
      <c r="AG5" s="3333"/>
      <c r="AH5" s="3333"/>
      <c r="AI5" s="3333"/>
      <c r="AJ5" s="3333">
        <v>-17.8</v>
      </c>
      <c r="AK5" s="3333">
        <v>2.6</v>
      </c>
      <c r="AL5" s="3333"/>
      <c r="AM5" s="3333"/>
      <c r="AN5" s="3333">
        <v>1</v>
      </c>
      <c r="AO5" s="3333">
        <v>3</v>
      </c>
      <c r="AP5" s="3333">
        <v>0</v>
      </c>
      <c r="AQ5" s="3333" t="s">
        <v>139</v>
      </c>
      <c r="AR5" s="3333" t="s">
        <v>138</v>
      </c>
      <c r="AS5" s="3333"/>
      <c r="AT5" s="3333"/>
      <c r="AU5" s="3333"/>
      <c r="AV5" s="3333" t="s">
        <v>158</v>
      </c>
      <c r="AW5" s="3333">
        <v>0.80800000000000005</v>
      </c>
      <c r="AX5" s="3333">
        <v>1.1800000000000001E-3</v>
      </c>
      <c r="AY5" s="3333">
        <v>0.51200000000000001</v>
      </c>
      <c r="AZ5" s="3335">
        <v>5.9000000000000003E-4</v>
      </c>
      <c r="BA5" s="3333">
        <v>134.19999999999999</v>
      </c>
      <c r="BB5" s="3333">
        <v>0.23380000000000001</v>
      </c>
      <c r="BC5" s="3333">
        <v>2.33E-4</v>
      </c>
      <c r="BD5" s="3333">
        <v>9.8424999999999994</v>
      </c>
      <c r="BE5" s="3333">
        <v>2831.55</v>
      </c>
      <c r="BF5" s="3333">
        <v>41.51</v>
      </c>
      <c r="BG5" s="3333"/>
      <c r="BH5" s="3333"/>
      <c r="BI5" s="3333"/>
      <c r="BJ5" s="3333"/>
      <c r="BK5" s="3333"/>
      <c r="BL5" s="3333"/>
      <c r="BM5" s="3333"/>
      <c r="BN5" s="3333"/>
      <c r="BO5" s="3333"/>
      <c r="BP5" s="3333"/>
    </row>
    <row r="6" spans="1:68" ht="12.75" customHeight="1" x14ac:dyDescent="0.25">
      <c r="A6" s="3331" t="s">
        <v>4267</v>
      </c>
      <c r="B6" s="3333" t="s">
        <v>4268</v>
      </c>
      <c r="C6" s="3333" t="s">
        <v>842</v>
      </c>
      <c r="D6" s="3333">
        <v>1</v>
      </c>
      <c r="E6" s="3333"/>
      <c r="F6" s="3331" t="s">
        <v>4267</v>
      </c>
      <c r="G6" s="3333"/>
      <c r="H6" s="3333"/>
      <c r="I6" s="3333"/>
      <c r="J6" s="3333"/>
      <c r="K6" s="3333"/>
      <c r="L6" s="3333"/>
      <c r="M6" s="3333"/>
      <c r="N6" s="3333"/>
      <c r="O6" s="3333"/>
      <c r="P6" s="3333"/>
      <c r="Q6" s="3333"/>
      <c r="R6" s="3333"/>
      <c r="S6" s="3333"/>
      <c r="T6" s="3345">
        <v>41.05</v>
      </c>
      <c r="U6" s="3345">
        <v>13</v>
      </c>
      <c r="V6" s="3345">
        <v>50</v>
      </c>
      <c r="W6" s="3345">
        <v>150</v>
      </c>
      <c r="X6" s="3345" t="s">
        <v>4457</v>
      </c>
      <c r="Y6" s="3345"/>
      <c r="Z6" s="3345"/>
      <c r="AA6" s="3345"/>
      <c r="AB6" s="3345"/>
      <c r="AC6" s="3345">
        <v>81.7</v>
      </c>
      <c r="AD6" s="3345">
        <v>-43.9</v>
      </c>
      <c r="AE6" s="3345"/>
      <c r="AF6" s="3345"/>
      <c r="AG6" s="3345"/>
      <c r="AH6" s="3345"/>
      <c r="AI6" s="3345"/>
      <c r="AJ6" s="3345">
        <v>2</v>
      </c>
      <c r="AK6" s="3345">
        <v>3</v>
      </c>
      <c r="AL6" s="3345">
        <v>16</v>
      </c>
      <c r="AM6" s="3345">
        <v>525</v>
      </c>
      <c r="AN6" s="3345">
        <v>2</v>
      </c>
      <c r="AO6" s="3345">
        <v>3</v>
      </c>
      <c r="AP6" s="3345">
        <v>0</v>
      </c>
      <c r="AQ6" s="3345" t="s">
        <v>139</v>
      </c>
      <c r="AR6" s="3345" t="s">
        <v>138</v>
      </c>
      <c r="AS6" s="3333" t="s">
        <v>599</v>
      </c>
      <c r="AT6" s="3333"/>
      <c r="AU6" s="3333"/>
      <c r="AV6" s="3333" t="s">
        <v>158</v>
      </c>
      <c r="AW6" s="3333">
        <v>0.80300000000000005</v>
      </c>
      <c r="AX6" s="3333">
        <v>1.0859999999999999E-3</v>
      </c>
      <c r="AY6" s="3333">
        <v>0.53700000000000003</v>
      </c>
      <c r="AZ6" s="3333">
        <v>7.1100000000000004E-4</v>
      </c>
      <c r="BA6" s="3333">
        <v>199.7</v>
      </c>
      <c r="BB6" s="3333">
        <v>0.24629999999999999</v>
      </c>
      <c r="BC6" s="3333">
        <v>5.31E-4</v>
      </c>
      <c r="BD6" s="3333">
        <v>9.8954000000000004</v>
      </c>
      <c r="BE6" s="3333">
        <v>3127.43</v>
      </c>
      <c r="BF6" s="3333">
        <v>37.94</v>
      </c>
      <c r="BG6" s="3333"/>
      <c r="BH6" s="3333"/>
      <c r="BI6" s="3333"/>
      <c r="BJ6" s="3333"/>
      <c r="BK6" s="3333"/>
      <c r="BL6" s="3333"/>
      <c r="BM6" s="3333"/>
      <c r="BN6" s="3333"/>
      <c r="BO6" s="3333"/>
      <c r="BP6" s="3333"/>
    </row>
    <row r="7" spans="1:68" ht="12.75" customHeight="1" x14ac:dyDescent="0.25">
      <c r="A7" s="3331" t="s">
        <v>1877</v>
      </c>
      <c r="B7" s="3332" t="s">
        <v>1390</v>
      </c>
      <c r="C7" s="3333" t="s">
        <v>842</v>
      </c>
      <c r="D7" s="3333">
        <v>1</v>
      </c>
      <c r="E7" s="3333"/>
      <c r="F7" s="3331" t="s">
        <v>1877</v>
      </c>
      <c r="G7" s="3333"/>
      <c r="H7" s="3333"/>
      <c r="I7" s="3333"/>
      <c r="J7" s="3333"/>
      <c r="K7" s="3333"/>
      <c r="L7" s="3333"/>
      <c r="M7" s="3333"/>
      <c r="N7" s="3333"/>
      <c r="O7" s="3333"/>
      <c r="P7" s="3333"/>
      <c r="Q7" s="3333"/>
      <c r="R7" s="3333"/>
      <c r="S7" s="3333"/>
      <c r="T7" s="3333">
        <v>26.04</v>
      </c>
      <c r="U7" s="3345">
        <v>65000</v>
      </c>
      <c r="V7" s="3345">
        <v>230000</v>
      </c>
      <c r="W7" s="3345">
        <v>400000</v>
      </c>
      <c r="X7" s="3333" t="s">
        <v>4459</v>
      </c>
      <c r="Y7" s="3333"/>
      <c r="Z7" s="3334"/>
      <c r="AA7" s="3334"/>
      <c r="AB7" s="3333"/>
      <c r="AC7" s="3333">
        <v>-84.9</v>
      </c>
      <c r="AD7" s="3333">
        <v>-80.8</v>
      </c>
      <c r="AE7" s="3333"/>
      <c r="AF7" s="3333"/>
      <c r="AG7" s="3333"/>
      <c r="AH7" s="3333"/>
      <c r="AI7" s="3333"/>
      <c r="AJ7" s="3333">
        <v>-150</v>
      </c>
      <c r="AK7" s="3333">
        <v>2.5</v>
      </c>
      <c r="AL7" s="3333"/>
      <c r="AM7" s="3333"/>
      <c r="AN7" s="3333">
        <v>0</v>
      </c>
      <c r="AO7" s="3333">
        <v>4</v>
      </c>
      <c r="AP7" s="3333">
        <v>3</v>
      </c>
      <c r="AQ7" s="3333" t="s">
        <v>141</v>
      </c>
      <c r="AR7" s="3333" t="s">
        <v>137</v>
      </c>
      <c r="AS7" s="3333"/>
      <c r="AT7" s="3333"/>
      <c r="AU7" s="3333"/>
      <c r="AV7" s="3333"/>
      <c r="AW7" s="3333">
        <v>0.45700000000000002</v>
      </c>
      <c r="AX7" s="3333">
        <v>1.8499999999999996E-3</v>
      </c>
      <c r="AY7" s="3333">
        <v>0.83199999999999996</v>
      </c>
      <c r="AZ7" s="3335">
        <v>1.9374999999999989E-3</v>
      </c>
      <c r="BA7" s="3333">
        <v>96.9</v>
      </c>
      <c r="BB7" s="3333">
        <v>0.58125000000000004</v>
      </c>
      <c r="BC7" s="3333"/>
      <c r="BD7" s="3333">
        <v>10.46156769560316</v>
      </c>
      <c r="BE7" s="3333">
        <v>1965.4996400879418</v>
      </c>
      <c r="BF7" s="3333"/>
      <c r="BG7" s="3333"/>
      <c r="BH7" s="3333"/>
      <c r="BI7" s="3333"/>
      <c r="BJ7" s="3333"/>
      <c r="BK7" s="3333"/>
      <c r="BL7" s="3333"/>
      <c r="BM7" s="3333"/>
      <c r="BN7" s="3333"/>
      <c r="BO7" s="3333"/>
      <c r="BP7" s="3333"/>
    </row>
    <row r="8" spans="1:68" ht="12.75" customHeight="1" x14ac:dyDescent="0.25">
      <c r="A8" s="3331" t="s">
        <v>996</v>
      </c>
      <c r="B8" s="3332" t="s">
        <v>1391</v>
      </c>
      <c r="C8" s="3333" t="s">
        <v>842</v>
      </c>
      <c r="D8" s="3333">
        <v>1</v>
      </c>
      <c r="E8" s="3333"/>
      <c r="F8" s="3331" t="s">
        <v>996</v>
      </c>
      <c r="G8" s="3333"/>
      <c r="H8" s="3333"/>
      <c r="I8" s="3333"/>
      <c r="J8" s="3333"/>
      <c r="K8" s="3333"/>
      <c r="L8" s="3333"/>
      <c r="M8" s="3333"/>
      <c r="N8" s="3333"/>
      <c r="O8" s="3333"/>
      <c r="P8" s="3333"/>
      <c r="Q8" s="3333"/>
      <c r="R8" s="3333"/>
      <c r="S8" s="3333"/>
      <c r="T8" s="3333">
        <v>56.1</v>
      </c>
      <c r="U8" s="3333">
        <v>0.05</v>
      </c>
      <c r="V8" s="3333">
        <v>0.15</v>
      </c>
      <c r="W8" s="3333">
        <v>1.5</v>
      </c>
      <c r="X8" s="3333" t="s">
        <v>4259</v>
      </c>
      <c r="Y8" s="3333" t="s">
        <v>289</v>
      </c>
      <c r="Z8" s="3334">
        <v>7.8</v>
      </c>
      <c r="AA8" s="3334">
        <v>24.4</v>
      </c>
      <c r="AB8" s="3333">
        <v>1</v>
      </c>
      <c r="AC8" s="3333">
        <v>52.5</v>
      </c>
      <c r="AD8" s="3333">
        <v>-87.7</v>
      </c>
      <c r="AE8" s="3333"/>
      <c r="AF8" s="3333"/>
      <c r="AG8" s="3333"/>
      <c r="AH8" s="3333"/>
      <c r="AI8" s="3333"/>
      <c r="AJ8" s="3333">
        <v>-26</v>
      </c>
      <c r="AK8" s="3333">
        <v>2.8</v>
      </c>
      <c r="AL8" s="3333">
        <v>31</v>
      </c>
      <c r="AM8" s="3333">
        <v>235</v>
      </c>
      <c r="AN8" s="3333">
        <v>4</v>
      </c>
      <c r="AO8" s="3333">
        <v>3</v>
      </c>
      <c r="AP8" s="3333">
        <v>3</v>
      </c>
      <c r="AQ8" s="3333" t="s">
        <v>139</v>
      </c>
      <c r="AR8" s="3333" t="s">
        <v>138</v>
      </c>
      <c r="AS8" s="3333" t="s">
        <v>1091</v>
      </c>
      <c r="AT8" s="3333" t="s">
        <v>1169</v>
      </c>
      <c r="AU8" s="3333"/>
      <c r="AV8" s="3333" t="s">
        <v>158</v>
      </c>
      <c r="AW8" s="3333">
        <v>0.85499999999999998</v>
      </c>
      <c r="AX8" s="3333">
        <v>1.201E-3</v>
      </c>
      <c r="AY8" s="3333">
        <v>0.45300000000000001</v>
      </c>
      <c r="AZ8" s="3335">
        <v>1.1509999999999999E-3</v>
      </c>
      <c r="BA8" s="3333">
        <v>133.9</v>
      </c>
      <c r="BB8" s="3333">
        <v>0.17249999999999999</v>
      </c>
      <c r="BC8" s="3333">
        <v>5.9699999999999998E-4</v>
      </c>
      <c r="BD8" s="3333">
        <v>9.8120999999999992</v>
      </c>
      <c r="BE8" s="3333">
        <v>2824.64</v>
      </c>
      <c r="BF8" s="3333">
        <v>37.53</v>
      </c>
      <c r="BG8" s="3333"/>
      <c r="BH8" s="3333"/>
      <c r="BI8" s="3333"/>
      <c r="BJ8" s="3333"/>
      <c r="BK8" s="3333"/>
      <c r="BL8" s="3333"/>
      <c r="BM8" s="3333"/>
      <c r="BN8" s="3333"/>
      <c r="BO8" s="3333"/>
      <c r="BP8" s="3333"/>
    </row>
    <row r="9" spans="1:68" ht="12.75" customHeight="1" x14ac:dyDescent="0.25">
      <c r="A9" s="3331" t="s">
        <v>4269</v>
      </c>
      <c r="B9" s="3333" t="s">
        <v>4270</v>
      </c>
      <c r="C9" s="3333" t="s">
        <v>842</v>
      </c>
      <c r="D9" s="3333">
        <v>1</v>
      </c>
      <c r="E9" s="3333"/>
      <c r="F9" s="3331" t="s">
        <v>4269</v>
      </c>
      <c r="G9" s="3333"/>
      <c r="H9" s="3333"/>
      <c r="I9" s="3333"/>
      <c r="J9" s="3333"/>
      <c r="K9" s="3333"/>
      <c r="L9" s="3333"/>
      <c r="M9" s="3333"/>
      <c r="N9" s="3333"/>
      <c r="O9" s="3333"/>
      <c r="P9" s="3333"/>
      <c r="Q9" s="3333"/>
      <c r="R9" s="3333"/>
      <c r="S9" s="3333"/>
      <c r="T9" s="3345">
        <v>71.08</v>
      </c>
      <c r="U9" s="3345">
        <v>0.03</v>
      </c>
      <c r="V9" s="3345">
        <v>15.1</v>
      </c>
      <c r="W9" s="3345">
        <v>34.4</v>
      </c>
      <c r="X9" s="3345" t="s">
        <v>4459</v>
      </c>
      <c r="Y9" s="3345"/>
      <c r="Z9" s="3345"/>
      <c r="AA9" s="3345"/>
      <c r="AB9" s="3345"/>
      <c r="AC9" s="3345">
        <v>230.2</v>
      </c>
      <c r="AD9" s="3345">
        <v>84.5</v>
      </c>
      <c r="AE9" s="3345"/>
      <c r="AF9" s="3345"/>
      <c r="AG9" s="3345"/>
      <c r="AH9" s="3345"/>
      <c r="AI9" s="3345"/>
      <c r="AJ9" s="3345"/>
      <c r="AK9" s="3345"/>
      <c r="AL9" s="3345"/>
      <c r="AM9" s="3345"/>
      <c r="AN9" s="3345">
        <v>3</v>
      </c>
      <c r="AO9" s="3345">
        <v>0</v>
      </c>
      <c r="AP9" s="3345">
        <v>1</v>
      </c>
      <c r="AQ9" s="3345" t="s">
        <v>139</v>
      </c>
      <c r="AR9" s="3345" t="s">
        <v>138</v>
      </c>
      <c r="AS9" s="3333" t="s">
        <v>1514</v>
      </c>
      <c r="AT9" s="3333"/>
      <c r="AU9" s="3333"/>
      <c r="AV9" s="3333"/>
      <c r="AW9" s="3333">
        <v>0.997</v>
      </c>
      <c r="AX9" s="3333">
        <v>6.6E-4</v>
      </c>
      <c r="AY9" s="3333">
        <v>0.443</v>
      </c>
      <c r="AZ9" s="3333">
        <v>9.5E-4</v>
      </c>
      <c r="BA9" s="3333">
        <v>243.7</v>
      </c>
      <c r="BB9" s="3333">
        <v>0.16700000000000001</v>
      </c>
      <c r="BC9" s="3333">
        <v>2.2000000000000001E-4</v>
      </c>
      <c r="BD9" s="3333">
        <v>13.138400000000001</v>
      </c>
      <c r="BE9" s="3333">
        <v>6003.78</v>
      </c>
      <c r="BF9" s="3333">
        <v>45.23</v>
      </c>
      <c r="BG9" s="3333"/>
      <c r="BH9" s="3333"/>
      <c r="BI9" s="3333"/>
      <c r="BJ9" s="3333"/>
      <c r="BK9" s="3333"/>
      <c r="BL9" s="3333"/>
      <c r="BM9" s="3333"/>
      <c r="BN9" s="3333"/>
      <c r="BO9" s="3333"/>
      <c r="BP9" s="3333"/>
    </row>
    <row r="10" spans="1:68" ht="12.75" customHeight="1" x14ac:dyDescent="0.25">
      <c r="A10" s="3331" t="s">
        <v>1878</v>
      </c>
      <c r="B10" s="3332" t="s">
        <v>1885</v>
      </c>
      <c r="C10" s="3333" t="s">
        <v>842</v>
      </c>
      <c r="D10" s="3333">
        <v>1</v>
      </c>
      <c r="E10" s="3333"/>
      <c r="F10" s="3331" t="s">
        <v>1878</v>
      </c>
      <c r="G10" s="3333"/>
      <c r="H10" s="3333"/>
      <c r="I10" s="3333"/>
      <c r="J10" s="3333"/>
      <c r="K10" s="3333"/>
      <c r="L10" s="3333"/>
      <c r="M10" s="3333"/>
      <c r="N10" s="3333"/>
      <c r="O10" s="3333"/>
      <c r="P10" s="3333"/>
      <c r="Q10" s="3333"/>
      <c r="R10" s="3333"/>
      <c r="S10" s="3333"/>
      <c r="T10" s="3333">
        <v>72.099999999999994</v>
      </c>
      <c r="U10" s="3333">
        <v>1</v>
      </c>
      <c r="V10" s="3333">
        <v>50</v>
      </c>
      <c r="W10" s="3333">
        <v>250</v>
      </c>
      <c r="X10" s="3333" t="s">
        <v>4259</v>
      </c>
      <c r="Y10" s="3333"/>
      <c r="Z10" s="3334"/>
      <c r="AA10" s="3334"/>
      <c r="AB10" s="3333"/>
      <c r="AC10" s="3333">
        <v>141.30000000000001</v>
      </c>
      <c r="AD10" s="3333">
        <v>13.9</v>
      </c>
      <c r="AE10" s="3333"/>
      <c r="AF10" s="3333"/>
      <c r="AG10" s="3333"/>
      <c r="AH10" s="3333"/>
      <c r="AI10" s="3333"/>
      <c r="AJ10" s="3333">
        <v>49.9</v>
      </c>
      <c r="AK10" s="3333">
        <v>5.3</v>
      </c>
      <c r="AL10" s="3333"/>
      <c r="AM10" s="3333"/>
      <c r="AN10" s="3333">
        <v>3</v>
      </c>
      <c r="AO10" s="3333">
        <v>2</v>
      </c>
      <c r="AP10" s="3333">
        <v>2</v>
      </c>
      <c r="AQ10" s="3333" t="s">
        <v>139</v>
      </c>
      <c r="AR10" s="3333" t="s">
        <v>138</v>
      </c>
      <c r="AS10" s="3333" t="s">
        <v>1514</v>
      </c>
      <c r="AT10" s="3333" t="s">
        <v>1169</v>
      </c>
      <c r="AU10" s="3333"/>
      <c r="AV10" s="3333"/>
      <c r="AW10" s="3333">
        <v>1.075</v>
      </c>
      <c r="AX10" s="3333">
        <v>1.24E-3</v>
      </c>
      <c r="AY10" s="3333">
        <v>0.42899999999999999</v>
      </c>
      <c r="AZ10" s="3335">
        <v>1.0150000000000001E-3</v>
      </c>
      <c r="BA10" s="3333">
        <v>120</v>
      </c>
      <c r="BB10" s="3333">
        <v>0.2</v>
      </c>
      <c r="BC10" s="3333"/>
      <c r="BD10" s="3333">
        <v>10.9902</v>
      </c>
      <c r="BE10" s="3333">
        <v>3888.69</v>
      </c>
      <c r="BF10" s="3333">
        <v>60.72</v>
      </c>
      <c r="BG10" s="3333"/>
      <c r="BH10" s="3333"/>
      <c r="BI10" s="3333"/>
      <c r="BJ10" s="3333"/>
      <c r="BK10" s="3333"/>
      <c r="BL10" s="3333"/>
      <c r="BM10" s="3333"/>
      <c r="BN10" s="3333"/>
      <c r="BO10" s="3333"/>
      <c r="BP10" s="3333"/>
    </row>
    <row r="11" spans="1:68" ht="12.75" customHeight="1" x14ac:dyDescent="0.25">
      <c r="A11" s="3307" t="s">
        <v>841</v>
      </c>
      <c r="B11" s="3308" t="s">
        <v>1886</v>
      </c>
      <c r="C11" s="3309" t="s">
        <v>842</v>
      </c>
      <c r="D11" s="3309">
        <v>1</v>
      </c>
      <c r="E11" s="3309"/>
      <c r="F11" s="3307" t="s">
        <v>841</v>
      </c>
      <c r="G11" s="3309"/>
      <c r="H11" s="3309"/>
      <c r="I11" s="3309"/>
      <c r="J11" s="3309"/>
      <c r="K11" s="3309"/>
      <c r="L11" s="3309"/>
      <c r="M11" s="3309"/>
      <c r="N11" s="3309"/>
      <c r="O11" s="3309"/>
      <c r="P11" s="3309"/>
      <c r="Q11" s="3309"/>
      <c r="R11" s="3309"/>
      <c r="S11" s="3309"/>
      <c r="T11" s="3309">
        <v>53.1</v>
      </c>
      <c r="U11" s="3309">
        <v>10</v>
      </c>
      <c r="V11" s="3309">
        <v>35</v>
      </c>
      <c r="W11" s="3309">
        <v>75</v>
      </c>
      <c r="X11" s="3309" t="s">
        <v>4259</v>
      </c>
      <c r="Y11" s="3309" t="s">
        <v>289</v>
      </c>
      <c r="Z11" s="3310">
        <v>99.2</v>
      </c>
      <c r="AA11" s="3310">
        <v>170.5</v>
      </c>
      <c r="AB11" s="3309">
        <v>1.43</v>
      </c>
      <c r="AC11" s="3309">
        <v>77.2</v>
      </c>
      <c r="AD11" s="3309">
        <v>-83.5</v>
      </c>
      <c r="AE11" s="3309"/>
      <c r="AF11" s="3309"/>
      <c r="AG11" s="3309"/>
      <c r="AH11" s="3309"/>
      <c r="AI11" s="3309"/>
      <c r="AJ11" s="3309">
        <v>-5</v>
      </c>
      <c r="AK11" s="3309">
        <v>3</v>
      </c>
      <c r="AL11" s="3309">
        <v>17</v>
      </c>
      <c r="AM11" s="3309">
        <v>481</v>
      </c>
      <c r="AN11" s="3309">
        <v>4</v>
      </c>
      <c r="AO11" s="3309">
        <v>3</v>
      </c>
      <c r="AP11" s="3309">
        <v>2</v>
      </c>
      <c r="AQ11" s="3309" t="s">
        <v>139</v>
      </c>
      <c r="AR11" s="3309" t="s">
        <v>138</v>
      </c>
      <c r="AS11" s="3309" t="s">
        <v>1091</v>
      </c>
      <c r="AT11" s="3309" t="s">
        <v>1091</v>
      </c>
      <c r="AU11" s="3309"/>
      <c r="AV11" s="3309" t="s">
        <v>158</v>
      </c>
      <c r="AW11" s="3309">
        <v>0.82699999999999996</v>
      </c>
      <c r="AX11" s="3309">
        <v>1.204E-3</v>
      </c>
      <c r="AY11" s="3309">
        <v>0.48399999999999999</v>
      </c>
      <c r="AZ11" s="3311">
        <v>5.0900000000000001E-4</v>
      </c>
      <c r="BA11" s="3309">
        <v>157.1</v>
      </c>
      <c r="BB11" s="3309">
        <v>0.20599999999999999</v>
      </c>
      <c r="BC11" s="3309">
        <v>2.7999999999999998E-4</v>
      </c>
      <c r="BD11" s="3309">
        <v>9.7858000000000001</v>
      </c>
      <c r="BE11" s="3309">
        <v>3033.48</v>
      </c>
      <c r="BF11" s="3309">
        <v>40.4</v>
      </c>
      <c r="BG11" s="3309"/>
      <c r="BH11" s="3309"/>
      <c r="BI11" s="3309"/>
      <c r="BJ11" s="3309"/>
      <c r="BK11" s="3309"/>
      <c r="BL11" s="3309"/>
      <c r="BM11" s="3309"/>
      <c r="BN11" s="3309"/>
      <c r="BO11" s="3309"/>
      <c r="BP11" s="3309"/>
    </row>
    <row r="12" spans="1:68" ht="12.75" customHeight="1" x14ac:dyDescent="0.25">
      <c r="A12" s="3307" t="s">
        <v>4271</v>
      </c>
      <c r="B12" s="3309" t="s">
        <v>4272</v>
      </c>
      <c r="C12" s="3309" t="s">
        <v>842</v>
      </c>
      <c r="D12" s="3309">
        <v>1</v>
      </c>
      <c r="E12" s="3309"/>
      <c r="F12" s="3307" t="s">
        <v>4271</v>
      </c>
      <c r="G12" s="3309"/>
      <c r="H12" s="3309"/>
      <c r="I12" s="3309"/>
      <c r="J12" s="3309"/>
      <c r="K12" s="3309"/>
      <c r="L12" s="3309"/>
      <c r="M12" s="3309"/>
      <c r="N12" s="3309"/>
      <c r="O12" s="3309"/>
      <c r="P12" s="3309"/>
      <c r="Q12" s="3309"/>
      <c r="R12" s="3309"/>
      <c r="S12" s="3309"/>
      <c r="T12" s="3320">
        <v>58.1</v>
      </c>
      <c r="U12" s="3320">
        <v>0.09</v>
      </c>
      <c r="V12" s="3320">
        <v>1.7</v>
      </c>
      <c r="W12" s="3320">
        <v>13</v>
      </c>
      <c r="X12" s="3320" t="s">
        <v>4457</v>
      </c>
      <c r="Y12" s="3309" t="s">
        <v>289</v>
      </c>
      <c r="Z12" s="3320"/>
      <c r="AA12" s="3320"/>
      <c r="AB12" s="3320"/>
      <c r="AC12" s="3320">
        <v>96.9</v>
      </c>
      <c r="AD12" s="3320">
        <v>-129</v>
      </c>
      <c r="AE12" s="3320"/>
      <c r="AF12" s="3320"/>
      <c r="AG12" s="3320"/>
      <c r="AH12" s="3320"/>
      <c r="AI12" s="3320"/>
      <c r="AJ12" s="3320">
        <v>21</v>
      </c>
      <c r="AK12" s="3320">
        <v>2.5</v>
      </c>
      <c r="AL12" s="3320"/>
      <c r="AM12" s="3320"/>
      <c r="AN12" s="3320">
        <v>4</v>
      </c>
      <c r="AO12" s="3320">
        <v>3</v>
      </c>
      <c r="AP12" s="3320">
        <v>1</v>
      </c>
      <c r="AQ12" s="3320" t="s">
        <v>139</v>
      </c>
      <c r="AR12" s="3320" t="s">
        <v>138</v>
      </c>
      <c r="AS12" s="3309" t="s">
        <v>1091</v>
      </c>
      <c r="AT12" s="3309" t="s">
        <v>1169</v>
      </c>
      <c r="AU12" s="3309"/>
      <c r="AV12" s="3309" t="s">
        <v>158</v>
      </c>
      <c r="AW12" s="3309">
        <v>0.872</v>
      </c>
      <c r="AX12" s="3309">
        <v>1.0629999999999999E-3</v>
      </c>
      <c r="AY12" s="3309">
        <v>0.57899999999999996</v>
      </c>
      <c r="AZ12" s="3309">
        <v>1.263E-3</v>
      </c>
      <c r="BA12" s="3309">
        <v>198.9</v>
      </c>
      <c r="BB12" s="3309">
        <v>0.26500000000000001</v>
      </c>
      <c r="BC12" s="3309">
        <v>5.9400000000000002E-4</v>
      </c>
      <c r="BD12" s="3309">
        <v>11.4765</v>
      </c>
      <c r="BE12" s="3309">
        <v>3583.24</v>
      </c>
      <c r="BF12" s="3309">
        <v>58.2</v>
      </c>
      <c r="BG12" s="3309"/>
      <c r="BH12" s="3309"/>
      <c r="BI12" s="3309"/>
      <c r="BJ12" s="3309"/>
      <c r="BK12" s="3309"/>
      <c r="BL12" s="3309"/>
      <c r="BM12" s="3309"/>
      <c r="BN12" s="3309"/>
      <c r="BO12" s="3309"/>
      <c r="BP12" s="3309"/>
    </row>
    <row r="13" spans="1:68" ht="12.75" customHeight="1" x14ac:dyDescent="0.25">
      <c r="A13" s="3314" t="s">
        <v>1887</v>
      </c>
      <c r="B13" s="3309" t="s">
        <v>1888</v>
      </c>
      <c r="C13" s="3309" t="s">
        <v>842</v>
      </c>
      <c r="D13" s="3309">
        <v>1</v>
      </c>
      <c r="E13" s="3309"/>
      <c r="F13" s="3314" t="s">
        <v>1887</v>
      </c>
      <c r="G13" s="3309"/>
      <c r="H13" s="3309"/>
      <c r="I13" s="3309"/>
      <c r="J13" s="3309"/>
      <c r="K13" s="3309"/>
      <c r="L13" s="3309"/>
      <c r="M13" s="3309"/>
      <c r="N13" s="3309"/>
      <c r="O13" s="3309"/>
      <c r="P13" s="3309"/>
      <c r="Q13" s="3309"/>
      <c r="R13" s="3309"/>
      <c r="S13" s="3309"/>
      <c r="T13" s="3309">
        <v>76.53</v>
      </c>
      <c r="U13" s="3309">
        <v>3</v>
      </c>
      <c r="V13" s="3309">
        <v>40</v>
      </c>
      <c r="W13" s="3309">
        <v>300</v>
      </c>
      <c r="X13" s="3309" t="s">
        <v>4259</v>
      </c>
      <c r="Y13" s="3309"/>
      <c r="Z13" s="3310"/>
      <c r="AA13" s="3310"/>
      <c r="AB13" s="3309"/>
      <c r="AC13" s="3309">
        <v>45</v>
      </c>
      <c r="AD13" s="3309">
        <v>-134.5</v>
      </c>
      <c r="AE13" s="3309"/>
      <c r="AF13" s="3309"/>
      <c r="AG13" s="3309"/>
      <c r="AH13" s="3309"/>
      <c r="AI13" s="3309"/>
      <c r="AJ13" s="3309">
        <v>-32</v>
      </c>
      <c r="AK13" s="3309">
        <v>1</v>
      </c>
      <c r="AL13" s="3309"/>
      <c r="AM13" s="3309"/>
      <c r="AN13" s="3309">
        <v>3</v>
      </c>
      <c r="AO13" s="3309">
        <v>3</v>
      </c>
      <c r="AP13" s="3309">
        <v>1</v>
      </c>
      <c r="AQ13" s="3309"/>
      <c r="AR13" s="3309"/>
      <c r="AS13" s="3309" t="s">
        <v>599</v>
      </c>
      <c r="AT13" s="3309" t="s">
        <v>1169</v>
      </c>
      <c r="AU13" s="3309"/>
      <c r="AV13" s="3309"/>
      <c r="AW13" s="3309">
        <v>0.96</v>
      </c>
      <c r="AX13" s="3309">
        <v>1.4E-3</v>
      </c>
      <c r="AY13" s="3309">
        <v>0.35699999999999998</v>
      </c>
      <c r="AZ13" s="3311">
        <v>5.9999999999999995E-4</v>
      </c>
      <c r="BA13" s="3309">
        <v>95.2</v>
      </c>
      <c r="BB13" s="3309">
        <v>0.14779999999999999</v>
      </c>
      <c r="BC13" s="3309">
        <v>2.9E-4</v>
      </c>
      <c r="BD13" s="3309">
        <v>9.7954000000000008</v>
      </c>
      <c r="BE13" s="3309">
        <v>2751.49</v>
      </c>
      <c r="BF13" s="3309">
        <v>37.229999999999997</v>
      </c>
      <c r="BG13" s="3309"/>
      <c r="BH13" s="3309"/>
      <c r="BI13" s="3309"/>
      <c r="BJ13" s="3309"/>
      <c r="BK13" s="3309"/>
      <c r="BL13" s="3309"/>
      <c r="BM13" s="3309"/>
      <c r="BN13" s="3309"/>
      <c r="BO13" s="3309"/>
      <c r="BP13" s="3309"/>
    </row>
    <row r="14" spans="1:68" ht="12.75" customHeight="1" x14ac:dyDescent="0.25">
      <c r="A14" s="3307" t="s">
        <v>4273</v>
      </c>
      <c r="B14" s="3309" t="s">
        <v>4274</v>
      </c>
      <c r="C14" s="3309" t="s">
        <v>842</v>
      </c>
      <c r="D14" s="3309">
        <v>1</v>
      </c>
      <c r="E14" s="3309"/>
      <c r="F14" s="3307" t="s">
        <v>4273</v>
      </c>
      <c r="G14" s="3309"/>
      <c r="H14" s="3309"/>
      <c r="I14" s="3309"/>
      <c r="J14" s="3309"/>
      <c r="K14" s="3309"/>
      <c r="L14" s="3309"/>
      <c r="M14" s="3309"/>
      <c r="N14" s="3309"/>
      <c r="O14" s="3309"/>
      <c r="P14" s="3309"/>
      <c r="Q14" s="3309"/>
      <c r="R14" s="3309"/>
      <c r="S14" s="3309"/>
      <c r="T14" s="3320">
        <v>57.1</v>
      </c>
      <c r="U14" s="3320">
        <v>0.42</v>
      </c>
      <c r="V14" s="3320">
        <v>3.3</v>
      </c>
      <c r="W14" s="3320">
        <v>18</v>
      </c>
      <c r="X14" s="3320" t="s">
        <v>4457</v>
      </c>
      <c r="Y14" s="3309" t="s">
        <v>289</v>
      </c>
      <c r="Z14" s="3320"/>
      <c r="AA14" s="3320"/>
      <c r="AB14" s="3320"/>
      <c r="AC14" s="3320">
        <v>58</v>
      </c>
      <c r="AD14" s="3320">
        <v>-93</v>
      </c>
      <c r="AE14" s="3320"/>
      <c r="AF14" s="3320"/>
      <c r="AG14" s="3320"/>
      <c r="AH14" s="3320"/>
      <c r="AI14" s="3320"/>
      <c r="AJ14" s="3320">
        <v>-29</v>
      </c>
      <c r="AK14" s="3320">
        <v>2.2000000000000002</v>
      </c>
      <c r="AL14" s="3320"/>
      <c r="AM14" s="3320"/>
      <c r="AN14" s="3320">
        <v>3</v>
      </c>
      <c r="AO14" s="3320">
        <v>3</v>
      </c>
      <c r="AP14" s="3320">
        <v>0</v>
      </c>
      <c r="AQ14" s="3320" t="s">
        <v>139</v>
      </c>
      <c r="AR14" s="3320" t="s">
        <v>138</v>
      </c>
      <c r="AS14" s="3309" t="s">
        <v>1091</v>
      </c>
      <c r="AT14" s="3309" t="s">
        <v>1091</v>
      </c>
      <c r="AU14" s="3309"/>
      <c r="AV14" s="3309"/>
      <c r="AW14" s="3309">
        <v>0.77800000000000002</v>
      </c>
      <c r="AX14" s="3309">
        <v>1.116E-3</v>
      </c>
      <c r="AY14" s="3309">
        <v>0.56699999999999995</v>
      </c>
      <c r="AZ14" s="3309">
        <v>1.088E-3</v>
      </c>
      <c r="BA14" s="3309">
        <v>143.6</v>
      </c>
      <c r="BB14" s="3309">
        <v>0.22900000000000001</v>
      </c>
      <c r="BC14" s="3309">
        <v>4.2700000000000002E-4</v>
      </c>
      <c r="BD14" s="3309">
        <v>9.6469000000000005</v>
      </c>
      <c r="BE14" s="3309">
        <v>2652.64</v>
      </c>
      <c r="BF14" s="3309">
        <v>56.37</v>
      </c>
      <c r="BG14" s="3309"/>
      <c r="BH14" s="3309"/>
      <c r="BI14" s="3309"/>
      <c r="BJ14" s="3309"/>
      <c r="BK14" s="3309"/>
      <c r="BL14" s="3309"/>
      <c r="BM14" s="3309"/>
      <c r="BN14" s="3309"/>
      <c r="BO14" s="3309"/>
      <c r="BP14" s="3309"/>
    </row>
    <row r="15" spans="1:68" ht="12.75" customHeight="1" x14ac:dyDescent="0.25">
      <c r="A15" s="3307" t="s">
        <v>4275</v>
      </c>
      <c r="B15" s="3309" t="s">
        <v>4276</v>
      </c>
      <c r="C15" s="3309" t="s">
        <v>842</v>
      </c>
      <c r="D15" s="3309">
        <v>1</v>
      </c>
      <c r="E15" s="3309"/>
      <c r="F15" s="3307" t="s">
        <v>4275</v>
      </c>
      <c r="G15" s="3309"/>
      <c r="H15" s="3309"/>
      <c r="I15" s="3309"/>
      <c r="J15" s="3309"/>
      <c r="K15" s="3309"/>
      <c r="L15" s="3309"/>
      <c r="M15" s="3309"/>
      <c r="N15" s="3309"/>
      <c r="O15" s="3309"/>
      <c r="P15" s="3309"/>
      <c r="Q15" s="3309"/>
      <c r="R15" s="3309"/>
      <c r="S15" s="3309"/>
      <c r="T15" s="3320">
        <v>129.19999999999999</v>
      </c>
      <c r="U15" s="3320">
        <v>1.2</v>
      </c>
      <c r="V15" s="3320">
        <v>13.4</v>
      </c>
      <c r="W15" s="3320">
        <v>103</v>
      </c>
      <c r="X15" s="3320" t="s">
        <v>4459</v>
      </c>
      <c r="Y15" s="3320"/>
      <c r="Z15" s="3320"/>
      <c r="AA15" s="3320"/>
      <c r="AB15" s="3320"/>
      <c r="AC15" s="3320">
        <v>222.2</v>
      </c>
      <c r="AD15" s="3320">
        <v>-17</v>
      </c>
      <c r="AE15" s="3320"/>
      <c r="AF15" s="3320"/>
      <c r="AG15" s="3320"/>
      <c r="AH15" s="3320"/>
      <c r="AI15" s="3320"/>
      <c r="AJ15" s="3320">
        <v>93.3</v>
      </c>
      <c r="AK15" s="3320">
        <v>1.6</v>
      </c>
      <c r="AL15" s="3320">
        <v>10.5</v>
      </c>
      <c r="AM15" s="3320"/>
      <c r="AN15" s="3320">
        <v>3</v>
      </c>
      <c r="AO15" s="3320">
        <v>2</v>
      </c>
      <c r="AP15" s="3320">
        <v>1</v>
      </c>
      <c r="AQ15" s="3320" t="s">
        <v>139</v>
      </c>
      <c r="AR15" s="3320" t="s">
        <v>138</v>
      </c>
      <c r="AS15" s="3309" t="s">
        <v>599</v>
      </c>
      <c r="AT15" s="3309" t="s">
        <v>599</v>
      </c>
      <c r="AU15" s="3309"/>
      <c r="AV15" s="3309"/>
      <c r="AW15" s="3309">
        <v>1.0249999999999999</v>
      </c>
      <c r="AX15" s="3309">
        <v>1.0430000000000001E-3</v>
      </c>
      <c r="AY15" s="3309">
        <v>0.44800000000000001</v>
      </c>
      <c r="AZ15" s="3309">
        <v>8.8949999999999999E-4</v>
      </c>
      <c r="BA15" s="3309">
        <v>109.4</v>
      </c>
      <c r="BB15" s="3309">
        <v>6.6400000000000001E-2</v>
      </c>
      <c r="BC15" s="3309">
        <v>1.93E-4</v>
      </c>
      <c r="BD15" s="3309">
        <v>10.1692</v>
      </c>
      <c r="BE15" s="3309">
        <v>4306.4799999999996</v>
      </c>
      <c r="BF15" s="3309">
        <v>72.48</v>
      </c>
      <c r="BG15" s="3309"/>
      <c r="BH15" s="3309"/>
      <c r="BI15" s="3309"/>
      <c r="BJ15" s="3309"/>
      <c r="BK15" s="3309"/>
      <c r="BL15" s="3309"/>
      <c r="BM15" s="3309"/>
      <c r="BN15" s="3309"/>
      <c r="BO15" s="3309"/>
      <c r="BP15" s="3309"/>
    </row>
    <row r="16" spans="1:68" ht="12.75" customHeight="1" x14ac:dyDescent="0.25">
      <c r="A16" s="3307" t="s">
        <v>787</v>
      </c>
      <c r="B16" s="3308" t="s">
        <v>786</v>
      </c>
      <c r="C16" s="3309" t="s">
        <v>842</v>
      </c>
      <c r="D16" s="3309">
        <v>1</v>
      </c>
      <c r="E16" s="3309"/>
      <c r="F16" s="3307" t="s">
        <v>787</v>
      </c>
      <c r="G16" s="3309"/>
      <c r="H16" s="3309"/>
      <c r="I16" s="3309"/>
      <c r="J16" s="3309"/>
      <c r="K16" s="3309"/>
      <c r="L16" s="3309"/>
      <c r="M16" s="3309"/>
      <c r="N16" s="3309"/>
      <c r="O16" s="3309"/>
      <c r="P16" s="3309"/>
      <c r="Q16" s="3309"/>
      <c r="R16" s="3309"/>
      <c r="S16" s="3309"/>
      <c r="T16" s="3309">
        <v>17.03</v>
      </c>
      <c r="U16" s="3309">
        <v>25</v>
      </c>
      <c r="V16" s="3309">
        <v>150</v>
      </c>
      <c r="W16" s="3309">
        <v>1500</v>
      </c>
      <c r="X16" s="3309" t="s">
        <v>4259</v>
      </c>
      <c r="Y16" s="3309" t="s">
        <v>289</v>
      </c>
      <c r="Z16" s="3310">
        <v>4347</v>
      </c>
      <c r="AA16" s="3310">
        <v>8159</v>
      </c>
      <c r="AB16" s="3309">
        <v>2</v>
      </c>
      <c r="AC16" s="3309">
        <v>-33.4</v>
      </c>
      <c r="AD16" s="3309">
        <v>-77.7</v>
      </c>
      <c r="AE16" s="3309"/>
      <c r="AF16" s="3309"/>
      <c r="AG16" s="3309"/>
      <c r="AH16" s="3309"/>
      <c r="AI16" s="3309"/>
      <c r="AJ16" s="3309">
        <v>-65</v>
      </c>
      <c r="AK16" s="3309">
        <v>15</v>
      </c>
      <c r="AL16" s="3309">
        <v>28</v>
      </c>
      <c r="AM16" s="3309">
        <v>650</v>
      </c>
      <c r="AN16" s="3309">
        <v>3</v>
      </c>
      <c r="AO16" s="3309">
        <v>2</v>
      </c>
      <c r="AP16" s="3309">
        <v>0</v>
      </c>
      <c r="AQ16" s="3309" t="s">
        <v>140</v>
      </c>
      <c r="AR16" s="3309" t="s">
        <v>140</v>
      </c>
      <c r="AS16" s="3309"/>
      <c r="AT16" s="3309" t="s">
        <v>1169</v>
      </c>
      <c r="AU16" s="3309"/>
      <c r="AV16" s="3309" t="s">
        <v>158</v>
      </c>
      <c r="AW16" s="3309">
        <v>0.63500000000000001</v>
      </c>
      <c r="AX16" s="3309">
        <v>1.348E-3</v>
      </c>
      <c r="AY16" s="3309">
        <v>1.1719999999999999</v>
      </c>
      <c r="AZ16" s="3311">
        <v>7.8299999999999995E-4</v>
      </c>
      <c r="BA16" s="3309">
        <v>300.5</v>
      </c>
      <c r="BB16" s="3309">
        <v>0.87139999999999995</v>
      </c>
      <c r="BC16" s="3309">
        <v>1.681E-3</v>
      </c>
      <c r="BD16" s="3309">
        <v>10.1227</v>
      </c>
      <c r="BE16" s="3309">
        <v>2021.47</v>
      </c>
      <c r="BF16" s="3309">
        <v>39.450000000000003</v>
      </c>
      <c r="BG16" s="3309"/>
      <c r="BH16" s="3309"/>
      <c r="BI16" s="3309"/>
      <c r="BJ16" s="3309"/>
      <c r="BK16" s="3309"/>
      <c r="BL16" s="3309"/>
      <c r="BM16" s="3309"/>
      <c r="BN16" s="3309"/>
      <c r="BO16" s="3309"/>
      <c r="BP16" s="3309"/>
    </row>
    <row r="17" spans="1:68" ht="12.75" customHeight="1" x14ac:dyDescent="0.25">
      <c r="A17" s="3316" t="s">
        <v>4262</v>
      </c>
      <c r="B17" s="3308"/>
      <c r="C17" s="3309" t="s">
        <v>842</v>
      </c>
      <c r="D17" s="3309">
        <v>0.2</v>
      </c>
      <c r="E17" s="3309"/>
      <c r="F17" s="3307" t="s">
        <v>2945</v>
      </c>
      <c r="G17" s="3309" t="s">
        <v>982</v>
      </c>
      <c r="H17" s="3309"/>
      <c r="I17" s="3309"/>
      <c r="J17" s="3309"/>
      <c r="K17" s="3309">
        <v>0.8</v>
      </c>
      <c r="L17" s="3309"/>
      <c r="M17" s="3309"/>
      <c r="N17" s="3309"/>
      <c r="O17" s="3309"/>
      <c r="P17" s="3309"/>
      <c r="Q17" s="3309"/>
      <c r="R17" s="3309"/>
      <c r="S17" s="3309"/>
      <c r="T17" s="3309"/>
      <c r="U17" s="3309"/>
      <c r="V17" s="3309"/>
      <c r="W17" s="3309"/>
      <c r="X17" s="3309"/>
      <c r="Y17" s="3309"/>
      <c r="Z17" s="3310"/>
      <c r="AA17" s="3310"/>
      <c r="AB17" s="3309"/>
      <c r="AC17" s="3309">
        <v>51</v>
      </c>
      <c r="AD17" s="3309"/>
      <c r="AE17" s="3309"/>
      <c r="AF17" s="3309"/>
      <c r="AG17" s="3309"/>
      <c r="AH17" s="3309"/>
      <c r="AI17" s="3309"/>
      <c r="AJ17" s="3309">
        <v>11</v>
      </c>
      <c r="AK17" s="3309"/>
      <c r="AL17" s="3309"/>
      <c r="AM17" s="3309"/>
      <c r="AN17" s="3309">
        <v>3</v>
      </c>
      <c r="AO17" s="3309">
        <v>0</v>
      </c>
      <c r="AP17" s="3309">
        <v>1</v>
      </c>
      <c r="AQ17" s="3309" t="s">
        <v>140</v>
      </c>
      <c r="AR17" s="3309" t="s">
        <v>140</v>
      </c>
      <c r="AS17" s="3309" t="s">
        <v>1514</v>
      </c>
      <c r="AT17" s="3309" t="s">
        <v>1169</v>
      </c>
      <c r="AU17" s="3309"/>
      <c r="AV17" s="3309" t="s">
        <v>158</v>
      </c>
      <c r="AW17" s="3309"/>
      <c r="AX17" s="3309"/>
      <c r="AY17" s="3309"/>
      <c r="AZ17" s="3311"/>
      <c r="BA17" s="3309"/>
      <c r="BB17" s="3309"/>
      <c r="BC17" s="3309"/>
      <c r="BD17" s="3309"/>
      <c r="BE17" s="3309"/>
      <c r="BF17" s="3309"/>
      <c r="BG17" s="3309"/>
      <c r="BH17" s="3309"/>
      <c r="BI17" s="3309"/>
      <c r="BJ17" s="3309"/>
      <c r="BK17" s="3309"/>
      <c r="BL17" s="3309"/>
      <c r="BM17" s="3309"/>
      <c r="BN17" s="3309"/>
      <c r="BO17" s="3309"/>
      <c r="BP17" s="3309"/>
    </row>
    <row r="18" spans="1:68" ht="12.75" customHeight="1" x14ac:dyDescent="0.25">
      <c r="A18" s="3315" t="s">
        <v>2945</v>
      </c>
      <c r="B18" s="3308"/>
      <c r="C18" s="3309" t="s">
        <v>842</v>
      </c>
      <c r="D18" s="3309">
        <v>1</v>
      </c>
      <c r="E18" s="3309" t="s">
        <v>2951</v>
      </c>
      <c r="F18" s="3309"/>
      <c r="G18" s="3309"/>
      <c r="H18" s="3309"/>
      <c r="I18" s="3309"/>
      <c r="J18" s="3309"/>
      <c r="K18" s="3309"/>
      <c r="L18" s="3309"/>
      <c r="M18" s="3309"/>
      <c r="N18" s="3309"/>
      <c r="O18" s="3309"/>
      <c r="P18" s="3309"/>
      <c r="Q18" s="3309"/>
      <c r="R18" s="3309"/>
      <c r="S18" s="3309"/>
      <c r="T18" s="3309">
        <v>17.03</v>
      </c>
      <c r="U18" s="3309">
        <v>25</v>
      </c>
      <c r="V18" s="3309">
        <v>150</v>
      </c>
      <c r="W18" s="3309">
        <v>1500</v>
      </c>
      <c r="X18" s="3309" t="s">
        <v>4259</v>
      </c>
      <c r="Y18" s="3309"/>
      <c r="Z18" s="3310">
        <v>4347</v>
      </c>
      <c r="AA18" s="3310">
        <v>8159</v>
      </c>
      <c r="AB18" s="3309">
        <v>2</v>
      </c>
      <c r="AC18" s="3309">
        <v>25</v>
      </c>
      <c r="AD18" s="3309"/>
      <c r="AE18" s="3309"/>
      <c r="AF18" s="3309"/>
      <c r="AG18" s="3309"/>
      <c r="AH18" s="3309"/>
      <c r="AI18" s="3309"/>
      <c r="AJ18" s="3309">
        <v>-65</v>
      </c>
      <c r="AK18" s="3309">
        <v>15</v>
      </c>
      <c r="AL18" s="3309">
        <v>28</v>
      </c>
      <c r="AM18" s="3309"/>
      <c r="AN18" s="3309">
        <v>3</v>
      </c>
      <c r="AO18" s="3309">
        <v>2</v>
      </c>
      <c r="AP18" s="3309">
        <v>0</v>
      </c>
      <c r="AQ18" s="3309" t="s">
        <v>140</v>
      </c>
      <c r="AR18" s="3309" t="s">
        <v>140</v>
      </c>
      <c r="AS18" s="3309" t="s">
        <v>1514</v>
      </c>
      <c r="AT18" s="3309" t="s">
        <v>1169</v>
      </c>
      <c r="AU18" s="3309"/>
      <c r="AV18" s="3309" t="s">
        <v>158</v>
      </c>
      <c r="AW18" s="3309">
        <v>0.72</v>
      </c>
      <c r="AX18" s="3309">
        <v>0</v>
      </c>
      <c r="AY18" s="3309">
        <v>1.1719999999999999</v>
      </c>
      <c r="AZ18" s="3311">
        <v>7.8299999999999995E-4</v>
      </c>
      <c r="BA18" s="3309">
        <v>300.5</v>
      </c>
      <c r="BB18" s="3309">
        <v>0.87139999999999995</v>
      </c>
      <c r="BC18" s="3309">
        <v>1.681E-3</v>
      </c>
      <c r="BD18" s="3325">
        <f>IF(Chemical="Ammonia - 20% aqueous",14.6,13.4+6*Fract_Aq)</f>
        <v>13.4</v>
      </c>
      <c r="BE18" s="3309">
        <v>3600</v>
      </c>
      <c r="BF18" s="3309">
        <v>43.15</v>
      </c>
      <c r="BG18" s="3309"/>
      <c r="BH18" s="3309"/>
      <c r="BI18" s="3309"/>
      <c r="BJ18" s="3309"/>
      <c r="BK18" s="3309"/>
      <c r="BL18" s="3309"/>
      <c r="BM18" s="3309"/>
      <c r="BN18" s="3309"/>
      <c r="BO18" s="3309"/>
      <c r="BP18" s="3309"/>
    </row>
    <row r="19" spans="1:68" ht="12.75" customHeight="1" x14ac:dyDescent="0.25">
      <c r="A19" s="3307" t="s">
        <v>4277</v>
      </c>
      <c r="B19" s="3309" t="s">
        <v>4278</v>
      </c>
      <c r="C19" s="3309" t="s">
        <v>842</v>
      </c>
      <c r="D19" s="3309">
        <v>1</v>
      </c>
      <c r="E19" s="3309"/>
      <c r="F19" s="3307" t="s">
        <v>4277</v>
      </c>
      <c r="G19" s="3309"/>
      <c r="H19" s="3309"/>
      <c r="I19" s="3309"/>
      <c r="J19" s="3309"/>
      <c r="K19" s="3309"/>
      <c r="L19" s="3309"/>
      <c r="M19" s="3309"/>
      <c r="N19" s="3309"/>
      <c r="O19" s="3309"/>
      <c r="P19" s="3309"/>
      <c r="Q19" s="3309"/>
      <c r="R19" s="3309"/>
      <c r="S19" s="3309"/>
      <c r="T19" s="3320">
        <v>130.19</v>
      </c>
      <c r="U19" s="3320">
        <v>100</v>
      </c>
      <c r="V19" s="3320">
        <v>100</v>
      </c>
      <c r="W19" s="3320">
        <v>4000</v>
      </c>
      <c r="X19" s="3320" t="s">
        <v>4459</v>
      </c>
      <c r="Y19" s="3320"/>
      <c r="Z19" s="3320"/>
      <c r="AA19" s="3320"/>
      <c r="AB19" s="3320"/>
      <c r="AC19" s="3320">
        <v>149.30000000000001</v>
      </c>
      <c r="AD19" s="3320">
        <v>-71</v>
      </c>
      <c r="AE19" s="3320"/>
      <c r="AF19" s="3320"/>
      <c r="AG19" s="3320"/>
      <c r="AH19" s="3320"/>
      <c r="AI19" s="3320"/>
      <c r="AJ19" s="3320">
        <v>25</v>
      </c>
      <c r="AK19" s="3320">
        <v>1</v>
      </c>
      <c r="AL19" s="3320"/>
      <c r="AM19" s="3320"/>
      <c r="AN19" s="3320">
        <v>2</v>
      </c>
      <c r="AO19" s="3320">
        <v>2</v>
      </c>
      <c r="AP19" s="3320">
        <v>0</v>
      </c>
      <c r="AQ19" s="3320"/>
      <c r="AR19" s="3320"/>
      <c r="AS19" s="3309"/>
      <c r="AT19" s="3309"/>
      <c r="AU19" s="3309"/>
      <c r="AV19" s="3309" t="s">
        <v>159</v>
      </c>
      <c r="AW19" s="3309">
        <v>0.89300000000000002</v>
      </c>
      <c r="AX19" s="3309">
        <v>1.0460000000000001E-3</v>
      </c>
      <c r="AY19" s="3309">
        <v>0.439</v>
      </c>
      <c r="AZ19" s="3309">
        <v>9.4169999999999996E-4</v>
      </c>
      <c r="BA19" s="3309">
        <v>92.7</v>
      </c>
      <c r="BB19" s="3309">
        <v>0.11861099999999999</v>
      </c>
      <c r="BC19" s="3309">
        <v>1.8100000000000001E-4</v>
      </c>
      <c r="BD19" s="3309">
        <v>10.5116</v>
      </c>
      <c r="BE19" s="3309">
        <v>3932.03</v>
      </c>
      <c r="BF19" s="3309">
        <v>49.59</v>
      </c>
      <c r="BG19" s="3309"/>
      <c r="BH19" s="3309"/>
      <c r="BI19" s="3309"/>
      <c r="BJ19" s="3309"/>
      <c r="BK19" s="3309"/>
      <c r="BL19" s="3309"/>
      <c r="BM19" s="3309"/>
      <c r="BN19" s="3309"/>
      <c r="BO19" s="3309"/>
      <c r="BP19" s="3309"/>
    </row>
    <row r="20" spans="1:68" ht="12.75" customHeight="1" x14ac:dyDescent="0.25">
      <c r="A20" s="3307" t="s">
        <v>596</v>
      </c>
      <c r="B20" s="3308" t="s">
        <v>185</v>
      </c>
      <c r="C20" s="3309" t="s">
        <v>842</v>
      </c>
      <c r="D20" s="3309">
        <v>1</v>
      </c>
      <c r="E20" s="3309"/>
      <c r="F20" s="3307" t="s">
        <v>596</v>
      </c>
      <c r="G20" s="3309"/>
      <c r="H20" s="3309"/>
      <c r="I20" s="3309"/>
      <c r="J20" s="3309"/>
      <c r="K20" s="3309"/>
      <c r="L20" s="3309"/>
      <c r="M20" s="3309"/>
      <c r="N20" s="3309"/>
      <c r="O20" s="3309"/>
      <c r="P20" s="3309"/>
      <c r="Q20" s="3309"/>
      <c r="R20" s="3309"/>
      <c r="S20" s="3309"/>
      <c r="T20" s="3309">
        <v>78.099999999999994</v>
      </c>
      <c r="U20" s="3309">
        <v>50</v>
      </c>
      <c r="V20" s="3309">
        <v>150</v>
      </c>
      <c r="W20" s="3309">
        <v>1000</v>
      </c>
      <c r="X20" s="3309" t="s">
        <v>4259</v>
      </c>
      <c r="Y20" s="3309"/>
      <c r="Z20" s="3310"/>
      <c r="AA20" s="3310"/>
      <c r="AB20" s="3309"/>
      <c r="AC20" s="3309">
        <v>80.099999999999994</v>
      </c>
      <c r="AD20" s="3309">
        <v>5.5</v>
      </c>
      <c r="AE20" s="3309"/>
      <c r="AF20" s="3309"/>
      <c r="AG20" s="3309"/>
      <c r="AH20" s="3309"/>
      <c r="AI20" s="3309"/>
      <c r="AJ20" s="3309">
        <v>-11</v>
      </c>
      <c r="AK20" s="3309">
        <v>1.2</v>
      </c>
      <c r="AL20" s="3309"/>
      <c r="AM20" s="3309"/>
      <c r="AN20" s="3309">
        <v>2</v>
      </c>
      <c r="AO20" s="3309">
        <v>3</v>
      </c>
      <c r="AP20" s="3309">
        <v>0</v>
      </c>
      <c r="AQ20" s="3309" t="s">
        <v>139</v>
      </c>
      <c r="AR20" s="3309" t="s">
        <v>138</v>
      </c>
      <c r="AS20" s="3309"/>
      <c r="AT20" s="3309"/>
      <c r="AU20" s="3309"/>
      <c r="AV20" s="3309" t="s">
        <v>160</v>
      </c>
      <c r="AW20" s="3309">
        <v>0.90400000000000003</v>
      </c>
      <c r="AX20" s="3309">
        <v>1.2210000000000001E-3</v>
      </c>
      <c r="AY20" s="3309">
        <v>0.39</v>
      </c>
      <c r="AZ20" s="3311">
        <v>9.5799999999999998E-4</v>
      </c>
      <c r="BA20" s="3309">
        <v>106.6</v>
      </c>
      <c r="BB20" s="3309">
        <v>0.1285</v>
      </c>
      <c r="BC20" s="3309">
        <v>3.2499999999999999E-4</v>
      </c>
      <c r="BD20" s="3309">
        <v>9.3813999999999993</v>
      </c>
      <c r="BE20" s="3309">
        <v>2853.09</v>
      </c>
      <c r="BF20" s="3309">
        <v>49.21</v>
      </c>
      <c r="BG20" s="3309"/>
      <c r="BH20" s="3309"/>
      <c r="BI20" s="3309"/>
      <c r="BJ20" s="3309"/>
      <c r="BK20" s="3309"/>
      <c r="BL20" s="3309"/>
      <c r="BM20" s="3309"/>
      <c r="BN20" s="3309"/>
      <c r="BO20" s="3309"/>
      <c r="BP20" s="3309"/>
    </row>
    <row r="21" spans="1:68" ht="12.75" customHeight="1" x14ac:dyDescent="0.25">
      <c r="A21" s="3307" t="s">
        <v>789</v>
      </c>
      <c r="B21" s="3317" t="s">
        <v>790</v>
      </c>
      <c r="C21" s="3309" t="s">
        <v>842</v>
      </c>
      <c r="D21" s="3309">
        <v>1</v>
      </c>
      <c r="E21" s="3309"/>
      <c r="F21" s="3307" t="s">
        <v>789</v>
      </c>
      <c r="G21" s="3309"/>
      <c r="H21" s="3309"/>
      <c r="I21" s="3309"/>
      <c r="J21" s="3309"/>
      <c r="K21" s="3309"/>
      <c r="L21" s="3309"/>
      <c r="M21" s="3309"/>
      <c r="N21" s="3309"/>
      <c r="O21" s="3309"/>
      <c r="P21" s="3309"/>
      <c r="Q21" s="3309"/>
      <c r="R21" s="3309"/>
      <c r="S21" s="3309"/>
      <c r="T21" s="3309">
        <v>140.6</v>
      </c>
      <c r="U21" s="3309">
        <v>0.3</v>
      </c>
      <c r="V21" s="3309">
        <v>5</v>
      </c>
      <c r="W21" s="3309">
        <v>20</v>
      </c>
      <c r="X21" s="3309" t="s">
        <v>4259</v>
      </c>
      <c r="Y21" s="3309"/>
      <c r="Z21" s="3310"/>
      <c r="AA21" s="3310"/>
      <c r="AB21" s="3309"/>
      <c r="AC21" s="3309">
        <v>197.2</v>
      </c>
      <c r="AD21" s="3309">
        <v>-0.2</v>
      </c>
      <c r="AE21" s="3309"/>
      <c r="AF21" s="3309"/>
      <c r="AG21" s="3309"/>
      <c r="AH21" s="3309"/>
      <c r="AI21" s="3309"/>
      <c r="AJ21" s="3309">
        <v>72</v>
      </c>
      <c r="AK21" s="3309">
        <v>1.2</v>
      </c>
      <c r="AL21" s="3309">
        <v>4.9000000000000004</v>
      </c>
      <c r="AM21" s="3309"/>
      <c r="AN21" s="3309">
        <v>3</v>
      </c>
      <c r="AO21" s="3309">
        <v>2</v>
      </c>
      <c r="AP21" s="3309">
        <v>2</v>
      </c>
      <c r="AQ21" s="3309" t="s">
        <v>139</v>
      </c>
      <c r="AR21" s="3309" t="s">
        <v>138</v>
      </c>
      <c r="AS21" s="3309"/>
      <c r="AT21" s="3309"/>
      <c r="AU21" s="3309"/>
      <c r="AV21" s="3309"/>
      <c r="AW21" s="3309">
        <v>1.234</v>
      </c>
      <c r="AX21" s="3309">
        <v>1.09E-3</v>
      </c>
      <c r="AY21" s="3309">
        <v>0.23899999999999999</v>
      </c>
      <c r="AZ21" s="3311">
        <v>7.2000000000000005E-4</v>
      </c>
      <c r="BA21" s="3309">
        <v>89.5</v>
      </c>
      <c r="BB21" s="3309">
        <v>5.5E-2</v>
      </c>
      <c r="BC21" s="3309">
        <v>1.4999999999999999E-4</v>
      </c>
      <c r="BD21" s="3309">
        <v>10.4353</v>
      </c>
      <c r="BE21" s="3309">
        <v>4414.26</v>
      </c>
      <c r="BF21" s="3309">
        <v>47.37</v>
      </c>
      <c r="BG21" s="3309"/>
      <c r="BH21" s="3309"/>
      <c r="BI21" s="3309"/>
      <c r="BJ21" s="3309"/>
      <c r="BK21" s="3309"/>
      <c r="BL21" s="3309"/>
      <c r="BM21" s="3309"/>
      <c r="BN21" s="3309"/>
      <c r="BO21" s="3309"/>
      <c r="BP21" s="3309"/>
    </row>
    <row r="22" spans="1:68" ht="12.75" customHeight="1" x14ac:dyDescent="0.25">
      <c r="A22" s="3307" t="s">
        <v>305</v>
      </c>
      <c r="B22" s="3317" t="s">
        <v>186</v>
      </c>
      <c r="C22" s="3309" t="s">
        <v>842</v>
      </c>
      <c r="D22" s="3309">
        <v>1</v>
      </c>
      <c r="E22" s="3309"/>
      <c r="F22" s="3307" t="s">
        <v>305</v>
      </c>
      <c r="G22" s="3309"/>
      <c r="H22" s="3309"/>
      <c r="I22" s="3309"/>
      <c r="J22" s="3309"/>
      <c r="K22" s="3309"/>
      <c r="L22" s="3309"/>
      <c r="M22" s="3309"/>
      <c r="N22" s="3309"/>
      <c r="O22" s="3309"/>
      <c r="P22" s="3309"/>
      <c r="Q22" s="3309"/>
      <c r="R22" s="3309"/>
      <c r="S22" s="3309"/>
      <c r="T22" s="3309">
        <v>135.19999999999999</v>
      </c>
      <c r="U22" s="3309"/>
      <c r="V22" s="3309">
        <v>0.12</v>
      </c>
      <c r="W22" s="3309">
        <v>14.3</v>
      </c>
      <c r="X22" s="3309" t="s">
        <v>4259</v>
      </c>
      <c r="Y22" s="3309"/>
      <c r="Z22" s="3310"/>
      <c r="AA22" s="3310"/>
      <c r="AB22" s="3309"/>
      <c r="AC22" s="3309">
        <v>180</v>
      </c>
      <c r="AD22" s="3309">
        <v>-75</v>
      </c>
      <c r="AE22" s="3309"/>
      <c r="AF22" s="3309"/>
      <c r="AG22" s="3309"/>
      <c r="AH22" s="3309"/>
      <c r="AI22" s="3309"/>
      <c r="AJ22" s="3309">
        <v>54</v>
      </c>
      <c r="AK22" s="3309">
        <v>0.9</v>
      </c>
      <c r="AL22" s="3309"/>
      <c r="AM22" s="3309"/>
      <c r="AN22" s="3309">
        <v>3</v>
      </c>
      <c r="AO22" s="3309">
        <v>2</v>
      </c>
      <c r="AP22" s="3309">
        <v>1</v>
      </c>
      <c r="AQ22" s="3309" t="s">
        <v>139</v>
      </c>
      <c r="AR22" s="3309" t="s">
        <v>138</v>
      </c>
      <c r="AS22" s="3309"/>
      <c r="AT22" s="3309"/>
      <c r="AU22" s="3309"/>
      <c r="AV22" s="3309"/>
      <c r="AW22" s="3309">
        <v>0.92200000000000004</v>
      </c>
      <c r="AX22" s="3309">
        <v>9.0300000000000005E-4</v>
      </c>
      <c r="AY22" s="3309">
        <v>0.38700000000000001</v>
      </c>
      <c r="AZ22" s="3311">
        <v>1.06E-3</v>
      </c>
      <c r="BA22" s="3309">
        <v>91.2</v>
      </c>
      <c r="BB22" s="3309">
        <v>9.1700000000000004E-2</v>
      </c>
      <c r="BC22" s="3309">
        <v>6.7500000000000001E-5</v>
      </c>
      <c r="BD22" s="3309">
        <v>9.8117000000000001</v>
      </c>
      <c r="BE22" s="3309">
        <v>3845.03</v>
      </c>
      <c r="BF22" s="3309">
        <v>61.42</v>
      </c>
      <c r="BG22" s="3309"/>
      <c r="BH22" s="3309"/>
      <c r="BI22" s="3309"/>
      <c r="BJ22" s="3309"/>
      <c r="BK22" s="3309"/>
      <c r="BL22" s="3309"/>
      <c r="BM22" s="3309"/>
      <c r="BN22" s="3309"/>
      <c r="BO22" s="3309"/>
      <c r="BP22" s="3309"/>
    </row>
    <row r="23" spans="1:68" ht="12.75" customHeight="1" x14ac:dyDescent="0.25">
      <c r="A23" s="3307" t="s">
        <v>4279</v>
      </c>
      <c r="B23" s="3309" t="s">
        <v>4280</v>
      </c>
      <c r="C23" s="3309" t="s">
        <v>842</v>
      </c>
      <c r="D23" s="3309">
        <v>1</v>
      </c>
      <c r="E23" s="3309"/>
      <c r="F23" s="3307" t="s">
        <v>4279</v>
      </c>
      <c r="G23" s="3309"/>
      <c r="H23" s="3309"/>
      <c r="I23" s="3309"/>
      <c r="J23" s="3309"/>
      <c r="K23" s="3309"/>
      <c r="L23" s="3309"/>
      <c r="M23" s="3309"/>
      <c r="N23" s="3309"/>
      <c r="O23" s="3309"/>
      <c r="P23" s="3309"/>
      <c r="Q23" s="3309"/>
      <c r="R23" s="3309"/>
      <c r="S23" s="3309"/>
      <c r="T23" s="3320">
        <v>154.19999999999999</v>
      </c>
      <c r="U23" s="3320">
        <v>0.9</v>
      </c>
      <c r="V23" s="3320">
        <v>9.6999999999999993</v>
      </c>
      <c r="W23" s="3320">
        <v>301</v>
      </c>
      <c r="X23" s="3320" t="s">
        <v>4458</v>
      </c>
      <c r="Y23" s="3320"/>
      <c r="Z23" s="3320"/>
      <c r="AA23" s="3320"/>
      <c r="AB23" s="3320"/>
      <c r="AC23" s="3320">
        <v>255.3</v>
      </c>
      <c r="AD23" s="3320">
        <v>68.900000000000006</v>
      </c>
      <c r="AE23" s="3320"/>
      <c r="AF23" s="3320"/>
      <c r="AG23" s="3320"/>
      <c r="AH23" s="3320"/>
      <c r="AI23" s="3320"/>
      <c r="AJ23" s="3320">
        <v>113</v>
      </c>
      <c r="AK23" s="3320">
        <v>0.6</v>
      </c>
      <c r="AL23" s="3320"/>
      <c r="AM23" s="3320"/>
      <c r="AN23" s="3320">
        <v>2</v>
      </c>
      <c r="AO23" s="3320">
        <v>0</v>
      </c>
      <c r="AP23" s="3320">
        <v>0</v>
      </c>
      <c r="AQ23" s="3320" t="s">
        <v>139</v>
      </c>
      <c r="AR23" s="3320" t="s">
        <v>138</v>
      </c>
      <c r="AS23" s="3309"/>
      <c r="AT23" s="3309" t="s">
        <v>1169</v>
      </c>
      <c r="AU23" s="3309"/>
      <c r="AV23" s="3309" t="s">
        <v>159</v>
      </c>
      <c r="AW23" s="3309">
        <v>1.0580000000000001</v>
      </c>
      <c r="AX23" s="3309">
        <v>8.8999999999999995E-4</v>
      </c>
      <c r="AY23" s="3309">
        <v>0.314</v>
      </c>
      <c r="AZ23" s="3309">
        <v>8.9899999999999995E-4</v>
      </c>
      <c r="BA23" s="3309">
        <v>100</v>
      </c>
      <c r="BB23" s="3309">
        <v>7.2499999999999995E-2</v>
      </c>
      <c r="BC23" s="3309">
        <v>1.0399999999999999E-4</v>
      </c>
      <c r="BD23" s="3309">
        <v>9.8712</v>
      </c>
      <c r="BE23" s="3309">
        <v>4443.71</v>
      </c>
      <c r="BF23" s="3309">
        <v>78.510000000000005</v>
      </c>
      <c r="BG23" s="3309"/>
      <c r="BH23" s="3309"/>
      <c r="BI23" s="3309"/>
      <c r="BJ23" s="3309"/>
      <c r="BK23" s="3309"/>
      <c r="BL23" s="3309"/>
      <c r="BM23" s="3309"/>
      <c r="BN23" s="3309"/>
      <c r="BO23" s="3309"/>
      <c r="BP23" s="3309"/>
    </row>
    <row r="24" spans="1:68" ht="12.75" customHeight="1" x14ac:dyDescent="0.25">
      <c r="A24" s="3307" t="s">
        <v>4180</v>
      </c>
      <c r="B24" s="3308" t="s">
        <v>4181</v>
      </c>
      <c r="C24" s="3309" t="s">
        <v>842</v>
      </c>
      <c r="D24" s="3309">
        <v>1</v>
      </c>
      <c r="E24" s="3309"/>
      <c r="F24" s="3307" t="s">
        <v>4180</v>
      </c>
      <c r="G24" s="3309"/>
      <c r="H24" s="3309"/>
      <c r="I24" s="3309"/>
      <c r="J24" s="3309"/>
      <c r="K24" s="3309"/>
      <c r="L24" s="3309"/>
      <c r="M24" s="3309"/>
      <c r="N24" s="3309"/>
      <c r="O24" s="3309"/>
      <c r="P24" s="3309"/>
      <c r="Q24" s="3309"/>
      <c r="R24" s="3309"/>
      <c r="S24" s="3309"/>
      <c r="T24" s="3309">
        <v>114.96</v>
      </c>
      <c r="U24" s="3309"/>
      <c r="V24" s="3309">
        <v>0.1</v>
      </c>
      <c r="W24" s="3309">
        <v>0.5</v>
      </c>
      <c r="X24" s="3309" t="s">
        <v>4259</v>
      </c>
      <c r="Y24" s="3309"/>
      <c r="Z24" s="3310"/>
      <c r="AA24" s="3310"/>
      <c r="AB24" s="3322"/>
      <c r="AC24" s="3309">
        <v>104.9</v>
      </c>
      <c r="AD24" s="3309">
        <v>-41.5</v>
      </c>
      <c r="AE24" s="3309"/>
      <c r="AF24" s="3309"/>
      <c r="AG24" s="3309"/>
      <c r="AH24" s="3309"/>
      <c r="AI24" s="3309"/>
      <c r="AJ24" s="3309">
        <v>19</v>
      </c>
      <c r="AK24" s="3309">
        <v>6.5</v>
      </c>
      <c r="AL24" s="3309">
        <v>21.9</v>
      </c>
      <c r="AM24" s="3309"/>
      <c r="AN24" s="3309">
        <v>4</v>
      </c>
      <c r="AO24" s="3309">
        <v>3</v>
      </c>
      <c r="AP24" s="3309">
        <v>1</v>
      </c>
      <c r="AQ24" s="3309" t="s">
        <v>139</v>
      </c>
      <c r="AR24" s="3309" t="s">
        <v>138</v>
      </c>
      <c r="AS24" s="3309"/>
      <c r="AT24" s="3309"/>
      <c r="AU24" s="3309"/>
      <c r="AV24" s="3309"/>
      <c r="AW24" s="3309">
        <v>1.3540000000000001</v>
      </c>
      <c r="AX24" s="3309">
        <v>1.74E-3</v>
      </c>
      <c r="AY24" s="3309">
        <v>0.28599999999999998</v>
      </c>
      <c r="AZ24" s="3311">
        <v>2.7500000000000002E-4</v>
      </c>
      <c r="BA24" s="3309">
        <v>85</v>
      </c>
      <c r="BB24" s="3309">
        <v>9.6100000000000005E-2</v>
      </c>
      <c r="BC24" s="3309">
        <v>2.23E-4</v>
      </c>
      <c r="BD24" s="3309">
        <v>9.8432999999999993</v>
      </c>
      <c r="BE24" s="3309">
        <v>3185</v>
      </c>
      <c r="BF24" s="3309">
        <v>54.71</v>
      </c>
      <c r="BG24" s="3309"/>
      <c r="BH24" s="3309"/>
      <c r="BI24" s="3309"/>
      <c r="BJ24" s="3309"/>
      <c r="BK24" s="3309"/>
      <c r="BL24" s="3309"/>
      <c r="BM24" s="3309"/>
      <c r="BN24" s="3309"/>
      <c r="BO24" s="3309"/>
      <c r="BP24" s="3309"/>
    </row>
    <row r="25" spans="1:68" ht="12.75" customHeight="1" x14ac:dyDescent="0.25">
      <c r="A25" s="3307" t="s">
        <v>820</v>
      </c>
      <c r="B25" s="3308" t="s">
        <v>187</v>
      </c>
      <c r="C25" s="3309" t="s">
        <v>842</v>
      </c>
      <c r="D25" s="3309">
        <v>1</v>
      </c>
      <c r="E25" s="3309"/>
      <c r="F25" s="3307" t="s">
        <v>820</v>
      </c>
      <c r="G25" s="3309"/>
      <c r="H25" s="3309"/>
      <c r="I25" s="3309"/>
      <c r="J25" s="3309"/>
      <c r="K25" s="3309"/>
      <c r="L25" s="3309"/>
      <c r="M25" s="3309"/>
      <c r="N25" s="3309"/>
      <c r="O25" s="3309"/>
      <c r="P25" s="3309"/>
      <c r="Q25" s="3309"/>
      <c r="R25" s="3309"/>
      <c r="S25" s="3309"/>
      <c r="T25" s="3309">
        <v>159.80000000000001</v>
      </c>
      <c r="U25" s="3309">
        <v>0.1</v>
      </c>
      <c r="V25" s="3309">
        <v>0.5</v>
      </c>
      <c r="W25" s="3309">
        <v>5</v>
      </c>
      <c r="X25" s="3309" t="s">
        <v>4259</v>
      </c>
      <c r="Y25" s="3309" t="s">
        <v>289</v>
      </c>
      <c r="Z25" s="3310"/>
      <c r="AA25" s="3310"/>
      <c r="AB25" s="3309"/>
      <c r="AC25" s="3309">
        <v>58.7</v>
      </c>
      <c r="AD25" s="3309">
        <v>-7.3</v>
      </c>
      <c r="AE25" s="3309"/>
      <c r="AF25" s="3309"/>
      <c r="AG25" s="3309"/>
      <c r="AH25" s="3309"/>
      <c r="AI25" s="3309"/>
      <c r="AJ25" s="3309"/>
      <c r="AK25" s="3309"/>
      <c r="AL25" s="3309"/>
      <c r="AM25" s="3309"/>
      <c r="AN25" s="3309">
        <v>3</v>
      </c>
      <c r="AO25" s="3309">
        <v>0</v>
      </c>
      <c r="AP25" s="3309">
        <v>0</v>
      </c>
      <c r="AQ25" s="3309"/>
      <c r="AR25" s="3309"/>
      <c r="AS25" s="3309"/>
      <c r="AT25" s="3309" t="s">
        <v>1169</v>
      </c>
      <c r="AU25" s="3309"/>
      <c r="AV25" s="3309" t="s">
        <v>160</v>
      </c>
      <c r="AW25" s="3309">
        <v>3.1850000000000001</v>
      </c>
      <c r="AX25" s="3309">
        <v>3.7829999999999999E-3</v>
      </c>
      <c r="AY25" s="3309">
        <v>0.10299999999999999</v>
      </c>
      <c r="AZ25" s="3311">
        <v>7.9200000000000001E-5</v>
      </c>
      <c r="BA25" s="3309">
        <v>48.4</v>
      </c>
      <c r="BB25" s="3309">
        <v>5.7500000000000002E-2</v>
      </c>
      <c r="BC25" s="3309">
        <v>1E-4</v>
      </c>
      <c r="BD25" s="3309">
        <v>9.8712</v>
      </c>
      <c r="BE25" s="3309">
        <v>2920.34</v>
      </c>
      <c r="BF25" s="3309">
        <v>36.08</v>
      </c>
      <c r="BG25" s="3309"/>
      <c r="BH25" s="3309"/>
      <c r="BI25" s="3309"/>
      <c r="BJ25" s="3309"/>
      <c r="BK25" s="3309"/>
      <c r="BL25" s="3309"/>
      <c r="BM25" s="3309"/>
      <c r="BN25" s="3309"/>
      <c r="BO25" s="3309"/>
      <c r="BP25" s="3309"/>
    </row>
    <row r="26" spans="1:68" ht="12.75" customHeight="1" x14ac:dyDescent="0.25">
      <c r="A26" s="3307" t="s">
        <v>591</v>
      </c>
      <c r="B26" s="3308" t="s">
        <v>188</v>
      </c>
      <c r="C26" s="3309" t="s">
        <v>842</v>
      </c>
      <c r="D26" s="3309">
        <v>1</v>
      </c>
      <c r="E26" s="3309"/>
      <c r="F26" s="3307" t="s">
        <v>591</v>
      </c>
      <c r="G26" s="3309"/>
      <c r="H26" s="3309"/>
      <c r="I26" s="3309"/>
      <c r="J26" s="3309"/>
      <c r="K26" s="3309"/>
      <c r="L26" s="3309"/>
      <c r="M26" s="3309"/>
      <c r="N26" s="3309"/>
      <c r="O26" s="3309"/>
      <c r="P26" s="3309"/>
      <c r="Q26" s="3309"/>
      <c r="R26" s="3309"/>
      <c r="S26" s="3309"/>
      <c r="T26" s="3309">
        <v>54.1</v>
      </c>
      <c r="U26" s="3309">
        <v>10</v>
      </c>
      <c r="V26" s="3309">
        <v>500</v>
      </c>
      <c r="W26" s="3309">
        <v>5000</v>
      </c>
      <c r="X26" s="3309" t="s">
        <v>4259</v>
      </c>
      <c r="Y26" s="3309"/>
      <c r="Z26" s="3310"/>
      <c r="AA26" s="3310"/>
      <c r="AB26" s="3309"/>
      <c r="AC26" s="3309">
        <v>-4.4000000000000004</v>
      </c>
      <c r="AD26" s="3309">
        <v>-108.9</v>
      </c>
      <c r="AE26" s="3309"/>
      <c r="AF26" s="3309"/>
      <c r="AG26" s="3309"/>
      <c r="AH26" s="3309"/>
      <c r="AI26" s="3309"/>
      <c r="AJ26" s="3309">
        <v>-76.2</v>
      </c>
      <c r="AK26" s="3309">
        <v>2</v>
      </c>
      <c r="AL26" s="3309">
        <v>11.5</v>
      </c>
      <c r="AM26" s="3309">
        <v>420</v>
      </c>
      <c r="AN26" s="3309">
        <v>2</v>
      </c>
      <c r="AO26" s="3309">
        <v>4</v>
      </c>
      <c r="AP26" s="3309">
        <v>2</v>
      </c>
      <c r="AQ26" s="3309" t="s">
        <v>141</v>
      </c>
      <c r="AR26" s="3309" t="s">
        <v>138</v>
      </c>
      <c r="AS26" s="3309"/>
      <c r="AT26" s="3309"/>
      <c r="AU26" s="3309"/>
      <c r="AV26" s="3309"/>
      <c r="AW26" s="3309">
        <v>0.63900000000000001</v>
      </c>
      <c r="AX26" s="3309">
        <v>1.1429999999999999E-3</v>
      </c>
      <c r="AY26" s="3309">
        <v>0.53500000000000003</v>
      </c>
      <c r="AZ26" s="3311">
        <v>1.072E-3</v>
      </c>
      <c r="BA26" s="3309">
        <v>98.2</v>
      </c>
      <c r="BB26" s="3309">
        <v>0.25340000000000001</v>
      </c>
      <c r="BC26" s="3309">
        <v>4.4499999999999997E-4</v>
      </c>
      <c r="BD26" s="3309">
        <v>9.2388999999999992</v>
      </c>
      <c r="BE26" s="3309">
        <v>2187.11</v>
      </c>
      <c r="BF26" s="3309">
        <v>32</v>
      </c>
      <c r="BG26" s="3309"/>
      <c r="BH26" s="3309"/>
      <c r="BI26" s="3309"/>
      <c r="BJ26" s="3309"/>
      <c r="BK26" s="3309"/>
      <c r="BL26" s="3309"/>
      <c r="BM26" s="3309"/>
      <c r="BN26" s="3309"/>
      <c r="BO26" s="3309"/>
      <c r="BP26" s="3309"/>
    </row>
    <row r="27" spans="1:68" ht="12.75" customHeight="1" x14ac:dyDescent="0.25">
      <c r="A27" s="3307" t="s">
        <v>597</v>
      </c>
      <c r="B27" s="3308" t="s">
        <v>189</v>
      </c>
      <c r="C27" s="3309" t="s">
        <v>842</v>
      </c>
      <c r="D27" s="3309">
        <v>1</v>
      </c>
      <c r="E27" s="3309"/>
      <c r="F27" s="3307" t="s">
        <v>597</v>
      </c>
      <c r="G27" s="3309"/>
      <c r="H27" s="3309"/>
      <c r="I27" s="3309"/>
      <c r="J27" s="3309"/>
      <c r="K27" s="3309"/>
      <c r="L27" s="3309"/>
      <c r="M27" s="3309"/>
      <c r="N27" s="3309"/>
      <c r="O27" s="3309"/>
      <c r="P27" s="3309"/>
      <c r="Q27" s="3309"/>
      <c r="R27" s="3309"/>
      <c r="S27" s="3309"/>
      <c r="T27" s="3309">
        <v>58.1</v>
      </c>
      <c r="U27" s="3320">
        <v>5500</v>
      </c>
      <c r="V27" s="3320">
        <v>17000</v>
      </c>
      <c r="W27" s="3320">
        <v>53000</v>
      </c>
      <c r="X27" s="3309" t="s">
        <v>4458</v>
      </c>
      <c r="Y27" s="3309"/>
      <c r="Z27" s="3310"/>
      <c r="AA27" s="3310"/>
      <c r="AB27" s="3309"/>
      <c r="AC27" s="3309">
        <v>-0.6</v>
      </c>
      <c r="AD27" s="3309"/>
      <c r="AE27" s="3309"/>
      <c r="AF27" s="3309"/>
      <c r="AG27" s="3309"/>
      <c r="AH27" s="3309"/>
      <c r="AI27" s="3309"/>
      <c r="AJ27" s="3309">
        <v>-72</v>
      </c>
      <c r="AK27" s="3309">
        <v>1.6</v>
      </c>
      <c r="AL27" s="3309"/>
      <c r="AM27" s="3309"/>
      <c r="AN27" s="3309">
        <v>1</v>
      </c>
      <c r="AO27" s="3309">
        <v>4</v>
      </c>
      <c r="AP27" s="3309">
        <v>0</v>
      </c>
      <c r="AQ27" s="3309" t="s">
        <v>139</v>
      </c>
      <c r="AR27" s="3309" t="s">
        <v>138</v>
      </c>
      <c r="AS27" s="3309"/>
      <c r="AT27" s="3309"/>
      <c r="AU27" s="3309"/>
      <c r="AV27" s="3309"/>
      <c r="AW27" s="3309">
        <v>0.60199999999999998</v>
      </c>
      <c r="AX27" s="3309">
        <v>1.1000000000000001E-3</v>
      </c>
      <c r="AY27" s="3309">
        <v>0.56699999999999995</v>
      </c>
      <c r="AZ27" s="3311">
        <v>1.1800000000000001E-3</v>
      </c>
      <c r="BA27" s="3309">
        <v>93.1</v>
      </c>
      <c r="BB27" s="3309">
        <v>0.23799999999999999</v>
      </c>
      <c r="BC27" s="3309"/>
      <c r="BD27" s="3309">
        <v>10.439</v>
      </c>
      <c r="BE27" s="3309">
        <v>2843.5</v>
      </c>
      <c r="BF27" s="3309"/>
      <c r="BG27" s="3309"/>
      <c r="BH27" s="3309"/>
      <c r="BI27" s="3309"/>
      <c r="BJ27" s="3309"/>
      <c r="BK27" s="3309"/>
      <c r="BL27" s="3309"/>
      <c r="BM27" s="3309"/>
      <c r="BN27" s="3309"/>
      <c r="BO27" s="3309"/>
      <c r="BP27" s="3309"/>
    </row>
    <row r="28" spans="1:68" ht="12.75" customHeight="1" x14ac:dyDescent="0.25">
      <c r="A28" s="3307" t="s">
        <v>598</v>
      </c>
      <c r="B28" s="3309" t="s">
        <v>3130</v>
      </c>
      <c r="C28" s="3309" t="s">
        <v>842</v>
      </c>
      <c r="D28" s="3309">
        <v>1</v>
      </c>
      <c r="E28" s="3309"/>
      <c r="F28" s="3307" t="s">
        <v>598</v>
      </c>
      <c r="G28" s="3309"/>
      <c r="H28" s="3309"/>
      <c r="I28" s="3309"/>
      <c r="J28" s="3309"/>
      <c r="K28" s="3309"/>
      <c r="L28" s="3309"/>
      <c r="M28" s="3309"/>
      <c r="N28" s="3309"/>
      <c r="O28" s="3309"/>
      <c r="P28" s="3309"/>
      <c r="Q28" s="3309"/>
      <c r="R28" s="3309"/>
      <c r="S28" s="3309"/>
      <c r="T28" s="3309">
        <v>74.12</v>
      </c>
      <c r="U28" s="3320">
        <v>59</v>
      </c>
      <c r="V28" s="3320">
        <v>790</v>
      </c>
      <c r="W28" s="3320">
        <v>8000</v>
      </c>
      <c r="X28" s="3309" t="s">
        <v>4458</v>
      </c>
      <c r="Y28" s="3309"/>
      <c r="Z28" s="3310"/>
      <c r="AA28" s="3310"/>
      <c r="AB28" s="3309"/>
      <c r="AC28" s="3309">
        <v>118</v>
      </c>
      <c r="AD28" s="3309"/>
      <c r="AE28" s="3309"/>
      <c r="AF28" s="3309"/>
      <c r="AG28" s="3309"/>
      <c r="AH28" s="3309"/>
      <c r="AI28" s="3309"/>
      <c r="AJ28" s="3309">
        <v>36</v>
      </c>
      <c r="AK28" s="3309">
        <v>1.7</v>
      </c>
      <c r="AL28" s="3309"/>
      <c r="AM28" s="3309"/>
      <c r="AN28" s="3309">
        <v>2</v>
      </c>
      <c r="AO28" s="3309">
        <v>3</v>
      </c>
      <c r="AP28" s="3309">
        <v>0</v>
      </c>
      <c r="AQ28" s="3309" t="s">
        <v>139</v>
      </c>
      <c r="AR28" s="3309" t="s">
        <v>138</v>
      </c>
      <c r="AS28" s="3309"/>
      <c r="AT28" s="3309"/>
      <c r="AU28" s="3309"/>
      <c r="AV28" s="3309" t="s">
        <v>158</v>
      </c>
      <c r="AW28" s="3309">
        <v>0.82599999999999996</v>
      </c>
      <c r="AX28" s="3309">
        <v>7.9000000000000001E-4</v>
      </c>
      <c r="AY28" s="3309">
        <v>0.52900000000000003</v>
      </c>
      <c r="AZ28" s="3311">
        <v>2.1099999999999999E-3</v>
      </c>
      <c r="BA28" s="3309">
        <v>175.7</v>
      </c>
      <c r="BB28" s="3309">
        <v>0.223</v>
      </c>
      <c r="BC28" s="3309"/>
      <c r="BD28" s="3309">
        <v>14.784000000000001</v>
      </c>
      <c r="BE28" s="3309">
        <v>5776.3</v>
      </c>
      <c r="BF28" s="3309"/>
      <c r="BG28" s="3309"/>
      <c r="BH28" s="3309"/>
      <c r="BI28" s="3309"/>
      <c r="BJ28" s="3309"/>
      <c r="BK28" s="3309"/>
      <c r="BL28" s="3309"/>
      <c r="BM28" s="3309"/>
      <c r="BN28" s="3309"/>
      <c r="BO28" s="3309"/>
      <c r="BP28" s="3309"/>
    </row>
    <row r="29" spans="1:68" ht="12.75" customHeight="1" x14ac:dyDescent="0.25">
      <c r="A29" s="3314" t="s">
        <v>190</v>
      </c>
      <c r="B29" s="3309" t="s">
        <v>191</v>
      </c>
      <c r="C29" s="3309" t="s">
        <v>842</v>
      </c>
      <c r="D29" s="3309">
        <v>1</v>
      </c>
      <c r="E29" s="3309"/>
      <c r="F29" s="3314" t="s">
        <v>190</v>
      </c>
      <c r="G29" s="3309"/>
      <c r="H29" s="3309"/>
      <c r="I29" s="3309"/>
      <c r="J29" s="3309"/>
      <c r="K29" s="3309"/>
      <c r="L29" s="3309"/>
      <c r="M29" s="3309"/>
      <c r="N29" s="3309"/>
      <c r="O29" s="3309"/>
      <c r="P29" s="3309"/>
      <c r="Q29" s="3309"/>
      <c r="R29" s="3309"/>
      <c r="S29" s="3309"/>
      <c r="T29" s="3309">
        <v>116.16</v>
      </c>
      <c r="U29" s="3309">
        <v>5</v>
      </c>
      <c r="V29" s="3309">
        <v>200</v>
      </c>
      <c r="W29" s="3309">
        <v>3000</v>
      </c>
      <c r="X29" s="3309" t="s">
        <v>4259</v>
      </c>
      <c r="Y29" s="3309"/>
      <c r="Z29" s="3310"/>
      <c r="AA29" s="3310"/>
      <c r="AB29" s="3309"/>
      <c r="AC29" s="3309">
        <v>126</v>
      </c>
      <c r="AD29" s="3309">
        <v>-77.900000000000006</v>
      </c>
      <c r="AE29" s="3309"/>
      <c r="AF29" s="3309"/>
      <c r="AG29" s="3309"/>
      <c r="AH29" s="3309"/>
      <c r="AI29" s="3309"/>
      <c r="AJ29" s="3309">
        <v>22</v>
      </c>
      <c r="AK29" s="3309">
        <v>1.4</v>
      </c>
      <c r="AL29" s="3309"/>
      <c r="AM29" s="3309"/>
      <c r="AN29" s="3309">
        <v>2</v>
      </c>
      <c r="AO29" s="3309">
        <v>3</v>
      </c>
      <c r="AP29" s="3309">
        <v>0</v>
      </c>
      <c r="AQ29" s="3309"/>
      <c r="AR29" s="3309"/>
      <c r="AS29" s="3309"/>
      <c r="AT29" s="3309"/>
      <c r="AU29" s="3309"/>
      <c r="AV29" s="3309" t="s">
        <v>159</v>
      </c>
      <c r="AW29" s="3309">
        <v>0.9</v>
      </c>
      <c r="AX29" s="3309">
        <v>1.1299999999999999E-3</v>
      </c>
      <c r="AY29" s="3309">
        <v>0.45300000000000001</v>
      </c>
      <c r="AZ29" s="3311">
        <v>6.0820000000000004E-4</v>
      </c>
      <c r="BA29" s="3309">
        <v>94</v>
      </c>
      <c r="BB29" s="3309">
        <v>0.15190899999999999</v>
      </c>
      <c r="BC29" s="3342">
        <v>7.7299999999999995E-5</v>
      </c>
      <c r="BD29" s="3309">
        <v>10.778600000000001</v>
      </c>
      <c r="BE29" s="3309">
        <v>3909.65</v>
      </c>
      <c r="BF29" s="3309">
        <v>38.51</v>
      </c>
      <c r="BG29" s="3309"/>
      <c r="BH29" s="3309"/>
      <c r="BI29" s="3309"/>
      <c r="BJ29" s="3309"/>
      <c r="BK29" s="3309"/>
      <c r="BL29" s="3309"/>
      <c r="BM29" s="3309"/>
      <c r="BN29" s="3309"/>
      <c r="BO29" s="3309"/>
      <c r="BP29" s="3309"/>
    </row>
    <row r="30" spans="1:68" ht="12.75" customHeight="1" x14ac:dyDescent="0.25">
      <c r="A30" s="3307" t="s">
        <v>4281</v>
      </c>
      <c r="B30" s="3309" t="s">
        <v>4282</v>
      </c>
      <c r="C30" s="3309" t="s">
        <v>842</v>
      </c>
      <c r="D30" s="3309">
        <v>1</v>
      </c>
      <c r="E30" s="3309"/>
      <c r="F30" s="3307" t="s">
        <v>4281</v>
      </c>
      <c r="G30" s="3309"/>
      <c r="H30" s="3309"/>
      <c r="I30" s="3309"/>
      <c r="J30" s="3309"/>
      <c r="K30" s="3309"/>
      <c r="L30" s="3309"/>
      <c r="M30" s="3309"/>
      <c r="N30" s="3309"/>
      <c r="O30" s="3309"/>
      <c r="P30" s="3309"/>
      <c r="Q30" s="3309"/>
      <c r="R30" s="3309"/>
      <c r="S30" s="3309"/>
      <c r="T30" s="3320">
        <v>116.16</v>
      </c>
      <c r="U30" s="3320">
        <v>600</v>
      </c>
      <c r="V30" s="3320">
        <v>1700</v>
      </c>
      <c r="W30" s="3320">
        <v>10000</v>
      </c>
      <c r="X30" s="3309" t="s">
        <v>4458</v>
      </c>
      <c r="Y30" s="3309"/>
      <c r="Z30" s="3320"/>
      <c r="AA30" s="3320"/>
      <c r="AB30" s="3320"/>
      <c r="AC30" s="3320">
        <v>112</v>
      </c>
      <c r="AD30" s="3320">
        <v>-9.9</v>
      </c>
      <c r="AE30" s="3320"/>
      <c r="AF30" s="3320"/>
      <c r="AG30" s="3320"/>
      <c r="AH30" s="3320"/>
      <c r="AI30" s="3320"/>
      <c r="AJ30" s="3320">
        <v>16</v>
      </c>
      <c r="AK30" s="3320">
        <v>1.7</v>
      </c>
      <c r="AL30" s="3320"/>
      <c r="AM30" s="3320"/>
      <c r="AN30" s="3320">
        <v>2</v>
      </c>
      <c r="AO30" s="3320">
        <v>3</v>
      </c>
      <c r="AP30" s="3320">
        <v>0</v>
      </c>
      <c r="AQ30" s="3320"/>
      <c r="AR30" s="3320"/>
      <c r="AS30" s="3309"/>
      <c r="AT30" s="3309"/>
      <c r="AU30" s="3309"/>
      <c r="AV30" s="3309"/>
      <c r="AW30" s="3309">
        <v>0.89100000000000001</v>
      </c>
      <c r="AX30" s="3309">
        <v>1.189E-3</v>
      </c>
      <c r="AY30" s="3309">
        <v>0.43099999999999999</v>
      </c>
      <c r="AZ30" s="3309">
        <v>9.1989999999999997E-4</v>
      </c>
      <c r="BA30" s="3309">
        <v>89.2</v>
      </c>
      <c r="BB30" s="3309">
        <v>0.122712</v>
      </c>
      <c r="BC30" s="3309">
        <v>2.14E-4</v>
      </c>
      <c r="BD30" s="3309">
        <v>9.7509999999999994</v>
      </c>
      <c r="BE30" s="3309">
        <v>3209.31</v>
      </c>
      <c r="BF30" s="3309">
        <v>56.22</v>
      </c>
      <c r="BG30" s="3309"/>
      <c r="BH30" s="3309"/>
      <c r="BI30" s="3309"/>
      <c r="BJ30" s="3309"/>
      <c r="BK30" s="3309"/>
      <c r="BL30" s="3309"/>
      <c r="BM30" s="3309"/>
      <c r="BN30" s="3309"/>
      <c r="BO30" s="3309"/>
      <c r="BP30" s="3309"/>
    </row>
    <row r="31" spans="1:68" ht="12.75" customHeight="1" x14ac:dyDescent="0.25">
      <c r="A31" s="3307" t="s">
        <v>4283</v>
      </c>
      <c r="B31" s="3309" t="s">
        <v>4284</v>
      </c>
      <c r="C31" s="3309" t="s">
        <v>842</v>
      </c>
      <c r="D31" s="3309">
        <v>1</v>
      </c>
      <c r="E31" s="3309"/>
      <c r="F31" s="3307" t="s">
        <v>4283</v>
      </c>
      <c r="G31" s="3309"/>
      <c r="H31" s="3309"/>
      <c r="I31" s="3309"/>
      <c r="J31" s="3309"/>
      <c r="K31" s="3309"/>
      <c r="L31" s="3309"/>
      <c r="M31" s="3309"/>
      <c r="N31" s="3309"/>
      <c r="O31" s="3309"/>
      <c r="P31" s="3309"/>
      <c r="Q31" s="3309"/>
      <c r="R31" s="3309"/>
      <c r="S31" s="3309"/>
      <c r="T31" s="3320">
        <v>116.16</v>
      </c>
      <c r="U31" s="3320">
        <v>600</v>
      </c>
      <c r="V31" s="3320">
        <v>1700</v>
      </c>
      <c r="W31" s="3320">
        <v>10000</v>
      </c>
      <c r="X31" s="3309" t="s">
        <v>4458</v>
      </c>
      <c r="Y31" s="3309"/>
      <c r="Z31" s="3320"/>
      <c r="AA31" s="3320"/>
      <c r="AB31" s="3320"/>
      <c r="AC31" s="3320">
        <v>96</v>
      </c>
      <c r="AD31" s="3320">
        <v>-58.2</v>
      </c>
      <c r="AE31" s="3320"/>
      <c r="AF31" s="3320"/>
      <c r="AG31" s="3320"/>
      <c r="AH31" s="3320"/>
      <c r="AI31" s="3320"/>
      <c r="AJ31" s="3320">
        <v>14.1</v>
      </c>
      <c r="AK31" s="3320">
        <v>1.3</v>
      </c>
      <c r="AL31" s="3320"/>
      <c r="AM31" s="3320"/>
      <c r="AN31" s="3320">
        <v>2</v>
      </c>
      <c r="AO31" s="3320">
        <v>3</v>
      </c>
      <c r="AP31" s="3320">
        <v>0</v>
      </c>
      <c r="AQ31" s="3320"/>
      <c r="AR31" s="3320"/>
      <c r="AS31" s="3309"/>
      <c r="AT31" s="3309"/>
      <c r="AU31" s="3309"/>
      <c r="AV31" s="3309"/>
      <c r="AW31" s="3309">
        <v>0.88900000000000001</v>
      </c>
      <c r="AX31" s="3309">
        <v>1.1119999999999999E-3</v>
      </c>
      <c r="AY31" s="3309">
        <v>0.42599999999999999</v>
      </c>
      <c r="AZ31" s="3309">
        <v>1.2269E-3</v>
      </c>
      <c r="BA31" s="3309">
        <v>80.5</v>
      </c>
      <c r="BB31" s="3309">
        <v>9.4167000000000001E-2</v>
      </c>
      <c r="BC31" s="3309">
        <v>2.8600000000000001E-4</v>
      </c>
      <c r="BD31" s="3309">
        <v>9.9819999999999993</v>
      </c>
      <c r="BE31" s="3309">
        <v>3242.13</v>
      </c>
      <c r="BF31" s="3309">
        <v>44.47</v>
      </c>
      <c r="BG31" s="3309"/>
      <c r="BH31" s="3309"/>
      <c r="BI31" s="3309"/>
      <c r="BJ31" s="3309"/>
      <c r="BK31" s="3309"/>
      <c r="BL31" s="3309"/>
      <c r="BM31" s="3309"/>
      <c r="BN31" s="3309"/>
      <c r="BO31" s="3309"/>
      <c r="BP31" s="3309"/>
    </row>
    <row r="32" spans="1:68" ht="12.75" customHeight="1" x14ac:dyDescent="0.25">
      <c r="A32" s="3307" t="s">
        <v>1752</v>
      </c>
      <c r="B32" s="3309" t="s">
        <v>192</v>
      </c>
      <c r="C32" s="3309" t="s">
        <v>842</v>
      </c>
      <c r="D32" s="3309">
        <v>1</v>
      </c>
      <c r="E32" s="3309"/>
      <c r="F32" s="3307" t="s">
        <v>1752</v>
      </c>
      <c r="G32" s="3309"/>
      <c r="H32" s="3309"/>
      <c r="I32" s="3309"/>
      <c r="J32" s="3309"/>
      <c r="K32" s="3309"/>
      <c r="L32" s="3309"/>
      <c r="M32" s="3309"/>
      <c r="N32" s="3309"/>
      <c r="O32" s="3309"/>
      <c r="P32" s="3309"/>
      <c r="Q32" s="3309"/>
      <c r="R32" s="3309"/>
      <c r="S32" s="3309"/>
      <c r="T32" s="3309">
        <v>128.16999999999999</v>
      </c>
      <c r="U32" s="3309">
        <v>0.05</v>
      </c>
      <c r="V32" s="3309">
        <v>25</v>
      </c>
      <c r="W32" s="3309">
        <v>250</v>
      </c>
      <c r="X32" s="3309" t="s">
        <v>4259</v>
      </c>
      <c r="Y32" s="3309"/>
      <c r="Z32" s="3310"/>
      <c r="AA32" s="3310"/>
      <c r="AB32" s="3309"/>
      <c r="AC32" s="3309">
        <v>146.6</v>
      </c>
      <c r="AD32" s="3309">
        <v>-64.599999999999994</v>
      </c>
      <c r="AE32" s="3309"/>
      <c r="AF32" s="3309"/>
      <c r="AG32" s="3309"/>
      <c r="AH32" s="3309"/>
      <c r="AI32" s="3309"/>
      <c r="AJ32" s="3309">
        <v>36</v>
      </c>
      <c r="AK32" s="3309">
        <v>1.3</v>
      </c>
      <c r="AL32" s="3309"/>
      <c r="AM32" s="3309"/>
      <c r="AN32" s="3309">
        <v>2</v>
      </c>
      <c r="AO32" s="3309">
        <v>2</v>
      </c>
      <c r="AP32" s="3309">
        <v>2</v>
      </c>
      <c r="AQ32" s="3309" t="s">
        <v>139</v>
      </c>
      <c r="AR32" s="3309" t="s">
        <v>138</v>
      </c>
      <c r="AS32" s="3309" t="s">
        <v>599</v>
      </c>
      <c r="AT32" s="3309"/>
      <c r="AU32" s="3309"/>
      <c r="AV32" s="3309" t="s">
        <v>159</v>
      </c>
      <c r="AW32" s="3309">
        <v>0.9145778</v>
      </c>
      <c r="AX32" s="3309">
        <v>8.8748000000000104E-4</v>
      </c>
      <c r="AY32" s="3309">
        <v>0.40954906666666668</v>
      </c>
      <c r="AZ32" s="3311">
        <v>8.5559333333333357E-4</v>
      </c>
      <c r="BA32" s="3309">
        <v>90.589289333333326</v>
      </c>
      <c r="BB32" s="3309">
        <v>0.13008893333333332</v>
      </c>
      <c r="BC32" s="3309">
        <v>0</v>
      </c>
      <c r="BD32" s="3309">
        <v>12.62637377938513</v>
      </c>
      <c r="BE32" s="3309">
        <v>5314.1999636091068</v>
      </c>
      <c r="BF32" s="3309">
        <v>0</v>
      </c>
      <c r="BG32" s="3309"/>
      <c r="BH32" s="3309"/>
      <c r="BI32" s="3309"/>
      <c r="BJ32" s="3309"/>
      <c r="BK32" s="3309"/>
      <c r="BL32" s="3309"/>
      <c r="BM32" s="3309"/>
      <c r="BN32" s="3309"/>
      <c r="BO32" s="3309"/>
      <c r="BP32" s="3309"/>
    </row>
    <row r="33" spans="1:68" ht="12.75" customHeight="1" x14ac:dyDescent="0.25">
      <c r="A33" s="3307" t="s">
        <v>4285</v>
      </c>
      <c r="B33" s="3309" t="s">
        <v>4286</v>
      </c>
      <c r="C33" s="3309" t="s">
        <v>842</v>
      </c>
      <c r="D33" s="3309">
        <v>1</v>
      </c>
      <c r="E33" s="3309"/>
      <c r="F33" s="3307" t="s">
        <v>4285</v>
      </c>
      <c r="G33" s="3309"/>
      <c r="H33" s="3309"/>
      <c r="I33" s="3309"/>
      <c r="J33" s="3309"/>
      <c r="K33" s="3309"/>
      <c r="L33" s="3309"/>
      <c r="M33" s="3309"/>
      <c r="N33" s="3309"/>
      <c r="O33" s="3309"/>
      <c r="P33" s="3309"/>
      <c r="Q33" s="3309"/>
      <c r="R33" s="3309"/>
      <c r="S33" s="3309"/>
      <c r="T33" s="3320">
        <v>90.12</v>
      </c>
      <c r="U33" s="3320"/>
      <c r="V33" s="3320">
        <v>0.74</v>
      </c>
      <c r="W33" s="3320">
        <v>22</v>
      </c>
      <c r="X33" s="3320" t="s">
        <v>4458</v>
      </c>
      <c r="Y33" s="3320"/>
      <c r="Z33" s="3320"/>
      <c r="AA33" s="3320"/>
      <c r="AB33" s="3320"/>
      <c r="AC33" s="3320">
        <v>115</v>
      </c>
      <c r="AD33" s="3320">
        <v>4.3</v>
      </c>
      <c r="AE33" s="3320"/>
      <c r="AF33" s="3320"/>
      <c r="AG33" s="3320"/>
      <c r="AH33" s="3320"/>
      <c r="AI33" s="3320"/>
      <c r="AJ33" s="3320">
        <v>26.666</v>
      </c>
      <c r="AK33" s="3320"/>
      <c r="AL33" s="3320"/>
      <c r="AM33" s="3320"/>
      <c r="AN33" s="3320">
        <v>2</v>
      </c>
      <c r="AO33" s="3320">
        <v>2</v>
      </c>
      <c r="AP33" s="3320">
        <v>3</v>
      </c>
      <c r="AQ33" s="3320"/>
      <c r="AR33" s="3320"/>
      <c r="AS33" s="3309"/>
      <c r="AT33" s="3309"/>
      <c r="AU33" s="3309"/>
      <c r="AV33" s="3309"/>
      <c r="AW33" s="3309">
        <v>0.91200000000000003</v>
      </c>
      <c r="AX33" s="3309">
        <v>1.119E-3</v>
      </c>
      <c r="AY33" s="3309">
        <v>0.54</v>
      </c>
      <c r="AZ33" s="3309">
        <v>1.4212000000000001E-3</v>
      </c>
      <c r="BA33" s="3309">
        <v>138.19999999999999</v>
      </c>
      <c r="BB33" s="3309">
        <v>0.20675499999999999</v>
      </c>
      <c r="BC33" s="3309">
        <v>2.34E-4</v>
      </c>
      <c r="BD33" s="3309">
        <v>12.1381</v>
      </c>
      <c r="BE33" s="3309">
        <v>4130.5</v>
      </c>
      <c r="BF33" s="3309">
        <v>48.86</v>
      </c>
      <c r="BG33" s="3309"/>
      <c r="BH33" s="3309"/>
      <c r="BI33" s="3309"/>
      <c r="BJ33" s="3309"/>
      <c r="BK33" s="3309"/>
      <c r="BL33" s="3309"/>
      <c r="BM33" s="3309"/>
      <c r="BN33" s="3309"/>
      <c r="BO33" s="3309"/>
      <c r="BP33" s="3309"/>
    </row>
    <row r="34" spans="1:68" ht="12.75" customHeight="1" x14ac:dyDescent="0.25">
      <c r="A34" s="3314" t="s">
        <v>193</v>
      </c>
      <c r="B34" s="3309" t="s">
        <v>194</v>
      </c>
      <c r="C34" s="3309" t="s">
        <v>842</v>
      </c>
      <c r="D34" s="3309">
        <v>1</v>
      </c>
      <c r="E34" s="3309"/>
      <c r="F34" s="3314" t="s">
        <v>193</v>
      </c>
      <c r="G34" s="3309"/>
      <c r="H34" s="3309"/>
      <c r="I34" s="3309"/>
      <c r="J34" s="3309"/>
      <c r="K34" s="3309"/>
      <c r="L34" s="3309"/>
      <c r="M34" s="3309"/>
      <c r="N34" s="3309"/>
      <c r="O34" s="3309"/>
      <c r="P34" s="3309"/>
      <c r="Q34" s="3309"/>
      <c r="R34" s="3309"/>
      <c r="S34" s="3309"/>
      <c r="T34" s="3309">
        <v>99.13</v>
      </c>
      <c r="U34" s="3309">
        <v>0.01</v>
      </c>
      <c r="V34" s="3309">
        <v>0.05</v>
      </c>
      <c r="W34" s="3309">
        <v>1</v>
      </c>
      <c r="X34" s="3309" t="s">
        <v>4259</v>
      </c>
      <c r="Y34" s="3309" t="s">
        <v>289</v>
      </c>
      <c r="Z34" s="3310"/>
      <c r="AA34" s="3310"/>
      <c r="AB34" s="3309"/>
      <c r="AC34" s="3309">
        <v>115.3</v>
      </c>
      <c r="AD34" s="3309"/>
      <c r="AE34" s="3309"/>
      <c r="AF34" s="3309"/>
      <c r="AG34" s="3309"/>
      <c r="AH34" s="3309"/>
      <c r="AI34" s="3309"/>
      <c r="AJ34" s="3309">
        <v>17</v>
      </c>
      <c r="AK34" s="3309"/>
      <c r="AL34" s="3309"/>
      <c r="AM34" s="3309"/>
      <c r="AN34" s="3309">
        <v>3</v>
      </c>
      <c r="AO34" s="3309">
        <v>3</v>
      </c>
      <c r="AP34" s="3309">
        <v>2</v>
      </c>
      <c r="AQ34" s="3309"/>
      <c r="AR34" s="3309"/>
      <c r="AS34" s="3309"/>
      <c r="AT34" s="3309"/>
      <c r="AU34" s="3309"/>
      <c r="AV34" s="3309"/>
      <c r="AW34" s="3309">
        <v>0.90900000000000003</v>
      </c>
      <c r="AX34" s="3309">
        <v>1.088E-3</v>
      </c>
      <c r="AY34" s="3309">
        <v>0.36299999999999999</v>
      </c>
      <c r="AZ34" s="3311">
        <v>1.0457999999999999E-3</v>
      </c>
      <c r="BA34" s="3309">
        <v>100.7</v>
      </c>
      <c r="BB34" s="3309">
        <v>0.11666700000000001</v>
      </c>
      <c r="BC34" s="3309">
        <v>2.0799999999999999E-4</v>
      </c>
      <c r="BD34" s="3309">
        <v>9.9336000000000002</v>
      </c>
      <c r="BE34" s="3309">
        <v>3365.02</v>
      </c>
      <c r="BF34" s="3309">
        <v>50.88</v>
      </c>
      <c r="BG34" s="3309"/>
      <c r="BH34" s="3309"/>
      <c r="BI34" s="3309"/>
      <c r="BJ34" s="3309"/>
      <c r="BK34" s="3309"/>
      <c r="BL34" s="3309"/>
      <c r="BM34" s="3309"/>
      <c r="BN34" s="3309"/>
      <c r="BO34" s="3309"/>
      <c r="BP34" s="3309"/>
    </row>
    <row r="35" spans="1:68" ht="12.75" customHeight="1" x14ac:dyDescent="0.25">
      <c r="A35" s="3263" t="s">
        <v>4287</v>
      </c>
      <c r="B35" s="3265" t="s">
        <v>4288</v>
      </c>
      <c r="C35" s="3265" t="s">
        <v>842</v>
      </c>
      <c r="D35" s="3265">
        <v>1</v>
      </c>
      <c r="E35" s="3265"/>
      <c r="F35" s="3263" t="s">
        <v>4287</v>
      </c>
      <c r="G35" s="3265"/>
      <c r="H35" s="3265"/>
      <c r="I35" s="3265"/>
      <c r="J35" s="3265"/>
      <c r="K35" s="3265"/>
      <c r="L35" s="3265"/>
      <c r="M35" s="3265"/>
      <c r="N35" s="3265"/>
      <c r="O35" s="3265"/>
      <c r="P35" s="3265"/>
      <c r="Q35" s="3265"/>
      <c r="R35" s="3265"/>
      <c r="S35" s="3265"/>
      <c r="T35" s="3268">
        <v>142.19999999999999</v>
      </c>
      <c r="U35" s="3268">
        <v>0.17</v>
      </c>
      <c r="V35" s="3268">
        <v>1.7</v>
      </c>
      <c r="W35" s="3268">
        <v>224</v>
      </c>
      <c r="X35" s="3268" t="s">
        <v>4458</v>
      </c>
      <c r="Y35" s="3268"/>
      <c r="Z35" s="3268"/>
      <c r="AA35" s="3268"/>
      <c r="AB35" s="3268"/>
      <c r="AC35" s="3268">
        <v>163</v>
      </c>
      <c r="AD35" s="3268">
        <v>-75.400000000000006</v>
      </c>
      <c r="AE35" s="3268"/>
      <c r="AF35" s="3268"/>
      <c r="AG35" s="3268"/>
      <c r="AH35" s="3268"/>
      <c r="AI35" s="3268"/>
      <c r="AJ35" s="3268">
        <v>48.85</v>
      </c>
      <c r="AK35" s="3268">
        <v>2</v>
      </c>
      <c r="AL35" s="3268"/>
      <c r="AM35" s="3268"/>
      <c r="AN35" s="3268">
        <v>3</v>
      </c>
      <c r="AO35" s="3268">
        <v>2</v>
      </c>
      <c r="AP35" s="3268">
        <v>0</v>
      </c>
      <c r="AQ35" s="3268"/>
      <c r="AR35" s="3268"/>
      <c r="AS35" s="3265"/>
      <c r="AT35" s="3265"/>
      <c r="AU35" s="3265"/>
      <c r="AV35" s="3265"/>
      <c r="AW35" s="3265">
        <v>0.91300000000000003</v>
      </c>
      <c r="AX35" s="3265">
        <v>1.008E-3</v>
      </c>
      <c r="AY35" s="3265">
        <v>0.45800000000000002</v>
      </c>
      <c r="AZ35" s="3265">
        <v>9.5200000000000005E-4</v>
      </c>
      <c r="BA35" s="3265">
        <v>86.2</v>
      </c>
      <c r="BB35" s="3265">
        <v>9.3359999999999999E-2</v>
      </c>
      <c r="BC35" s="3265">
        <v>1.63E-4</v>
      </c>
      <c r="BD35" s="3265">
        <v>10.289899999999999</v>
      </c>
      <c r="BE35" s="3265">
        <v>3929.22</v>
      </c>
      <c r="BF35" s="3265">
        <v>54.88</v>
      </c>
      <c r="BG35" s="3265"/>
      <c r="BH35" s="3265"/>
      <c r="BI35" s="3265"/>
      <c r="BJ35" s="3265"/>
      <c r="BK35" s="3265"/>
      <c r="BL35" s="3265"/>
      <c r="BM35" s="3265"/>
      <c r="BN35" s="3265"/>
      <c r="BO35" s="3265"/>
      <c r="BP35" s="3265"/>
    </row>
    <row r="36" spans="1:68" ht="12.75" customHeight="1" x14ac:dyDescent="0.25">
      <c r="A36" s="3263" t="s">
        <v>3249</v>
      </c>
      <c r="B36" s="3265" t="s">
        <v>3248</v>
      </c>
      <c r="C36" s="3265" t="s">
        <v>842</v>
      </c>
      <c r="D36" s="3265">
        <v>1</v>
      </c>
      <c r="E36" s="3265"/>
      <c r="F36" s="3263" t="s">
        <v>3247</v>
      </c>
      <c r="G36" s="3265"/>
      <c r="H36" s="3265"/>
      <c r="I36" s="3265"/>
      <c r="J36" s="3265"/>
      <c r="K36" s="3265"/>
      <c r="L36" s="3265"/>
      <c r="M36" s="3265"/>
      <c r="N36" s="3265"/>
      <c r="O36" s="3265"/>
      <c r="P36" s="3265"/>
      <c r="Q36" s="3265"/>
      <c r="R36" s="3265"/>
      <c r="S36" s="3265"/>
      <c r="T36" s="3265">
        <v>56.1</v>
      </c>
      <c r="U36" s="3268">
        <v>530</v>
      </c>
      <c r="V36" s="3268">
        <v>530</v>
      </c>
      <c r="W36" s="3268">
        <v>6100</v>
      </c>
      <c r="X36" s="3265" t="s">
        <v>4458</v>
      </c>
      <c r="Y36" s="3265"/>
      <c r="Z36" s="3266"/>
      <c r="AA36" s="3266"/>
      <c r="AB36" s="3265"/>
      <c r="AC36" s="3265">
        <v>-6.3</v>
      </c>
      <c r="AD36" s="3265">
        <v>-185</v>
      </c>
      <c r="AE36" s="3265"/>
      <c r="AF36" s="3265"/>
      <c r="AG36" s="3265"/>
      <c r="AH36" s="3265"/>
      <c r="AI36" s="3265"/>
      <c r="AJ36" s="3265">
        <v>-80</v>
      </c>
      <c r="AK36" s="3265">
        <v>1.6</v>
      </c>
      <c r="AL36" s="3265">
        <v>9.3000000000000007</v>
      </c>
      <c r="AM36" s="3265">
        <v>384</v>
      </c>
      <c r="AN36" s="3265">
        <v>1</v>
      </c>
      <c r="AO36" s="3265">
        <v>4</v>
      </c>
      <c r="AP36" s="3265">
        <v>0</v>
      </c>
      <c r="AQ36" s="3265"/>
      <c r="AR36" s="3265"/>
      <c r="AS36" s="3265"/>
      <c r="AT36" s="3265"/>
      <c r="AU36" s="3265"/>
      <c r="AV36" s="3265"/>
      <c r="AW36" s="3265">
        <v>0.61499999999999999</v>
      </c>
      <c r="AX36" s="3265">
        <v>1.1999999999999999E-3</v>
      </c>
      <c r="AY36" s="3265">
        <v>0.53200000000000003</v>
      </c>
      <c r="AZ36" s="3267">
        <v>1.06E-3</v>
      </c>
      <c r="BA36" s="3265">
        <v>92.9</v>
      </c>
      <c r="BB36" s="3265">
        <v>0.246</v>
      </c>
      <c r="BC36" s="3265">
        <v>5.5999999999999995E-4</v>
      </c>
      <c r="BD36" s="3265">
        <v>8.8961000000000006</v>
      </c>
      <c r="BE36" s="3265">
        <v>2023.84</v>
      </c>
      <c r="BF36" s="3265">
        <v>39.19</v>
      </c>
      <c r="BG36" s="3265"/>
      <c r="BH36" s="3265"/>
      <c r="BI36" s="3265"/>
      <c r="BJ36" s="3265"/>
      <c r="BK36" s="3265"/>
      <c r="BL36" s="3265"/>
      <c r="BM36" s="3265"/>
      <c r="BN36" s="3265"/>
      <c r="BO36" s="3265"/>
      <c r="BP36" s="3265"/>
    </row>
    <row r="37" spans="1:68" ht="12.75" customHeight="1" x14ac:dyDescent="0.25">
      <c r="A37" s="3263" t="s">
        <v>4289</v>
      </c>
      <c r="B37" s="3265" t="s">
        <v>4290</v>
      </c>
      <c r="C37" s="3265" t="s">
        <v>842</v>
      </c>
      <c r="D37" s="3265">
        <v>1</v>
      </c>
      <c r="E37" s="3265"/>
      <c r="F37" s="3263" t="s">
        <v>4289</v>
      </c>
      <c r="G37" s="3265"/>
      <c r="H37" s="3265"/>
      <c r="I37" s="3265"/>
      <c r="J37" s="3265"/>
      <c r="K37" s="3265"/>
      <c r="L37" s="3265"/>
      <c r="M37" s="3265"/>
      <c r="N37" s="3265"/>
      <c r="O37" s="3265"/>
      <c r="P37" s="3265"/>
      <c r="Q37" s="3265"/>
      <c r="R37" s="3265"/>
      <c r="S37" s="3265"/>
      <c r="T37" s="3268">
        <v>72.099999999999994</v>
      </c>
      <c r="U37" s="3268">
        <v>72</v>
      </c>
      <c r="V37" s="3268">
        <v>140</v>
      </c>
      <c r="W37" s="3268">
        <v>330</v>
      </c>
      <c r="X37" s="3268" t="s">
        <v>4457</v>
      </c>
      <c r="Y37" s="3268"/>
      <c r="Z37" s="3268"/>
      <c r="AA37" s="3268"/>
      <c r="AB37" s="3268"/>
      <c r="AC37" s="3268">
        <v>63.4</v>
      </c>
      <c r="AD37" s="3268">
        <v>-129</v>
      </c>
      <c r="AE37" s="3268"/>
      <c r="AF37" s="3268"/>
      <c r="AG37" s="3268"/>
      <c r="AH37" s="3268"/>
      <c r="AI37" s="3268"/>
      <c r="AJ37" s="3268">
        <v>-22</v>
      </c>
      <c r="AK37" s="3268">
        <v>1.5</v>
      </c>
      <c r="AL37" s="3268">
        <v>18.3</v>
      </c>
      <c r="AM37" s="3268">
        <v>439</v>
      </c>
      <c r="AN37" s="3268">
        <v>2</v>
      </c>
      <c r="AO37" s="3268">
        <v>3</v>
      </c>
      <c r="AP37" s="3268">
        <v>1</v>
      </c>
      <c r="AQ37" s="3268"/>
      <c r="AR37" s="3268"/>
      <c r="AS37" s="3265"/>
      <c r="AT37" s="3265"/>
      <c r="AU37" s="3265"/>
      <c r="AV37" s="3265"/>
      <c r="AW37" s="3265">
        <v>0.84599999999999997</v>
      </c>
      <c r="AX37" s="3265">
        <v>1.1800000000000001E-3</v>
      </c>
      <c r="AY37" s="3265">
        <v>0.48099999999999998</v>
      </c>
      <c r="AZ37" s="3265">
        <v>7.85E-4</v>
      </c>
      <c r="BA37" s="3265">
        <v>112.2</v>
      </c>
      <c r="BB37" s="3265">
        <v>0.193</v>
      </c>
      <c r="BC37" s="3265">
        <v>2.0000000000000001E-4</v>
      </c>
      <c r="BD37" s="3265">
        <v>9.4931000000000001</v>
      </c>
      <c r="BE37" s="3265">
        <v>2738.88</v>
      </c>
      <c r="BF37" s="3265">
        <v>48.07</v>
      </c>
      <c r="BG37" s="3265"/>
      <c r="BH37" s="3265"/>
      <c r="BI37" s="3265"/>
      <c r="BJ37" s="3265"/>
      <c r="BK37" s="3265"/>
      <c r="BL37" s="3265"/>
      <c r="BM37" s="3265"/>
      <c r="BN37" s="3265"/>
      <c r="BO37" s="3265"/>
      <c r="BP37" s="3265"/>
    </row>
    <row r="38" spans="1:68" ht="12.75" customHeight="1" x14ac:dyDescent="0.25">
      <c r="A38" s="3263" t="s">
        <v>21</v>
      </c>
      <c r="B38" s="3265" t="s">
        <v>1273</v>
      </c>
      <c r="C38" s="3265" t="s">
        <v>842</v>
      </c>
      <c r="D38" s="3265">
        <v>1</v>
      </c>
      <c r="E38" s="3265"/>
      <c r="F38" s="3263" t="s">
        <v>21</v>
      </c>
      <c r="G38" s="3265"/>
      <c r="H38" s="3265"/>
      <c r="I38" s="3265"/>
      <c r="J38" s="3265"/>
      <c r="K38" s="3265"/>
      <c r="L38" s="3265"/>
      <c r="M38" s="3265"/>
      <c r="N38" s="3265"/>
      <c r="O38" s="3265"/>
      <c r="P38" s="3265"/>
      <c r="Q38" s="3265"/>
      <c r="R38" s="3265"/>
      <c r="S38" s="3265"/>
      <c r="T38" s="3265">
        <v>44.01</v>
      </c>
      <c r="U38" s="3265"/>
      <c r="V38" s="3265"/>
      <c r="W38" s="3265"/>
      <c r="X38" s="3265"/>
      <c r="Y38" s="3265"/>
      <c r="Z38" s="3266"/>
      <c r="AA38" s="3266"/>
      <c r="AB38" s="3265"/>
      <c r="AC38" s="3265">
        <v>-87.8</v>
      </c>
      <c r="AD38" s="3265">
        <v>-56.6</v>
      </c>
      <c r="AE38" s="3265"/>
      <c r="AF38" s="3265"/>
      <c r="AG38" s="3265"/>
      <c r="AH38" s="3265"/>
      <c r="AI38" s="3265"/>
      <c r="AJ38" s="3265"/>
      <c r="AK38" s="3265"/>
      <c r="AL38" s="3265"/>
      <c r="AM38" s="3265"/>
      <c r="AN38" s="3265">
        <v>0</v>
      </c>
      <c r="AO38" s="3265">
        <v>0</v>
      </c>
      <c r="AP38" s="3265">
        <v>0</v>
      </c>
      <c r="AQ38" s="3265"/>
      <c r="AR38" s="3265"/>
      <c r="AS38" s="3265"/>
      <c r="AT38" s="3265"/>
      <c r="AU38" s="3265"/>
      <c r="AV38" s="3265"/>
      <c r="AW38" s="3265">
        <v>0.97399999999999998</v>
      </c>
      <c r="AX38" s="3265">
        <v>4.1250000000000002E-3</v>
      </c>
      <c r="AY38" s="3265">
        <v>0.47299999999999998</v>
      </c>
      <c r="AZ38" s="3267">
        <v>0</v>
      </c>
      <c r="BA38" s="3265">
        <v>60.1</v>
      </c>
      <c r="BB38" s="3265">
        <v>0.39500000000000002</v>
      </c>
      <c r="BC38" s="3265">
        <v>1.25E-4</v>
      </c>
      <c r="BD38" s="3265">
        <v>9.8097999999999992</v>
      </c>
      <c r="BE38" s="3265">
        <v>1590.96</v>
      </c>
      <c r="BF38" s="3265">
        <v>21.73</v>
      </c>
      <c r="BG38" s="3265"/>
      <c r="BH38" s="3265"/>
      <c r="BI38" s="3265"/>
      <c r="BJ38" s="3265"/>
      <c r="BK38" s="3265"/>
      <c r="BL38" s="3265"/>
      <c r="BM38" s="3265"/>
      <c r="BN38" s="3265"/>
      <c r="BO38" s="3265"/>
      <c r="BP38" s="3265"/>
    </row>
    <row r="39" spans="1:68" ht="12.75" customHeight="1" x14ac:dyDescent="0.25">
      <c r="A39" s="3282" t="s">
        <v>1993</v>
      </c>
      <c r="B39" s="3265" t="s">
        <v>1274</v>
      </c>
      <c r="C39" s="3265" t="s">
        <v>842</v>
      </c>
      <c r="D39" s="3265">
        <v>1</v>
      </c>
      <c r="E39" s="3265"/>
      <c r="F39" s="3282" t="s">
        <v>1993</v>
      </c>
      <c r="G39" s="3265"/>
      <c r="H39" s="3265"/>
      <c r="I39" s="3265"/>
      <c r="J39" s="3265"/>
      <c r="K39" s="3265"/>
      <c r="L39" s="3265"/>
      <c r="M39" s="3265"/>
      <c r="N39" s="3265"/>
      <c r="O39" s="3265"/>
      <c r="P39" s="3265"/>
      <c r="Q39" s="3265"/>
      <c r="R39" s="3265"/>
      <c r="S39" s="3265"/>
      <c r="T39" s="3265">
        <v>76.14</v>
      </c>
      <c r="U39" s="3265">
        <v>1</v>
      </c>
      <c r="V39" s="3265">
        <v>50</v>
      </c>
      <c r="W39" s="3265">
        <v>500</v>
      </c>
      <c r="X39" s="3265" t="s">
        <v>4259</v>
      </c>
      <c r="Y39" s="3265"/>
      <c r="Z39" s="3266"/>
      <c r="AA39" s="3266"/>
      <c r="AB39" s="3265"/>
      <c r="AC39" s="3265">
        <v>46.2</v>
      </c>
      <c r="AD39" s="3265">
        <v>-112</v>
      </c>
      <c r="AE39" s="3265"/>
      <c r="AF39" s="3265"/>
      <c r="AG39" s="3265"/>
      <c r="AH39" s="3265"/>
      <c r="AI39" s="3265"/>
      <c r="AJ39" s="3265">
        <v>-30</v>
      </c>
      <c r="AK39" s="3265">
        <v>1.3</v>
      </c>
      <c r="AL39" s="3265"/>
      <c r="AM39" s="3265"/>
      <c r="AN39" s="3265">
        <v>2</v>
      </c>
      <c r="AO39" s="3265">
        <v>3</v>
      </c>
      <c r="AP39" s="3265">
        <v>0</v>
      </c>
      <c r="AQ39" s="3265" t="s">
        <v>141</v>
      </c>
      <c r="AR39" s="3265" t="s">
        <v>138</v>
      </c>
      <c r="AS39" s="3265"/>
      <c r="AT39" s="3265"/>
      <c r="AU39" s="3265"/>
      <c r="AV39" s="3265" t="s">
        <v>160</v>
      </c>
      <c r="AW39" s="3265">
        <v>1.2909999999999999</v>
      </c>
      <c r="AX39" s="3265">
        <v>1.686E-3</v>
      </c>
      <c r="AY39" s="3265">
        <v>0.253</v>
      </c>
      <c r="AZ39" s="3267">
        <v>1.864E-4</v>
      </c>
      <c r="BA39" s="3265">
        <v>89.7</v>
      </c>
      <c r="BB39" s="3265">
        <v>0.12239700000000001</v>
      </c>
      <c r="BC39" s="3265">
        <v>2.1499999999999999E-4</v>
      </c>
      <c r="BD39" s="3265">
        <v>9.6643000000000008</v>
      </c>
      <c r="BE39" s="3265">
        <v>2846.65</v>
      </c>
      <c r="BF39" s="3265">
        <v>25.12</v>
      </c>
      <c r="BG39" s="3265"/>
      <c r="BH39" s="3265"/>
      <c r="BI39" s="3265"/>
      <c r="BJ39" s="3265"/>
      <c r="BK39" s="3265"/>
      <c r="BL39" s="3265"/>
      <c r="BM39" s="3265"/>
      <c r="BN39" s="3265"/>
      <c r="BO39" s="3265"/>
      <c r="BP39" s="3265"/>
    </row>
    <row r="40" spans="1:68" ht="12.75" customHeight="1" x14ac:dyDescent="0.25">
      <c r="A40" s="3263" t="s">
        <v>1753</v>
      </c>
      <c r="B40" s="3264" t="s">
        <v>1491</v>
      </c>
      <c r="C40" s="3265" t="s">
        <v>842</v>
      </c>
      <c r="D40" s="3265">
        <v>1</v>
      </c>
      <c r="E40" s="3265"/>
      <c r="F40" s="3263" t="s">
        <v>1753</v>
      </c>
      <c r="G40" s="3265"/>
      <c r="H40" s="3265"/>
      <c r="I40" s="3265"/>
      <c r="J40" s="3265"/>
      <c r="K40" s="3265"/>
      <c r="L40" s="3265"/>
      <c r="M40" s="3265"/>
      <c r="N40" s="3265"/>
      <c r="O40" s="3265"/>
      <c r="P40" s="3265"/>
      <c r="Q40" s="3265"/>
      <c r="R40" s="3265"/>
      <c r="S40" s="3265"/>
      <c r="T40" s="3265">
        <v>28</v>
      </c>
      <c r="U40" s="3265">
        <v>200</v>
      </c>
      <c r="V40" s="3265">
        <v>350</v>
      </c>
      <c r="W40" s="3265">
        <v>500</v>
      </c>
      <c r="X40" s="3265" t="s">
        <v>4259</v>
      </c>
      <c r="Y40" s="3265" t="s">
        <v>289</v>
      </c>
      <c r="Z40" s="3266"/>
      <c r="AA40" s="3266"/>
      <c r="AB40" s="3265"/>
      <c r="AC40" s="3265">
        <v>-191.5</v>
      </c>
      <c r="AD40" s="3265"/>
      <c r="AE40" s="3265"/>
      <c r="AF40" s="3265"/>
      <c r="AG40" s="3265"/>
      <c r="AH40" s="3265"/>
      <c r="AI40" s="3265"/>
      <c r="AJ40" s="3265">
        <v>-210</v>
      </c>
      <c r="AK40" s="3265">
        <v>12.5</v>
      </c>
      <c r="AL40" s="3265"/>
      <c r="AM40" s="3265"/>
      <c r="AN40" s="3265">
        <v>2</v>
      </c>
      <c r="AO40" s="3265">
        <v>4</v>
      </c>
      <c r="AP40" s="3265">
        <v>0</v>
      </c>
      <c r="AQ40" s="3265" t="s">
        <v>139</v>
      </c>
      <c r="AR40" s="3265" t="s">
        <v>140</v>
      </c>
      <c r="AS40" s="3265"/>
      <c r="AT40" s="3265"/>
      <c r="AU40" s="3265"/>
      <c r="AV40" s="3265"/>
      <c r="AW40" s="3265">
        <v>0.7</v>
      </c>
      <c r="AX40" s="3265">
        <v>0</v>
      </c>
      <c r="AY40" s="3265">
        <v>0.6</v>
      </c>
      <c r="AZ40" s="3267">
        <v>0</v>
      </c>
      <c r="BA40" s="3265">
        <v>50</v>
      </c>
      <c r="BB40" s="3265">
        <v>0</v>
      </c>
      <c r="BC40" s="3265">
        <v>0</v>
      </c>
      <c r="BD40" s="3265">
        <v>9.1683287797779123</v>
      </c>
      <c r="BE40" s="3265">
        <v>748.89300367290514</v>
      </c>
      <c r="BF40" s="3265">
        <v>0</v>
      </c>
      <c r="BG40" s="3265"/>
      <c r="BH40" s="3265"/>
      <c r="BI40" s="3265"/>
      <c r="BJ40" s="3265"/>
      <c r="BK40" s="3265"/>
      <c r="BL40" s="3265"/>
      <c r="BM40" s="3265"/>
      <c r="BN40" s="3265"/>
      <c r="BO40" s="3265"/>
      <c r="BP40" s="3265"/>
    </row>
    <row r="41" spans="1:68" ht="12.75" customHeight="1" x14ac:dyDescent="0.25">
      <c r="A41" s="3263" t="s">
        <v>595</v>
      </c>
      <c r="B41" s="3264" t="s">
        <v>1580</v>
      </c>
      <c r="C41" s="3265" t="s">
        <v>842</v>
      </c>
      <c r="D41" s="3265">
        <v>1</v>
      </c>
      <c r="E41" s="3265"/>
      <c r="F41" s="3263" t="s">
        <v>595</v>
      </c>
      <c r="G41" s="3265"/>
      <c r="H41" s="3265"/>
      <c r="I41" s="3265"/>
      <c r="J41" s="3265"/>
      <c r="K41" s="3265"/>
      <c r="L41" s="3265"/>
      <c r="M41" s="3265"/>
      <c r="N41" s="3265"/>
      <c r="O41" s="3265"/>
      <c r="P41" s="3265"/>
      <c r="Q41" s="3265"/>
      <c r="R41" s="3265"/>
      <c r="S41" s="3265"/>
      <c r="T41" s="3265">
        <v>153.82</v>
      </c>
      <c r="U41" s="3265">
        <v>20</v>
      </c>
      <c r="V41" s="3265">
        <v>100</v>
      </c>
      <c r="W41" s="3265">
        <v>750</v>
      </c>
      <c r="X41" s="3265" t="s">
        <v>4259</v>
      </c>
      <c r="Y41" s="3265"/>
      <c r="Z41" s="3266"/>
      <c r="AA41" s="3266"/>
      <c r="AB41" s="3265"/>
      <c r="AC41" s="3265">
        <v>76.8</v>
      </c>
      <c r="AD41" s="3265">
        <v>-22.8</v>
      </c>
      <c r="AE41" s="3265"/>
      <c r="AF41" s="3265"/>
      <c r="AG41" s="3265"/>
      <c r="AH41" s="3265"/>
      <c r="AI41" s="3265"/>
      <c r="AJ41" s="3265"/>
      <c r="AK41" s="3265"/>
      <c r="AL41" s="3265"/>
      <c r="AM41" s="3265"/>
      <c r="AN41" s="3265">
        <v>3</v>
      </c>
      <c r="AO41" s="3265">
        <v>0</v>
      </c>
      <c r="AP41" s="3265">
        <v>0</v>
      </c>
      <c r="AQ41" s="3265"/>
      <c r="AR41" s="3265"/>
      <c r="AS41" s="3265" t="s">
        <v>1091</v>
      </c>
      <c r="AT41" s="3265" t="s">
        <v>599</v>
      </c>
      <c r="AU41" s="3265"/>
      <c r="AV41" s="3265" t="s">
        <v>160</v>
      </c>
      <c r="AW41" s="3265">
        <v>1.63</v>
      </c>
      <c r="AX41" s="3265">
        <v>2.0929999999999998E-3</v>
      </c>
      <c r="AY41" s="3265">
        <v>0.193</v>
      </c>
      <c r="AZ41" s="3267">
        <v>1.695E-4</v>
      </c>
      <c r="BA41" s="3265">
        <v>52.2</v>
      </c>
      <c r="BB41" s="3265">
        <v>6.5100000000000005E-2</v>
      </c>
      <c r="BC41" s="3265">
        <v>1.45E-4</v>
      </c>
      <c r="BD41" s="3265">
        <v>9.2032000000000007</v>
      </c>
      <c r="BE41" s="3265">
        <v>2784.92</v>
      </c>
      <c r="BF41" s="3265">
        <v>47.34</v>
      </c>
      <c r="BG41" s="3265"/>
      <c r="BH41" s="3265"/>
      <c r="BI41" s="3265"/>
      <c r="BJ41" s="3265"/>
      <c r="BK41" s="3265"/>
      <c r="BL41" s="3265"/>
      <c r="BM41" s="3265"/>
      <c r="BN41" s="3265"/>
      <c r="BO41" s="3265"/>
      <c r="BP41" s="3265"/>
    </row>
    <row r="42" spans="1:68" ht="12.75" customHeight="1" x14ac:dyDescent="0.25">
      <c r="A42" s="3263" t="s">
        <v>1389</v>
      </c>
      <c r="B42" s="3264" t="s">
        <v>1581</v>
      </c>
      <c r="C42" s="3265" t="s">
        <v>842</v>
      </c>
      <c r="D42" s="3265">
        <v>1</v>
      </c>
      <c r="E42" s="3265"/>
      <c r="F42" s="3263" t="s">
        <v>1389</v>
      </c>
      <c r="G42" s="3265"/>
      <c r="H42" s="3265"/>
      <c r="I42" s="3265"/>
      <c r="J42" s="3265"/>
      <c r="K42" s="3265"/>
      <c r="L42" s="3265"/>
      <c r="M42" s="3265"/>
      <c r="N42" s="3265"/>
      <c r="O42" s="3265"/>
      <c r="P42" s="3265"/>
      <c r="Q42" s="3265"/>
      <c r="R42" s="3265"/>
      <c r="S42" s="3265"/>
      <c r="T42" s="3265">
        <v>70.91</v>
      </c>
      <c r="U42" s="3265">
        <v>1</v>
      </c>
      <c r="V42" s="3265">
        <v>3</v>
      </c>
      <c r="W42" s="3265">
        <v>20</v>
      </c>
      <c r="X42" s="3265" t="s">
        <v>4259</v>
      </c>
      <c r="Y42" s="3265" t="s">
        <v>289</v>
      </c>
      <c r="Z42" s="3266">
        <v>74.3</v>
      </c>
      <c r="AA42" s="3266">
        <v>404.3</v>
      </c>
      <c r="AB42" s="3265">
        <v>2.75</v>
      </c>
      <c r="AC42" s="3265">
        <v>-34</v>
      </c>
      <c r="AD42" s="3265">
        <v>-101</v>
      </c>
      <c r="AE42" s="3265"/>
      <c r="AF42" s="3265"/>
      <c r="AG42" s="3265"/>
      <c r="AH42" s="3265"/>
      <c r="AI42" s="3265"/>
      <c r="AJ42" s="3265"/>
      <c r="AK42" s="3265"/>
      <c r="AL42" s="3265"/>
      <c r="AM42" s="3265"/>
      <c r="AN42" s="3265">
        <v>4</v>
      </c>
      <c r="AO42" s="3265">
        <v>0</v>
      </c>
      <c r="AP42" s="3265">
        <v>0</v>
      </c>
      <c r="AQ42" s="3265"/>
      <c r="AR42" s="3265"/>
      <c r="AS42" s="3265"/>
      <c r="AT42" s="3265"/>
      <c r="AU42" s="3265"/>
      <c r="AV42" s="3265" t="s">
        <v>160</v>
      </c>
      <c r="AW42" s="3265">
        <v>1.4610000000000001</v>
      </c>
      <c r="AX42" s="3265">
        <v>3.0660000000000001E-3</v>
      </c>
      <c r="AY42" s="3265">
        <v>0.23599999999999999</v>
      </c>
      <c r="AZ42" s="3267">
        <v>3.9599999999999998E-4</v>
      </c>
      <c r="BA42" s="3265">
        <v>64.099999999999994</v>
      </c>
      <c r="BB42" s="3265">
        <v>0.16020000000000001</v>
      </c>
      <c r="BC42" s="3265">
        <v>5.9400000000000002E-4</v>
      </c>
      <c r="BD42" s="3265">
        <v>9.5018999999999991</v>
      </c>
      <c r="BE42" s="3265">
        <v>2046.46</v>
      </c>
      <c r="BF42" s="3265">
        <v>23.81</v>
      </c>
      <c r="BG42" s="3265"/>
      <c r="BH42" s="3265"/>
      <c r="BI42" s="3265"/>
      <c r="BJ42" s="3265"/>
      <c r="BK42" s="3265"/>
      <c r="BL42" s="3265"/>
      <c r="BM42" s="3265"/>
      <c r="BN42" s="3265"/>
      <c r="BO42" s="3265"/>
      <c r="BP42" s="3265"/>
    </row>
    <row r="43" spans="1:68" ht="12.75" customHeight="1" x14ac:dyDescent="0.25">
      <c r="A43" s="3263" t="s">
        <v>4291</v>
      </c>
      <c r="B43" s="3265" t="s">
        <v>4292</v>
      </c>
      <c r="C43" s="3265" t="s">
        <v>842</v>
      </c>
      <c r="D43" s="3265">
        <v>1</v>
      </c>
      <c r="E43" s="3265"/>
      <c r="F43" s="3263" t="s">
        <v>4291</v>
      </c>
      <c r="G43" s="3265"/>
      <c r="H43" s="3265"/>
      <c r="I43" s="3265"/>
      <c r="J43" s="3265"/>
      <c r="K43" s="3265"/>
      <c r="L43" s="3265"/>
      <c r="M43" s="3265"/>
      <c r="N43" s="3265"/>
      <c r="O43" s="3265"/>
      <c r="P43" s="3265"/>
      <c r="Q43" s="3265"/>
      <c r="R43" s="3265"/>
      <c r="S43" s="3265"/>
      <c r="T43" s="3268">
        <v>76.5</v>
      </c>
      <c r="U43" s="3268">
        <v>39</v>
      </c>
      <c r="V43" s="3268">
        <v>430</v>
      </c>
      <c r="W43" s="3268">
        <v>3000</v>
      </c>
      <c r="X43" s="3268" t="s">
        <v>4458</v>
      </c>
      <c r="Y43" s="3268"/>
      <c r="Z43" s="3268"/>
      <c r="AA43" s="3268"/>
      <c r="AB43" s="3268"/>
      <c r="AC43" s="3268">
        <v>22.2</v>
      </c>
      <c r="AD43" s="3268">
        <v>-137</v>
      </c>
      <c r="AE43" s="3268"/>
      <c r="AF43" s="3268"/>
      <c r="AG43" s="3268"/>
      <c r="AH43" s="3268"/>
      <c r="AI43" s="3268"/>
      <c r="AJ43" s="3268">
        <v>-34</v>
      </c>
      <c r="AK43" s="3268">
        <v>3.4</v>
      </c>
      <c r="AL43" s="3268">
        <v>16</v>
      </c>
      <c r="AM43" s="3268"/>
      <c r="AN43" s="3268">
        <v>2</v>
      </c>
      <c r="AO43" s="3268">
        <v>4</v>
      </c>
      <c r="AP43" s="3268">
        <v>0</v>
      </c>
      <c r="AQ43" s="3268"/>
      <c r="AR43" s="3268"/>
      <c r="AS43" s="3265"/>
      <c r="AT43" s="3265"/>
      <c r="AU43" s="3265"/>
      <c r="AV43" s="3265"/>
      <c r="AW43" s="3265">
        <v>0.92300000000000004</v>
      </c>
      <c r="AX43" s="3265">
        <v>1.485E-3</v>
      </c>
      <c r="AY43" s="3265">
        <v>0.372</v>
      </c>
      <c r="AZ43" s="3265">
        <v>6.9999999999999999E-4</v>
      </c>
      <c r="BA43" s="3265">
        <v>83.9</v>
      </c>
      <c r="BB43" s="3265">
        <v>0.16850000000000001</v>
      </c>
      <c r="BC43" s="3265">
        <v>2.8499999999999999E-4</v>
      </c>
      <c r="BD43" s="3265">
        <v>10.163399999999999</v>
      </c>
      <c r="BE43" s="3265">
        <v>2827.36</v>
      </c>
      <c r="BF43" s="3265">
        <v>17.010000000000002</v>
      </c>
      <c r="BG43" s="3265"/>
      <c r="BH43" s="3265"/>
      <c r="BI43" s="3265"/>
      <c r="BJ43" s="3265"/>
      <c r="BK43" s="3265"/>
      <c r="BL43" s="3265"/>
      <c r="BM43" s="3265"/>
      <c r="BN43" s="3265"/>
      <c r="BO43" s="3265"/>
      <c r="BP43" s="3265"/>
    </row>
    <row r="44" spans="1:68" ht="12.75" customHeight="1" x14ac:dyDescent="0.25">
      <c r="A44" s="3263" t="s">
        <v>4293</v>
      </c>
      <c r="B44" s="3265" t="s">
        <v>4294</v>
      </c>
      <c r="C44" s="3265" t="s">
        <v>842</v>
      </c>
      <c r="D44" s="3265">
        <v>1</v>
      </c>
      <c r="E44" s="3265"/>
      <c r="F44" s="3263" t="s">
        <v>4293</v>
      </c>
      <c r="G44" s="3265"/>
      <c r="H44" s="3265"/>
      <c r="I44" s="3265"/>
      <c r="J44" s="3265"/>
      <c r="K44" s="3265"/>
      <c r="L44" s="3265"/>
      <c r="M44" s="3265"/>
      <c r="N44" s="3265"/>
      <c r="O44" s="3265"/>
      <c r="P44" s="3265"/>
      <c r="Q44" s="3265"/>
      <c r="R44" s="3265"/>
      <c r="S44" s="3265"/>
      <c r="T44" s="3268">
        <v>94.5</v>
      </c>
      <c r="U44" s="3268">
        <v>1.5</v>
      </c>
      <c r="V44" s="3268">
        <v>6.5</v>
      </c>
      <c r="W44" s="3268">
        <v>15</v>
      </c>
      <c r="X44" s="3268" t="s">
        <v>4459</v>
      </c>
      <c r="Y44" s="3265" t="s">
        <v>289</v>
      </c>
      <c r="Z44" s="3268"/>
      <c r="AA44" s="3268"/>
      <c r="AB44" s="3268"/>
      <c r="AC44" s="3268">
        <v>189</v>
      </c>
      <c r="AD44" s="3268"/>
      <c r="AE44" s="3268"/>
      <c r="AF44" s="3268"/>
      <c r="AG44" s="3268"/>
      <c r="AH44" s="3268"/>
      <c r="AI44" s="3268"/>
      <c r="AJ44" s="3268"/>
      <c r="AK44" s="3268"/>
      <c r="AL44" s="3268"/>
      <c r="AM44" s="3268"/>
      <c r="AN44" s="3268">
        <v>4</v>
      </c>
      <c r="AO44" s="3268">
        <v>0</v>
      </c>
      <c r="AP44" s="3268">
        <v>1</v>
      </c>
      <c r="AQ44" s="3268" t="s">
        <v>139</v>
      </c>
      <c r="AR44" s="3268" t="s">
        <v>138</v>
      </c>
      <c r="AS44" s="3265" t="s">
        <v>1169</v>
      </c>
      <c r="AT44" s="3265" t="s">
        <v>1169</v>
      </c>
      <c r="AU44" s="3265"/>
      <c r="AV44" s="3265" t="s">
        <v>158</v>
      </c>
      <c r="AW44" s="3265">
        <v>1.4520999999999999</v>
      </c>
      <c r="AX44" s="3265">
        <v>1.3389999999999999E-3</v>
      </c>
      <c r="AY44" s="3265">
        <v>0.3659</v>
      </c>
      <c r="AZ44" s="3265">
        <v>4.5080000000000001E-4</v>
      </c>
      <c r="BA44" s="3265">
        <v>159.88</v>
      </c>
      <c r="BB44" s="3265">
        <v>0.1711</v>
      </c>
      <c r="BC44" s="3265"/>
      <c r="BD44" s="3265">
        <v>15.761699999999999</v>
      </c>
      <c r="BE44" s="3265">
        <v>7206.13</v>
      </c>
      <c r="BF44" s="3265"/>
      <c r="BG44" s="3265"/>
      <c r="BH44" s="3265"/>
      <c r="BI44" s="3265"/>
      <c r="BJ44" s="3265"/>
      <c r="BK44" s="3265"/>
      <c r="BL44" s="3265"/>
      <c r="BM44" s="3265"/>
      <c r="BN44" s="3265"/>
      <c r="BO44" s="3265"/>
      <c r="BP44" s="3265"/>
    </row>
    <row r="45" spans="1:68" ht="12.75" customHeight="1" x14ac:dyDescent="0.25">
      <c r="A45" s="3263" t="s">
        <v>1606</v>
      </c>
      <c r="B45" s="3264" t="s">
        <v>1582</v>
      </c>
      <c r="C45" s="3265" t="s">
        <v>842</v>
      </c>
      <c r="D45" s="3265">
        <v>1</v>
      </c>
      <c r="E45" s="3265"/>
      <c r="F45" s="3263" t="s">
        <v>1606</v>
      </c>
      <c r="G45" s="3265"/>
      <c r="H45" s="3265"/>
      <c r="I45" s="3265"/>
      <c r="J45" s="3265"/>
      <c r="K45" s="3265"/>
      <c r="L45" s="3265"/>
      <c r="M45" s="3265"/>
      <c r="N45" s="3265"/>
      <c r="O45" s="3265"/>
      <c r="P45" s="3265"/>
      <c r="Q45" s="3265"/>
      <c r="R45" s="3265"/>
      <c r="S45" s="3265"/>
      <c r="T45" s="3265">
        <v>112.94</v>
      </c>
      <c r="U45" s="3265">
        <v>0.05</v>
      </c>
      <c r="V45" s="3265">
        <v>0.5</v>
      </c>
      <c r="W45" s="3265">
        <v>10</v>
      </c>
      <c r="X45" s="3265" t="s">
        <v>4259</v>
      </c>
      <c r="Y45" s="3265" t="s">
        <v>289</v>
      </c>
      <c r="Z45" s="3266"/>
      <c r="AA45" s="3266"/>
      <c r="AB45" s="3265"/>
      <c r="AC45" s="3265">
        <v>106</v>
      </c>
      <c r="AD45" s="3265">
        <v>-21.8</v>
      </c>
      <c r="AE45" s="3265"/>
      <c r="AF45" s="3265"/>
      <c r="AG45" s="3265"/>
      <c r="AH45" s="3265"/>
      <c r="AI45" s="3265"/>
      <c r="AJ45" s="3265"/>
      <c r="AK45" s="3265"/>
      <c r="AL45" s="3265"/>
      <c r="AM45" s="3265"/>
      <c r="AN45" s="3265">
        <v>3</v>
      </c>
      <c r="AO45" s="3265">
        <v>0</v>
      </c>
      <c r="AP45" s="3265">
        <v>1</v>
      </c>
      <c r="AQ45" s="3265" t="s">
        <v>139</v>
      </c>
      <c r="AR45" s="3265" t="s">
        <v>138</v>
      </c>
      <c r="AS45" s="3265" t="s">
        <v>1514</v>
      </c>
      <c r="AT45" s="3265"/>
      <c r="AU45" s="3265"/>
      <c r="AV45" s="3265" t="s">
        <v>159</v>
      </c>
      <c r="AW45" s="3265">
        <v>1.4470000000000001</v>
      </c>
      <c r="AX45" s="3265">
        <v>1.7390000000000001E-3</v>
      </c>
      <c r="AY45" s="3265">
        <v>0.27400000000000002</v>
      </c>
      <c r="AZ45" s="3267">
        <v>3.5649999999999999E-4</v>
      </c>
      <c r="BA45" s="3265">
        <v>89.6</v>
      </c>
      <c r="BB45" s="3265">
        <v>0.10903599999999999</v>
      </c>
      <c r="BC45" s="3265">
        <v>1.8900000000000001E-4</v>
      </c>
      <c r="BD45" s="3265">
        <v>10.0885</v>
      </c>
      <c r="BE45" s="3265">
        <v>3251.41</v>
      </c>
      <c r="BF45" s="3265">
        <v>57.36</v>
      </c>
      <c r="BG45" s="3265"/>
      <c r="BH45" s="3265"/>
      <c r="BI45" s="3265"/>
      <c r="BJ45" s="3265"/>
      <c r="BK45" s="3265"/>
      <c r="BL45" s="3265"/>
      <c r="BM45" s="3265"/>
      <c r="BN45" s="3265"/>
      <c r="BO45" s="3265"/>
      <c r="BP45" s="3265"/>
    </row>
    <row r="46" spans="1:68" ht="12.75" customHeight="1" x14ac:dyDescent="0.25">
      <c r="A46" s="3263" t="s">
        <v>4295</v>
      </c>
      <c r="B46" s="3265" t="s">
        <v>4296</v>
      </c>
      <c r="C46" s="3265" t="s">
        <v>842</v>
      </c>
      <c r="D46" s="3265">
        <v>1</v>
      </c>
      <c r="E46" s="3265"/>
      <c r="F46" s="3263" t="s">
        <v>4295</v>
      </c>
      <c r="G46" s="3265"/>
      <c r="H46" s="3265"/>
      <c r="I46" s="3265"/>
      <c r="J46" s="3265"/>
      <c r="K46" s="3265"/>
      <c r="L46" s="3265"/>
      <c r="M46" s="3265"/>
      <c r="N46" s="3265"/>
      <c r="O46" s="3265"/>
      <c r="P46" s="3265"/>
      <c r="Q46" s="3265"/>
      <c r="R46" s="3265"/>
      <c r="S46" s="3265"/>
      <c r="T46" s="3268">
        <v>112.6</v>
      </c>
      <c r="U46" s="3268">
        <v>10</v>
      </c>
      <c r="V46" s="3268">
        <v>150</v>
      </c>
      <c r="W46" s="3268">
        <v>400</v>
      </c>
      <c r="X46" s="3268" t="s">
        <v>4457</v>
      </c>
      <c r="Y46" s="3268"/>
      <c r="Z46" s="3268"/>
      <c r="AA46" s="3268"/>
      <c r="AB46" s="3268"/>
      <c r="AC46" s="3268">
        <v>132</v>
      </c>
      <c r="AD46" s="3268">
        <v>-45.3</v>
      </c>
      <c r="AE46" s="3268"/>
      <c r="AF46" s="3268"/>
      <c r="AG46" s="3268"/>
      <c r="AH46" s="3268"/>
      <c r="AI46" s="3268"/>
      <c r="AJ46" s="3268">
        <v>27</v>
      </c>
      <c r="AK46" s="3268">
        <v>1.8</v>
      </c>
      <c r="AL46" s="3268">
        <v>9.6</v>
      </c>
      <c r="AM46" s="3268"/>
      <c r="AN46" s="3268">
        <v>3</v>
      </c>
      <c r="AO46" s="3268">
        <v>3</v>
      </c>
      <c r="AP46" s="3268">
        <v>0</v>
      </c>
      <c r="AQ46" s="3268" t="s">
        <v>139</v>
      </c>
      <c r="AR46" s="3268" t="s">
        <v>138</v>
      </c>
      <c r="AS46" s="3265"/>
      <c r="AT46" s="3265"/>
      <c r="AU46" s="3265"/>
      <c r="AV46" s="3265"/>
      <c r="AW46" s="3265">
        <v>1.131</v>
      </c>
      <c r="AX46" s="3265">
        <v>1.191E-3</v>
      </c>
      <c r="AY46" s="3265">
        <v>0.29699999999999999</v>
      </c>
      <c r="AZ46" s="3265">
        <v>6.2E-4</v>
      </c>
      <c r="BA46" s="3265">
        <v>89.7</v>
      </c>
      <c r="BB46" s="3265">
        <v>9.0499999999999997E-2</v>
      </c>
      <c r="BC46" s="3265">
        <v>1.55E-4</v>
      </c>
      <c r="BD46" s="3265">
        <v>9.6132000000000009</v>
      </c>
      <c r="BE46" s="3265">
        <v>3405.44</v>
      </c>
      <c r="BF46" s="3265">
        <v>51</v>
      </c>
      <c r="BG46" s="3265"/>
      <c r="BH46" s="3265"/>
      <c r="BI46" s="3265"/>
      <c r="BJ46" s="3265"/>
      <c r="BK46" s="3265"/>
      <c r="BL46" s="3265"/>
      <c r="BM46" s="3265"/>
      <c r="BN46" s="3265"/>
      <c r="BO46" s="3265"/>
      <c r="BP46" s="3265"/>
    </row>
    <row r="47" spans="1:68" ht="12.75" customHeight="1" x14ac:dyDescent="0.25">
      <c r="A47" s="3263" t="s">
        <v>3139</v>
      </c>
      <c r="B47" s="3264" t="s">
        <v>2949</v>
      </c>
      <c r="C47" s="3265" t="s">
        <v>842</v>
      </c>
      <c r="D47" s="3265">
        <v>1</v>
      </c>
      <c r="E47" s="3265"/>
      <c r="F47" s="3263" t="s">
        <v>3139</v>
      </c>
      <c r="G47" s="3265"/>
      <c r="H47" s="3265"/>
      <c r="I47" s="3265"/>
      <c r="J47" s="3265"/>
      <c r="K47" s="3265"/>
      <c r="L47" s="3265"/>
      <c r="M47" s="3265"/>
      <c r="N47" s="3265"/>
      <c r="O47" s="3265"/>
      <c r="P47" s="3265"/>
      <c r="Q47" s="3265"/>
      <c r="R47" s="3265"/>
      <c r="S47" s="3265"/>
      <c r="T47" s="3265">
        <v>86.47</v>
      </c>
      <c r="U47" s="3268">
        <v>1250</v>
      </c>
      <c r="V47" s="3268">
        <v>2100</v>
      </c>
      <c r="W47" s="3268">
        <v>2400</v>
      </c>
      <c r="X47" s="3265" t="s">
        <v>4459</v>
      </c>
      <c r="Y47" s="3265"/>
      <c r="Z47" s="3266"/>
      <c r="AA47" s="3266"/>
      <c r="AB47" s="3265"/>
      <c r="AC47" s="3265">
        <f>-40-8</f>
        <v>-48</v>
      </c>
      <c r="AD47" s="3265">
        <v>-157.4</v>
      </c>
      <c r="AE47" s="3265"/>
      <c r="AF47" s="3265"/>
      <c r="AG47" s="3265"/>
      <c r="AH47" s="3265"/>
      <c r="AI47" s="3265"/>
      <c r="AJ47" s="3265"/>
      <c r="AK47" s="3265"/>
      <c r="AL47" s="3265"/>
      <c r="AM47" s="3265"/>
      <c r="AN47" s="3265">
        <v>2</v>
      </c>
      <c r="AO47" s="3265">
        <v>0</v>
      </c>
      <c r="AP47" s="3265">
        <v>0</v>
      </c>
      <c r="AQ47" s="3265"/>
      <c r="AR47" s="3265"/>
      <c r="AS47" s="3265"/>
      <c r="AT47" s="3265"/>
      <c r="AU47" s="3265"/>
      <c r="AV47" s="3265"/>
      <c r="AW47" s="3265">
        <v>1.2669999999999999</v>
      </c>
      <c r="AX47" s="3265">
        <v>3.5699999999999998E-3</v>
      </c>
      <c r="AY47" s="3265">
        <v>0.30099999999999999</v>
      </c>
      <c r="AZ47" s="3267">
        <v>6.4000000000000005E-4</v>
      </c>
      <c r="BA47" s="3265">
        <v>48.6</v>
      </c>
      <c r="BB47" s="3265">
        <v>0.20979999999999999</v>
      </c>
      <c r="BC47" s="3265">
        <v>6.96E-4</v>
      </c>
      <c r="BD47" s="3265">
        <v>9.3157999999999994</v>
      </c>
      <c r="BE47" s="3265">
        <v>1825.17</v>
      </c>
      <c r="BF47" s="3265">
        <v>36.46</v>
      </c>
      <c r="BG47" s="3265"/>
      <c r="BH47" s="3265"/>
      <c r="BI47" s="3265"/>
      <c r="BJ47" s="3265"/>
      <c r="BK47" s="3265"/>
      <c r="BL47" s="3265"/>
      <c r="BM47" s="3265"/>
      <c r="BN47" s="3265"/>
      <c r="BO47" s="3265"/>
      <c r="BP47" s="3265"/>
    </row>
    <row r="48" spans="1:68" ht="12.75" customHeight="1" x14ac:dyDescent="0.25">
      <c r="A48" s="3282" t="s">
        <v>1583</v>
      </c>
      <c r="B48" s="3265" t="s">
        <v>1584</v>
      </c>
      <c r="C48" s="3265" t="s">
        <v>842</v>
      </c>
      <c r="D48" s="3265">
        <v>1</v>
      </c>
      <c r="E48" s="3265"/>
      <c r="F48" s="3282" t="s">
        <v>1583</v>
      </c>
      <c r="G48" s="3265"/>
      <c r="H48" s="3265"/>
      <c r="I48" s="3265"/>
      <c r="J48" s="3265"/>
      <c r="K48" s="3265"/>
      <c r="L48" s="3265"/>
      <c r="M48" s="3265"/>
      <c r="N48" s="3265"/>
      <c r="O48" s="3265"/>
      <c r="P48" s="3265"/>
      <c r="Q48" s="3265"/>
      <c r="R48" s="3265"/>
      <c r="S48" s="3265"/>
      <c r="T48" s="3265">
        <v>119.38</v>
      </c>
      <c r="U48" s="3265"/>
      <c r="V48" s="3265">
        <v>50</v>
      </c>
      <c r="W48" s="3265">
        <v>5000</v>
      </c>
      <c r="X48" s="3265" t="s">
        <v>4259</v>
      </c>
      <c r="Y48" s="3265"/>
      <c r="Z48" s="3266"/>
      <c r="AA48" s="3266"/>
      <c r="AB48" s="3265"/>
      <c r="AC48" s="3265">
        <v>61.2</v>
      </c>
      <c r="AD48" s="3265">
        <v>-63.5</v>
      </c>
      <c r="AE48" s="3265"/>
      <c r="AF48" s="3265"/>
      <c r="AG48" s="3265"/>
      <c r="AH48" s="3265"/>
      <c r="AI48" s="3265"/>
      <c r="AJ48" s="3265"/>
      <c r="AK48" s="3265"/>
      <c r="AL48" s="3265"/>
      <c r="AM48" s="3265"/>
      <c r="AN48" s="3265">
        <v>2</v>
      </c>
      <c r="AO48" s="3265">
        <v>0</v>
      </c>
      <c r="AP48" s="3265">
        <v>1</v>
      </c>
      <c r="AQ48" s="3265"/>
      <c r="AR48" s="3265"/>
      <c r="AS48" s="3265"/>
      <c r="AT48" s="3265"/>
      <c r="AU48" s="3265"/>
      <c r="AV48" s="3265" t="s">
        <v>159</v>
      </c>
      <c r="AW48" s="3265">
        <v>1.5209999999999999</v>
      </c>
      <c r="AX48" s="3265">
        <v>2.0950000000000001E-3</v>
      </c>
      <c r="AY48" s="3265">
        <v>0.22800000000000001</v>
      </c>
      <c r="AZ48" s="3267">
        <v>1.8100000000000001E-4</v>
      </c>
      <c r="BA48" s="3265">
        <v>65.3</v>
      </c>
      <c r="BB48" s="3265">
        <v>0.10451199999999999</v>
      </c>
      <c r="BC48" s="3265">
        <v>1.4100000000000001E-4</v>
      </c>
      <c r="BD48" s="3265">
        <v>9.4808000000000003</v>
      </c>
      <c r="BE48" s="3265">
        <v>2754.26</v>
      </c>
      <c r="BF48" s="3265">
        <v>43.82</v>
      </c>
      <c r="BG48" s="3265"/>
      <c r="BH48" s="3265"/>
      <c r="BI48" s="3265"/>
      <c r="BJ48" s="3265"/>
      <c r="BK48" s="3265"/>
      <c r="BL48" s="3265"/>
      <c r="BM48" s="3265"/>
      <c r="BN48" s="3265"/>
      <c r="BO48" s="3265"/>
      <c r="BP48" s="3265"/>
    </row>
    <row r="49" spans="1:68" ht="12.75" customHeight="1" x14ac:dyDescent="0.25">
      <c r="A49" s="3263" t="s">
        <v>819</v>
      </c>
      <c r="B49" s="3264" t="s">
        <v>1585</v>
      </c>
      <c r="C49" s="3265" t="s">
        <v>842</v>
      </c>
      <c r="D49" s="3265">
        <v>1</v>
      </c>
      <c r="E49" s="3265"/>
      <c r="F49" s="3263" t="s">
        <v>819</v>
      </c>
      <c r="G49" s="3265"/>
      <c r="H49" s="3265"/>
      <c r="I49" s="3265"/>
      <c r="J49" s="3265"/>
      <c r="K49" s="3265"/>
      <c r="L49" s="3265"/>
      <c r="M49" s="3265"/>
      <c r="N49" s="3265"/>
      <c r="O49" s="3265"/>
      <c r="P49" s="3265"/>
      <c r="Q49" s="3265"/>
      <c r="R49" s="3265"/>
      <c r="S49" s="3265"/>
      <c r="T49" s="3265">
        <v>80.510000000000005</v>
      </c>
      <c r="U49" s="3265"/>
      <c r="V49" s="3265">
        <v>1</v>
      </c>
      <c r="W49" s="3265">
        <v>10</v>
      </c>
      <c r="X49" s="3265" t="s">
        <v>4259</v>
      </c>
      <c r="Y49" s="3265" t="s">
        <v>289</v>
      </c>
      <c r="Z49" s="3266"/>
      <c r="AA49" s="3266"/>
      <c r="AB49" s="3291"/>
      <c r="AC49" s="3265">
        <v>59.5</v>
      </c>
      <c r="AD49" s="3265">
        <v>-103.5</v>
      </c>
      <c r="AE49" s="3265"/>
      <c r="AF49" s="3265"/>
      <c r="AG49" s="3265"/>
      <c r="AH49" s="3265"/>
      <c r="AI49" s="3265"/>
      <c r="AJ49" s="3265">
        <v>-18.2</v>
      </c>
      <c r="AK49" s="3265">
        <v>4.5</v>
      </c>
      <c r="AL49" s="3265"/>
      <c r="AM49" s="3265"/>
      <c r="AN49" s="3265">
        <v>3</v>
      </c>
      <c r="AO49" s="3265">
        <v>3</v>
      </c>
      <c r="AP49" s="3265">
        <v>0</v>
      </c>
      <c r="AQ49" s="3265" t="s">
        <v>139</v>
      </c>
      <c r="AR49" s="3265" t="s">
        <v>138</v>
      </c>
      <c r="AS49" s="3265"/>
      <c r="AT49" s="3265"/>
      <c r="AU49" s="3265"/>
      <c r="AV49" s="3265"/>
      <c r="AW49" s="3265">
        <v>1.0980000000000001</v>
      </c>
      <c r="AX49" s="3265">
        <v>1.72E-3</v>
      </c>
      <c r="AY49" s="3265">
        <v>0.36799999999999999</v>
      </c>
      <c r="AZ49" s="3267">
        <v>8.8000000000000003E-4</v>
      </c>
      <c r="BA49" s="3265">
        <v>95.3</v>
      </c>
      <c r="BB49" s="3265">
        <v>0.1472</v>
      </c>
      <c r="BC49" s="3265">
        <v>2.92E-4</v>
      </c>
      <c r="BD49" s="3265">
        <v>10.036899999999999</v>
      </c>
      <c r="BE49" s="3265">
        <v>3060.72</v>
      </c>
      <c r="BF49" s="3265">
        <v>27.27</v>
      </c>
      <c r="BG49" s="3265"/>
      <c r="BH49" s="3265"/>
      <c r="BI49" s="3265"/>
      <c r="BJ49" s="3265"/>
      <c r="BK49" s="3265"/>
      <c r="BL49" s="3265"/>
      <c r="BM49" s="3265"/>
      <c r="BN49" s="3265"/>
      <c r="BO49" s="3265"/>
      <c r="BP49" s="3265"/>
    </row>
    <row r="50" spans="1:68" ht="12.75" customHeight="1" x14ac:dyDescent="0.25">
      <c r="A50" s="3263" t="s">
        <v>3141</v>
      </c>
      <c r="B50" s="3264" t="s">
        <v>3140</v>
      </c>
      <c r="C50" s="3265" t="s">
        <v>842</v>
      </c>
      <c r="D50" s="3265">
        <v>1</v>
      </c>
      <c r="E50" s="3265"/>
      <c r="F50" s="3263" t="s">
        <v>3141</v>
      </c>
      <c r="G50" s="3265"/>
      <c r="H50" s="3265"/>
      <c r="I50" s="3265"/>
      <c r="J50" s="3265"/>
      <c r="K50" s="3265"/>
      <c r="L50" s="3265"/>
      <c r="M50" s="3265"/>
      <c r="N50" s="3265"/>
      <c r="O50" s="3265"/>
      <c r="P50" s="3265"/>
      <c r="Q50" s="3265"/>
      <c r="R50" s="3265"/>
      <c r="S50" s="3265"/>
      <c r="T50" s="3265">
        <v>154.47</v>
      </c>
      <c r="U50" s="3268">
        <v>3000</v>
      </c>
      <c r="V50" s="3268">
        <v>5700</v>
      </c>
      <c r="W50" s="3268">
        <v>34000</v>
      </c>
      <c r="X50" s="3265" t="s">
        <v>4459</v>
      </c>
      <c r="Y50" s="3265"/>
      <c r="Z50" s="3266"/>
      <c r="AA50" s="3266"/>
      <c r="AB50" s="3265"/>
      <c r="AC50" s="3265">
        <v>-39.1</v>
      </c>
      <c r="AD50" s="3265">
        <v>-99.2</v>
      </c>
      <c r="AE50" s="3265"/>
      <c r="AF50" s="3265"/>
      <c r="AG50" s="3265"/>
      <c r="AH50" s="3265"/>
      <c r="AI50" s="3265"/>
      <c r="AJ50" s="3265"/>
      <c r="AK50" s="3265"/>
      <c r="AL50" s="3265"/>
      <c r="AM50" s="3265"/>
      <c r="AN50" s="3265">
        <v>1</v>
      </c>
      <c r="AO50" s="3265">
        <v>0</v>
      </c>
      <c r="AP50" s="3265">
        <v>0</v>
      </c>
      <c r="AQ50" s="3265"/>
      <c r="AR50" s="3265"/>
      <c r="AS50" s="3265"/>
      <c r="AT50" s="3265"/>
      <c r="AU50" s="3265"/>
      <c r="AV50" s="3265"/>
      <c r="AW50" s="3265">
        <v>1.3959999999999999</v>
      </c>
      <c r="AX50" s="3265">
        <v>3.49E-3</v>
      </c>
      <c r="AY50" s="3265">
        <v>0.24399999999999999</v>
      </c>
      <c r="AZ50" s="3267">
        <v>4.1899999999999999E-4</v>
      </c>
      <c r="BA50" s="3265">
        <v>26.1</v>
      </c>
      <c r="BB50" s="3265">
        <v>0.1201</v>
      </c>
      <c r="BC50" s="3265">
        <v>2.3800000000000001E-4</v>
      </c>
      <c r="BD50" s="3265">
        <v>9.0284999999999993</v>
      </c>
      <c r="BE50" s="3265">
        <v>1816.53</v>
      </c>
      <c r="BF50" s="3265">
        <v>32.619999999999997</v>
      </c>
      <c r="BG50" s="3265"/>
      <c r="BH50" s="3265"/>
      <c r="BI50" s="3265"/>
      <c r="BJ50" s="3265"/>
      <c r="BK50" s="3265"/>
      <c r="BL50" s="3265"/>
      <c r="BM50" s="3265"/>
      <c r="BN50" s="3265"/>
      <c r="BO50" s="3265"/>
      <c r="BP50" s="3265"/>
    </row>
    <row r="51" spans="1:68" ht="12.75" customHeight="1" x14ac:dyDescent="0.25">
      <c r="A51" s="3263" t="s">
        <v>1607</v>
      </c>
      <c r="B51" s="3264" t="s">
        <v>1586</v>
      </c>
      <c r="C51" s="3265" t="s">
        <v>842</v>
      </c>
      <c r="D51" s="3265">
        <v>1</v>
      </c>
      <c r="E51" s="3265"/>
      <c r="F51" s="3263" t="s">
        <v>1607</v>
      </c>
      <c r="G51" s="3265"/>
      <c r="H51" s="3265"/>
      <c r="I51" s="3265"/>
      <c r="J51" s="3265"/>
      <c r="K51" s="3265"/>
      <c r="L51" s="3265"/>
      <c r="M51" s="3265"/>
      <c r="N51" s="3265"/>
      <c r="O51" s="3265"/>
      <c r="P51" s="3265"/>
      <c r="Q51" s="3265"/>
      <c r="R51" s="3265"/>
      <c r="S51" s="3265"/>
      <c r="T51" s="3265">
        <v>164.38</v>
      </c>
      <c r="U51" s="3265">
        <v>7.4999999999999997E-2</v>
      </c>
      <c r="V51" s="3265">
        <v>0.15</v>
      </c>
      <c r="W51" s="3265">
        <v>1.5</v>
      </c>
      <c r="X51" s="3265" t="s">
        <v>4259</v>
      </c>
      <c r="Y51" s="3265" t="s">
        <v>289</v>
      </c>
      <c r="Z51" s="3266"/>
      <c r="AA51" s="3266"/>
      <c r="AB51" s="3265"/>
      <c r="AC51" s="3265">
        <v>112</v>
      </c>
      <c r="AD51" s="3265">
        <v>-69.5</v>
      </c>
      <c r="AE51" s="3265"/>
      <c r="AF51" s="3265"/>
      <c r="AG51" s="3265"/>
      <c r="AH51" s="3265"/>
      <c r="AI51" s="3265"/>
      <c r="AJ51" s="3265"/>
      <c r="AK51" s="3265"/>
      <c r="AL51" s="3265"/>
      <c r="AM51" s="3265"/>
      <c r="AN51" s="3265">
        <v>4</v>
      </c>
      <c r="AO51" s="3265">
        <v>0</v>
      </c>
      <c r="AP51" s="3265">
        <v>3</v>
      </c>
      <c r="AQ51" s="3265"/>
      <c r="AR51" s="3265"/>
      <c r="AS51" s="3265"/>
      <c r="AT51" s="3265"/>
      <c r="AU51" s="3265"/>
      <c r="AV51" s="3265"/>
      <c r="AW51" s="3265">
        <v>1.69</v>
      </c>
      <c r="AX51" s="3265">
        <v>1.7099999999999999E-3</v>
      </c>
      <c r="AY51" s="3265">
        <v>0.19500000000000001</v>
      </c>
      <c r="AZ51" s="3267">
        <v>4.0000000000000002E-4</v>
      </c>
      <c r="BA51" s="3265">
        <v>58.2</v>
      </c>
      <c r="BB51" s="3265">
        <v>7.0999999999999994E-2</v>
      </c>
      <c r="BC51" s="3265"/>
      <c r="BD51" s="3265">
        <v>11.894</v>
      </c>
      <c r="BE51" s="3265">
        <v>4579.1000000000004</v>
      </c>
      <c r="BF51" s="3265"/>
      <c r="BG51" s="3265"/>
      <c r="BH51" s="3265"/>
      <c r="BI51" s="3265"/>
      <c r="BJ51" s="3265"/>
      <c r="BK51" s="3265"/>
      <c r="BL51" s="3265"/>
      <c r="BM51" s="3265"/>
      <c r="BN51" s="3265"/>
      <c r="BO51" s="3265"/>
      <c r="BP51" s="3265"/>
    </row>
    <row r="52" spans="1:68" ht="12.75" customHeight="1" x14ac:dyDescent="0.25">
      <c r="A52" s="3263" t="s">
        <v>181</v>
      </c>
      <c r="B52" s="3265" t="s">
        <v>182</v>
      </c>
      <c r="C52" s="3265" t="s">
        <v>842</v>
      </c>
      <c r="D52" s="3265">
        <v>1</v>
      </c>
      <c r="E52" s="3265"/>
      <c r="F52" s="3263" t="s">
        <v>181</v>
      </c>
      <c r="G52" s="3265"/>
      <c r="H52" s="3265"/>
      <c r="I52" s="3265"/>
      <c r="J52" s="3265"/>
      <c r="K52" s="3265"/>
      <c r="L52" s="3265"/>
      <c r="M52" s="3265"/>
      <c r="N52" s="3265"/>
      <c r="O52" s="3265"/>
      <c r="P52" s="3265"/>
      <c r="Q52" s="3265"/>
      <c r="R52" s="3265"/>
      <c r="S52" s="3265"/>
      <c r="T52" s="3265">
        <v>116.52</v>
      </c>
      <c r="U52" s="3265">
        <v>0.42</v>
      </c>
      <c r="V52" s="3265">
        <v>2.1</v>
      </c>
      <c r="W52" s="3265">
        <v>6.29</v>
      </c>
      <c r="X52" s="3265" t="s">
        <v>4259</v>
      </c>
      <c r="Y52" s="3265" t="s">
        <v>289</v>
      </c>
      <c r="Z52" s="3266"/>
      <c r="AA52" s="3266"/>
      <c r="AB52" s="3265"/>
      <c r="AC52" s="3265">
        <v>153.85</v>
      </c>
      <c r="AD52" s="3265">
        <v>-80</v>
      </c>
      <c r="AE52" s="3265"/>
      <c r="AF52" s="3265"/>
      <c r="AG52" s="3265"/>
      <c r="AH52" s="3265"/>
      <c r="AI52" s="3265"/>
      <c r="AJ52" s="3265"/>
      <c r="AK52" s="3265"/>
      <c r="AL52" s="3265"/>
      <c r="AM52" s="3265"/>
      <c r="AN52" s="3265">
        <v>4</v>
      </c>
      <c r="AO52" s="3265">
        <v>0</v>
      </c>
      <c r="AP52" s="3265">
        <v>2</v>
      </c>
      <c r="AQ52" s="3265"/>
      <c r="AR52" s="3265"/>
      <c r="AS52" s="3265"/>
      <c r="AT52" s="3265"/>
      <c r="AU52" s="3265"/>
      <c r="AV52" s="3265"/>
      <c r="AW52" s="3265">
        <v>1.786</v>
      </c>
      <c r="AX52" s="3265">
        <v>1.6069999999999999E-3</v>
      </c>
      <c r="AY52" s="3265">
        <v>0.23200000000000001</v>
      </c>
      <c r="AZ52" s="3267">
        <v>4.7140000000000002E-4</v>
      </c>
      <c r="BA52" s="3265">
        <v>100.4</v>
      </c>
      <c r="BB52" s="3265">
        <v>8.6173E-2</v>
      </c>
      <c r="BC52" s="3265">
        <v>1.6799999999999999E-4</v>
      </c>
      <c r="BD52" s="3265">
        <v>9.7822999999999993</v>
      </c>
      <c r="BE52" s="3265">
        <v>3557</v>
      </c>
      <c r="BF52" s="3265">
        <v>64.38</v>
      </c>
      <c r="BG52" s="3265"/>
      <c r="BH52" s="3265"/>
      <c r="BI52" s="3265"/>
      <c r="BJ52" s="3265"/>
      <c r="BK52" s="3265"/>
      <c r="BL52" s="3265"/>
      <c r="BM52" s="3265"/>
      <c r="BN52" s="3265"/>
      <c r="BO52" s="3265"/>
      <c r="BP52" s="3265"/>
    </row>
    <row r="53" spans="1:68" ht="12.75" customHeight="1" x14ac:dyDescent="0.25">
      <c r="A53" s="3282" t="s">
        <v>183</v>
      </c>
      <c r="B53" s="3265" t="s">
        <v>184</v>
      </c>
      <c r="C53" s="3265" t="s">
        <v>842</v>
      </c>
      <c r="D53" s="3265">
        <v>1</v>
      </c>
      <c r="E53" s="3265"/>
      <c r="F53" s="3282" t="s">
        <v>183</v>
      </c>
      <c r="G53" s="3265"/>
      <c r="H53" s="3265"/>
      <c r="I53" s="3265"/>
      <c r="J53" s="3265"/>
      <c r="K53" s="3265"/>
      <c r="L53" s="3265"/>
      <c r="M53" s="3265"/>
      <c r="N53" s="3265"/>
      <c r="O53" s="3265"/>
      <c r="P53" s="3265"/>
      <c r="Q53" s="3265"/>
      <c r="R53" s="3265"/>
      <c r="S53" s="3265"/>
      <c r="T53" s="3265">
        <v>116.47</v>
      </c>
      <c r="U53" s="3265">
        <v>20</v>
      </c>
      <c r="V53" s="3265">
        <v>100</v>
      </c>
      <c r="W53" s="3265">
        <v>300</v>
      </c>
      <c r="X53" s="3265" t="s">
        <v>4259</v>
      </c>
      <c r="Y53" s="3265"/>
      <c r="Z53" s="3266"/>
      <c r="AA53" s="3266"/>
      <c r="AB53" s="3265"/>
      <c r="AC53" s="3265">
        <v>-28.2</v>
      </c>
      <c r="AD53" s="3265">
        <v>-158.30000000000001</v>
      </c>
      <c r="AE53" s="3265"/>
      <c r="AF53" s="3265"/>
      <c r="AG53" s="3265"/>
      <c r="AH53" s="3265"/>
      <c r="AI53" s="3265"/>
      <c r="AJ53" s="3265"/>
      <c r="AK53" s="3265">
        <v>8.4</v>
      </c>
      <c r="AL53" s="3265"/>
      <c r="AM53" s="3265"/>
      <c r="AN53" s="3265">
        <v>3</v>
      </c>
      <c r="AO53" s="3265">
        <v>4</v>
      </c>
      <c r="AP53" s="3265">
        <v>3</v>
      </c>
      <c r="AQ53" s="3265"/>
      <c r="AR53" s="3265"/>
      <c r="AS53" s="3265"/>
      <c r="AT53" s="3265"/>
      <c r="AU53" s="3265"/>
      <c r="AV53" s="3265"/>
      <c r="AW53" s="3265">
        <v>1.3680000000000001</v>
      </c>
      <c r="AX53" s="3265">
        <v>2.9999999999999997E-4</v>
      </c>
      <c r="AY53" s="3265">
        <v>0.26600000000000001</v>
      </c>
      <c r="AZ53" s="3267">
        <v>4.6670000000000001E-4</v>
      </c>
      <c r="BA53" s="3265">
        <v>38.5</v>
      </c>
      <c r="BB53" s="3265">
        <v>0.1384</v>
      </c>
      <c r="BC53" s="3265">
        <v>2.4899999999999998E-4</v>
      </c>
      <c r="BD53" s="3265">
        <v>9.2250999999999994</v>
      </c>
      <c r="BE53" s="3265">
        <v>1964.48</v>
      </c>
      <c r="BF53" s="3265">
        <v>31.9</v>
      </c>
      <c r="BG53" s="3265"/>
      <c r="BH53" s="3265"/>
      <c r="BI53" s="3265"/>
      <c r="BJ53" s="3265"/>
      <c r="BK53" s="3265"/>
      <c r="BL53" s="3265"/>
      <c r="BM53" s="3265"/>
      <c r="BN53" s="3265"/>
      <c r="BO53" s="3265"/>
      <c r="BP53" s="3265"/>
    </row>
    <row r="54" spans="1:68" ht="12.75" customHeight="1" x14ac:dyDescent="0.25">
      <c r="A54" s="3282" t="s">
        <v>402</v>
      </c>
      <c r="B54" s="3265" t="s">
        <v>4209</v>
      </c>
      <c r="C54" s="3265" t="s">
        <v>842</v>
      </c>
      <c r="D54" s="3265">
        <v>1</v>
      </c>
      <c r="E54" s="3265"/>
      <c r="F54" s="3282" t="s">
        <v>402</v>
      </c>
      <c r="G54" s="3265"/>
      <c r="H54" s="3265"/>
      <c r="I54" s="3265"/>
      <c r="J54" s="3265"/>
      <c r="K54" s="3265"/>
      <c r="L54" s="3265"/>
      <c r="M54" s="3265"/>
      <c r="N54" s="3265"/>
      <c r="O54" s="3265"/>
      <c r="P54" s="3265"/>
      <c r="Q54" s="3265"/>
      <c r="R54" s="3265"/>
      <c r="S54" s="3265"/>
      <c r="T54" s="3265">
        <v>70.09</v>
      </c>
      <c r="U54" s="3265">
        <v>0.2</v>
      </c>
      <c r="V54" s="3265">
        <v>5</v>
      </c>
      <c r="W54" s="3265">
        <v>15</v>
      </c>
      <c r="X54" s="3265" t="s">
        <v>4259</v>
      </c>
      <c r="Y54" s="3265" t="s">
        <v>289</v>
      </c>
      <c r="Z54" s="3266"/>
      <c r="AA54" s="3266"/>
      <c r="AB54" s="3265"/>
      <c r="AC54" s="3265">
        <v>88.7</v>
      </c>
      <c r="AD54" s="3265">
        <v>-114.8</v>
      </c>
      <c r="AE54" s="3265"/>
      <c r="AF54" s="3265"/>
      <c r="AG54" s="3265"/>
      <c r="AH54" s="3265"/>
      <c r="AI54" s="3265"/>
      <c r="AJ54" s="3265">
        <v>8</v>
      </c>
      <c r="AK54" s="3265">
        <v>2.1</v>
      </c>
      <c r="AL54" s="3265"/>
      <c r="AM54" s="3265"/>
      <c r="AN54" s="3265"/>
      <c r="AO54" s="3265"/>
      <c r="AP54" s="3265"/>
      <c r="AQ54" s="3265"/>
      <c r="AR54" s="3265"/>
      <c r="AS54" s="3265"/>
      <c r="AT54" s="3265"/>
      <c r="AU54" s="3265"/>
      <c r="AV54" s="3265"/>
      <c r="AW54" s="3265">
        <v>0.83699999999999997</v>
      </c>
      <c r="AX54" s="3265">
        <v>1.073E-3</v>
      </c>
      <c r="AY54" s="3265">
        <v>0.46</v>
      </c>
      <c r="AZ54" s="3267">
        <v>1.421E-3</v>
      </c>
      <c r="BA54" s="3265">
        <v>132.6</v>
      </c>
      <c r="BB54" s="3265">
        <v>0.1981</v>
      </c>
      <c r="BC54" s="3265">
        <v>1.9000000000000001E-4</v>
      </c>
      <c r="BD54" s="3265">
        <v>10.021000000000001</v>
      </c>
      <c r="BE54" s="3265">
        <v>3157.89</v>
      </c>
      <c r="BF54" s="3265">
        <v>46.91</v>
      </c>
      <c r="BG54" s="3265"/>
      <c r="BH54" s="3265"/>
      <c r="BI54" s="3265"/>
      <c r="BJ54" s="3265"/>
      <c r="BK54" s="3265"/>
      <c r="BL54" s="3265"/>
      <c r="BM54" s="3265"/>
      <c r="BN54" s="3265"/>
      <c r="BO54" s="3265"/>
      <c r="BP54" s="3265"/>
    </row>
    <row r="55" spans="1:68" ht="12.75" customHeight="1" x14ac:dyDescent="0.25">
      <c r="A55" s="3263" t="s">
        <v>4297</v>
      </c>
      <c r="B55" s="3265" t="s">
        <v>4298</v>
      </c>
      <c r="C55" s="3265" t="s">
        <v>842</v>
      </c>
      <c r="D55" s="3265">
        <v>1</v>
      </c>
      <c r="E55" s="3265"/>
      <c r="F55" s="3263" t="s">
        <v>4297</v>
      </c>
      <c r="G55" s="3265"/>
      <c r="H55" s="3265"/>
      <c r="I55" s="3265"/>
      <c r="J55" s="3265"/>
      <c r="K55" s="3265"/>
      <c r="L55" s="3265"/>
      <c r="M55" s="3265"/>
      <c r="N55" s="3265"/>
      <c r="O55" s="3265"/>
      <c r="P55" s="3265"/>
      <c r="Q55" s="3265"/>
      <c r="R55" s="3265"/>
      <c r="S55" s="3265"/>
      <c r="T55" s="3268">
        <v>70.09</v>
      </c>
      <c r="U55" s="3268">
        <v>0.2</v>
      </c>
      <c r="V55" s="3268">
        <v>4.4000000000000004</v>
      </c>
      <c r="W55" s="3268">
        <v>14</v>
      </c>
      <c r="X55" s="3265" t="s">
        <v>4457</v>
      </c>
      <c r="Y55" s="3265" t="s">
        <v>289</v>
      </c>
      <c r="Z55" s="3268"/>
      <c r="AA55" s="3268"/>
      <c r="AB55" s="3268"/>
      <c r="AC55" s="3268">
        <v>102.3</v>
      </c>
      <c r="AD55" s="3268">
        <v>-75</v>
      </c>
      <c r="AE55" s="3268"/>
      <c r="AF55" s="3268"/>
      <c r="AG55" s="3268"/>
      <c r="AH55" s="3268"/>
      <c r="AI55" s="3268"/>
      <c r="AJ55" s="3268">
        <v>13</v>
      </c>
      <c r="AK55" s="3268">
        <v>2.1</v>
      </c>
      <c r="AL55" s="3268"/>
      <c r="AM55" s="3268"/>
      <c r="AN55" s="3268">
        <v>3</v>
      </c>
      <c r="AO55" s="3268">
        <v>3</v>
      </c>
      <c r="AP55" s="3268">
        <v>0</v>
      </c>
      <c r="AQ55" s="3268"/>
      <c r="AR55" s="3268"/>
      <c r="AS55" s="3265" t="s">
        <v>1091</v>
      </c>
      <c r="AT55" s="3265" t="s">
        <v>1169</v>
      </c>
      <c r="AU55" s="3265"/>
      <c r="AV55" s="3265"/>
      <c r="AW55" s="3265">
        <v>0.86699999999999999</v>
      </c>
      <c r="AX55" s="3265">
        <v>1.083E-3</v>
      </c>
      <c r="AY55" s="3265">
        <v>0.46200000000000002</v>
      </c>
      <c r="AZ55" s="3265">
        <v>7.9569999999999999E-4</v>
      </c>
      <c r="BA55" s="3265">
        <v>133.4</v>
      </c>
      <c r="BB55" s="3265">
        <v>0.180227</v>
      </c>
      <c r="BC55" s="3265">
        <v>1.5899999999999999E-4</v>
      </c>
      <c r="BD55" s="3265">
        <v>9.9796999999999993</v>
      </c>
      <c r="BE55" s="3265">
        <v>3317.69</v>
      </c>
      <c r="BF55" s="3265">
        <v>43.05</v>
      </c>
      <c r="BG55" s="3265"/>
      <c r="BH55" s="3265"/>
      <c r="BI55" s="3265"/>
      <c r="BJ55" s="3265"/>
      <c r="BK55" s="3265"/>
      <c r="BL55" s="3265"/>
      <c r="BM55" s="3265"/>
      <c r="BN55" s="3265"/>
      <c r="BO55" s="3265"/>
      <c r="BP55" s="3265"/>
    </row>
    <row r="56" spans="1:68" ht="12.75" customHeight="1" x14ac:dyDescent="0.25">
      <c r="A56" s="3263" t="s">
        <v>4299</v>
      </c>
      <c r="B56" s="3265" t="s">
        <v>4300</v>
      </c>
      <c r="C56" s="3265" t="s">
        <v>842</v>
      </c>
      <c r="D56" s="3265">
        <v>1</v>
      </c>
      <c r="E56" s="3265"/>
      <c r="F56" s="3263" t="s">
        <v>4299</v>
      </c>
      <c r="G56" s="3265"/>
      <c r="H56" s="3265"/>
      <c r="I56" s="3265"/>
      <c r="J56" s="3265"/>
      <c r="K56" s="3265"/>
      <c r="L56" s="3265"/>
      <c r="M56" s="3265"/>
      <c r="N56" s="3265"/>
      <c r="O56" s="3265"/>
      <c r="P56" s="3265"/>
      <c r="Q56" s="3265"/>
      <c r="R56" s="3265"/>
      <c r="S56" s="3265"/>
      <c r="T56" s="3268">
        <v>86.1</v>
      </c>
      <c r="U56" s="3268">
        <v>0.85</v>
      </c>
      <c r="V56" s="3268">
        <v>9.3699999999999992</v>
      </c>
      <c r="W56" s="3268">
        <v>56.8</v>
      </c>
      <c r="X56" s="3268" t="s">
        <v>4459</v>
      </c>
      <c r="Y56" s="3268"/>
      <c r="Z56" s="3268"/>
      <c r="AA56" s="3268"/>
      <c r="AB56" s="3268"/>
      <c r="AC56" s="3268">
        <v>171.9</v>
      </c>
      <c r="AD56" s="3268">
        <v>15.5</v>
      </c>
      <c r="AE56" s="3268"/>
      <c r="AF56" s="3268"/>
      <c r="AG56" s="3268"/>
      <c r="AH56" s="3268"/>
      <c r="AI56" s="3268"/>
      <c r="AJ56" s="3268">
        <v>78.900000000000006</v>
      </c>
      <c r="AK56" s="3268">
        <v>2.2999999999999998</v>
      </c>
      <c r="AL56" s="3268"/>
      <c r="AM56" s="3268"/>
      <c r="AN56" s="3268">
        <v>3</v>
      </c>
      <c r="AO56" s="3268">
        <v>2</v>
      </c>
      <c r="AP56" s="3268">
        <v>0</v>
      </c>
      <c r="AQ56" s="3268" t="s">
        <v>139</v>
      </c>
      <c r="AR56" s="3268" t="s">
        <v>138</v>
      </c>
      <c r="AS56" s="3265" t="s">
        <v>1514</v>
      </c>
      <c r="AT56" s="3265"/>
      <c r="AU56" s="3265"/>
      <c r="AV56" s="3265"/>
      <c r="AW56" s="3265">
        <v>1.05</v>
      </c>
      <c r="AX56" s="3265">
        <v>1.0709999999999999E-3</v>
      </c>
      <c r="AY56" s="3265">
        <v>0.53700000000000003</v>
      </c>
      <c r="AZ56" s="3265">
        <v>5.1449999999999998E-4</v>
      </c>
      <c r="BA56" s="3265">
        <v>166.2</v>
      </c>
      <c r="BB56" s="3265">
        <v>0.14018</v>
      </c>
      <c r="BC56" s="3265">
        <v>2.1699999999999999E-4</v>
      </c>
      <c r="BD56" s="3265">
        <v>11.5913</v>
      </c>
      <c r="BE56" s="3265">
        <v>4462.71</v>
      </c>
      <c r="BF56" s="3265">
        <v>60.08</v>
      </c>
      <c r="BG56" s="3265"/>
      <c r="BH56" s="3265"/>
      <c r="BI56" s="3265"/>
      <c r="BJ56" s="3265"/>
      <c r="BK56" s="3265"/>
      <c r="BL56" s="3265"/>
      <c r="BM56" s="3265"/>
      <c r="BN56" s="3265"/>
      <c r="BO56" s="3265"/>
      <c r="BP56" s="3265"/>
    </row>
    <row r="57" spans="1:68" ht="12.75" customHeight="1" x14ac:dyDescent="0.25">
      <c r="A57" s="3263" t="s">
        <v>4301</v>
      </c>
      <c r="B57" s="3265" t="s">
        <v>4302</v>
      </c>
      <c r="C57" s="3265" t="s">
        <v>842</v>
      </c>
      <c r="D57" s="3265">
        <v>1</v>
      </c>
      <c r="E57" s="3265"/>
      <c r="F57" s="3263" t="s">
        <v>4301</v>
      </c>
      <c r="G57" s="3265"/>
      <c r="H57" s="3265"/>
      <c r="I57" s="3265"/>
      <c r="J57" s="3265"/>
      <c r="K57" s="3265"/>
      <c r="L57" s="3265"/>
      <c r="M57" s="3265"/>
      <c r="N57" s="3265"/>
      <c r="O57" s="3265"/>
      <c r="P57" s="3265"/>
      <c r="Q57" s="3265"/>
      <c r="R57" s="3265"/>
      <c r="S57" s="3265"/>
      <c r="T57" s="3268">
        <v>120.2</v>
      </c>
      <c r="U57" s="3268">
        <v>50</v>
      </c>
      <c r="V57" s="3268">
        <v>300</v>
      </c>
      <c r="W57" s="3268">
        <v>730</v>
      </c>
      <c r="X57" s="3268" t="s">
        <v>4457</v>
      </c>
      <c r="Y57" s="3268"/>
      <c r="Z57" s="3268"/>
      <c r="AA57" s="3268"/>
      <c r="AB57" s="3268"/>
      <c r="AC57" s="3268">
        <v>152.4</v>
      </c>
      <c r="AD57" s="3268">
        <v>-96</v>
      </c>
      <c r="AE57" s="3268"/>
      <c r="AF57" s="3268"/>
      <c r="AG57" s="3268"/>
      <c r="AH57" s="3268"/>
      <c r="AI57" s="3268"/>
      <c r="AJ57" s="3268">
        <v>33.4</v>
      </c>
      <c r="AK57" s="3268">
        <v>0.88</v>
      </c>
      <c r="AL57" s="3268"/>
      <c r="AM57" s="3268"/>
      <c r="AN57" s="3268">
        <v>2</v>
      </c>
      <c r="AO57" s="3268">
        <v>3</v>
      </c>
      <c r="AP57" s="3268">
        <v>1</v>
      </c>
      <c r="AQ57" s="3268" t="s">
        <v>139</v>
      </c>
      <c r="AR57" s="3268" t="s">
        <v>138</v>
      </c>
      <c r="AS57" s="3265"/>
      <c r="AT57" s="3265" t="s">
        <v>1091</v>
      </c>
      <c r="AU57" s="3265"/>
      <c r="AV57" s="3265" t="s">
        <v>160</v>
      </c>
      <c r="AW57" s="3265">
        <v>0.88300000000000001</v>
      </c>
      <c r="AX57" s="3265">
        <v>9.3499999999999996E-4</v>
      </c>
      <c r="AY57" s="3265">
        <v>0.377</v>
      </c>
      <c r="AZ57" s="3265">
        <v>1.0024999999999999E-3</v>
      </c>
      <c r="BA57" s="3265">
        <v>92.3</v>
      </c>
      <c r="BB57" s="3265">
        <v>9.3649999999999997E-2</v>
      </c>
      <c r="BC57" s="3265">
        <v>1.5300000000000001E-4</v>
      </c>
      <c r="BD57" s="3265">
        <v>9.4431999999999992</v>
      </c>
      <c r="BE57" s="3265">
        <v>3426.88</v>
      </c>
      <c r="BF57" s="3265">
        <v>62.62</v>
      </c>
      <c r="BG57" s="3265"/>
      <c r="BH57" s="3265"/>
      <c r="BI57" s="3265"/>
      <c r="BJ57" s="3265"/>
      <c r="BK57" s="3265"/>
      <c r="BL57" s="3265"/>
      <c r="BM57" s="3265"/>
      <c r="BN57" s="3265"/>
      <c r="BO57" s="3265"/>
      <c r="BP57" s="3265"/>
    </row>
    <row r="58" spans="1:68" ht="12.75" customHeight="1" x14ac:dyDescent="0.25">
      <c r="A58" s="3263" t="s">
        <v>4303</v>
      </c>
      <c r="B58" s="3265" t="s">
        <v>4304</v>
      </c>
      <c r="C58" s="3265" t="s">
        <v>842</v>
      </c>
      <c r="D58" s="3265">
        <v>1</v>
      </c>
      <c r="E58" s="3265"/>
      <c r="F58" s="3263" t="s">
        <v>4303</v>
      </c>
      <c r="G58" s="3265"/>
      <c r="H58" s="3265"/>
      <c r="I58" s="3265"/>
      <c r="J58" s="3265"/>
      <c r="K58" s="3265"/>
      <c r="L58" s="3265"/>
      <c r="M58" s="3265"/>
      <c r="N58" s="3265"/>
      <c r="O58" s="3265"/>
      <c r="P58" s="3265"/>
      <c r="Q58" s="3265"/>
      <c r="R58" s="3265"/>
      <c r="S58" s="3265"/>
      <c r="T58" s="3268">
        <v>42</v>
      </c>
      <c r="U58" s="3268">
        <v>1.165</v>
      </c>
      <c r="V58" s="3268">
        <v>1.1599999999999999</v>
      </c>
      <c r="W58" s="3268">
        <v>1.92</v>
      </c>
      <c r="X58" s="3268" t="s">
        <v>4459</v>
      </c>
      <c r="Y58" s="3268"/>
      <c r="Z58" s="3268"/>
      <c r="AA58" s="3268"/>
      <c r="AB58" s="3268"/>
      <c r="AC58" s="3268">
        <v>265</v>
      </c>
      <c r="AD58" s="3268">
        <v>44</v>
      </c>
      <c r="AE58" s="3268"/>
      <c r="AF58" s="3268"/>
      <c r="AG58" s="3268"/>
      <c r="AH58" s="3268"/>
      <c r="AI58" s="3268"/>
      <c r="AJ58" s="3268">
        <v>141</v>
      </c>
      <c r="AK58" s="3268">
        <v>1.6</v>
      </c>
      <c r="AL58" s="3268"/>
      <c r="AM58" s="3268"/>
      <c r="AN58" s="3268">
        <v>3</v>
      </c>
      <c r="AO58" s="3268">
        <v>1</v>
      </c>
      <c r="AP58" s="3268">
        <v>1</v>
      </c>
      <c r="AQ58" s="3268" t="s">
        <v>139</v>
      </c>
      <c r="AR58" s="3268" t="s">
        <v>138</v>
      </c>
      <c r="AS58" s="3265" t="s">
        <v>599</v>
      </c>
      <c r="AT58" s="3265"/>
      <c r="AU58" s="3265"/>
      <c r="AV58" s="3265"/>
      <c r="AW58" s="3265">
        <v>1.3140000000000001</v>
      </c>
      <c r="AX58" s="3265">
        <v>1.1540000000000001E-3</v>
      </c>
      <c r="AY58" s="3265">
        <v>0.58799999999999997</v>
      </c>
      <c r="AZ58" s="3265">
        <v>6.6799999999999997E-4</v>
      </c>
      <c r="BA58" s="3265">
        <v>415.2</v>
      </c>
      <c r="BB58" s="3265">
        <v>0.3458</v>
      </c>
      <c r="BC58" s="3265">
        <v>1.26E-4</v>
      </c>
      <c r="BD58" s="3265">
        <v>12.456</v>
      </c>
      <c r="BE58" s="3265">
        <v>6170.11</v>
      </c>
      <c r="BF58" s="3265">
        <v>42.94</v>
      </c>
      <c r="BG58" s="3265"/>
      <c r="BH58" s="3265"/>
      <c r="BI58" s="3265"/>
      <c r="BJ58" s="3265"/>
      <c r="BK58" s="3265"/>
      <c r="BL58" s="3265"/>
      <c r="BM58" s="3265"/>
      <c r="BN58" s="3265"/>
      <c r="BO58" s="3265"/>
      <c r="BP58" s="3265"/>
    </row>
    <row r="59" spans="1:68" ht="12.75" customHeight="1" x14ac:dyDescent="0.25">
      <c r="A59" s="3263" t="s">
        <v>4305</v>
      </c>
      <c r="B59" s="3265" t="s">
        <v>4306</v>
      </c>
      <c r="C59" s="3265" t="s">
        <v>842</v>
      </c>
      <c r="D59" s="3265">
        <v>1</v>
      </c>
      <c r="E59" s="3265"/>
      <c r="F59" s="3263" t="s">
        <v>4305</v>
      </c>
      <c r="G59" s="3265"/>
      <c r="H59" s="3265"/>
      <c r="I59" s="3265"/>
      <c r="J59" s="3265"/>
      <c r="K59" s="3265"/>
      <c r="L59" s="3265"/>
      <c r="M59" s="3265"/>
      <c r="N59" s="3265"/>
      <c r="O59" s="3265"/>
      <c r="P59" s="3265"/>
      <c r="Q59" s="3265"/>
      <c r="R59" s="3265"/>
      <c r="S59" s="3265"/>
      <c r="T59" s="3268">
        <v>84.1</v>
      </c>
      <c r="U59" s="3268">
        <v>0.87</v>
      </c>
      <c r="V59" s="3268">
        <v>8.7200000000000006</v>
      </c>
      <c r="W59" s="3268">
        <v>52.3</v>
      </c>
      <c r="X59" s="3268" t="s">
        <v>4459</v>
      </c>
      <c r="Y59" s="3268"/>
      <c r="Z59" s="3268"/>
      <c r="AA59" s="3268"/>
      <c r="AB59" s="3268"/>
      <c r="AC59" s="3268">
        <v>332.1</v>
      </c>
      <c r="AD59" s="3268">
        <v>118</v>
      </c>
      <c r="AE59" s="3268"/>
      <c r="AF59" s="3268"/>
      <c r="AG59" s="3268"/>
      <c r="AH59" s="3268"/>
      <c r="AI59" s="3268"/>
      <c r="AJ59" s="3268">
        <v>215</v>
      </c>
      <c r="AK59" s="3268"/>
      <c r="AL59" s="3268"/>
      <c r="AM59" s="3268"/>
      <c r="AN59" s="3268">
        <v>2</v>
      </c>
      <c r="AO59" s="3268">
        <v>0</v>
      </c>
      <c r="AP59" s="3268">
        <v>0</v>
      </c>
      <c r="AQ59" s="3268"/>
      <c r="AR59" s="3268"/>
      <c r="AS59" s="3265"/>
      <c r="AT59" s="3265"/>
      <c r="AU59" s="3265"/>
      <c r="AV59" s="3265"/>
      <c r="AW59" s="3265">
        <v>1.496</v>
      </c>
      <c r="AX59" s="3265">
        <v>1.1299999999999999E-3</v>
      </c>
      <c r="AY59" s="3265">
        <v>0.41299999999999998</v>
      </c>
      <c r="AZ59" s="3265">
        <v>5.6499999999999996E-4</v>
      </c>
      <c r="BA59" s="3265">
        <v>222.2</v>
      </c>
      <c r="BB59" s="3265">
        <v>0.158</v>
      </c>
      <c r="BC59" s="3265"/>
      <c r="BD59" s="3265">
        <v>13.94</v>
      </c>
      <c r="BE59" s="3265">
        <v>8435.7000000000007</v>
      </c>
      <c r="BF59" s="3265"/>
      <c r="BG59" s="3265"/>
      <c r="BH59" s="3265"/>
      <c r="BI59" s="3265"/>
      <c r="BJ59" s="3265"/>
      <c r="BK59" s="3265"/>
      <c r="BL59" s="3265"/>
      <c r="BM59" s="3265"/>
      <c r="BN59" s="3265"/>
      <c r="BO59" s="3265"/>
      <c r="BP59" s="3265"/>
    </row>
    <row r="60" spans="1:68" ht="12.75" customHeight="1" x14ac:dyDescent="0.25">
      <c r="A60" s="3263" t="s">
        <v>517</v>
      </c>
      <c r="B60" s="3265" t="s">
        <v>518</v>
      </c>
      <c r="C60" s="3265" t="s">
        <v>842</v>
      </c>
      <c r="D60" s="3265">
        <v>1</v>
      </c>
      <c r="E60" s="3265"/>
      <c r="F60" s="3263" t="s">
        <v>517</v>
      </c>
      <c r="G60" s="3265"/>
      <c r="H60" s="3265"/>
      <c r="I60" s="3265"/>
      <c r="J60" s="3265"/>
      <c r="K60" s="3265"/>
      <c r="L60" s="3265"/>
      <c r="M60" s="3265"/>
      <c r="N60" s="3265"/>
      <c r="O60" s="3265"/>
      <c r="P60" s="3265"/>
      <c r="Q60" s="3265"/>
      <c r="R60" s="3265"/>
      <c r="S60" s="3265"/>
      <c r="T60" s="3268">
        <v>98.1</v>
      </c>
      <c r="U60" s="3268">
        <v>60</v>
      </c>
      <c r="V60" s="3268">
        <v>830</v>
      </c>
      <c r="W60" s="3268">
        <v>5000</v>
      </c>
      <c r="X60" s="3268" t="s">
        <v>4459</v>
      </c>
      <c r="Y60" s="3268"/>
      <c r="Z60" s="3268"/>
      <c r="AA60" s="3268"/>
      <c r="AB60" s="3268"/>
      <c r="AC60" s="3268">
        <v>155.4</v>
      </c>
      <c r="AD60" s="3268">
        <v>-31</v>
      </c>
      <c r="AE60" s="3268"/>
      <c r="AF60" s="3268"/>
      <c r="AG60" s="3268"/>
      <c r="AH60" s="3268"/>
      <c r="AI60" s="3268"/>
      <c r="AJ60" s="3268">
        <v>44</v>
      </c>
      <c r="AK60" s="3268">
        <v>1.1000000000000001</v>
      </c>
      <c r="AL60" s="3268"/>
      <c r="AM60" s="3268"/>
      <c r="AN60" s="3268">
        <v>2</v>
      </c>
      <c r="AO60" s="3268">
        <v>2</v>
      </c>
      <c r="AP60" s="3268">
        <v>0</v>
      </c>
      <c r="AQ60" s="3268" t="s">
        <v>139</v>
      </c>
      <c r="AR60" s="3268" t="s">
        <v>138</v>
      </c>
      <c r="AS60" s="3265"/>
      <c r="AT60" s="3265"/>
      <c r="AU60" s="3265"/>
      <c r="AV60" s="3265" t="s">
        <v>158</v>
      </c>
      <c r="AW60" s="3265">
        <v>0.96599999999999997</v>
      </c>
      <c r="AX60" s="3265">
        <v>9.5500000000000001E-4</v>
      </c>
      <c r="AY60" s="3265">
        <v>0.41399999999999998</v>
      </c>
      <c r="AZ60" s="3265">
        <v>1.0349999999999999E-3</v>
      </c>
      <c r="BA60" s="3265">
        <v>114.1</v>
      </c>
      <c r="BB60" s="3265">
        <v>0.16300000000000001</v>
      </c>
      <c r="BC60" s="3265">
        <v>1.4999999999999999E-4</v>
      </c>
      <c r="BD60" s="3265">
        <v>9.5245999999999995</v>
      </c>
      <c r="BE60" s="3265">
        <v>3508.33</v>
      </c>
      <c r="BF60" s="3265">
        <v>60.33</v>
      </c>
      <c r="BG60" s="3265"/>
      <c r="BH60" s="3265"/>
      <c r="BI60" s="3265"/>
      <c r="BJ60" s="3265"/>
      <c r="BK60" s="3265"/>
      <c r="BL60" s="3265"/>
      <c r="BM60" s="3265"/>
      <c r="BN60" s="3265"/>
      <c r="BO60" s="3265"/>
      <c r="BP60" s="3265"/>
    </row>
    <row r="61" spans="1:68" ht="12.75" customHeight="1" x14ac:dyDescent="0.25">
      <c r="A61" s="3263" t="s">
        <v>3219</v>
      </c>
      <c r="B61" s="3265" t="s">
        <v>3220</v>
      </c>
      <c r="C61" s="3265" t="s">
        <v>842</v>
      </c>
      <c r="D61" s="3265">
        <v>1</v>
      </c>
      <c r="E61" s="3265"/>
      <c r="F61" s="3263" t="s">
        <v>3219</v>
      </c>
      <c r="G61" s="3265"/>
      <c r="H61" s="3265"/>
      <c r="I61" s="3265"/>
      <c r="J61" s="3265"/>
      <c r="K61" s="3265"/>
      <c r="L61" s="3265"/>
      <c r="M61" s="3265"/>
      <c r="N61" s="3265"/>
      <c r="O61" s="3265"/>
      <c r="P61" s="3265"/>
      <c r="Q61" s="3265"/>
      <c r="R61" s="3265"/>
      <c r="S61" s="3265"/>
      <c r="T61" s="3265">
        <v>152.93</v>
      </c>
      <c r="U61" s="3265"/>
      <c r="V61" s="3265">
        <v>1000</v>
      </c>
      <c r="W61" s="3265">
        <v>10000</v>
      </c>
      <c r="X61" s="3265" t="s">
        <v>4259</v>
      </c>
      <c r="Y61" s="3265"/>
      <c r="Z61" s="3266"/>
      <c r="AA61" s="3266"/>
      <c r="AB61" s="3265"/>
      <c r="AC61" s="3265">
        <v>27.9</v>
      </c>
      <c r="AD61" s="3265">
        <v>-107</v>
      </c>
      <c r="AE61" s="3265"/>
      <c r="AF61" s="3265"/>
      <c r="AG61" s="3265"/>
      <c r="AH61" s="3265"/>
      <c r="AI61" s="3265"/>
      <c r="AJ61" s="3265"/>
      <c r="AK61" s="3265"/>
      <c r="AL61" s="3265"/>
      <c r="AM61" s="3265"/>
      <c r="AN61" s="3265">
        <v>1</v>
      </c>
      <c r="AO61" s="3265">
        <v>0</v>
      </c>
      <c r="AP61" s="3265">
        <v>1</v>
      </c>
      <c r="AQ61" s="3265"/>
      <c r="AR61" s="3265"/>
      <c r="AS61" s="3265"/>
      <c r="AT61" s="3265"/>
      <c r="AU61" s="3265"/>
      <c r="AV61" s="3265"/>
      <c r="AW61" s="3265">
        <v>1.5129999999999999</v>
      </c>
      <c r="AX61" s="3265">
        <v>2.5600000000000002E-3</v>
      </c>
      <c r="AY61" s="3265">
        <v>0.24299999999999999</v>
      </c>
      <c r="AZ61" s="3267">
        <v>3.1799999999999998E-4</v>
      </c>
      <c r="BA61" s="3265">
        <v>43.7</v>
      </c>
      <c r="BB61" s="3265">
        <v>9.6299999999999997E-2</v>
      </c>
      <c r="BC61" s="3265">
        <v>2.0699999999999999E-4</v>
      </c>
      <c r="BD61" s="3265">
        <v>9.5579000000000001</v>
      </c>
      <c r="BE61" s="3265">
        <v>2509.19</v>
      </c>
      <c r="BF61" s="3265">
        <v>38.72</v>
      </c>
      <c r="BG61" s="3265"/>
      <c r="BH61" s="3265"/>
      <c r="BI61" s="3265"/>
      <c r="BJ61" s="3265"/>
      <c r="BK61" s="3265"/>
      <c r="BL61" s="3265"/>
      <c r="BM61" s="3265"/>
      <c r="BN61" s="3265"/>
      <c r="BO61" s="3265"/>
      <c r="BP61" s="3265"/>
    </row>
    <row r="62" spans="1:68" ht="12.75" customHeight="1" x14ac:dyDescent="0.25">
      <c r="A62" s="3263" t="s">
        <v>1439</v>
      </c>
      <c r="B62" s="3264" t="s">
        <v>638</v>
      </c>
      <c r="C62" s="3265" t="s">
        <v>842</v>
      </c>
      <c r="D62" s="3265">
        <v>1</v>
      </c>
      <c r="E62" s="3265"/>
      <c r="F62" s="3263" t="s">
        <v>1439</v>
      </c>
      <c r="G62" s="3265"/>
      <c r="H62" s="3265"/>
      <c r="I62" s="3265"/>
      <c r="J62" s="3265"/>
      <c r="K62" s="3265"/>
      <c r="L62" s="3265"/>
      <c r="M62" s="3265"/>
      <c r="N62" s="3265"/>
      <c r="O62" s="3265"/>
      <c r="P62" s="3265"/>
      <c r="Q62" s="3265"/>
      <c r="R62" s="3265"/>
      <c r="S62" s="3265"/>
      <c r="T62" s="3265">
        <v>163.01</v>
      </c>
      <c r="U62" s="3265">
        <v>0.2</v>
      </c>
      <c r="V62" s="3265">
        <v>2</v>
      </c>
      <c r="W62" s="3265">
        <v>20</v>
      </c>
      <c r="X62" s="3265" t="s">
        <v>4259</v>
      </c>
      <c r="Y62" s="3265"/>
      <c r="Z62" s="3266"/>
      <c r="AA62" s="3266"/>
      <c r="AB62" s="3265"/>
      <c r="AC62" s="3265">
        <v>215.3</v>
      </c>
      <c r="AD62" s="3265">
        <v>45</v>
      </c>
      <c r="AE62" s="3265"/>
      <c r="AF62" s="3265"/>
      <c r="AG62" s="3265"/>
      <c r="AH62" s="3265"/>
      <c r="AI62" s="3265"/>
      <c r="AJ62" s="3265">
        <v>103.9</v>
      </c>
      <c r="AK62" s="3265">
        <v>2.6</v>
      </c>
      <c r="AL62" s="3265"/>
      <c r="AM62" s="3265"/>
      <c r="AN62" s="3265">
        <v>4</v>
      </c>
      <c r="AO62" s="3265">
        <v>1</v>
      </c>
      <c r="AP62" s="3265">
        <v>1</v>
      </c>
      <c r="AQ62" s="3265" t="s">
        <v>139</v>
      </c>
      <c r="AR62" s="3265" t="s">
        <v>138</v>
      </c>
      <c r="AS62" s="3265" t="s">
        <v>1169</v>
      </c>
      <c r="AT62" s="3265" t="s">
        <v>1091</v>
      </c>
      <c r="AU62" s="3265"/>
      <c r="AV62" s="3265" t="s">
        <v>159</v>
      </c>
      <c r="AW62" s="3265">
        <v>1.464</v>
      </c>
      <c r="AX62" s="3265">
        <v>1.359E-3</v>
      </c>
      <c r="AY62" s="3265">
        <v>0.26400000000000001</v>
      </c>
      <c r="AZ62" s="3267">
        <v>4.1100000000000002E-4</v>
      </c>
      <c r="BA62" s="3265">
        <v>81.8</v>
      </c>
      <c r="BB62" s="3265">
        <v>5.5399999999999998E-2</v>
      </c>
      <c r="BC62" s="3265">
        <v>9.8200000000000002E-5</v>
      </c>
      <c r="BD62" s="3265">
        <v>10.223000000000001</v>
      </c>
      <c r="BE62" s="3265">
        <v>4334.6899999999996</v>
      </c>
      <c r="BF62" s="3265">
        <v>64.48</v>
      </c>
      <c r="BG62" s="3265"/>
      <c r="BH62" s="3265"/>
      <c r="BI62" s="3265"/>
      <c r="BJ62" s="3265"/>
      <c r="BK62" s="3265"/>
      <c r="BL62" s="3265"/>
      <c r="BM62" s="3265"/>
      <c r="BN62" s="3265"/>
      <c r="BO62" s="3265"/>
      <c r="BP62" s="3265"/>
    </row>
    <row r="63" spans="1:68" ht="12.75" customHeight="1" x14ac:dyDescent="0.25">
      <c r="A63" s="3263" t="s">
        <v>4307</v>
      </c>
      <c r="B63" s="3265" t="s">
        <v>4308</v>
      </c>
      <c r="C63" s="3265" t="s">
        <v>842</v>
      </c>
      <c r="D63" s="3265">
        <v>1</v>
      </c>
      <c r="E63" s="3265"/>
      <c r="F63" s="3263" t="s">
        <v>4307</v>
      </c>
      <c r="G63" s="3265"/>
      <c r="H63" s="3265"/>
      <c r="I63" s="3265"/>
      <c r="J63" s="3265"/>
      <c r="K63" s="3265"/>
      <c r="L63" s="3265"/>
      <c r="M63" s="3265"/>
      <c r="N63" s="3265"/>
      <c r="O63" s="3265"/>
      <c r="P63" s="3265"/>
      <c r="Q63" s="3265"/>
      <c r="R63" s="3265"/>
      <c r="S63" s="3265"/>
      <c r="T63" s="3268">
        <v>221.04</v>
      </c>
      <c r="U63" s="3268">
        <v>3.3</v>
      </c>
      <c r="V63" s="3268">
        <v>10</v>
      </c>
      <c r="W63" s="3268">
        <v>55</v>
      </c>
      <c r="X63" s="3268" t="s">
        <v>4459</v>
      </c>
      <c r="Y63" s="3268"/>
      <c r="Z63" s="3268"/>
      <c r="AA63" s="3268"/>
      <c r="AB63" s="3268"/>
      <c r="AC63" s="3268">
        <v>338</v>
      </c>
      <c r="AD63" s="3268">
        <v>139</v>
      </c>
      <c r="AE63" s="3268"/>
      <c r="AF63" s="3268"/>
      <c r="AG63" s="3268"/>
      <c r="AH63" s="3268"/>
      <c r="AI63" s="3268"/>
      <c r="AJ63" s="3268"/>
      <c r="AK63" s="3268"/>
      <c r="AL63" s="3268"/>
      <c r="AM63" s="3268"/>
      <c r="AN63" s="3268">
        <v>3</v>
      </c>
      <c r="AO63" s="3268">
        <v>0</v>
      </c>
      <c r="AP63" s="3268">
        <v>1</v>
      </c>
      <c r="AQ63" s="3268" t="s">
        <v>139</v>
      </c>
      <c r="AR63" s="3268" t="s">
        <v>138</v>
      </c>
      <c r="AS63" s="3265"/>
      <c r="AT63" s="3265"/>
      <c r="AU63" s="3265"/>
      <c r="AV63" s="3265" t="s">
        <v>158</v>
      </c>
      <c r="AW63" s="3265">
        <v>1.62</v>
      </c>
      <c r="AX63" s="3265">
        <v>1.3209999999999999E-3</v>
      </c>
      <c r="AY63" s="3265">
        <v>0.28100000000000003</v>
      </c>
      <c r="AZ63" s="3265">
        <v>4.3750000000000001E-4</v>
      </c>
      <c r="BA63" s="3265">
        <v>103.7</v>
      </c>
      <c r="BB63" s="3265">
        <v>6.0443999999999998E-2</v>
      </c>
      <c r="BC63" s="3265">
        <v>9.2399999999999996E-5</v>
      </c>
      <c r="BD63" s="3265">
        <v>12.061299999999999</v>
      </c>
      <c r="BE63" s="3265">
        <v>6214.56</v>
      </c>
      <c r="BF63" s="3265">
        <v>96.06</v>
      </c>
      <c r="BG63" s="3265"/>
      <c r="BH63" s="3265"/>
      <c r="BI63" s="3265"/>
      <c r="BJ63" s="3265"/>
      <c r="BK63" s="3265"/>
      <c r="BL63" s="3265"/>
      <c r="BM63" s="3265"/>
      <c r="BN63" s="3265"/>
      <c r="BO63" s="3265"/>
      <c r="BP63" s="3265"/>
    </row>
    <row r="64" spans="1:68" ht="12.75" customHeight="1" x14ac:dyDescent="0.25">
      <c r="A64" s="3263" t="s">
        <v>4309</v>
      </c>
      <c r="B64" s="3265" t="s">
        <v>4310</v>
      </c>
      <c r="C64" s="3265" t="s">
        <v>842</v>
      </c>
      <c r="D64" s="3265">
        <v>1</v>
      </c>
      <c r="E64" s="3265"/>
      <c r="F64" s="3263" t="s">
        <v>4309</v>
      </c>
      <c r="G64" s="3265"/>
      <c r="H64" s="3265"/>
      <c r="I64" s="3265"/>
      <c r="J64" s="3265"/>
      <c r="K64" s="3265"/>
      <c r="L64" s="3265"/>
      <c r="M64" s="3265"/>
      <c r="N64" s="3265"/>
      <c r="O64" s="3265"/>
      <c r="P64" s="3265"/>
      <c r="Q64" s="3265"/>
      <c r="R64" s="3265"/>
      <c r="S64" s="3265"/>
      <c r="T64" s="3268">
        <v>112.99</v>
      </c>
      <c r="U64" s="3268">
        <v>30</v>
      </c>
      <c r="V64" s="3268">
        <v>220</v>
      </c>
      <c r="W64" s="3268">
        <v>2000</v>
      </c>
      <c r="X64" s="3268" t="s">
        <v>4459</v>
      </c>
      <c r="Y64" s="3268"/>
      <c r="Z64" s="3268"/>
      <c r="AA64" s="3268"/>
      <c r="AB64" s="3268"/>
      <c r="AC64" s="3268">
        <v>96.3</v>
      </c>
      <c r="AD64" s="3268">
        <v>-100</v>
      </c>
      <c r="AE64" s="3268"/>
      <c r="AF64" s="3268"/>
      <c r="AG64" s="3268"/>
      <c r="AH64" s="3268"/>
      <c r="AI64" s="3268"/>
      <c r="AJ64" s="3268">
        <v>16</v>
      </c>
      <c r="AK64" s="3268">
        <v>3.2</v>
      </c>
      <c r="AL64" s="3268"/>
      <c r="AM64" s="3268"/>
      <c r="AN64" s="3268">
        <v>1</v>
      </c>
      <c r="AO64" s="3268">
        <v>3</v>
      </c>
      <c r="AP64" s="3268">
        <v>0</v>
      </c>
      <c r="AQ64" s="3268" t="s">
        <v>139</v>
      </c>
      <c r="AR64" s="3268" t="s">
        <v>138</v>
      </c>
      <c r="AS64" s="3265"/>
      <c r="AT64" s="3265"/>
      <c r="AU64" s="3265"/>
      <c r="AV64" s="3265"/>
      <c r="AW64" s="3265">
        <v>1.1879999999999999</v>
      </c>
      <c r="AX64" s="3265">
        <v>1.5399999999999999E-3</v>
      </c>
      <c r="AY64" s="3265">
        <v>0.29699999999999999</v>
      </c>
      <c r="AZ64" s="3265">
        <v>5.1500000000000005E-4</v>
      </c>
      <c r="BA64" s="3265">
        <v>79</v>
      </c>
      <c r="BB64" s="3265">
        <v>9.2999999999999999E-2</v>
      </c>
      <c r="BC64" s="3265">
        <v>2.1000000000000001E-4</v>
      </c>
      <c r="BD64" s="3265">
        <v>9.4312000000000005</v>
      </c>
      <c r="BE64" s="3265">
        <v>3006.42</v>
      </c>
      <c r="BF64" s="3265">
        <v>50.69</v>
      </c>
      <c r="BG64" s="3265"/>
      <c r="BH64" s="3265"/>
      <c r="BI64" s="3265"/>
      <c r="BJ64" s="3265"/>
      <c r="BK64" s="3265"/>
      <c r="BL64" s="3265"/>
      <c r="BM64" s="3265"/>
      <c r="BN64" s="3265"/>
      <c r="BO64" s="3265"/>
      <c r="BP64" s="3265"/>
    </row>
    <row r="65" spans="1:68" ht="12.75" customHeight="1" x14ac:dyDescent="0.25">
      <c r="A65" s="3263" t="s">
        <v>4311</v>
      </c>
      <c r="B65" s="3265" t="s">
        <v>4312</v>
      </c>
      <c r="C65" s="3265" t="s">
        <v>842</v>
      </c>
      <c r="D65" s="3265">
        <v>1</v>
      </c>
      <c r="E65" s="3265"/>
      <c r="F65" s="3263" t="s">
        <v>4311</v>
      </c>
      <c r="G65" s="3265"/>
      <c r="H65" s="3265"/>
      <c r="I65" s="3265"/>
      <c r="J65" s="3265"/>
      <c r="K65" s="3265"/>
      <c r="L65" s="3265"/>
      <c r="M65" s="3265"/>
      <c r="N65" s="3265"/>
      <c r="O65" s="3265"/>
      <c r="P65" s="3265"/>
      <c r="Q65" s="3265"/>
      <c r="R65" s="3265"/>
      <c r="S65" s="3265"/>
      <c r="T65" s="3268">
        <v>110.97</v>
      </c>
      <c r="U65" s="3268">
        <v>3</v>
      </c>
      <c r="V65" s="3268">
        <v>19</v>
      </c>
      <c r="W65" s="3268">
        <v>120</v>
      </c>
      <c r="X65" s="3268" t="s">
        <v>4459</v>
      </c>
      <c r="Y65" s="3268"/>
      <c r="Z65" s="3268"/>
      <c r="AA65" s="3268"/>
      <c r="AB65" s="3268"/>
      <c r="AC65" s="3268">
        <v>104</v>
      </c>
      <c r="AD65" s="3268">
        <v>-50</v>
      </c>
      <c r="AE65" s="3268"/>
      <c r="AF65" s="3268"/>
      <c r="AG65" s="3268"/>
      <c r="AH65" s="3268"/>
      <c r="AI65" s="3268"/>
      <c r="AJ65" s="3268">
        <v>27</v>
      </c>
      <c r="AK65" s="3268">
        <v>5.5</v>
      </c>
      <c r="AL65" s="3268"/>
      <c r="AM65" s="3268"/>
      <c r="AN65" s="3268">
        <v>3</v>
      </c>
      <c r="AO65" s="3268">
        <v>3</v>
      </c>
      <c r="AP65" s="3268">
        <v>0</v>
      </c>
      <c r="AQ65" s="3268" t="s">
        <v>139</v>
      </c>
      <c r="AR65" s="3268" t="s">
        <v>138</v>
      </c>
      <c r="AS65" s="3265"/>
      <c r="AT65" s="3265" t="s">
        <v>1091</v>
      </c>
      <c r="AU65" s="3265"/>
      <c r="AV65" s="3265"/>
      <c r="AW65" s="3265">
        <v>1.25</v>
      </c>
      <c r="AX65" s="3265">
        <v>1.4E-3</v>
      </c>
      <c r="AY65" s="3265">
        <v>0.27</v>
      </c>
      <c r="AZ65" s="3265">
        <v>5.0000000000000001E-4</v>
      </c>
      <c r="BA65" s="3265">
        <v>85.8</v>
      </c>
      <c r="BB65" s="3265">
        <v>0.11600000000000001</v>
      </c>
      <c r="BC65" s="3265"/>
      <c r="BD65" s="3265">
        <v>11.882999999999999</v>
      </c>
      <c r="BE65" s="3265">
        <v>4478.0600000000004</v>
      </c>
      <c r="BF65" s="3265"/>
      <c r="BG65" s="3265"/>
      <c r="BH65" s="3265"/>
      <c r="BI65" s="3265"/>
      <c r="BJ65" s="3265"/>
      <c r="BK65" s="3265"/>
      <c r="BL65" s="3265"/>
      <c r="BM65" s="3265"/>
      <c r="BN65" s="3265"/>
      <c r="BO65" s="3265"/>
      <c r="BP65" s="3265"/>
    </row>
    <row r="66" spans="1:68" ht="12.75" customHeight="1" x14ac:dyDescent="0.25">
      <c r="A66" s="3263" t="s">
        <v>4313</v>
      </c>
      <c r="B66" s="3265" t="s">
        <v>4314</v>
      </c>
      <c r="C66" s="3265" t="s">
        <v>842</v>
      </c>
      <c r="D66" s="3265">
        <v>1</v>
      </c>
      <c r="E66" s="3265"/>
      <c r="F66" s="3263" t="s">
        <v>4313</v>
      </c>
      <c r="G66" s="3265"/>
      <c r="H66" s="3265"/>
      <c r="I66" s="3265"/>
      <c r="J66" s="3265"/>
      <c r="K66" s="3265"/>
      <c r="L66" s="3265"/>
      <c r="M66" s="3265"/>
      <c r="N66" s="3265"/>
      <c r="O66" s="3265"/>
      <c r="P66" s="3265"/>
      <c r="Q66" s="3265"/>
      <c r="R66" s="3265"/>
      <c r="S66" s="3265"/>
      <c r="T66" s="3268">
        <v>133.19999999999999</v>
      </c>
      <c r="U66" s="3268">
        <v>0.01</v>
      </c>
      <c r="V66" s="3268">
        <v>5</v>
      </c>
      <c r="W66" s="3268">
        <v>75</v>
      </c>
      <c r="X66" s="3268" t="s">
        <v>4259</v>
      </c>
      <c r="Y66" s="3268"/>
      <c r="Z66" s="3268"/>
      <c r="AA66" s="3268"/>
      <c r="AB66" s="3268"/>
      <c r="AC66" s="3268">
        <v>170.4</v>
      </c>
      <c r="AD66" s="3268">
        <v>32.9</v>
      </c>
      <c r="AE66" s="3268"/>
      <c r="AF66" s="3268"/>
      <c r="AG66" s="3268"/>
      <c r="AH66" s="3268"/>
      <c r="AI66" s="3268"/>
      <c r="AJ66" s="3268">
        <v>32</v>
      </c>
      <c r="AK66" s="3268">
        <v>1</v>
      </c>
      <c r="AL66" s="3268"/>
      <c r="AM66" s="3268"/>
      <c r="AN66" s="3268">
        <v>2</v>
      </c>
      <c r="AO66" s="3268">
        <v>3</v>
      </c>
      <c r="AP66" s="3268">
        <v>1</v>
      </c>
      <c r="AQ66" s="3268" t="s">
        <v>139</v>
      </c>
      <c r="AR66" s="3268" t="s">
        <v>138</v>
      </c>
      <c r="AS66" s="3265"/>
      <c r="AT66" s="3265" t="s">
        <v>1091</v>
      </c>
      <c r="AU66" s="3265"/>
      <c r="AV66" s="3265"/>
      <c r="AW66" s="3265">
        <v>1.016</v>
      </c>
      <c r="AX66" s="3265">
        <v>1.1800000000000001E-3</v>
      </c>
      <c r="AY66" s="3265">
        <v>0.34599999999999997</v>
      </c>
      <c r="AZ66" s="3265">
        <v>9.5299999999999996E-4</v>
      </c>
      <c r="BA66" s="3265">
        <v>85</v>
      </c>
      <c r="BB66" s="3265">
        <v>7.8460000000000002E-2</v>
      </c>
      <c r="BC66" s="3265">
        <v>1.2899999999999999E-4</v>
      </c>
      <c r="BD66" s="3265">
        <v>9.8551000000000002</v>
      </c>
      <c r="BE66" s="3265">
        <v>3994.76</v>
      </c>
      <c r="BF66" s="3265">
        <v>38.32</v>
      </c>
      <c r="BG66" s="3265"/>
      <c r="BH66" s="3265"/>
      <c r="BI66" s="3265"/>
      <c r="BJ66" s="3265"/>
      <c r="BK66" s="3265"/>
      <c r="BL66" s="3265"/>
      <c r="BM66" s="3265"/>
      <c r="BN66" s="3265"/>
      <c r="BO66" s="3265"/>
      <c r="BP66" s="3265"/>
    </row>
    <row r="67" spans="1:68" ht="12.75" customHeight="1" x14ac:dyDescent="0.25">
      <c r="A67" s="3263" t="s">
        <v>4315</v>
      </c>
      <c r="B67" s="3265" t="s">
        <v>4316</v>
      </c>
      <c r="C67" s="3265" t="s">
        <v>842</v>
      </c>
      <c r="D67" s="3265">
        <v>1</v>
      </c>
      <c r="E67" s="3265"/>
      <c r="F67" s="3263" t="s">
        <v>4315</v>
      </c>
      <c r="G67" s="3265"/>
      <c r="H67" s="3265"/>
      <c r="I67" s="3265"/>
      <c r="J67" s="3265"/>
      <c r="K67" s="3265"/>
      <c r="L67" s="3265"/>
      <c r="M67" s="3265"/>
      <c r="N67" s="3265"/>
      <c r="O67" s="3265"/>
      <c r="P67" s="3265"/>
      <c r="Q67" s="3265"/>
      <c r="R67" s="3265"/>
      <c r="S67" s="3265"/>
      <c r="T67" s="3268">
        <v>105.1</v>
      </c>
      <c r="U67" s="3268">
        <v>0.7</v>
      </c>
      <c r="V67" s="3268">
        <v>1.19</v>
      </c>
      <c r="W67" s="3268">
        <v>30.2</v>
      </c>
      <c r="X67" s="3268" t="s">
        <v>4459</v>
      </c>
      <c r="Y67" s="3268"/>
      <c r="Z67" s="3268"/>
      <c r="AA67" s="3268"/>
      <c r="AB67" s="3268"/>
      <c r="AC67" s="3268">
        <v>268.5</v>
      </c>
      <c r="AD67" s="3268">
        <v>28</v>
      </c>
      <c r="AE67" s="3268"/>
      <c r="AF67" s="3268"/>
      <c r="AG67" s="3268"/>
      <c r="AH67" s="3268"/>
      <c r="AI67" s="3268"/>
      <c r="AJ67" s="3268">
        <v>138</v>
      </c>
      <c r="AK67" s="3268">
        <v>1.53</v>
      </c>
      <c r="AL67" s="3268"/>
      <c r="AM67" s="3268"/>
      <c r="AN67" s="3268">
        <v>2</v>
      </c>
      <c r="AO67" s="3268">
        <v>0</v>
      </c>
      <c r="AP67" s="3268">
        <v>1</v>
      </c>
      <c r="AQ67" s="3268" t="s">
        <v>139</v>
      </c>
      <c r="AR67" s="3268" t="s">
        <v>138</v>
      </c>
      <c r="AS67" s="3265"/>
      <c r="AT67" s="3265"/>
      <c r="AU67" s="3265"/>
      <c r="AV67" s="3265"/>
      <c r="AW67" s="3265">
        <v>1.135</v>
      </c>
      <c r="AX67" s="3265">
        <v>8.03E-4</v>
      </c>
      <c r="AY67" s="3265">
        <v>0.44700000000000001</v>
      </c>
      <c r="AZ67" s="3265">
        <v>9.3999999999999997E-4</v>
      </c>
      <c r="BA67" s="3265">
        <v>194.4</v>
      </c>
      <c r="BB67" s="3265">
        <v>0.11</v>
      </c>
      <c r="BC67" s="3265">
        <v>2.4000000000000001E-4</v>
      </c>
      <c r="BD67" s="3265">
        <v>13.124000000000001</v>
      </c>
      <c r="BE67" s="3265">
        <v>6176.66</v>
      </c>
      <c r="BF67" s="3265">
        <v>71.430000000000007</v>
      </c>
      <c r="BG67" s="3265"/>
      <c r="BH67" s="3265"/>
      <c r="BI67" s="3265"/>
      <c r="BJ67" s="3265"/>
      <c r="BK67" s="3265"/>
      <c r="BL67" s="3265"/>
      <c r="BM67" s="3265"/>
      <c r="BN67" s="3265"/>
      <c r="BO67" s="3265"/>
      <c r="BP67" s="3265"/>
    </row>
    <row r="68" spans="1:68" ht="12.75" customHeight="1" x14ac:dyDescent="0.25">
      <c r="A68" s="3263" t="s">
        <v>3109</v>
      </c>
      <c r="B68" s="3265" t="s">
        <v>4317</v>
      </c>
      <c r="C68" s="3265" t="s">
        <v>842</v>
      </c>
      <c r="D68" s="3265">
        <v>1</v>
      </c>
      <c r="E68" s="3265"/>
      <c r="F68" s="3263" t="s">
        <v>3109</v>
      </c>
      <c r="G68" s="3265"/>
      <c r="H68" s="3265"/>
      <c r="I68" s="3265"/>
      <c r="J68" s="3265"/>
      <c r="K68" s="3265"/>
      <c r="L68" s="3265"/>
      <c r="M68" s="3265"/>
      <c r="N68" s="3265"/>
      <c r="O68" s="3265"/>
      <c r="P68" s="3265"/>
      <c r="Q68" s="3265"/>
      <c r="R68" s="3265"/>
      <c r="S68" s="3265"/>
      <c r="T68" s="3268">
        <v>134.22</v>
      </c>
      <c r="U68" s="3268">
        <v>5.6</v>
      </c>
      <c r="V68" s="3268">
        <v>61.9</v>
      </c>
      <c r="W68" s="3268">
        <v>364</v>
      </c>
      <c r="X68" s="3268" t="s">
        <v>4459</v>
      </c>
      <c r="Y68" s="3268"/>
      <c r="Z68" s="3268"/>
      <c r="AA68" s="3268"/>
      <c r="AB68" s="3268"/>
      <c r="AC68" s="3268">
        <v>181.1</v>
      </c>
      <c r="AD68" s="3268">
        <v>-83.9</v>
      </c>
      <c r="AE68" s="3268"/>
      <c r="AF68" s="3268"/>
      <c r="AG68" s="3268"/>
      <c r="AH68" s="3268"/>
      <c r="AI68" s="3268"/>
      <c r="AJ68" s="3268">
        <v>56</v>
      </c>
      <c r="AK68" s="3268">
        <v>0.67</v>
      </c>
      <c r="AL68" s="3268">
        <v>6.03</v>
      </c>
      <c r="AM68" s="3268">
        <v>450</v>
      </c>
      <c r="AN68" s="3268">
        <v>2</v>
      </c>
      <c r="AO68" s="3268">
        <v>2</v>
      </c>
      <c r="AP68" s="3268">
        <v>0</v>
      </c>
      <c r="AQ68" s="3268"/>
      <c r="AR68" s="3268"/>
      <c r="AS68" s="3265"/>
      <c r="AT68" s="3265" t="s">
        <v>1091</v>
      </c>
      <c r="AU68" s="3265"/>
      <c r="AV68" s="3265"/>
      <c r="AW68" s="3265">
        <v>0.88200000000000001</v>
      </c>
      <c r="AX68" s="3265">
        <v>8.7900000000000001E-4</v>
      </c>
      <c r="AY68" s="3265">
        <v>0.40600000000000003</v>
      </c>
      <c r="AZ68" s="3265">
        <v>1.003E-3</v>
      </c>
      <c r="BA68" s="3265">
        <v>94.6</v>
      </c>
      <c r="BB68" s="3265">
        <v>0.10630000000000001</v>
      </c>
      <c r="BC68" s="3265">
        <v>1.3200000000000001E-4</v>
      </c>
      <c r="BD68" s="3265">
        <v>9.8676999999999992</v>
      </c>
      <c r="BE68" s="3265">
        <v>3891.8</v>
      </c>
      <c r="BF68" s="3265">
        <v>60.01</v>
      </c>
      <c r="BG68" s="3265"/>
      <c r="BH68" s="3265"/>
      <c r="BI68" s="3265"/>
      <c r="BJ68" s="3265"/>
      <c r="BK68" s="3265"/>
      <c r="BL68" s="3265"/>
      <c r="BM68" s="3265"/>
      <c r="BN68" s="3265"/>
      <c r="BO68" s="3265"/>
      <c r="BP68" s="3265"/>
    </row>
    <row r="69" spans="1:68" ht="12.75" customHeight="1" x14ac:dyDescent="0.25">
      <c r="A69" s="3282" t="s">
        <v>4210</v>
      </c>
      <c r="B69" s="3264" t="s">
        <v>3384</v>
      </c>
      <c r="C69" s="3265" t="s">
        <v>842</v>
      </c>
      <c r="D69" s="3265">
        <v>1</v>
      </c>
      <c r="E69" s="3265"/>
      <c r="F69" s="3282" t="s">
        <v>3109</v>
      </c>
      <c r="G69" s="3265"/>
      <c r="H69" s="3265"/>
      <c r="I69" s="3265"/>
      <c r="J69" s="3265"/>
      <c r="K69" s="3265"/>
      <c r="L69" s="3265"/>
      <c r="M69" s="3265"/>
      <c r="N69" s="3265"/>
      <c r="O69" s="3265"/>
      <c r="P69" s="3265"/>
      <c r="Q69" s="3265"/>
      <c r="R69" s="3265"/>
      <c r="S69" s="3265"/>
      <c r="T69" s="3265">
        <v>134.22</v>
      </c>
      <c r="U69" s="3265">
        <v>10</v>
      </c>
      <c r="V69" s="3265">
        <v>100</v>
      </c>
      <c r="W69" s="3265">
        <v>500</v>
      </c>
      <c r="X69" s="3265" t="s">
        <v>4259</v>
      </c>
      <c r="Y69" s="3265"/>
      <c r="Z69" s="3266"/>
      <c r="AA69" s="3266"/>
      <c r="AB69" s="3265"/>
      <c r="AC69" s="3265">
        <v>181.1</v>
      </c>
      <c r="AD69" s="3265">
        <v>-83.9</v>
      </c>
      <c r="AE69" s="3265"/>
      <c r="AF69" s="3265"/>
      <c r="AG69" s="3265"/>
      <c r="AH69" s="3265"/>
      <c r="AI69" s="3265"/>
      <c r="AJ69" s="3265">
        <v>56</v>
      </c>
      <c r="AK69" s="3265">
        <v>0.67</v>
      </c>
      <c r="AL69" s="3265">
        <v>6.03</v>
      </c>
      <c r="AM69" s="3265">
        <v>450</v>
      </c>
      <c r="AN69" s="3265">
        <v>2</v>
      </c>
      <c r="AO69" s="3265">
        <v>2</v>
      </c>
      <c r="AP69" s="3265">
        <v>0</v>
      </c>
      <c r="AQ69" s="3265"/>
      <c r="AR69" s="3265"/>
      <c r="AS69" s="3265"/>
      <c r="AT69" s="3265" t="s">
        <v>1091</v>
      </c>
      <c r="AU69" s="3265"/>
      <c r="AV69" s="3265"/>
      <c r="AW69" s="3265">
        <v>0.88200000000000001</v>
      </c>
      <c r="AX69" s="3265">
        <v>8.7900000000000001E-4</v>
      </c>
      <c r="AY69" s="3265">
        <v>0.40600000000000003</v>
      </c>
      <c r="AZ69" s="3267">
        <v>1.003E-3</v>
      </c>
      <c r="BA69" s="3265">
        <v>94.6</v>
      </c>
      <c r="BB69" s="3265">
        <v>0.10630000000000001</v>
      </c>
      <c r="BC69" s="3265">
        <v>1.3200000000000001E-4</v>
      </c>
      <c r="BD69" s="3265">
        <v>9.8676999999999992</v>
      </c>
      <c r="BE69" s="3265">
        <v>3891.8</v>
      </c>
      <c r="BF69" s="3265">
        <v>60.01</v>
      </c>
      <c r="BG69" s="3265"/>
      <c r="BH69" s="3265"/>
      <c r="BI69" s="3265"/>
      <c r="BJ69" s="3265"/>
      <c r="BK69" s="3265"/>
      <c r="BL69" s="3265"/>
      <c r="BM69" s="3265"/>
      <c r="BN69" s="3265"/>
      <c r="BO69" s="3265"/>
      <c r="BP69" s="3265"/>
    </row>
    <row r="70" spans="1:68" ht="12.75" customHeight="1" x14ac:dyDescent="0.25">
      <c r="A70" s="3263" t="s">
        <v>4318</v>
      </c>
      <c r="B70" s="3265" t="s">
        <v>4319</v>
      </c>
      <c r="C70" s="3265" t="s">
        <v>842</v>
      </c>
      <c r="D70" s="3265">
        <v>1</v>
      </c>
      <c r="E70" s="3265"/>
      <c r="F70" s="3263" t="s">
        <v>4318</v>
      </c>
      <c r="G70" s="3265"/>
      <c r="H70" s="3265"/>
      <c r="I70" s="3265"/>
      <c r="J70" s="3265"/>
      <c r="K70" s="3265"/>
      <c r="L70" s="3265"/>
      <c r="M70" s="3265"/>
      <c r="N70" s="3265"/>
      <c r="O70" s="3265"/>
      <c r="P70" s="3265"/>
      <c r="Q70" s="3265"/>
      <c r="R70" s="3265"/>
      <c r="S70" s="3265"/>
      <c r="T70" s="3268">
        <v>86.13</v>
      </c>
      <c r="U70" s="3268">
        <v>300</v>
      </c>
      <c r="V70" s="3268">
        <v>300</v>
      </c>
      <c r="W70" s="3268">
        <v>310</v>
      </c>
      <c r="X70" s="3268" t="s">
        <v>4459</v>
      </c>
      <c r="Y70" s="3268"/>
      <c r="Z70" s="3268"/>
      <c r="AA70" s="3268"/>
      <c r="AB70" s="3268"/>
      <c r="AC70" s="3268">
        <v>102</v>
      </c>
      <c r="AD70" s="3268">
        <v>-39.9</v>
      </c>
      <c r="AE70" s="3268"/>
      <c r="AF70" s="3268"/>
      <c r="AG70" s="3268"/>
      <c r="AH70" s="3268"/>
      <c r="AI70" s="3268"/>
      <c r="AJ70" s="3268">
        <v>13</v>
      </c>
      <c r="AK70" s="3268">
        <v>1.6</v>
      </c>
      <c r="AL70" s="3268"/>
      <c r="AM70" s="3268"/>
      <c r="AN70" s="3268">
        <v>2</v>
      </c>
      <c r="AO70" s="3268">
        <v>3</v>
      </c>
      <c r="AP70" s="3268">
        <v>0</v>
      </c>
      <c r="AQ70" s="3268"/>
      <c r="AR70" s="3268"/>
      <c r="AS70" s="3265"/>
      <c r="AT70" s="3265"/>
      <c r="AU70" s="3265"/>
      <c r="AV70" s="3265" t="s">
        <v>158</v>
      </c>
      <c r="AW70" s="3265">
        <v>0.83199999999999996</v>
      </c>
      <c r="AX70" s="3265">
        <v>1.1069999999999999E-3</v>
      </c>
      <c r="AY70" s="3265">
        <v>0.48099999999999998</v>
      </c>
      <c r="AZ70" s="3265">
        <v>9.276E-4</v>
      </c>
      <c r="BA70" s="3265">
        <v>110.7</v>
      </c>
      <c r="BB70" s="3265">
        <v>0.14439399999999999</v>
      </c>
      <c r="BC70" s="3265">
        <v>2.7999999999999998E-4</v>
      </c>
      <c r="BD70" s="3265">
        <v>9.6967999999999996</v>
      </c>
      <c r="BE70" s="3265">
        <v>3112.79</v>
      </c>
      <c r="BF70" s="3265">
        <v>54.22</v>
      </c>
      <c r="BG70" s="3265"/>
      <c r="BH70" s="3265"/>
      <c r="BI70" s="3265"/>
      <c r="BJ70" s="3265"/>
      <c r="BK70" s="3265"/>
      <c r="BL70" s="3265"/>
      <c r="BM70" s="3265"/>
      <c r="BN70" s="3265"/>
      <c r="BO70" s="3265"/>
      <c r="BP70" s="3265"/>
    </row>
    <row r="71" spans="1:68" ht="12.75" customHeight="1" x14ac:dyDescent="0.25">
      <c r="A71" s="3263" t="s">
        <v>4320</v>
      </c>
      <c r="B71" s="3265" t="s">
        <v>4321</v>
      </c>
      <c r="C71" s="3265" t="s">
        <v>842</v>
      </c>
      <c r="D71" s="3265">
        <v>1</v>
      </c>
      <c r="E71" s="3265"/>
      <c r="F71" s="3263" t="s">
        <v>4320</v>
      </c>
      <c r="G71" s="3265"/>
      <c r="H71" s="3265"/>
      <c r="I71" s="3265"/>
      <c r="J71" s="3265"/>
      <c r="K71" s="3265"/>
      <c r="L71" s="3265"/>
      <c r="M71" s="3265"/>
      <c r="N71" s="3265"/>
      <c r="O71" s="3265"/>
      <c r="P71" s="3265"/>
      <c r="Q71" s="3265"/>
      <c r="R71" s="3265"/>
      <c r="S71" s="3265"/>
      <c r="T71" s="3268">
        <v>154.19</v>
      </c>
      <c r="U71" s="3268">
        <v>0.16</v>
      </c>
      <c r="V71" s="3268">
        <v>1.7</v>
      </c>
      <c r="W71" s="3268">
        <v>11</v>
      </c>
      <c r="X71" s="3268" t="s">
        <v>4459</v>
      </c>
      <c r="Y71" s="3268"/>
      <c r="Z71" s="3268"/>
      <c r="AA71" s="3268"/>
      <c r="AB71" s="3268"/>
      <c r="AC71" s="3268">
        <v>209.5</v>
      </c>
      <c r="AD71" s="3268">
        <v>-25</v>
      </c>
      <c r="AE71" s="3268"/>
      <c r="AF71" s="3268"/>
      <c r="AG71" s="3268"/>
      <c r="AH71" s="3268"/>
      <c r="AI71" s="3268"/>
      <c r="AJ71" s="3268">
        <v>78</v>
      </c>
      <c r="AK71" s="3268">
        <v>1.6</v>
      </c>
      <c r="AL71" s="3268"/>
      <c r="AM71" s="3268"/>
      <c r="AN71" s="3268">
        <v>3</v>
      </c>
      <c r="AO71" s="3268">
        <v>1</v>
      </c>
      <c r="AP71" s="3268">
        <v>1</v>
      </c>
      <c r="AQ71" s="3268"/>
      <c r="AR71" s="3268"/>
      <c r="AS71" s="3265"/>
      <c r="AT71" s="3265"/>
      <c r="AU71" s="3265"/>
      <c r="AV71" s="3265"/>
      <c r="AW71" s="3265">
        <v>1.2090000000000001</v>
      </c>
      <c r="AX71" s="3265">
        <v>1.1850000000000001E-3</v>
      </c>
      <c r="AY71" s="3265">
        <v>0.33100000000000002</v>
      </c>
      <c r="AZ71" s="3265">
        <v>6.1609999999999996E-4</v>
      </c>
      <c r="BA71" s="3265">
        <v>89.3</v>
      </c>
      <c r="BB71" s="3265">
        <v>5.6462999999999999E-2</v>
      </c>
      <c r="BC71" s="3265">
        <v>9.9400000000000004E-5</v>
      </c>
      <c r="BD71" s="3265">
        <v>10.886900000000001</v>
      </c>
      <c r="BE71" s="3265">
        <v>4678.43</v>
      </c>
      <c r="BF71" s="3265">
        <v>52.92</v>
      </c>
      <c r="BG71" s="3265"/>
      <c r="BH71" s="3265"/>
      <c r="BI71" s="3265"/>
      <c r="BJ71" s="3265"/>
      <c r="BK71" s="3265"/>
      <c r="BL71" s="3265"/>
      <c r="BM71" s="3265"/>
      <c r="BN71" s="3265"/>
      <c r="BO71" s="3265"/>
      <c r="BP71" s="3265"/>
    </row>
    <row r="72" spans="1:68" ht="12.75" customHeight="1" x14ac:dyDescent="0.25">
      <c r="A72" s="3263" t="s">
        <v>4322</v>
      </c>
      <c r="B72" s="3265" t="s">
        <v>4323</v>
      </c>
      <c r="C72" s="3265" t="s">
        <v>842</v>
      </c>
      <c r="D72" s="3265">
        <v>1</v>
      </c>
      <c r="E72" s="3265"/>
      <c r="F72" s="3263" t="s">
        <v>4322</v>
      </c>
      <c r="G72" s="3265"/>
      <c r="H72" s="3265"/>
      <c r="I72" s="3265"/>
      <c r="J72" s="3265"/>
      <c r="K72" s="3265"/>
      <c r="L72" s="3265"/>
      <c r="M72" s="3265"/>
      <c r="N72" s="3265"/>
      <c r="O72" s="3265"/>
      <c r="P72" s="3265"/>
      <c r="Q72" s="3265"/>
      <c r="R72" s="3265"/>
      <c r="S72" s="3265"/>
      <c r="T72" s="3268">
        <v>73.14</v>
      </c>
      <c r="U72" s="3268">
        <v>15</v>
      </c>
      <c r="V72" s="3268">
        <v>330</v>
      </c>
      <c r="W72" s="3268">
        <v>2000</v>
      </c>
      <c r="X72" s="3268" t="s">
        <v>4459</v>
      </c>
      <c r="Y72" s="3268"/>
      <c r="Z72" s="3268"/>
      <c r="AA72" s="3268"/>
      <c r="AB72" s="3268"/>
      <c r="AC72" s="3268">
        <v>55.5</v>
      </c>
      <c r="AD72" s="3268">
        <v>-50</v>
      </c>
      <c r="AE72" s="3268"/>
      <c r="AF72" s="3268"/>
      <c r="AG72" s="3268"/>
      <c r="AH72" s="3268"/>
      <c r="AI72" s="3268"/>
      <c r="AJ72" s="3268">
        <v>-23</v>
      </c>
      <c r="AK72" s="3268">
        <v>1.8</v>
      </c>
      <c r="AL72" s="3268"/>
      <c r="AM72" s="3268"/>
      <c r="AN72" s="3268">
        <v>3</v>
      </c>
      <c r="AO72" s="3268">
        <v>3</v>
      </c>
      <c r="AP72" s="3268">
        <v>0</v>
      </c>
      <c r="AQ72" s="3268"/>
      <c r="AR72" s="3268"/>
      <c r="AS72" s="3265" t="s">
        <v>1091</v>
      </c>
      <c r="AT72" s="3265"/>
      <c r="AU72" s="3265"/>
      <c r="AV72" s="3265"/>
      <c r="AW72" s="3265">
        <v>0.71599999999999997</v>
      </c>
      <c r="AX72" s="3265">
        <v>9.8499999999999998E-4</v>
      </c>
      <c r="AY72" s="3265">
        <v>0.56000000000000005</v>
      </c>
      <c r="AZ72" s="3265">
        <v>1.1199999999999999E-3</v>
      </c>
      <c r="BA72" s="3265">
        <v>107.6</v>
      </c>
      <c r="BB72" s="3265">
        <v>0.22589999999999999</v>
      </c>
      <c r="BC72" s="3265">
        <v>2.6499999999999999E-4</v>
      </c>
      <c r="BD72" s="3265">
        <v>9.6786999999999992</v>
      </c>
      <c r="BE72" s="3265">
        <v>2751.97</v>
      </c>
      <c r="BF72" s="3265">
        <v>44.95</v>
      </c>
      <c r="BG72" s="3265"/>
      <c r="BH72" s="3265"/>
      <c r="BI72" s="3265"/>
      <c r="BJ72" s="3265"/>
      <c r="BK72" s="3265"/>
      <c r="BL72" s="3265"/>
      <c r="BM72" s="3265"/>
      <c r="BN72" s="3265"/>
      <c r="BO72" s="3265"/>
      <c r="BP72" s="3265"/>
    </row>
    <row r="73" spans="1:68" ht="12.75" customHeight="1" x14ac:dyDescent="0.25">
      <c r="A73" s="3263" t="s">
        <v>4460</v>
      </c>
      <c r="B73" s="3265" t="s">
        <v>3384</v>
      </c>
      <c r="C73" s="3265" t="s">
        <v>842</v>
      </c>
      <c r="D73" s="3265">
        <v>1</v>
      </c>
      <c r="E73" s="3265"/>
      <c r="F73" s="3263" t="s">
        <v>4324</v>
      </c>
      <c r="G73" s="3265"/>
      <c r="H73" s="3265"/>
      <c r="I73" s="3265"/>
      <c r="J73" s="3265"/>
      <c r="K73" s="3265"/>
      <c r="L73" s="3265"/>
      <c r="M73" s="3265"/>
      <c r="N73" s="3265"/>
      <c r="O73" s="3265"/>
      <c r="P73" s="3265"/>
      <c r="Q73" s="3265"/>
      <c r="R73" s="3265"/>
      <c r="S73" s="3265"/>
      <c r="T73" s="3268">
        <v>134.22</v>
      </c>
      <c r="U73" s="3268">
        <v>10</v>
      </c>
      <c r="V73" s="3268">
        <v>100</v>
      </c>
      <c r="W73" s="3268">
        <v>500</v>
      </c>
      <c r="X73" s="3268" t="s">
        <v>4259</v>
      </c>
      <c r="Y73" s="3268"/>
      <c r="Z73" s="3268"/>
      <c r="AA73" s="3268"/>
      <c r="AB73" s="3268"/>
      <c r="AC73" s="3268">
        <v>181.1</v>
      </c>
      <c r="AD73" s="3268">
        <v>-73</v>
      </c>
      <c r="AE73" s="3268"/>
      <c r="AF73" s="3268"/>
      <c r="AG73" s="3268"/>
      <c r="AH73" s="3268"/>
      <c r="AI73" s="3268"/>
      <c r="AJ73" s="3268">
        <v>58</v>
      </c>
      <c r="AK73" s="3268">
        <v>0.67</v>
      </c>
      <c r="AL73" s="3268">
        <v>6</v>
      </c>
      <c r="AM73" s="3268">
        <v>420</v>
      </c>
      <c r="AN73" s="3268">
        <v>2</v>
      </c>
      <c r="AO73" s="3268">
        <v>2</v>
      </c>
      <c r="AP73" s="3268">
        <v>0</v>
      </c>
      <c r="AQ73" s="3268"/>
      <c r="AR73" s="3268"/>
      <c r="AS73" s="3265"/>
      <c r="AT73" s="3265" t="s">
        <v>1091</v>
      </c>
      <c r="AU73" s="3265"/>
      <c r="AV73" s="3265"/>
      <c r="AW73" s="3265">
        <v>0.88200000000000001</v>
      </c>
      <c r="AX73" s="3265">
        <v>8.7900000000000001E-4</v>
      </c>
      <c r="AY73" s="3265">
        <v>0.40600000000000003</v>
      </c>
      <c r="AZ73" s="3265">
        <v>1.003E-3</v>
      </c>
      <c r="BA73" s="3265">
        <v>94.6</v>
      </c>
      <c r="BB73" s="3265">
        <v>0.10630000000000001</v>
      </c>
      <c r="BC73" s="3265">
        <v>1.3200000000000001E-4</v>
      </c>
      <c r="BD73" s="3265">
        <v>9.8676999999999992</v>
      </c>
      <c r="BE73" s="3265">
        <v>3891.8</v>
      </c>
      <c r="BF73" s="3265">
        <v>60.01</v>
      </c>
      <c r="BG73" s="3265"/>
      <c r="BH73" s="3265"/>
      <c r="BI73" s="3265"/>
      <c r="BJ73" s="3265"/>
      <c r="BK73" s="3265"/>
      <c r="BL73" s="3265"/>
      <c r="BM73" s="3265"/>
      <c r="BN73" s="3265"/>
      <c r="BO73" s="3265"/>
      <c r="BP73" s="3265"/>
    </row>
    <row r="74" spans="1:68" ht="12.75" customHeight="1" x14ac:dyDescent="0.25">
      <c r="A74" s="3263" t="s">
        <v>4325</v>
      </c>
      <c r="B74" s="3265" t="s">
        <v>4326</v>
      </c>
      <c r="C74" s="3265" t="s">
        <v>842</v>
      </c>
      <c r="D74" s="3265">
        <v>1</v>
      </c>
      <c r="E74" s="3265"/>
      <c r="F74" s="3263" t="s">
        <v>4325</v>
      </c>
      <c r="G74" s="3265"/>
      <c r="H74" s="3265"/>
      <c r="I74" s="3265"/>
      <c r="J74" s="3265"/>
      <c r="K74" s="3265"/>
      <c r="L74" s="3265"/>
      <c r="M74" s="3265"/>
      <c r="N74" s="3265"/>
      <c r="O74" s="3265"/>
      <c r="P74" s="3265"/>
      <c r="Q74" s="3265"/>
      <c r="R74" s="3265"/>
      <c r="S74" s="3265"/>
      <c r="T74" s="3268">
        <v>103.2</v>
      </c>
      <c r="U74" s="3268">
        <v>3</v>
      </c>
      <c r="V74" s="3268">
        <v>8.5</v>
      </c>
      <c r="W74" s="3268">
        <v>50</v>
      </c>
      <c r="X74" s="3268" t="s">
        <v>4459</v>
      </c>
      <c r="Y74" s="3268"/>
      <c r="Z74" s="3268"/>
      <c r="AA74" s="3268"/>
      <c r="AB74" s="3268"/>
      <c r="AC74" s="3268">
        <v>206.5</v>
      </c>
      <c r="AD74" s="3268">
        <v>-39</v>
      </c>
      <c r="AE74" s="3268"/>
      <c r="AF74" s="3268"/>
      <c r="AG74" s="3268"/>
      <c r="AH74" s="3268"/>
      <c r="AI74" s="3268"/>
      <c r="AJ74" s="3268">
        <v>95</v>
      </c>
      <c r="AK74" s="3268">
        <v>2</v>
      </c>
      <c r="AL74" s="3268">
        <v>6.7</v>
      </c>
      <c r="AM74" s="3268">
        <v>358</v>
      </c>
      <c r="AN74" s="3268">
        <v>3</v>
      </c>
      <c r="AO74" s="3268">
        <v>1</v>
      </c>
      <c r="AP74" s="3268">
        <v>0</v>
      </c>
      <c r="AQ74" s="3268" t="s">
        <v>139</v>
      </c>
      <c r="AR74" s="3268" t="s">
        <v>138</v>
      </c>
      <c r="AS74" s="3265" t="s">
        <v>599</v>
      </c>
      <c r="AT74" s="3265"/>
      <c r="AU74" s="3265"/>
      <c r="AV74" s="3265"/>
      <c r="AW74" s="3265">
        <v>0.97599999999999998</v>
      </c>
      <c r="AX74" s="3265">
        <v>1.096E-3</v>
      </c>
      <c r="AY74" s="3265">
        <v>0.53</v>
      </c>
      <c r="AZ74" s="3265">
        <v>8.6799999999999996E-4</v>
      </c>
      <c r="BA74" s="3265">
        <v>146.4</v>
      </c>
      <c r="BB74" s="3265">
        <v>0.13075000000000001</v>
      </c>
      <c r="BC74" s="3265">
        <v>2.61E-4</v>
      </c>
      <c r="BD74" s="3265">
        <v>10.493399999999999</v>
      </c>
      <c r="BE74" s="3265">
        <v>4266.79</v>
      </c>
      <c r="BF74" s="3265">
        <v>74.069999999999993</v>
      </c>
      <c r="BG74" s="3265"/>
      <c r="BH74" s="3265"/>
      <c r="BI74" s="3265"/>
      <c r="BJ74" s="3265"/>
      <c r="BK74" s="3265"/>
      <c r="BL74" s="3265"/>
      <c r="BM74" s="3265"/>
      <c r="BN74" s="3265"/>
      <c r="BO74" s="3265"/>
      <c r="BP74" s="3265"/>
    </row>
    <row r="75" spans="1:68" ht="12.75" customHeight="1" x14ac:dyDescent="0.25">
      <c r="A75" s="3263" t="s">
        <v>3506</v>
      </c>
      <c r="B75" s="3264" t="s">
        <v>3507</v>
      </c>
      <c r="C75" s="3265" t="s">
        <v>842</v>
      </c>
      <c r="D75" s="3265">
        <v>1</v>
      </c>
      <c r="E75" s="3265"/>
      <c r="F75" s="3263" t="s">
        <v>3506</v>
      </c>
      <c r="G75" s="3265"/>
      <c r="H75" s="3265"/>
      <c r="I75" s="3265"/>
      <c r="J75" s="3265"/>
      <c r="K75" s="3265"/>
      <c r="L75" s="3265"/>
      <c r="M75" s="3265"/>
      <c r="N75" s="3265"/>
      <c r="O75" s="3265"/>
      <c r="P75" s="3265"/>
      <c r="Q75" s="3265"/>
      <c r="R75" s="3265"/>
      <c r="S75" s="3265"/>
      <c r="T75" s="3265">
        <v>66.05</v>
      </c>
      <c r="U75" s="3265">
        <v>10000</v>
      </c>
      <c r="V75" s="3265">
        <v>15000</v>
      </c>
      <c r="W75" s="3265">
        <v>25000</v>
      </c>
      <c r="X75" s="3265" t="s">
        <v>4259</v>
      </c>
      <c r="Y75" s="3265"/>
      <c r="Z75" s="3266"/>
      <c r="AA75" s="3266"/>
      <c r="AB75" s="3265"/>
      <c r="AC75" s="3265">
        <v>-24</v>
      </c>
      <c r="AD75" s="3265">
        <v>-117</v>
      </c>
      <c r="AE75" s="3265"/>
      <c r="AF75" s="3265"/>
      <c r="AG75" s="3265"/>
      <c r="AH75" s="3265"/>
      <c r="AI75" s="3265"/>
      <c r="AJ75" s="3265">
        <v>-79</v>
      </c>
      <c r="AK75" s="3265">
        <v>3.7</v>
      </c>
      <c r="AL75" s="3265">
        <v>20.2</v>
      </c>
      <c r="AM75" s="3265"/>
      <c r="AN75" s="3265">
        <v>1</v>
      </c>
      <c r="AO75" s="3265">
        <v>4</v>
      </c>
      <c r="AP75" s="3265">
        <v>1</v>
      </c>
      <c r="AQ75" s="3265"/>
      <c r="AR75" s="3265"/>
      <c r="AS75" s="3265"/>
      <c r="AT75" s="3265"/>
      <c r="AU75" s="3265"/>
      <c r="AV75" s="3265"/>
      <c r="AW75" s="3265">
        <v>0.96099999999999997</v>
      </c>
      <c r="AX75" s="3265">
        <v>1.92E-3</v>
      </c>
      <c r="AY75" s="3265">
        <v>0.46500000000000002</v>
      </c>
      <c r="AZ75" s="3267">
        <v>7.9000000000000001E-4</v>
      </c>
      <c r="BA75" s="3265">
        <v>72</v>
      </c>
      <c r="BB75" s="3265">
        <v>0.27900000000000003</v>
      </c>
      <c r="BC75" s="3265">
        <v>4.2000000000000002E-4</v>
      </c>
      <c r="BD75" s="3265">
        <v>9.3719000000000001</v>
      </c>
      <c r="BE75" s="3265">
        <v>1985.55</v>
      </c>
      <c r="BF75" s="3265">
        <v>37.21</v>
      </c>
      <c r="BG75" s="3265"/>
      <c r="BH75" s="3265"/>
      <c r="BI75" s="3265"/>
      <c r="BJ75" s="3265"/>
      <c r="BK75" s="3265"/>
      <c r="BL75" s="3265"/>
      <c r="BM75" s="3265"/>
      <c r="BN75" s="3265"/>
      <c r="BO75" s="3265"/>
      <c r="BP75" s="3265"/>
    </row>
    <row r="76" spans="1:68" ht="12.75" customHeight="1" x14ac:dyDescent="0.25">
      <c r="A76" s="3263" t="s">
        <v>1677</v>
      </c>
      <c r="B76" s="3318" t="s">
        <v>960</v>
      </c>
      <c r="C76" s="3265" t="s">
        <v>842</v>
      </c>
      <c r="D76" s="3265">
        <v>1</v>
      </c>
      <c r="E76" s="3265"/>
      <c r="F76" s="3263" t="s">
        <v>1677</v>
      </c>
      <c r="G76" s="3265"/>
      <c r="H76" s="3265"/>
      <c r="I76" s="3265"/>
      <c r="J76" s="3265"/>
      <c r="K76" s="3265"/>
      <c r="L76" s="3265"/>
      <c r="M76" s="3265"/>
      <c r="N76" s="3265"/>
      <c r="O76" s="3265"/>
      <c r="P76" s="3265"/>
      <c r="Q76" s="3265"/>
      <c r="R76" s="3265"/>
      <c r="S76" s="3265"/>
      <c r="T76" s="3265">
        <v>142.19999999999999</v>
      </c>
      <c r="U76" s="3268">
        <v>25</v>
      </c>
      <c r="V76" s="3268">
        <v>25</v>
      </c>
      <c r="W76" s="3268">
        <v>2000</v>
      </c>
      <c r="X76" s="3265" t="s">
        <v>4459</v>
      </c>
      <c r="Y76" s="3265"/>
      <c r="Z76" s="3266"/>
      <c r="AA76" s="3266"/>
      <c r="AB76" s="3265"/>
      <c r="AC76" s="3265">
        <v>168</v>
      </c>
      <c r="AD76" s="3265">
        <v>-46</v>
      </c>
      <c r="AE76" s="3265"/>
      <c r="AF76" s="3265"/>
      <c r="AG76" s="3265"/>
      <c r="AH76" s="3265"/>
      <c r="AI76" s="3265"/>
      <c r="AJ76" s="3265">
        <v>49</v>
      </c>
      <c r="AK76" s="3265">
        <v>0.8</v>
      </c>
      <c r="AL76" s="3265"/>
      <c r="AM76" s="3265"/>
      <c r="AN76" s="3265">
        <v>2</v>
      </c>
      <c r="AO76" s="3265">
        <v>2</v>
      </c>
      <c r="AP76" s="3265">
        <v>0</v>
      </c>
      <c r="AQ76" s="3265" t="s">
        <v>139</v>
      </c>
      <c r="AR76" s="3265" t="s">
        <v>138</v>
      </c>
      <c r="AS76" s="3265"/>
      <c r="AT76" s="3265"/>
      <c r="AU76" s="3265"/>
      <c r="AV76" s="3265"/>
      <c r="AW76" s="3265">
        <v>0.82399999999999995</v>
      </c>
      <c r="AX76" s="3265">
        <v>8.9499999999999996E-4</v>
      </c>
      <c r="AY76" s="3265">
        <v>0.34</v>
      </c>
      <c r="AZ76" s="3267">
        <v>8.3000000000000001E-4</v>
      </c>
      <c r="BA76" s="3265">
        <v>87.2</v>
      </c>
      <c r="BB76" s="3265">
        <v>7.9500000000000001E-2</v>
      </c>
      <c r="BC76" s="3265">
        <v>1.55E-4</v>
      </c>
      <c r="BD76" s="3265">
        <v>9.8390000000000004</v>
      </c>
      <c r="BE76" s="3265">
        <v>3682.92</v>
      </c>
      <c r="BF76" s="3265">
        <v>67.19</v>
      </c>
      <c r="BG76" s="3265"/>
      <c r="BH76" s="3265"/>
      <c r="BI76" s="3265"/>
      <c r="BJ76" s="3265"/>
      <c r="BK76" s="3265"/>
      <c r="BL76" s="3265"/>
      <c r="BM76" s="3265"/>
      <c r="BN76" s="3265"/>
      <c r="BO76" s="3265"/>
      <c r="BP76" s="3265"/>
    </row>
    <row r="77" spans="1:68" ht="12.75" customHeight="1" x14ac:dyDescent="0.25">
      <c r="A77" s="3263" t="s">
        <v>961</v>
      </c>
      <c r="B77" s="3265" t="s">
        <v>1055</v>
      </c>
      <c r="C77" s="3265" t="s">
        <v>842</v>
      </c>
      <c r="D77" s="3265">
        <v>1</v>
      </c>
      <c r="E77" s="3265"/>
      <c r="F77" s="3263" t="s">
        <v>961</v>
      </c>
      <c r="G77" s="3265"/>
      <c r="H77" s="3265"/>
      <c r="I77" s="3265"/>
      <c r="J77" s="3265"/>
      <c r="K77" s="3265"/>
      <c r="L77" s="3265"/>
      <c r="M77" s="3265"/>
      <c r="N77" s="3265"/>
      <c r="O77" s="3265"/>
      <c r="P77" s="3265"/>
      <c r="Q77" s="3265"/>
      <c r="R77" s="3265"/>
      <c r="S77" s="3265"/>
      <c r="T77" s="3265">
        <v>112.21</v>
      </c>
      <c r="U77" s="3268">
        <v>225</v>
      </c>
      <c r="V77" s="3268">
        <v>2500</v>
      </c>
      <c r="W77" s="3268">
        <v>15000</v>
      </c>
      <c r="X77" s="3265" t="s">
        <v>4459</v>
      </c>
      <c r="Y77" s="3265"/>
      <c r="Z77" s="3266"/>
      <c r="AA77" s="3266"/>
      <c r="AB77" s="3265"/>
      <c r="AC77" s="3265">
        <v>101.4</v>
      </c>
      <c r="AD77" s="3265">
        <v>-93.5</v>
      </c>
      <c r="AE77" s="3265"/>
      <c r="AF77" s="3265"/>
      <c r="AG77" s="3265"/>
      <c r="AH77" s="3265"/>
      <c r="AI77" s="3265"/>
      <c r="AJ77" s="3265">
        <v>-6</v>
      </c>
      <c r="AK77" s="3265">
        <v>0.9</v>
      </c>
      <c r="AL77" s="3265"/>
      <c r="AM77" s="3265"/>
      <c r="AN77" s="3265">
        <v>2</v>
      </c>
      <c r="AO77" s="3265">
        <v>3</v>
      </c>
      <c r="AP77" s="3265">
        <v>0</v>
      </c>
      <c r="AQ77" s="3265"/>
      <c r="AR77" s="3265"/>
      <c r="AS77" s="3265"/>
      <c r="AT77" s="3265"/>
      <c r="AU77" s="3265"/>
      <c r="AV77" s="3265"/>
      <c r="AW77" s="3265">
        <v>0.72799999999999998</v>
      </c>
      <c r="AX77" s="3265">
        <v>9.2299999999999999E-4</v>
      </c>
      <c r="AY77" s="3265">
        <v>0.48499999999999999</v>
      </c>
      <c r="AZ77" s="3267">
        <v>1.0954999999999999E-3</v>
      </c>
      <c r="BA77" s="3265">
        <v>79.599999999999994</v>
      </c>
      <c r="BB77" s="3265">
        <v>0.116364</v>
      </c>
      <c r="BC77" s="3265">
        <v>1.94E-4</v>
      </c>
      <c r="BD77" s="3265">
        <v>9.1204000000000001</v>
      </c>
      <c r="BE77" s="3265">
        <v>2969.36</v>
      </c>
      <c r="BF77" s="3265">
        <v>49.61</v>
      </c>
      <c r="BG77" s="3265"/>
      <c r="BH77" s="3265"/>
      <c r="BI77" s="3265"/>
      <c r="BJ77" s="3265"/>
      <c r="BK77" s="3265"/>
      <c r="BL77" s="3265"/>
      <c r="BM77" s="3265"/>
      <c r="BN77" s="3265"/>
      <c r="BO77" s="3265"/>
      <c r="BP77" s="3265"/>
    </row>
    <row r="78" spans="1:68" ht="12.75" customHeight="1" x14ac:dyDescent="0.25">
      <c r="A78" s="3282" t="s">
        <v>1056</v>
      </c>
      <c r="B78" s="3265" t="s">
        <v>1057</v>
      </c>
      <c r="C78" s="3265" t="s">
        <v>842</v>
      </c>
      <c r="D78" s="3265">
        <v>1</v>
      </c>
      <c r="E78" s="3265"/>
      <c r="F78" s="3282" t="s">
        <v>1056</v>
      </c>
      <c r="G78" s="3265"/>
      <c r="H78" s="3265"/>
      <c r="I78" s="3265"/>
      <c r="J78" s="3265"/>
      <c r="K78" s="3265"/>
      <c r="L78" s="3265"/>
      <c r="M78" s="3265"/>
      <c r="N78" s="3265"/>
      <c r="O78" s="3265"/>
      <c r="P78" s="3265"/>
      <c r="Q78" s="3265"/>
      <c r="R78" s="3265"/>
      <c r="S78" s="3265"/>
      <c r="T78" s="3265">
        <v>84.08</v>
      </c>
      <c r="U78" s="3265">
        <v>1</v>
      </c>
      <c r="V78" s="3265">
        <v>5</v>
      </c>
      <c r="W78" s="3265">
        <v>50</v>
      </c>
      <c r="X78" s="3265" t="s">
        <v>4259</v>
      </c>
      <c r="Y78" s="3265" t="s">
        <v>289</v>
      </c>
      <c r="Z78" s="3266"/>
      <c r="AA78" s="3266"/>
      <c r="AB78" s="3265"/>
      <c r="AC78" s="3265">
        <v>127.4</v>
      </c>
      <c r="AD78" s="3265">
        <v>-6.5</v>
      </c>
      <c r="AE78" s="3265"/>
      <c r="AF78" s="3265"/>
      <c r="AG78" s="3265"/>
      <c r="AH78" s="3265"/>
      <c r="AI78" s="3265"/>
      <c r="AJ78" s="3265">
        <v>46</v>
      </c>
      <c r="AK78" s="3265"/>
      <c r="AL78" s="3265"/>
      <c r="AM78" s="3265"/>
      <c r="AN78" s="3265">
        <v>2</v>
      </c>
      <c r="AO78" s="3265">
        <v>3</v>
      </c>
      <c r="AP78" s="3265">
        <v>2</v>
      </c>
      <c r="AQ78" s="3265"/>
      <c r="AR78" s="3265"/>
      <c r="AS78" s="3265"/>
      <c r="AT78" s="3265"/>
      <c r="AU78" s="3265"/>
      <c r="AV78" s="3265"/>
      <c r="AW78" s="3265">
        <v>1.105</v>
      </c>
      <c r="AX78" s="3265">
        <v>1.212E-3</v>
      </c>
      <c r="AY78" s="3265">
        <v>0.43099999999999999</v>
      </c>
      <c r="AZ78" s="3267">
        <v>2.9599999999999998E-4</v>
      </c>
      <c r="BA78" s="3265">
        <v>132.4</v>
      </c>
      <c r="BB78" s="3265">
        <v>0.18751999999999999</v>
      </c>
      <c r="BC78" s="3265">
        <v>1.66E-4</v>
      </c>
      <c r="BD78" s="3265">
        <v>10.0335</v>
      </c>
      <c r="BE78" s="3265">
        <v>3486.1</v>
      </c>
      <c r="BF78" s="3265">
        <v>53.59</v>
      </c>
      <c r="BG78" s="3265"/>
      <c r="BH78" s="3265"/>
      <c r="BI78" s="3265"/>
      <c r="BJ78" s="3265"/>
      <c r="BK78" s="3265"/>
      <c r="BL78" s="3265"/>
      <c r="BM78" s="3265"/>
      <c r="BN78" s="3265"/>
      <c r="BO78" s="3265"/>
      <c r="BP78" s="3265"/>
    </row>
    <row r="79" spans="1:68" ht="12.75" customHeight="1" x14ac:dyDescent="0.25">
      <c r="A79" s="3263" t="s">
        <v>4327</v>
      </c>
      <c r="B79" s="3265" t="s">
        <v>4328</v>
      </c>
      <c r="C79" s="3265" t="s">
        <v>842</v>
      </c>
      <c r="D79" s="3265">
        <v>1</v>
      </c>
      <c r="E79" s="3265"/>
      <c r="F79" s="3263" t="s">
        <v>4327</v>
      </c>
      <c r="G79" s="3265"/>
      <c r="H79" s="3265"/>
      <c r="I79" s="3265"/>
      <c r="J79" s="3265"/>
      <c r="K79" s="3265"/>
      <c r="L79" s="3265"/>
      <c r="M79" s="3265"/>
      <c r="N79" s="3265"/>
      <c r="O79" s="3265"/>
      <c r="P79" s="3265"/>
      <c r="Q79" s="3265"/>
      <c r="R79" s="3265"/>
      <c r="S79" s="3265"/>
      <c r="T79" s="3268">
        <v>87.1</v>
      </c>
      <c r="U79" s="3268">
        <v>12</v>
      </c>
      <c r="V79" s="3268">
        <v>12</v>
      </c>
      <c r="W79" s="3268">
        <v>400</v>
      </c>
      <c r="X79" s="3268" t="s">
        <v>4459</v>
      </c>
      <c r="Y79" s="3268"/>
      <c r="Z79" s="3268"/>
      <c r="AA79" s="3268"/>
      <c r="AB79" s="3268"/>
      <c r="AC79" s="3268">
        <v>166.1</v>
      </c>
      <c r="AD79" s="3268">
        <v>-20</v>
      </c>
      <c r="AE79" s="3268"/>
      <c r="AF79" s="3268"/>
      <c r="AG79" s="3268"/>
      <c r="AH79" s="3268"/>
      <c r="AI79" s="3268"/>
      <c r="AJ79" s="3268">
        <v>70</v>
      </c>
      <c r="AK79" s="3268">
        <v>1.8</v>
      </c>
      <c r="AL79" s="3268"/>
      <c r="AM79" s="3268"/>
      <c r="AN79" s="3268">
        <v>2</v>
      </c>
      <c r="AO79" s="3268">
        <v>2</v>
      </c>
      <c r="AP79" s="3268">
        <v>1</v>
      </c>
      <c r="AQ79" s="3268" t="s">
        <v>139</v>
      </c>
      <c r="AR79" s="3268" t="s">
        <v>138</v>
      </c>
      <c r="AS79" s="3265" t="s">
        <v>1091</v>
      </c>
      <c r="AT79" s="3265"/>
      <c r="AU79" s="3265"/>
      <c r="AV79" s="3265" t="s">
        <v>158</v>
      </c>
      <c r="AW79" s="3265">
        <v>0.95899999999999996</v>
      </c>
      <c r="AX79" s="3265">
        <v>8.9999999999999998E-4</v>
      </c>
      <c r="AY79" s="3265">
        <v>0.47799999999999998</v>
      </c>
      <c r="AZ79" s="3265">
        <v>1.4899999999999999E-4</v>
      </c>
      <c r="BA79" s="3265">
        <v>144.5</v>
      </c>
      <c r="BB79" s="3265">
        <v>0.47560000000000002</v>
      </c>
      <c r="BC79" s="3265"/>
      <c r="BD79" s="3265">
        <v>12.887</v>
      </c>
      <c r="BE79" s="3265">
        <v>5614.3</v>
      </c>
      <c r="BF79" s="3265"/>
      <c r="BG79" s="3265"/>
      <c r="BH79" s="3265"/>
      <c r="BI79" s="3265"/>
      <c r="BJ79" s="3265"/>
      <c r="BK79" s="3265"/>
      <c r="BL79" s="3265"/>
      <c r="BM79" s="3265"/>
      <c r="BN79" s="3265"/>
      <c r="BO79" s="3265"/>
      <c r="BP79" s="3265"/>
    </row>
    <row r="80" spans="1:68" ht="12.75" customHeight="1" x14ac:dyDescent="0.25">
      <c r="A80" s="3263" t="s">
        <v>4329</v>
      </c>
      <c r="B80" s="3265" t="s">
        <v>4330</v>
      </c>
      <c r="C80" s="3265" t="s">
        <v>842</v>
      </c>
      <c r="D80" s="3265">
        <v>1</v>
      </c>
      <c r="E80" s="3265"/>
      <c r="F80" s="3263" t="s">
        <v>4329</v>
      </c>
      <c r="G80" s="3265"/>
      <c r="H80" s="3265"/>
      <c r="I80" s="3265"/>
      <c r="J80" s="3265"/>
      <c r="K80" s="3265"/>
      <c r="L80" s="3265"/>
      <c r="M80" s="3265"/>
      <c r="N80" s="3265"/>
      <c r="O80" s="3265"/>
      <c r="P80" s="3265"/>
      <c r="Q80" s="3265"/>
      <c r="R80" s="3265"/>
      <c r="S80" s="3265"/>
      <c r="T80" s="3268">
        <v>94.62</v>
      </c>
      <c r="U80" s="3268">
        <v>1.8</v>
      </c>
      <c r="V80" s="3268">
        <v>22</v>
      </c>
      <c r="W80" s="3268">
        <v>100</v>
      </c>
      <c r="X80" s="3268" t="s">
        <v>4457</v>
      </c>
      <c r="Y80" s="3268"/>
      <c r="Z80" s="3268"/>
      <c r="AA80" s="3268"/>
      <c r="AB80" s="3268"/>
      <c r="AC80" s="3268">
        <v>35.200000000000003</v>
      </c>
      <c r="AD80" s="3268">
        <v>-102</v>
      </c>
      <c r="AE80" s="3268"/>
      <c r="AF80" s="3268"/>
      <c r="AG80" s="3268"/>
      <c r="AH80" s="3268"/>
      <c r="AI80" s="3268"/>
      <c r="AJ80" s="3268">
        <v>-28</v>
      </c>
      <c r="AK80" s="3268">
        <v>3.3</v>
      </c>
      <c r="AL80" s="3268"/>
      <c r="AM80" s="3268">
        <v>244</v>
      </c>
      <c r="AN80" s="3268">
        <v>3</v>
      </c>
      <c r="AO80" s="3268">
        <v>4</v>
      </c>
      <c r="AP80" s="3268">
        <v>0</v>
      </c>
      <c r="AQ80" s="3268"/>
      <c r="AR80" s="3268"/>
      <c r="AS80" s="3265" t="s">
        <v>1514</v>
      </c>
      <c r="AT80" s="3265"/>
      <c r="AU80" s="3265"/>
      <c r="AV80" s="3265"/>
      <c r="AW80" s="3265">
        <v>0.90041000000000004</v>
      </c>
      <c r="AX80" s="3265">
        <v>1.6100000000000001E-3</v>
      </c>
      <c r="AY80" s="3265">
        <v>0.3856</v>
      </c>
      <c r="AZ80" s="3265">
        <v>5.8E-4</v>
      </c>
      <c r="BA80" s="3265">
        <v>68.296999999999997</v>
      </c>
      <c r="BB80" s="3265">
        <v>5.117E-2</v>
      </c>
      <c r="BC80" s="3265">
        <v>9.1E-4</v>
      </c>
      <c r="BD80" s="3265">
        <v>9.5049200000000003</v>
      </c>
      <c r="BE80" s="3265">
        <v>2629.598</v>
      </c>
      <c r="BF80" s="3265">
        <v>31.92</v>
      </c>
      <c r="BG80" s="3265"/>
      <c r="BH80" s="3265"/>
      <c r="BI80" s="3265"/>
      <c r="BJ80" s="3265"/>
      <c r="BK80" s="3265"/>
      <c r="BL80" s="3265"/>
      <c r="BM80" s="3265"/>
      <c r="BN80" s="3265"/>
      <c r="BO80" s="3265"/>
      <c r="BP80" s="3265"/>
    </row>
    <row r="81" spans="1:68" ht="12.75" customHeight="1" x14ac:dyDescent="0.25">
      <c r="A81" s="3263" t="s">
        <v>4121</v>
      </c>
      <c r="B81" s="3265" t="s">
        <v>4122</v>
      </c>
      <c r="C81" s="3265" t="s">
        <v>842</v>
      </c>
      <c r="D81" s="3265">
        <v>1</v>
      </c>
      <c r="E81" s="3265"/>
      <c r="F81" s="3263" t="s">
        <v>4121</v>
      </c>
      <c r="G81" s="3265"/>
      <c r="H81" s="3265"/>
      <c r="I81" s="3265"/>
      <c r="J81" s="3265"/>
      <c r="K81" s="3265"/>
      <c r="L81" s="3265"/>
      <c r="M81" s="3265"/>
      <c r="N81" s="3265"/>
      <c r="O81" s="3265"/>
      <c r="P81" s="3265"/>
      <c r="Q81" s="3265"/>
      <c r="R81" s="3265"/>
      <c r="S81" s="3265"/>
      <c r="T81" s="3265">
        <v>129.06</v>
      </c>
      <c r="U81" s="3265">
        <v>2</v>
      </c>
      <c r="V81" s="3265">
        <v>10</v>
      </c>
      <c r="W81" s="3265">
        <v>75</v>
      </c>
      <c r="X81" s="3265" t="s">
        <v>4259</v>
      </c>
      <c r="Y81" s="3265"/>
      <c r="Z81" s="3266"/>
      <c r="AA81" s="3266"/>
      <c r="AB81" s="3265"/>
      <c r="AC81" s="3265">
        <v>70.099999999999994</v>
      </c>
      <c r="AD81" s="3265">
        <v>-74.2</v>
      </c>
      <c r="AE81" s="3265"/>
      <c r="AF81" s="3265"/>
      <c r="AG81" s="3265"/>
      <c r="AH81" s="3265"/>
      <c r="AI81" s="3265"/>
      <c r="AJ81" s="3265">
        <v>-3.8</v>
      </c>
      <c r="AK81" s="3265">
        <v>3.4</v>
      </c>
      <c r="AL81" s="3282"/>
      <c r="AM81" s="3265">
        <v>425</v>
      </c>
      <c r="AN81" s="3265">
        <v>3</v>
      </c>
      <c r="AO81" s="3265">
        <v>3</v>
      </c>
      <c r="AP81" s="3265">
        <v>0</v>
      </c>
      <c r="AQ81" s="3265"/>
      <c r="AR81" s="3265"/>
      <c r="AS81" s="3265" t="s">
        <v>1514</v>
      </c>
      <c r="AT81" s="3265"/>
      <c r="AU81" s="3265" t="s">
        <v>2809</v>
      </c>
      <c r="AV81" s="3265" t="s">
        <v>159</v>
      </c>
      <c r="AW81" s="3265">
        <v>1.10836</v>
      </c>
      <c r="AX81" s="3265">
        <v>1.5939999999999999E-3</v>
      </c>
      <c r="AY81" s="3265">
        <v>0.31280000000000002</v>
      </c>
      <c r="AZ81" s="3267">
        <v>4.5899999999999999E-4</v>
      </c>
      <c r="BA81" s="3265">
        <v>61.98</v>
      </c>
      <c r="BB81" s="3265">
        <v>9.8239999999999994E-2</v>
      </c>
      <c r="BC81" s="3265">
        <v>2.23E-4</v>
      </c>
      <c r="BD81" s="3265">
        <v>9.2560939999999992</v>
      </c>
      <c r="BE81" s="3265">
        <v>2740.7849999999999</v>
      </c>
      <c r="BF81" s="3265">
        <v>46.993000000000002</v>
      </c>
      <c r="BG81" s="3265"/>
      <c r="BH81" s="3265"/>
      <c r="BI81" s="3265"/>
      <c r="BJ81" s="3265"/>
      <c r="BK81" s="3265"/>
      <c r="BL81" s="3265"/>
      <c r="BM81" s="3265"/>
      <c r="BN81" s="3265"/>
      <c r="BO81" s="3265"/>
      <c r="BP81" s="3265"/>
    </row>
    <row r="82" spans="1:68" ht="12.75" customHeight="1" x14ac:dyDescent="0.25">
      <c r="A82" s="3263" t="s">
        <v>4577</v>
      </c>
      <c r="B82" s="3265" t="s">
        <v>4576</v>
      </c>
      <c r="C82" s="3265" t="s">
        <v>842</v>
      </c>
      <c r="D82" s="3265">
        <v>1</v>
      </c>
      <c r="E82" s="3265"/>
      <c r="F82" s="3263" t="s">
        <v>4575</v>
      </c>
      <c r="G82" s="3265"/>
      <c r="H82" s="3265"/>
      <c r="I82" s="3265"/>
      <c r="J82" s="3265"/>
      <c r="K82" s="3265"/>
      <c r="L82" s="3265"/>
      <c r="M82" s="3265"/>
      <c r="N82" s="3265"/>
      <c r="O82" s="3265"/>
      <c r="P82" s="3265"/>
      <c r="Q82" s="3265"/>
      <c r="R82" s="3265"/>
      <c r="S82" s="3265"/>
      <c r="T82" s="3265">
        <v>94.2</v>
      </c>
      <c r="U82" s="3265">
        <v>0.01</v>
      </c>
      <c r="V82" s="3265">
        <v>50</v>
      </c>
      <c r="W82" s="3265">
        <v>250</v>
      </c>
      <c r="X82" s="3265" t="s">
        <v>4259</v>
      </c>
      <c r="Y82" s="3265"/>
      <c r="Z82" s="3266"/>
      <c r="AA82" s="3266"/>
      <c r="AB82" s="3265"/>
      <c r="AC82" s="3265">
        <v>109.7</v>
      </c>
      <c r="AD82" s="3265">
        <v>-84.7</v>
      </c>
      <c r="AE82" s="3265"/>
      <c r="AF82" s="3265"/>
      <c r="AG82" s="3265"/>
      <c r="AH82" s="3265"/>
      <c r="AI82" s="3265"/>
      <c r="AJ82" s="3265">
        <v>7</v>
      </c>
      <c r="AK82" s="3265">
        <v>1.1000000000000001</v>
      </c>
      <c r="AL82" s="3265">
        <v>16</v>
      </c>
      <c r="AM82" s="3265"/>
      <c r="AN82" s="3265">
        <v>2</v>
      </c>
      <c r="AO82" s="3265">
        <v>3</v>
      </c>
      <c r="AP82" s="3265">
        <v>0</v>
      </c>
      <c r="AQ82" s="3265"/>
      <c r="AR82" s="3265"/>
      <c r="AS82" s="3265"/>
      <c r="AT82" s="3265" t="s">
        <v>1169</v>
      </c>
      <c r="AU82" s="3265"/>
      <c r="AV82" s="3265"/>
      <c r="AW82" s="3265">
        <v>1.087</v>
      </c>
      <c r="AX82" s="3265">
        <v>1.24E-3</v>
      </c>
      <c r="AY82" s="3265">
        <v>0.35499999999999998</v>
      </c>
      <c r="AZ82" s="3267">
        <v>4.6000000000000001E-4</v>
      </c>
      <c r="BA82" s="3265">
        <v>100.6</v>
      </c>
      <c r="BB82" s="3265">
        <v>0.11799999999999999</v>
      </c>
      <c r="BC82" s="3265">
        <v>2.0000000000000001E-4</v>
      </c>
      <c r="BD82" s="3265">
        <v>9.5005000000000006</v>
      </c>
      <c r="BE82" s="3265">
        <v>3141.51</v>
      </c>
      <c r="BF82" s="3265">
        <v>52.26</v>
      </c>
      <c r="BG82" s="3265"/>
      <c r="BH82" s="3265"/>
      <c r="BI82" s="3265"/>
      <c r="BJ82" s="3265"/>
      <c r="BK82" s="3265"/>
      <c r="BL82" s="3265"/>
      <c r="BM82" s="3265"/>
      <c r="BN82" s="3265"/>
      <c r="BO82" s="3265"/>
      <c r="BP82" s="3326"/>
    </row>
    <row r="83" spans="1:68" ht="12.75" customHeight="1" x14ac:dyDescent="0.25">
      <c r="A83" s="3263" t="s">
        <v>601</v>
      </c>
      <c r="B83" s="3264" t="s">
        <v>1058</v>
      </c>
      <c r="C83" s="3265" t="s">
        <v>842</v>
      </c>
      <c r="D83" s="3265">
        <v>1</v>
      </c>
      <c r="E83" s="3265"/>
      <c r="F83" s="3263" t="s">
        <v>601</v>
      </c>
      <c r="G83" s="3265"/>
      <c r="H83" s="3265"/>
      <c r="I83" s="3265"/>
      <c r="J83" s="3265"/>
      <c r="K83" s="3265"/>
      <c r="L83" s="3265"/>
      <c r="M83" s="3265"/>
      <c r="N83" s="3265"/>
      <c r="O83" s="3265"/>
      <c r="P83" s="3265"/>
      <c r="Q83" s="3265"/>
      <c r="R83" s="3265"/>
      <c r="S83" s="3265"/>
      <c r="T83" s="3265">
        <v>73.099999999999994</v>
      </c>
      <c r="U83" s="3265">
        <v>2</v>
      </c>
      <c r="V83" s="3265">
        <v>100</v>
      </c>
      <c r="W83" s="3265">
        <v>200</v>
      </c>
      <c r="X83" s="3265" t="s">
        <v>4259</v>
      </c>
      <c r="Y83" s="3265"/>
      <c r="Z83" s="3266"/>
      <c r="AA83" s="3266"/>
      <c r="AB83" s="3265"/>
      <c r="AC83" s="3265">
        <v>151.1</v>
      </c>
      <c r="AD83" s="3265">
        <v>-60.5</v>
      </c>
      <c r="AE83" s="3265"/>
      <c r="AF83" s="3265"/>
      <c r="AG83" s="3265"/>
      <c r="AH83" s="3265"/>
      <c r="AI83" s="3265"/>
      <c r="AJ83" s="3265">
        <v>57</v>
      </c>
      <c r="AK83" s="3265">
        <v>2</v>
      </c>
      <c r="AL83" s="3265"/>
      <c r="AM83" s="3265"/>
      <c r="AN83" s="3265">
        <v>2</v>
      </c>
      <c r="AO83" s="3265">
        <v>2</v>
      </c>
      <c r="AP83" s="3265">
        <v>0</v>
      </c>
      <c r="AQ83" s="3265" t="s">
        <v>139</v>
      </c>
      <c r="AR83" s="3265" t="s">
        <v>138</v>
      </c>
      <c r="AS83" s="3265" t="s">
        <v>1091</v>
      </c>
      <c r="AT83" s="3265"/>
      <c r="AU83" s="3265"/>
      <c r="AV83" s="3265" t="s">
        <v>158</v>
      </c>
      <c r="AW83" s="3265">
        <v>0.96799999999999997</v>
      </c>
      <c r="AX83" s="3265">
        <v>1E-3</v>
      </c>
      <c r="AY83" s="3265">
        <v>0.45300000000000001</v>
      </c>
      <c r="AZ83" s="3267">
        <v>9.1600000000000004E-4</v>
      </c>
      <c r="BA83" s="3265">
        <v>168.3</v>
      </c>
      <c r="BB83" s="3265">
        <v>0.53600000000000003</v>
      </c>
      <c r="BC83" s="3265"/>
      <c r="BD83" s="3265">
        <v>12.659000000000001</v>
      </c>
      <c r="BE83" s="3265">
        <v>5380.2</v>
      </c>
      <c r="BF83" s="3265"/>
      <c r="BG83" s="3265"/>
      <c r="BH83" s="3265"/>
      <c r="BI83" s="3265"/>
      <c r="BJ83" s="3265"/>
      <c r="BK83" s="3265"/>
      <c r="BL83" s="3265"/>
      <c r="BM83" s="3265"/>
      <c r="BN83" s="3265"/>
      <c r="BO83" s="3265"/>
      <c r="BP83" s="3265"/>
    </row>
    <row r="84" spans="1:68" ht="12.75" customHeight="1" x14ac:dyDescent="0.25">
      <c r="A84" s="3263" t="s">
        <v>4331</v>
      </c>
      <c r="B84" s="3265" t="s">
        <v>4332</v>
      </c>
      <c r="C84" s="3265" t="s">
        <v>842</v>
      </c>
      <c r="D84" s="3265">
        <v>1</v>
      </c>
      <c r="E84" s="3265"/>
      <c r="F84" s="3263" t="s">
        <v>4331</v>
      </c>
      <c r="G84" s="3265"/>
      <c r="H84" s="3265"/>
      <c r="I84" s="3265"/>
      <c r="J84" s="3265"/>
      <c r="K84" s="3265"/>
      <c r="L84" s="3265"/>
      <c r="M84" s="3265"/>
      <c r="N84" s="3265"/>
      <c r="O84" s="3265"/>
      <c r="P84" s="3265"/>
      <c r="Q84" s="3265"/>
      <c r="R84" s="3265"/>
      <c r="S84" s="3265"/>
      <c r="T84" s="3268">
        <v>126.1</v>
      </c>
      <c r="U84" s="3268">
        <v>2.4E-2</v>
      </c>
      <c r="V84" s="3268">
        <v>0.12</v>
      </c>
      <c r="W84" s="3268">
        <v>1.6</v>
      </c>
      <c r="X84" s="3268" t="s">
        <v>4457</v>
      </c>
      <c r="Y84" s="3265" t="s">
        <v>289</v>
      </c>
      <c r="Z84" s="3268"/>
      <c r="AA84" s="3268"/>
      <c r="AB84" s="3268"/>
      <c r="AC84" s="3268">
        <v>189</v>
      </c>
      <c r="AD84" s="3268"/>
      <c r="AE84" s="3268"/>
      <c r="AF84" s="3268"/>
      <c r="AG84" s="3268"/>
      <c r="AH84" s="3268"/>
      <c r="AI84" s="3268"/>
      <c r="AJ84" s="3268">
        <v>83</v>
      </c>
      <c r="AK84" s="3268">
        <v>2.9</v>
      </c>
      <c r="AL84" s="3268"/>
      <c r="AM84" s="3268"/>
      <c r="AN84" s="3268">
        <v>4</v>
      </c>
      <c r="AO84" s="3268">
        <v>2</v>
      </c>
      <c r="AP84" s="3268">
        <v>1</v>
      </c>
      <c r="AQ84" s="3268" t="s">
        <v>139</v>
      </c>
      <c r="AR84" s="3268" t="s">
        <v>138</v>
      </c>
      <c r="AS84" s="3265"/>
      <c r="AT84" s="3265"/>
      <c r="AU84" s="3265"/>
      <c r="AV84" s="3265" t="s">
        <v>158</v>
      </c>
      <c r="AW84" s="3265">
        <v>1.35</v>
      </c>
      <c r="AX84" s="3265">
        <v>1.17E-3</v>
      </c>
      <c r="AY84" s="3265">
        <v>0.5</v>
      </c>
      <c r="AZ84" s="3265">
        <v>0</v>
      </c>
      <c r="BA84" s="3265">
        <v>93.9</v>
      </c>
      <c r="BB84" s="3265">
        <v>8.3000000000000004E-2</v>
      </c>
      <c r="BC84" s="3265"/>
      <c r="BD84" s="3265">
        <v>12.462</v>
      </c>
      <c r="BE84" s="3265">
        <v>5757.5</v>
      </c>
      <c r="BF84" s="3265"/>
      <c r="BG84" s="3265"/>
      <c r="BH84" s="3265"/>
      <c r="BI84" s="3265"/>
      <c r="BJ84" s="3265"/>
      <c r="BK84" s="3265"/>
      <c r="BL84" s="3265"/>
      <c r="BM84" s="3265"/>
      <c r="BN84" s="3265"/>
      <c r="BO84" s="3265"/>
      <c r="BP84" s="3265"/>
    </row>
    <row r="85" spans="1:68" ht="12.75" customHeight="1" x14ac:dyDescent="0.25">
      <c r="A85" s="3263" t="s">
        <v>4461</v>
      </c>
      <c r="B85" s="3265" t="s">
        <v>99</v>
      </c>
      <c r="C85" s="3265" t="s">
        <v>842</v>
      </c>
      <c r="D85" s="3265">
        <v>1</v>
      </c>
      <c r="E85" s="3265"/>
      <c r="F85" s="3263" t="s">
        <v>1678</v>
      </c>
      <c r="G85" s="3265"/>
      <c r="H85" s="3265"/>
      <c r="I85" s="3265"/>
      <c r="J85" s="3265"/>
      <c r="K85" s="3265"/>
      <c r="L85" s="3265"/>
      <c r="M85" s="3265"/>
      <c r="N85" s="3265"/>
      <c r="O85" s="3265"/>
      <c r="P85" s="3265"/>
      <c r="Q85" s="3265"/>
      <c r="R85" s="3265"/>
      <c r="S85" s="3265"/>
      <c r="T85" s="3265">
        <v>45.08</v>
      </c>
      <c r="U85" s="3265">
        <v>0.6</v>
      </c>
      <c r="V85" s="3265">
        <v>100</v>
      </c>
      <c r="W85" s="3265">
        <v>350</v>
      </c>
      <c r="X85" s="3265" t="s">
        <v>4259</v>
      </c>
      <c r="Y85" s="3265"/>
      <c r="Z85" s="3266"/>
      <c r="AA85" s="3266"/>
      <c r="AB85" s="3291"/>
      <c r="AC85" s="3265">
        <v>7</v>
      </c>
      <c r="AD85" s="3265">
        <v>-134</v>
      </c>
      <c r="AE85" s="3265"/>
      <c r="AF85" s="3265"/>
      <c r="AG85" s="3265"/>
      <c r="AH85" s="3265"/>
      <c r="AI85" s="3265"/>
      <c r="AJ85" s="3265">
        <v>-58</v>
      </c>
      <c r="AK85" s="3265">
        <v>2.8</v>
      </c>
      <c r="AL85" s="3265"/>
      <c r="AM85" s="3265"/>
      <c r="AN85" s="3265">
        <v>3</v>
      </c>
      <c r="AO85" s="3265">
        <v>4</v>
      </c>
      <c r="AP85" s="3265">
        <v>0</v>
      </c>
      <c r="AQ85" s="3265" t="s">
        <v>139</v>
      </c>
      <c r="AR85" s="3265" t="s">
        <v>138</v>
      </c>
      <c r="AS85" s="3265"/>
      <c r="AT85" s="3265"/>
      <c r="AU85" s="3265"/>
      <c r="AV85" s="3265" t="s">
        <v>158</v>
      </c>
      <c r="AW85" s="3265">
        <v>0.67900000000000005</v>
      </c>
      <c r="AX85" s="3265">
        <v>1.1999999999999999E-3</v>
      </c>
      <c r="AY85" s="3265">
        <v>0.69499999999999995</v>
      </c>
      <c r="AZ85" s="3267">
        <v>6.2299999999999996E-4</v>
      </c>
      <c r="BA85" s="3265">
        <v>142.80000000000001</v>
      </c>
      <c r="BB85" s="3265">
        <v>0.40699999999999997</v>
      </c>
      <c r="BC85" s="3265"/>
      <c r="BD85" s="3265">
        <v>11.571999999999999</v>
      </c>
      <c r="BE85" s="3265">
        <v>3239.1</v>
      </c>
      <c r="BF85" s="3265"/>
      <c r="BG85" s="3265"/>
      <c r="BH85" s="3265"/>
      <c r="BI85" s="3265"/>
      <c r="BJ85" s="3265"/>
      <c r="BK85" s="3265"/>
      <c r="BL85" s="3265"/>
      <c r="BM85" s="3265"/>
      <c r="BN85" s="3265"/>
      <c r="BO85" s="3265"/>
      <c r="BP85" s="3265"/>
    </row>
    <row r="86" spans="1:68" ht="12.75" customHeight="1" x14ac:dyDescent="0.25">
      <c r="A86" s="3263" t="s">
        <v>4333</v>
      </c>
      <c r="B86" s="3265" t="s">
        <v>4334</v>
      </c>
      <c r="C86" s="3265" t="s">
        <v>842</v>
      </c>
      <c r="D86" s="3265">
        <v>1</v>
      </c>
      <c r="E86" s="3265"/>
      <c r="F86" s="3263" t="s">
        <v>4333</v>
      </c>
      <c r="G86" s="3265"/>
      <c r="H86" s="3265"/>
      <c r="I86" s="3265"/>
      <c r="J86" s="3265"/>
      <c r="K86" s="3265"/>
      <c r="L86" s="3265"/>
      <c r="M86" s="3265"/>
      <c r="N86" s="3265"/>
      <c r="O86" s="3265"/>
      <c r="P86" s="3265"/>
      <c r="Q86" s="3265"/>
      <c r="R86" s="3265"/>
      <c r="S86" s="3265"/>
      <c r="T86" s="3268">
        <v>78.099999999999994</v>
      </c>
      <c r="U86" s="3268">
        <v>250</v>
      </c>
      <c r="V86" s="3268">
        <v>250</v>
      </c>
      <c r="W86" s="3268">
        <v>900</v>
      </c>
      <c r="X86" s="3268" t="s">
        <v>4459</v>
      </c>
      <c r="Y86" s="3268"/>
      <c r="Z86" s="3268"/>
      <c r="AA86" s="3268"/>
      <c r="AB86" s="3268"/>
      <c r="AC86" s="3268">
        <v>191</v>
      </c>
      <c r="AD86" s="3268">
        <v>18.5</v>
      </c>
      <c r="AE86" s="3268"/>
      <c r="AF86" s="3268"/>
      <c r="AG86" s="3268"/>
      <c r="AH86" s="3268"/>
      <c r="AI86" s="3268"/>
      <c r="AJ86" s="3268">
        <v>95</v>
      </c>
      <c r="AK86" s="3268">
        <v>2.6</v>
      </c>
      <c r="AL86" s="3268">
        <v>42</v>
      </c>
      <c r="AM86" s="3268">
        <v>215</v>
      </c>
      <c r="AN86" s="3268">
        <v>1</v>
      </c>
      <c r="AO86" s="3268">
        <v>2</v>
      </c>
      <c r="AP86" s="3268">
        <v>0</v>
      </c>
      <c r="AQ86" s="3268" t="s">
        <v>139</v>
      </c>
      <c r="AR86" s="3268" t="s">
        <v>138</v>
      </c>
      <c r="AS86" s="3265"/>
      <c r="AT86" s="3265"/>
      <c r="AU86" s="3265"/>
      <c r="AV86" s="3265"/>
      <c r="AW86" s="3265">
        <v>1.1220000000000001</v>
      </c>
      <c r="AX86" s="3265">
        <v>1.0399999999999999E-3</v>
      </c>
      <c r="AY86" s="3265">
        <v>0.40899999999999997</v>
      </c>
      <c r="AZ86" s="3265">
        <v>6.5499999999999998E-4</v>
      </c>
      <c r="BA86" s="3265">
        <v>165.4</v>
      </c>
      <c r="BB86" s="3265">
        <v>0.13700000000000001</v>
      </c>
      <c r="BC86" s="3265">
        <v>1.4999999999999999E-4</v>
      </c>
      <c r="BD86" s="3265">
        <v>10.474399999999999</v>
      </c>
      <c r="BE86" s="3265">
        <v>4280.78</v>
      </c>
      <c r="BF86" s="3265">
        <v>55.52</v>
      </c>
      <c r="BG86" s="3265"/>
      <c r="BH86" s="3265"/>
      <c r="BI86" s="3265"/>
      <c r="BJ86" s="3265"/>
      <c r="BK86" s="3265"/>
      <c r="BL86" s="3265"/>
      <c r="BM86" s="3265"/>
      <c r="BN86" s="3265"/>
      <c r="BO86" s="3265"/>
      <c r="BP86" s="3265"/>
    </row>
    <row r="87" spans="1:68" ht="12.75" customHeight="1" x14ac:dyDescent="0.25">
      <c r="A87" s="3263" t="s">
        <v>4462</v>
      </c>
      <c r="B87" s="3265" t="s">
        <v>4344</v>
      </c>
      <c r="C87" s="3265" t="s">
        <v>842</v>
      </c>
      <c r="D87" s="3265">
        <v>1</v>
      </c>
      <c r="E87" s="3265"/>
      <c r="F87" s="3263" t="s">
        <v>4343</v>
      </c>
      <c r="G87" s="3265"/>
      <c r="H87" s="3265"/>
      <c r="I87" s="3265"/>
      <c r="J87" s="3265"/>
      <c r="K87" s="3265"/>
      <c r="L87" s="3265"/>
      <c r="M87" s="3265"/>
      <c r="N87" s="3265"/>
      <c r="O87" s="3265"/>
      <c r="P87" s="3265"/>
      <c r="Q87" s="3265"/>
      <c r="R87" s="3265"/>
      <c r="S87" s="3265"/>
      <c r="T87" s="3268">
        <v>240.2</v>
      </c>
      <c r="U87" s="3268"/>
      <c r="V87" s="3268">
        <v>0.46</v>
      </c>
      <c r="W87" s="3268">
        <v>0.46</v>
      </c>
      <c r="X87" s="3268" t="s">
        <v>4459</v>
      </c>
      <c r="Y87" s="3268"/>
      <c r="Z87" s="3268"/>
      <c r="AA87" s="3268"/>
      <c r="AB87" s="3268"/>
      <c r="AC87" s="3268">
        <v>332</v>
      </c>
      <c r="AD87" s="3268">
        <v>39.299999999999997</v>
      </c>
      <c r="AE87" s="3268"/>
      <c r="AF87" s="3268"/>
      <c r="AG87" s="3268"/>
      <c r="AH87" s="3268"/>
      <c r="AI87" s="3268"/>
      <c r="AJ87" s="3268"/>
      <c r="AK87" s="3268"/>
      <c r="AL87" s="3268"/>
      <c r="AM87" s="3268"/>
      <c r="AN87" s="3268">
        <v>3</v>
      </c>
      <c r="AO87" s="3268">
        <v>1</v>
      </c>
      <c r="AP87" s="3268">
        <v>0</v>
      </c>
      <c r="AQ87" s="3268" t="s">
        <v>139</v>
      </c>
      <c r="AR87" s="3268" t="s">
        <v>138</v>
      </c>
      <c r="AS87" s="3265"/>
      <c r="AT87" s="3265" t="s">
        <v>1091</v>
      </c>
      <c r="AU87" s="3265"/>
      <c r="AV87" s="3265"/>
      <c r="AW87" s="3265">
        <v>1.3129999999999999</v>
      </c>
      <c r="AX87" s="3265">
        <v>1.003E-3</v>
      </c>
      <c r="AY87" s="3265">
        <v>0.311</v>
      </c>
      <c r="AZ87" s="3265">
        <v>7.3200000000000001E-4</v>
      </c>
      <c r="BA87" s="3265">
        <v>111.6</v>
      </c>
      <c r="BB87" s="3265">
        <v>7.22E-2</v>
      </c>
      <c r="BC87" s="3265">
        <v>1.02E-4</v>
      </c>
      <c r="BD87" s="3265">
        <v>15.557399999999999</v>
      </c>
      <c r="BE87" s="3265">
        <v>9414.56</v>
      </c>
      <c r="BF87" s="3265"/>
      <c r="BG87" s="3265"/>
      <c r="BH87" s="3265"/>
      <c r="BI87" s="3265"/>
      <c r="BJ87" s="3265"/>
      <c r="BK87" s="3265"/>
      <c r="BL87" s="3265"/>
      <c r="BM87" s="3265"/>
      <c r="BN87" s="3265"/>
      <c r="BO87" s="3265"/>
      <c r="BP87" s="3265"/>
    </row>
    <row r="88" spans="1:68" ht="12.75" customHeight="1" x14ac:dyDescent="0.25">
      <c r="A88" s="3263" t="s">
        <v>4335</v>
      </c>
      <c r="B88" s="3265" t="s">
        <v>4336</v>
      </c>
      <c r="C88" s="3265" t="s">
        <v>842</v>
      </c>
      <c r="D88" s="3265">
        <v>1</v>
      </c>
      <c r="E88" s="3265"/>
      <c r="F88" s="3263" t="s">
        <v>4335</v>
      </c>
      <c r="G88" s="3265"/>
      <c r="H88" s="3265"/>
      <c r="I88" s="3265"/>
      <c r="J88" s="3265"/>
      <c r="K88" s="3265"/>
      <c r="L88" s="3265"/>
      <c r="M88" s="3265"/>
      <c r="N88" s="3265"/>
      <c r="O88" s="3265"/>
      <c r="P88" s="3265"/>
      <c r="Q88" s="3265"/>
      <c r="R88" s="3265"/>
      <c r="S88" s="3265"/>
      <c r="T88" s="3268">
        <v>390.6</v>
      </c>
      <c r="U88" s="3268">
        <v>0.44</v>
      </c>
      <c r="V88" s="3268">
        <v>4.63</v>
      </c>
      <c r="W88" s="3268">
        <v>582</v>
      </c>
      <c r="X88" s="3268" t="s">
        <v>4459</v>
      </c>
      <c r="Y88" s="3268"/>
      <c r="Z88" s="3268"/>
      <c r="AA88" s="3268"/>
      <c r="AB88" s="3268"/>
      <c r="AC88" s="3268">
        <v>384</v>
      </c>
      <c r="AD88" s="3268">
        <v>-50</v>
      </c>
      <c r="AE88" s="3268"/>
      <c r="AF88" s="3268"/>
      <c r="AG88" s="3268"/>
      <c r="AH88" s="3268"/>
      <c r="AI88" s="3268"/>
      <c r="AJ88" s="3268">
        <v>216</v>
      </c>
      <c r="AK88" s="3268">
        <v>0.3</v>
      </c>
      <c r="AL88" s="3268">
        <v>2.9</v>
      </c>
      <c r="AM88" s="3268">
        <v>391</v>
      </c>
      <c r="AN88" s="3268">
        <v>0</v>
      </c>
      <c r="AO88" s="3268">
        <v>1</v>
      </c>
      <c r="AP88" s="3268">
        <v>0</v>
      </c>
      <c r="AQ88" s="3268" t="s">
        <v>139</v>
      </c>
      <c r="AR88" s="3268" t="s">
        <v>138</v>
      </c>
      <c r="AS88" s="3265"/>
      <c r="AT88" s="3265"/>
      <c r="AU88" s="3265"/>
      <c r="AV88" s="3265"/>
      <c r="AW88" s="3265">
        <v>1.0069999999999999</v>
      </c>
      <c r="AX88" s="3265">
        <v>9.3400000000000004E-4</v>
      </c>
      <c r="AY88" s="3265">
        <v>0.28299999999999997</v>
      </c>
      <c r="AZ88" s="3265">
        <v>7.6400000000000003E-4</v>
      </c>
      <c r="BA88" s="3265">
        <v>73.3</v>
      </c>
      <c r="BB88" s="3265">
        <v>5.8950000000000002E-2</v>
      </c>
      <c r="BC88" s="3265">
        <v>6.3499999999999999E-5</v>
      </c>
      <c r="BD88" s="3265">
        <v>11.3947</v>
      </c>
      <c r="BE88" s="3265">
        <v>6005.9</v>
      </c>
      <c r="BF88" s="3265">
        <v>129.88999999999999</v>
      </c>
      <c r="BG88" s="3265"/>
      <c r="BH88" s="3265"/>
      <c r="BI88" s="3265"/>
      <c r="BJ88" s="3265"/>
      <c r="BK88" s="3265"/>
      <c r="BL88" s="3265"/>
      <c r="BM88" s="3265"/>
      <c r="BN88" s="3265"/>
      <c r="BO88" s="3265"/>
      <c r="BP88" s="3265"/>
    </row>
    <row r="89" spans="1:68" ht="12.75" customHeight="1" x14ac:dyDescent="0.25">
      <c r="A89" s="3263" t="s">
        <v>4337</v>
      </c>
      <c r="B89" s="3265" t="s">
        <v>4338</v>
      </c>
      <c r="C89" s="3265" t="s">
        <v>842</v>
      </c>
      <c r="D89" s="3265">
        <v>1</v>
      </c>
      <c r="E89" s="3265"/>
      <c r="F89" s="3263" t="s">
        <v>4337</v>
      </c>
      <c r="G89" s="3265"/>
      <c r="H89" s="3265"/>
      <c r="I89" s="3265"/>
      <c r="J89" s="3265"/>
      <c r="K89" s="3265"/>
      <c r="L89" s="3265"/>
      <c r="M89" s="3265"/>
      <c r="N89" s="3265"/>
      <c r="O89" s="3265"/>
      <c r="P89" s="3265"/>
      <c r="Q89" s="3265"/>
      <c r="R89" s="3265"/>
      <c r="S89" s="3265"/>
      <c r="T89" s="3268">
        <v>168.24</v>
      </c>
      <c r="U89" s="3268">
        <v>1</v>
      </c>
      <c r="V89" s="3268">
        <v>10.8</v>
      </c>
      <c r="W89" s="3268">
        <v>65.400000000000006</v>
      </c>
      <c r="X89" s="3268" t="s">
        <v>4459</v>
      </c>
      <c r="Y89" s="3268"/>
      <c r="Z89" s="3268"/>
      <c r="AA89" s="3268"/>
      <c r="AB89" s="3268"/>
      <c r="AC89" s="3268">
        <v>264.7</v>
      </c>
      <c r="AD89" s="3268">
        <v>25.2</v>
      </c>
      <c r="AE89" s="3268"/>
      <c r="AF89" s="3268"/>
      <c r="AG89" s="3268"/>
      <c r="AH89" s="3268"/>
      <c r="AI89" s="3268"/>
      <c r="AJ89" s="3268">
        <v>130</v>
      </c>
      <c r="AK89" s="3268">
        <v>0.8</v>
      </c>
      <c r="AL89" s="3268"/>
      <c r="AM89" s="3268">
        <v>485</v>
      </c>
      <c r="AN89" s="3268">
        <v>1</v>
      </c>
      <c r="AO89" s="3268">
        <v>1</v>
      </c>
      <c r="AP89" s="3268">
        <v>0</v>
      </c>
      <c r="AQ89" s="3268"/>
      <c r="AR89" s="3268"/>
      <c r="AS89" s="3265"/>
      <c r="AT89" s="3265"/>
      <c r="AU89" s="3265"/>
      <c r="AV89" s="3265"/>
      <c r="AW89" s="3265">
        <v>1.02</v>
      </c>
      <c r="AX89" s="3265">
        <v>7.7700000000000002E-4</v>
      </c>
      <c r="AY89" s="3265">
        <v>0.32900000000000001</v>
      </c>
      <c r="AZ89" s="3265">
        <v>7.9900000000000001E-4</v>
      </c>
      <c r="BA89" s="3265">
        <v>93.3</v>
      </c>
      <c r="BB89" s="3265">
        <v>5.3780000000000001E-2</v>
      </c>
      <c r="BC89" s="3265">
        <v>1.07E-4</v>
      </c>
      <c r="BD89" s="3265">
        <v>10.276</v>
      </c>
      <c r="BE89" s="3265">
        <v>4834.2</v>
      </c>
      <c r="BF89" s="3265">
        <v>67.87</v>
      </c>
      <c r="BG89" s="3265"/>
      <c r="BH89" s="3265"/>
      <c r="BI89" s="3265"/>
      <c r="BJ89" s="3265"/>
      <c r="BK89" s="3265"/>
      <c r="BL89" s="3265"/>
      <c r="BM89" s="3265"/>
      <c r="BN89" s="3265"/>
      <c r="BO89" s="3265"/>
      <c r="BP89" s="3265"/>
    </row>
    <row r="90" spans="1:68" ht="12.75" customHeight="1" x14ac:dyDescent="0.25">
      <c r="A90" s="3263" t="s">
        <v>4339</v>
      </c>
      <c r="B90" s="3265" t="s">
        <v>4340</v>
      </c>
      <c r="C90" s="3265" t="s">
        <v>842</v>
      </c>
      <c r="D90" s="3265">
        <v>1</v>
      </c>
      <c r="E90" s="3265"/>
      <c r="F90" s="3263" t="s">
        <v>4339</v>
      </c>
      <c r="G90" s="3265"/>
      <c r="H90" s="3265"/>
      <c r="I90" s="3265"/>
      <c r="J90" s="3265"/>
      <c r="K90" s="3265"/>
      <c r="L90" s="3265"/>
      <c r="M90" s="3265"/>
      <c r="N90" s="3265"/>
      <c r="O90" s="3265"/>
      <c r="P90" s="3265"/>
      <c r="Q90" s="3265"/>
      <c r="R90" s="3265"/>
      <c r="S90" s="3265"/>
      <c r="T90" s="3268">
        <v>170.21</v>
      </c>
      <c r="U90" s="3268">
        <v>2</v>
      </c>
      <c r="V90" s="3268">
        <v>16</v>
      </c>
      <c r="W90" s="3268">
        <v>96</v>
      </c>
      <c r="X90" s="3268" t="s">
        <v>4459</v>
      </c>
      <c r="Y90" s="3268"/>
      <c r="Z90" s="3268"/>
      <c r="AA90" s="3268"/>
      <c r="AB90" s="3268"/>
      <c r="AC90" s="3268">
        <v>258.10000000000002</v>
      </c>
      <c r="AD90" s="3268">
        <v>26.9</v>
      </c>
      <c r="AE90" s="3268"/>
      <c r="AF90" s="3268"/>
      <c r="AG90" s="3268"/>
      <c r="AH90" s="3268"/>
      <c r="AI90" s="3268"/>
      <c r="AJ90" s="3268">
        <v>112</v>
      </c>
      <c r="AK90" s="3268">
        <v>0.7</v>
      </c>
      <c r="AL90" s="3268">
        <v>6</v>
      </c>
      <c r="AM90" s="3268">
        <v>620</v>
      </c>
      <c r="AN90" s="3268">
        <v>1</v>
      </c>
      <c r="AO90" s="3268">
        <v>1</v>
      </c>
      <c r="AP90" s="3268">
        <v>0</v>
      </c>
      <c r="AQ90" s="3268" t="s">
        <v>139</v>
      </c>
      <c r="AR90" s="3268" t="s">
        <v>138</v>
      </c>
      <c r="AS90" s="3265"/>
      <c r="AT90" s="3265" t="s">
        <v>1091</v>
      </c>
      <c r="AU90" s="3265"/>
      <c r="AV90" s="3265" t="s">
        <v>158</v>
      </c>
      <c r="AW90" s="3265">
        <v>1.099</v>
      </c>
      <c r="AX90" s="3265">
        <v>9.6299999999999999E-4</v>
      </c>
      <c r="AY90" s="3265">
        <v>0.36499999999999999</v>
      </c>
      <c r="AZ90" s="3265">
        <v>6.0700000000000001E-4</v>
      </c>
      <c r="BA90" s="3265">
        <v>94.7</v>
      </c>
      <c r="BB90" s="3265">
        <v>9.2399999999999996E-2</v>
      </c>
      <c r="BC90" s="3265">
        <v>4.07E-5</v>
      </c>
      <c r="BD90" s="3265">
        <v>9.8125</v>
      </c>
      <c r="BE90" s="3265">
        <v>4407.87</v>
      </c>
      <c r="BF90" s="3265">
        <v>82.31</v>
      </c>
      <c r="BG90" s="3265"/>
      <c r="BH90" s="3265"/>
      <c r="BI90" s="3265"/>
      <c r="BJ90" s="3265"/>
      <c r="BK90" s="3265"/>
      <c r="BL90" s="3265"/>
      <c r="BM90" s="3265"/>
      <c r="BN90" s="3265"/>
      <c r="BO90" s="3265"/>
      <c r="BP90" s="3265"/>
    </row>
    <row r="91" spans="1:68" ht="12.75" customHeight="1" x14ac:dyDescent="0.25">
      <c r="A91" s="3263" t="s">
        <v>826</v>
      </c>
      <c r="B91" s="3265"/>
      <c r="C91" s="3265" t="s">
        <v>842</v>
      </c>
      <c r="D91" s="3265">
        <v>1</v>
      </c>
      <c r="E91" s="3265"/>
      <c r="F91" s="3263" t="s">
        <v>826</v>
      </c>
      <c r="G91" s="3265"/>
      <c r="H91" s="3265"/>
      <c r="I91" s="3265"/>
      <c r="J91" s="3265"/>
      <c r="K91" s="3265"/>
      <c r="L91" s="3265"/>
      <c r="M91" s="3265"/>
      <c r="N91" s="3265"/>
      <c r="O91" s="3265"/>
      <c r="P91" s="3265"/>
      <c r="Q91" s="3265"/>
      <c r="R91" s="3265"/>
      <c r="S91" s="3265"/>
      <c r="T91" s="3265">
        <v>100</v>
      </c>
      <c r="U91" s="3265"/>
      <c r="V91" s="3265"/>
      <c r="W91" s="3265"/>
      <c r="X91" s="3265"/>
      <c r="Y91" s="3265"/>
      <c r="Z91" s="3266"/>
      <c r="AA91" s="3266"/>
      <c r="AB91" s="3265"/>
      <c r="AC91" s="3265"/>
      <c r="AD91" s="3265"/>
      <c r="AE91" s="3265"/>
      <c r="AF91" s="3265"/>
      <c r="AG91" s="3265"/>
      <c r="AH91" s="3265"/>
      <c r="AI91" s="3265"/>
      <c r="AJ91" s="3265"/>
      <c r="AK91" s="3265"/>
      <c r="AL91" s="3265"/>
      <c r="AM91" s="3265"/>
      <c r="AN91" s="3265"/>
      <c r="AO91" s="3265"/>
      <c r="AP91" s="3265"/>
      <c r="AQ91" s="3265"/>
      <c r="AR91" s="3265"/>
      <c r="AS91" s="3265"/>
      <c r="AT91" s="3265"/>
      <c r="AU91" s="3265"/>
      <c r="AV91" s="3265"/>
      <c r="AW91" s="3265">
        <v>1.5</v>
      </c>
      <c r="AX91" s="3265">
        <v>0</v>
      </c>
      <c r="AY91" s="3265">
        <v>0.5</v>
      </c>
      <c r="AZ91" s="3267">
        <v>0</v>
      </c>
      <c r="BA91" s="3265">
        <v>100</v>
      </c>
      <c r="BB91" s="3265">
        <v>0</v>
      </c>
      <c r="BC91" s="3265"/>
      <c r="BD91" s="3265">
        <v>5.2</v>
      </c>
      <c r="BE91" s="3265">
        <v>4000</v>
      </c>
      <c r="BF91" s="3265"/>
      <c r="BG91" s="3265"/>
      <c r="BH91" s="3265"/>
      <c r="BI91" s="3265"/>
      <c r="BJ91" s="3265"/>
      <c r="BK91" s="3265"/>
      <c r="BL91" s="3265"/>
      <c r="BM91" s="3265"/>
      <c r="BN91" s="3265"/>
      <c r="BO91" s="3265"/>
      <c r="BP91" s="3265"/>
    </row>
    <row r="92" spans="1:68" ht="12.75" customHeight="1" x14ac:dyDescent="0.25">
      <c r="A92" s="3263" t="s">
        <v>4341</v>
      </c>
      <c r="B92" s="3265" t="s">
        <v>4342</v>
      </c>
      <c r="C92" s="3265" t="s">
        <v>842</v>
      </c>
      <c r="D92" s="3265">
        <v>1</v>
      </c>
      <c r="E92" s="3265"/>
      <c r="F92" s="3263" t="s">
        <v>4341</v>
      </c>
      <c r="G92" s="3265"/>
      <c r="H92" s="3265"/>
      <c r="I92" s="3265"/>
      <c r="J92" s="3265"/>
      <c r="K92" s="3265"/>
      <c r="L92" s="3265"/>
      <c r="M92" s="3265"/>
      <c r="N92" s="3265"/>
      <c r="O92" s="3265"/>
      <c r="P92" s="3265"/>
      <c r="Q92" s="3265"/>
      <c r="R92" s="3265"/>
      <c r="S92" s="3265"/>
      <c r="T92" s="3268">
        <v>130.19</v>
      </c>
      <c r="U92" s="3268">
        <v>28</v>
      </c>
      <c r="V92" s="3268">
        <v>28</v>
      </c>
      <c r="W92" s="3268">
        <v>170</v>
      </c>
      <c r="X92" s="3268" t="s">
        <v>4459</v>
      </c>
      <c r="Y92" s="3268"/>
      <c r="Z92" s="3268"/>
      <c r="AA92" s="3268"/>
      <c r="AB92" s="3268"/>
      <c r="AC92" s="3268">
        <v>199.7</v>
      </c>
      <c r="AD92" s="3268"/>
      <c r="AE92" s="3268"/>
      <c r="AF92" s="3268"/>
      <c r="AG92" s="3268"/>
      <c r="AH92" s="3268"/>
      <c r="AI92" s="3268"/>
      <c r="AJ92" s="3268">
        <v>69</v>
      </c>
      <c r="AK92" s="3268">
        <v>0.7</v>
      </c>
      <c r="AL92" s="3268"/>
      <c r="AM92" s="3268"/>
      <c r="AN92" s="3268">
        <v>3</v>
      </c>
      <c r="AO92" s="3268">
        <v>2</v>
      </c>
      <c r="AP92" s="3268">
        <v>1</v>
      </c>
      <c r="AQ92" s="3268" t="s">
        <v>139</v>
      </c>
      <c r="AR92" s="3268" t="s">
        <v>138</v>
      </c>
      <c r="AS92" s="3265"/>
      <c r="AT92" s="3265"/>
      <c r="AU92" s="3265"/>
      <c r="AV92" s="3265"/>
      <c r="AW92" s="3265">
        <v>0.94099999999999995</v>
      </c>
      <c r="AX92" s="3265">
        <v>9.5699999999999995E-4</v>
      </c>
      <c r="AY92" s="3265">
        <v>0.35799999999999998</v>
      </c>
      <c r="AZ92" s="3265">
        <v>8.3000000000000001E-4</v>
      </c>
      <c r="BA92" s="3265">
        <v>98</v>
      </c>
      <c r="BB92" s="3265">
        <v>7.9000000000000001E-2</v>
      </c>
      <c r="BC92" s="3265">
        <v>1.2799999999999999E-4</v>
      </c>
      <c r="BD92" s="3265">
        <v>9.9192</v>
      </c>
      <c r="BE92" s="3265">
        <v>4145.55</v>
      </c>
      <c r="BF92" s="3265">
        <v>55.41</v>
      </c>
      <c r="BG92" s="3265"/>
      <c r="BH92" s="3265"/>
      <c r="BI92" s="3265"/>
      <c r="BJ92" s="3265"/>
      <c r="BK92" s="3265"/>
      <c r="BL92" s="3265"/>
      <c r="BM92" s="3265"/>
      <c r="BN92" s="3265"/>
      <c r="BO92" s="3265"/>
      <c r="BP92" s="3265"/>
    </row>
    <row r="93" spans="1:68" ht="12.75" customHeight="1" x14ac:dyDescent="0.25">
      <c r="A93" s="3263" t="s">
        <v>4345</v>
      </c>
      <c r="B93" s="3265" t="s">
        <v>4346</v>
      </c>
      <c r="C93" s="3265" t="s">
        <v>842</v>
      </c>
      <c r="D93" s="3265">
        <v>1</v>
      </c>
      <c r="E93" s="3265"/>
      <c r="F93" s="3263" t="s">
        <v>4345</v>
      </c>
      <c r="G93" s="3265"/>
      <c r="H93" s="3265"/>
      <c r="I93" s="3265"/>
      <c r="J93" s="3265"/>
      <c r="K93" s="3265"/>
      <c r="L93" s="3265"/>
      <c r="M93" s="3265"/>
      <c r="N93" s="3265"/>
      <c r="O93" s="3265"/>
      <c r="P93" s="3265"/>
      <c r="Q93" s="3265"/>
      <c r="R93" s="3265"/>
      <c r="S93" s="3265"/>
      <c r="T93" s="3268">
        <v>118.2</v>
      </c>
      <c r="U93" s="3268">
        <v>20</v>
      </c>
      <c r="V93" s="3268">
        <v>20</v>
      </c>
      <c r="W93" s="3268">
        <v>700</v>
      </c>
      <c r="X93" s="3268" t="s">
        <v>4459</v>
      </c>
      <c r="Y93" s="3268"/>
      <c r="Z93" s="3268"/>
      <c r="AA93" s="3268"/>
      <c r="AB93" s="3268"/>
      <c r="AC93" s="3268">
        <v>170.7</v>
      </c>
      <c r="AD93" s="3268">
        <v>-77</v>
      </c>
      <c r="AE93" s="3268"/>
      <c r="AF93" s="3268"/>
      <c r="AG93" s="3268"/>
      <c r="AH93" s="3268"/>
      <c r="AI93" s="3268"/>
      <c r="AJ93" s="3268">
        <v>65</v>
      </c>
      <c r="AK93" s="3268">
        <v>1.1299999999999999</v>
      </c>
      <c r="AL93" s="3268"/>
      <c r="AM93" s="3268"/>
      <c r="AN93" s="3268">
        <v>2</v>
      </c>
      <c r="AO93" s="3268">
        <v>2</v>
      </c>
      <c r="AP93" s="3268">
        <v>0</v>
      </c>
      <c r="AQ93" s="3268" t="s">
        <v>139</v>
      </c>
      <c r="AR93" s="3268" t="s">
        <v>138</v>
      </c>
      <c r="AS93" s="3265"/>
      <c r="AT93" s="3265" t="s">
        <v>599</v>
      </c>
      <c r="AU93" s="3265"/>
      <c r="AV93" s="3265"/>
      <c r="AW93" s="3265">
        <v>0.92100000000000004</v>
      </c>
      <c r="AX93" s="3265">
        <v>9.3999999999999997E-4</v>
      </c>
      <c r="AY93" s="3265">
        <v>0.54400000000000004</v>
      </c>
      <c r="AZ93" s="3265">
        <v>9.3999999999999997E-4</v>
      </c>
      <c r="BA93" s="3265">
        <v>119.3</v>
      </c>
      <c r="BB93" s="3265">
        <v>0.185</v>
      </c>
      <c r="BC93" s="3265">
        <v>1.6000000000000001E-4</v>
      </c>
      <c r="BD93" s="3265">
        <v>10.8756</v>
      </c>
      <c r="BE93" s="3265">
        <v>4185.21</v>
      </c>
      <c r="BF93" s="3265">
        <v>59.3</v>
      </c>
      <c r="BG93" s="3265"/>
      <c r="BH93" s="3265"/>
      <c r="BI93" s="3265"/>
      <c r="BJ93" s="3265"/>
      <c r="BK93" s="3265"/>
      <c r="BL93" s="3265"/>
      <c r="BM93" s="3265"/>
      <c r="BN93" s="3265"/>
      <c r="BO93" s="3265"/>
      <c r="BP93" s="3265"/>
    </row>
    <row r="94" spans="1:68" ht="12.75" customHeight="1" x14ac:dyDescent="0.25">
      <c r="A94" s="3263" t="s">
        <v>4347</v>
      </c>
      <c r="B94" s="3265" t="s">
        <v>4348</v>
      </c>
      <c r="C94" s="3265" t="s">
        <v>842</v>
      </c>
      <c r="D94" s="3265">
        <v>1</v>
      </c>
      <c r="E94" s="3265"/>
      <c r="F94" s="3263" t="s">
        <v>4347</v>
      </c>
      <c r="G94" s="3265"/>
      <c r="H94" s="3265"/>
      <c r="I94" s="3265"/>
      <c r="J94" s="3265"/>
      <c r="K94" s="3265"/>
      <c r="L94" s="3265"/>
      <c r="M94" s="3265"/>
      <c r="N94" s="3265"/>
      <c r="O94" s="3265"/>
      <c r="P94" s="3265"/>
      <c r="Q94" s="3265"/>
      <c r="R94" s="3265"/>
      <c r="S94" s="3265"/>
      <c r="T94" s="3268">
        <v>90.1</v>
      </c>
      <c r="U94" s="3268">
        <v>150</v>
      </c>
      <c r="V94" s="3268">
        <v>150</v>
      </c>
      <c r="W94" s="3268">
        <v>470</v>
      </c>
      <c r="X94" s="3268" t="s">
        <v>4459</v>
      </c>
      <c r="Y94" s="3268"/>
      <c r="Z94" s="3268"/>
      <c r="AA94" s="3268"/>
      <c r="AB94" s="3268"/>
      <c r="AC94" s="3268">
        <v>119.8</v>
      </c>
      <c r="AD94" s="3268">
        <v>-96.7</v>
      </c>
      <c r="AE94" s="3268"/>
      <c r="AF94" s="3268"/>
      <c r="AG94" s="3268"/>
      <c r="AH94" s="3268"/>
      <c r="AI94" s="3268"/>
      <c r="AJ94" s="3268">
        <v>31</v>
      </c>
      <c r="AK94" s="3268">
        <v>1.48</v>
      </c>
      <c r="AL94" s="3268">
        <v>13.74</v>
      </c>
      <c r="AM94" s="3268">
        <v>287</v>
      </c>
      <c r="AN94" s="3268">
        <v>2</v>
      </c>
      <c r="AO94" s="3268">
        <v>3</v>
      </c>
      <c r="AP94" s="3268">
        <v>0</v>
      </c>
      <c r="AQ94" s="3268" t="s">
        <v>139</v>
      </c>
      <c r="AR94" s="3268" t="s">
        <v>138</v>
      </c>
      <c r="AS94" s="3265"/>
      <c r="AT94" s="3265"/>
      <c r="AU94" s="3265"/>
      <c r="AV94" s="3265"/>
      <c r="AW94" s="3265">
        <v>0.94399999999999995</v>
      </c>
      <c r="AX94" s="3265">
        <v>1.1249999999999999E-3</v>
      </c>
      <c r="AY94" s="3265">
        <v>0.48699999999999999</v>
      </c>
      <c r="AZ94" s="3265">
        <v>9.9500000000000001E-4</v>
      </c>
      <c r="BA94" s="3265">
        <v>125.1</v>
      </c>
      <c r="BB94" s="3265">
        <v>0.13950000000000001</v>
      </c>
      <c r="BC94" s="3265">
        <v>3.1599999999999998E-4</v>
      </c>
      <c r="BD94" s="3265">
        <v>10.582800000000001</v>
      </c>
      <c r="BE94" s="3265">
        <v>3566.91</v>
      </c>
      <c r="BF94" s="3265">
        <v>56.06</v>
      </c>
      <c r="BG94" s="3265"/>
      <c r="BH94" s="3265"/>
      <c r="BI94" s="3265"/>
      <c r="BJ94" s="3265"/>
      <c r="BK94" s="3265"/>
      <c r="BL94" s="3265"/>
      <c r="BM94" s="3265"/>
      <c r="BN94" s="3265"/>
      <c r="BO94" s="3265"/>
      <c r="BP94" s="3265"/>
    </row>
    <row r="95" spans="1:68" ht="12.75" customHeight="1" x14ac:dyDescent="0.25">
      <c r="A95" s="3248" t="s">
        <v>1471</v>
      </c>
      <c r="B95" s="3373" t="s">
        <v>3384</v>
      </c>
      <c r="C95" s="3227" t="s">
        <v>842</v>
      </c>
      <c r="D95" s="3227">
        <v>1</v>
      </c>
      <c r="E95" s="3227"/>
      <c r="F95" s="3248" t="s">
        <v>1471</v>
      </c>
      <c r="G95" s="3227"/>
      <c r="H95" s="3227"/>
      <c r="I95" s="3227"/>
      <c r="J95" s="3227"/>
      <c r="K95" s="3227"/>
      <c r="L95" s="3227"/>
      <c r="M95" s="3227"/>
      <c r="N95" s="3227"/>
      <c r="O95" s="3227"/>
      <c r="P95" s="3227"/>
      <c r="Q95" s="3227"/>
      <c r="R95" s="3227"/>
      <c r="S95" s="3227"/>
      <c r="T95" s="3227">
        <v>134.19999999999999</v>
      </c>
      <c r="U95" s="3227">
        <v>10</v>
      </c>
      <c r="V95" s="3227">
        <v>100</v>
      </c>
      <c r="W95" s="3227">
        <v>500</v>
      </c>
      <c r="X95" s="3227" t="s">
        <v>4259</v>
      </c>
      <c r="Y95" s="3227"/>
      <c r="Z95" s="3382"/>
      <c r="AA95" s="3382"/>
      <c r="AB95" s="3227"/>
      <c r="AC95" s="3227">
        <v>181.4</v>
      </c>
      <c r="AD95" s="3227">
        <v>-73.3</v>
      </c>
      <c r="AE95" s="3227"/>
      <c r="AF95" s="3227"/>
      <c r="AG95" s="3227"/>
      <c r="AH95" s="3227"/>
      <c r="AI95" s="3227"/>
      <c r="AJ95" s="3227">
        <v>63</v>
      </c>
      <c r="AK95" s="3227">
        <v>1.4</v>
      </c>
      <c r="AL95" s="3227"/>
      <c r="AM95" s="3227"/>
      <c r="AN95" s="3227">
        <v>1</v>
      </c>
      <c r="AO95" s="3227">
        <v>2</v>
      </c>
      <c r="AP95" s="3227">
        <v>0</v>
      </c>
      <c r="AQ95" s="3227" t="s">
        <v>139</v>
      </c>
      <c r="AR95" s="3227" t="s">
        <v>138</v>
      </c>
      <c r="AS95" s="3227"/>
      <c r="AT95" s="3227"/>
      <c r="AU95" s="3227"/>
      <c r="AV95" s="3227"/>
      <c r="AW95" s="3227">
        <v>0.88019999999999998</v>
      </c>
      <c r="AX95" s="3227">
        <v>8.8999999999999995E-4</v>
      </c>
      <c r="AY95" s="3227">
        <v>0.42230000000000001</v>
      </c>
      <c r="AZ95" s="3385">
        <v>8.0000000000000004E-4</v>
      </c>
      <c r="BA95" s="3227">
        <v>93.55</v>
      </c>
      <c r="BB95" s="3227">
        <v>0.109</v>
      </c>
      <c r="BC95" s="3227"/>
      <c r="BD95" s="3227">
        <v>13.153600000000001</v>
      </c>
      <c r="BE95" s="3227">
        <v>5922.5</v>
      </c>
      <c r="BF95" s="3227"/>
      <c r="BG95" s="3227"/>
      <c r="BH95" s="3227"/>
      <c r="BI95" s="3227"/>
      <c r="BJ95" s="3227"/>
      <c r="BK95" s="3227"/>
      <c r="BL95" s="3227"/>
      <c r="BM95" s="3227"/>
      <c r="BN95" s="3227"/>
      <c r="BO95" s="3227"/>
      <c r="BP95" s="3227"/>
    </row>
    <row r="96" spans="1:68" ht="12.75" customHeight="1" x14ac:dyDescent="0.25">
      <c r="A96" s="3103" t="s">
        <v>633</v>
      </c>
      <c r="B96" s="3104" t="s">
        <v>802</v>
      </c>
      <c r="C96" s="3105" t="s">
        <v>842</v>
      </c>
      <c r="D96" s="3105">
        <v>1</v>
      </c>
      <c r="E96" s="3105"/>
      <c r="F96" s="3103" t="s">
        <v>633</v>
      </c>
      <c r="G96" s="3105"/>
      <c r="H96" s="3105"/>
      <c r="I96" s="3105"/>
      <c r="J96" s="3105"/>
      <c r="K96" s="3105"/>
      <c r="L96" s="3105"/>
      <c r="M96" s="3105"/>
      <c r="N96" s="3105"/>
      <c r="O96" s="3105"/>
      <c r="P96" s="3105"/>
      <c r="Q96" s="3105"/>
      <c r="R96" s="3105"/>
      <c r="S96" s="3105"/>
      <c r="T96" s="3105">
        <v>92.5</v>
      </c>
      <c r="U96" s="3105">
        <v>5</v>
      </c>
      <c r="V96" s="3105">
        <v>20</v>
      </c>
      <c r="W96" s="3105">
        <v>100</v>
      </c>
      <c r="X96" s="3105" t="s">
        <v>4259</v>
      </c>
      <c r="Y96" s="3105"/>
      <c r="Z96" s="3106"/>
      <c r="AA96" s="3106"/>
      <c r="AB96" s="3105"/>
      <c r="AC96" s="3105">
        <v>116.4</v>
      </c>
      <c r="AD96" s="3105">
        <v>-57.1</v>
      </c>
      <c r="AE96" s="3105"/>
      <c r="AF96" s="3105"/>
      <c r="AG96" s="3105"/>
      <c r="AH96" s="3105"/>
      <c r="AI96" s="3105"/>
      <c r="AJ96" s="3105">
        <v>31</v>
      </c>
      <c r="AK96" s="3105">
        <v>3.8</v>
      </c>
      <c r="AL96" s="3105"/>
      <c r="AM96" s="3105"/>
      <c r="AN96" s="3105">
        <v>3</v>
      </c>
      <c r="AO96" s="3105">
        <v>3</v>
      </c>
      <c r="AP96" s="3105">
        <v>2</v>
      </c>
      <c r="AQ96" s="3105" t="s">
        <v>139</v>
      </c>
      <c r="AR96" s="3105" t="s">
        <v>138</v>
      </c>
      <c r="AS96" s="3105"/>
      <c r="AT96" s="3105"/>
      <c r="AU96" s="3105"/>
      <c r="AV96" s="3105"/>
      <c r="AW96" s="3105">
        <v>1.21</v>
      </c>
      <c r="AX96" s="3105">
        <v>1.4350000000000001E-3</v>
      </c>
      <c r="AY96" s="3105">
        <v>0.33300000000000002</v>
      </c>
      <c r="AZ96" s="3107">
        <v>6.3500000000000004E-4</v>
      </c>
      <c r="BA96" s="3105">
        <v>111.2</v>
      </c>
      <c r="BB96" s="3105">
        <v>0.11940000000000001</v>
      </c>
      <c r="BC96" s="3105">
        <v>2.32E-4</v>
      </c>
      <c r="BD96" s="3105">
        <v>9.9369999999999994</v>
      </c>
      <c r="BE96" s="3105">
        <v>3289.59</v>
      </c>
      <c r="BF96" s="3105">
        <v>58.56</v>
      </c>
      <c r="BG96" s="3105"/>
      <c r="BH96" s="3105"/>
      <c r="BI96" s="3105"/>
      <c r="BJ96" s="3105"/>
      <c r="BK96" s="3105"/>
      <c r="BL96" s="3105"/>
      <c r="BM96" s="3105"/>
      <c r="BN96" s="3105"/>
      <c r="BO96" s="3105"/>
      <c r="BP96" s="3105"/>
    </row>
    <row r="97" spans="1:68" ht="12.75" customHeight="1" x14ac:dyDescent="0.25">
      <c r="A97" s="3103" t="s">
        <v>1177</v>
      </c>
      <c r="B97" s="3319" t="s">
        <v>803</v>
      </c>
      <c r="C97" s="3105" t="s">
        <v>842</v>
      </c>
      <c r="D97" s="3105">
        <v>1</v>
      </c>
      <c r="E97" s="3105"/>
      <c r="F97" s="3103" t="s">
        <v>1177</v>
      </c>
      <c r="G97" s="3105"/>
      <c r="H97" s="3105"/>
      <c r="I97" s="3105"/>
      <c r="J97" s="3105"/>
      <c r="K97" s="3105"/>
      <c r="L97" s="3105"/>
      <c r="M97" s="3105"/>
      <c r="N97" s="3105"/>
      <c r="O97" s="3105"/>
      <c r="P97" s="3105"/>
      <c r="Q97" s="3105"/>
      <c r="R97" s="3105"/>
      <c r="S97" s="3105"/>
      <c r="T97" s="3105">
        <v>30.07</v>
      </c>
      <c r="U97" s="3115">
        <v>3000</v>
      </c>
      <c r="V97" s="3115">
        <v>33000</v>
      </c>
      <c r="W97" s="3115">
        <v>200000</v>
      </c>
      <c r="X97" s="3105" t="s">
        <v>4459</v>
      </c>
      <c r="Y97" s="3105"/>
      <c r="Z97" s="3106"/>
      <c r="AA97" s="3106"/>
      <c r="AB97" s="3105"/>
      <c r="AC97" s="3105">
        <v>-88.7</v>
      </c>
      <c r="AD97" s="3105">
        <v>-183.2</v>
      </c>
      <c r="AE97" s="3105"/>
      <c r="AF97" s="3105"/>
      <c r="AG97" s="3105"/>
      <c r="AH97" s="3105"/>
      <c r="AI97" s="3105"/>
      <c r="AJ97" s="3105">
        <v>-130.19999999999999</v>
      </c>
      <c r="AK97" s="3105">
        <v>3</v>
      </c>
      <c r="AL97" s="3105">
        <v>12.5</v>
      </c>
      <c r="AM97" s="3105">
        <v>472</v>
      </c>
      <c r="AN97" s="3105">
        <v>1</v>
      </c>
      <c r="AO97" s="3105">
        <v>4</v>
      </c>
      <c r="AP97" s="3105">
        <v>0</v>
      </c>
      <c r="AQ97" s="3105" t="s">
        <v>139</v>
      </c>
      <c r="AR97" s="3105" t="s">
        <v>138</v>
      </c>
      <c r="AS97" s="3105"/>
      <c r="AT97" s="3105"/>
      <c r="AU97" s="3105"/>
      <c r="AV97" s="3105"/>
      <c r="AW97" s="3105">
        <v>0.438</v>
      </c>
      <c r="AX97" s="3105">
        <v>1.225E-3</v>
      </c>
      <c r="AY97" s="3105">
        <v>0.67100000000000004</v>
      </c>
      <c r="AZ97" s="3107">
        <v>8.3799999999999999E-4</v>
      </c>
      <c r="BA97" s="3105">
        <v>82.9</v>
      </c>
      <c r="BB97" s="3105">
        <v>0.43125000000000002</v>
      </c>
      <c r="BC97" s="3105">
        <v>5.9400000000000002E-4</v>
      </c>
      <c r="BD97" s="3105">
        <v>8.9760000000000009</v>
      </c>
      <c r="BE97" s="3105">
        <v>1498.75</v>
      </c>
      <c r="BF97" s="3105">
        <v>17.5</v>
      </c>
      <c r="BG97" s="3105"/>
      <c r="BH97" s="3105"/>
      <c r="BI97" s="3105"/>
      <c r="BJ97" s="3105"/>
      <c r="BK97" s="3105"/>
      <c r="BL97" s="3105"/>
      <c r="BM97" s="3105"/>
      <c r="BN97" s="3105"/>
      <c r="BO97" s="3105"/>
      <c r="BP97" s="3105"/>
    </row>
    <row r="98" spans="1:68" ht="12.75" customHeight="1" x14ac:dyDescent="0.25">
      <c r="A98" s="3103" t="s">
        <v>1178</v>
      </c>
      <c r="B98" s="3105" t="s">
        <v>3131</v>
      </c>
      <c r="C98" s="3105" t="s">
        <v>842</v>
      </c>
      <c r="D98" s="3105">
        <v>1</v>
      </c>
      <c r="E98" s="3105"/>
      <c r="F98" s="3103" t="s">
        <v>1178</v>
      </c>
      <c r="G98" s="3105"/>
      <c r="H98" s="3105"/>
      <c r="I98" s="3105"/>
      <c r="J98" s="3105"/>
      <c r="K98" s="3105"/>
      <c r="L98" s="3105"/>
      <c r="M98" s="3105"/>
      <c r="N98" s="3105"/>
      <c r="O98" s="3105"/>
      <c r="P98" s="3105"/>
      <c r="Q98" s="3105"/>
      <c r="R98" s="3105"/>
      <c r="S98" s="3105"/>
      <c r="T98" s="3105">
        <v>46.07</v>
      </c>
      <c r="U98" s="3105">
        <v>1800</v>
      </c>
      <c r="V98" s="3105">
        <v>3300</v>
      </c>
      <c r="W98" s="3105">
        <v>15000</v>
      </c>
      <c r="X98" s="3105" t="s">
        <v>4259</v>
      </c>
      <c r="Y98" s="3105"/>
      <c r="Z98" s="3106"/>
      <c r="AA98" s="3106"/>
      <c r="AB98" s="3105"/>
      <c r="AC98" s="3105">
        <v>78</v>
      </c>
      <c r="AD98" s="3105">
        <v>-114.5</v>
      </c>
      <c r="AE98" s="3105"/>
      <c r="AF98" s="3105"/>
      <c r="AG98" s="3105"/>
      <c r="AH98" s="3105"/>
      <c r="AI98" s="3105"/>
      <c r="AJ98" s="3105">
        <v>13</v>
      </c>
      <c r="AK98" s="3105">
        <v>4.3</v>
      </c>
      <c r="AL98" s="3105"/>
      <c r="AM98" s="3105"/>
      <c r="AN98" s="3105">
        <v>2</v>
      </c>
      <c r="AO98" s="3105">
        <v>3</v>
      </c>
      <c r="AP98" s="3105">
        <v>1</v>
      </c>
      <c r="AQ98" s="3105" t="s">
        <v>139</v>
      </c>
      <c r="AR98" s="3105" t="s">
        <v>138</v>
      </c>
      <c r="AS98" s="3105" t="s">
        <v>599</v>
      </c>
      <c r="AT98" s="3105"/>
      <c r="AU98" s="3105"/>
      <c r="AV98" s="3105" t="s">
        <v>158</v>
      </c>
      <c r="AW98" s="3105">
        <v>0.80800000000000005</v>
      </c>
      <c r="AX98" s="3105">
        <v>8.8000000000000003E-4</v>
      </c>
      <c r="AY98" s="3105">
        <v>0.53800000000000003</v>
      </c>
      <c r="AZ98" s="3107">
        <v>1.91E-3</v>
      </c>
      <c r="BA98" s="3105">
        <v>228.4</v>
      </c>
      <c r="BB98" s="3105">
        <v>0.315</v>
      </c>
      <c r="BC98" s="3105"/>
      <c r="BD98" s="3105">
        <v>14.471</v>
      </c>
      <c r="BE98" s="3105">
        <v>5083.7</v>
      </c>
      <c r="BF98" s="3105"/>
      <c r="BG98" s="3105"/>
      <c r="BH98" s="3105"/>
      <c r="BI98" s="3105"/>
      <c r="BJ98" s="3105"/>
      <c r="BK98" s="3105"/>
      <c r="BL98" s="3105"/>
      <c r="BM98" s="3105"/>
      <c r="BN98" s="3105"/>
      <c r="BO98" s="3105"/>
      <c r="BP98" s="3105"/>
    </row>
    <row r="99" spans="1:68" ht="12.75" customHeight="1" x14ac:dyDescent="0.25">
      <c r="A99" s="3103" t="s">
        <v>4349</v>
      </c>
      <c r="B99" s="3105" t="s">
        <v>4350</v>
      </c>
      <c r="C99" s="3105" t="s">
        <v>842</v>
      </c>
      <c r="D99" s="3105">
        <v>1</v>
      </c>
      <c r="E99" s="3105"/>
      <c r="F99" s="3103" t="s">
        <v>4349</v>
      </c>
      <c r="G99" s="3105"/>
      <c r="H99" s="3105"/>
      <c r="I99" s="3105"/>
      <c r="J99" s="3105"/>
      <c r="K99" s="3105"/>
      <c r="L99" s="3105"/>
      <c r="M99" s="3105"/>
      <c r="N99" s="3105"/>
      <c r="O99" s="3105"/>
      <c r="P99" s="3105"/>
      <c r="Q99" s="3105"/>
      <c r="R99" s="3105"/>
      <c r="S99" s="3105"/>
      <c r="T99" s="3115">
        <v>61.08</v>
      </c>
      <c r="U99" s="3115">
        <v>6</v>
      </c>
      <c r="V99" s="3115">
        <v>170</v>
      </c>
      <c r="W99" s="3115">
        <v>1000</v>
      </c>
      <c r="X99" s="3115" t="s">
        <v>4459</v>
      </c>
      <c r="Y99" s="3115"/>
      <c r="Z99" s="3115"/>
      <c r="AA99" s="3115"/>
      <c r="AB99" s="3115"/>
      <c r="AC99" s="3115">
        <v>170.5</v>
      </c>
      <c r="AD99" s="3115">
        <v>7.9</v>
      </c>
      <c r="AE99" s="3115"/>
      <c r="AF99" s="3115"/>
      <c r="AG99" s="3115"/>
      <c r="AH99" s="3115"/>
      <c r="AI99" s="3115"/>
      <c r="AJ99" s="3115">
        <v>85</v>
      </c>
      <c r="AK99" s="3115">
        <v>2.5</v>
      </c>
      <c r="AL99" s="3115"/>
      <c r="AM99" s="3115"/>
      <c r="AN99" s="3115">
        <v>3</v>
      </c>
      <c r="AO99" s="3115">
        <v>1</v>
      </c>
      <c r="AP99" s="3115">
        <v>0</v>
      </c>
      <c r="AQ99" s="3115" t="s">
        <v>139</v>
      </c>
      <c r="AR99" s="3115" t="s">
        <v>138</v>
      </c>
      <c r="AS99" s="3105" t="s">
        <v>599</v>
      </c>
      <c r="AT99" s="3105"/>
      <c r="AU99" s="3105"/>
      <c r="AV99" s="3105" t="s">
        <v>158</v>
      </c>
      <c r="AW99" s="3105">
        <v>1.03</v>
      </c>
      <c r="AX99" s="3105">
        <v>7.5600000000000005E-4</v>
      </c>
      <c r="AY99" s="3105">
        <v>0.625</v>
      </c>
      <c r="AZ99" s="3105">
        <v>1.1490000000000001E-3</v>
      </c>
      <c r="BA99" s="3105">
        <v>251.2</v>
      </c>
      <c r="BB99" s="3105">
        <v>0.36399999999999999</v>
      </c>
      <c r="BC99" s="3105">
        <v>0</v>
      </c>
      <c r="BD99" s="3105">
        <v>15.317</v>
      </c>
      <c r="BE99" s="3105">
        <v>6788.3</v>
      </c>
      <c r="BF99" s="3105">
        <v>0</v>
      </c>
      <c r="BG99" s="3105"/>
      <c r="BH99" s="3105"/>
      <c r="BI99" s="3105"/>
      <c r="BJ99" s="3105"/>
      <c r="BK99" s="3105"/>
      <c r="BL99" s="3105"/>
      <c r="BM99" s="3105"/>
      <c r="BN99" s="3105"/>
      <c r="BO99" s="3105"/>
      <c r="BP99" s="3105"/>
    </row>
    <row r="100" spans="1:68" ht="12.75" customHeight="1" x14ac:dyDescent="0.25">
      <c r="A100" s="3103" t="s">
        <v>211</v>
      </c>
      <c r="B100" s="3104" t="s">
        <v>495</v>
      </c>
      <c r="C100" s="3105" t="s">
        <v>842</v>
      </c>
      <c r="D100" s="3105">
        <v>1</v>
      </c>
      <c r="E100" s="3105"/>
      <c r="F100" s="3103" t="s">
        <v>211</v>
      </c>
      <c r="G100" s="3105"/>
      <c r="H100" s="3105"/>
      <c r="I100" s="3105"/>
      <c r="J100" s="3105"/>
      <c r="K100" s="3105"/>
      <c r="L100" s="3105"/>
      <c r="M100" s="3105"/>
      <c r="N100" s="3105"/>
      <c r="O100" s="3105"/>
      <c r="P100" s="3105"/>
      <c r="Q100" s="3105"/>
      <c r="R100" s="3105"/>
      <c r="S100" s="3105"/>
      <c r="T100" s="3105">
        <v>88.11</v>
      </c>
      <c r="U100" s="3115">
        <v>200</v>
      </c>
      <c r="V100" s="3115">
        <v>2000</v>
      </c>
      <c r="W100" s="3115">
        <v>8000</v>
      </c>
      <c r="X100" s="3105" t="s">
        <v>4459</v>
      </c>
      <c r="Y100" s="3105"/>
      <c r="Z100" s="3106"/>
      <c r="AA100" s="3106"/>
      <c r="AB100" s="3105"/>
      <c r="AC100" s="3105">
        <v>77.099999999999994</v>
      </c>
      <c r="AD100" s="3105">
        <v>-83.6</v>
      </c>
      <c r="AE100" s="3105"/>
      <c r="AF100" s="3105"/>
      <c r="AG100" s="3105"/>
      <c r="AH100" s="3105"/>
      <c r="AI100" s="3105"/>
      <c r="AJ100" s="3105">
        <v>-4</v>
      </c>
      <c r="AK100" s="3105">
        <v>2</v>
      </c>
      <c r="AL100" s="3105"/>
      <c r="AM100" s="3105"/>
      <c r="AN100" s="3105">
        <v>1</v>
      </c>
      <c r="AO100" s="3105">
        <v>3</v>
      </c>
      <c r="AP100" s="3105">
        <v>0</v>
      </c>
      <c r="AQ100" s="3105" t="s">
        <v>139</v>
      </c>
      <c r="AR100" s="3105" t="s">
        <v>138</v>
      </c>
      <c r="AS100" s="3105"/>
      <c r="AT100" s="3105"/>
      <c r="AU100" s="3105"/>
      <c r="AV100" s="3105" t="s">
        <v>158</v>
      </c>
      <c r="AW100" s="3105">
        <v>0.91900000000000004</v>
      </c>
      <c r="AX100" s="3105">
        <v>1.276E-3</v>
      </c>
      <c r="AY100" s="3105">
        <v>0.46100000000000002</v>
      </c>
      <c r="AZ100" s="3107">
        <v>5.5369999999999996E-4</v>
      </c>
      <c r="BA100" s="3105">
        <v>100.8</v>
      </c>
      <c r="BB100" s="3105">
        <v>0.17990200000000001</v>
      </c>
      <c r="BC100" s="3105">
        <v>1.2899999999999999E-4</v>
      </c>
      <c r="BD100" s="3105">
        <v>9.86</v>
      </c>
      <c r="BE100" s="3105">
        <v>2962.28</v>
      </c>
      <c r="BF100" s="3105">
        <v>50.06</v>
      </c>
      <c r="BG100" s="3105"/>
      <c r="BH100" s="3105"/>
      <c r="BI100" s="3105"/>
      <c r="BJ100" s="3105"/>
      <c r="BK100" s="3105"/>
      <c r="BL100" s="3105"/>
      <c r="BM100" s="3105"/>
      <c r="BN100" s="3105"/>
      <c r="BO100" s="3105"/>
      <c r="BP100" s="3105"/>
    </row>
    <row r="101" spans="1:68" ht="12.75" customHeight="1" x14ac:dyDescent="0.25">
      <c r="A101" s="3103" t="s">
        <v>212</v>
      </c>
      <c r="B101" s="3104" t="s">
        <v>496</v>
      </c>
      <c r="C101" s="3105" t="s">
        <v>842</v>
      </c>
      <c r="D101" s="3105">
        <v>1</v>
      </c>
      <c r="E101" s="3105"/>
      <c r="F101" s="3103" t="s">
        <v>212</v>
      </c>
      <c r="G101" s="3105"/>
      <c r="H101" s="3105"/>
      <c r="I101" s="3105"/>
      <c r="J101" s="3105"/>
      <c r="K101" s="3105"/>
      <c r="L101" s="3105"/>
      <c r="M101" s="3105"/>
      <c r="N101" s="3105"/>
      <c r="O101" s="3105"/>
      <c r="P101" s="3105"/>
      <c r="Q101" s="3105"/>
      <c r="R101" s="3105"/>
      <c r="S101" s="3105"/>
      <c r="T101" s="3105">
        <v>100.1</v>
      </c>
      <c r="U101" s="3105">
        <v>0.01</v>
      </c>
      <c r="V101" s="3105">
        <v>30</v>
      </c>
      <c r="W101" s="3105">
        <v>300</v>
      </c>
      <c r="X101" s="3105" t="s">
        <v>4259</v>
      </c>
      <c r="Y101" s="3105"/>
      <c r="Z101" s="3106"/>
      <c r="AA101" s="3106"/>
      <c r="AB101" s="3105"/>
      <c r="AC101" s="3105">
        <v>99.7</v>
      </c>
      <c r="AD101" s="3105">
        <v>-71</v>
      </c>
      <c r="AE101" s="3105"/>
      <c r="AF101" s="3105"/>
      <c r="AG101" s="3105"/>
      <c r="AH101" s="3105"/>
      <c r="AI101" s="3105"/>
      <c r="AJ101" s="3105">
        <v>10</v>
      </c>
      <c r="AK101" s="3105">
        <v>1.4</v>
      </c>
      <c r="AL101" s="3105"/>
      <c r="AM101" s="3105"/>
      <c r="AN101" s="3105">
        <v>3</v>
      </c>
      <c r="AO101" s="3105">
        <v>3</v>
      </c>
      <c r="AP101" s="3105">
        <v>2</v>
      </c>
      <c r="AQ101" s="3105" t="s">
        <v>139</v>
      </c>
      <c r="AR101" s="3105" t="s">
        <v>138</v>
      </c>
      <c r="AS101" s="3105"/>
      <c r="AT101" s="3105"/>
      <c r="AU101" s="3105"/>
      <c r="AV101" s="3105"/>
      <c r="AW101" s="3105">
        <v>0.95199999999999996</v>
      </c>
      <c r="AX101" s="3105">
        <v>1.3849999999999999E-3</v>
      </c>
      <c r="AY101" s="3105">
        <v>0.38</v>
      </c>
      <c r="AZ101" s="3107">
        <v>8.3000000000000001E-4</v>
      </c>
      <c r="BA101" s="3105">
        <v>93.6</v>
      </c>
      <c r="BB101" s="3105">
        <v>0.1125</v>
      </c>
      <c r="BC101" s="3105">
        <v>3.2499999999999999E-4</v>
      </c>
      <c r="BD101" s="3105">
        <v>9.4903999999999993</v>
      </c>
      <c r="BE101" s="3105">
        <v>2967.02</v>
      </c>
      <c r="BF101" s="3105">
        <v>60.24</v>
      </c>
      <c r="BG101" s="3105"/>
      <c r="BH101" s="3105"/>
      <c r="BI101" s="3105"/>
      <c r="BJ101" s="3105"/>
      <c r="BK101" s="3105"/>
      <c r="BL101" s="3105"/>
      <c r="BM101" s="3105"/>
      <c r="BN101" s="3105"/>
      <c r="BO101" s="3105"/>
      <c r="BP101" s="3105"/>
    </row>
    <row r="102" spans="1:68" ht="12.75" customHeight="1" x14ac:dyDescent="0.25">
      <c r="A102" s="3103" t="s">
        <v>497</v>
      </c>
      <c r="B102" s="3105" t="s">
        <v>498</v>
      </c>
      <c r="C102" s="3105" t="s">
        <v>842</v>
      </c>
      <c r="D102" s="3105">
        <v>1</v>
      </c>
      <c r="E102" s="3105"/>
      <c r="F102" s="3103" t="s">
        <v>497</v>
      </c>
      <c r="G102" s="3105"/>
      <c r="H102" s="3105"/>
      <c r="I102" s="3105"/>
      <c r="J102" s="3105"/>
      <c r="K102" s="3105"/>
      <c r="L102" s="3105"/>
      <c r="M102" s="3105"/>
      <c r="N102" s="3105"/>
      <c r="O102" s="3105"/>
      <c r="P102" s="3105"/>
      <c r="Q102" s="3105"/>
      <c r="R102" s="3105"/>
      <c r="S102" s="3105"/>
      <c r="T102" s="3105">
        <v>106.17</v>
      </c>
      <c r="U102" s="3115">
        <v>33</v>
      </c>
      <c r="V102" s="3115">
        <v>1100</v>
      </c>
      <c r="W102" s="3115">
        <v>1800</v>
      </c>
      <c r="X102" s="3105" t="s">
        <v>4457</v>
      </c>
      <c r="Y102" s="3105"/>
      <c r="Z102" s="3106"/>
      <c r="AA102" s="3106"/>
      <c r="AB102" s="3105"/>
      <c r="AC102" s="3105">
        <v>136</v>
      </c>
      <c r="AD102" s="3105">
        <v>-95</v>
      </c>
      <c r="AE102" s="3105"/>
      <c r="AF102" s="3105"/>
      <c r="AG102" s="3105"/>
      <c r="AH102" s="3105"/>
      <c r="AI102" s="3105"/>
      <c r="AJ102" s="3105">
        <v>22.7</v>
      </c>
      <c r="AK102" s="3105">
        <v>0.82</v>
      </c>
      <c r="AL102" s="3105"/>
      <c r="AM102" s="3105"/>
      <c r="AN102" s="3105">
        <v>2</v>
      </c>
      <c r="AO102" s="3105">
        <v>3</v>
      </c>
      <c r="AP102" s="3105">
        <v>0</v>
      </c>
      <c r="AQ102" s="3105"/>
      <c r="AR102" s="3105"/>
      <c r="AS102" s="3105"/>
      <c r="AT102" s="3105"/>
      <c r="AU102" s="3105"/>
      <c r="AV102" s="3105" t="s">
        <v>160</v>
      </c>
      <c r="AW102" s="3105">
        <v>0.88500000000000001</v>
      </c>
      <c r="AX102" s="3105">
        <v>9.7900000000000005E-4</v>
      </c>
      <c r="AY102" s="3105">
        <v>0.377</v>
      </c>
      <c r="AZ102" s="3107">
        <v>9.9170000000000009E-4</v>
      </c>
      <c r="BA102" s="3105">
        <v>97.9</v>
      </c>
      <c r="BB102" s="3105">
        <v>0.105278</v>
      </c>
      <c r="BC102" s="3105">
        <v>1.84E-4</v>
      </c>
      <c r="BD102" s="3105">
        <v>9.5045999999999999</v>
      </c>
      <c r="BE102" s="3105">
        <v>3365.51</v>
      </c>
      <c r="BF102" s="3105">
        <v>55.32</v>
      </c>
      <c r="BG102" s="3105"/>
      <c r="BH102" s="3105"/>
      <c r="BI102" s="3105"/>
      <c r="BJ102" s="3105"/>
      <c r="BK102" s="3105"/>
      <c r="BL102" s="3105"/>
      <c r="BM102" s="3105"/>
      <c r="BN102" s="3105"/>
      <c r="BO102" s="3105"/>
      <c r="BP102" s="3105"/>
    </row>
    <row r="103" spans="1:68" ht="12.75" customHeight="1" x14ac:dyDescent="0.25">
      <c r="A103" s="3103" t="s">
        <v>4351</v>
      </c>
      <c r="B103" s="3105" t="s">
        <v>4352</v>
      </c>
      <c r="C103" s="3105" t="s">
        <v>842</v>
      </c>
      <c r="D103" s="3105">
        <v>1</v>
      </c>
      <c r="E103" s="3105"/>
      <c r="F103" s="3103" t="s">
        <v>4351</v>
      </c>
      <c r="G103" s="3105"/>
      <c r="H103" s="3105"/>
      <c r="I103" s="3105"/>
      <c r="J103" s="3105"/>
      <c r="K103" s="3105"/>
      <c r="L103" s="3105"/>
      <c r="M103" s="3105"/>
      <c r="N103" s="3105"/>
      <c r="O103" s="3105"/>
      <c r="P103" s="3105"/>
      <c r="Q103" s="3105"/>
      <c r="R103" s="3105"/>
      <c r="S103" s="3105"/>
      <c r="T103" s="3115">
        <v>122.55</v>
      </c>
      <c r="U103" s="3115"/>
      <c r="V103" s="3115">
        <v>1.2</v>
      </c>
      <c r="W103" s="3115">
        <v>7.1</v>
      </c>
      <c r="X103" s="3115" t="s">
        <v>4459</v>
      </c>
      <c r="Y103" s="3115"/>
      <c r="Z103" s="3115"/>
      <c r="AA103" s="3115"/>
      <c r="AB103" s="3115"/>
      <c r="AC103" s="3115">
        <v>143</v>
      </c>
      <c r="AD103" s="3115">
        <v>-25.9</v>
      </c>
      <c r="AE103" s="3115"/>
      <c r="AF103" s="3115"/>
      <c r="AG103" s="3115"/>
      <c r="AH103" s="3115"/>
      <c r="AI103" s="3115"/>
      <c r="AJ103" s="3115">
        <v>54</v>
      </c>
      <c r="AK103" s="3115">
        <v>5.2</v>
      </c>
      <c r="AL103" s="3115"/>
      <c r="AM103" s="3115"/>
      <c r="AN103" s="3115">
        <v>3</v>
      </c>
      <c r="AO103" s="3115">
        <v>2</v>
      </c>
      <c r="AP103" s="3115">
        <v>0</v>
      </c>
      <c r="AQ103" s="3115" t="s">
        <v>139</v>
      </c>
      <c r="AR103" s="3115" t="s">
        <v>138</v>
      </c>
      <c r="AS103" s="3105"/>
      <c r="AT103" s="3105"/>
      <c r="AU103" s="3105"/>
      <c r="AV103" s="3105" t="s">
        <v>158</v>
      </c>
      <c r="AW103" s="3105">
        <v>1.1758</v>
      </c>
      <c r="AX103" s="3105">
        <v>1.248E-3</v>
      </c>
      <c r="AY103" s="3105">
        <v>0.32679999999999998</v>
      </c>
      <c r="AZ103" s="3105">
        <v>6.0550000000000003E-4</v>
      </c>
      <c r="BA103" s="3105">
        <v>97.58</v>
      </c>
      <c r="BB103" s="3105">
        <v>0.13516</v>
      </c>
      <c r="BC103" s="3105"/>
      <c r="BD103" s="3105">
        <v>12.853759999999999</v>
      </c>
      <c r="BE103" s="3105">
        <v>5356.19</v>
      </c>
      <c r="BF103" s="3105"/>
      <c r="BG103" s="3105"/>
      <c r="BH103" s="3105"/>
      <c r="BI103" s="3105"/>
      <c r="BJ103" s="3105"/>
      <c r="BK103" s="3105"/>
      <c r="BL103" s="3105"/>
      <c r="BM103" s="3105"/>
      <c r="BN103" s="3105"/>
      <c r="BO103" s="3105"/>
      <c r="BP103" s="3105"/>
    </row>
    <row r="104" spans="1:68" ht="12.75" customHeight="1" x14ac:dyDescent="0.25">
      <c r="A104" s="3346" t="s">
        <v>807</v>
      </c>
      <c r="B104" s="3105" t="s">
        <v>195</v>
      </c>
      <c r="C104" s="3105" t="s">
        <v>842</v>
      </c>
      <c r="D104" s="3105">
        <v>1</v>
      </c>
      <c r="E104" s="3105"/>
      <c r="F104" s="3346" t="s">
        <v>807</v>
      </c>
      <c r="G104" s="3105"/>
      <c r="H104" s="3105"/>
      <c r="I104" s="3105"/>
      <c r="J104" s="3105"/>
      <c r="K104" s="3105"/>
      <c r="L104" s="3105"/>
      <c r="M104" s="3105"/>
      <c r="N104" s="3105"/>
      <c r="O104" s="3105"/>
      <c r="P104" s="3105"/>
      <c r="Q104" s="3105"/>
      <c r="R104" s="3105"/>
      <c r="S104" s="3105"/>
      <c r="T104" s="3105">
        <v>108.52</v>
      </c>
      <c r="U104" s="3105"/>
      <c r="V104" s="3105">
        <v>5</v>
      </c>
      <c r="W104" s="3105">
        <v>10</v>
      </c>
      <c r="X104" s="3105" t="s">
        <v>4259</v>
      </c>
      <c r="Y104" s="3105" t="s">
        <v>289</v>
      </c>
      <c r="Z104" s="3106"/>
      <c r="AA104" s="3106"/>
      <c r="AB104" s="3105"/>
      <c r="AC104" s="3105">
        <v>92.9</v>
      </c>
      <c r="AD104" s="3105">
        <v>-81.2</v>
      </c>
      <c r="AE104" s="3105"/>
      <c r="AF104" s="3105"/>
      <c r="AG104" s="3105"/>
      <c r="AH104" s="3105"/>
      <c r="AI104" s="3105"/>
      <c r="AJ104" s="3105">
        <v>2</v>
      </c>
      <c r="AK104" s="3105">
        <v>3.5</v>
      </c>
      <c r="AL104" s="3105"/>
      <c r="AM104" s="3105"/>
      <c r="AN104" s="3105">
        <v>3</v>
      </c>
      <c r="AO104" s="3105">
        <v>3</v>
      </c>
      <c r="AP104" s="3105">
        <v>1</v>
      </c>
      <c r="AQ104" s="3105"/>
      <c r="AR104" s="3105"/>
      <c r="AS104" s="3105"/>
      <c r="AT104" s="3105"/>
      <c r="AU104" s="3105"/>
      <c r="AV104" s="3105"/>
      <c r="AW104" s="3105">
        <v>1.161</v>
      </c>
      <c r="AX104" s="3105">
        <v>1.621E-3</v>
      </c>
      <c r="AY104" s="3105">
        <v>0.441</v>
      </c>
      <c r="AZ104" s="3107">
        <v>6.2310000000000002E-4</v>
      </c>
      <c r="BA104" s="3105">
        <v>115.3</v>
      </c>
      <c r="BB104" s="3105">
        <v>0.201429</v>
      </c>
      <c r="BC104" s="3105">
        <v>2.8600000000000001E-4</v>
      </c>
      <c r="BD104" s="3105">
        <v>13.620100000000001</v>
      </c>
      <c r="BE104" s="3105">
        <v>4436.6000000000004</v>
      </c>
      <c r="BF104" s="3105">
        <v>40.89</v>
      </c>
      <c r="BG104" s="3105"/>
      <c r="BH104" s="3105"/>
      <c r="BI104" s="3105"/>
      <c r="BJ104" s="3105"/>
      <c r="BK104" s="3105"/>
      <c r="BL104" s="3105"/>
      <c r="BM104" s="3105"/>
      <c r="BN104" s="3105"/>
      <c r="BO104" s="3105"/>
      <c r="BP104" s="3105"/>
    </row>
    <row r="105" spans="1:68" ht="12.75" customHeight="1" x14ac:dyDescent="0.25">
      <c r="A105" s="3346" t="s">
        <v>196</v>
      </c>
      <c r="B105" s="3105" t="s">
        <v>197</v>
      </c>
      <c r="C105" s="3105" t="s">
        <v>842</v>
      </c>
      <c r="D105" s="3105">
        <v>1</v>
      </c>
      <c r="E105" s="3105"/>
      <c r="F105" s="3346" t="s">
        <v>196</v>
      </c>
      <c r="G105" s="3105"/>
      <c r="H105" s="3105"/>
      <c r="I105" s="3105"/>
      <c r="J105" s="3105"/>
      <c r="K105" s="3105"/>
      <c r="L105" s="3105"/>
      <c r="M105" s="3105"/>
      <c r="N105" s="3105"/>
      <c r="O105" s="3105"/>
      <c r="P105" s="3105"/>
      <c r="Q105" s="3105"/>
      <c r="R105" s="3105"/>
      <c r="S105" s="3105"/>
      <c r="T105" s="3105">
        <v>74.12</v>
      </c>
      <c r="U105" s="3115">
        <v>500</v>
      </c>
      <c r="V105" s="3115">
        <v>500</v>
      </c>
      <c r="W105" s="3115">
        <v>19000</v>
      </c>
      <c r="X105" s="3105" t="s">
        <v>4459</v>
      </c>
      <c r="Y105" s="3105"/>
      <c r="Z105" s="3106"/>
      <c r="AA105" s="3106"/>
      <c r="AB105" s="3105"/>
      <c r="AC105" s="3105">
        <v>34.5</v>
      </c>
      <c r="AD105" s="3105">
        <v>-116.3</v>
      </c>
      <c r="AE105" s="3105"/>
      <c r="AF105" s="3105"/>
      <c r="AG105" s="3105"/>
      <c r="AH105" s="3105"/>
      <c r="AI105" s="3105"/>
      <c r="AJ105" s="3105">
        <v>-45</v>
      </c>
      <c r="AK105" s="3105">
        <v>1.9</v>
      </c>
      <c r="AL105" s="3105"/>
      <c r="AM105" s="3105"/>
      <c r="AN105" s="3105">
        <v>2</v>
      </c>
      <c r="AO105" s="3105">
        <v>4</v>
      </c>
      <c r="AP105" s="3105">
        <v>3</v>
      </c>
      <c r="AQ105" s="3105"/>
      <c r="AR105" s="3105"/>
      <c r="AS105" s="3105"/>
      <c r="AT105" s="3105"/>
      <c r="AU105" s="3105"/>
      <c r="AV105" s="3105"/>
      <c r="AW105" s="3105">
        <v>0.72799999999999998</v>
      </c>
      <c r="AX105" s="3105">
        <v>1.1999999999999999E-3</v>
      </c>
      <c r="AY105" s="3105">
        <v>0.5</v>
      </c>
      <c r="AZ105" s="3107">
        <v>1.0250000000000001E-3</v>
      </c>
      <c r="BA105" s="3105">
        <v>92.2</v>
      </c>
      <c r="BB105" s="3105">
        <v>0.18540000000000001</v>
      </c>
      <c r="BC105" s="3105">
        <v>3.5500000000000001E-4</v>
      </c>
      <c r="BD105" s="3105">
        <v>9.3613999999999997</v>
      </c>
      <c r="BE105" s="3105">
        <v>2479.87</v>
      </c>
      <c r="BF105" s="3105">
        <v>42.35</v>
      </c>
      <c r="BG105" s="3105"/>
      <c r="BH105" s="3105"/>
      <c r="BI105" s="3105"/>
      <c r="BJ105" s="3105"/>
      <c r="BK105" s="3105"/>
      <c r="BL105" s="3105"/>
      <c r="BM105" s="3105"/>
      <c r="BN105" s="3105"/>
      <c r="BO105" s="3105"/>
      <c r="BP105" s="3105"/>
    </row>
    <row r="106" spans="1:68" ht="12.75" customHeight="1" x14ac:dyDescent="0.25">
      <c r="A106" s="3103" t="s">
        <v>708</v>
      </c>
      <c r="B106" s="3104" t="s">
        <v>198</v>
      </c>
      <c r="C106" s="3105" t="s">
        <v>842</v>
      </c>
      <c r="D106" s="3105">
        <v>1</v>
      </c>
      <c r="E106" s="3105"/>
      <c r="F106" s="3103" t="s">
        <v>708</v>
      </c>
      <c r="G106" s="3105"/>
      <c r="H106" s="3105"/>
      <c r="I106" s="3105"/>
      <c r="J106" s="3105"/>
      <c r="K106" s="3105"/>
      <c r="L106" s="3105"/>
      <c r="M106" s="3105"/>
      <c r="N106" s="3105"/>
      <c r="O106" s="3105"/>
      <c r="P106" s="3105"/>
      <c r="Q106" s="3105"/>
      <c r="R106" s="3105"/>
      <c r="S106" s="3105"/>
      <c r="T106" s="3105">
        <v>130.22999999999999</v>
      </c>
      <c r="U106" s="3105">
        <v>0.1</v>
      </c>
      <c r="V106" s="3105">
        <v>100</v>
      </c>
      <c r="W106" s="3105">
        <v>200</v>
      </c>
      <c r="X106" s="3105" t="s">
        <v>4259</v>
      </c>
      <c r="Y106" s="3105"/>
      <c r="Z106" s="3106"/>
      <c r="AA106" s="3106"/>
      <c r="AB106" s="3105"/>
      <c r="AC106" s="3105">
        <v>184.6</v>
      </c>
      <c r="AD106" s="3105">
        <v>-70</v>
      </c>
      <c r="AE106" s="3105"/>
      <c r="AF106" s="3105"/>
      <c r="AG106" s="3105"/>
      <c r="AH106" s="3105"/>
      <c r="AI106" s="3105"/>
      <c r="AJ106" s="3105">
        <v>73</v>
      </c>
      <c r="AK106" s="3105">
        <v>0.9</v>
      </c>
      <c r="AL106" s="3105"/>
      <c r="AM106" s="3105"/>
      <c r="AN106" s="3105">
        <v>2</v>
      </c>
      <c r="AO106" s="3105">
        <v>3</v>
      </c>
      <c r="AP106" s="3105">
        <v>0</v>
      </c>
      <c r="AQ106" s="3105" t="s">
        <v>139</v>
      </c>
      <c r="AR106" s="3105" t="s">
        <v>138</v>
      </c>
      <c r="AS106" s="3105" t="s">
        <v>599</v>
      </c>
      <c r="AT106" s="3105"/>
      <c r="AU106" s="3105"/>
      <c r="AV106" s="3105" t="s">
        <v>159</v>
      </c>
      <c r="AW106" s="3105">
        <v>0.86</v>
      </c>
      <c r="AX106" s="3105">
        <v>9.3899999999999995E-4</v>
      </c>
      <c r="AY106" s="3105">
        <v>0.61799999999999999</v>
      </c>
      <c r="AZ106" s="3107">
        <v>9.1699999999999995E-4</v>
      </c>
      <c r="BA106" s="3105">
        <v>142.4</v>
      </c>
      <c r="BB106" s="3105">
        <v>0.25530000000000003</v>
      </c>
      <c r="BC106" s="3105">
        <v>1.74E-4</v>
      </c>
      <c r="BD106" s="3105">
        <v>9.0416000000000007</v>
      </c>
      <c r="BE106" s="3105">
        <v>2962.2</v>
      </c>
      <c r="BF106" s="3105">
        <v>129.94999999999999</v>
      </c>
      <c r="BG106" s="3105"/>
      <c r="BH106" s="3105"/>
      <c r="BI106" s="3105"/>
      <c r="BJ106" s="3105"/>
      <c r="BK106" s="3105"/>
      <c r="BL106" s="3105"/>
      <c r="BM106" s="3105"/>
      <c r="BN106" s="3105"/>
      <c r="BO106" s="3105"/>
      <c r="BP106" s="3105"/>
    </row>
    <row r="107" spans="1:68" ht="12.75" customHeight="1" x14ac:dyDescent="0.25">
      <c r="A107" s="3103" t="s">
        <v>4353</v>
      </c>
      <c r="B107" s="3105" t="s">
        <v>4354</v>
      </c>
      <c r="C107" s="3105" t="s">
        <v>842</v>
      </c>
      <c r="D107" s="3105">
        <v>1</v>
      </c>
      <c r="E107" s="3105"/>
      <c r="F107" s="3103" t="s">
        <v>4353</v>
      </c>
      <c r="G107" s="3105"/>
      <c r="H107" s="3105"/>
      <c r="I107" s="3105"/>
      <c r="J107" s="3105"/>
      <c r="K107" s="3105"/>
      <c r="L107" s="3105"/>
      <c r="M107" s="3105"/>
      <c r="N107" s="3105"/>
      <c r="O107" s="3105"/>
      <c r="P107" s="3105"/>
      <c r="Q107" s="3105"/>
      <c r="R107" s="3105"/>
      <c r="S107" s="3105"/>
      <c r="T107" s="3115">
        <v>144.21</v>
      </c>
      <c r="U107" s="3115">
        <v>2.54</v>
      </c>
      <c r="V107" s="3115">
        <v>17</v>
      </c>
      <c r="W107" s="3115">
        <v>100</v>
      </c>
      <c r="X107" s="3115" t="s">
        <v>4459</v>
      </c>
      <c r="Y107" s="3115"/>
      <c r="Z107" s="3115"/>
      <c r="AA107" s="3115"/>
      <c r="AB107" s="3115"/>
      <c r="AC107" s="3115">
        <v>227.5</v>
      </c>
      <c r="AD107" s="3115"/>
      <c r="AE107" s="3115"/>
      <c r="AF107" s="3115"/>
      <c r="AG107" s="3115"/>
      <c r="AH107" s="3115"/>
      <c r="AI107" s="3115"/>
      <c r="AJ107" s="3115">
        <v>114</v>
      </c>
      <c r="AK107" s="3115"/>
      <c r="AL107" s="3115"/>
      <c r="AM107" s="3115"/>
      <c r="AN107" s="3115">
        <v>2</v>
      </c>
      <c r="AO107" s="3115">
        <v>2</v>
      </c>
      <c r="AP107" s="3115">
        <v>0</v>
      </c>
      <c r="AQ107" s="3115"/>
      <c r="AR107" s="3115"/>
      <c r="AS107" s="3105"/>
      <c r="AT107" s="3105"/>
      <c r="AU107" s="3105"/>
      <c r="AV107" s="3105"/>
      <c r="AW107" s="3105">
        <v>0.93600000000000005</v>
      </c>
      <c r="AX107" s="3105">
        <v>9.4799999999999995E-4</v>
      </c>
      <c r="AY107" s="3105">
        <v>0.46800000000000003</v>
      </c>
      <c r="AZ107" s="3105">
        <v>1.0667000000000001E-3</v>
      </c>
      <c r="BA107" s="3105">
        <v>133.30000000000001</v>
      </c>
      <c r="BB107" s="3105">
        <v>0.143621</v>
      </c>
      <c r="BC107" s="3105">
        <v>2.14E-4</v>
      </c>
      <c r="BD107" s="3105">
        <v>12.9064</v>
      </c>
      <c r="BE107" s="3105">
        <v>5732.43</v>
      </c>
      <c r="BF107" s="3105">
        <v>58.81</v>
      </c>
      <c r="BG107" s="3105"/>
      <c r="BH107" s="3105"/>
      <c r="BI107" s="3105"/>
      <c r="BJ107" s="3105"/>
      <c r="BK107" s="3105"/>
      <c r="BL107" s="3105"/>
      <c r="BM107" s="3105"/>
      <c r="BN107" s="3105"/>
      <c r="BO107" s="3105"/>
      <c r="BP107" s="3105"/>
    </row>
    <row r="108" spans="1:68" ht="12.75" customHeight="1" x14ac:dyDescent="0.25">
      <c r="A108" s="2877" t="s">
        <v>4355</v>
      </c>
      <c r="B108" s="2876" t="s">
        <v>4356</v>
      </c>
      <c r="C108" s="2876" t="s">
        <v>842</v>
      </c>
      <c r="D108" s="2876">
        <v>1</v>
      </c>
      <c r="E108" s="2876"/>
      <c r="F108" s="2877" t="s">
        <v>4355</v>
      </c>
      <c r="G108" s="2876"/>
      <c r="H108" s="2876"/>
      <c r="I108" s="2876"/>
      <c r="J108" s="2876"/>
      <c r="K108" s="2876"/>
      <c r="L108" s="2876"/>
      <c r="M108" s="2876"/>
      <c r="N108" s="2876"/>
      <c r="O108" s="2876"/>
      <c r="P108" s="2876"/>
      <c r="Q108" s="2876"/>
      <c r="R108" s="2876"/>
      <c r="S108" s="2876"/>
      <c r="T108" s="2891">
        <v>184.28</v>
      </c>
      <c r="U108" s="2891">
        <v>15</v>
      </c>
      <c r="V108" s="2891">
        <v>21</v>
      </c>
      <c r="W108" s="2891">
        <v>150</v>
      </c>
      <c r="X108" s="2891" t="s">
        <v>4459</v>
      </c>
      <c r="Y108" s="2891"/>
      <c r="Z108" s="2891"/>
      <c r="AA108" s="2891"/>
      <c r="AB108" s="2891"/>
      <c r="AC108" s="2891">
        <v>217.6</v>
      </c>
      <c r="AD108" s="2891">
        <v>-90</v>
      </c>
      <c r="AE108" s="2891"/>
      <c r="AF108" s="2891"/>
      <c r="AG108" s="2891"/>
      <c r="AH108" s="2891"/>
      <c r="AI108" s="2891"/>
      <c r="AJ108" s="2891">
        <v>82</v>
      </c>
      <c r="AK108" s="2891">
        <v>0.7</v>
      </c>
      <c r="AL108" s="2891"/>
      <c r="AM108" s="2891"/>
      <c r="AN108" s="2891">
        <v>3</v>
      </c>
      <c r="AO108" s="2891">
        <v>2</v>
      </c>
      <c r="AP108" s="2891">
        <v>1</v>
      </c>
      <c r="AQ108" s="2891"/>
      <c r="AR108" s="2891"/>
      <c r="AS108" s="2876"/>
      <c r="AT108" s="2876"/>
      <c r="AU108" s="2876"/>
      <c r="AV108" s="2876" t="s">
        <v>159</v>
      </c>
      <c r="AW108" s="2876">
        <v>0.90600000000000003</v>
      </c>
      <c r="AX108" s="2876">
        <v>1.0070000000000001E-3</v>
      </c>
      <c r="AY108" s="2876">
        <v>0.38900000000000001</v>
      </c>
      <c r="AZ108" s="2876">
        <v>9.7989999999999991E-4</v>
      </c>
      <c r="BA108" s="2876">
        <v>79</v>
      </c>
      <c r="BB108" s="2876">
        <v>7.0722999999999994E-2</v>
      </c>
      <c r="BC108" s="2876">
        <v>1.26E-4</v>
      </c>
      <c r="BD108" s="2876">
        <v>9.9899000000000004</v>
      </c>
      <c r="BE108" s="2876">
        <v>4170.41</v>
      </c>
      <c r="BF108" s="2876">
        <v>73.53</v>
      </c>
      <c r="BG108" s="2876"/>
      <c r="BH108" s="2876"/>
      <c r="BI108" s="2876"/>
      <c r="BJ108" s="2876"/>
      <c r="BK108" s="2876"/>
      <c r="BL108" s="2876"/>
      <c r="BM108" s="2876"/>
      <c r="BN108" s="2876"/>
      <c r="BO108" s="2876"/>
      <c r="BP108" s="2876"/>
    </row>
    <row r="109" spans="1:68" ht="12.75" customHeight="1" x14ac:dyDescent="0.25">
      <c r="A109" s="2877" t="s">
        <v>4463</v>
      </c>
      <c r="B109" s="2876" t="s">
        <v>4358</v>
      </c>
      <c r="C109" s="2876" t="s">
        <v>842</v>
      </c>
      <c r="D109" s="2876">
        <v>1</v>
      </c>
      <c r="E109" s="2876"/>
      <c r="F109" s="2877" t="s">
        <v>4357</v>
      </c>
      <c r="G109" s="2876"/>
      <c r="H109" s="2876"/>
      <c r="I109" s="2876"/>
      <c r="J109" s="2876"/>
      <c r="K109" s="2876"/>
      <c r="L109" s="2876"/>
      <c r="M109" s="2876"/>
      <c r="N109" s="2876"/>
      <c r="O109" s="2876"/>
      <c r="P109" s="2876"/>
      <c r="Q109" s="2876"/>
      <c r="R109" s="2876"/>
      <c r="S109" s="2876"/>
      <c r="T109" s="2891">
        <v>120.19</v>
      </c>
      <c r="U109" s="2891">
        <v>2.44</v>
      </c>
      <c r="V109" s="2891">
        <v>26.4</v>
      </c>
      <c r="W109" s="2891">
        <v>488</v>
      </c>
      <c r="X109" s="2891" t="s">
        <v>4459</v>
      </c>
      <c r="Y109" s="2891"/>
      <c r="Z109" s="2891"/>
      <c r="AA109" s="2891"/>
      <c r="AB109" s="2891"/>
      <c r="AC109" s="2891">
        <v>165.2</v>
      </c>
      <c r="AD109" s="2891">
        <v>-80.900000000000006</v>
      </c>
      <c r="AE109" s="2891"/>
      <c r="AF109" s="2891"/>
      <c r="AG109" s="2891"/>
      <c r="AH109" s="2891"/>
      <c r="AI109" s="2891"/>
      <c r="AJ109" s="2891">
        <v>39</v>
      </c>
      <c r="AK109" s="2891">
        <v>1</v>
      </c>
      <c r="AL109" s="2891"/>
      <c r="AM109" s="2891">
        <v>440</v>
      </c>
      <c r="AN109" s="2891">
        <v>0</v>
      </c>
      <c r="AO109" s="2891">
        <v>2</v>
      </c>
      <c r="AP109" s="2891">
        <v>0</v>
      </c>
      <c r="AQ109" s="2891"/>
      <c r="AR109" s="2891"/>
      <c r="AS109" s="2876"/>
      <c r="AT109" s="2876"/>
      <c r="AU109" s="2876"/>
      <c r="AV109" s="2876"/>
      <c r="AW109" s="2876">
        <v>0.89900000000000002</v>
      </c>
      <c r="AX109" s="2876">
        <v>9.1299999999999997E-4</v>
      </c>
      <c r="AY109" s="2876">
        <v>0.39900000000000002</v>
      </c>
      <c r="AZ109" s="2876">
        <v>9.5E-4</v>
      </c>
      <c r="BA109" s="2876">
        <v>97.5</v>
      </c>
      <c r="BB109" s="2876">
        <v>9.9299999999999999E-2</v>
      </c>
      <c r="BC109" s="2876">
        <v>1.44E-4</v>
      </c>
      <c r="BD109" s="2876">
        <v>9.5723000000000003</v>
      </c>
      <c r="BE109" s="2876">
        <v>3588.81</v>
      </c>
      <c r="BF109" s="2876">
        <v>63.41</v>
      </c>
      <c r="BG109" s="2876"/>
      <c r="BH109" s="2876"/>
      <c r="BI109" s="2876"/>
      <c r="BJ109" s="2876"/>
      <c r="BK109" s="2876"/>
      <c r="BL109" s="2876"/>
      <c r="BM109" s="2876"/>
      <c r="BN109" s="2876"/>
      <c r="BO109" s="2876"/>
      <c r="BP109" s="2876"/>
    </row>
    <row r="110" spans="1:68" ht="12.75" customHeight="1" x14ac:dyDescent="0.25">
      <c r="A110" s="2877" t="s">
        <v>4359</v>
      </c>
      <c r="B110" s="2876" t="s">
        <v>4360</v>
      </c>
      <c r="C110" s="2876" t="s">
        <v>842</v>
      </c>
      <c r="D110" s="2876">
        <v>1</v>
      </c>
      <c r="E110" s="2876"/>
      <c r="F110" s="2877" t="s">
        <v>4359</v>
      </c>
      <c r="G110" s="2876"/>
      <c r="H110" s="2876"/>
      <c r="I110" s="2876"/>
      <c r="J110" s="2876"/>
      <c r="K110" s="2876"/>
      <c r="L110" s="2876"/>
      <c r="M110" s="2876"/>
      <c r="N110" s="2876"/>
      <c r="O110" s="2876"/>
      <c r="P110" s="2876"/>
      <c r="Q110" s="2876"/>
      <c r="R110" s="2876"/>
      <c r="S110" s="2876"/>
      <c r="T110" s="2891">
        <v>72.099999999999994</v>
      </c>
      <c r="U110" s="2891">
        <v>9.4</v>
      </c>
      <c r="V110" s="2891">
        <v>100</v>
      </c>
      <c r="W110" s="2891">
        <v>620</v>
      </c>
      <c r="X110" s="2891" t="s">
        <v>4459</v>
      </c>
      <c r="Y110" s="2891"/>
      <c r="Z110" s="2891"/>
      <c r="AA110" s="2891"/>
      <c r="AB110" s="2891"/>
      <c r="AC110" s="2891">
        <v>35.799999999999997</v>
      </c>
      <c r="AD110" s="2891">
        <v>-115.8</v>
      </c>
      <c r="AE110" s="2891"/>
      <c r="AF110" s="2891"/>
      <c r="AG110" s="2891"/>
      <c r="AH110" s="2891"/>
      <c r="AI110" s="2891"/>
      <c r="AJ110" s="2891">
        <v>-46.2</v>
      </c>
      <c r="AK110" s="2891">
        <v>1.7</v>
      </c>
      <c r="AL110" s="2891"/>
      <c r="AM110" s="2891"/>
      <c r="AN110" s="2891"/>
      <c r="AO110" s="2891"/>
      <c r="AP110" s="2891"/>
      <c r="AQ110" s="2891" t="s">
        <v>139</v>
      </c>
      <c r="AR110" s="2891" t="s">
        <v>138</v>
      </c>
      <c r="AS110" s="2876"/>
      <c r="AT110" s="2876"/>
      <c r="AU110" s="2876"/>
      <c r="AV110" s="2876"/>
      <c r="AW110" s="2876">
        <v>0.77400000000000002</v>
      </c>
      <c r="AX110" s="2876">
        <v>1.238E-3</v>
      </c>
      <c r="AY110" s="2876">
        <v>0.47899999999999998</v>
      </c>
      <c r="AZ110" s="2876">
        <v>9.7849999999999999E-4</v>
      </c>
      <c r="BA110" s="2876">
        <v>95.9</v>
      </c>
      <c r="BB110" s="2876">
        <v>0.18834999999999999</v>
      </c>
      <c r="BC110" s="2876">
        <v>3.68E-4</v>
      </c>
      <c r="BD110" s="2876">
        <v>9.5815000000000001</v>
      </c>
      <c r="BE110" s="2876">
        <v>2603.08</v>
      </c>
      <c r="BF110" s="2876">
        <v>37.26</v>
      </c>
      <c r="BG110" s="2876"/>
      <c r="BH110" s="2876"/>
      <c r="BI110" s="2876"/>
      <c r="BJ110" s="2876"/>
      <c r="BK110" s="2876"/>
      <c r="BL110" s="2876"/>
      <c r="BM110" s="2876"/>
      <c r="BN110" s="2876"/>
      <c r="BO110" s="2876"/>
      <c r="BP110" s="2876"/>
    </row>
    <row r="111" spans="1:68" ht="12.75" customHeight="1" x14ac:dyDescent="0.25">
      <c r="A111" s="2877" t="s">
        <v>709</v>
      </c>
      <c r="B111" s="2875" t="s">
        <v>1881</v>
      </c>
      <c r="C111" s="2876" t="s">
        <v>842</v>
      </c>
      <c r="D111" s="2876">
        <v>1</v>
      </c>
      <c r="E111" s="2876"/>
      <c r="F111" s="2877" t="s">
        <v>709</v>
      </c>
      <c r="G111" s="2876"/>
      <c r="H111" s="2876"/>
      <c r="I111" s="2876"/>
      <c r="J111" s="2876"/>
      <c r="K111" s="2876"/>
      <c r="L111" s="2876"/>
      <c r="M111" s="2876"/>
      <c r="N111" s="2876"/>
      <c r="O111" s="2876"/>
      <c r="P111" s="2876"/>
      <c r="Q111" s="2876"/>
      <c r="R111" s="2876"/>
      <c r="S111" s="2876"/>
      <c r="T111" s="2876">
        <v>28.05</v>
      </c>
      <c r="U111" s="2891">
        <v>600</v>
      </c>
      <c r="V111" s="2891">
        <v>6600</v>
      </c>
      <c r="W111" s="2891">
        <v>40000</v>
      </c>
      <c r="X111" s="2876" t="s">
        <v>4459</v>
      </c>
      <c r="Y111" s="2876"/>
      <c r="Z111" s="3383"/>
      <c r="AA111" s="3383"/>
      <c r="AB111" s="2876"/>
      <c r="AC111" s="2876">
        <v>-103.8</v>
      </c>
      <c r="AD111" s="2876"/>
      <c r="AE111" s="2876"/>
      <c r="AF111" s="2876"/>
      <c r="AG111" s="2876"/>
      <c r="AH111" s="2876"/>
      <c r="AI111" s="2876"/>
      <c r="AJ111" s="2876">
        <v>-140</v>
      </c>
      <c r="AK111" s="2876">
        <v>2.7</v>
      </c>
      <c r="AL111" s="2876"/>
      <c r="AM111" s="2876"/>
      <c r="AN111" s="2876">
        <v>2</v>
      </c>
      <c r="AO111" s="2876">
        <v>4</v>
      </c>
      <c r="AP111" s="2876">
        <v>2</v>
      </c>
      <c r="AQ111" s="2876" t="s">
        <v>141</v>
      </c>
      <c r="AR111" s="2876" t="s">
        <v>137</v>
      </c>
      <c r="AS111" s="2876"/>
      <c r="AT111" s="2876"/>
      <c r="AU111" s="2876"/>
      <c r="AV111" s="2876"/>
      <c r="AW111" s="2876">
        <v>0.38500000000000001</v>
      </c>
      <c r="AX111" s="2876">
        <v>1.8400000000000001E-3</v>
      </c>
      <c r="AY111" s="2876">
        <v>0.75</v>
      </c>
      <c r="AZ111" s="3386">
        <v>2.0999999999999999E-3</v>
      </c>
      <c r="BA111" s="2876">
        <v>65</v>
      </c>
      <c r="BB111" s="2876">
        <v>0.48</v>
      </c>
      <c r="BC111" s="2876"/>
      <c r="BD111" s="2876">
        <v>9.7140000000000004</v>
      </c>
      <c r="BE111" s="2876">
        <v>1643</v>
      </c>
      <c r="BF111" s="2876"/>
      <c r="BG111" s="2876"/>
      <c r="BH111" s="2876"/>
      <c r="BI111" s="2876"/>
      <c r="BJ111" s="2876"/>
      <c r="BK111" s="2876"/>
      <c r="BL111" s="2876"/>
      <c r="BM111" s="2876"/>
      <c r="BN111" s="2876"/>
      <c r="BO111" s="2876"/>
      <c r="BP111" s="2876"/>
    </row>
    <row r="112" spans="1:68" ht="12.75" customHeight="1" x14ac:dyDescent="0.25">
      <c r="A112" s="3336" t="s">
        <v>4361</v>
      </c>
      <c r="B112" s="2736" t="s">
        <v>4362</v>
      </c>
      <c r="C112" s="2736" t="s">
        <v>842</v>
      </c>
      <c r="D112" s="2736">
        <v>1</v>
      </c>
      <c r="E112" s="2736"/>
      <c r="F112" s="3336" t="s">
        <v>4361</v>
      </c>
      <c r="G112" s="2736"/>
      <c r="H112" s="2736"/>
      <c r="I112" s="2736"/>
      <c r="J112" s="2736"/>
      <c r="K112" s="2736"/>
      <c r="L112" s="2736"/>
      <c r="M112" s="2736"/>
      <c r="N112" s="2736"/>
      <c r="O112" s="2736"/>
      <c r="P112" s="2736"/>
      <c r="Q112" s="2736"/>
      <c r="R112" s="2736"/>
      <c r="S112" s="2736"/>
      <c r="T112" s="3290">
        <v>98.96</v>
      </c>
      <c r="U112" s="3290">
        <v>50</v>
      </c>
      <c r="V112" s="3290">
        <v>200</v>
      </c>
      <c r="W112" s="3290">
        <v>300</v>
      </c>
      <c r="X112" s="2736" t="s">
        <v>4259</v>
      </c>
      <c r="Y112" s="2736"/>
      <c r="Z112" s="3290"/>
      <c r="AA112" s="3290"/>
      <c r="AB112" s="3290"/>
      <c r="AC112" s="3290">
        <v>83.5</v>
      </c>
      <c r="AD112" s="3290">
        <v>-35.700000000000003</v>
      </c>
      <c r="AE112" s="3290"/>
      <c r="AF112" s="3290"/>
      <c r="AG112" s="3290"/>
      <c r="AH112" s="3290"/>
      <c r="AI112" s="3290"/>
      <c r="AJ112" s="3290">
        <v>13.3</v>
      </c>
      <c r="AK112" s="3290">
        <v>4.5</v>
      </c>
      <c r="AL112" s="3290"/>
      <c r="AM112" s="3290"/>
      <c r="AN112" s="3290">
        <v>2</v>
      </c>
      <c r="AO112" s="3290">
        <v>3</v>
      </c>
      <c r="AP112" s="3290">
        <v>0</v>
      </c>
      <c r="AQ112" s="3290"/>
      <c r="AR112" s="3290"/>
      <c r="AS112" s="2736"/>
      <c r="AT112" s="2736"/>
      <c r="AU112" s="2736"/>
      <c r="AV112" s="2736" t="s">
        <v>159</v>
      </c>
      <c r="AW112" s="2736">
        <v>1.2749999999999999</v>
      </c>
      <c r="AX112" s="2736">
        <v>1.562E-3</v>
      </c>
      <c r="AY112" s="2736">
        <v>0.28899999999999998</v>
      </c>
      <c r="AZ112" s="2736">
        <v>4.1790000000000002E-4</v>
      </c>
      <c r="BA112" s="2736">
        <v>87.7</v>
      </c>
      <c r="BB112" s="2736">
        <v>0.111848</v>
      </c>
      <c r="BC112" s="2736">
        <v>2.0799999999999999E-4</v>
      </c>
      <c r="BD112" s="2736">
        <v>9.9141999999999992</v>
      </c>
      <c r="BE112" s="2736">
        <v>3127.68</v>
      </c>
      <c r="BF112" s="2736">
        <v>41.19</v>
      </c>
      <c r="BG112" s="2736"/>
      <c r="BH112" s="2736"/>
      <c r="BI112" s="2736"/>
      <c r="BJ112" s="2736"/>
      <c r="BK112" s="2736"/>
      <c r="BL112" s="2736"/>
      <c r="BM112" s="2736"/>
      <c r="BN112" s="2736"/>
      <c r="BO112" s="2736"/>
      <c r="BP112" s="2736"/>
    </row>
    <row r="113" spans="1:68" ht="12.75" customHeight="1" x14ac:dyDescent="0.25">
      <c r="A113" s="3336" t="s">
        <v>4363</v>
      </c>
      <c r="B113" s="2736" t="s">
        <v>4364</v>
      </c>
      <c r="C113" s="2736" t="s">
        <v>842</v>
      </c>
      <c r="D113" s="2736">
        <v>1</v>
      </c>
      <c r="E113" s="2736"/>
      <c r="F113" s="3336" t="s">
        <v>4363</v>
      </c>
      <c r="G113" s="2736"/>
      <c r="H113" s="2736"/>
      <c r="I113" s="2736"/>
      <c r="J113" s="2736"/>
      <c r="K113" s="2736"/>
      <c r="L113" s="2736"/>
      <c r="M113" s="2736"/>
      <c r="N113" s="2736"/>
      <c r="O113" s="2736"/>
      <c r="P113" s="2736"/>
      <c r="Q113" s="2736"/>
      <c r="R113" s="2736"/>
      <c r="S113" s="2736"/>
      <c r="T113" s="3290">
        <v>62.1</v>
      </c>
      <c r="U113" s="3290">
        <v>30</v>
      </c>
      <c r="V113" s="3290">
        <v>150</v>
      </c>
      <c r="W113" s="3290">
        <v>900</v>
      </c>
      <c r="X113" s="3290" t="s">
        <v>4459</v>
      </c>
      <c r="Y113" s="3290"/>
      <c r="Z113" s="3290"/>
      <c r="AA113" s="3290"/>
      <c r="AB113" s="3290"/>
      <c r="AC113" s="3290">
        <v>197.4</v>
      </c>
      <c r="AD113" s="3290">
        <v>-13.4</v>
      </c>
      <c r="AE113" s="3290"/>
      <c r="AF113" s="3290"/>
      <c r="AG113" s="3290"/>
      <c r="AH113" s="3290"/>
      <c r="AI113" s="3290"/>
      <c r="AJ113" s="3290">
        <v>111</v>
      </c>
      <c r="AK113" s="3290">
        <v>3.2</v>
      </c>
      <c r="AL113" s="3290"/>
      <c r="AM113" s="3290"/>
      <c r="AN113" s="3290">
        <v>2</v>
      </c>
      <c r="AO113" s="3290">
        <v>1</v>
      </c>
      <c r="AP113" s="3290">
        <v>1</v>
      </c>
      <c r="AQ113" s="3290" t="s">
        <v>139</v>
      </c>
      <c r="AR113" s="3290" t="s">
        <v>138</v>
      </c>
      <c r="AS113" s="2736"/>
      <c r="AT113" s="2736"/>
      <c r="AU113" s="2736"/>
      <c r="AV113" s="2736" t="s">
        <v>158</v>
      </c>
      <c r="AW113" s="2736">
        <v>1.129</v>
      </c>
      <c r="AX113" s="2736">
        <v>8.5599999999999999E-4</v>
      </c>
      <c r="AY113" s="2736">
        <v>0.57099999999999995</v>
      </c>
      <c r="AZ113" s="2736">
        <v>9.0140000000000001E-4</v>
      </c>
      <c r="BA113" s="2736">
        <v>254.6</v>
      </c>
      <c r="BB113" s="2736">
        <v>0.19</v>
      </c>
      <c r="BC113" s="2736">
        <v>3.57E-4</v>
      </c>
      <c r="BD113" s="2736">
        <v>12.3962</v>
      </c>
      <c r="BE113" s="2736">
        <v>5117.6400000000003</v>
      </c>
      <c r="BF113" s="2736">
        <v>57.58</v>
      </c>
      <c r="BG113" s="2736"/>
      <c r="BH113" s="2736"/>
      <c r="BI113" s="2736"/>
      <c r="BJ113" s="2736"/>
      <c r="BK113" s="2736"/>
      <c r="BL113" s="2736"/>
      <c r="BM113" s="2736"/>
      <c r="BN113" s="2736"/>
      <c r="BO113" s="2736"/>
      <c r="BP113" s="2736"/>
    </row>
    <row r="114" spans="1:68" ht="12.75" customHeight="1" x14ac:dyDescent="0.25">
      <c r="A114" s="2561" t="s">
        <v>1844</v>
      </c>
      <c r="B114" s="2558" t="s">
        <v>1882</v>
      </c>
      <c r="C114" s="2559" t="s">
        <v>842</v>
      </c>
      <c r="D114" s="2559">
        <v>1</v>
      </c>
      <c r="E114" s="2559"/>
      <c r="F114" s="2561" t="s">
        <v>1844</v>
      </c>
      <c r="G114" s="2559"/>
      <c r="H114" s="2559"/>
      <c r="I114" s="2559"/>
      <c r="J114" s="2559"/>
      <c r="K114" s="2559"/>
      <c r="L114" s="2559"/>
      <c r="M114" s="2559"/>
      <c r="N114" s="2559"/>
      <c r="O114" s="2559"/>
      <c r="P114" s="2559"/>
      <c r="Q114" s="2559"/>
      <c r="R114" s="2559"/>
      <c r="S114" s="2559"/>
      <c r="T114" s="2559">
        <v>44.05</v>
      </c>
      <c r="U114" s="2559"/>
      <c r="V114" s="2559">
        <v>50</v>
      </c>
      <c r="W114" s="2559">
        <v>500</v>
      </c>
      <c r="X114" s="2559" t="s">
        <v>4259</v>
      </c>
      <c r="Y114" s="2559" t="s">
        <v>289</v>
      </c>
      <c r="Z114" s="2562"/>
      <c r="AA114" s="2562"/>
      <c r="AB114" s="2559"/>
      <c r="AC114" s="2559">
        <v>10.5</v>
      </c>
      <c r="AD114" s="2559">
        <v>-112.4</v>
      </c>
      <c r="AE114" s="2559"/>
      <c r="AF114" s="2559"/>
      <c r="AG114" s="2559"/>
      <c r="AH114" s="2559"/>
      <c r="AI114" s="2559"/>
      <c r="AJ114" s="2559">
        <v>-50</v>
      </c>
      <c r="AK114" s="2559">
        <v>3</v>
      </c>
      <c r="AL114" s="2559">
        <v>100</v>
      </c>
      <c r="AM114" s="2559">
        <v>429</v>
      </c>
      <c r="AN114" s="2559">
        <v>3</v>
      </c>
      <c r="AO114" s="2559">
        <v>4</v>
      </c>
      <c r="AP114" s="2559">
        <v>3</v>
      </c>
      <c r="AQ114" s="2559" t="s">
        <v>141</v>
      </c>
      <c r="AR114" s="2559" t="s">
        <v>137</v>
      </c>
      <c r="AS114" s="2559"/>
      <c r="AT114" s="2559"/>
      <c r="AU114" s="2559"/>
      <c r="AV114" s="2559" t="s">
        <v>158</v>
      </c>
      <c r="AW114" s="2559">
        <v>0.89100000000000001</v>
      </c>
      <c r="AX114" s="2559">
        <v>1.3730000000000001E-3</v>
      </c>
      <c r="AY114" s="2559">
        <v>0.48899999999999999</v>
      </c>
      <c r="AZ114" s="2560">
        <v>6.7900000000000002E-4</v>
      </c>
      <c r="BA114" s="2559">
        <v>140.9</v>
      </c>
      <c r="BB114" s="2559">
        <v>0.25869999999999999</v>
      </c>
      <c r="BC114" s="2559">
        <v>4.8299999999999998E-4</v>
      </c>
      <c r="BD114" s="2559">
        <v>9.8683999999999994</v>
      </c>
      <c r="BE114" s="2559">
        <v>2468.44</v>
      </c>
      <c r="BF114" s="2559">
        <v>33.47</v>
      </c>
      <c r="BG114" s="2559"/>
      <c r="BH114" s="2559"/>
      <c r="BI114" s="2559"/>
      <c r="BJ114" s="2559"/>
      <c r="BK114" s="2559"/>
      <c r="BL114" s="2559"/>
      <c r="BM114" s="2559"/>
      <c r="BN114" s="2559"/>
      <c r="BO114" s="2559"/>
      <c r="BP114" s="2559"/>
    </row>
    <row r="115" spans="1:68" ht="12.75" customHeight="1" x14ac:dyDescent="0.25">
      <c r="A115" s="2561" t="s">
        <v>898</v>
      </c>
      <c r="B115" s="2558" t="s">
        <v>1883</v>
      </c>
      <c r="C115" s="2559" t="s">
        <v>842</v>
      </c>
      <c r="D115" s="2559">
        <v>1</v>
      </c>
      <c r="E115" s="2559"/>
      <c r="F115" s="2561" t="s">
        <v>898</v>
      </c>
      <c r="G115" s="2559"/>
      <c r="H115" s="2559"/>
      <c r="I115" s="2559"/>
      <c r="J115" s="2559"/>
      <c r="K115" s="2559"/>
      <c r="L115" s="2559"/>
      <c r="M115" s="2559"/>
      <c r="N115" s="2559"/>
      <c r="O115" s="2559"/>
      <c r="P115" s="2559"/>
      <c r="Q115" s="2559"/>
      <c r="R115" s="2559"/>
      <c r="S115" s="2559"/>
      <c r="T115" s="2559">
        <v>30.03</v>
      </c>
      <c r="U115" s="2559">
        <v>1</v>
      </c>
      <c r="V115" s="2559">
        <v>10</v>
      </c>
      <c r="W115" s="2559">
        <v>40</v>
      </c>
      <c r="X115" s="2559" t="s">
        <v>4259</v>
      </c>
      <c r="Y115" s="2559"/>
      <c r="Z115" s="2562">
        <v>39.9</v>
      </c>
      <c r="AA115" s="2562">
        <v>97.9</v>
      </c>
      <c r="AB115" s="2559">
        <v>2</v>
      </c>
      <c r="AC115" s="2559">
        <v>-19.2</v>
      </c>
      <c r="AD115" s="2559">
        <v>-118.3</v>
      </c>
      <c r="AE115" s="2559"/>
      <c r="AF115" s="2559"/>
      <c r="AG115" s="2559"/>
      <c r="AH115" s="2559"/>
      <c r="AI115" s="2559"/>
      <c r="AJ115" s="2559">
        <v>-30</v>
      </c>
      <c r="AK115" s="2559">
        <v>7</v>
      </c>
      <c r="AL115" s="2559"/>
      <c r="AM115" s="2559"/>
      <c r="AN115" s="2559">
        <v>3</v>
      </c>
      <c r="AO115" s="2559">
        <v>2</v>
      </c>
      <c r="AP115" s="2559">
        <v>2</v>
      </c>
      <c r="AQ115" s="2559" t="s">
        <v>139</v>
      </c>
      <c r="AR115" s="2559" t="s">
        <v>138</v>
      </c>
      <c r="AS115" s="2559" t="s">
        <v>1091</v>
      </c>
      <c r="AT115" s="2559"/>
      <c r="AU115" s="2559"/>
      <c r="AV115" s="2559"/>
      <c r="AW115" s="2559">
        <v>0.77</v>
      </c>
      <c r="AX115" s="2559">
        <v>1.8E-3</v>
      </c>
      <c r="AY115" s="2559">
        <v>0.72</v>
      </c>
      <c r="AZ115" s="2560">
        <v>6.4000000000000005E-4</v>
      </c>
      <c r="BA115" s="2559">
        <v>182</v>
      </c>
      <c r="BB115" s="2559">
        <v>0.47</v>
      </c>
      <c r="BC115" s="2559"/>
      <c r="BD115" s="2559">
        <v>11.42</v>
      </c>
      <c r="BE115" s="2559">
        <v>2900</v>
      </c>
      <c r="BF115" s="2559"/>
      <c r="BG115" s="2559"/>
      <c r="BH115" s="2559"/>
      <c r="BI115" s="2559"/>
      <c r="BJ115" s="2559"/>
      <c r="BK115" s="2559"/>
      <c r="BL115" s="2559"/>
      <c r="BM115" s="2559"/>
      <c r="BN115" s="2559"/>
      <c r="BO115" s="2559"/>
      <c r="BP115" s="2559"/>
    </row>
    <row r="116" spans="1:68" ht="12.75" customHeight="1" x14ac:dyDescent="0.25">
      <c r="A116" s="2561" t="s">
        <v>1512</v>
      </c>
      <c r="B116" s="2558" t="s">
        <v>1884</v>
      </c>
      <c r="C116" s="2559" t="s">
        <v>842</v>
      </c>
      <c r="D116" s="2559">
        <v>1</v>
      </c>
      <c r="E116" s="2559"/>
      <c r="F116" s="2561" t="s">
        <v>1512</v>
      </c>
      <c r="G116" s="2559"/>
      <c r="H116" s="2559"/>
      <c r="I116" s="2559"/>
      <c r="J116" s="2559"/>
      <c r="K116" s="2559"/>
      <c r="L116" s="2559"/>
      <c r="M116" s="2559"/>
      <c r="N116" s="2559"/>
      <c r="O116" s="2559"/>
      <c r="P116" s="2559"/>
      <c r="Q116" s="2559"/>
      <c r="R116" s="2559"/>
      <c r="S116" s="2559"/>
      <c r="T116" s="2559">
        <v>46.03</v>
      </c>
      <c r="U116" s="2559">
        <v>3</v>
      </c>
      <c r="V116" s="2559">
        <v>25</v>
      </c>
      <c r="W116" s="2559">
        <v>250</v>
      </c>
      <c r="X116" s="2559" t="s">
        <v>4259</v>
      </c>
      <c r="Y116" s="2559"/>
      <c r="Z116" s="2562"/>
      <c r="AA116" s="2562"/>
      <c r="AB116" s="2559"/>
      <c r="AC116" s="2559">
        <v>100.6</v>
      </c>
      <c r="AD116" s="2559">
        <v>8</v>
      </c>
      <c r="AE116" s="2559"/>
      <c r="AF116" s="2559"/>
      <c r="AG116" s="2559"/>
      <c r="AH116" s="2559"/>
      <c r="AI116" s="2559"/>
      <c r="AJ116" s="2559">
        <v>59.9</v>
      </c>
      <c r="AK116" s="2559">
        <v>18</v>
      </c>
      <c r="AL116" s="2559"/>
      <c r="AM116" s="2559"/>
      <c r="AN116" s="2559">
        <v>3</v>
      </c>
      <c r="AO116" s="2559">
        <v>2</v>
      </c>
      <c r="AP116" s="2559">
        <v>1</v>
      </c>
      <c r="AQ116" s="2559" t="s">
        <v>139</v>
      </c>
      <c r="AR116" s="2559" t="s">
        <v>138</v>
      </c>
      <c r="AS116" s="2559" t="s">
        <v>1514</v>
      </c>
      <c r="AT116" s="2559"/>
      <c r="AU116" s="2559"/>
      <c r="AV116" s="2559"/>
      <c r="AW116" s="2559">
        <v>1.254</v>
      </c>
      <c r="AX116" s="2559">
        <v>1.555E-3</v>
      </c>
      <c r="AY116" s="2559">
        <v>0.49399999999999999</v>
      </c>
      <c r="AZ116" s="2560">
        <v>8.0800000000000002E-4</v>
      </c>
      <c r="BA116" s="2559">
        <v>124</v>
      </c>
      <c r="BB116" s="2559">
        <v>0.09</v>
      </c>
      <c r="BC116" s="2559"/>
      <c r="BD116" s="2559">
        <v>10.2896</v>
      </c>
      <c r="BE116" s="2559">
        <v>3528.27</v>
      </c>
      <c r="BF116" s="2559">
        <v>30.31</v>
      </c>
      <c r="BG116" s="2559"/>
      <c r="BH116" s="2559"/>
      <c r="BI116" s="2559"/>
      <c r="BJ116" s="2559"/>
      <c r="BK116" s="2559"/>
      <c r="BL116" s="2559"/>
      <c r="BM116" s="2559"/>
      <c r="BN116" s="2559"/>
      <c r="BO116" s="2559"/>
      <c r="BP116" s="2559"/>
    </row>
    <row r="117" spans="1:68" ht="12.75" customHeight="1" x14ac:dyDescent="0.25">
      <c r="A117" s="2561" t="s">
        <v>4464</v>
      </c>
      <c r="B117" s="2559" t="s">
        <v>3132</v>
      </c>
      <c r="C117" s="2559" t="s">
        <v>842</v>
      </c>
      <c r="D117" s="2559">
        <v>1</v>
      </c>
      <c r="E117" s="2559" t="s">
        <v>4675</v>
      </c>
      <c r="F117" s="2561" t="s">
        <v>2254</v>
      </c>
      <c r="G117" s="2559"/>
      <c r="H117" s="2559"/>
      <c r="I117" s="2559"/>
      <c r="J117" s="2559"/>
      <c r="K117" s="2559"/>
      <c r="L117" s="2559"/>
      <c r="M117" s="2559"/>
      <c r="N117" s="2559"/>
      <c r="O117" s="2559"/>
      <c r="P117" s="2559"/>
      <c r="Q117" s="2559"/>
      <c r="R117" s="2559"/>
      <c r="S117" s="2559"/>
      <c r="T117" s="2567">
        <v>100</v>
      </c>
      <c r="U117" s="2567">
        <v>200</v>
      </c>
      <c r="V117" s="2567">
        <v>1000</v>
      </c>
      <c r="W117" s="2567">
        <v>4000</v>
      </c>
      <c r="X117" s="2567" t="s">
        <v>4259</v>
      </c>
      <c r="Y117" s="2567"/>
      <c r="Z117" s="2567"/>
      <c r="AA117" s="2567"/>
      <c r="AB117" s="2567"/>
      <c r="AC117" s="2567">
        <v>39</v>
      </c>
      <c r="AD117" s="2567">
        <v>-57</v>
      </c>
      <c r="AE117" s="2567"/>
      <c r="AF117" s="2567"/>
      <c r="AG117" s="2567"/>
      <c r="AH117" s="2567"/>
      <c r="AI117" s="2567"/>
      <c r="AJ117" s="2567">
        <v>-55</v>
      </c>
      <c r="AK117" s="2567">
        <v>1.4</v>
      </c>
      <c r="AL117" s="2567">
        <v>7.6</v>
      </c>
      <c r="AM117" s="2567">
        <v>280</v>
      </c>
      <c r="AN117" s="2567">
        <v>1</v>
      </c>
      <c r="AO117" s="2567">
        <v>4</v>
      </c>
      <c r="AP117" s="2567">
        <v>0</v>
      </c>
      <c r="AQ117" s="2567" t="s">
        <v>139</v>
      </c>
      <c r="AR117" s="2567" t="s">
        <v>138</v>
      </c>
      <c r="AS117" s="2559" t="s">
        <v>599</v>
      </c>
      <c r="AT117" s="2559" t="s">
        <v>1091</v>
      </c>
      <c r="AU117" s="2559"/>
      <c r="AV117" s="2559"/>
      <c r="AW117" s="2559">
        <v>0.8</v>
      </c>
      <c r="AX117" s="2559">
        <v>1E-3</v>
      </c>
      <c r="AY117" s="2559">
        <v>0.41399999999999998</v>
      </c>
      <c r="AZ117" s="2559">
        <v>1.06E-3</v>
      </c>
      <c r="BA117" s="2559">
        <v>83.57</v>
      </c>
      <c r="BB117" s="2559">
        <v>0.28599999999999998</v>
      </c>
      <c r="BC117" s="2559"/>
      <c r="BD117" s="2559">
        <v>7.9550000000000001</v>
      </c>
      <c r="BE117" s="2559">
        <v>2140</v>
      </c>
      <c r="BF117" s="2559">
        <v>43</v>
      </c>
      <c r="BG117" s="2559"/>
      <c r="BH117" s="2559"/>
      <c r="BI117" s="2559"/>
      <c r="BJ117" s="2559"/>
      <c r="BK117" s="2559"/>
      <c r="BL117" s="2559"/>
      <c r="BM117" s="2559"/>
      <c r="BN117" s="2559"/>
      <c r="BO117" s="2559"/>
      <c r="BP117" s="2559"/>
    </row>
    <row r="118" spans="1:68" ht="12.75" customHeight="1" x14ac:dyDescent="0.25">
      <c r="A118" s="2561" t="s">
        <v>4365</v>
      </c>
      <c r="B118" s="2559" t="s">
        <v>4366</v>
      </c>
      <c r="C118" s="2559" t="s">
        <v>842</v>
      </c>
      <c r="D118" s="2559">
        <v>1</v>
      </c>
      <c r="E118" s="2559"/>
      <c r="F118" s="2561" t="s">
        <v>4365</v>
      </c>
      <c r="G118" s="2559"/>
      <c r="H118" s="2559"/>
      <c r="I118" s="2559"/>
      <c r="J118" s="2559"/>
      <c r="K118" s="2559"/>
      <c r="L118" s="2559"/>
      <c r="M118" s="2559"/>
      <c r="N118" s="2559"/>
      <c r="O118" s="2559"/>
      <c r="P118" s="2559"/>
      <c r="Q118" s="2559"/>
      <c r="R118" s="2559"/>
      <c r="S118" s="2559"/>
      <c r="T118" s="2567">
        <v>92.1</v>
      </c>
      <c r="U118" s="2567">
        <v>7.96</v>
      </c>
      <c r="V118" s="2567">
        <v>82.3</v>
      </c>
      <c r="W118" s="2567">
        <v>664</v>
      </c>
      <c r="X118" s="2567" t="s">
        <v>4459</v>
      </c>
      <c r="Y118" s="2567"/>
      <c r="Z118" s="2567"/>
      <c r="AA118" s="2567"/>
      <c r="AB118" s="2567"/>
      <c r="AC118" s="2567">
        <v>289.60000000000002</v>
      </c>
      <c r="AD118" s="2567">
        <v>17.899999999999999</v>
      </c>
      <c r="AE118" s="2567"/>
      <c r="AF118" s="2567"/>
      <c r="AG118" s="2567"/>
      <c r="AH118" s="2567"/>
      <c r="AI118" s="2567"/>
      <c r="AJ118" s="2567">
        <v>199</v>
      </c>
      <c r="AK118" s="2567"/>
      <c r="AL118" s="2567"/>
      <c r="AM118" s="2567"/>
      <c r="AN118" s="2567">
        <v>1</v>
      </c>
      <c r="AO118" s="2567">
        <v>1</v>
      </c>
      <c r="AP118" s="2567">
        <v>0</v>
      </c>
      <c r="AQ118" s="2567"/>
      <c r="AR118" s="2567"/>
      <c r="AS118" s="2559"/>
      <c r="AT118" s="2559"/>
      <c r="AU118" s="2559"/>
      <c r="AV118" s="2559"/>
      <c r="AW118" s="2559">
        <v>1.3</v>
      </c>
      <c r="AX118" s="2559">
        <v>8.8400000000000002E-4</v>
      </c>
      <c r="AY118" s="2559">
        <v>0.45800000000000002</v>
      </c>
      <c r="AZ118" s="2559">
        <v>7.2179999999999998E-4</v>
      </c>
      <c r="BA118" s="2559">
        <v>231.5</v>
      </c>
      <c r="BB118" s="2559">
        <v>0.128881</v>
      </c>
      <c r="BC118" s="2559">
        <v>2.1900000000000001E-4</v>
      </c>
      <c r="BD118" s="2559">
        <v>10.003299999999999</v>
      </c>
      <c r="BE118" s="2559">
        <v>4144.07</v>
      </c>
      <c r="BF118" s="2559">
        <v>143.4</v>
      </c>
      <c r="BG118" s="2559"/>
      <c r="BH118" s="2559"/>
      <c r="BI118" s="2559"/>
      <c r="BJ118" s="2559"/>
      <c r="BK118" s="2559"/>
      <c r="BL118" s="2559"/>
      <c r="BM118" s="2559"/>
      <c r="BN118" s="2559"/>
      <c r="BO118" s="2559"/>
      <c r="BP118" s="2559"/>
    </row>
    <row r="119" spans="1:68" ht="12.75" customHeight="1" x14ac:dyDescent="0.25">
      <c r="A119" s="2561" t="s">
        <v>4367</v>
      </c>
      <c r="B119" s="2559" t="s">
        <v>4368</v>
      </c>
      <c r="C119" s="2559" t="s">
        <v>842</v>
      </c>
      <c r="D119" s="2559">
        <v>1</v>
      </c>
      <c r="E119" s="2559"/>
      <c r="F119" s="2561" t="s">
        <v>4367</v>
      </c>
      <c r="G119" s="2559"/>
      <c r="H119" s="2559"/>
      <c r="I119" s="2559"/>
      <c r="J119" s="2559"/>
      <c r="K119" s="2559"/>
      <c r="L119" s="2559"/>
      <c r="M119" s="2559"/>
      <c r="N119" s="2559"/>
      <c r="O119" s="2559"/>
      <c r="P119" s="2559"/>
      <c r="Q119" s="2559"/>
      <c r="R119" s="2559"/>
      <c r="S119" s="2559"/>
      <c r="T119" s="2567">
        <v>74.099999999999994</v>
      </c>
      <c r="U119" s="2567">
        <v>6</v>
      </c>
      <c r="V119" s="2567">
        <v>82</v>
      </c>
      <c r="W119" s="2567">
        <v>500</v>
      </c>
      <c r="X119" s="2567" t="s">
        <v>4459</v>
      </c>
      <c r="Y119" s="2567"/>
      <c r="Z119" s="2567"/>
      <c r="AA119" s="2567"/>
      <c r="AB119" s="2567"/>
      <c r="AC119" s="2567">
        <v>162</v>
      </c>
      <c r="AD119" s="2567">
        <v>-44</v>
      </c>
      <c r="AE119" s="2567"/>
      <c r="AF119" s="2567"/>
      <c r="AG119" s="2567"/>
      <c r="AH119" s="2567"/>
      <c r="AI119" s="2567"/>
      <c r="AJ119" s="2567">
        <v>71</v>
      </c>
      <c r="AK119" s="2567">
        <v>2.9</v>
      </c>
      <c r="AL119" s="2567">
        <v>24.6</v>
      </c>
      <c r="AM119" s="2567">
        <v>415</v>
      </c>
      <c r="AN119" s="2567">
        <v>3</v>
      </c>
      <c r="AO119" s="2567">
        <v>2</v>
      </c>
      <c r="AP119" s="2567">
        <v>0</v>
      </c>
      <c r="AQ119" s="2567"/>
      <c r="AR119" s="2567"/>
      <c r="AS119" s="2559"/>
      <c r="AT119" s="2559"/>
      <c r="AU119" s="2559"/>
      <c r="AV119" s="2559"/>
      <c r="AW119" s="2559">
        <v>1.143</v>
      </c>
      <c r="AX119" s="2559">
        <v>1.24E-3</v>
      </c>
      <c r="AY119" s="2559">
        <v>0.438</v>
      </c>
      <c r="AZ119" s="2559">
        <v>1.0449999999999999E-3</v>
      </c>
      <c r="BA119" s="2559">
        <v>190.8</v>
      </c>
      <c r="BB119" s="2559">
        <v>0.1915</v>
      </c>
      <c r="BC119" s="2559">
        <v>3.1500000000000001E-4</v>
      </c>
      <c r="BD119" s="2559">
        <v>12.409800000000001</v>
      </c>
      <c r="BE119" s="2559">
        <v>5050.49</v>
      </c>
      <c r="BF119" s="2559">
        <v>28.08</v>
      </c>
      <c r="BG119" s="2559"/>
      <c r="BH119" s="2559"/>
      <c r="BI119" s="2559"/>
      <c r="BJ119" s="2559"/>
      <c r="BK119" s="2559"/>
      <c r="BL119" s="2559"/>
      <c r="BM119" s="2559"/>
      <c r="BN119" s="2559"/>
      <c r="BO119" s="2559"/>
      <c r="BP119" s="2559"/>
    </row>
    <row r="120" spans="1:68" ht="12.75" customHeight="1" x14ac:dyDescent="0.25">
      <c r="A120" s="3347" t="s">
        <v>1663</v>
      </c>
      <c r="B120" s="2558" t="s">
        <v>407</v>
      </c>
      <c r="C120" s="2559" t="s">
        <v>842</v>
      </c>
      <c r="D120" s="2559">
        <v>1</v>
      </c>
      <c r="E120" s="2559"/>
      <c r="F120" s="3347" t="s">
        <v>1663</v>
      </c>
      <c r="G120" s="2559"/>
      <c r="H120" s="2559"/>
      <c r="I120" s="2559"/>
      <c r="J120" s="2559"/>
      <c r="K120" s="2559"/>
      <c r="L120" s="2559"/>
      <c r="M120" s="2559"/>
      <c r="N120" s="2559"/>
      <c r="O120" s="2559"/>
      <c r="P120" s="2559"/>
      <c r="Q120" s="2559"/>
      <c r="R120" s="2559"/>
      <c r="S120" s="2559"/>
      <c r="T120" s="2559">
        <v>100.5</v>
      </c>
      <c r="U120" s="2559">
        <v>10000</v>
      </c>
      <c r="V120" s="2559">
        <v>15000</v>
      </c>
      <c r="W120" s="2559">
        <v>25000</v>
      </c>
      <c r="X120" s="2559" t="s">
        <v>4259</v>
      </c>
      <c r="Y120" s="2559"/>
      <c r="Z120" s="2562"/>
      <c r="AA120" s="2562"/>
      <c r="AB120" s="2559"/>
      <c r="AC120" s="2559">
        <v>-9.1999999999999993</v>
      </c>
      <c r="AD120" s="2559">
        <v>-130.80000000000001</v>
      </c>
      <c r="AE120" s="2559"/>
      <c r="AF120" s="2559"/>
      <c r="AG120" s="2559"/>
      <c r="AH120" s="2559"/>
      <c r="AI120" s="2559"/>
      <c r="AJ120" s="2559">
        <v>-59</v>
      </c>
      <c r="AK120" s="2559">
        <v>7.8</v>
      </c>
      <c r="AL120" s="2559"/>
      <c r="AM120" s="2559"/>
      <c r="AN120" s="2559">
        <v>0</v>
      </c>
      <c r="AO120" s="2559">
        <v>4</v>
      </c>
      <c r="AP120" s="2559">
        <v>0</v>
      </c>
      <c r="AQ120" s="2559"/>
      <c r="AR120" s="2559"/>
      <c r="AS120" s="2559"/>
      <c r="AT120" s="2559"/>
      <c r="AU120" s="2559"/>
      <c r="AV120" s="2559"/>
      <c r="AW120" s="2559">
        <v>1.1579999999999999</v>
      </c>
      <c r="AX120" s="2559">
        <v>2.1879999999999998E-3</v>
      </c>
      <c r="AY120" s="2559">
        <v>0.30599999999999999</v>
      </c>
      <c r="AZ120" s="2560">
        <v>4.3130000000000002E-4</v>
      </c>
      <c r="BA120" s="2559">
        <v>54.7</v>
      </c>
      <c r="BB120" s="2559">
        <v>4.1563000000000003E-2</v>
      </c>
      <c r="BC120" s="2559">
        <v>-5.1599999999999997E-4</v>
      </c>
      <c r="BD120" s="2559">
        <v>9.3641000000000005</v>
      </c>
      <c r="BE120" s="2559">
        <v>2167.0700000000002</v>
      </c>
      <c r="BF120" s="2559">
        <v>32.6</v>
      </c>
      <c r="BG120" s="2559"/>
      <c r="BH120" s="2559"/>
      <c r="BI120" s="2559"/>
      <c r="BJ120" s="2559"/>
      <c r="BK120" s="2559"/>
      <c r="BL120" s="2559"/>
      <c r="BM120" s="2559"/>
      <c r="BN120" s="2559"/>
      <c r="BO120" s="2559"/>
      <c r="BP120" s="2559"/>
    </row>
    <row r="121" spans="1:68" ht="12.75" customHeight="1" x14ac:dyDescent="0.25">
      <c r="A121" s="2561" t="s">
        <v>1680</v>
      </c>
      <c r="B121" s="2558" t="s">
        <v>408</v>
      </c>
      <c r="C121" s="2559" t="s">
        <v>842</v>
      </c>
      <c r="D121" s="2559">
        <v>1</v>
      </c>
      <c r="E121" s="2559"/>
      <c r="F121" s="2561" t="s">
        <v>1680</v>
      </c>
      <c r="G121" s="2559"/>
      <c r="H121" s="2559"/>
      <c r="I121" s="2559"/>
      <c r="J121" s="2559"/>
      <c r="K121" s="2559"/>
      <c r="L121" s="2559"/>
      <c r="M121" s="2559"/>
      <c r="N121" s="2559"/>
      <c r="O121" s="2559"/>
      <c r="P121" s="2559"/>
      <c r="Q121" s="2559"/>
      <c r="R121" s="2559"/>
      <c r="S121" s="2559"/>
      <c r="T121" s="2559">
        <v>100.2</v>
      </c>
      <c r="U121" s="2567">
        <v>490</v>
      </c>
      <c r="V121" s="2567">
        <v>800</v>
      </c>
      <c r="W121" s="2567">
        <v>4900</v>
      </c>
      <c r="X121" s="2559" t="s">
        <v>4459</v>
      </c>
      <c r="Y121" s="2559"/>
      <c r="Z121" s="2562"/>
      <c r="AA121" s="2562"/>
      <c r="AB121" s="2559"/>
      <c r="AC121" s="2559">
        <v>98.4</v>
      </c>
      <c r="AD121" s="2559">
        <v>-90.6</v>
      </c>
      <c r="AE121" s="2559"/>
      <c r="AF121" s="2559"/>
      <c r="AG121" s="2559"/>
      <c r="AH121" s="2559"/>
      <c r="AI121" s="2559"/>
      <c r="AJ121" s="2559">
        <v>-4</v>
      </c>
      <c r="AK121" s="2559">
        <v>1.1000000000000001</v>
      </c>
      <c r="AL121" s="2559"/>
      <c r="AM121" s="2559"/>
      <c r="AN121" s="2559">
        <v>1</v>
      </c>
      <c r="AO121" s="2559">
        <v>3</v>
      </c>
      <c r="AP121" s="2559">
        <v>0</v>
      </c>
      <c r="AQ121" s="2559" t="s">
        <v>139</v>
      </c>
      <c r="AR121" s="2559" t="s">
        <v>138</v>
      </c>
      <c r="AS121" s="2559"/>
      <c r="AT121" s="2559"/>
      <c r="AU121" s="2559"/>
      <c r="AV121" s="2559" t="s">
        <v>160</v>
      </c>
      <c r="AW121" s="2559">
        <v>0.69599999999999995</v>
      </c>
      <c r="AX121" s="2559">
        <v>9.1799999999999998E-4</v>
      </c>
      <c r="AY121" s="2559">
        <v>0.495</v>
      </c>
      <c r="AZ121" s="2560">
        <v>1.2327E-3</v>
      </c>
      <c r="BA121" s="2559">
        <v>90.8</v>
      </c>
      <c r="BB121" s="2559">
        <v>0.1351453</v>
      </c>
      <c r="BC121" s="2559">
        <v>2.2599999999999999E-4</v>
      </c>
      <c r="BD121" s="2559">
        <v>9.5328999999999997</v>
      </c>
      <c r="BE121" s="2559">
        <v>3094.57</v>
      </c>
      <c r="BF121" s="2559">
        <v>47.27</v>
      </c>
      <c r="BG121" s="2559"/>
      <c r="BH121" s="2559"/>
      <c r="BI121" s="2559"/>
      <c r="BJ121" s="2559"/>
      <c r="BK121" s="2559"/>
      <c r="BL121" s="2559"/>
      <c r="BM121" s="2559"/>
      <c r="BN121" s="2559"/>
      <c r="BO121" s="2559"/>
      <c r="BP121" s="2559"/>
    </row>
    <row r="122" spans="1:68" ht="12.75" customHeight="1" x14ac:dyDescent="0.25">
      <c r="A122" s="3347" t="s">
        <v>409</v>
      </c>
      <c r="B122" s="2559" t="s">
        <v>410</v>
      </c>
      <c r="C122" s="2559" t="s">
        <v>842</v>
      </c>
      <c r="D122" s="2559">
        <v>1</v>
      </c>
      <c r="E122" s="2559"/>
      <c r="F122" s="3347" t="s">
        <v>409</v>
      </c>
      <c r="G122" s="2559"/>
      <c r="H122" s="2559"/>
      <c r="I122" s="2559"/>
      <c r="J122" s="2559"/>
      <c r="K122" s="2559"/>
      <c r="L122" s="2559"/>
      <c r="M122" s="2559"/>
      <c r="N122" s="2559"/>
      <c r="O122" s="2559"/>
      <c r="P122" s="2559"/>
      <c r="Q122" s="2559"/>
      <c r="R122" s="2559"/>
      <c r="S122" s="2559"/>
      <c r="T122" s="2559">
        <v>260.76</v>
      </c>
      <c r="U122" s="2559">
        <v>1</v>
      </c>
      <c r="V122" s="2559">
        <v>3</v>
      </c>
      <c r="W122" s="2559">
        <v>10</v>
      </c>
      <c r="X122" s="2559" t="s">
        <v>4259</v>
      </c>
      <c r="Y122" s="2559"/>
      <c r="Z122" s="2562"/>
      <c r="AA122" s="2562"/>
      <c r="AB122" s="2559"/>
      <c r="AC122" s="2559">
        <v>214.2</v>
      </c>
      <c r="AD122" s="2559">
        <v>-18.600000000000001</v>
      </c>
      <c r="AE122" s="2559"/>
      <c r="AF122" s="2559"/>
      <c r="AG122" s="2559"/>
      <c r="AH122" s="2559"/>
      <c r="AI122" s="2559"/>
      <c r="AJ122" s="2559"/>
      <c r="AK122" s="2559"/>
      <c r="AL122" s="2559"/>
      <c r="AM122" s="2559"/>
      <c r="AN122" s="2559">
        <v>3</v>
      </c>
      <c r="AO122" s="2559">
        <v>0</v>
      </c>
      <c r="AP122" s="2559">
        <v>0</v>
      </c>
      <c r="AQ122" s="2559"/>
      <c r="AR122" s="2559"/>
      <c r="AS122" s="2559"/>
      <c r="AT122" s="2559"/>
      <c r="AU122" s="2559"/>
      <c r="AV122" s="2559"/>
      <c r="AW122" s="2559">
        <v>1.7130000000000001</v>
      </c>
      <c r="AX122" s="2559">
        <v>1.6429999999999999E-3</v>
      </c>
      <c r="AY122" s="2559">
        <v>0.158</v>
      </c>
      <c r="AZ122" s="2560">
        <v>2.2499999999999999E-4</v>
      </c>
      <c r="BA122" s="2559">
        <v>52.5</v>
      </c>
      <c r="BB122" s="2559">
        <v>4.5407999999999997E-2</v>
      </c>
      <c r="BC122" s="2559">
        <v>6.8899999999999994E-5</v>
      </c>
      <c r="BD122" s="2559">
        <v>9.7802000000000007</v>
      </c>
      <c r="BE122" s="2559">
        <v>4105.13</v>
      </c>
      <c r="BF122" s="2559">
        <v>68.290000000000006</v>
      </c>
      <c r="BG122" s="2559"/>
      <c r="BH122" s="2559"/>
      <c r="BI122" s="2559"/>
      <c r="BJ122" s="2559"/>
      <c r="BK122" s="2559"/>
      <c r="BL122" s="2559"/>
      <c r="BM122" s="2559"/>
      <c r="BN122" s="2559"/>
      <c r="BO122" s="2559"/>
      <c r="BP122" s="2559"/>
    </row>
    <row r="123" spans="1:68" ht="12.75" customHeight="1" x14ac:dyDescent="0.25">
      <c r="A123" s="3347" t="s">
        <v>411</v>
      </c>
      <c r="B123" s="2559" t="s">
        <v>412</v>
      </c>
      <c r="C123" s="2559" t="s">
        <v>842</v>
      </c>
      <c r="D123" s="2559">
        <v>1</v>
      </c>
      <c r="E123" s="2559"/>
      <c r="F123" s="3347" t="s">
        <v>411</v>
      </c>
      <c r="G123" s="2559"/>
      <c r="H123" s="2559"/>
      <c r="I123" s="2559"/>
      <c r="J123" s="2559"/>
      <c r="K123" s="2559"/>
      <c r="L123" s="2559"/>
      <c r="M123" s="2559"/>
      <c r="N123" s="2559"/>
      <c r="O123" s="2559"/>
      <c r="P123" s="2559"/>
      <c r="Q123" s="2559"/>
      <c r="R123" s="2559"/>
      <c r="S123" s="2559"/>
      <c r="T123" s="2559">
        <v>166.02</v>
      </c>
      <c r="U123" s="2559"/>
      <c r="V123" s="2559">
        <v>1</v>
      </c>
      <c r="W123" s="2559">
        <v>50</v>
      </c>
      <c r="X123" s="2559" t="s">
        <v>4259</v>
      </c>
      <c r="Y123" s="2559" t="s">
        <v>289</v>
      </c>
      <c r="Z123" s="2562"/>
      <c r="AA123" s="2562"/>
      <c r="AB123" s="2559"/>
      <c r="AC123" s="2559">
        <v>-27.3</v>
      </c>
      <c r="AD123" s="2559">
        <v>-125.5</v>
      </c>
      <c r="AE123" s="2559"/>
      <c r="AF123" s="2559"/>
      <c r="AG123" s="2559"/>
      <c r="AH123" s="2559"/>
      <c r="AI123" s="2559"/>
      <c r="AJ123" s="2559"/>
      <c r="AK123" s="2559"/>
      <c r="AL123" s="2559"/>
      <c r="AM123" s="2559"/>
      <c r="AN123" s="2559">
        <v>3</v>
      </c>
      <c r="AO123" s="2559">
        <v>0</v>
      </c>
      <c r="AP123" s="2559">
        <v>2</v>
      </c>
      <c r="AQ123" s="2559"/>
      <c r="AR123" s="2559"/>
      <c r="AS123" s="2559"/>
      <c r="AT123" s="2559"/>
      <c r="AU123" s="2559"/>
      <c r="AV123" s="2559"/>
      <c r="AW123" s="2559">
        <v>1.421</v>
      </c>
      <c r="AX123" s="2559">
        <v>3.921E-3</v>
      </c>
      <c r="AY123" s="2559">
        <v>0.38900000000000001</v>
      </c>
      <c r="AZ123" s="2560">
        <v>1.3213999999999999E-3</v>
      </c>
      <c r="BA123" s="2559">
        <v>27</v>
      </c>
      <c r="BB123" s="2559">
        <v>3.5000000000000003E-2</v>
      </c>
      <c r="BC123" s="2559">
        <v>-1.5E-3</v>
      </c>
      <c r="BD123" s="2559">
        <v>9.8675999999999995</v>
      </c>
      <c r="BE123" s="2559">
        <v>2133.81</v>
      </c>
      <c r="BF123" s="2559">
        <v>29.94</v>
      </c>
      <c r="BG123" s="2559"/>
      <c r="BH123" s="2559"/>
      <c r="BI123" s="2559"/>
      <c r="BJ123" s="2559"/>
      <c r="BK123" s="2559"/>
      <c r="BL123" s="2559"/>
      <c r="BM123" s="2559"/>
      <c r="BN123" s="2559"/>
      <c r="BO123" s="2559"/>
      <c r="BP123" s="2559"/>
    </row>
    <row r="124" spans="1:68" ht="12.75" customHeight="1" x14ac:dyDescent="0.25">
      <c r="A124" s="2365" t="s">
        <v>1681</v>
      </c>
      <c r="B124" s="2362" t="s">
        <v>413</v>
      </c>
      <c r="C124" s="2363" t="s">
        <v>842</v>
      </c>
      <c r="D124" s="2363">
        <v>1</v>
      </c>
      <c r="E124" s="2363"/>
      <c r="F124" s="2365" t="s">
        <v>1681</v>
      </c>
      <c r="G124" s="2363"/>
      <c r="H124" s="2363"/>
      <c r="I124" s="2363"/>
      <c r="J124" s="2363"/>
      <c r="K124" s="2363"/>
      <c r="L124" s="2363"/>
      <c r="M124" s="2363"/>
      <c r="N124" s="2363"/>
      <c r="O124" s="2363"/>
      <c r="P124" s="2363"/>
      <c r="Q124" s="2363"/>
      <c r="R124" s="2363"/>
      <c r="S124" s="2363"/>
      <c r="T124" s="2363">
        <v>86.2</v>
      </c>
      <c r="U124" s="2363"/>
      <c r="V124" s="2398">
        <v>2900</v>
      </c>
      <c r="W124" s="2398">
        <v>8600</v>
      </c>
      <c r="X124" s="2363" t="s">
        <v>4457</v>
      </c>
      <c r="Y124" s="2559"/>
      <c r="Z124" s="2366"/>
      <c r="AA124" s="2366"/>
      <c r="AB124" s="2363"/>
      <c r="AC124" s="2363">
        <v>68.7</v>
      </c>
      <c r="AD124" s="2363">
        <v>-95.3</v>
      </c>
      <c r="AE124" s="2363"/>
      <c r="AF124" s="2363"/>
      <c r="AG124" s="2363"/>
      <c r="AH124" s="2363"/>
      <c r="AI124" s="2363"/>
      <c r="AJ124" s="2363">
        <v>-22</v>
      </c>
      <c r="AK124" s="2363">
        <v>1.1000000000000001</v>
      </c>
      <c r="AL124" s="2363"/>
      <c r="AM124" s="2363"/>
      <c r="AN124" s="2363">
        <v>2</v>
      </c>
      <c r="AO124" s="2363">
        <v>3</v>
      </c>
      <c r="AP124" s="2363">
        <v>0</v>
      </c>
      <c r="AQ124" s="2363" t="s">
        <v>139</v>
      </c>
      <c r="AR124" s="2363" t="s">
        <v>138</v>
      </c>
      <c r="AS124" s="2363"/>
      <c r="AT124" s="2363"/>
      <c r="AU124" s="2363"/>
      <c r="AV124" s="2363" t="s">
        <v>160</v>
      </c>
      <c r="AW124" s="2363">
        <v>0.67400000000000004</v>
      </c>
      <c r="AX124" s="2363">
        <v>1.0250000000000001E-3</v>
      </c>
      <c r="AY124" s="2363">
        <v>0.51200000000000001</v>
      </c>
      <c r="AZ124" s="2364">
        <v>1.225E-3</v>
      </c>
      <c r="BA124" s="2363">
        <v>91.6</v>
      </c>
      <c r="BB124" s="2363">
        <v>0.1439</v>
      </c>
      <c r="BC124" s="2363">
        <v>3.5500000000000001E-4</v>
      </c>
      <c r="BD124" s="2363">
        <v>9.3192000000000004</v>
      </c>
      <c r="BE124" s="2363">
        <v>2765.81</v>
      </c>
      <c r="BF124" s="2363">
        <v>45.11</v>
      </c>
      <c r="BG124" s="2363"/>
      <c r="BH124" s="2363"/>
      <c r="BI124" s="2363"/>
      <c r="BJ124" s="2363"/>
      <c r="BK124" s="2363"/>
      <c r="BL124" s="2363"/>
      <c r="BM124" s="2363"/>
      <c r="BN124" s="2363"/>
      <c r="BO124" s="2363"/>
      <c r="BP124" s="2363"/>
    </row>
    <row r="125" spans="1:68" ht="12.75" customHeight="1" x14ac:dyDescent="0.25">
      <c r="A125" s="2365" t="s">
        <v>4369</v>
      </c>
      <c r="B125" s="2363" t="s">
        <v>4370</v>
      </c>
      <c r="C125" s="2363" t="s">
        <v>842</v>
      </c>
      <c r="D125" s="2363">
        <v>1</v>
      </c>
      <c r="E125" s="2363"/>
      <c r="F125" s="2365" t="s">
        <v>4369</v>
      </c>
      <c r="G125" s="2363"/>
      <c r="H125" s="2363"/>
      <c r="I125" s="2363"/>
      <c r="J125" s="2363"/>
      <c r="K125" s="2363"/>
      <c r="L125" s="2363"/>
      <c r="M125" s="2363"/>
      <c r="N125" s="2363"/>
      <c r="O125" s="2363"/>
      <c r="P125" s="2363"/>
      <c r="Q125" s="2363"/>
      <c r="R125" s="2363"/>
      <c r="S125" s="2363"/>
      <c r="T125" s="2398">
        <v>102.18</v>
      </c>
      <c r="U125" s="2398">
        <v>2.9</v>
      </c>
      <c r="V125" s="2398">
        <v>31</v>
      </c>
      <c r="W125" s="2398">
        <v>189</v>
      </c>
      <c r="X125" s="2398" t="s">
        <v>4459</v>
      </c>
      <c r="Y125" s="2567"/>
      <c r="Z125" s="2398"/>
      <c r="AA125" s="2398"/>
      <c r="AB125" s="2398"/>
      <c r="AC125" s="2398">
        <v>139.9</v>
      </c>
      <c r="AD125" s="2398">
        <v>-50.2</v>
      </c>
      <c r="AE125" s="2398"/>
      <c r="AF125" s="2398"/>
      <c r="AG125" s="2398"/>
      <c r="AH125" s="2398"/>
      <c r="AI125" s="2398"/>
      <c r="AJ125" s="2398">
        <v>41</v>
      </c>
      <c r="AK125" s="2398">
        <v>1.2</v>
      </c>
      <c r="AL125" s="2398"/>
      <c r="AM125" s="2398"/>
      <c r="AN125" s="2398">
        <v>2</v>
      </c>
      <c r="AO125" s="2398">
        <v>2</v>
      </c>
      <c r="AP125" s="2398">
        <v>0</v>
      </c>
      <c r="AQ125" s="2398"/>
      <c r="AR125" s="2398"/>
      <c r="AS125" s="2363"/>
      <c r="AT125" s="2363"/>
      <c r="AU125" s="2363"/>
      <c r="AV125" s="2363"/>
      <c r="AW125" s="2363">
        <v>0.83099999999999996</v>
      </c>
      <c r="AX125" s="2363">
        <v>9.5E-4</v>
      </c>
      <c r="AY125" s="2363">
        <v>0.54400000000000004</v>
      </c>
      <c r="AZ125" s="2363">
        <v>1.14E-3</v>
      </c>
      <c r="BA125" s="2363">
        <v>144.80000000000001</v>
      </c>
      <c r="BB125" s="2363">
        <v>0.29013899999999998</v>
      </c>
      <c r="BC125" s="2363">
        <v>2.4699999999999999E-4</v>
      </c>
      <c r="BD125" s="2363">
        <v>13.079499999999999</v>
      </c>
      <c r="BE125" s="2363">
        <v>5042.49</v>
      </c>
      <c r="BF125" s="2363">
        <v>32.369999999999997</v>
      </c>
      <c r="BG125" s="2363"/>
      <c r="BH125" s="2363"/>
      <c r="BI125" s="2363"/>
      <c r="BJ125" s="2363"/>
      <c r="BK125" s="2363"/>
      <c r="BL125" s="2363"/>
      <c r="BM125" s="2363"/>
      <c r="BN125" s="2363"/>
      <c r="BO125" s="2363"/>
      <c r="BP125" s="2363"/>
    </row>
    <row r="126" spans="1:68" ht="12.75" customHeight="1" x14ac:dyDescent="0.25">
      <c r="A126" s="2365" t="s">
        <v>4371</v>
      </c>
      <c r="B126" s="2363" t="s">
        <v>4372</v>
      </c>
      <c r="C126" s="2363" t="s">
        <v>842</v>
      </c>
      <c r="D126" s="2363">
        <v>1</v>
      </c>
      <c r="E126" s="2363"/>
      <c r="F126" s="2365" t="s">
        <v>4371</v>
      </c>
      <c r="G126" s="2363"/>
      <c r="H126" s="2363"/>
      <c r="I126" s="2363"/>
      <c r="J126" s="2363"/>
      <c r="K126" s="2363"/>
      <c r="L126" s="2363"/>
      <c r="M126" s="2363"/>
      <c r="N126" s="2363"/>
      <c r="O126" s="2363"/>
      <c r="P126" s="2363"/>
      <c r="Q126" s="2363"/>
      <c r="R126" s="2363"/>
      <c r="S126" s="2363"/>
      <c r="T126" s="2398">
        <v>102.18</v>
      </c>
      <c r="U126" s="2398">
        <v>10</v>
      </c>
      <c r="V126" s="2398">
        <v>112</v>
      </c>
      <c r="W126" s="2398">
        <v>570</v>
      </c>
      <c r="X126" s="2398" t="s">
        <v>4459</v>
      </c>
      <c r="Y126" s="2567"/>
      <c r="Z126" s="2398"/>
      <c r="AA126" s="2398"/>
      <c r="AB126" s="2398"/>
      <c r="AC126" s="2398">
        <v>157.30000000000001</v>
      </c>
      <c r="AD126" s="2398">
        <v>-47.4</v>
      </c>
      <c r="AE126" s="2398"/>
      <c r="AF126" s="2398"/>
      <c r="AG126" s="2398"/>
      <c r="AH126" s="2398"/>
      <c r="AI126" s="2398"/>
      <c r="AJ126" s="2398">
        <v>63</v>
      </c>
      <c r="AK126" s="2398">
        <v>1.2</v>
      </c>
      <c r="AL126" s="2398"/>
      <c r="AM126" s="2398"/>
      <c r="AN126" s="2398">
        <v>3</v>
      </c>
      <c r="AO126" s="2398">
        <v>2</v>
      </c>
      <c r="AP126" s="2398">
        <v>0</v>
      </c>
      <c r="AQ126" s="2398" t="s">
        <v>139</v>
      </c>
      <c r="AR126" s="2398" t="s">
        <v>138</v>
      </c>
      <c r="AS126" s="2363"/>
      <c r="AT126" s="2363"/>
      <c r="AU126" s="2363"/>
      <c r="AV126" s="2363"/>
      <c r="AW126" s="2363">
        <v>0.83299999999999996</v>
      </c>
      <c r="AX126" s="2363">
        <v>8.6700000000000004E-4</v>
      </c>
      <c r="AY126" s="2363">
        <v>0.58899999999999997</v>
      </c>
      <c r="AZ126" s="2363">
        <v>1.1375000000000001E-3</v>
      </c>
      <c r="BA126" s="2363">
        <v>151.19999999999999</v>
      </c>
      <c r="BB126" s="2363">
        <v>0.239375</v>
      </c>
      <c r="BC126" s="2363">
        <v>2.7099999999999997E-4</v>
      </c>
      <c r="BD126" s="2363">
        <v>9.2789000000000001</v>
      </c>
      <c r="BE126" s="2363">
        <v>2886.34</v>
      </c>
      <c r="BF126" s="2363">
        <v>118.62</v>
      </c>
      <c r="BG126" s="2363"/>
      <c r="BH126" s="2363"/>
      <c r="BI126" s="2363"/>
      <c r="BJ126" s="2363"/>
      <c r="BK126" s="2363"/>
      <c r="BL126" s="2363"/>
      <c r="BM126" s="2363"/>
      <c r="BN126" s="2363"/>
      <c r="BO126" s="2363"/>
      <c r="BP126" s="2363"/>
    </row>
    <row r="127" spans="1:68" ht="12.75" customHeight="1" x14ac:dyDescent="0.25">
      <c r="A127" s="2405" t="s">
        <v>1826</v>
      </c>
      <c r="B127" s="2363" t="s">
        <v>1225</v>
      </c>
      <c r="C127" s="2363" t="s">
        <v>842</v>
      </c>
      <c r="D127" s="2363">
        <v>1</v>
      </c>
      <c r="E127" s="2363"/>
      <c r="F127" s="2405" t="s">
        <v>1826</v>
      </c>
      <c r="G127" s="2363"/>
      <c r="H127" s="2363"/>
      <c r="I127" s="2363"/>
      <c r="J127" s="2363"/>
      <c r="K127" s="2363"/>
      <c r="L127" s="2363"/>
      <c r="M127" s="2363"/>
      <c r="N127" s="2363"/>
      <c r="O127" s="2363"/>
      <c r="P127" s="2363"/>
      <c r="Q127" s="2363"/>
      <c r="R127" s="2363"/>
      <c r="S127" s="2363"/>
      <c r="T127" s="2363">
        <v>84.16</v>
      </c>
      <c r="U127" s="2363"/>
      <c r="V127" s="2363">
        <v>500</v>
      </c>
      <c r="W127" s="2363">
        <v>5000</v>
      </c>
      <c r="X127" s="2363" t="s">
        <v>4259</v>
      </c>
      <c r="Y127" s="2559"/>
      <c r="Z127" s="2366"/>
      <c r="AA127" s="2366"/>
      <c r="AB127" s="2363"/>
      <c r="AC127" s="2363">
        <v>63.5</v>
      </c>
      <c r="AD127" s="2363">
        <v>-139.80000000000001</v>
      </c>
      <c r="AE127" s="2363"/>
      <c r="AF127" s="2363"/>
      <c r="AG127" s="2363"/>
      <c r="AH127" s="2363"/>
      <c r="AI127" s="2363"/>
      <c r="AJ127" s="2363">
        <v>-26</v>
      </c>
      <c r="AK127" s="2363">
        <v>1.2</v>
      </c>
      <c r="AL127" s="2363"/>
      <c r="AM127" s="2363"/>
      <c r="AN127" s="2363">
        <v>2</v>
      </c>
      <c r="AO127" s="2363">
        <v>3</v>
      </c>
      <c r="AP127" s="2363">
        <v>0</v>
      </c>
      <c r="AQ127" s="2363" t="s">
        <v>139</v>
      </c>
      <c r="AR127" s="2363" t="s">
        <v>138</v>
      </c>
      <c r="AS127" s="2363"/>
      <c r="AT127" s="2363"/>
      <c r="AU127" s="2363"/>
      <c r="AV127" s="2363"/>
      <c r="AW127" s="2363">
        <v>0.68799999999999994</v>
      </c>
      <c r="AX127" s="2363">
        <v>9.8999999999999999E-4</v>
      </c>
      <c r="AY127" s="2363">
        <v>0.53</v>
      </c>
      <c r="AZ127" s="2364">
        <v>1.5642E-3</v>
      </c>
      <c r="BA127" s="2363">
        <v>90.6</v>
      </c>
      <c r="BB127" s="2363">
        <v>0.14316699999999999</v>
      </c>
      <c r="BC127" s="2363">
        <v>2.5399999999999999E-4</v>
      </c>
      <c r="BD127" s="2363">
        <v>9.6570999999999998</v>
      </c>
      <c r="BE127" s="2363">
        <v>2911.18</v>
      </c>
      <c r="BF127" s="2363">
        <v>35.08</v>
      </c>
      <c r="BG127" s="2363"/>
      <c r="BH127" s="2363"/>
      <c r="BI127" s="2363"/>
      <c r="BJ127" s="2363"/>
      <c r="BK127" s="2363"/>
      <c r="BL127" s="2363"/>
      <c r="BM127" s="2363"/>
      <c r="BN127" s="2363"/>
      <c r="BO127" s="2363"/>
      <c r="BP127" s="2363"/>
    </row>
    <row r="128" spans="1:68" ht="12.75" customHeight="1" x14ac:dyDescent="0.25">
      <c r="A128" s="2365" t="s">
        <v>1805</v>
      </c>
      <c r="B128" s="2362" t="s">
        <v>1226</v>
      </c>
      <c r="C128" s="2363" t="s">
        <v>842</v>
      </c>
      <c r="D128" s="2363">
        <v>1</v>
      </c>
      <c r="E128" s="2363"/>
      <c r="F128" s="2365" t="s">
        <v>1805</v>
      </c>
      <c r="G128" s="2363"/>
      <c r="H128" s="2363"/>
      <c r="I128" s="2363"/>
      <c r="J128" s="2363"/>
      <c r="K128" s="2363"/>
      <c r="L128" s="2363"/>
      <c r="M128" s="2363"/>
      <c r="N128" s="2363"/>
      <c r="O128" s="2363"/>
      <c r="P128" s="2363"/>
      <c r="Q128" s="2363"/>
      <c r="R128" s="2363"/>
      <c r="S128" s="2363"/>
      <c r="T128" s="2363">
        <v>32.049999999999997</v>
      </c>
      <c r="U128" s="2363">
        <v>0.5</v>
      </c>
      <c r="V128" s="2363">
        <v>5</v>
      </c>
      <c r="W128" s="2363">
        <v>30</v>
      </c>
      <c r="X128" s="2363" t="s">
        <v>4259</v>
      </c>
      <c r="Y128" s="2559"/>
      <c r="Z128" s="2366"/>
      <c r="AA128" s="2366"/>
      <c r="AB128" s="2363"/>
      <c r="AC128" s="2363">
        <v>113.5</v>
      </c>
      <c r="AD128" s="2363">
        <v>2</v>
      </c>
      <c r="AE128" s="2363"/>
      <c r="AF128" s="2363"/>
      <c r="AG128" s="2363"/>
      <c r="AH128" s="2363"/>
      <c r="AI128" s="2363"/>
      <c r="AJ128" s="2363">
        <v>38</v>
      </c>
      <c r="AK128" s="2363">
        <v>4.7</v>
      </c>
      <c r="AL128" s="2363"/>
      <c r="AM128" s="2363"/>
      <c r="AN128" s="2363">
        <v>3</v>
      </c>
      <c r="AO128" s="2363">
        <v>2</v>
      </c>
      <c r="AP128" s="2363">
        <v>1</v>
      </c>
      <c r="AQ128" s="2363"/>
      <c r="AR128" s="2363"/>
      <c r="AS128" s="2363" t="s">
        <v>1091</v>
      </c>
      <c r="AT128" s="2363"/>
      <c r="AU128" s="2363"/>
      <c r="AV128" s="2363"/>
      <c r="AW128" s="2363">
        <v>1.028</v>
      </c>
      <c r="AX128" s="2363">
        <v>9.810000000000001E-4</v>
      </c>
      <c r="AY128" s="2363">
        <v>0.72899999999999998</v>
      </c>
      <c r="AZ128" s="2364">
        <v>9.4700000000000003E-4</v>
      </c>
      <c r="BA128" s="2363">
        <v>345.1</v>
      </c>
      <c r="BB128" s="2363">
        <v>0.32950000000000002</v>
      </c>
      <c r="BC128" s="2363">
        <v>4.8500000000000003E-4</v>
      </c>
      <c r="BD128" s="2363">
        <v>11.173299999999999</v>
      </c>
      <c r="BE128" s="2363">
        <v>3783.81</v>
      </c>
      <c r="BF128" s="2363">
        <v>48.1</v>
      </c>
      <c r="BG128" s="2363"/>
      <c r="BH128" s="2363"/>
      <c r="BI128" s="2363"/>
      <c r="BJ128" s="2363"/>
      <c r="BK128" s="2363"/>
      <c r="BL128" s="2363"/>
      <c r="BM128" s="2363"/>
      <c r="BN128" s="2363"/>
      <c r="BO128" s="2363"/>
      <c r="BP128" s="2363"/>
    </row>
    <row r="129" spans="1:68" ht="12.75" customHeight="1" x14ac:dyDescent="0.25">
      <c r="A129" s="2365" t="s">
        <v>1682</v>
      </c>
      <c r="B129" s="3341" t="s">
        <v>1227</v>
      </c>
      <c r="C129" s="2363" t="s">
        <v>842</v>
      </c>
      <c r="D129" s="2363">
        <v>1</v>
      </c>
      <c r="E129" s="2363"/>
      <c r="F129" s="2365" t="s">
        <v>1682</v>
      </c>
      <c r="G129" s="2363"/>
      <c r="H129" s="2363"/>
      <c r="I129" s="2363"/>
      <c r="J129" s="2363"/>
      <c r="K129" s="2363"/>
      <c r="L129" s="2363"/>
      <c r="M129" s="2363"/>
      <c r="N129" s="2363"/>
      <c r="O129" s="2363"/>
      <c r="P129" s="2363"/>
      <c r="Q129" s="2363"/>
      <c r="R129" s="2363"/>
      <c r="S129" s="2363"/>
      <c r="T129" s="2363">
        <v>2.02</v>
      </c>
      <c r="U129" s="2398">
        <v>65000</v>
      </c>
      <c r="V129" s="2398">
        <v>230000</v>
      </c>
      <c r="W129" s="2398">
        <v>400000</v>
      </c>
      <c r="X129" s="2363" t="s">
        <v>4459</v>
      </c>
      <c r="Y129" s="2559"/>
      <c r="Z129" s="2366"/>
      <c r="AA129" s="2366"/>
      <c r="AB129" s="2363"/>
      <c r="AC129" s="2363">
        <v>-252.8</v>
      </c>
      <c r="AD129" s="2363">
        <v>-259.10000000000002</v>
      </c>
      <c r="AE129" s="2363"/>
      <c r="AF129" s="2363"/>
      <c r="AG129" s="2363"/>
      <c r="AH129" s="2363"/>
      <c r="AI129" s="2363"/>
      <c r="AJ129" s="2363">
        <v>-259</v>
      </c>
      <c r="AK129" s="2363">
        <v>4</v>
      </c>
      <c r="AL129" s="2363">
        <v>75.599999999999994</v>
      </c>
      <c r="AM129" s="2363">
        <v>400</v>
      </c>
      <c r="AN129" s="2363">
        <v>0</v>
      </c>
      <c r="AO129" s="2363">
        <v>4</v>
      </c>
      <c r="AP129" s="2363">
        <v>0</v>
      </c>
      <c r="AQ129" s="2363" t="s">
        <v>141</v>
      </c>
      <c r="AR129" s="2363" t="s">
        <v>137</v>
      </c>
      <c r="AS129" s="2363"/>
      <c r="AT129" s="2363"/>
      <c r="AU129" s="2363"/>
      <c r="AV129" s="2363"/>
      <c r="AW129" s="2363">
        <v>7.0000000000000007E-2</v>
      </c>
      <c r="AX129" s="2363"/>
      <c r="AY129" s="2363">
        <v>2</v>
      </c>
      <c r="AZ129" s="2364"/>
      <c r="BA129" s="2363">
        <v>100</v>
      </c>
      <c r="BB129" s="2363">
        <v>0.1</v>
      </c>
      <c r="BC129" s="2363"/>
      <c r="BD129" s="2363">
        <v>6.0350000000000001</v>
      </c>
      <c r="BE129" s="2363">
        <v>121.9</v>
      </c>
      <c r="BF129" s="2363"/>
      <c r="BG129" s="2363"/>
      <c r="BH129" s="2363"/>
      <c r="BI129" s="2363"/>
      <c r="BJ129" s="2363"/>
      <c r="BK129" s="2363"/>
      <c r="BL129" s="2363"/>
      <c r="BM129" s="2363"/>
      <c r="BN129" s="2363"/>
      <c r="BO129" s="2363"/>
      <c r="BP129" s="2363"/>
    </row>
    <row r="130" spans="1:68" ht="12.75" customHeight="1" x14ac:dyDescent="0.25">
      <c r="A130" s="2365" t="s">
        <v>4373</v>
      </c>
      <c r="B130" s="2363" t="s">
        <v>4374</v>
      </c>
      <c r="C130" s="2363" t="s">
        <v>842</v>
      </c>
      <c r="D130" s="2363">
        <v>1</v>
      </c>
      <c r="E130" s="2363"/>
      <c r="F130" s="2365" t="s">
        <v>4373</v>
      </c>
      <c r="G130" s="2363"/>
      <c r="H130" s="2363"/>
      <c r="I130" s="2363"/>
      <c r="J130" s="2363"/>
      <c r="K130" s="2363"/>
      <c r="L130" s="2363"/>
      <c r="M130" s="2363"/>
      <c r="N130" s="2363"/>
      <c r="O130" s="2363"/>
      <c r="P130" s="2363"/>
      <c r="Q130" s="2363"/>
      <c r="R130" s="2363"/>
      <c r="S130" s="2363"/>
      <c r="T130" s="2398">
        <v>80.91</v>
      </c>
      <c r="U130" s="2398">
        <v>1</v>
      </c>
      <c r="V130" s="2398">
        <v>40</v>
      </c>
      <c r="W130" s="2398">
        <v>120</v>
      </c>
      <c r="X130" s="2398" t="s">
        <v>4457</v>
      </c>
      <c r="Y130" s="2559" t="s">
        <v>289</v>
      </c>
      <c r="Z130" s="2398"/>
      <c r="AA130" s="2398"/>
      <c r="AB130" s="2398"/>
      <c r="AC130" s="2398">
        <v>-66.900000000000006</v>
      </c>
      <c r="AD130" s="2398">
        <v>-86.9</v>
      </c>
      <c r="AE130" s="2398"/>
      <c r="AF130" s="2398"/>
      <c r="AG130" s="2398"/>
      <c r="AH130" s="2398"/>
      <c r="AI130" s="2398"/>
      <c r="AJ130" s="2398"/>
      <c r="AK130" s="2398"/>
      <c r="AL130" s="2398"/>
      <c r="AM130" s="2398"/>
      <c r="AN130" s="2398">
        <v>3</v>
      </c>
      <c r="AO130" s="2398">
        <v>0</v>
      </c>
      <c r="AP130" s="2398">
        <v>1</v>
      </c>
      <c r="AQ130" s="2398"/>
      <c r="AR130" s="2398"/>
      <c r="AS130" s="2363"/>
      <c r="AT130" s="2363"/>
      <c r="AU130" s="2363"/>
      <c r="AV130" s="2363" t="s">
        <v>158</v>
      </c>
      <c r="AW130" s="2363">
        <v>1.889</v>
      </c>
      <c r="AX130" s="2363">
        <v>4.267E-3</v>
      </c>
      <c r="AY130" s="2363">
        <v>0.19700000000000001</v>
      </c>
      <c r="AZ130" s="2363">
        <v>-9.3300000000000005E-5</v>
      </c>
      <c r="BA130" s="2363">
        <v>42.7</v>
      </c>
      <c r="BB130" s="2363">
        <v>0.16964399999999999</v>
      </c>
      <c r="BC130" s="2363">
        <v>2.7599999999999999E-4</v>
      </c>
      <c r="BD130" s="2363">
        <v>9.7441999999999993</v>
      </c>
      <c r="BE130" s="2363">
        <v>1878.2</v>
      </c>
      <c r="BF130" s="2363">
        <v>13.49</v>
      </c>
      <c r="BG130" s="2363"/>
      <c r="BH130" s="2363"/>
      <c r="BI130" s="2363"/>
      <c r="BJ130" s="2363"/>
      <c r="BK130" s="2363"/>
      <c r="BL130" s="2363"/>
      <c r="BM130" s="2363"/>
      <c r="BN130" s="2363"/>
      <c r="BO130" s="2363"/>
      <c r="BP130" s="2363"/>
    </row>
    <row r="131" spans="1:68" ht="12.75" customHeight="1" x14ac:dyDescent="0.25">
      <c r="A131" s="2365" t="s">
        <v>4465</v>
      </c>
      <c r="B131" s="2363" t="s">
        <v>1228</v>
      </c>
      <c r="C131" s="2363" t="s">
        <v>842</v>
      </c>
      <c r="D131" s="2363">
        <v>1</v>
      </c>
      <c r="E131" s="2363"/>
      <c r="F131" s="2365" t="s">
        <v>1683</v>
      </c>
      <c r="G131" s="2363"/>
      <c r="H131" s="2363"/>
      <c r="I131" s="2363"/>
      <c r="J131" s="2363"/>
      <c r="K131" s="2363"/>
      <c r="L131" s="2363"/>
      <c r="M131" s="2363"/>
      <c r="N131" s="2363"/>
      <c r="O131" s="2363"/>
      <c r="P131" s="2363"/>
      <c r="Q131" s="2363"/>
      <c r="R131" s="2363"/>
      <c r="S131" s="2363"/>
      <c r="T131" s="2363">
        <v>36.46</v>
      </c>
      <c r="U131" s="2363">
        <v>3</v>
      </c>
      <c r="V131" s="2363">
        <v>20</v>
      </c>
      <c r="W131" s="2363">
        <v>150</v>
      </c>
      <c r="X131" s="2363" t="s">
        <v>4259</v>
      </c>
      <c r="Y131" s="2559" t="s">
        <v>289</v>
      </c>
      <c r="Z131" s="2366">
        <v>288.8</v>
      </c>
      <c r="AA131" s="2366">
        <v>925.8</v>
      </c>
      <c r="AB131" s="3352">
        <v>1</v>
      </c>
      <c r="AC131" s="2363">
        <v>-85</v>
      </c>
      <c r="AD131" s="2363"/>
      <c r="AE131" s="2363"/>
      <c r="AF131" s="2363"/>
      <c r="AG131" s="2363"/>
      <c r="AH131" s="2363"/>
      <c r="AI131" s="2363"/>
      <c r="AJ131" s="2363"/>
      <c r="AK131" s="2363"/>
      <c r="AL131" s="2363"/>
      <c r="AM131" s="2363"/>
      <c r="AN131" s="2363">
        <v>3</v>
      </c>
      <c r="AO131" s="2363">
        <v>0</v>
      </c>
      <c r="AP131" s="2363">
        <v>1</v>
      </c>
      <c r="AQ131" s="2363"/>
      <c r="AR131" s="2363"/>
      <c r="AS131" s="2363"/>
      <c r="AT131" s="2363"/>
      <c r="AU131" s="2363"/>
      <c r="AV131" s="2363" t="s">
        <v>158</v>
      </c>
      <c r="AW131" s="2363">
        <v>0.93300000000000005</v>
      </c>
      <c r="AX131" s="2363">
        <v>2.8140000000000001E-3</v>
      </c>
      <c r="AY131" s="2363">
        <v>0.47</v>
      </c>
      <c r="AZ131" s="2364">
        <v>7.9800000000000002E-5</v>
      </c>
      <c r="BA131" s="2363">
        <v>73.099999999999994</v>
      </c>
      <c r="BB131" s="2363">
        <v>0.46112999999999998</v>
      </c>
      <c r="BC131" s="2363">
        <v>8.6899999999999998E-4</v>
      </c>
      <c r="BD131" s="2363">
        <v>9.7334999999999994</v>
      </c>
      <c r="BE131" s="2363">
        <v>1665.21</v>
      </c>
      <c r="BF131" s="2363">
        <v>16.55</v>
      </c>
      <c r="BG131" s="2363"/>
      <c r="BH131" s="2363"/>
      <c r="BI131" s="2363"/>
      <c r="BJ131" s="2363"/>
      <c r="BK131" s="2363"/>
      <c r="BL131" s="2363"/>
      <c r="BM131" s="2363"/>
      <c r="BN131" s="2363"/>
      <c r="BO131" s="2363"/>
      <c r="BP131" s="2363"/>
    </row>
    <row r="132" spans="1:68" ht="12.75" customHeight="1" x14ac:dyDescent="0.25">
      <c r="A132" s="3355" t="s">
        <v>4260</v>
      </c>
      <c r="B132" s="2363"/>
      <c r="C132" s="2363" t="s">
        <v>842</v>
      </c>
      <c r="D132" s="2363">
        <v>0.1</v>
      </c>
      <c r="E132" s="2363"/>
      <c r="F132" s="2365" t="s">
        <v>2946</v>
      </c>
      <c r="G132" s="2363" t="s">
        <v>982</v>
      </c>
      <c r="H132" s="2363"/>
      <c r="I132" s="2363"/>
      <c r="J132" s="2363"/>
      <c r="K132" s="2363">
        <v>0.9</v>
      </c>
      <c r="L132" s="2363"/>
      <c r="M132" s="2363"/>
      <c r="N132" s="2363"/>
      <c r="O132" s="2363"/>
      <c r="P132" s="2363"/>
      <c r="Q132" s="2363"/>
      <c r="R132" s="2363"/>
      <c r="S132" s="2363"/>
      <c r="T132" s="2363"/>
      <c r="U132" s="2363"/>
      <c r="V132" s="2363"/>
      <c r="W132" s="2363"/>
      <c r="X132" s="2363"/>
      <c r="Y132" s="2559"/>
      <c r="Z132" s="2366"/>
      <c r="AA132" s="2366"/>
      <c r="AB132" s="2363"/>
      <c r="AC132" s="2363">
        <v>101</v>
      </c>
      <c r="AD132" s="2363">
        <v>-15</v>
      </c>
      <c r="AE132" s="2363"/>
      <c r="AF132" s="2363"/>
      <c r="AG132" s="2363"/>
      <c r="AH132" s="2363"/>
      <c r="AI132" s="2363"/>
      <c r="AJ132" s="2363"/>
      <c r="AK132" s="2363"/>
      <c r="AL132" s="2363"/>
      <c r="AM132" s="2363"/>
      <c r="AN132" s="2363">
        <v>3</v>
      </c>
      <c r="AO132" s="2363">
        <v>0</v>
      </c>
      <c r="AP132" s="2363">
        <v>1</v>
      </c>
      <c r="AQ132" s="2363"/>
      <c r="AR132" s="2363"/>
      <c r="AS132" s="2363" t="s">
        <v>1514</v>
      </c>
      <c r="AT132" s="2363"/>
      <c r="AU132" s="2363"/>
      <c r="AV132" s="2363" t="s">
        <v>158</v>
      </c>
      <c r="AW132" s="2363"/>
      <c r="AX132" s="2363"/>
      <c r="AY132" s="2363"/>
      <c r="AZ132" s="2364"/>
      <c r="BA132" s="2363"/>
      <c r="BB132" s="2363"/>
      <c r="BC132" s="2363"/>
      <c r="BD132" s="2363"/>
      <c r="BE132" s="2363"/>
      <c r="BF132" s="2363"/>
      <c r="BG132" s="2363"/>
      <c r="BH132" s="2363"/>
      <c r="BI132" s="2363"/>
      <c r="BJ132" s="2363"/>
      <c r="BK132" s="2363"/>
      <c r="BL132" s="2363"/>
      <c r="BM132" s="2363"/>
      <c r="BN132" s="2363"/>
      <c r="BO132" s="2363"/>
      <c r="BP132" s="2363"/>
    </row>
    <row r="133" spans="1:68" ht="12.75" customHeight="1" x14ac:dyDescent="0.25">
      <c r="A133" s="3355" t="s">
        <v>4261</v>
      </c>
      <c r="B133" s="2363"/>
      <c r="C133" s="2363" t="s">
        <v>842</v>
      </c>
      <c r="D133" s="2363">
        <v>0.32</v>
      </c>
      <c r="E133" s="2363"/>
      <c r="F133" s="2365" t="s">
        <v>2946</v>
      </c>
      <c r="G133" s="2363" t="s">
        <v>982</v>
      </c>
      <c r="H133" s="2363"/>
      <c r="I133" s="2363"/>
      <c r="J133" s="2363"/>
      <c r="K133" s="2363">
        <v>0.68</v>
      </c>
      <c r="L133" s="2363"/>
      <c r="M133" s="2363"/>
      <c r="N133" s="2363"/>
      <c r="O133" s="2363"/>
      <c r="P133" s="2363"/>
      <c r="Q133" s="2363"/>
      <c r="R133" s="2363"/>
      <c r="S133" s="2363"/>
      <c r="T133" s="2363"/>
      <c r="U133" s="2363"/>
      <c r="V133" s="2363"/>
      <c r="W133" s="2363"/>
      <c r="X133" s="2363"/>
      <c r="Y133" s="2559"/>
      <c r="Z133" s="2366"/>
      <c r="AA133" s="2366"/>
      <c r="AB133" s="2363"/>
      <c r="AC133" s="2363">
        <v>81</v>
      </c>
      <c r="AD133" s="2363">
        <v>-40</v>
      </c>
      <c r="AE133" s="2363"/>
      <c r="AF133" s="2363"/>
      <c r="AG133" s="2363"/>
      <c r="AH133" s="2363"/>
      <c r="AI133" s="2363"/>
      <c r="AJ133" s="2363"/>
      <c r="AK133" s="2363"/>
      <c r="AL133" s="2363"/>
      <c r="AM133" s="2363"/>
      <c r="AN133" s="2363">
        <v>3</v>
      </c>
      <c r="AO133" s="2363">
        <v>0</v>
      </c>
      <c r="AP133" s="2363">
        <v>0</v>
      </c>
      <c r="AQ133" s="2363"/>
      <c r="AR133" s="2363"/>
      <c r="AS133" s="2363" t="s">
        <v>1514</v>
      </c>
      <c r="AT133" s="2363"/>
      <c r="AU133" s="2363"/>
      <c r="AV133" s="2363" t="s">
        <v>158</v>
      </c>
      <c r="AW133" s="2363"/>
      <c r="AX133" s="2363"/>
      <c r="AY133" s="2363"/>
      <c r="AZ133" s="2364"/>
      <c r="BA133" s="2363"/>
      <c r="BB133" s="2363"/>
      <c r="BC133" s="2363"/>
      <c r="BD133" s="2363"/>
      <c r="BE133" s="2363"/>
      <c r="BF133" s="2363"/>
      <c r="BG133" s="2363"/>
      <c r="BH133" s="2363"/>
      <c r="BI133" s="2363"/>
      <c r="BJ133" s="2363"/>
      <c r="BK133" s="2363"/>
      <c r="BL133" s="2363"/>
      <c r="BM133" s="2363"/>
      <c r="BN133" s="2363"/>
      <c r="BO133" s="2363"/>
      <c r="BP133" s="2363"/>
    </row>
    <row r="134" spans="1:68" ht="12.75" customHeight="1" x14ac:dyDescent="0.25">
      <c r="A134" s="3367" t="s">
        <v>2946</v>
      </c>
      <c r="B134" s="2363"/>
      <c r="C134" s="2363" t="s">
        <v>842</v>
      </c>
      <c r="D134" s="2363">
        <v>1</v>
      </c>
      <c r="E134" s="2363" t="s">
        <v>2951</v>
      </c>
      <c r="F134" s="2365"/>
      <c r="G134" s="2363"/>
      <c r="H134" s="2363"/>
      <c r="I134" s="2363"/>
      <c r="J134" s="2363"/>
      <c r="K134" s="2363"/>
      <c r="L134" s="2363"/>
      <c r="M134" s="2363"/>
      <c r="N134" s="2363"/>
      <c r="O134" s="2363"/>
      <c r="P134" s="2363"/>
      <c r="Q134" s="2363"/>
      <c r="R134" s="2363"/>
      <c r="S134" s="2363"/>
      <c r="T134" s="2363">
        <v>36.46</v>
      </c>
      <c r="U134" s="2363">
        <v>3</v>
      </c>
      <c r="V134" s="2363">
        <v>20</v>
      </c>
      <c r="W134" s="2363">
        <v>150</v>
      </c>
      <c r="X134" s="2363" t="s">
        <v>4259</v>
      </c>
      <c r="Y134" s="2559"/>
      <c r="Z134" s="2366">
        <v>288.8</v>
      </c>
      <c r="AA134" s="2366">
        <v>925.8</v>
      </c>
      <c r="AB134" s="3352">
        <v>1</v>
      </c>
      <c r="AC134" s="2363">
        <v>25</v>
      </c>
      <c r="AD134" s="2363"/>
      <c r="AE134" s="2363"/>
      <c r="AF134" s="2363"/>
      <c r="AG134" s="2363"/>
      <c r="AH134" s="2363"/>
      <c r="AI134" s="2363"/>
      <c r="AJ134" s="2363"/>
      <c r="AK134" s="2363"/>
      <c r="AL134" s="2363"/>
      <c r="AM134" s="2363"/>
      <c r="AN134" s="2363">
        <v>3</v>
      </c>
      <c r="AO134" s="2363">
        <v>0</v>
      </c>
      <c r="AP134" s="2363">
        <v>1</v>
      </c>
      <c r="AQ134" s="2363"/>
      <c r="AR134" s="2363"/>
      <c r="AS134" s="2363" t="s">
        <v>1514</v>
      </c>
      <c r="AT134" s="2363"/>
      <c r="AU134" s="2363"/>
      <c r="AV134" s="2363" t="s">
        <v>158</v>
      </c>
      <c r="AW134" s="2363">
        <v>1.7</v>
      </c>
      <c r="AX134" s="2363">
        <v>-2E-3</v>
      </c>
      <c r="AY134" s="2363">
        <v>0.47</v>
      </c>
      <c r="AZ134" s="2364">
        <v>7.9800000000000002E-5</v>
      </c>
      <c r="BA134" s="2363">
        <v>73.099999999999994</v>
      </c>
      <c r="BB134" s="2363">
        <v>0.46112999999999998</v>
      </c>
      <c r="BC134" s="2363">
        <v>8.6899999999999998E-4</v>
      </c>
      <c r="BD134" s="3388">
        <f>IF(Chemical="Hydrogen Chloride - 10% aqueous",9.35,IF(Chemical="Hydrogen Chloride - 32% aqueous",15.62,6.5+28.5*Fract_Aq))</f>
        <v>6.5</v>
      </c>
      <c r="BE134" s="2363">
        <v>4200</v>
      </c>
      <c r="BF134" s="2363">
        <v>43.15</v>
      </c>
      <c r="BG134" s="2363"/>
      <c r="BH134" s="2363"/>
      <c r="BI134" s="2363"/>
      <c r="BJ134" s="2363"/>
      <c r="BK134" s="2363"/>
      <c r="BL134" s="2363"/>
      <c r="BM134" s="2363"/>
      <c r="BN134" s="2363"/>
      <c r="BO134" s="2363"/>
      <c r="BP134" s="2363"/>
    </row>
    <row r="135" spans="1:68" ht="12.75" customHeight="1" x14ac:dyDescent="0.25">
      <c r="A135" s="3343" t="s">
        <v>1660</v>
      </c>
      <c r="B135" s="2063" t="s">
        <v>73</v>
      </c>
      <c r="C135" s="2063" t="s">
        <v>842</v>
      </c>
      <c r="D135" s="2063">
        <v>1</v>
      </c>
      <c r="E135" s="2063"/>
      <c r="F135" s="3343" t="s">
        <v>1660</v>
      </c>
      <c r="G135" s="2063"/>
      <c r="H135" s="2063"/>
      <c r="I135" s="2063"/>
      <c r="J135" s="2063"/>
      <c r="K135" s="2063"/>
      <c r="L135" s="2063"/>
      <c r="M135" s="2063"/>
      <c r="N135" s="2063"/>
      <c r="O135" s="2063"/>
      <c r="P135" s="2063"/>
      <c r="Q135" s="2063"/>
      <c r="R135" s="2063"/>
      <c r="S135" s="2063"/>
      <c r="T135" s="2063">
        <v>27.03</v>
      </c>
      <c r="U135" s="2063"/>
      <c r="V135" s="2063">
        <v>10</v>
      </c>
      <c r="W135" s="2063">
        <v>25</v>
      </c>
      <c r="X135" s="2199" t="s">
        <v>4259</v>
      </c>
      <c r="Y135" s="2559" t="s">
        <v>289</v>
      </c>
      <c r="Z135" s="2080">
        <v>99.2</v>
      </c>
      <c r="AA135" s="2080">
        <v>170.5</v>
      </c>
      <c r="AB135" s="3330">
        <v>1.43</v>
      </c>
      <c r="AC135" s="2063">
        <v>25.7</v>
      </c>
      <c r="AD135" s="2063">
        <v>-13.3</v>
      </c>
      <c r="AE135" s="2063"/>
      <c r="AF135" s="2063"/>
      <c r="AG135" s="2063"/>
      <c r="AH135" s="2063"/>
      <c r="AI135" s="2063"/>
      <c r="AJ135" s="2063">
        <v>-18</v>
      </c>
      <c r="AK135" s="2063">
        <v>5.6</v>
      </c>
      <c r="AL135" s="2063">
        <v>40</v>
      </c>
      <c r="AM135" s="2063">
        <v>538</v>
      </c>
      <c r="AN135" s="2063">
        <v>4</v>
      </c>
      <c r="AO135" s="2063">
        <v>4</v>
      </c>
      <c r="AP135" s="2063">
        <v>2</v>
      </c>
      <c r="AQ135" s="2063" t="s">
        <v>141</v>
      </c>
      <c r="AR135" s="2063" t="s">
        <v>138</v>
      </c>
      <c r="AS135" s="2063"/>
      <c r="AT135" s="2063" t="s">
        <v>1169</v>
      </c>
      <c r="AU135" s="2063"/>
      <c r="AV135" s="2063" t="s">
        <v>158</v>
      </c>
      <c r="AW135" s="2063">
        <v>0.70799999999999996</v>
      </c>
      <c r="AX135" s="2063">
        <v>1.472E-3</v>
      </c>
      <c r="AY135" s="2063">
        <v>0.75800000000000001</v>
      </c>
      <c r="AZ135" s="2064">
        <v>3.1110000000000003E-4</v>
      </c>
      <c r="BA135" s="2063">
        <v>251</v>
      </c>
      <c r="BB135" s="2063">
        <v>0.95555599999999996</v>
      </c>
      <c r="BC135" s="2063">
        <v>5.5560000000000002E-3</v>
      </c>
      <c r="BD135" s="2063">
        <v>11.108599999999999</v>
      </c>
      <c r="BE135" s="2063">
        <v>3278.4</v>
      </c>
      <c r="BF135" s="2063">
        <v>3.61</v>
      </c>
      <c r="BG135" s="2063"/>
      <c r="BH135" s="2063"/>
      <c r="BI135" s="2063"/>
      <c r="BJ135" s="2063"/>
      <c r="BK135" s="2063"/>
      <c r="BL135" s="2063"/>
      <c r="BM135" s="2063"/>
      <c r="BN135" s="2063"/>
      <c r="BO135" s="2063"/>
      <c r="BP135" s="2063"/>
    </row>
    <row r="136" spans="1:68" ht="12.75" customHeight="1" x14ac:dyDescent="0.25">
      <c r="A136" s="2062" t="s">
        <v>1661</v>
      </c>
      <c r="B136" s="3350" t="s">
        <v>216</v>
      </c>
      <c r="C136" s="2063" t="s">
        <v>842</v>
      </c>
      <c r="D136" s="2063">
        <v>1</v>
      </c>
      <c r="E136" s="2063"/>
      <c r="F136" s="2062" t="s">
        <v>1661</v>
      </c>
      <c r="G136" s="2063"/>
      <c r="H136" s="2063"/>
      <c r="I136" s="2063"/>
      <c r="J136" s="2063"/>
      <c r="K136" s="2063"/>
      <c r="L136" s="2063"/>
      <c r="M136" s="2063"/>
      <c r="N136" s="2063"/>
      <c r="O136" s="2063"/>
      <c r="P136" s="2063"/>
      <c r="Q136" s="2063"/>
      <c r="R136" s="2063"/>
      <c r="S136" s="2063"/>
      <c r="T136" s="2063">
        <v>20.010000000000002</v>
      </c>
      <c r="U136" s="2063">
        <v>2</v>
      </c>
      <c r="V136" s="2063">
        <v>20</v>
      </c>
      <c r="W136" s="2063">
        <v>50</v>
      </c>
      <c r="X136" s="2199" t="s">
        <v>4259</v>
      </c>
      <c r="Y136" s="2559" t="s">
        <v>289</v>
      </c>
      <c r="Z136" s="2080">
        <v>97.8</v>
      </c>
      <c r="AA136" s="2080">
        <v>196.1</v>
      </c>
      <c r="AB136" s="2063">
        <v>1</v>
      </c>
      <c r="AC136" s="2063">
        <v>19</v>
      </c>
      <c r="AD136" s="2063">
        <v>-117.7</v>
      </c>
      <c r="AE136" s="2063"/>
      <c r="AF136" s="2063"/>
      <c r="AG136" s="2063"/>
      <c r="AH136" s="2063"/>
      <c r="AI136" s="2063"/>
      <c r="AJ136" s="2063"/>
      <c r="AK136" s="2063"/>
      <c r="AL136" s="2063"/>
      <c r="AM136" s="2063"/>
      <c r="AN136" s="2063">
        <v>4</v>
      </c>
      <c r="AO136" s="2063">
        <v>0</v>
      </c>
      <c r="AP136" s="2063">
        <v>1</v>
      </c>
      <c r="AQ136" s="2063"/>
      <c r="AR136" s="2063"/>
      <c r="AS136" s="2063" t="s">
        <v>1169</v>
      </c>
      <c r="AT136" s="2063"/>
      <c r="AU136" s="2063"/>
      <c r="AV136" s="2063"/>
      <c r="AW136" s="2063">
        <v>1.01</v>
      </c>
      <c r="AX136" s="2063">
        <v>2.1199999999999999E-3</v>
      </c>
      <c r="AY136" s="2063">
        <v>0.57999999999999996</v>
      </c>
      <c r="AZ136" s="2064">
        <v>3.8800000000000002E-3</v>
      </c>
      <c r="BA136" s="2063">
        <v>80</v>
      </c>
      <c r="BB136" s="2063">
        <v>-0.43</v>
      </c>
      <c r="BC136" s="2063"/>
      <c r="BD136" s="2063">
        <v>10.571999999999999</v>
      </c>
      <c r="BE136" s="2063">
        <v>3092.3</v>
      </c>
      <c r="BF136" s="2063"/>
      <c r="BG136" s="2063"/>
      <c r="BH136" s="2063"/>
      <c r="BI136" s="2063"/>
      <c r="BJ136" s="2063"/>
      <c r="BK136" s="2063"/>
      <c r="BL136" s="2063"/>
      <c r="BM136" s="2063"/>
      <c r="BN136" s="2063"/>
      <c r="BO136" s="2063"/>
      <c r="BP136" s="2063"/>
    </row>
    <row r="137" spans="1:68" ht="12.75" customHeight="1" x14ac:dyDescent="0.25">
      <c r="A137" s="2062" t="s">
        <v>1662</v>
      </c>
      <c r="B137" s="3350" t="s">
        <v>217</v>
      </c>
      <c r="C137" s="2063" t="s">
        <v>842</v>
      </c>
      <c r="D137" s="2063">
        <v>1</v>
      </c>
      <c r="E137" s="2063"/>
      <c r="F137" s="2062" t="s">
        <v>1662</v>
      </c>
      <c r="G137" s="2063"/>
      <c r="H137" s="2063"/>
      <c r="I137" s="2063"/>
      <c r="J137" s="2063"/>
      <c r="K137" s="2063"/>
      <c r="L137" s="2063"/>
      <c r="M137" s="2063"/>
      <c r="N137" s="2063"/>
      <c r="O137" s="2063"/>
      <c r="P137" s="2063"/>
      <c r="Q137" s="2063"/>
      <c r="R137" s="2063"/>
      <c r="S137" s="2063"/>
      <c r="T137" s="2063">
        <v>34.03</v>
      </c>
      <c r="U137" s="2199">
        <v>10</v>
      </c>
      <c r="V137" s="2199">
        <v>50</v>
      </c>
      <c r="W137" s="2199">
        <v>100</v>
      </c>
      <c r="X137" s="2199" t="s">
        <v>4259</v>
      </c>
      <c r="Y137" s="2559"/>
      <c r="Z137" s="2080"/>
      <c r="AA137" s="2080"/>
      <c r="AB137" s="2063"/>
      <c r="AC137" s="2063">
        <v>150.19999999999999</v>
      </c>
      <c r="AD137" s="2063">
        <v>-0.4</v>
      </c>
      <c r="AE137" s="2063"/>
      <c r="AF137" s="2063"/>
      <c r="AG137" s="2063"/>
      <c r="AH137" s="2063"/>
      <c r="AI137" s="2063"/>
      <c r="AJ137" s="2063"/>
      <c r="AK137" s="2063"/>
      <c r="AL137" s="2063"/>
      <c r="AM137" s="2063"/>
      <c r="AN137" s="2063">
        <v>3</v>
      </c>
      <c r="AO137" s="2063">
        <v>0</v>
      </c>
      <c r="AP137" s="2063">
        <v>3</v>
      </c>
      <c r="AQ137" s="2063"/>
      <c r="AR137" s="2063"/>
      <c r="AS137" s="2063"/>
      <c r="AT137" s="2063"/>
      <c r="AU137" s="2063"/>
      <c r="AV137" s="2063"/>
      <c r="AW137" s="2063">
        <v>1.474</v>
      </c>
      <c r="AX137" s="2063">
        <v>1.2650000000000001E-3</v>
      </c>
      <c r="AY137" s="2063">
        <v>0.63400000000000001</v>
      </c>
      <c r="AZ137" s="2064">
        <v>1.9799999999999999E-4</v>
      </c>
      <c r="BA137" s="2063">
        <v>375.3</v>
      </c>
      <c r="BB137" s="2063">
        <v>0.31495000000000001</v>
      </c>
      <c r="BC137" s="2063">
        <v>1.45E-4</v>
      </c>
      <c r="BD137" s="2063">
        <v>11.831099999999999</v>
      </c>
      <c r="BE137" s="2063">
        <v>4439.17</v>
      </c>
      <c r="BF137" s="2063">
        <v>49.02</v>
      </c>
      <c r="BG137" s="2063"/>
      <c r="BH137" s="2063"/>
      <c r="BI137" s="2063"/>
      <c r="BJ137" s="2063"/>
      <c r="BK137" s="2063"/>
      <c r="BL137" s="2063"/>
      <c r="BM137" s="2063"/>
      <c r="BN137" s="2063"/>
      <c r="BO137" s="2063"/>
      <c r="BP137" s="2063"/>
    </row>
    <row r="138" spans="1:68" ht="12.75" customHeight="1" x14ac:dyDescent="0.25">
      <c r="A138" s="3343" t="s">
        <v>286</v>
      </c>
      <c r="B138" s="3350" t="s">
        <v>218</v>
      </c>
      <c r="C138" s="2063" t="s">
        <v>842</v>
      </c>
      <c r="D138" s="2063">
        <v>1</v>
      </c>
      <c r="E138" s="2063"/>
      <c r="F138" s="3343" t="s">
        <v>286</v>
      </c>
      <c r="G138" s="2063"/>
      <c r="H138" s="2063"/>
      <c r="I138" s="2063"/>
      <c r="J138" s="2063"/>
      <c r="K138" s="2063"/>
      <c r="L138" s="2063"/>
      <c r="M138" s="2063"/>
      <c r="N138" s="2063"/>
      <c r="O138" s="2063"/>
      <c r="P138" s="2063"/>
      <c r="Q138" s="2063"/>
      <c r="R138" s="2063"/>
      <c r="S138" s="2063"/>
      <c r="T138" s="2063">
        <v>34.08</v>
      </c>
      <c r="U138" s="2063">
        <v>0.1</v>
      </c>
      <c r="V138" s="2063">
        <v>30</v>
      </c>
      <c r="W138" s="2063">
        <v>100</v>
      </c>
      <c r="X138" s="2199" t="s">
        <v>4259</v>
      </c>
      <c r="Y138" s="2559" t="s">
        <v>289</v>
      </c>
      <c r="Z138" s="2080">
        <v>157.9</v>
      </c>
      <c r="AA138" s="2080">
        <v>271.39999999999998</v>
      </c>
      <c r="AB138" s="2063">
        <v>1.43</v>
      </c>
      <c r="AC138" s="2063">
        <v>-60.3</v>
      </c>
      <c r="AD138" s="2063">
        <v>-85.6</v>
      </c>
      <c r="AE138" s="2063"/>
      <c r="AF138" s="2063"/>
      <c r="AG138" s="2063"/>
      <c r="AH138" s="2063"/>
      <c r="AI138" s="2063"/>
      <c r="AJ138" s="2063"/>
      <c r="AK138" s="2063">
        <v>4</v>
      </c>
      <c r="AL138" s="2063"/>
      <c r="AM138" s="2063"/>
      <c r="AN138" s="2063">
        <v>4</v>
      </c>
      <c r="AO138" s="2063">
        <v>4</v>
      </c>
      <c r="AP138" s="2063">
        <v>0</v>
      </c>
      <c r="AQ138" s="2063" t="s">
        <v>139</v>
      </c>
      <c r="AR138" s="2063" t="s">
        <v>138</v>
      </c>
      <c r="AS138" s="2063"/>
      <c r="AT138" s="2063" t="s">
        <v>1169</v>
      </c>
      <c r="AU138" s="2063"/>
      <c r="AV138" s="2063" t="s">
        <v>159</v>
      </c>
      <c r="AW138" s="2063">
        <v>0.81499999999999995</v>
      </c>
      <c r="AX138" s="2063">
        <v>1.753E-3</v>
      </c>
      <c r="AY138" s="2063">
        <v>0.51300000000000001</v>
      </c>
      <c r="AZ138" s="2064">
        <v>7.7329999999999999E-4</v>
      </c>
      <c r="BA138" s="2063">
        <v>110.1</v>
      </c>
      <c r="BB138" s="2063">
        <v>0.404889</v>
      </c>
      <c r="BC138" s="2063">
        <v>9.4200000000000002E-4</v>
      </c>
      <c r="BD138" s="2063">
        <v>9.8826000000000001</v>
      </c>
      <c r="BE138" s="2063">
        <v>1940.4</v>
      </c>
      <c r="BF138" s="2063">
        <v>16.399999999999999</v>
      </c>
      <c r="BG138" s="2063"/>
      <c r="BH138" s="2063"/>
      <c r="BI138" s="2063"/>
      <c r="BJ138" s="2063"/>
      <c r="BK138" s="2063"/>
      <c r="BL138" s="2063"/>
      <c r="BM138" s="2063"/>
      <c r="BN138" s="2063"/>
      <c r="BO138" s="2063"/>
      <c r="BP138" s="2063"/>
    </row>
    <row r="139" spans="1:68" ht="12.75" customHeight="1" x14ac:dyDescent="0.25">
      <c r="A139" s="3343" t="s">
        <v>219</v>
      </c>
      <c r="B139" s="2063" t="s">
        <v>220</v>
      </c>
      <c r="C139" s="2063" t="s">
        <v>842</v>
      </c>
      <c r="D139" s="2063">
        <v>1</v>
      </c>
      <c r="E139" s="2063"/>
      <c r="F139" s="3343" t="s">
        <v>219</v>
      </c>
      <c r="G139" s="2063"/>
      <c r="H139" s="2063"/>
      <c r="I139" s="2063"/>
      <c r="J139" s="2063"/>
      <c r="K139" s="2063"/>
      <c r="L139" s="2063"/>
      <c r="M139" s="2063"/>
      <c r="N139" s="2063"/>
      <c r="O139" s="2063"/>
      <c r="P139" s="2063"/>
      <c r="Q139" s="2063"/>
      <c r="R139" s="2063"/>
      <c r="S139" s="2063"/>
      <c r="T139" s="2063">
        <v>58.1</v>
      </c>
      <c r="U139" s="2075">
        <v>800</v>
      </c>
      <c r="V139" s="2075">
        <v>800</v>
      </c>
      <c r="W139" s="2075">
        <v>4000</v>
      </c>
      <c r="X139" s="2199" t="s">
        <v>4459</v>
      </c>
      <c r="Y139" s="2559"/>
      <c r="Z139" s="2080"/>
      <c r="AA139" s="2080"/>
      <c r="AB139" s="2063"/>
      <c r="AC139" s="2063">
        <v>-11.8</v>
      </c>
      <c r="AD139" s="2063">
        <v>-159.4</v>
      </c>
      <c r="AE139" s="2063"/>
      <c r="AF139" s="2063"/>
      <c r="AG139" s="2063"/>
      <c r="AH139" s="2063"/>
      <c r="AI139" s="2063"/>
      <c r="AJ139" s="2063">
        <v>-81.099999999999994</v>
      </c>
      <c r="AK139" s="2063">
        <v>1.6</v>
      </c>
      <c r="AL139" s="2063">
        <v>8.4</v>
      </c>
      <c r="AM139" s="2063">
        <v>460</v>
      </c>
      <c r="AN139" s="2063">
        <v>0</v>
      </c>
      <c r="AO139" s="2063">
        <v>4</v>
      </c>
      <c r="AP139" s="2063">
        <v>0</v>
      </c>
      <c r="AQ139" s="2063" t="s">
        <v>139</v>
      </c>
      <c r="AR139" s="2063" t="s">
        <v>138</v>
      </c>
      <c r="AS139" s="2063"/>
      <c r="AT139" s="2063"/>
      <c r="AU139" s="2063"/>
      <c r="AV139" s="2063"/>
      <c r="AW139" s="2063">
        <v>0.56499999999999995</v>
      </c>
      <c r="AX139" s="2063">
        <v>1.2700000000000001E-3</v>
      </c>
      <c r="AY139" s="2063">
        <v>0.60499999999999998</v>
      </c>
      <c r="AZ139" s="2064">
        <v>1.7899999999999999E-3</v>
      </c>
      <c r="BA139" s="2063">
        <v>84.3</v>
      </c>
      <c r="BB139" s="2063">
        <v>0.27500000000000002</v>
      </c>
      <c r="BC139" s="2063">
        <v>6.8000000000000005E-4</v>
      </c>
      <c r="BD139" s="2063">
        <v>9.5754000000000001</v>
      </c>
      <c r="BE139" s="2063">
        <v>2294.54</v>
      </c>
      <c r="BF139" s="2063">
        <v>21.72</v>
      </c>
      <c r="BG139" s="2063"/>
      <c r="BH139" s="2063"/>
      <c r="BI139" s="2063"/>
      <c r="BJ139" s="2063"/>
      <c r="BK139" s="2063"/>
      <c r="BL139" s="2063"/>
      <c r="BM139" s="2063"/>
      <c r="BN139" s="2063"/>
      <c r="BO139" s="2063"/>
      <c r="BP139" s="2063"/>
    </row>
    <row r="140" spans="1:68" ht="12.75" customHeight="1" x14ac:dyDescent="0.25">
      <c r="A140" s="3348" t="s">
        <v>221</v>
      </c>
      <c r="B140" s="2053" t="s">
        <v>222</v>
      </c>
      <c r="C140" s="2053" t="s">
        <v>842</v>
      </c>
      <c r="D140" s="2053">
        <v>1</v>
      </c>
      <c r="E140" s="2053"/>
      <c r="F140" s="3348" t="s">
        <v>221</v>
      </c>
      <c r="G140" s="2053"/>
      <c r="H140" s="2053"/>
      <c r="I140" s="2053"/>
      <c r="J140" s="2053"/>
      <c r="K140" s="2053"/>
      <c r="L140" s="2053"/>
      <c r="M140" s="2053"/>
      <c r="N140" s="2053"/>
      <c r="O140" s="2053"/>
      <c r="P140" s="2053"/>
      <c r="Q140" s="2053"/>
      <c r="R140" s="2053"/>
      <c r="S140" s="2053"/>
      <c r="T140" s="2053">
        <v>74.12</v>
      </c>
      <c r="U140" s="3358">
        <v>150</v>
      </c>
      <c r="V140" s="3358">
        <v>1300</v>
      </c>
      <c r="W140" s="3358">
        <v>8000</v>
      </c>
      <c r="X140" s="2199" t="s">
        <v>4459</v>
      </c>
      <c r="Y140" s="2559"/>
      <c r="Z140" s="2080"/>
      <c r="AA140" s="2080"/>
      <c r="AB140" s="2053"/>
      <c r="AC140" s="2053">
        <v>107.9</v>
      </c>
      <c r="AD140" s="2053">
        <v>-108</v>
      </c>
      <c r="AE140" s="2053"/>
      <c r="AF140" s="2053"/>
      <c r="AG140" s="2053"/>
      <c r="AH140" s="2053"/>
      <c r="AI140" s="2053"/>
      <c r="AJ140" s="2053">
        <v>28</v>
      </c>
      <c r="AK140" s="2053">
        <v>1.7</v>
      </c>
      <c r="AL140" s="2053"/>
      <c r="AM140" s="2053"/>
      <c r="AN140" s="2053">
        <v>1</v>
      </c>
      <c r="AO140" s="2053">
        <v>3</v>
      </c>
      <c r="AP140" s="2053">
        <v>0</v>
      </c>
      <c r="AQ140" s="2053"/>
      <c r="AR140" s="2053"/>
      <c r="AS140" s="2053"/>
      <c r="AT140" s="2053"/>
      <c r="AU140" s="2053"/>
      <c r="AV140" s="2053" t="s">
        <v>158</v>
      </c>
      <c r="AW140" s="2053">
        <v>0.81499999999999995</v>
      </c>
      <c r="AX140" s="2053">
        <v>1.041E-3</v>
      </c>
      <c r="AY140" s="2053">
        <v>0.55600000000000005</v>
      </c>
      <c r="AZ140" s="3323">
        <v>2.1364000000000001E-3</v>
      </c>
      <c r="BA140" s="2053">
        <v>169.6</v>
      </c>
      <c r="BB140" s="2053">
        <v>0.209091</v>
      </c>
      <c r="BC140" s="2053">
        <v>1.0330000000000001E-3</v>
      </c>
      <c r="BD140" s="2053">
        <v>12.193899999999999</v>
      </c>
      <c r="BE140" s="2053">
        <v>4050.53</v>
      </c>
      <c r="BF140" s="2053">
        <v>50.93</v>
      </c>
      <c r="BG140" s="2053"/>
      <c r="BH140" s="2053"/>
      <c r="BI140" s="2053"/>
      <c r="BJ140" s="2053"/>
      <c r="BK140" s="2053"/>
      <c r="BL140" s="2053"/>
      <c r="BM140" s="2053"/>
      <c r="BN140" s="2053"/>
      <c r="BO140" s="2053"/>
      <c r="BP140" s="2053"/>
    </row>
    <row r="141" spans="1:68" ht="12.75" customHeight="1" x14ac:dyDescent="0.25">
      <c r="A141" s="3368" t="s">
        <v>945</v>
      </c>
      <c r="B141" s="3374" t="s">
        <v>223</v>
      </c>
      <c r="C141" s="2053" t="s">
        <v>842</v>
      </c>
      <c r="D141" s="2053">
        <v>1</v>
      </c>
      <c r="E141" s="2053"/>
      <c r="F141" s="3368" t="s">
        <v>945</v>
      </c>
      <c r="G141" s="2053"/>
      <c r="H141" s="2053"/>
      <c r="I141" s="2053"/>
      <c r="J141" s="2053"/>
      <c r="K141" s="2053"/>
      <c r="L141" s="2053"/>
      <c r="M141" s="2053"/>
      <c r="N141" s="2053"/>
      <c r="O141" s="2053"/>
      <c r="P141" s="2053"/>
      <c r="Q141" s="2053"/>
      <c r="R141" s="2053"/>
      <c r="S141" s="2053"/>
      <c r="T141" s="2053">
        <v>56.1</v>
      </c>
      <c r="U141" s="3358">
        <v>750</v>
      </c>
      <c r="V141" s="3358">
        <v>1800</v>
      </c>
      <c r="W141" s="3358">
        <v>11000</v>
      </c>
      <c r="X141" s="2199" t="s">
        <v>4459</v>
      </c>
      <c r="Y141" s="2559"/>
      <c r="Z141" s="2080"/>
      <c r="AA141" s="2080"/>
      <c r="AB141" s="2053"/>
      <c r="AC141" s="2053">
        <v>-6.9</v>
      </c>
      <c r="AD141" s="2053">
        <v>-140.4</v>
      </c>
      <c r="AE141" s="2053"/>
      <c r="AF141" s="2053"/>
      <c r="AG141" s="2053"/>
      <c r="AH141" s="2053"/>
      <c r="AI141" s="2053"/>
      <c r="AJ141" s="2053">
        <v>-76.099999999999994</v>
      </c>
      <c r="AK141" s="2053">
        <v>1.6</v>
      </c>
      <c r="AL141" s="2053"/>
      <c r="AM141" s="2053"/>
      <c r="AN141" s="2053">
        <v>1</v>
      </c>
      <c r="AO141" s="2053">
        <v>4</v>
      </c>
      <c r="AP141" s="2053">
        <v>0</v>
      </c>
      <c r="AQ141" s="2053" t="s">
        <v>139</v>
      </c>
      <c r="AR141" s="2053" t="s">
        <v>138</v>
      </c>
      <c r="AS141" s="2053"/>
      <c r="AT141" s="2053"/>
      <c r="AU141" s="2053"/>
      <c r="AV141" s="2053"/>
      <c r="AW141" s="2053">
        <v>0.61199999999999999</v>
      </c>
      <c r="AX141" s="2053">
        <v>1.1559999999999999E-3</v>
      </c>
      <c r="AY141" s="2053">
        <v>0.56699999999999995</v>
      </c>
      <c r="AZ141" s="3323">
        <v>1.1800000000000001E-3</v>
      </c>
      <c r="BA141" s="2053">
        <v>91.5</v>
      </c>
      <c r="BB141" s="2053">
        <v>0.26773999999999998</v>
      </c>
      <c r="BC141" s="2053">
        <v>4.6999999999999999E-4</v>
      </c>
      <c r="BD141" s="2053">
        <v>9.1601999999999997</v>
      </c>
      <c r="BE141" s="2053">
        <v>2141.6</v>
      </c>
      <c r="BF141" s="2053">
        <v>32.43</v>
      </c>
      <c r="BG141" s="2053"/>
      <c r="BH141" s="2053"/>
      <c r="BI141" s="2053"/>
      <c r="BJ141" s="2053"/>
      <c r="BK141" s="2053"/>
      <c r="BL141" s="2053"/>
      <c r="BM141" s="2053"/>
      <c r="BN141" s="2053"/>
      <c r="BO141" s="2053"/>
      <c r="BP141" s="2053"/>
    </row>
    <row r="142" spans="1:68" ht="12.75" customHeight="1" x14ac:dyDescent="0.25">
      <c r="A142" s="3289" t="s">
        <v>224</v>
      </c>
      <c r="B142" s="2047" t="s">
        <v>225</v>
      </c>
      <c r="C142" s="2047" t="s">
        <v>842</v>
      </c>
      <c r="D142" s="2047">
        <v>1</v>
      </c>
      <c r="E142" s="2047"/>
      <c r="F142" s="3289" t="s">
        <v>224</v>
      </c>
      <c r="G142" s="2047"/>
      <c r="H142" s="2047"/>
      <c r="I142" s="2047"/>
      <c r="J142" s="2047"/>
      <c r="K142" s="2047"/>
      <c r="L142" s="2047"/>
      <c r="M142" s="2047"/>
      <c r="N142" s="2047"/>
      <c r="O142" s="2047"/>
      <c r="P142" s="2047"/>
      <c r="Q142" s="2047"/>
      <c r="R142" s="2047"/>
      <c r="S142" s="2047"/>
      <c r="T142" s="2047">
        <v>116.16</v>
      </c>
      <c r="U142" s="3351">
        <v>440</v>
      </c>
      <c r="V142" s="3351">
        <v>1260</v>
      </c>
      <c r="W142" s="3351">
        <v>7500</v>
      </c>
      <c r="X142" s="2199" t="s">
        <v>4459</v>
      </c>
      <c r="Y142" s="2559"/>
      <c r="Z142" s="2080"/>
      <c r="AA142" s="2080"/>
      <c r="AB142" s="2047"/>
      <c r="AC142" s="2047">
        <v>116.8</v>
      </c>
      <c r="AD142" s="2047">
        <v>-98</v>
      </c>
      <c r="AE142" s="2047"/>
      <c r="AF142" s="2047"/>
      <c r="AG142" s="2047"/>
      <c r="AH142" s="2047"/>
      <c r="AI142" s="2047"/>
      <c r="AJ142" s="2047">
        <v>18</v>
      </c>
      <c r="AK142" s="2047">
        <v>1.3</v>
      </c>
      <c r="AL142" s="2047"/>
      <c r="AM142" s="2047"/>
      <c r="AN142" s="2047">
        <v>1</v>
      </c>
      <c r="AO142" s="2047">
        <v>3</v>
      </c>
      <c r="AP142" s="2047">
        <v>0</v>
      </c>
      <c r="AQ142" s="2047" t="s">
        <v>139</v>
      </c>
      <c r="AR142" s="2047" t="s">
        <v>138</v>
      </c>
      <c r="AS142" s="2047"/>
      <c r="AT142" s="2047"/>
      <c r="AU142" s="2047"/>
      <c r="AV142" s="2047" t="s">
        <v>159</v>
      </c>
      <c r="AW142" s="2047">
        <v>0.88900000000000001</v>
      </c>
      <c r="AX142" s="2047">
        <v>1.1299999999999999E-3</v>
      </c>
      <c r="AY142" s="2047">
        <v>0.435</v>
      </c>
      <c r="AZ142" s="3260">
        <v>9.9130000000000008E-4</v>
      </c>
      <c r="BA142" s="2047">
        <v>91.3</v>
      </c>
      <c r="BB142" s="2047">
        <v>0.134102</v>
      </c>
      <c r="BC142" s="2047">
        <v>2.1900000000000001E-4</v>
      </c>
      <c r="BD142" s="2047">
        <v>10.2384</v>
      </c>
      <c r="BE142" s="2047">
        <v>3526.94</v>
      </c>
      <c r="BF142" s="2047">
        <v>46.93</v>
      </c>
      <c r="BG142" s="2047"/>
      <c r="BH142" s="2047"/>
      <c r="BI142" s="2047"/>
      <c r="BJ142" s="2047"/>
      <c r="BK142" s="2047"/>
      <c r="BL142" s="2047"/>
      <c r="BM142" s="2047"/>
      <c r="BN142" s="2047"/>
      <c r="BO142" s="2047"/>
      <c r="BP142" s="2047"/>
    </row>
    <row r="143" spans="1:68" ht="12.75" customHeight="1" x14ac:dyDescent="0.25">
      <c r="A143" s="3289" t="s">
        <v>226</v>
      </c>
      <c r="B143" s="2047" t="s">
        <v>223</v>
      </c>
      <c r="C143" s="2047" t="s">
        <v>842</v>
      </c>
      <c r="D143" s="2047">
        <v>1</v>
      </c>
      <c r="E143" s="2047"/>
      <c r="F143" s="3289" t="s">
        <v>226</v>
      </c>
      <c r="G143" s="2047"/>
      <c r="H143" s="2047"/>
      <c r="I143" s="2047"/>
      <c r="J143" s="2047"/>
      <c r="K143" s="2047"/>
      <c r="L143" s="2047"/>
      <c r="M143" s="2047"/>
      <c r="N143" s="2047"/>
      <c r="O143" s="2047"/>
      <c r="P143" s="2047"/>
      <c r="Q143" s="2047"/>
      <c r="R143" s="2047"/>
      <c r="S143" s="2047"/>
      <c r="T143" s="2047">
        <v>56.11</v>
      </c>
      <c r="U143" s="2187">
        <v>750</v>
      </c>
      <c r="V143" s="2187">
        <v>2500</v>
      </c>
      <c r="W143" s="2187">
        <v>11000</v>
      </c>
      <c r="X143" s="2199" t="s">
        <v>4459</v>
      </c>
      <c r="Y143" s="2559"/>
      <c r="Z143" s="2080"/>
      <c r="AA143" s="2080"/>
      <c r="AB143" s="2047"/>
      <c r="AC143" s="2047">
        <v>-6.9</v>
      </c>
      <c r="AD143" s="2047">
        <v>-140.4</v>
      </c>
      <c r="AE143" s="2047"/>
      <c r="AF143" s="2047"/>
      <c r="AG143" s="2047"/>
      <c r="AH143" s="2047"/>
      <c r="AI143" s="2047"/>
      <c r="AJ143" s="2047">
        <v>-76.150000000000006</v>
      </c>
      <c r="AK143" s="2047">
        <v>1.6</v>
      </c>
      <c r="AL143" s="2047"/>
      <c r="AM143" s="2047"/>
      <c r="AN143" s="2047">
        <v>1</v>
      </c>
      <c r="AO143" s="2047">
        <v>4</v>
      </c>
      <c r="AP143" s="2047">
        <v>0</v>
      </c>
      <c r="AQ143" s="2047"/>
      <c r="AR143" s="2047"/>
      <c r="AS143" s="2047"/>
      <c r="AT143" s="2047"/>
      <c r="AU143" s="2047"/>
      <c r="AV143" s="2047"/>
      <c r="AW143" s="2047">
        <v>0.61099999999999999</v>
      </c>
      <c r="AX143" s="2047">
        <v>1.147E-3</v>
      </c>
      <c r="AY143" s="2047">
        <v>0.56599999999999995</v>
      </c>
      <c r="AZ143" s="3260">
        <v>1.1823999999999999E-3</v>
      </c>
      <c r="BA143" s="2047">
        <v>91.4</v>
      </c>
      <c r="BB143" s="2047">
        <v>0.26817000000000002</v>
      </c>
      <c r="BC143" s="2047">
        <v>4.7800000000000002E-4</v>
      </c>
      <c r="BD143" s="2047">
        <v>9.1011000000000006</v>
      </c>
      <c r="BE143" s="2047">
        <v>2116.42</v>
      </c>
      <c r="BF143" s="2047">
        <v>33.479999999999997</v>
      </c>
      <c r="BG143" s="2047"/>
      <c r="BH143" s="2047"/>
      <c r="BI143" s="2047"/>
      <c r="BJ143" s="2047"/>
      <c r="BK143" s="2047"/>
      <c r="BL143" s="2047"/>
      <c r="BM143" s="2047"/>
      <c r="BN143" s="2047"/>
      <c r="BO143" s="2047"/>
      <c r="BP143" s="2047"/>
    </row>
    <row r="144" spans="1:68" ht="12.75" customHeight="1" x14ac:dyDescent="0.25">
      <c r="A144" s="3349" t="s">
        <v>4375</v>
      </c>
      <c r="B144" s="2047" t="s">
        <v>4376</v>
      </c>
      <c r="C144" s="2047" t="s">
        <v>842</v>
      </c>
      <c r="D144" s="2047">
        <v>1</v>
      </c>
      <c r="E144" s="2047"/>
      <c r="F144" s="3349" t="s">
        <v>4375</v>
      </c>
      <c r="G144" s="2047"/>
      <c r="H144" s="2047"/>
      <c r="I144" s="2047"/>
      <c r="J144" s="2047"/>
      <c r="K144" s="2047"/>
      <c r="L144" s="2047"/>
      <c r="M144" s="2047"/>
      <c r="N144" s="2047"/>
      <c r="O144" s="2047"/>
      <c r="P144" s="2047"/>
      <c r="Q144" s="2047"/>
      <c r="R144" s="2047"/>
      <c r="S144" s="2047"/>
      <c r="T144" s="3351">
        <v>72.099999999999994</v>
      </c>
      <c r="U144" s="2187">
        <v>75</v>
      </c>
      <c r="V144" s="2187">
        <v>78</v>
      </c>
      <c r="W144" s="2187">
        <v>470</v>
      </c>
      <c r="X144" s="2187" t="s">
        <v>4459</v>
      </c>
      <c r="Y144" s="2567"/>
      <c r="Z144" s="2212"/>
      <c r="AA144" s="2212"/>
      <c r="AB144" s="3351"/>
      <c r="AC144" s="3351">
        <v>63.9</v>
      </c>
      <c r="AD144" s="3351">
        <v>-65</v>
      </c>
      <c r="AE144" s="3351"/>
      <c r="AF144" s="3351"/>
      <c r="AG144" s="3351"/>
      <c r="AH144" s="3351"/>
      <c r="AI144" s="3351"/>
      <c r="AJ144" s="3351">
        <v>-18.2</v>
      </c>
      <c r="AK144" s="3351">
        <v>1.6</v>
      </c>
      <c r="AL144" s="3351"/>
      <c r="AM144" s="3351"/>
      <c r="AN144" s="3351">
        <v>2</v>
      </c>
      <c r="AO144" s="3351">
        <v>3</v>
      </c>
      <c r="AP144" s="3351">
        <v>1</v>
      </c>
      <c r="AQ144" s="3351" t="s">
        <v>139</v>
      </c>
      <c r="AR144" s="3351" t="s">
        <v>138</v>
      </c>
      <c r="AS144" s="2047"/>
      <c r="AT144" s="2047"/>
      <c r="AU144" s="2047"/>
      <c r="AV144" s="2047"/>
      <c r="AW144" s="2047">
        <v>0.82099999999999995</v>
      </c>
      <c r="AX144" s="2047">
        <v>1.126E-3</v>
      </c>
      <c r="AY144" s="2047">
        <v>0.47899999999999998</v>
      </c>
      <c r="AZ144" s="2047">
        <v>1.0529999999999999E-3</v>
      </c>
      <c r="BA144" s="2047">
        <v>110.2</v>
      </c>
      <c r="BB144" s="2047">
        <v>0.1578</v>
      </c>
      <c r="BC144" s="2047">
        <v>3.2899999999999997E-4</v>
      </c>
      <c r="BD144" s="2047">
        <v>9.8335000000000008</v>
      </c>
      <c r="BE144" s="2047">
        <v>2927.3</v>
      </c>
      <c r="BF144" s="2047">
        <v>39.4</v>
      </c>
      <c r="BG144" s="2047"/>
      <c r="BH144" s="2047"/>
      <c r="BI144" s="2047"/>
      <c r="BJ144" s="2047"/>
      <c r="BK144" s="2047"/>
      <c r="BL144" s="2047"/>
      <c r="BM144" s="2047"/>
      <c r="BN144" s="2047"/>
      <c r="BO144" s="2047"/>
      <c r="BP144" s="2047"/>
    </row>
    <row r="145" spans="1:68" ht="12.75" customHeight="1" x14ac:dyDescent="0.25">
      <c r="A145" s="3329" t="s">
        <v>227</v>
      </c>
      <c r="B145" s="2043" t="s">
        <v>228</v>
      </c>
      <c r="C145" s="2043" t="s">
        <v>842</v>
      </c>
      <c r="D145" s="2043">
        <v>1</v>
      </c>
      <c r="E145" s="2043"/>
      <c r="F145" s="3329" t="s">
        <v>227</v>
      </c>
      <c r="G145" s="2043"/>
      <c r="H145" s="2043"/>
      <c r="I145" s="2043"/>
      <c r="J145" s="2043"/>
      <c r="K145" s="2043"/>
      <c r="L145" s="2043"/>
      <c r="M145" s="2043"/>
      <c r="N145" s="2043"/>
      <c r="O145" s="2043"/>
      <c r="P145" s="2043"/>
      <c r="Q145" s="2043"/>
      <c r="R145" s="2043"/>
      <c r="S145" s="2043"/>
      <c r="T145" s="2043">
        <v>69.11</v>
      </c>
      <c r="U145" s="2043"/>
      <c r="V145" s="2043">
        <v>30</v>
      </c>
      <c r="W145" s="2043">
        <v>100</v>
      </c>
      <c r="X145" s="2199" t="s">
        <v>4259</v>
      </c>
      <c r="Y145" s="2559"/>
      <c r="Z145" s="2080"/>
      <c r="AA145" s="2080"/>
      <c r="AB145" s="2043"/>
      <c r="AC145" s="2043">
        <v>103.6</v>
      </c>
      <c r="AD145" s="2043">
        <v>-71.5</v>
      </c>
      <c r="AE145" s="2043"/>
      <c r="AF145" s="2043"/>
      <c r="AG145" s="2043"/>
      <c r="AH145" s="2043"/>
      <c r="AI145" s="2043"/>
      <c r="AJ145" s="2043">
        <v>8.3330000000000002</v>
      </c>
      <c r="AK145" s="2043">
        <v>1.9</v>
      </c>
      <c r="AL145" s="2043"/>
      <c r="AM145" s="2043"/>
      <c r="AN145" s="2043">
        <v>3</v>
      </c>
      <c r="AO145" s="2043">
        <v>3</v>
      </c>
      <c r="AP145" s="2043">
        <v>0</v>
      </c>
      <c r="AQ145" s="2043"/>
      <c r="AR145" s="2043"/>
      <c r="AS145" s="2043"/>
      <c r="AT145" s="2043"/>
      <c r="AU145" s="2043"/>
      <c r="AV145" s="2043"/>
      <c r="AW145" s="2043">
        <v>0.78700000000000003</v>
      </c>
      <c r="AX145" s="2043">
        <v>1.0549999999999999E-3</v>
      </c>
      <c r="AY145" s="2043">
        <v>0.52300000000000002</v>
      </c>
      <c r="AZ145" s="3295">
        <v>1.2273E-3</v>
      </c>
      <c r="BA145" s="2043">
        <v>138.69999999999999</v>
      </c>
      <c r="BB145" s="2043">
        <v>0.175455</v>
      </c>
      <c r="BC145" s="2043">
        <v>3.1799999999999998E-4</v>
      </c>
      <c r="BD145" s="2043">
        <v>9.9023000000000003</v>
      </c>
      <c r="BE145" s="2043">
        <v>3264.6</v>
      </c>
      <c r="BF145" s="2043">
        <v>47.51</v>
      </c>
      <c r="BG145" s="2043"/>
      <c r="BH145" s="2043"/>
      <c r="BI145" s="2043"/>
      <c r="BJ145" s="2043"/>
      <c r="BK145" s="2043"/>
      <c r="BL145" s="2043"/>
      <c r="BM145" s="2043"/>
      <c r="BN145" s="2043"/>
      <c r="BO145" s="2043"/>
      <c r="BP145" s="2043"/>
    </row>
    <row r="146" spans="1:68" ht="12.75" customHeight="1" x14ac:dyDescent="0.25">
      <c r="A146" s="3329" t="s">
        <v>229</v>
      </c>
      <c r="B146" s="2043" t="s">
        <v>230</v>
      </c>
      <c r="C146" s="2043" t="s">
        <v>842</v>
      </c>
      <c r="D146" s="2043">
        <v>1</v>
      </c>
      <c r="E146" s="2043"/>
      <c r="F146" s="3329" t="s">
        <v>229</v>
      </c>
      <c r="G146" s="2043"/>
      <c r="H146" s="2043"/>
      <c r="I146" s="2043"/>
      <c r="J146" s="2043"/>
      <c r="K146" s="2043"/>
      <c r="L146" s="2043"/>
      <c r="M146" s="2043"/>
      <c r="N146" s="2043"/>
      <c r="O146" s="2043"/>
      <c r="P146" s="2043"/>
      <c r="Q146" s="2043"/>
      <c r="R146" s="2043"/>
      <c r="S146" s="2043"/>
      <c r="T146" s="2043">
        <v>155.15</v>
      </c>
      <c r="U146" s="2043"/>
      <c r="V146" s="2043">
        <v>0.1</v>
      </c>
      <c r="W146" s="2043">
        <v>1</v>
      </c>
      <c r="X146" s="2199" t="s">
        <v>4259</v>
      </c>
      <c r="Y146" s="2559"/>
      <c r="Z146" s="2080"/>
      <c r="AA146" s="2080"/>
      <c r="AB146" s="2043"/>
      <c r="AC146" s="2043">
        <v>211.2</v>
      </c>
      <c r="AD146" s="2043">
        <v>-45.2</v>
      </c>
      <c r="AE146" s="2043"/>
      <c r="AF146" s="2043"/>
      <c r="AG146" s="2043"/>
      <c r="AH146" s="2043"/>
      <c r="AI146" s="2043"/>
      <c r="AJ146" s="2043"/>
      <c r="AK146" s="2043"/>
      <c r="AL146" s="2043"/>
      <c r="AM146" s="2043"/>
      <c r="AN146" s="2043">
        <v>3</v>
      </c>
      <c r="AO146" s="2043">
        <v>1</v>
      </c>
      <c r="AP146" s="2043">
        <v>1</v>
      </c>
      <c r="AQ146" s="2043"/>
      <c r="AR146" s="2043"/>
      <c r="AS146" s="2043"/>
      <c r="AT146" s="2043"/>
      <c r="AU146" s="2043"/>
      <c r="AV146" s="2043"/>
      <c r="AW146" s="2043">
        <v>1.1299999999999999</v>
      </c>
      <c r="AX146" s="2043">
        <v>1.2409999999999999E-3</v>
      </c>
      <c r="AY146" s="2043">
        <v>0.33700000000000002</v>
      </c>
      <c r="AZ146" s="3295">
        <v>6.9629999999999996E-4</v>
      </c>
      <c r="BA146" s="2043">
        <v>87.7</v>
      </c>
      <c r="BB146" s="2043">
        <v>7.2070999999999996E-2</v>
      </c>
      <c r="BC146" s="2043">
        <v>1.26E-4</v>
      </c>
      <c r="BD146" s="2043">
        <v>10.174200000000001</v>
      </c>
      <c r="BE146" s="2043">
        <v>4319.62</v>
      </c>
      <c r="BF146" s="2043">
        <v>60.58</v>
      </c>
      <c r="BG146" s="2043"/>
      <c r="BH146" s="2043"/>
      <c r="BI146" s="2043"/>
      <c r="BJ146" s="2043"/>
      <c r="BK146" s="2043"/>
      <c r="BL146" s="2043"/>
      <c r="BM146" s="2043"/>
      <c r="BN146" s="2043"/>
      <c r="BO146" s="2043"/>
      <c r="BP146" s="2043"/>
    </row>
    <row r="147" spans="1:68" ht="12.75" customHeight="1" x14ac:dyDescent="0.25">
      <c r="A147" s="3292" t="s">
        <v>3253</v>
      </c>
      <c r="B147" s="1888" t="s">
        <v>3255</v>
      </c>
      <c r="C147" s="1888" t="s">
        <v>842</v>
      </c>
      <c r="D147" s="1888">
        <v>1</v>
      </c>
      <c r="E147" s="1888"/>
      <c r="F147" s="3292" t="s">
        <v>3253</v>
      </c>
      <c r="G147" s="1888"/>
      <c r="H147" s="1888"/>
      <c r="I147" s="1888"/>
      <c r="J147" s="1888"/>
      <c r="K147" s="1888"/>
      <c r="L147" s="1888"/>
      <c r="M147" s="1888"/>
      <c r="N147" s="1888"/>
      <c r="O147" s="1888"/>
      <c r="P147" s="1888"/>
      <c r="Q147" s="1888"/>
      <c r="R147" s="1888"/>
      <c r="S147" s="1888"/>
      <c r="T147" s="1888">
        <v>114.2</v>
      </c>
      <c r="U147" s="2209">
        <v>300</v>
      </c>
      <c r="V147" s="2209">
        <v>300</v>
      </c>
      <c r="W147" s="2209">
        <v>5000</v>
      </c>
      <c r="X147" s="2199" t="s">
        <v>4459</v>
      </c>
      <c r="Y147" s="2559"/>
      <c r="Z147" s="2080"/>
      <c r="AA147" s="2080"/>
      <c r="AB147" s="1888"/>
      <c r="AC147" s="1888">
        <v>99.2</v>
      </c>
      <c r="AD147" s="1888">
        <v>-109</v>
      </c>
      <c r="AE147" s="1888"/>
      <c r="AF147" s="1888"/>
      <c r="AG147" s="1888"/>
      <c r="AH147" s="1888"/>
      <c r="AI147" s="1888"/>
      <c r="AJ147" s="1888">
        <v>-12</v>
      </c>
      <c r="AK147" s="1888">
        <v>0.95</v>
      </c>
      <c r="AL147" s="1888">
        <v>6</v>
      </c>
      <c r="AM147" s="1888">
        <v>415</v>
      </c>
      <c r="AN147" s="1888">
        <v>2</v>
      </c>
      <c r="AO147" s="1888">
        <v>3</v>
      </c>
      <c r="AP147" s="1888">
        <v>0</v>
      </c>
      <c r="AQ147" s="1888" t="s">
        <v>139</v>
      </c>
      <c r="AR147" s="1888" t="s">
        <v>138</v>
      </c>
      <c r="AS147" s="1888"/>
      <c r="AT147" s="1888" t="s">
        <v>1169</v>
      </c>
      <c r="AU147" s="1888"/>
      <c r="AV147" s="1888"/>
      <c r="AW147" s="1888">
        <v>0.70499999999999996</v>
      </c>
      <c r="AX147" s="1888">
        <v>8.8500000000000004E-4</v>
      </c>
      <c r="AY147" s="1888">
        <v>0.47799999999999998</v>
      </c>
      <c r="AZ147" s="1889">
        <v>1.1950000000000001E-3</v>
      </c>
      <c r="BA147" s="1888">
        <v>77.3</v>
      </c>
      <c r="BB147" s="1888">
        <v>0.1234</v>
      </c>
      <c r="BC147" s="1888">
        <v>1.1E-4</v>
      </c>
      <c r="BD147" s="1888">
        <v>9.1317000000000004</v>
      </c>
      <c r="BE147" s="1888">
        <v>2946.02</v>
      </c>
      <c r="BF147" s="1888">
        <v>49.81</v>
      </c>
      <c r="BG147" s="1888"/>
      <c r="BH147" s="1888"/>
      <c r="BI147" s="1888"/>
      <c r="BJ147" s="1888"/>
      <c r="BK147" s="1888"/>
      <c r="BL147" s="1888"/>
      <c r="BM147" s="1888"/>
      <c r="BN147" s="1888"/>
      <c r="BO147" s="1888"/>
      <c r="BP147" s="1888"/>
    </row>
    <row r="148" spans="1:68" ht="12.75" customHeight="1" x14ac:dyDescent="0.25">
      <c r="A148" s="3292" t="s">
        <v>3254</v>
      </c>
      <c r="B148" s="1888" t="s">
        <v>231</v>
      </c>
      <c r="C148" s="1888" t="s">
        <v>842</v>
      </c>
      <c r="D148" s="1888">
        <v>1</v>
      </c>
      <c r="E148" s="1888"/>
      <c r="F148" s="3292" t="s">
        <v>3254</v>
      </c>
      <c r="G148" s="1888"/>
      <c r="H148" s="1888"/>
      <c r="I148" s="1888"/>
      <c r="J148" s="1888"/>
      <c r="K148" s="1888"/>
      <c r="L148" s="1888"/>
      <c r="M148" s="1888"/>
      <c r="N148" s="1888"/>
      <c r="O148" s="1888"/>
      <c r="P148" s="1888"/>
      <c r="Q148" s="1888"/>
      <c r="R148" s="1888"/>
      <c r="S148" s="1888"/>
      <c r="T148" s="1888">
        <v>72.150000000000006</v>
      </c>
      <c r="U148" s="2209">
        <v>600</v>
      </c>
      <c r="V148" s="2209">
        <v>610</v>
      </c>
      <c r="W148" s="2209">
        <v>4400</v>
      </c>
      <c r="X148" s="2199" t="s">
        <v>4459</v>
      </c>
      <c r="Y148" s="2559"/>
      <c r="Z148" s="2080"/>
      <c r="AA148" s="2080"/>
      <c r="AB148" s="1888"/>
      <c r="AC148" s="1888">
        <v>27.8</v>
      </c>
      <c r="AD148" s="1888">
        <v>-159.9</v>
      </c>
      <c r="AE148" s="1888"/>
      <c r="AF148" s="1888"/>
      <c r="AG148" s="1888"/>
      <c r="AH148" s="1888"/>
      <c r="AI148" s="1888"/>
      <c r="AJ148" s="1888">
        <v>-56.15</v>
      </c>
      <c r="AK148" s="1888">
        <v>1.4</v>
      </c>
      <c r="AL148" s="1888"/>
      <c r="AM148" s="1888"/>
      <c r="AN148" s="1888">
        <v>1</v>
      </c>
      <c r="AO148" s="1888">
        <v>4</v>
      </c>
      <c r="AP148" s="1888">
        <v>0</v>
      </c>
      <c r="AQ148" s="1888" t="s">
        <v>139</v>
      </c>
      <c r="AR148" s="1888" t="s">
        <v>138</v>
      </c>
      <c r="AS148" s="1888"/>
      <c r="AT148" s="1888"/>
      <c r="AU148" s="1888"/>
      <c r="AV148" s="1888"/>
      <c r="AW148" s="1888">
        <v>0.63300000000000001</v>
      </c>
      <c r="AX148" s="1888">
        <v>9.6699999999999998E-4</v>
      </c>
      <c r="AY148" s="1888">
        <v>0.52</v>
      </c>
      <c r="AZ148" s="1889">
        <v>1.3722000000000001E-3</v>
      </c>
      <c r="BA148" s="1888">
        <v>87.4</v>
      </c>
      <c r="BB148" s="1888">
        <v>0.184444</v>
      </c>
      <c r="BC148" s="1888">
        <v>3.6999999999999999E-4</v>
      </c>
      <c r="BD148" s="1888">
        <v>9.1895000000000007</v>
      </c>
      <c r="BE148" s="1888">
        <v>2446.94</v>
      </c>
      <c r="BF148" s="1888">
        <v>34.79</v>
      </c>
      <c r="BG148" s="1888"/>
      <c r="BH148" s="1888"/>
      <c r="BI148" s="1888"/>
      <c r="BJ148" s="1888"/>
      <c r="BK148" s="1888"/>
      <c r="BL148" s="1888"/>
      <c r="BM148" s="1888"/>
      <c r="BN148" s="1888"/>
      <c r="BO148" s="1888"/>
      <c r="BP148" s="1888"/>
    </row>
    <row r="149" spans="1:68" ht="12.75" customHeight="1" x14ac:dyDescent="0.25">
      <c r="A149" s="1887" t="s">
        <v>4377</v>
      </c>
      <c r="B149" s="1888" t="s">
        <v>4378</v>
      </c>
      <c r="C149" s="1888" t="s">
        <v>842</v>
      </c>
      <c r="D149" s="1888">
        <v>1</v>
      </c>
      <c r="E149" s="1888"/>
      <c r="F149" s="1887" t="s">
        <v>4377</v>
      </c>
      <c r="G149" s="1888"/>
      <c r="H149" s="1888"/>
      <c r="I149" s="1888"/>
      <c r="J149" s="1888"/>
      <c r="K149" s="1888"/>
      <c r="L149" s="1888"/>
      <c r="M149" s="1888"/>
      <c r="N149" s="1888"/>
      <c r="O149" s="1888"/>
      <c r="P149" s="1888"/>
      <c r="Q149" s="1888"/>
      <c r="R149" s="1888"/>
      <c r="S149" s="1888"/>
      <c r="T149" s="2209">
        <v>138.21</v>
      </c>
      <c r="U149" s="2209">
        <v>4</v>
      </c>
      <c r="V149" s="2209">
        <v>5</v>
      </c>
      <c r="W149" s="2209">
        <v>800</v>
      </c>
      <c r="X149" s="2187" t="s">
        <v>4459</v>
      </c>
      <c r="Y149" s="2567"/>
      <c r="Z149" s="2212"/>
      <c r="AA149" s="2212"/>
      <c r="AB149" s="2209"/>
      <c r="AC149" s="2209">
        <v>215.3</v>
      </c>
      <c r="AD149" s="2209">
        <v>-8.1999999999999993</v>
      </c>
      <c r="AE149" s="2209"/>
      <c r="AF149" s="2209"/>
      <c r="AG149" s="2209"/>
      <c r="AH149" s="2209"/>
      <c r="AI149" s="2209"/>
      <c r="AJ149" s="2209">
        <v>84</v>
      </c>
      <c r="AK149" s="2209">
        <v>0.8</v>
      </c>
      <c r="AL149" s="2209"/>
      <c r="AM149" s="2209"/>
      <c r="AN149" s="2209">
        <v>2</v>
      </c>
      <c r="AO149" s="2209">
        <v>2</v>
      </c>
      <c r="AP149" s="2209">
        <v>1</v>
      </c>
      <c r="AQ149" s="2209" t="s">
        <v>139</v>
      </c>
      <c r="AR149" s="2209" t="s">
        <v>138</v>
      </c>
      <c r="AS149" s="1888" t="s">
        <v>599</v>
      </c>
      <c r="AT149" s="1888"/>
      <c r="AU149" s="1888"/>
      <c r="AV149" s="1888"/>
      <c r="AW149" s="1888">
        <v>0.94099999999999995</v>
      </c>
      <c r="AX149" s="1888">
        <v>8.6200000000000003E-4</v>
      </c>
      <c r="AY149" s="1888">
        <v>0.37</v>
      </c>
      <c r="AZ149" s="1888">
        <v>9.345E-4</v>
      </c>
      <c r="BA149" s="1888">
        <v>95.9</v>
      </c>
      <c r="BB149" s="1888">
        <v>8.9511999999999994E-2</v>
      </c>
      <c r="BC149" s="1888">
        <v>7.6100000000000007E-5</v>
      </c>
      <c r="BD149" s="1888">
        <v>10.196999999999999</v>
      </c>
      <c r="BE149" s="1888">
        <v>4592.16</v>
      </c>
      <c r="BF149" s="1888">
        <v>35.69</v>
      </c>
      <c r="BG149" s="1888"/>
      <c r="BH149" s="1888"/>
      <c r="BI149" s="1888"/>
      <c r="BJ149" s="1888"/>
      <c r="BK149" s="1888"/>
      <c r="BL149" s="1888"/>
      <c r="BM149" s="1888"/>
      <c r="BN149" s="1888"/>
      <c r="BO149" s="1888"/>
      <c r="BP149" s="1888"/>
    </row>
    <row r="150" spans="1:68" ht="12.75" customHeight="1" x14ac:dyDescent="0.25">
      <c r="A150" s="1887" t="s">
        <v>27</v>
      </c>
      <c r="B150" s="1888" t="s">
        <v>3133</v>
      </c>
      <c r="C150" s="1888" t="s">
        <v>842</v>
      </c>
      <c r="D150" s="1888">
        <v>1</v>
      </c>
      <c r="E150" s="1888"/>
      <c r="F150" s="1887" t="s">
        <v>27</v>
      </c>
      <c r="G150" s="1888"/>
      <c r="H150" s="1888"/>
      <c r="I150" s="1888"/>
      <c r="J150" s="1888"/>
      <c r="K150" s="1888"/>
      <c r="L150" s="1888"/>
      <c r="M150" s="1888"/>
      <c r="N150" s="1888"/>
      <c r="O150" s="1888"/>
      <c r="P150" s="1888"/>
      <c r="Q150" s="1888"/>
      <c r="R150" s="1888"/>
      <c r="S150" s="1888"/>
      <c r="T150" s="1888">
        <v>60.09</v>
      </c>
      <c r="U150" s="2187">
        <v>400</v>
      </c>
      <c r="V150" s="2187">
        <v>400</v>
      </c>
      <c r="W150" s="2187">
        <v>12000</v>
      </c>
      <c r="X150" s="2199" t="s">
        <v>4459</v>
      </c>
      <c r="Y150" s="2559"/>
      <c r="Z150" s="2080"/>
      <c r="AA150" s="2080"/>
      <c r="AB150" s="1888"/>
      <c r="AC150" s="1888">
        <v>82</v>
      </c>
      <c r="AD150" s="1888">
        <v>-85.8</v>
      </c>
      <c r="AE150" s="1888"/>
      <c r="AF150" s="1888"/>
      <c r="AG150" s="1888"/>
      <c r="AH150" s="1888"/>
      <c r="AI150" s="1888"/>
      <c r="AJ150" s="1888">
        <v>12</v>
      </c>
      <c r="AK150" s="1888">
        <v>2</v>
      </c>
      <c r="AL150" s="1888"/>
      <c r="AM150" s="1888"/>
      <c r="AN150" s="1888">
        <v>1</v>
      </c>
      <c r="AO150" s="1888">
        <v>3</v>
      </c>
      <c r="AP150" s="1888">
        <v>0</v>
      </c>
      <c r="AQ150" s="1888" t="s">
        <v>139</v>
      </c>
      <c r="AR150" s="1888" t="s">
        <v>138</v>
      </c>
      <c r="AS150" s="1888"/>
      <c r="AT150" s="1888"/>
      <c r="AU150" s="1888"/>
      <c r="AV150" s="1888" t="s">
        <v>158</v>
      </c>
      <c r="AW150" s="1888">
        <v>0.80100000000000005</v>
      </c>
      <c r="AX150" s="1888">
        <v>8.4999999999999995E-4</v>
      </c>
      <c r="AY150" s="1888">
        <v>0.55200000000000005</v>
      </c>
      <c r="AZ150" s="1889">
        <v>2.8600000000000001E-3</v>
      </c>
      <c r="BA150" s="1888">
        <v>188</v>
      </c>
      <c r="BB150" s="1888">
        <v>0.26200000000000001</v>
      </c>
      <c r="BC150" s="1888"/>
      <c r="BD150" s="1888">
        <v>15.348000000000001</v>
      </c>
      <c r="BE150" s="1888">
        <v>5451.6</v>
      </c>
      <c r="BF150" s="1888"/>
      <c r="BG150" s="1888"/>
      <c r="BH150" s="1888"/>
      <c r="BI150" s="1888"/>
      <c r="BJ150" s="1888"/>
      <c r="BK150" s="1888"/>
      <c r="BL150" s="1888"/>
      <c r="BM150" s="1888"/>
      <c r="BN150" s="1888"/>
      <c r="BO150" s="1888"/>
      <c r="BP150" s="1888"/>
    </row>
    <row r="151" spans="1:68" ht="12.75" customHeight="1" x14ac:dyDescent="0.25">
      <c r="A151" s="1887" t="s">
        <v>232</v>
      </c>
      <c r="B151" s="1888" t="s">
        <v>233</v>
      </c>
      <c r="C151" s="1888" t="s">
        <v>842</v>
      </c>
      <c r="D151" s="1888">
        <v>1</v>
      </c>
      <c r="E151" s="1888"/>
      <c r="F151" s="1887" t="s">
        <v>232</v>
      </c>
      <c r="G151" s="1888"/>
      <c r="H151" s="1888"/>
      <c r="I151" s="1888"/>
      <c r="J151" s="1888"/>
      <c r="K151" s="1888"/>
      <c r="L151" s="1888"/>
      <c r="M151" s="1888"/>
      <c r="N151" s="1888"/>
      <c r="O151" s="1888"/>
      <c r="P151" s="1888"/>
      <c r="Q151" s="1888"/>
      <c r="R151" s="1888"/>
      <c r="S151" s="1888"/>
      <c r="T151" s="1888">
        <v>102.13</v>
      </c>
      <c r="U151" s="2209">
        <v>200</v>
      </c>
      <c r="V151" s="2209">
        <v>200</v>
      </c>
      <c r="W151" s="2209">
        <v>16000</v>
      </c>
      <c r="X151" s="2199" t="s">
        <v>4459</v>
      </c>
      <c r="Y151" s="2559"/>
      <c r="Z151" s="2080"/>
      <c r="AA151" s="2080"/>
      <c r="AB151" s="1888"/>
      <c r="AC151" s="1888">
        <v>88.6</v>
      </c>
      <c r="AD151" s="1888">
        <v>-73</v>
      </c>
      <c r="AE151" s="1888"/>
      <c r="AF151" s="1888"/>
      <c r="AG151" s="1888"/>
      <c r="AH151" s="1888"/>
      <c r="AI151" s="1888"/>
      <c r="AJ151" s="1888">
        <v>2</v>
      </c>
      <c r="AK151" s="1888">
        <v>1.8</v>
      </c>
      <c r="AL151" s="1888"/>
      <c r="AM151" s="1888"/>
      <c r="AN151" s="1888">
        <v>1</v>
      </c>
      <c r="AO151" s="1888">
        <v>3</v>
      </c>
      <c r="AP151" s="1888">
        <v>1</v>
      </c>
      <c r="AQ151" s="1888" t="s">
        <v>139</v>
      </c>
      <c r="AR151" s="1888" t="s">
        <v>138</v>
      </c>
      <c r="AS151" s="1888"/>
      <c r="AT151" s="1888"/>
      <c r="AU151" s="1888"/>
      <c r="AV151" s="1888" t="s">
        <v>158</v>
      </c>
      <c r="AW151" s="1888">
        <v>0.90300000000000002</v>
      </c>
      <c r="AX151" s="1888">
        <v>1.474E-3</v>
      </c>
      <c r="AY151" s="1888">
        <v>0.41099999999999998</v>
      </c>
      <c r="AZ151" s="1889">
        <v>9.8729999999999998E-4</v>
      </c>
      <c r="BA151" s="1888">
        <v>93</v>
      </c>
      <c r="BB151" s="1888">
        <v>0.149394</v>
      </c>
      <c r="BC151" s="1888">
        <v>2.7E-4</v>
      </c>
      <c r="BD151" s="1888">
        <v>9.7274999999999991</v>
      </c>
      <c r="BE151" s="1888">
        <v>2990.42</v>
      </c>
      <c r="BF151" s="1888">
        <v>54.58</v>
      </c>
      <c r="BG151" s="1888"/>
      <c r="BH151" s="1888"/>
      <c r="BI151" s="1888"/>
      <c r="BJ151" s="1888"/>
      <c r="BK151" s="1888"/>
      <c r="BL151" s="1888"/>
      <c r="BM151" s="1888"/>
      <c r="BN151" s="1888"/>
      <c r="BO151" s="1888"/>
      <c r="BP151" s="1888"/>
    </row>
    <row r="152" spans="1:68" ht="12.75" customHeight="1" x14ac:dyDescent="0.25">
      <c r="A152" s="3340" t="s">
        <v>4466</v>
      </c>
      <c r="B152" s="1846" t="s">
        <v>490</v>
      </c>
      <c r="C152" s="1846" t="s">
        <v>842</v>
      </c>
      <c r="D152" s="1846">
        <v>1</v>
      </c>
      <c r="E152" s="1846"/>
      <c r="F152" s="3340" t="s">
        <v>339</v>
      </c>
      <c r="G152" s="1846"/>
      <c r="H152" s="1846"/>
      <c r="I152" s="1846"/>
      <c r="J152" s="1846"/>
      <c r="K152" s="1846"/>
      <c r="L152" s="1846"/>
      <c r="M152" s="1846"/>
      <c r="N152" s="1846"/>
      <c r="O152" s="1846"/>
      <c r="P152" s="1846"/>
      <c r="Q152" s="1846"/>
      <c r="R152" s="1846"/>
      <c r="S152" s="1846"/>
      <c r="T152" s="1846">
        <v>59.11</v>
      </c>
      <c r="U152" s="3114">
        <v>10</v>
      </c>
      <c r="V152" s="3114">
        <v>670</v>
      </c>
      <c r="W152" s="3114">
        <v>4000</v>
      </c>
      <c r="X152" s="2199" t="s">
        <v>4459</v>
      </c>
      <c r="Y152" s="2559"/>
      <c r="Z152" s="2080"/>
      <c r="AA152" s="2080"/>
      <c r="AB152" s="2063"/>
      <c r="AC152" s="1846">
        <v>32</v>
      </c>
      <c r="AD152" s="1846">
        <v>-139.4</v>
      </c>
      <c r="AE152" s="1846"/>
      <c r="AF152" s="1846"/>
      <c r="AG152" s="1846"/>
      <c r="AH152" s="1846"/>
      <c r="AI152" s="1846"/>
      <c r="AJ152" s="1846">
        <v>-39</v>
      </c>
      <c r="AK152" s="1846">
        <v>2</v>
      </c>
      <c r="AL152" s="1846"/>
      <c r="AM152" s="1846"/>
      <c r="AN152" s="1846">
        <v>3</v>
      </c>
      <c r="AO152" s="1846">
        <v>4</v>
      </c>
      <c r="AP152" s="1846">
        <v>0</v>
      </c>
      <c r="AQ152" s="1846" t="s">
        <v>139</v>
      </c>
      <c r="AR152" s="1846" t="s">
        <v>138</v>
      </c>
      <c r="AS152" s="1846"/>
      <c r="AT152" s="1846"/>
      <c r="AU152" s="1846"/>
      <c r="AV152" s="1846"/>
      <c r="AW152" s="1846">
        <v>0.71099999999999997</v>
      </c>
      <c r="AX152" s="1846">
        <v>1.08E-3</v>
      </c>
      <c r="AY152" s="1846">
        <v>0.623</v>
      </c>
      <c r="AZ152" s="3269">
        <v>1.17E-3</v>
      </c>
      <c r="BA152" s="1846">
        <v>121</v>
      </c>
      <c r="BB152" s="1846">
        <v>0.29699999999999999</v>
      </c>
      <c r="BC152" s="1846"/>
      <c r="BD152" s="1846">
        <v>11.698</v>
      </c>
      <c r="BE152" s="1846">
        <v>3565.4</v>
      </c>
      <c r="BF152" s="1846"/>
      <c r="BG152" s="1846"/>
      <c r="BH152" s="1846"/>
      <c r="BI152" s="1846"/>
      <c r="BJ152" s="1846"/>
      <c r="BK152" s="1846"/>
      <c r="BL152" s="1846"/>
      <c r="BM152" s="1846"/>
      <c r="BN152" s="1846"/>
      <c r="BO152" s="1846"/>
      <c r="BP152" s="1846"/>
    </row>
    <row r="153" spans="1:68" ht="12.75" customHeight="1" x14ac:dyDescent="0.25">
      <c r="A153" s="3340" t="s">
        <v>3250</v>
      </c>
      <c r="B153" s="1846" t="s">
        <v>3251</v>
      </c>
      <c r="C153" s="1846" t="s">
        <v>842</v>
      </c>
      <c r="D153" s="1846">
        <v>1</v>
      </c>
      <c r="E153" s="1846"/>
      <c r="F153" s="3340" t="s">
        <v>3250</v>
      </c>
      <c r="G153" s="1846"/>
      <c r="H153" s="1846"/>
      <c r="I153" s="1846"/>
      <c r="J153" s="1846"/>
      <c r="K153" s="1846"/>
      <c r="L153" s="1846"/>
      <c r="M153" s="1846"/>
      <c r="N153" s="1846"/>
      <c r="O153" s="1846"/>
      <c r="P153" s="1846"/>
      <c r="Q153" s="1846"/>
      <c r="R153" s="1846"/>
      <c r="S153" s="1846"/>
      <c r="T153" s="1846">
        <v>78.5</v>
      </c>
      <c r="U153" s="3114">
        <v>150</v>
      </c>
      <c r="V153" s="3114">
        <v>520</v>
      </c>
      <c r="W153" s="3114">
        <v>1600</v>
      </c>
      <c r="X153" s="2199" t="s">
        <v>4459</v>
      </c>
      <c r="Y153" s="2559"/>
      <c r="Z153" s="2080"/>
      <c r="AA153" s="2080"/>
      <c r="AB153" s="1846"/>
      <c r="AC153" s="1846">
        <v>35</v>
      </c>
      <c r="AD153" s="1846">
        <v>-117</v>
      </c>
      <c r="AE153" s="1846"/>
      <c r="AF153" s="1846"/>
      <c r="AG153" s="1846"/>
      <c r="AH153" s="1846"/>
      <c r="AI153" s="1846"/>
      <c r="AJ153" s="1846">
        <v>-35</v>
      </c>
      <c r="AK153" s="1846">
        <v>2.8</v>
      </c>
      <c r="AL153" s="1846">
        <v>10.7</v>
      </c>
      <c r="AM153" s="1846">
        <v>593</v>
      </c>
      <c r="AN153" s="1846">
        <v>1</v>
      </c>
      <c r="AO153" s="1846">
        <v>4</v>
      </c>
      <c r="AP153" s="1846">
        <v>0</v>
      </c>
      <c r="AQ153" s="1846"/>
      <c r="AR153" s="1846"/>
      <c r="AS153" s="1846"/>
      <c r="AT153" s="1846"/>
      <c r="AU153" s="1846"/>
      <c r="AV153" s="1846"/>
      <c r="AW153" s="1846">
        <v>0.88700000000000001</v>
      </c>
      <c r="AX153" s="1846">
        <v>1.32E-3</v>
      </c>
      <c r="AY153" s="1846">
        <v>0.39100000000000001</v>
      </c>
      <c r="AZ153" s="3269">
        <v>7.6999999999999996E-4</v>
      </c>
      <c r="BA153" s="1846">
        <v>86.6</v>
      </c>
      <c r="BB153" s="1846">
        <v>0.156</v>
      </c>
      <c r="BC153" s="1846">
        <v>2.4000000000000001E-4</v>
      </c>
      <c r="BD153" s="1846">
        <v>9.3530999999999995</v>
      </c>
      <c r="BE153" s="1846">
        <v>2483.36</v>
      </c>
      <c r="BF153" s="1846">
        <v>42.68</v>
      </c>
      <c r="BG153" s="1846"/>
      <c r="BH153" s="1846"/>
      <c r="BI153" s="1846"/>
      <c r="BJ153" s="1846"/>
      <c r="BK153" s="1846"/>
      <c r="BL153" s="1846"/>
      <c r="BM153" s="1846"/>
      <c r="BN153" s="1846"/>
      <c r="BO153" s="1846"/>
      <c r="BP153" s="1846"/>
    </row>
    <row r="154" spans="1:68" ht="12.75" customHeight="1" x14ac:dyDescent="0.25">
      <c r="A154" s="3369" t="s">
        <v>234</v>
      </c>
      <c r="B154" s="1846" t="s">
        <v>235</v>
      </c>
      <c r="C154" s="1846" t="s">
        <v>842</v>
      </c>
      <c r="D154" s="1846">
        <v>1</v>
      </c>
      <c r="E154" s="1846"/>
      <c r="F154" s="3369" t="s">
        <v>234</v>
      </c>
      <c r="G154" s="1846"/>
      <c r="H154" s="1846"/>
      <c r="I154" s="1846"/>
      <c r="J154" s="1846"/>
      <c r="K154" s="1846"/>
      <c r="L154" s="1846"/>
      <c r="M154" s="1846"/>
      <c r="N154" s="1846"/>
      <c r="O154" s="1846"/>
      <c r="P154" s="1846"/>
      <c r="Q154" s="1846"/>
      <c r="R154" s="1846"/>
      <c r="S154" s="1846"/>
      <c r="T154" s="1846">
        <v>122.55</v>
      </c>
      <c r="U154" s="1846"/>
      <c r="V154" s="1846">
        <v>5</v>
      </c>
      <c r="W154" s="1846">
        <v>20</v>
      </c>
      <c r="X154" s="2199" t="s">
        <v>4259</v>
      </c>
      <c r="Y154" s="2559" t="s">
        <v>289</v>
      </c>
      <c r="Z154" s="2080"/>
      <c r="AA154" s="2080"/>
      <c r="AB154" s="1846"/>
      <c r="AC154" s="1846">
        <v>103.8</v>
      </c>
      <c r="AD154" s="1846"/>
      <c r="AE154" s="1846"/>
      <c r="AF154" s="1846"/>
      <c r="AG154" s="1846"/>
      <c r="AH154" s="1846"/>
      <c r="AI154" s="1846"/>
      <c r="AJ154" s="1846">
        <v>20</v>
      </c>
      <c r="AK154" s="1846">
        <v>4</v>
      </c>
      <c r="AL154" s="1846"/>
      <c r="AM154" s="1846"/>
      <c r="AN154" s="1846">
        <v>3</v>
      </c>
      <c r="AO154" s="1846">
        <v>3</v>
      </c>
      <c r="AP154" s="1846">
        <v>3</v>
      </c>
      <c r="AQ154" s="1846" t="s">
        <v>139</v>
      </c>
      <c r="AR154" s="1846" t="s">
        <v>138</v>
      </c>
      <c r="AS154" s="1846"/>
      <c r="AT154" s="1846"/>
      <c r="AU154" s="1846"/>
      <c r="AV154" s="1846"/>
      <c r="AW154" s="1846">
        <v>1.095</v>
      </c>
      <c r="AX154" s="1846">
        <v>1.382E-3</v>
      </c>
      <c r="AY154" s="1846">
        <v>0.33400000000000002</v>
      </c>
      <c r="AZ154" s="3269">
        <v>7.4089999999999996E-4</v>
      </c>
      <c r="BA154" s="1846">
        <v>81.8</v>
      </c>
      <c r="BB154" s="1846">
        <v>0.109793</v>
      </c>
      <c r="BC154" s="1846">
        <v>2.02E-4</v>
      </c>
      <c r="BD154" s="1846">
        <v>10.166</v>
      </c>
      <c r="BE154" s="1846">
        <v>3326.48</v>
      </c>
      <c r="BF154" s="1846">
        <v>49.77</v>
      </c>
      <c r="BG154" s="1846"/>
      <c r="BH154" s="1846"/>
      <c r="BI154" s="1846"/>
      <c r="BJ154" s="1846"/>
      <c r="BK154" s="1846"/>
      <c r="BL154" s="1846"/>
      <c r="BM154" s="1846"/>
      <c r="BN154" s="1846"/>
      <c r="BO154" s="1846"/>
      <c r="BP154" s="1846"/>
    </row>
    <row r="155" spans="1:68" ht="12.75" customHeight="1" x14ac:dyDescent="0.25">
      <c r="A155" s="3370" t="s">
        <v>4467</v>
      </c>
      <c r="B155" s="1794" t="s">
        <v>4380</v>
      </c>
      <c r="C155" s="1794" t="s">
        <v>842</v>
      </c>
      <c r="D155" s="1794">
        <v>1</v>
      </c>
      <c r="E155" s="1794" t="s">
        <v>4676</v>
      </c>
      <c r="F155" s="3370" t="s">
        <v>4379</v>
      </c>
      <c r="G155" s="1794"/>
      <c r="H155" s="1794"/>
      <c r="I155" s="1794"/>
      <c r="J155" s="1794"/>
      <c r="K155" s="1794"/>
      <c r="L155" s="1794"/>
      <c r="M155" s="1794"/>
      <c r="N155" s="1794"/>
      <c r="O155" s="1794"/>
      <c r="P155" s="1794"/>
      <c r="Q155" s="1794"/>
      <c r="R155" s="1794"/>
      <c r="S155" s="1794"/>
      <c r="T155" s="3378">
        <v>120</v>
      </c>
      <c r="U155" s="3378">
        <v>58</v>
      </c>
      <c r="V155" s="3378">
        <v>219</v>
      </c>
      <c r="W155" s="3378">
        <v>219</v>
      </c>
      <c r="X155" s="2187" t="s">
        <v>4457</v>
      </c>
      <c r="Y155" s="2567"/>
      <c r="Z155" s="2212"/>
      <c r="AA155" s="2212"/>
      <c r="AB155" s="3378"/>
      <c r="AC155" s="3378">
        <v>150</v>
      </c>
      <c r="AD155" s="3378">
        <v>-35</v>
      </c>
      <c r="AE155" s="3378"/>
      <c r="AF155" s="3378"/>
      <c r="AG155" s="3378"/>
      <c r="AH155" s="3378"/>
      <c r="AI155" s="3378"/>
      <c r="AJ155" s="3378">
        <v>38</v>
      </c>
      <c r="AK155" s="3378">
        <v>0.9</v>
      </c>
      <c r="AL155" s="3378">
        <v>5</v>
      </c>
      <c r="AM155" s="3378"/>
      <c r="AN155" s="3378">
        <v>1</v>
      </c>
      <c r="AO155" s="3378">
        <v>2</v>
      </c>
      <c r="AP155" s="3378">
        <v>0</v>
      </c>
      <c r="AQ155" s="3378" t="s">
        <v>139</v>
      </c>
      <c r="AR155" s="3378" t="s">
        <v>138</v>
      </c>
      <c r="AS155" s="1794"/>
      <c r="AT155" s="1794"/>
      <c r="AU155" s="1794"/>
      <c r="AV155" s="1794" t="s">
        <v>158</v>
      </c>
      <c r="AW155" s="1794">
        <v>0.82</v>
      </c>
      <c r="AX155" s="1794">
        <v>8.0000000000000002E-3</v>
      </c>
      <c r="AY155" s="1794">
        <v>0.35</v>
      </c>
      <c r="AZ155" s="1794">
        <v>9.7000000000000005E-4</v>
      </c>
      <c r="BA155" s="1794">
        <v>75</v>
      </c>
      <c r="BB155" s="1794">
        <v>0.08</v>
      </c>
      <c r="BC155" s="1794">
        <v>5.7000000000000005E-7</v>
      </c>
      <c r="BD155" s="1794">
        <v>11.183999999999999</v>
      </c>
      <c r="BE155" s="1794">
        <v>4250</v>
      </c>
      <c r="BF155" s="1794">
        <v>43</v>
      </c>
      <c r="BG155" s="1794"/>
      <c r="BH155" s="1794"/>
      <c r="BI155" s="1794"/>
      <c r="BJ155" s="1794"/>
      <c r="BK155" s="1794"/>
      <c r="BL155" s="1794"/>
      <c r="BM155" s="1794"/>
      <c r="BN155" s="1794"/>
      <c r="BO155" s="1794"/>
      <c r="BP155" s="1794"/>
    </row>
    <row r="156" spans="1:68" ht="12.75" customHeight="1" x14ac:dyDescent="0.25">
      <c r="A156" s="1675" t="s">
        <v>1778</v>
      </c>
      <c r="B156" s="3356" t="s">
        <v>712</v>
      </c>
      <c r="C156" s="1676" t="s">
        <v>842</v>
      </c>
      <c r="D156" s="1676">
        <v>1</v>
      </c>
      <c r="E156" s="1676"/>
      <c r="F156" s="1675" t="s">
        <v>1778</v>
      </c>
      <c r="G156" s="1676"/>
      <c r="H156" s="1676"/>
      <c r="I156" s="1676"/>
      <c r="J156" s="1676"/>
      <c r="K156" s="1676"/>
      <c r="L156" s="1676"/>
      <c r="M156" s="1676"/>
      <c r="N156" s="1676"/>
      <c r="O156" s="1676"/>
      <c r="P156" s="1676"/>
      <c r="Q156" s="1676"/>
      <c r="R156" s="1676"/>
      <c r="S156" s="1676"/>
      <c r="T156" s="1676">
        <v>98.1</v>
      </c>
      <c r="U156" s="1676">
        <v>0.2</v>
      </c>
      <c r="V156" s="1676">
        <v>2</v>
      </c>
      <c r="W156" s="1676">
        <v>20</v>
      </c>
      <c r="X156" s="2199" t="s">
        <v>4259</v>
      </c>
      <c r="Y156" s="2559"/>
      <c r="Z156" s="2080"/>
      <c r="AA156" s="2080"/>
      <c r="AB156" s="1676"/>
      <c r="AC156" s="1676">
        <v>204.1</v>
      </c>
      <c r="AD156" s="1676">
        <v>56</v>
      </c>
      <c r="AE156" s="1676"/>
      <c r="AF156" s="1676"/>
      <c r="AG156" s="1676"/>
      <c r="AH156" s="1676"/>
      <c r="AI156" s="1676"/>
      <c r="AJ156" s="1676">
        <v>102</v>
      </c>
      <c r="AK156" s="1676">
        <v>1.4</v>
      </c>
      <c r="AL156" s="1676"/>
      <c r="AM156" s="1676"/>
      <c r="AN156" s="1676">
        <v>3</v>
      </c>
      <c r="AO156" s="1676">
        <v>1</v>
      </c>
      <c r="AP156" s="1676">
        <v>1</v>
      </c>
      <c r="AQ156" s="1676" t="s">
        <v>139</v>
      </c>
      <c r="AR156" s="1676" t="s">
        <v>138</v>
      </c>
      <c r="AS156" s="1676" t="s">
        <v>1514</v>
      </c>
      <c r="AT156" s="1676"/>
      <c r="AU156" s="1676"/>
      <c r="AV156" s="1676"/>
      <c r="AW156" s="1676">
        <v>1.395</v>
      </c>
      <c r="AX156" s="1676">
        <v>1.4E-3</v>
      </c>
      <c r="AY156" s="1676">
        <v>0.35</v>
      </c>
      <c r="AZ156" s="3134">
        <v>4.4499999999999997E-4</v>
      </c>
      <c r="BA156" s="1676">
        <v>133.6</v>
      </c>
      <c r="BB156" s="1676">
        <v>0.10100000000000001</v>
      </c>
      <c r="BC156" s="1676">
        <v>1.55E-4</v>
      </c>
      <c r="BD156" s="1676">
        <v>10.244</v>
      </c>
      <c r="BE156" s="1676">
        <v>4282.6400000000003</v>
      </c>
      <c r="BF156" s="1676">
        <v>59.41</v>
      </c>
      <c r="BG156" s="1676"/>
      <c r="BH156" s="1676"/>
      <c r="BI156" s="1676"/>
      <c r="BJ156" s="1676"/>
      <c r="BK156" s="1676"/>
      <c r="BL156" s="1676"/>
      <c r="BM156" s="1676"/>
      <c r="BN156" s="1676"/>
      <c r="BO156" s="1676"/>
      <c r="BP156" s="3359"/>
    </row>
    <row r="157" spans="1:68" ht="12.75" customHeight="1" x14ac:dyDescent="0.25">
      <c r="A157" s="1675" t="s">
        <v>4381</v>
      </c>
      <c r="B157" s="1676" t="s">
        <v>4382</v>
      </c>
      <c r="C157" s="1676" t="s">
        <v>842</v>
      </c>
      <c r="D157" s="1676">
        <v>1</v>
      </c>
      <c r="E157" s="1676"/>
      <c r="F157" s="1675" t="s">
        <v>4381</v>
      </c>
      <c r="G157" s="1676"/>
      <c r="H157" s="1676"/>
      <c r="I157" s="1676"/>
      <c r="J157" s="1676"/>
      <c r="K157" s="1676"/>
      <c r="L157" s="1676"/>
      <c r="M157" s="1676"/>
      <c r="N157" s="1676"/>
      <c r="O157" s="1676"/>
      <c r="P157" s="1676"/>
      <c r="Q157" s="1676"/>
      <c r="R157" s="1676"/>
      <c r="S157" s="1676"/>
      <c r="T157" s="3321">
        <v>86.1</v>
      </c>
      <c r="U157" s="2187">
        <v>6.7</v>
      </c>
      <c r="V157" s="2187">
        <v>61</v>
      </c>
      <c r="W157" s="2187">
        <v>220</v>
      </c>
      <c r="X157" s="2187" t="s">
        <v>4457</v>
      </c>
      <c r="Y157" s="2567"/>
      <c r="Z157" s="2212"/>
      <c r="AA157" s="2212"/>
      <c r="AB157" s="3321"/>
      <c r="AC157" s="3321">
        <v>162.5</v>
      </c>
      <c r="AD157" s="3321">
        <v>15.9</v>
      </c>
      <c r="AE157" s="3321"/>
      <c r="AF157" s="3321"/>
      <c r="AG157" s="3321"/>
      <c r="AH157" s="3321"/>
      <c r="AI157" s="3321"/>
      <c r="AJ157" s="3321">
        <v>67</v>
      </c>
      <c r="AK157" s="3321">
        <v>2</v>
      </c>
      <c r="AL157" s="3321"/>
      <c r="AM157" s="3321"/>
      <c r="AN157" s="3321">
        <v>3</v>
      </c>
      <c r="AO157" s="3321">
        <v>2</v>
      </c>
      <c r="AP157" s="3321">
        <v>2</v>
      </c>
      <c r="AQ157" s="3321" t="s">
        <v>139</v>
      </c>
      <c r="AR157" s="3321" t="s">
        <v>138</v>
      </c>
      <c r="AS157" s="1676" t="s">
        <v>1514</v>
      </c>
      <c r="AT157" s="1676"/>
      <c r="AU157" s="1676"/>
      <c r="AV157" s="1676"/>
      <c r="AW157" s="1676">
        <v>1.05</v>
      </c>
      <c r="AX157" s="1676">
        <v>1.1900000000000001E-3</v>
      </c>
      <c r="AY157" s="1676">
        <v>0.46400000000000002</v>
      </c>
      <c r="AZ157" s="1676">
        <v>7.9000000000000001E-4</v>
      </c>
      <c r="BA157" s="1676">
        <v>170.4</v>
      </c>
      <c r="BB157" s="1676">
        <v>0.24099999999999999</v>
      </c>
      <c r="BC157" s="1676"/>
      <c r="BD157" s="1676">
        <v>13.37750089</v>
      </c>
      <c r="BE157" s="1676">
        <v>5844.9605970000002</v>
      </c>
      <c r="BF157" s="1676"/>
      <c r="BG157" s="1676"/>
      <c r="BH157" s="1676"/>
      <c r="BI157" s="1676"/>
      <c r="BJ157" s="1676"/>
      <c r="BK157" s="1676"/>
      <c r="BL157" s="1676"/>
      <c r="BM157" s="1676"/>
      <c r="BN157" s="1676"/>
      <c r="BO157" s="1676"/>
      <c r="BP157" s="1676"/>
    </row>
    <row r="158" spans="1:68" ht="12.75" customHeight="1" x14ac:dyDescent="0.25">
      <c r="A158" s="1675" t="s">
        <v>4383</v>
      </c>
      <c r="B158" s="1676" t="s">
        <v>4384</v>
      </c>
      <c r="C158" s="1676" t="s">
        <v>842</v>
      </c>
      <c r="D158" s="1676">
        <v>1</v>
      </c>
      <c r="E158" s="1676"/>
      <c r="F158" s="1675" t="s">
        <v>4383</v>
      </c>
      <c r="G158" s="1676"/>
      <c r="H158" s="1676"/>
      <c r="I158" s="1676"/>
      <c r="J158" s="1676"/>
      <c r="K158" s="1676"/>
      <c r="L158" s="1676"/>
      <c r="M158" s="1676"/>
      <c r="N158" s="1676"/>
      <c r="O158" s="1676"/>
      <c r="P158" s="1676"/>
      <c r="Q158" s="1676"/>
      <c r="R158" s="1676"/>
      <c r="S158" s="1676"/>
      <c r="T158" s="3321">
        <v>67.09</v>
      </c>
      <c r="U158" s="2187"/>
      <c r="V158" s="2187">
        <v>1</v>
      </c>
      <c r="W158" s="2187">
        <v>3.1</v>
      </c>
      <c r="X158" s="2187" t="s">
        <v>4457</v>
      </c>
      <c r="Y158" s="2567"/>
      <c r="Z158" s="2212"/>
      <c r="AA158" s="2212"/>
      <c r="AB158" s="3321"/>
      <c r="AC158" s="3321">
        <v>90.3</v>
      </c>
      <c r="AD158" s="3321">
        <v>-36.200000000000003</v>
      </c>
      <c r="AE158" s="3321"/>
      <c r="AF158" s="3321"/>
      <c r="AG158" s="3321"/>
      <c r="AH158" s="3321"/>
      <c r="AI158" s="3321"/>
      <c r="AJ158" s="3321">
        <v>21</v>
      </c>
      <c r="AK158" s="3321">
        <v>1.7</v>
      </c>
      <c r="AL158" s="3321"/>
      <c r="AM158" s="3321"/>
      <c r="AN158" s="3321">
        <v>4</v>
      </c>
      <c r="AO158" s="3321">
        <v>3</v>
      </c>
      <c r="AP158" s="3321">
        <v>2</v>
      </c>
      <c r="AQ158" s="3321" t="s">
        <v>139</v>
      </c>
      <c r="AR158" s="3321" t="s">
        <v>138</v>
      </c>
      <c r="AS158" s="1676" t="s">
        <v>1091</v>
      </c>
      <c r="AT158" s="1676"/>
      <c r="AU158" s="1676"/>
      <c r="AV158" s="1676"/>
      <c r="AW158" s="1676">
        <v>0.81599999999999995</v>
      </c>
      <c r="AX158" s="1676">
        <v>1.145E-3</v>
      </c>
      <c r="AY158" s="1676">
        <v>0.46500000000000002</v>
      </c>
      <c r="AZ158" s="1676">
        <v>7.5000000000000002E-4</v>
      </c>
      <c r="BA158" s="1676">
        <v>121.3</v>
      </c>
      <c r="BB158" s="1676">
        <v>0.17272699999999999</v>
      </c>
      <c r="BC158" s="1676">
        <v>2.52E-4</v>
      </c>
      <c r="BD158" s="1676">
        <v>9.8336000000000006</v>
      </c>
      <c r="BE158" s="1676">
        <v>3310.79</v>
      </c>
      <c r="BF158" s="1676">
        <v>26.79</v>
      </c>
      <c r="BG158" s="1676"/>
      <c r="BH158" s="1676"/>
      <c r="BI158" s="1676"/>
      <c r="BJ158" s="1676"/>
      <c r="BK158" s="1676"/>
      <c r="BL158" s="1676"/>
      <c r="BM158" s="1676"/>
      <c r="BN158" s="1676"/>
      <c r="BO158" s="1676"/>
      <c r="BP158" s="1676"/>
    </row>
    <row r="159" spans="1:68" ht="12.75" customHeight="1" x14ac:dyDescent="0.25">
      <c r="A159" s="3312" t="s">
        <v>1441</v>
      </c>
      <c r="B159" s="3362" t="s">
        <v>1237</v>
      </c>
      <c r="C159" s="1655" t="s">
        <v>842</v>
      </c>
      <c r="D159" s="1655">
        <v>1</v>
      </c>
      <c r="E159" s="1655"/>
      <c r="F159" s="3312" t="s">
        <v>1441</v>
      </c>
      <c r="G159" s="1655"/>
      <c r="H159" s="1655"/>
      <c r="I159" s="1655"/>
      <c r="J159" s="1655"/>
      <c r="K159" s="1655"/>
      <c r="L159" s="1655"/>
      <c r="M159" s="1655"/>
      <c r="N159" s="1655"/>
      <c r="O159" s="1655"/>
      <c r="P159" s="1655"/>
      <c r="Q159" s="1655"/>
      <c r="R159" s="1655"/>
      <c r="S159" s="1655"/>
      <c r="T159" s="1655">
        <v>16.04</v>
      </c>
      <c r="U159" s="2211">
        <v>2900</v>
      </c>
      <c r="V159" s="2211">
        <v>2900</v>
      </c>
      <c r="W159" s="2211">
        <v>17000</v>
      </c>
      <c r="X159" s="2199" t="s">
        <v>4459</v>
      </c>
      <c r="Y159" s="2559"/>
      <c r="Z159" s="2080"/>
      <c r="AA159" s="2080"/>
      <c r="AB159" s="1655"/>
      <c r="AC159" s="1655">
        <v>-161.5</v>
      </c>
      <c r="AD159" s="1655">
        <v>-182.5</v>
      </c>
      <c r="AE159" s="1655"/>
      <c r="AF159" s="1655"/>
      <c r="AG159" s="1655"/>
      <c r="AH159" s="1655"/>
      <c r="AI159" s="1655"/>
      <c r="AJ159" s="1655">
        <v>-187.2</v>
      </c>
      <c r="AK159" s="1655">
        <v>5</v>
      </c>
      <c r="AL159" s="1655">
        <v>4.7</v>
      </c>
      <c r="AM159" s="1655">
        <v>210</v>
      </c>
      <c r="AN159" s="1655">
        <v>1</v>
      </c>
      <c r="AO159" s="1655">
        <v>4</v>
      </c>
      <c r="AP159" s="1655">
        <v>0</v>
      </c>
      <c r="AQ159" s="1655" t="s">
        <v>139</v>
      </c>
      <c r="AR159" s="1655" t="s">
        <v>140</v>
      </c>
      <c r="AS159" s="1655"/>
      <c r="AT159" s="1655"/>
      <c r="AU159" s="1655"/>
      <c r="AV159" s="1655"/>
      <c r="AW159" s="1655">
        <v>0.124</v>
      </c>
      <c r="AX159" s="1655">
        <v>1.7600000000000001E-3</v>
      </c>
      <c r="AY159" s="1655">
        <v>1.4339999999999999</v>
      </c>
      <c r="AZ159" s="3365">
        <v>3.7499999999999999E-3</v>
      </c>
      <c r="BA159" s="1655">
        <v>44.8</v>
      </c>
      <c r="BB159" s="1655">
        <v>0.41699999999999998</v>
      </c>
      <c r="BC159" s="1655"/>
      <c r="BD159" s="1655">
        <v>9.2859999999999996</v>
      </c>
      <c r="BE159" s="1655">
        <v>1037.0999999999999</v>
      </c>
      <c r="BF159" s="1655"/>
      <c r="BG159" s="1655"/>
      <c r="BH159" s="1655"/>
      <c r="BI159" s="1655"/>
      <c r="BJ159" s="1655"/>
      <c r="BK159" s="1655"/>
      <c r="BL159" s="1655"/>
      <c r="BM159" s="1655"/>
      <c r="BN159" s="1655"/>
      <c r="BO159" s="1655"/>
      <c r="BP159" s="1655"/>
    </row>
    <row r="160" spans="1:68" ht="12.75" customHeight="1" x14ac:dyDescent="0.25">
      <c r="A160" s="3312" t="s">
        <v>1788</v>
      </c>
      <c r="B160" s="3362" t="s">
        <v>1238</v>
      </c>
      <c r="C160" s="1655" t="s">
        <v>842</v>
      </c>
      <c r="D160" s="1655">
        <v>1</v>
      </c>
      <c r="E160" s="1655"/>
      <c r="F160" s="3312" t="s">
        <v>1788</v>
      </c>
      <c r="G160" s="1655"/>
      <c r="H160" s="1655"/>
      <c r="I160" s="1655"/>
      <c r="J160" s="1655"/>
      <c r="K160" s="1655"/>
      <c r="L160" s="1655"/>
      <c r="M160" s="1655"/>
      <c r="N160" s="1655"/>
      <c r="O160" s="1655"/>
      <c r="P160" s="1655"/>
      <c r="Q160" s="1655"/>
      <c r="R160" s="1655"/>
      <c r="S160" s="1655"/>
      <c r="T160" s="1655">
        <v>32.04</v>
      </c>
      <c r="U160" s="1655">
        <v>200</v>
      </c>
      <c r="V160" s="1655">
        <v>1000</v>
      </c>
      <c r="W160" s="1655">
        <v>5000</v>
      </c>
      <c r="X160" s="2199" t="s">
        <v>4259</v>
      </c>
      <c r="Y160" s="2559"/>
      <c r="Z160" s="2080"/>
      <c r="AA160" s="2080"/>
      <c r="AB160" s="1655"/>
      <c r="AC160" s="1655">
        <v>65</v>
      </c>
      <c r="AD160" s="1655">
        <v>-97</v>
      </c>
      <c r="AE160" s="1655"/>
      <c r="AF160" s="1655"/>
      <c r="AG160" s="1655"/>
      <c r="AH160" s="1655"/>
      <c r="AI160" s="1655"/>
      <c r="AJ160" s="1655">
        <v>11</v>
      </c>
      <c r="AK160" s="1655">
        <v>6.7</v>
      </c>
      <c r="AL160" s="1655">
        <v>36</v>
      </c>
      <c r="AM160" s="1655">
        <v>385</v>
      </c>
      <c r="AN160" s="1655">
        <v>1</v>
      </c>
      <c r="AO160" s="1655">
        <v>3</v>
      </c>
      <c r="AP160" s="1655">
        <v>0</v>
      </c>
      <c r="AQ160" s="1655" t="s">
        <v>139</v>
      </c>
      <c r="AR160" s="1655" t="s">
        <v>138</v>
      </c>
      <c r="AS160" s="1655"/>
      <c r="AT160" s="1655"/>
      <c r="AU160" s="1655"/>
      <c r="AV160" s="1655" t="s">
        <v>158</v>
      </c>
      <c r="AW160" s="1655">
        <v>0.79500000000000004</v>
      </c>
      <c r="AX160" s="1655">
        <v>8.7699999999999996E-4</v>
      </c>
      <c r="AY160" s="1655">
        <v>0.61299999999999999</v>
      </c>
      <c r="AZ160" s="3365">
        <v>1.8220000000000001E-3</v>
      </c>
      <c r="BA160" s="1655">
        <v>285.2</v>
      </c>
      <c r="BB160" s="1655">
        <v>0.28129999999999999</v>
      </c>
      <c r="BC160" s="1655">
        <v>1.193E-3</v>
      </c>
      <c r="BD160" s="1655">
        <v>12.0992</v>
      </c>
      <c r="BE160" s="1655">
        <v>3737.63</v>
      </c>
      <c r="BF160" s="1655">
        <v>28.89</v>
      </c>
      <c r="BG160" s="1655"/>
      <c r="BH160" s="1655"/>
      <c r="BI160" s="1655"/>
      <c r="BJ160" s="1655"/>
      <c r="BK160" s="1655"/>
      <c r="BL160" s="1655"/>
      <c r="BM160" s="1655"/>
      <c r="BN160" s="1655"/>
      <c r="BO160" s="1655"/>
      <c r="BP160" s="1655"/>
    </row>
    <row r="161" spans="1:68" ht="12.75" customHeight="1" x14ac:dyDescent="0.25">
      <c r="A161" s="1652" t="s">
        <v>4385</v>
      </c>
      <c r="B161" s="1653" t="s">
        <v>4386</v>
      </c>
      <c r="C161" s="1653" t="s">
        <v>842</v>
      </c>
      <c r="D161" s="1653">
        <v>1</v>
      </c>
      <c r="E161" s="1653"/>
      <c r="F161" s="1652" t="s">
        <v>4385</v>
      </c>
      <c r="G161" s="1653"/>
      <c r="H161" s="1653"/>
      <c r="I161" s="1653"/>
      <c r="J161" s="1653"/>
      <c r="K161" s="1653"/>
      <c r="L161" s="1653"/>
      <c r="M161" s="1653"/>
      <c r="N161" s="1653"/>
      <c r="O161" s="1653"/>
      <c r="P161" s="1653"/>
      <c r="Q161" s="1653"/>
      <c r="R161" s="1653"/>
      <c r="S161" s="1653"/>
      <c r="T161" s="2208">
        <v>86.09</v>
      </c>
      <c r="U161" s="2208">
        <v>6</v>
      </c>
      <c r="V161" s="2208">
        <v>170</v>
      </c>
      <c r="W161" s="2208">
        <v>1000</v>
      </c>
      <c r="X161" s="2187" t="s">
        <v>4459</v>
      </c>
      <c r="Y161" s="2567"/>
      <c r="Z161" s="2212"/>
      <c r="AA161" s="2212"/>
      <c r="AB161" s="2208"/>
      <c r="AC161" s="2208">
        <v>80.7</v>
      </c>
      <c r="AD161" s="2208">
        <v>-75</v>
      </c>
      <c r="AE161" s="2208"/>
      <c r="AF161" s="2208"/>
      <c r="AG161" s="2208"/>
      <c r="AH161" s="2208"/>
      <c r="AI161" s="2208"/>
      <c r="AJ161" s="2208">
        <v>-3</v>
      </c>
      <c r="AK161" s="2208">
        <v>2.1</v>
      </c>
      <c r="AL161" s="2208"/>
      <c r="AM161" s="2208"/>
      <c r="AN161" s="2208">
        <v>3</v>
      </c>
      <c r="AO161" s="2208">
        <v>3</v>
      </c>
      <c r="AP161" s="2208">
        <v>2</v>
      </c>
      <c r="AQ161" s="2208" t="s">
        <v>139</v>
      </c>
      <c r="AR161" s="2208" t="s">
        <v>138</v>
      </c>
      <c r="AS161" s="1653" t="s">
        <v>599</v>
      </c>
      <c r="AT161" s="1653"/>
      <c r="AU161" s="1653"/>
      <c r="AV161" s="1653" t="s">
        <v>158</v>
      </c>
      <c r="AW161" s="1653">
        <v>0.97668229411764695</v>
      </c>
      <c r="AX161" s="1653">
        <v>1.4640705882352899E-3</v>
      </c>
      <c r="AY161" s="1653">
        <v>0.37061064705882352</v>
      </c>
      <c r="AZ161" s="1653">
        <v>7.216647058823529E-4</v>
      </c>
      <c r="BA161" s="1653">
        <v>97.920070588235291</v>
      </c>
      <c r="BB161" s="1653">
        <v>0.18156294117647054</v>
      </c>
      <c r="BC161" s="1653">
        <v>0</v>
      </c>
      <c r="BD161" s="1653">
        <v>11.301305488051336</v>
      </c>
      <c r="BE161" s="1653">
        <v>4043.2134562167771</v>
      </c>
      <c r="BF161" s="1653">
        <v>0</v>
      </c>
      <c r="BG161" s="1653"/>
      <c r="BH161" s="1653"/>
      <c r="BI161" s="1653"/>
      <c r="BJ161" s="1653"/>
      <c r="BK161" s="1653"/>
      <c r="BL161" s="1653"/>
      <c r="BM161" s="1653"/>
      <c r="BN161" s="1653"/>
      <c r="BO161" s="1653"/>
      <c r="BP161" s="1653"/>
    </row>
    <row r="162" spans="1:68" ht="12.75" customHeight="1" x14ac:dyDescent="0.25">
      <c r="A162" s="3281" t="s">
        <v>1239</v>
      </c>
      <c r="B162" s="1653" t="s">
        <v>1240</v>
      </c>
      <c r="C162" s="1653" t="s">
        <v>842</v>
      </c>
      <c r="D162" s="1653">
        <v>1</v>
      </c>
      <c r="E162" s="1653"/>
      <c r="F162" s="3281" t="s">
        <v>1239</v>
      </c>
      <c r="G162" s="1653"/>
      <c r="H162" s="1653"/>
      <c r="I162" s="1653"/>
      <c r="J162" s="1653"/>
      <c r="K162" s="1653"/>
      <c r="L162" s="1653"/>
      <c r="M162" s="1653"/>
      <c r="N162" s="1653"/>
      <c r="O162" s="1653"/>
      <c r="P162" s="1653"/>
      <c r="Q162" s="1653"/>
      <c r="R162" s="1653"/>
      <c r="S162" s="1653"/>
      <c r="T162" s="1653">
        <v>31.08</v>
      </c>
      <c r="U162" s="1653">
        <v>10</v>
      </c>
      <c r="V162" s="1653">
        <v>100</v>
      </c>
      <c r="W162" s="1653">
        <v>500</v>
      </c>
      <c r="X162" s="2199" t="s">
        <v>4259</v>
      </c>
      <c r="Y162" s="2559"/>
      <c r="Z162" s="2080"/>
      <c r="AA162" s="2080"/>
      <c r="AB162" s="1653"/>
      <c r="AC162" s="1653">
        <v>-6.3</v>
      </c>
      <c r="AD162" s="1653">
        <v>-93.5</v>
      </c>
      <c r="AE162" s="1653"/>
      <c r="AF162" s="1653"/>
      <c r="AG162" s="1653"/>
      <c r="AH162" s="1653"/>
      <c r="AI162" s="1653"/>
      <c r="AJ162" s="1653">
        <v>-62</v>
      </c>
      <c r="AK162" s="1653">
        <v>4.9000000000000004</v>
      </c>
      <c r="AL162" s="1653"/>
      <c r="AM162" s="1653"/>
      <c r="AN162" s="1653">
        <v>3</v>
      </c>
      <c r="AO162" s="1653">
        <v>4</v>
      </c>
      <c r="AP162" s="1653">
        <v>0</v>
      </c>
      <c r="AQ162" s="1653"/>
      <c r="AR162" s="1653"/>
      <c r="AS162" s="1653" t="s">
        <v>599</v>
      </c>
      <c r="AT162" s="1653"/>
      <c r="AU162" s="1653"/>
      <c r="AV162" s="1653"/>
      <c r="AW162" s="1653">
        <v>0.67900000000000005</v>
      </c>
      <c r="AX162" s="1653">
        <v>1.206E-3</v>
      </c>
      <c r="AY162" s="1653">
        <v>0.83299999999999996</v>
      </c>
      <c r="AZ162" s="1654">
        <v>-1.2400000000000001E-4</v>
      </c>
      <c r="BA162" s="1653">
        <v>195.4</v>
      </c>
      <c r="BB162" s="1653">
        <v>0.51038099999999997</v>
      </c>
      <c r="BC162" s="1653">
        <v>3.4600000000000001E-4</v>
      </c>
      <c r="BD162" s="1653">
        <v>10.1656</v>
      </c>
      <c r="BE162" s="1653">
        <v>2309.35</v>
      </c>
      <c r="BF162" s="1653">
        <v>39.68</v>
      </c>
      <c r="BG162" s="1653"/>
      <c r="BH162" s="1653"/>
      <c r="BI162" s="1653"/>
      <c r="BJ162" s="1653"/>
      <c r="BK162" s="1653"/>
      <c r="BL162" s="1653"/>
      <c r="BM162" s="1653"/>
      <c r="BN162" s="1653"/>
      <c r="BO162" s="1653"/>
      <c r="BP162" s="1653"/>
    </row>
    <row r="163" spans="1:68" ht="12.75" customHeight="1" x14ac:dyDescent="0.25">
      <c r="A163" s="1652" t="s">
        <v>1536</v>
      </c>
      <c r="B163" s="2868" t="s">
        <v>1713</v>
      </c>
      <c r="C163" s="1653" t="s">
        <v>842</v>
      </c>
      <c r="D163" s="1653">
        <v>1</v>
      </c>
      <c r="E163" s="1653"/>
      <c r="F163" s="1652" t="s">
        <v>1536</v>
      </c>
      <c r="G163" s="1653"/>
      <c r="H163" s="1653"/>
      <c r="I163" s="1653"/>
      <c r="J163" s="1653"/>
      <c r="K163" s="1653"/>
      <c r="L163" s="1653"/>
      <c r="M163" s="1653"/>
      <c r="N163" s="1653"/>
      <c r="O163" s="1653"/>
      <c r="P163" s="1653"/>
      <c r="Q163" s="1653"/>
      <c r="R163" s="1653"/>
      <c r="S163" s="1653"/>
      <c r="T163" s="1653">
        <v>50.49</v>
      </c>
      <c r="U163" s="1653">
        <v>150</v>
      </c>
      <c r="V163" s="1653">
        <v>1000</v>
      </c>
      <c r="W163" s="1653">
        <v>3000</v>
      </c>
      <c r="X163" s="2199" t="s">
        <v>4259</v>
      </c>
      <c r="Y163" s="2559"/>
      <c r="Z163" s="2080"/>
      <c r="AA163" s="2080"/>
      <c r="AB163" s="1653"/>
      <c r="AC163" s="1653">
        <v>-24.2</v>
      </c>
      <c r="AD163" s="1653">
        <v>-97.7</v>
      </c>
      <c r="AE163" s="1653"/>
      <c r="AF163" s="1653"/>
      <c r="AG163" s="1653"/>
      <c r="AH163" s="1653"/>
      <c r="AI163" s="1653"/>
      <c r="AJ163" s="1653">
        <v>-45</v>
      </c>
      <c r="AK163" s="1653">
        <v>7</v>
      </c>
      <c r="AL163" s="1653"/>
      <c r="AM163" s="1653"/>
      <c r="AN163" s="1653">
        <v>1</v>
      </c>
      <c r="AO163" s="1653">
        <v>4</v>
      </c>
      <c r="AP163" s="1653">
        <v>0</v>
      </c>
      <c r="AQ163" s="1653" t="s">
        <v>139</v>
      </c>
      <c r="AR163" s="1653" t="s">
        <v>138</v>
      </c>
      <c r="AS163" s="1653"/>
      <c r="AT163" s="1653"/>
      <c r="AU163" s="1653"/>
      <c r="AV163" s="1653"/>
      <c r="AW163" s="1653">
        <v>0.96699999999999997</v>
      </c>
      <c r="AX163" s="1653">
        <v>3.3E-3</v>
      </c>
      <c r="AY163" s="1653">
        <v>0.39600000000000002</v>
      </c>
      <c r="AZ163" s="1654">
        <v>1.7899999999999999E-3</v>
      </c>
      <c r="BA163" s="1653">
        <v>96.6</v>
      </c>
      <c r="BB163" s="1653">
        <v>0.52</v>
      </c>
      <c r="BC163" s="1653"/>
      <c r="BD163" s="1653">
        <v>10.375999999999999</v>
      </c>
      <c r="BE163" s="1653">
        <v>2575.6</v>
      </c>
      <c r="BF163" s="1653"/>
      <c r="BG163" s="1653"/>
      <c r="BH163" s="1653"/>
      <c r="BI163" s="1653"/>
      <c r="BJ163" s="1653"/>
      <c r="BK163" s="1653"/>
      <c r="BL163" s="1653"/>
      <c r="BM163" s="1653"/>
      <c r="BN163" s="1653"/>
      <c r="BO163" s="1653"/>
      <c r="BP163" s="1653"/>
    </row>
    <row r="164" spans="1:68" ht="12.75" customHeight="1" x14ac:dyDescent="0.25">
      <c r="A164" s="3281" t="s">
        <v>199</v>
      </c>
      <c r="B164" s="1653" t="s">
        <v>200</v>
      </c>
      <c r="C164" s="1653" t="s">
        <v>842</v>
      </c>
      <c r="D164" s="1653">
        <v>1</v>
      </c>
      <c r="E164" s="1653"/>
      <c r="F164" s="3281" t="s">
        <v>199</v>
      </c>
      <c r="G164" s="1653"/>
      <c r="H164" s="1653"/>
      <c r="I164" s="1653"/>
      <c r="J164" s="1653"/>
      <c r="K164" s="1653"/>
      <c r="L164" s="1653"/>
      <c r="M164" s="1653"/>
      <c r="N164" s="1653"/>
      <c r="O164" s="1653"/>
      <c r="P164" s="1653"/>
      <c r="Q164" s="1653"/>
      <c r="R164" s="1653"/>
      <c r="S164" s="1653"/>
      <c r="T164" s="1653">
        <v>97.5</v>
      </c>
      <c r="U164" s="2199"/>
      <c r="V164" s="2199">
        <v>2</v>
      </c>
      <c r="W164" s="2199">
        <v>5</v>
      </c>
      <c r="X164" s="2199" t="s">
        <v>4259</v>
      </c>
      <c r="Y164" s="2559"/>
      <c r="Z164" s="2080"/>
      <c r="AA164" s="2080"/>
      <c r="AB164" s="1653"/>
      <c r="AC164" s="1653">
        <v>71.2</v>
      </c>
      <c r="AD164" s="1653"/>
      <c r="AE164" s="1653"/>
      <c r="AF164" s="1653"/>
      <c r="AG164" s="1653"/>
      <c r="AH164" s="1653"/>
      <c r="AI164" s="1653"/>
      <c r="AJ164" s="1653">
        <v>12</v>
      </c>
      <c r="AK164" s="1653"/>
      <c r="AL164" s="1653"/>
      <c r="AM164" s="1653"/>
      <c r="AN164" s="1653">
        <v>3</v>
      </c>
      <c r="AO164" s="1653">
        <v>3</v>
      </c>
      <c r="AP164" s="1653">
        <v>0</v>
      </c>
      <c r="AQ164" s="1653"/>
      <c r="AR164" s="1653"/>
      <c r="AS164" s="1653" t="s">
        <v>599</v>
      </c>
      <c r="AT164" s="1653"/>
      <c r="AU164" s="1653"/>
      <c r="AV164" s="1653"/>
      <c r="AW164" s="1653">
        <v>1.244</v>
      </c>
      <c r="AX164" s="1653">
        <v>1.714E-3</v>
      </c>
      <c r="AY164" s="1653">
        <v>0.318</v>
      </c>
      <c r="AZ164" s="1654">
        <v>5.2859999999999995E-4</v>
      </c>
      <c r="BA164" s="1653">
        <v>90.3</v>
      </c>
      <c r="BB164" s="1653">
        <v>0.13326499999999999</v>
      </c>
      <c r="BC164" s="1653">
        <v>2.4899999999999998E-4</v>
      </c>
      <c r="BD164" s="1653">
        <v>9.9372000000000007</v>
      </c>
      <c r="BE164" s="1653">
        <v>2966.51</v>
      </c>
      <c r="BF164" s="1653">
        <v>54.94</v>
      </c>
      <c r="BG164" s="1653"/>
      <c r="BH164" s="1653"/>
      <c r="BI164" s="1653"/>
      <c r="BJ164" s="1653"/>
      <c r="BK164" s="1653"/>
      <c r="BL164" s="1653"/>
      <c r="BM164" s="1653"/>
      <c r="BN164" s="1653"/>
      <c r="BO164" s="1653"/>
      <c r="BP164" s="1653"/>
    </row>
    <row r="165" spans="1:68" ht="12.75" customHeight="1" x14ac:dyDescent="0.25">
      <c r="A165" s="1652" t="s">
        <v>4387</v>
      </c>
      <c r="B165" s="1653" t="s">
        <v>4388</v>
      </c>
      <c r="C165" s="1653" t="s">
        <v>842</v>
      </c>
      <c r="D165" s="1653">
        <v>1</v>
      </c>
      <c r="E165" s="1653"/>
      <c r="F165" s="1652" t="s">
        <v>4387</v>
      </c>
      <c r="G165" s="1653"/>
      <c r="H165" s="1653"/>
      <c r="I165" s="1653"/>
      <c r="J165" s="1653"/>
      <c r="K165" s="1653"/>
      <c r="L165" s="1653"/>
      <c r="M165" s="1653"/>
      <c r="N165" s="1653"/>
      <c r="O165" s="1653"/>
      <c r="P165" s="1653"/>
      <c r="Q165" s="1653"/>
      <c r="R165" s="1653"/>
      <c r="S165" s="1653"/>
      <c r="T165" s="2208">
        <v>115.033</v>
      </c>
      <c r="U165" s="2208">
        <v>0.9</v>
      </c>
      <c r="V165" s="2208">
        <v>11</v>
      </c>
      <c r="W165" s="2208">
        <v>50</v>
      </c>
      <c r="X165" s="2187" t="s">
        <v>4457</v>
      </c>
      <c r="Y165" s="2567"/>
      <c r="Z165" s="2212"/>
      <c r="AA165" s="2212"/>
      <c r="AB165" s="2208"/>
      <c r="AC165" s="2208">
        <v>41.3</v>
      </c>
      <c r="AD165" s="2208">
        <v>-92.5</v>
      </c>
      <c r="AE165" s="2208"/>
      <c r="AF165" s="2208"/>
      <c r="AG165" s="2208"/>
      <c r="AH165" s="2208"/>
      <c r="AI165" s="2208"/>
      <c r="AJ165" s="2208">
        <v>-32</v>
      </c>
      <c r="AK165" s="2208">
        <v>3.4</v>
      </c>
      <c r="AL165" s="2208"/>
      <c r="AM165" s="2208">
        <v>244</v>
      </c>
      <c r="AN165" s="2208">
        <v>3</v>
      </c>
      <c r="AO165" s="2208">
        <v>3</v>
      </c>
      <c r="AP165" s="2208">
        <v>0</v>
      </c>
      <c r="AQ165" s="2208"/>
      <c r="AR165" s="2208"/>
      <c r="AS165" s="1653" t="s">
        <v>1514</v>
      </c>
      <c r="AT165" s="1653"/>
      <c r="AU165" s="1653"/>
      <c r="AV165" s="1653"/>
      <c r="AW165" s="1653">
        <v>1.1456999999999999</v>
      </c>
      <c r="AX165" s="1653">
        <v>1.7570000000000001E-3</v>
      </c>
      <c r="AY165" s="1653">
        <v>0.29081400000000002</v>
      </c>
      <c r="AZ165" s="1653">
        <v>8.61E-4</v>
      </c>
      <c r="BA165" s="1653">
        <v>59.81</v>
      </c>
      <c r="BB165" s="1653">
        <v>8.0199999999999994E-2</v>
      </c>
      <c r="BC165" s="1653">
        <v>5.1999999999999995E-4</v>
      </c>
      <c r="BD165" s="1653">
        <v>9.4484530000000007</v>
      </c>
      <c r="BE165" s="1653">
        <v>2642.4380000000001</v>
      </c>
      <c r="BF165" s="1653">
        <v>34.99</v>
      </c>
      <c r="BG165" s="1653"/>
      <c r="BH165" s="1653"/>
      <c r="BI165" s="1653"/>
      <c r="BJ165" s="1653"/>
      <c r="BK165" s="1653"/>
      <c r="BL165" s="1653"/>
      <c r="BM165" s="1653"/>
      <c r="BN165" s="1653"/>
      <c r="BO165" s="1653"/>
      <c r="BP165" s="1653"/>
    </row>
    <row r="166" spans="1:68" ht="12.75" customHeight="1" x14ac:dyDescent="0.25">
      <c r="A166" s="1652" t="s">
        <v>201</v>
      </c>
      <c r="B166" s="1653" t="s">
        <v>202</v>
      </c>
      <c r="C166" s="1653" t="s">
        <v>842</v>
      </c>
      <c r="D166" s="1653">
        <v>1</v>
      </c>
      <c r="E166" s="1653"/>
      <c r="F166" s="1652" t="s">
        <v>201</v>
      </c>
      <c r="G166" s="1653"/>
      <c r="H166" s="1653"/>
      <c r="I166" s="1653"/>
      <c r="J166" s="1653"/>
      <c r="K166" s="1653"/>
      <c r="L166" s="1653"/>
      <c r="M166" s="1653"/>
      <c r="N166" s="1653"/>
      <c r="O166" s="1653"/>
      <c r="P166" s="1653"/>
      <c r="Q166" s="1653"/>
      <c r="R166" s="1653"/>
      <c r="S166" s="1653"/>
      <c r="T166" s="1653">
        <v>72.11</v>
      </c>
      <c r="U166" s="2187">
        <v>100</v>
      </c>
      <c r="V166" s="2187">
        <v>2700</v>
      </c>
      <c r="W166" s="2199">
        <v>4000</v>
      </c>
      <c r="X166" s="2199" t="s">
        <v>4457</v>
      </c>
      <c r="Y166" s="2559"/>
      <c r="Z166" s="2080"/>
      <c r="AA166" s="2080"/>
      <c r="AB166" s="1653"/>
      <c r="AC166" s="1653">
        <v>79.599999999999994</v>
      </c>
      <c r="AD166" s="1653">
        <v>-87.1</v>
      </c>
      <c r="AE166" s="1653"/>
      <c r="AF166" s="1653"/>
      <c r="AG166" s="1653"/>
      <c r="AH166" s="1653"/>
      <c r="AI166" s="1653"/>
      <c r="AJ166" s="1653">
        <v>-9</v>
      </c>
      <c r="AK166" s="1653">
        <v>1.4</v>
      </c>
      <c r="AL166" s="1653"/>
      <c r="AM166" s="1653"/>
      <c r="AN166" s="1653">
        <v>2</v>
      </c>
      <c r="AO166" s="1653">
        <v>3</v>
      </c>
      <c r="AP166" s="1653">
        <v>0</v>
      </c>
      <c r="AQ166" s="1653"/>
      <c r="AR166" s="1653"/>
      <c r="AS166" s="1653"/>
      <c r="AT166" s="1653"/>
      <c r="AU166" s="1653"/>
      <c r="AV166" s="1653" t="s">
        <v>158</v>
      </c>
      <c r="AW166" s="1653">
        <v>0.82</v>
      </c>
      <c r="AX166" s="1653">
        <v>1.129E-3</v>
      </c>
      <c r="AY166" s="1653">
        <v>0.45700000000000002</v>
      </c>
      <c r="AZ166" s="1654">
        <v>1.1257000000000001E-3</v>
      </c>
      <c r="BA166" s="1653">
        <v>118.6</v>
      </c>
      <c r="BB166" s="1653">
        <v>0.14818200000000001</v>
      </c>
      <c r="BC166" s="1653">
        <v>4.0900000000000002E-4</v>
      </c>
      <c r="BD166" s="1653">
        <v>9.9793000000000003</v>
      </c>
      <c r="BE166" s="1653">
        <v>3131.26</v>
      </c>
      <c r="BF166" s="1653">
        <v>39.22</v>
      </c>
      <c r="BG166" s="1653"/>
      <c r="BH166" s="1653"/>
      <c r="BI166" s="1653"/>
      <c r="BJ166" s="1653"/>
      <c r="BK166" s="1653"/>
      <c r="BL166" s="1653"/>
      <c r="BM166" s="1653"/>
      <c r="BN166" s="1653"/>
      <c r="BO166" s="1653"/>
      <c r="BP166" s="1653"/>
    </row>
    <row r="167" spans="1:68" ht="12.75" customHeight="1" x14ac:dyDescent="0.25">
      <c r="A167" s="3281" t="s">
        <v>203</v>
      </c>
      <c r="B167" s="1653" t="s">
        <v>204</v>
      </c>
      <c r="C167" s="1653" t="s">
        <v>842</v>
      </c>
      <c r="D167" s="1653">
        <v>1</v>
      </c>
      <c r="E167" s="1653"/>
      <c r="F167" s="3281" t="s">
        <v>203</v>
      </c>
      <c r="G167" s="1653"/>
      <c r="H167" s="1653"/>
      <c r="I167" s="1653"/>
      <c r="J167" s="1653"/>
      <c r="K167" s="1653"/>
      <c r="L167" s="1653"/>
      <c r="M167" s="1653"/>
      <c r="N167" s="1653"/>
      <c r="O167" s="1653"/>
      <c r="P167" s="1653"/>
      <c r="Q167" s="1653"/>
      <c r="R167" s="1653"/>
      <c r="S167" s="1653"/>
      <c r="T167" s="1653">
        <v>141.94</v>
      </c>
      <c r="U167" s="1653">
        <v>25</v>
      </c>
      <c r="V167" s="1653">
        <v>50</v>
      </c>
      <c r="W167" s="1653">
        <v>125</v>
      </c>
      <c r="X167" s="2199" t="s">
        <v>4259</v>
      </c>
      <c r="Y167" s="2559"/>
      <c r="Z167" s="2080"/>
      <c r="AA167" s="2080"/>
      <c r="AB167" s="1653"/>
      <c r="AC167" s="1653">
        <v>42.4</v>
      </c>
      <c r="AD167" s="1653">
        <v>-66.2</v>
      </c>
      <c r="AE167" s="1653"/>
      <c r="AF167" s="1653"/>
      <c r="AG167" s="1653"/>
      <c r="AH167" s="1653"/>
      <c r="AI167" s="1653"/>
      <c r="AJ167" s="1653"/>
      <c r="AK167" s="1653"/>
      <c r="AL167" s="1653"/>
      <c r="AM167" s="1653"/>
      <c r="AN167" s="1653">
        <v>3</v>
      </c>
      <c r="AO167" s="1653">
        <v>0</v>
      </c>
      <c r="AP167" s="1653">
        <v>1</v>
      </c>
      <c r="AQ167" s="1653"/>
      <c r="AR167" s="1653"/>
      <c r="AS167" s="1653" t="s">
        <v>599</v>
      </c>
      <c r="AT167" s="1653"/>
      <c r="AU167" s="1653"/>
      <c r="AV167" s="1653"/>
      <c r="AW167" s="1653">
        <v>2.3199999999999998</v>
      </c>
      <c r="AX167" s="1653">
        <v>3.0479999999999999E-3</v>
      </c>
      <c r="AY167" s="1653">
        <v>0.14000000000000001</v>
      </c>
      <c r="AZ167" s="1654">
        <v>9.5199999999999997E-5</v>
      </c>
      <c r="BA167" s="1653">
        <v>49.7</v>
      </c>
      <c r="BB167" s="1653">
        <v>7.4081999999999995E-2</v>
      </c>
      <c r="BC167" s="1653">
        <v>1.13E-4</v>
      </c>
      <c r="BD167" s="1653">
        <v>9.4619</v>
      </c>
      <c r="BE167" s="1653">
        <v>2650.56</v>
      </c>
      <c r="BF167" s="1653">
        <v>35.42</v>
      </c>
      <c r="BG167" s="1653"/>
      <c r="BH167" s="1653"/>
      <c r="BI167" s="1653"/>
      <c r="BJ167" s="1653"/>
      <c r="BK167" s="1653"/>
      <c r="BL167" s="1653"/>
      <c r="BM167" s="1653"/>
      <c r="BN167" s="1653"/>
      <c r="BO167" s="1653"/>
      <c r="BP167" s="1653"/>
    </row>
    <row r="168" spans="1:68" ht="12.75" customHeight="1" x14ac:dyDescent="0.25">
      <c r="A168" s="1652" t="s">
        <v>955</v>
      </c>
      <c r="B168" s="1653" t="s">
        <v>690</v>
      </c>
      <c r="C168" s="1653" t="s">
        <v>842</v>
      </c>
      <c r="D168" s="1653">
        <v>1</v>
      </c>
      <c r="E168" s="1653"/>
      <c r="F168" s="1652" t="s">
        <v>955</v>
      </c>
      <c r="G168" s="1653"/>
      <c r="H168" s="1653"/>
      <c r="I168" s="1653"/>
      <c r="J168" s="1653"/>
      <c r="K168" s="1653"/>
      <c r="L168" s="1653"/>
      <c r="M168" s="1653"/>
      <c r="N168" s="1653"/>
      <c r="O168" s="1653"/>
      <c r="P168" s="1653"/>
      <c r="Q168" s="1653"/>
      <c r="R168" s="1653"/>
      <c r="S168" s="1653"/>
      <c r="T168" s="1653">
        <v>100.16</v>
      </c>
      <c r="U168" s="2208">
        <v>75</v>
      </c>
      <c r="V168" s="2208">
        <v>490</v>
      </c>
      <c r="W168" s="2208">
        <v>3000</v>
      </c>
      <c r="X168" s="2199" t="s">
        <v>4459</v>
      </c>
      <c r="Y168" s="2559"/>
      <c r="Z168" s="2080"/>
      <c r="AA168" s="2080"/>
      <c r="AB168" s="1653"/>
      <c r="AC168" s="1653">
        <v>116</v>
      </c>
      <c r="AD168" s="1653">
        <v>-84.7</v>
      </c>
      <c r="AE168" s="1653"/>
      <c r="AF168" s="1653"/>
      <c r="AG168" s="1653"/>
      <c r="AH168" s="1653"/>
      <c r="AI168" s="1653"/>
      <c r="AJ168" s="1653">
        <v>13.9</v>
      </c>
      <c r="AK168" s="1653">
        <v>1.5</v>
      </c>
      <c r="AL168" s="1653"/>
      <c r="AM168" s="1653"/>
      <c r="AN168" s="1653">
        <v>2</v>
      </c>
      <c r="AO168" s="1653">
        <v>3</v>
      </c>
      <c r="AP168" s="1653">
        <v>0</v>
      </c>
      <c r="AQ168" s="1653"/>
      <c r="AR168" s="1653"/>
      <c r="AS168" s="1653"/>
      <c r="AT168" s="1653"/>
      <c r="AU168" s="1653"/>
      <c r="AV168" s="1653" t="s">
        <v>158</v>
      </c>
      <c r="AW168" s="1653">
        <v>0.80800000000000005</v>
      </c>
      <c r="AX168" s="1653">
        <v>8.1800000000000004E-4</v>
      </c>
      <c r="AY168" s="1653">
        <v>0.46</v>
      </c>
      <c r="AZ168" s="1654">
        <v>1.0036000000000001E-3</v>
      </c>
      <c r="BA168" s="1653">
        <v>100.8</v>
      </c>
      <c r="BB168" s="1653">
        <v>0.137879</v>
      </c>
      <c r="BC168" s="1653">
        <v>2.2000000000000001E-4</v>
      </c>
      <c r="BD168" s="1653">
        <v>9.9385999999999992</v>
      </c>
      <c r="BE168" s="1653">
        <v>3411.64</v>
      </c>
      <c r="BF168" s="1653">
        <v>46.83</v>
      </c>
      <c r="BG168" s="1653"/>
      <c r="BH168" s="1653"/>
      <c r="BI168" s="1653"/>
      <c r="BJ168" s="1653"/>
      <c r="BK168" s="1653"/>
      <c r="BL168" s="1653"/>
      <c r="BM168" s="1653"/>
      <c r="BN168" s="1653"/>
      <c r="BO168" s="1653"/>
      <c r="BP168" s="1653"/>
    </row>
    <row r="169" spans="1:68" ht="12.75" customHeight="1" x14ac:dyDescent="0.25">
      <c r="A169" s="3360" t="s">
        <v>147</v>
      </c>
      <c r="B169" s="3375" t="s">
        <v>956</v>
      </c>
      <c r="C169" s="1651" t="s">
        <v>842</v>
      </c>
      <c r="D169" s="1651">
        <v>1</v>
      </c>
      <c r="E169" s="1651"/>
      <c r="F169" s="3360" t="s">
        <v>147</v>
      </c>
      <c r="G169" s="1651"/>
      <c r="H169" s="1651"/>
      <c r="I169" s="1651"/>
      <c r="J169" s="1651"/>
      <c r="K169" s="1651"/>
      <c r="L169" s="1651"/>
      <c r="M169" s="1651"/>
      <c r="N169" s="1651"/>
      <c r="O169" s="1651"/>
      <c r="P169" s="1651"/>
      <c r="Q169" s="1651"/>
      <c r="R169" s="1651"/>
      <c r="S169" s="1651"/>
      <c r="T169" s="1651">
        <v>57.05</v>
      </c>
      <c r="U169" s="2199">
        <v>2.5000000000000001E-2</v>
      </c>
      <c r="V169" s="2199">
        <v>0.25</v>
      </c>
      <c r="W169" s="2199">
        <v>1.5</v>
      </c>
      <c r="X169" s="2199" t="s">
        <v>4259</v>
      </c>
      <c r="Y169" s="2559" t="s">
        <v>289</v>
      </c>
      <c r="Z169" s="2080">
        <v>4.5</v>
      </c>
      <c r="AA169" s="2080">
        <v>39.9</v>
      </c>
      <c r="AB169" s="1651">
        <v>0.65300000000000002</v>
      </c>
      <c r="AC169" s="1651">
        <v>38</v>
      </c>
      <c r="AD169" s="1651"/>
      <c r="AE169" s="1651"/>
      <c r="AF169" s="1651"/>
      <c r="AG169" s="1651"/>
      <c r="AH169" s="1651"/>
      <c r="AI169" s="1651"/>
      <c r="AJ169" s="1651">
        <v>-7</v>
      </c>
      <c r="AK169" s="1651">
        <v>5.3</v>
      </c>
      <c r="AL169" s="1651"/>
      <c r="AM169" s="1651"/>
      <c r="AN169" s="1651">
        <v>4</v>
      </c>
      <c r="AO169" s="1651">
        <v>3</v>
      </c>
      <c r="AP169" s="1651">
        <v>2</v>
      </c>
      <c r="AQ169" s="1651" t="s">
        <v>139</v>
      </c>
      <c r="AR169" s="1651" t="s">
        <v>138</v>
      </c>
      <c r="AS169" s="1651"/>
      <c r="AT169" s="1651"/>
      <c r="AU169" s="1651"/>
      <c r="AV169" s="1651"/>
      <c r="AW169" s="1651">
        <v>0.97899999999999998</v>
      </c>
      <c r="AX169" s="1651">
        <v>1.2099999999999999E-3</v>
      </c>
      <c r="AY169" s="1651">
        <v>0.38800000000000001</v>
      </c>
      <c r="AZ169" s="3353">
        <v>6.3000000000000003E-4</v>
      </c>
      <c r="BA169" s="1651">
        <v>121.8</v>
      </c>
      <c r="BB169" s="1651">
        <v>0.19600000000000001</v>
      </c>
      <c r="BC169" s="1651"/>
      <c r="BD169" s="1651">
        <v>11.243</v>
      </c>
      <c r="BE169" s="1651">
        <v>3501.1</v>
      </c>
      <c r="BF169" s="1651"/>
      <c r="BG169" s="1651"/>
      <c r="BH169" s="1651"/>
      <c r="BI169" s="1651"/>
      <c r="BJ169" s="1651"/>
      <c r="BK169" s="1651"/>
      <c r="BL169" s="1651"/>
      <c r="BM169" s="1651"/>
      <c r="BN169" s="1651"/>
      <c r="BO169" s="1651"/>
      <c r="BP169" s="1651"/>
    </row>
    <row r="170" spans="1:68" ht="12.75" customHeight="1" x14ac:dyDescent="0.25">
      <c r="A170" s="1633" t="s">
        <v>1611</v>
      </c>
      <c r="B170" s="3357" t="s">
        <v>957</v>
      </c>
      <c r="C170" s="1634" t="s">
        <v>842</v>
      </c>
      <c r="D170" s="1634">
        <v>1</v>
      </c>
      <c r="E170" s="1634"/>
      <c r="F170" s="1633" t="s">
        <v>1611</v>
      </c>
      <c r="G170" s="1634"/>
      <c r="H170" s="1634"/>
      <c r="I170" s="1634"/>
      <c r="J170" s="1634"/>
      <c r="K170" s="1634"/>
      <c r="L170" s="1634"/>
      <c r="M170" s="1634"/>
      <c r="N170" s="1634"/>
      <c r="O170" s="1634"/>
      <c r="P170" s="1634"/>
      <c r="Q170" s="1634"/>
      <c r="R170" s="1634"/>
      <c r="S170" s="1634"/>
      <c r="T170" s="1634">
        <v>48.1</v>
      </c>
      <c r="U170" s="1634">
        <v>5.0000000000000001E-3</v>
      </c>
      <c r="V170" s="1634">
        <v>25</v>
      </c>
      <c r="W170" s="1634">
        <v>100</v>
      </c>
      <c r="X170" s="2199" t="s">
        <v>4259</v>
      </c>
      <c r="Y170" s="2559"/>
      <c r="Z170" s="2080"/>
      <c r="AA170" s="2080"/>
      <c r="AB170" s="1634"/>
      <c r="AC170" s="1634">
        <v>5.9</v>
      </c>
      <c r="AD170" s="1634">
        <v>-123</v>
      </c>
      <c r="AE170" s="1634"/>
      <c r="AF170" s="1634"/>
      <c r="AG170" s="1634"/>
      <c r="AH170" s="1634"/>
      <c r="AI170" s="1634"/>
      <c r="AJ170" s="1634">
        <v>-18</v>
      </c>
      <c r="AK170" s="1634">
        <v>3.9</v>
      </c>
      <c r="AL170" s="1634"/>
      <c r="AM170" s="1634"/>
      <c r="AN170" s="1634">
        <v>4</v>
      </c>
      <c r="AO170" s="1634">
        <v>4</v>
      </c>
      <c r="AP170" s="1634">
        <v>0</v>
      </c>
      <c r="AQ170" s="1634" t="s">
        <v>139</v>
      </c>
      <c r="AR170" s="1634" t="s">
        <v>138</v>
      </c>
      <c r="AS170" s="1634"/>
      <c r="AT170" s="1634" t="s">
        <v>1169</v>
      </c>
      <c r="AU170" s="1634"/>
      <c r="AV170" s="1634"/>
      <c r="AW170" s="1634">
        <v>0.88300000000000001</v>
      </c>
      <c r="AX170" s="1634">
        <v>1.3669999999999999E-3</v>
      </c>
      <c r="AY170" s="1634">
        <v>0.44700000000000001</v>
      </c>
      <c r="AZ170" s="2584">
        <v>5.71E-4</v>
      </c>
      <c r="BA170" s="1634">
        <v>122.7</v>
      </c>
      <c r="BB170" s="1634">
        <v>0.2465</v>
      </c>
      <c r="BC170" s="1634">
        <v>4.2900000000000002E-4</v>
      </c>
      <c r="BD170" s="1634">
        <v>9.5298999999999996</v>
      </c>
      <c r="BE170" s="1634">
        <v>2326.8200000000002</v>
      </c>
      <c r="BF170" s="1634">
        <v>34.880000000000003</v>
      </c>
      <c r="BG170" s="1634"/>
      <c r="BH170" s="1634"/>
      <c r="BI170" s="1634"/>
      <c r="BJ170" s="1634"/>
      <c r="BK170" s="1634"/>
      <c r="BL170" s="1634"/>
      <c r="BM170" s="1634"/>
      <c r="BN170" s="1634"/>
      <c r="BO170" s="1634"/>
      <c r="BP170" s="1634"/>
    </row>
    <row r="171" spans="1:68" ht="12.75" customHeight="1" x14ac:dyDescent="0.25">
      <c r="A171" s="1633" t="s">
        <v>4389</v>
      </c>
      <c r="B171" s="1634" t="s">
        <v>4390</v>
      </c>
      <c r="C171" s="1634" t="s">
        <v>842</v>
      </c>
      <c r="D171" s="1634">
        <v>1</v>
      </c>
      <c r="E171" s="1634"/>
      <c r="F171" s="1633" t="s">
        <v>4389</v>
      </c>
      <c r="G171" s="1634"/>
      <c r="H171" s="1634"/>
      <c r="I171" s="1634"/>
      <c r="J171" s="1634"/>
      <c r="K171" s="1634"/>
      <c r="L171" s="1634"/>
      <c r="M171" s="1634"/>
      <c r="N171" s="1634"/>
      <c r="O171" s="1634"/>
      <c r="P171" s="1634"/>
      <c r="Q171" s="1634"/>
      <c r="R171" s="1634"/>
      <c r="S171" s="1634"/>
      <c r="T171" s="3379">
        <v>100.11</v>
      </c>
      <c r="U171" s="3379">
        <v>17</v>
      </c>
      <c r="V171" s="3379">
        <v>120</v>
      </c>
      <c r="W171" s="3379">
        <v>570</v>
      </c>
      <c r="X171" s="2187" t="s">
        <v>4457</v>
      </c>
      <c r="Y171" s="2567"/>
      <c r="Z171" s="2212"/>
      <c r="AA171" s="2212"/>
      <c r="AB171" s="3379"/>
      <c r="AC171" s="3379">
        <v>100.7</v>
      </c>
      <c r="AD171" s="3379">
        <v>-48.2</v>
      </c>
      <c r="AE171" s="3379"/>
      <c r="AF171" s="3379"/>
      <c r="AG171" s="3379"/>
      <c r="AH171" s="3379"/>
      <c r="AI171" s="3379"/>
      <c r="AJ171" s="3379">
        <v>8.8000000000000007</v>
      </c>
      <c r="AK171" s="3379">
        <v>1.7</v>
      </c>
      <c r="AL171" s="3379">
        <v>8.1999999999999993</v>
      </c>
      <c r="AM171" s="3379">
        <v>435</v>
      </c>
      <c r="AN171" s="3379">
        <v>2</v>
      </c>
      <c r="AO171" s="3379">
        <v>3</v>
      </c>
      <c r="AP171" s="3379">
        <v>2</v>
      </c>
      <c r="AQ171" s="3379" t="s">
        <v>139</v>
      </c>
      <c r="AR171" s="3379" t="s">
        <v>138</v>
      </c>
      <c r="AS171" s="1634"/>
      <c r="AT171" s="1634"/>
      <c r="AU171" s="1634"/>
      <c r="AV171" s="1634"/>
      <c r="AW171" s="1634">
        <v>0.96199999999999997</v>
      </c>
      <c r="AX171" s="1634">
        <v>1.25E-3</v>
      </c>
      <c r="AY171" s="1634">
        <v>0.38200000000000001</v>
      </c>
      <c r="AZ171" s="1634">
        <v>8.1820000000000005E-4</v>
      </c>
      <c r="BA171" s="1634">
        <v>92.7</v>
      </c>
      <c r="BB171" s="1634">
        <v>0.13512399999999999</v>
      </c>
      <c r="BC171" s="1634">
        <v>-6.0300000000000002E-4</v>
      </c>
      <c r="BD171" s="1634">
        <v>9.7637999999999998</v>
      </c>
      <c r="BE171" s="1634">
        <v>3110.78</v>
      </c>
      <c r="BF171" s="1634">
        <v>55.79</v>
      </c>
      <c r="BG171" s="1634"/>
      <c r="BH171" s="1634"/>
      <c r="BI171" s="1634"/>
      <c r="BJ171" s="1634"/>
      <c r="BK171" s="1634"/>
      <c r="BL171" s="1634"/>
      <c r="BM171" s="1634"/>
      <c r="BN171" s="1634"/>
      <c r="BO171" s="1634"/>
      <c r="BP171" s="1634"/>
    </row>
    <row r="172" spans="1:68" ht="12.75" customHeight="1" x14ac:dyDescent="0.25">
      <c r="A172" s="1594" t="s">
        <v>4391</v>
      </c>
      <c r="B172" s="1596" t="s">
        <v>4392</v>
      </c>
      <c r="C172" s="1596" t="s">
        <v>842</v>
      </c>
      <c r="D172" s="1596">
        <v>1</v>
      </c>
      <c r="E172" s="1596"/>
      <c r="F172" s="1594" t="s">
        <v>4391</v>
      </c>
      <c r="G172" s="1596"/>
      <c r="H172" s="1596"/>
      <c r="I172" s="1596"/>
      <c r="J172" s="1596"/>
      <c r="K172" s="1596"/>
      <c r="L172" s="1596"/>
      <c r="M172" s="1596"/>
      <c r="N172" s="1596"/>
      <c r="O172" s="1596"/>
      <c r="P172" s="1596"/>
      <c r="Q172" s="1596"/>
      <c r="R172" s="1596"/>
      <c r="S172" s="1596"/>
      <c r="T172" s="2206">
        <v>118.18</v>
      </c>
      <c r="U172" s="2187">
        <v>100</v>
      </c>
      <c r="V172" s="2187">
        <v>830</v>
      </c>
      <c r="W172" s="2187">
        <v>5000</v>
      </c>
      <c r="X172" s="2187" t="s">
        <v>4459</v>
      </c>
      <c r="Y172" s="2567"/>
      <c r="Z172" s="2212"/>
      <c r="AA172" s="2212"/>
      <c r="AB172" s="2206"/>
      <c r="AC172" s="2206">
        <v>165.4</v>
      </c>
      <c r="AD172" s="2206">
        <v>-22.4</v>
      </c>
      <c r="AE172" s="2206"/>
      <c r="AF172" s="2206"/>
      <c r="AG172" s="2206"/>
      <c r="AH172" s="2206"/>
      <c r="AI172" s="2206"/>
      <c r="AJ172" s="2206">
        <v>48</v>
      </c>
      <c r="AK172" s="2206">
        <v>1.5</v>
      </c>
      <c r="AL172" s="2206">
        <v>6.1</v>
      </c>
      <c r="AM172" s="2206">
        <v>442</v>
      </c>
      <c r="AN172" s="2206">
        <v>2</v>
      </c>
      <c r="AO172" s="2206">
        <v>2</v>
      </c>
      <c r="AP172" s="2206">
        <v>0</v>
      </c>
      <c r="AQ172" s="2206"/>
      <c r="AR172" s="2206"/>
      <c r="AS172" s="1596"/>
      <c r="AT172" s="1596"/>
      <c r="AU172" s="1596"/>
      <c r="AV172" s="1596"/>
      <c r="AW172" s="1596">
        <v>0.93</v>
      </c>
      <c r="AX172" s="1596">
        <v>9.4300000000000004E-4</v>
      </c>
      <c r="AY172" s="1596">
        <v>0.38200000000000001</v>
      </c>
      <c r="AZ172" s="1596">
        <v>9.2199999999999997E-4</v>
      </c>
      <c r="BA172" s="1596">
        <v>100.1</v>
      </c>
      <c r="BB172" s="1596">
        <v>0.10059999999999999</v>
      </c>
      <c r="BC172" s="1596">
        <v>1.5100000000000001E-4</v>
      </c>
      <c r="BD172" s="1596">
        <v>9.7795000000000005</v>
      </c>
      <c r="BE172" s="1596">
        <v>3691.42</v>
      </c>
      <c r="BF172" s="1596">
        <v>61.27</v>
      </c>
      <c r="BG172" s="1596"/>
      <c r="BH172" s="1596"/>
      <c r="BI172" s="1596"/>
      <c r="BJ172" s="1596"/>
      <c r="BK172" s="1596"/>
      <c r="BL172" s="1596"/>
      <c r="BM172" s="1596"/>
      <c r="BN172" s="1596"/>
      <c r="BO172" s="1596"/>
      <c r="BP172" s="1596"/>
    </row>
    <row r="173" spans="1:68" ht="12.75" customHeight="1" x14ac:dyDescent="0.25">
      <c r="A173" s="1594" t="s">
        <v>4393</v>
      </c>
      <c r="B173" s="1596" t="s">
        <v>4394</v>
      </c>
      <c r="C173" s="1596" t="s">
        <v>842</v>
      </c>
      <c r="D173" s="1596">
        <v>1</v>
      </c>
      <c r="E173" s="1596"/>
      <c r="F173" s="1594" t="s">
        <v>4393</v>
      </c>
      <c r="G173" s="1596"/>
      <c r="H173" s="1596"/>
      <c r="I173" s="1596"/>
      <c r="J173" s="1596"/>
      <c r="K173" s="1596"/>
      <c r="L173" s="1596"/>
      <c r="M173" s="1596"/>
      <c r="N173" s="1596"/>
      <c r="O173" s="1596"/>
      <c r="P173" s="1596"/>
      <c r="Q173" s="1596"/>
      <c r="R173" s="1596"/>
      <c r="S173" s="1596"/>
      <c r="T173" s="2206">
        <v>149.47999999999999</v>
      </c>
      <c r="U173" s="2206">
        <v>0.5</v>
      </c>
      <c r="V173" s="2206">
        <v>3</v>
      </c>
      <c r="W173" s="2206">
        <v>15</v>
      </c>
      <c r="X173" s="2187" t="s">
        <v>4259</v>
      </c>
      <c r="Y173" s="2567"/>
      <c r="Z173" s="2212"/>
      <c r="AA173" s="2212"/>
      <c r="AB173" s="2206"/>
      <c r="AC173" s="2206">
        <v>66.12</v>
      </c>
      <c r="AD173" s="2206">
        <v>-75.8</v>
      </c>
      <c r="AE173" s="2206"/>
      <c r="AF173" s="2206"/>
      <c r="AG173" s="2206"/>
      <c r="AH173" s="2206"/>
      <c r="AI173" s="2206"/>
      <c r="AJ173" s="2206">
        <v>37.4</v>
      </c>
      <c r="AK173" s="2206">
        <v>5.0999999999999996</v>
      </c>
      <c r="AL173" s="2206"/>
      <c r="AM173" s="2206">
        <v>395</v>
      </c>
      <c r="AN173" s="2206">
        <v>3</v>
      </c>
      <c r="AO173" s="2206">
        <v>3</v>
      </c>
      <c r="AP173" s="2206">
        <v>0</v>
      </c>
      <c r="AQ173" s="2206"/>
      <c r="AR173" s="2206"/>
      <c r="AS173" s="1596" t="s">
        <v>1514</v>
      </c>
      <c r="AT173" s="1596"/>
      <c r="AU173" s="1596"/>
      <c r="AV173" s="1596"/>
      <c r="AW173" s="1596">
        <v>1.3098000000000001</v>
      </c>
      <c r="AX173" s="1596">
        <v>1.8829999999999999E-3</v>
      </c>
      <c r="AY173" s="1596">
        <v>0.15970000000000001</v>
      </c>
      <c r="AZ173" s="1596">
        <v>1.749E-4</v>
      </c>
      <c r="BA173" s="1596">
        <v>49.61</v>
      </c>
      <c r="BB173" s="1596">
        <v>5.2239000000000001E-2</v>
      </c>
      <c r="BC173" s="1596">
        <v>3.0657999999999998E-4</v>
      </c>
      <c r="BD173" s="1596">
        <v>9.8682300000000005</v>
      </c>
      <c r="BE173" s="1596">
        <v>3148.4259999999999</v>
      </c>
      <c r="BF173" s="1596">
        <v>21.357800000000001</v>
      </c>
      <c r="BG173" s="1596"/>
      <c r="BH173" s="1596"/>
      <c r="BI173" s="1596"/>
      <c r="BJ173" s="1596"/>
      <c r="BK173" s="1596"/>
      <c r="BL173" s="1596"/>
      <c r="BM173" s="1596"/>
      <c r="BN173" s="1596"/>
      <c r="BO173" s="1596"/>
      <c r="BP173" s="1596"/>
    </row>
    <row r="174" spans="1:68" ht="12.75" customHeight="1" x14ac:dyDescent="0.25">
      <c r="A174" s="1594" t="s">
        <v>3061</v>
      </c>
      <c r="B174" s="1595" t="s">
        <v>8</v>
      </c>
      <c r="C174" s="1596" t="s">
        <v>842</v>
      </c>
      <c r="D174" s="1596">
        <v>1</v>
      </c>
      <c r="E174" s="1596" t="s">
        <v>3062</v>
      </c>
      <c r="F174" s="1594" t="s">
        <v>3061</v>
      </c>
      <c r="G174" s="1596"/>
      <c r="H174" s="1596"/>
      <c r="I174" s="1596"/>
      <c r="J174" s="1596"/>
      <c r="K174" s="1596"/>
      <c r="L174" s="1596"/>
      <c r="M174" s="1596"/>
      <c r="N174" s="1596"/>
      <c r="O174" s="1596"/>
      <c r="P174" s="1596"/>
      <c r="Q174" s="1596"/>
      <c r="R174" s="1596"/>
      <c r="S174" s="1596"/>
      <c r="T174" s="1596">
        <v>84.94</v>
      </c>
      <c r="U174" s="1596">
        <v>300</v>
      </c>
      <c r="V174" s="1596">
        <v>750</v>
      </c>
      <c r="W174" s="1596">
        <v>4000</v>
      </c>
      <c r="X174" s="2199" t="s">
        <v>4259</v>
      </c>
      <c r="Y174" s="2559"/>
      <c r="Z174" s="2080"/>
      <c r="AA174" s="2080"/>
      <c r="AB174" s="1596"/>
      <c r="AC174" s="1596">
        <v>40</v>
      </c>
      <c r="AD174" s="1596">
        <v>-97</v>
      </c>
      <c r="AE174" s="1596"/>
      <c r="AF174" s="1596"/>
      <c r="AG174" s="1596"/>
      <c r="AH174" s="1596"/>
      <c r="AI174" s="1596"/>
      <c r="AJ174" s="1596"/>
      <c r="AK174" s="1596">
        <v>14.5</v>
      </c>
      <c r="AL174" s="1596">
        <v>21.2</v>
      </c>
      <c r="AM174" s="1596">
        <v>556</v>
      </c>
      <c r="AN174" s="1596">
        <v>2</v>
      </c>
      <c r="AO174" s="1596">
        <v>1</v>
      </c>
      <c r="AP174" s="1596">
        <v>0</v>
      </c>
      <c r="AQ174" s="1596" t="s">
        <v>140</v>
      </c>
      <c r="AR174" s="1596" t="s">
        <v>138</v>
      </c>
      <c r="AS174" s="1596"/>
      <c r="AT174" s="1596"/>
      <c r="AU174" s="1596"/>
      <c r="AV174" s="1596" t="s">
        <v>159</v>
      </c>
      <c r="AW174" s="1596">
        <v>1.355</v>
      </c>
      <c r="AX174" s="1596">
        <v>2.0300000000000001E-3</v>
      </c>
      <c r="AY174" s="1596">
        <v>0.28799999999999998</v>
      </c>
      <c r="AZ174" s="1616">
        <v>2.1450000000000001E-4</v>
      </c>
      <c r="BA174" s="1596">
        <v>85.4</v>
      </c>
      <c r="BB174" s="1596">
        <v>0.1552</v>
      </c>
      <c r="BC174" s="1596">
        <v>2.1900000000000001E-4</v>
      </c>
      <c r="BD174" s="1596">
        <v>9.6221999999999994</v>
      </c>
      <c r="BE174" s="1596">
        <v>2594.38</v>
      </c>
      <c r="BF174" s="1596">
        <v>43.2</v>
      </c>
      <c r="BG174" s="1596"/>
      <c r="BH174" s="1596"/>
      <c r="BI174" s="1596"/>
      <c r="BJ174" s="1596"/>
      <c r="BK174" s="1596"/>
      <c r="BL174" s="1596"/>
      <c r="BM174" s="1596"/>
      <c r="BN174" s="1596"/>
      <c r="BO174" s="1596"/>
      <c r="BP174" s="1596"/>
    </row>
    <row r="175" spans="1:68" ht="12.75" customHeight="1" x14ac:dyDescent="0.25">
      <c r="A175" s="1594" t="s">
        <v>4395</v>
      </c>
      <c r="B175" s="1596" t="s">
        <v>4396</v>
      </c>
      <c r="C175" s="1596" t="s">
        <v>842</v>
      </c>
      <c r="D175" s="1596">
        <v>1</v>
      </c>
      <c r="E175" s="1596"/>
      <c r="F175" s="1594" t="s">
        <v>4395</v>
      </c>
      <c r="G175" s="1596"/>
      <c r="H175" s="1596"/>
      <c r="I175" s="1596"/>
      <c r="J175" s="1596"/>
      <c r="K175" s="1596"/>
      <c r="L175" s="1596"/>
      <c r="M175" s="1596"/>
      <c r="N175" s="1596"/>
      <c r="O175" s="1596"/>
      <c r="P175" s="1596"/>
      <c r="Q175" s="1596"/>
      <c r="R175" s="1596"/>
      <c r="S175" s="1596"/>
      <c r="T175" s="2206">
        <v>408.8</v>
      </c>
      <c r="U175" s="2206">
        <v>8.4</v>
      </c>
      <c r="V175" s="2206">
        <v>90</v>
      </c>
      <c r="W175" s="2206">
        <v>532</v>
      </c>
      <c r="X175" s="2187" t="s">
        <v>4459</v>
      </c>
      <c r="Y175" s="2567"/>
      <c r="Z175" s="2212"/>
      <c r="AA175" s="2212"/>
      <c r="AB175" s="2206"/>
      <c r="AC175" s="2206">
        <v>440.6</v>
      </c>
      <c r="AD175" s="2206"/>
      <c r="AE175" s="2206"/>
      <c r="AF175" s="2206"/>
      <c r="AG175" s="2206"/>
      <c r="AH175" s="2206"/>
      <c r="AI175" s="2206"/>
      <c r="AJ175" s="2206"/>
      <c r="AK175" s="2206"/>
      <c r="AL175" s="2206"/>
      <c r="AM175" s="2206"/>
      <c r="AN175" s="2206">
        <v>0</v>
      </c>
      <c r="AO175" s="2206">
        <v>1</v>
      </c>
      <c r="AP175" s="2206">
        <v>0</v>
      </c>
      <c r="AQ175" s="2206" t="s">
        <v>139</v>
      </c>
      <c r="AR175" s="2206" t="s">
        <v>138</v>
      </c>
      <c r="AS175" s="1596"/>
      <c r="AT175" s="1596"/>
      <c r="AU175" s="1596"/>
      <c r="AV175" s="1596"/>
      <c r="AW175" s="1596">
        <v>0.91</v>
      </c>
      <c r="AX175" s="1596">
        <v>7.1400000000000001E-4</v>
      </c>
      <c r="AY175" s="1596">
        <v>0.47299999999999998</v>
      </c>
      <c r="AZ175" s="1596">
        <v>8.3000000000000001E-4</v>
      </c>
      <c r="BA175" s="1596">
        <v>68</v>
      </c>
      <c r="BB175" s="1596">
        <v>2.5000000000000001E-2</v>
      </c>
      <c r="BC175" s="1596">
        <v>7.7000000000000001E-5</v>
      </c>
      <c r="BD175" s="1596">
        <v>13.2317</v>
      </c>
      <c r="BE175" s="1596">
        <v>8240.24</v>
      </c>
      <c r="BF175" s="1596">
        <v>85.53</v>
      </c>
      <c r="BG175" s="1596"/>
      <c r="BH175" s="1596"/>
      <c r="BI175" s="1596"/>
      <c r="BJ175" s="1596"/>
      <c r="BK175" s="1596"/>
      <c r="BL175" s="1596"/>
      <c r="BM175" s="1596"/>
      <c r="BN175" s="1596"/>
      <c r="BO175" s="1596"/>
      <c r="BP175" s="1596"/>
    </row>
    <row r="176" spans="1:68" ht="12.75" customHeight="1" x14ac:dyDescent="0.25">
      <c r="A176" s="1594" t="s">
        <v>9</v>
      </c>
      <c r="B176" s="1596" t="s">
        <v>1240</v>
      </c>
      <c r="C176" s="1596" t="s">
        <v>842</v>
      </c>
      <c r="D176" s="1596">
        <v>1</v>
      </c>
      <c r="E176" s="1596"/>
      <c r="F176" s="1594" t="s">
        <v>9</v>
      </c>
      <c r="G176" s="1596"/>
      <c r="H176" s="1596"/>
      <c r="I176" s="1596"/>
      <c r="J176" s="1596"/>
      <c r="K176" s="1596"/>
      <c r="L176" s="1596"/>
      <c r="M176" s="1596"/>
      <c r="N176" s="1596"/>
      <c r="O176" s="1596"/>
      <c r="P176" s="1596"/>
      <c r="Q176" s="1596"/>
      <c r="R176" s="1596"/>
      <c r="S176" s="1596"/>
      <c r="T176" s="1596">
        <v>31.06</v>
      </c>
      <c r="U176" s="1596">
        <v>10</v>
      </c>
      <c r="V176" s="1596">
        <v>100</v>
      </c>
      <c r="W176" s="1596">
        <v>500</v>
      </c>
      <c r="X176" s="2199" t="s">
        <v>4259</v>
      </c>
      <c r="Y176" s="2559"/>
      <c r="Z176" s="2080"/>
      <c r="AA176" s="2080"/>
      <c r="AB176" s="1596"/>
      <c r="AC176" s="1596">
        <v>-6.3</v>
      </c>
      <c r="AD176" s="1596">
        <v>-93.5</v>
      </c>
      <c r="AE176" s="1596"/>
      <c r="AF176" s="1596"/>
      <c r="AG176" s="1596"/>
      <c r="AH176" s="1596"/>
      <c r="AI176" s="1596"/>
      <c r="AJ176" s="1596">
        <v>30</v>
      </c>
      <c r="AK176" s="1596">
        <v>4.9000000000000004</v>
      </c>
      <c r="AL176" s="1596"/>
      <c r="AM176" s="1596"/>
      <c r="AN176" s="1596">
        <v>3</v>
      </c>
      <c r="AO176" s="1596">
        <v>4</v>
      </c>
      <c r="AP176" s="1596">
        <v>0</v>
      </c>
      <c r="AQ176" s="1596"/>
      <c r="AR176" s="1596"/>
      <c r="AS176" s="1596"/>
      <c r="AT176" s="1596"/>
      <c r="AU176" s="1596"/>
      <c r="AV176" s="1596"/>
      <c r="AW176" s="1596">
        <v>0.69</v>
      </c>
      <c r="AX176" s="1596">
        <v>1.5120000000000001E-3</v>
      </c>
      <c r="AY176" s="1596">
        <v>0.871</v>
      </c>
      <c r="AZ176" s="1616">
        <v>2.947E-3</v>
      </c>
      <c r="BA176" s="1596">
        <v>197.8</v>
      </c>
      <c r="BB176" s="1596">
        <v>0.50224899999999995</v>
      </c>
      <c r="BC176" s="1596">
        <v>1.3489999999999999E-3</v>
      </c>
      <c r="BD176" s="1596">
        <v>10.462</v>
      </c>
      <c r="BE176" s="1596">
        <v>2441.91</v>
      </c>
      <c r="BF176" s="1596">
        <v>33.46</v>
      </c>
      <c r="BG176" s="1596"/>
      <c r="BH176" s="1596"/>
      <c r="BI176" s="1596"/>
      <c r="BJ176" s="1596"/>
      <c r="BK176" s="1596"/>
      <c r="BL176" s="1596"/>
      <c r="BM176" s="1596"/>
      <c r="BN176" s="1596"/>
      <c r="BO176" s="1596"/>
      <c r="BP176" s="1596"/>
    </row>
    <row r="177" spans="1:68" ht="12.75" customHeight="1" x14ac:dyDescent="0.25">
      <c r="A177" s="1594" t="s">
        <v>4397</v>
      </c>
      <c r="B177" s="1596" t="s">
        <v>4398</v>
      </c>
      <c r="C177" s="1596" t="s">
        <v>842</v>
      </c>
      <c r="D177" s="1596">
        <v>1</v>
      </c>
      <c r="E177" s="1596"/>
      <c r="F177" s="1594" t="s">
        <v>4397</v>
      </c>
      <c r="G177" s="1596"/>
      <c r="H177" s="1596"/>
      <c r="I177" s="1596"/>
      <c r="J177" s="1596"/>
      <c r="K177" s="1596"/>
      <c r="L177" s="1596"/>
      <c r="M177" s="1596"/>
      <c r="N177" s="1596"/>
      <c r="O177" s="1596"/>
      <c r="P177" s="1596"/>
      <c r="Q177" s="1596"/>
      <c r="R177" s="1596"/>
      <c r="S177" s="1596"/>
      <c r="T177" s="2206">
        <v>89.14</v>
      </c>
      <c r="U177" s="2206">
        <v>3.6</v>
      </c>
      <c r="V177" s="2206">
        <v>41</v>
      </c>
      <c r="W177" s="2206">
        <v>71</v>
      </c>
      <c r="X177" s="2187" t="s">
        <v>4459</v>
      </c>
      <c r="Y177" s="2567"/>
      <c r="Z177" s="2212"/>
      <c r="AA177" s="2212"/>
      <c r="AB177" s="2206"/>
      <c r="AC177" s="2206">
        <v>134.6</v>
      </c>
      <c r="AD177" s="2206">
        <v>-59</v>
      </c>
      <c r="AE177" s="2206"/>
      <c r="AF177" s="2206"/>
      <c r="AG177" s="2206"/>
      <c r="AH177" s="2206"/>
      <c r="AI177" s="2206"/>
      <c r="AJ177" s="2206">
        <v>41</v>
      </c>
      <c r="AK177" s="2206"/>
      <c r="AL177" s="2206"/>
      <c r="AM177" s="2206"/>
      <c r="AN177" s="2206">
        <v>3</v>
      </c>
      <c r="AO177" s="2206">
        <v>2</v>
      </c>
      <c r="AP177" s="2206">
        <v>0</v>
      </c>
      <c r="AQ177" s="2206"/>
      <c r="AR177" s="2206"/>
      <c r="AS177" s="1596"/>
      <c r="AT177" s="1596"/>
      <c r="AU177" s="1596"/>
      <c r="AV177" s="1596"/>
      <c r="AW177" s="1596">
        <v>0.9</v>
      </c>
      <c r="AX177" s="1596">
        <v>9.7499999999999996E-4</v>
      </c>
      <c r="AY177" s="1596">
        <v>0.48299999999999998</v>
      </c>
      <c r="AZ177" s="1596">
        <v>1.1666999999999999E-3</v>
      </c>
      <c r="BA177" s="1596">
        <v>139</v>
      </c>
      <c r="BB177" s="1596">
        <v>0.16263900000000001</v>
      </c>
      <c r="BC177" s="1596">
        <v>3.0899999999999998E-4</v>
      </c>
      <c r="BD177" s="1596">
        <v>12.5465</v>
      </c>
      <c r="BE177" s="1596">
        <v>4758.79</v>
      </c>
      <c r="BF177" s="1596">
        <v>32.590000000000003</v>
      </c>
      <c r="BG177" s="1596"/>
      <c r="BH177" s="1596"/>
      <c r="BI177" s="1596"/>
      <c r="BJ177" s="1596"/>
      <c r="BK177" s="1596"/>
      <c r="BL177" s="1596"/>
      <c r="BM177" s="1596"/>
      <c r="BN177" s="1596"/>
      <c r="BO177" s="1596"/>
      <c r="BP177" s="1596"/>
    </row>
    <row r="178" spans="1:68" ht="12.75" customHeight="1" x14ac:dyDescent="0.25">
      <c r="A178" s="1594" t="s">
        <v>4399</v>
      </c>
      <c r="B178" s="1596" t="s">
        <v>4400</v>
      </c>
      <c r="C178" s="1596" t="s">
        <v>842</v>
      </c>
      <c r="D178" s="1596">
        <v>1</v>
      </c>
      <c r="E178" s="1596"/>
      <c r="F178" s="1594" t="s">
        <v>4399</v>
      </c>
      <c r="G178" s="1596"/>
      <c r="H178" s="1596"/>
      <c r="I178" s="1596"/>
      <c r="J178" s="1596"/>
      <c r="K178" s="1596"/>
      <c r="L178" s="1596"/>
      <c r="M178" s="1596"/>
      <c r="N178" s="1596"/>
      <c r="O178" s="1596"/>
      <c r="P178" s="1596"/>
      <c r="Q178" s="1596"/>
      <c r="R178" s="1596"/>
      <c r="S178" s="1596"/>
      <c r="T178" s="2206">
        <v>128.19999999999999</v>
      </c>
      <c r="U178" s="2206">
        <v>15</v>
      </c>
      <c r="V178" s="2206">
        <v>82</v>
      </c>
      <c r="W178" s="2206">
        <v>500</v>
      </c>
      <c r="X178" s="2187" t="s">
        <v>4459</v>
      </c>
      <c r="Y178" s="2567"/>
      <c r="Z178" s="2212"/>
      <c r="AA178" s="2212"/>
      <c r="AB178" s="2206"/>
      <c r="AC178" s="2206">
        <v>218</v>
      </c>
      <c r="AD178" s="2206">
        <v>80.3</v>
      </c>
      <c r="AE178" s="2206"/>
      <c r="AF178" s="2206"/>
      <c r="AG178" s="2206"/>
      <c r="AH178" s="2206"/>
      <c r="AI178" s="2206"/>
      <c r="AJ178" s="2206">
        <v>79</v>
      </c>
      <c r="AK178" s="2206">
        <v>0.88</v>
      </c>
      <c r="AL178" s="2206">
        <v>5.9</v>
      </c>
      <c r="AM178" s="2206">
        <v>526</v>
      </c>
      <c r="AN178" s="2206">
        <v>2</v>
      </c>
      <c r="AO178" s="2206">
        <v>2</v>
      </c>
      <c r="AP178" s="2206">
        <v>0</v>
      </c>
      <c r="AQ178" s="2206" t="s">
        <v>139</v>
      </c>
      <c r="AR178" s="2206" t="s">
        <v>138</v>
      </c>
      <c r="AS178" s="1596"/>
      <c r="AT178" s="1596"/>
      <c r="AU178" s="1596"/>
      <c r="AV178" s="1596"/>
      <c r="AW178" s="1596">
        <v>1.0589999999999999</v>
      </c>
      <c r="AX178" s="1596">
        <v>9.3000000000000005E-4</v>
      </c>
      <c r="AY178" s="1596">
        <v>0.32600000000000001</v>
      </c>
      <c r="AZ178" s="1596">
        <v>6.7500000000000004E-4</v>
      </c>
      <c r="BA178" s="1596">
        <v>99.5</v>
      </c>
      <c r="BB178" s="1596">
        <v>4.5499999999999999E-2</v>
      </c>
      <c r="BC178" s="1596">
        <v>1.25E-4</v>
      </c>
      <c r="BD178" s="1596">
        <v>10.109500000000001</v>
      </c>
      <c r="BE178" s="1596">
        <v>4455.6499999999996</v>
      </c>
      <c r="BF178" s="1596">
        <v>50.48</v>
      </c>
      <c r="BG178" s="1596"/>
      <c r="BH178" s="1596"/>
      <c r="BI178" s="1596"/>
      <c r="BJ178" s="1596"/>
      <c r="BK178" s="1596"/>
      <c r="BL178" s="1596"/>
      <c r="BM178" s="1596"/>
      <c r="BN178" s="1596"/>
      <c r="BO178" s="1596"/>
      <c r="BP178" s="1596"/>
    </row>
    <row r="179" spans="1:68" ht="12.75" customHeight="1" x14ac:dyDescent="0.25">
      <c r="A179" s="1594" t="s">
        <v>4401</v>
      </c>
      <c r="B179" s="1596" t="s">
        <v>4402</v>
      </c>
      <c r="C179" s="1596" t="s">
        <v>842</v>
      </c>
      <c r="D179" s="1596">
        <v>1</v>
      </c>
      <c r="E179" s="1596"/>
      <c r="F179" s="1594" t="s">
        <v>4401</v>
      </c>
      <c r="G179" s="1596"/>
      <c r="H179" s="1596"/>
      <c r="I179" s="1596"/>
      <c r="J179" s="1596"/>
      <c r="K179" s="1596"/>
      <c r="L179" s="1596"/>
      <c r="M179" s="1596"/>
      <c r="N179" s="1596"/>
      <c r="O179" s="1596"/>
      <c r="P179" s="1596"/>
      <c r="Q179" s="1596"/>
      <c r="R179" s="1596"/>
      <c r="S179" s="1596"/>
      <c r="T179" s="2206">
        <v>75.099999999999994</v>
      </c>
      <c r="U179" s="2206">
        <v>59</v>
      </c>
      <c r="V179" s="2206">
        <v>170</v>
      </c>
      <c r="W179" s="2206">
        <v>1000</v>
      </c>
      <c r="X179" s="2187" t="s">
        <v>4459</v>
      </c>
      <c r="Y179" s="2567"/>
      <c r="Z179" s="2212"/>
      <c r="AA179" s="2212"/>
      <c r="AB179" s="2206"/>
      <c r="AC179" s="2206">
        <v>114.1</v>
      </c>
      <c r="AD179" s="2206">
        <v>-89.5</v>
      </c>
      <c r="AE179" s="2206"/>
      <c r="AF179" s="2206"/>
      <c r="AG179" s="2206"/>
      <c r="AH179" s="2206"/>
      <c r="AI179" s="2206"/>
      <c r="AJ179" s="2206">
        <v>28</v>
      </c>
      <c r="AK179" s="2206">
        <v>3.4</v>
      </c>
      <c r="AL179" s="2206"/>
      <c r="AM179" s="2206"/>
      <c r="AN179" s="2206">
        <v>1</v>
      </c>
      <c r="AO179" s="2206">
        <v>3</v>
      </c>
      <c r="AP179" s="2206">
        <v>3</v>
      </c>
      <c r="AQ179" s="2206" t="s">
        <v>139</v>
      </c>
      <c r="AR179" s="2206" t="s">
        <v>138</v>
      </c>
      <c r="AS179" s="1596"/>
      <c r="AT179" s="1596"/>
      <c r="AU179" s="1596"/>
      <c r="AV179" s="1596" t="s">
        <v>158</v>
      </c>
      <c r="AW179" s="1596">
        <v>1.071</v>
      </c>
      <c r="AX179" s="1596">
        <v>1.3270000000000001E-3</v>
      </c>
      <c r="AY179" s="1596">
        <v>0.41299999999999998</v>
      </c>
      <c r="AZ179" s="1596">
        <v>7.8899999999999999E-4</v>
      </c>
      <c r="BA179" s="1596">
        <v>137.5</v>
      </c>
      <c r="BB179" s="1596">
        <v>0.17519999999999999</v>
      </c>
      <c r="BC179" s="1596">
        <v>2.7599999999999999E-4</v>
      </c>
      <c r="BD179" s="1596">
        <v>10.031499999999999</v>
      </c>
      <c r="BE179" s="1596">
        <v>3400.61</v>
      </c>
      <c r="BF179" s="1596">
        <v>48.37</v>
      </c>
      <c r="BG179" s="1596"/>
      <c r="BH179" s="1596"/>
      <c r="BI179" s="1596"/>
      <c r="BJ179" s="1596"/>
      <c r="BK179" s="1596"/>
      <c r="BL179" s="1596"/>
      <c r="BM179" s="1596"/>
      <c r="BN179" s="1596"/>
      <c r="BO179" s="1596"/>
      <c r="BP179" s="1596"/>
    </row>
    <row r="180" spans="1:68" ht="12.75" customHeight="1" x14ac:dyDescent="0.25">
      <c r="A180" s="1594" t="s">
        <v>71</v>
      </c>
      <c r="B180" s="1595" t="s">
        <v>10</v>
      </c>
      <c r="C180" s="1596" t="s">
        <v>842</v>
      </c>
      <c r="D180" s="1596">
        <v>1</v>
      </c>
      <c r="E180" s="1596"/>
      <c r="F180" s="1594" t="s">
        <v>71</v>
      </c>
      <c r="G180" s="1596"/>
      <c r="H180" s="1596"/>
      <c r="I180" s="1596"/>
      <c r="J180" s="1596"/>
      <c r="K180" s="1596"/>
      <c r="L180" s="1596"/>
      <c r="M180" s="1596"/>
      <c r="N180" s="1596"/>
      <c r="O180" s="1596"/>
      <c r="P180" s="1596"/>
      <c r="Q180" s="1596"/>
      <c r="R180" s="1596"/>
      <c r="S180" s="1596"/>
      <c r="T180" s="1596">
        <v>28</v>
      </c>
      <c r="U180" s="2206">
        <v>796000</v>
      </c>
      <c r="V180" s="2206">
        <v>832000</v>
      </c>
      <c r="W180" s="2206">
        <v>869000</v>
      </c>
      <c r="X180" s="2199" t="s">
        <v>4459</v>
      </c>
      <c r="Y180" s="2559"/>
      <c r="Z180" s="2080"/>
      <c r="AA180" s="2080"/>
      <c r="AB180" s="1596"/>
      <c r="AC180" s="1596">
        <v>-196</v>
      </c>
      <c r="AD180" s="1596"/>
      <c r="AE180" s="1596"/>
      <c r="AF180" s="1596"/>
      <c r="AG180" s="1596"/>
      <c r="AH180" s="1596"/>
      <c r="AI180" s="1596"/>
      <c r="AJ180" s="1596"/>
      <c r="AK180" s="1596"/>
      <c r="AL180" s="1596"/>
      <c r="AM180" s="1596"/>
      <c r="AN180" s="1596">
        <v>0</v>
      </c>
      <c r="AO180" s="1596">
        <v>0</v>
      </c>
      <c r="AP180" s="1596">
        <v>0</v>
      </c>
      <c r="AQ180" s="1596"/>
      <c r="AR180" s="1596"/>
      <c r="AS180" s="1596"/>
      <c r="AT180" s="1596"/>
      <c r="AU180" s="1596"/>
      <c r="AV180" s="1596"/>
      <c r="AW180" s="1596">
        <v>5.8000000000000003E-2</v>
      </c>
      <c r="AX180" s="1596">
        <v>3.8500000000000001E-3</v>
      </c>
      <c r="AY180" s="1596">
        <v>0.54700000000000004</v>
      </c>
      <c r="AZ180" s="1616">
        <v>5.0000000000000002E-5</v>
      </c>
      <c r="BA180" s="1596">
        <v>9</v>
      </c>
      <c r="BB180" s="1596">
        <v>0.2</v>
      </c>
      <c r="BC180" s="1596">
        <v>0</v>
      </c>
      <c r="BD180" s="1596">
        <v>5.6073000000000004</v>
      </c>
      <c r="BE180" s="1596">
        <v>242.98</v>
      </c>
      <c r="BF180" s="1596">
        <v>33.78</v>
      </c>
      <c r="BG180" s="1596"/>
      <c r="BH180" s="1596"/>
      <c r="BI180" s="1596"/>
      <c r="BJ180" s="1596"/>
      <c r="BK180" s="1596"/>
      <c r="BL180" s="1596"/>
      <c r="BM180" s="1596"/>
      <c r="BN180" s="1596"/>
      <c r="BO180" s="1596"/>
      <c r="BP180" s="1596"/>
    </row>
    <row r="181" spans="1:68" ht="12.75" customHeight="1" x14ac:dyDescent="0.25">
      <c r="A181" s="2081" t="s">
        <v>828</v>
      </c>
      <c r="B181" s="1595" t="s">
        <v>11</v>
      </c>
      <c r="C181" s="1596" t="s">
        <v>842</v>
      </c>
      <c r="D181" s="1596">
        <v>1</v>
      </c>
      <c r="E181" s="1596"/>
      <c r="F181" s="1594" t="s">
        <v>828</v>
      </c>
      <c r="G181" s="1596"/>
      <c r="H181" s="1596"/>
      <c r="I181" s="1596"/>
      <c r="J181" s="1596"/>
      <c r="K181" s="1596"/>
      <c r="L181" s="1596"/>
      <c r="M181" s="1596"/>
      <c r="N181" s="1596"/>
      <c r="O181" s="1596"/>
      <c r="P181" s="1596"/>
      <c r="Q181" s="1596"/>
      <c r="R181" s="1596"/>
      <c r="S181" s="1596"/>
      <c r="T181" s="1596">
        <v>46</v>
      </c>
      <c r="U181" s="2199">
        <v>1</v>
      </c>
      <c r="V181" s="2199">
        <v>15</v>
      </c>
      <c r="W181" s="2199">
        <v>30</v>
      </c>
      <c r="X181" s="2199" t="s">
        <v>4259</v>
      </c>
      <c r="Y181" s="2559" t="s">
        <v>289</v>
      </c>
      <c r="Z181" s="2080">
        <v>46.1</v>
      </c>
      <c r="AA181" s="2080">
        <v>106</v>
      </c>
      <c r="AB181" s="1596">
        <v>2</v>
      </c>
      <c r="AC181" s="1596">
        <v>21.1</v>
      </c>
      <c r="AD181" s="1596"/>
      <c r="AE181" s="1596"/>
      <c r="AF181" s="1596"/>
      <c r="AG181" s="1596"/>
      <c r="AH181" s="1596"/>
      <c r="AI181" s="1596"/>
      <c r="AJ181" s="1596"/>
      <c r="AK181" s="1596"/>
      <c r="AL181" s="1596"/>
      <c r="AM181" s="1596"/>
      <c r="AN181" s="1596">
        <v>3</v>
      </c>
      <c r="AO181" s="1596">
        <v>0</v>
      </c>
      <c r="AP181" s="1596">
        <v>3</v>
      </c>
      <c r="AQ181" s="1596"/>
      <c r="AR181" s="1596"/>
      <c r="AS181" s="1596"/>
      <c r="AT181" s="1596"/>
      <c r="AU181" s="1596"/>
      <c r="AV181" s="1596"/>
      <c r="AW181" s="1596">
        <v>1.6655000000000002</v>
      </c>
      <c r="AX181" s="1596">
        <v>4.0750000000000005E-3</v>
      </c>
      <c r="AY181" s="1596">
        <v>0.19750000000000001</v>
      </c>
      <c r="AZ181" s="1616">
        <v>3.7749999999999993E-3</v>
      </c>
      <c r="BA181" s="1596">
        <v>176.2</v>
      </c>
      <c r="BB181" s="1596">
        <v>0.245</v>
      </c>
      <c r="BC181" s="1596">
        <v>0</v>
      </c>
      <c r="BD181" s="1596">
        <v>14.103875053593896</v>
      </c>
      <c r="BE181" s="1596">
        <v>4148.2747425445787</v>
      </c>
      <c r="BF181" s="1596">
        <v>0</v>
      </c>
      <c r="BG181" s="1596"/>
      <c r="BH181" s="1596"/>
      <c r="BI181" s="1596"/>
      <c r="BJ181" s="1596"/>
      <c r="BK181" s="1596"/>
      <c r="BL181" s="1596"/>
      <c r="BM181" s="1596"/>
      <c r="BN181" s="1596"/>
      <c r="BO181" s="1596"/>
      <c r="BP181" s="1596"/>
    </row>
    <row r="182" spans="1:68" ht="12.75" customHeight="1" x14ac:dyDescent="0.25">
      <c r="A182" s="2081" t="s">
        <v>4403</v>
      </c>
      <c r="B182" s="1596" t="s">
        <v>4404</v>
      </c>
      <c r="C182" s="1596" t="s">
        <v>842</v>
      </c>
      <c r="D182" s="1596">
        <v>1</v>
      </c>
      <c r="E182" s="1596"/>
      <c r="F182" s="1594" t="s">
        <v>4403</v>
      </c>
      <c r="G182" s="1596"/>
      <c r="H182" s="1596"/>
      <c r="I182" s="1596"/>
      <c r="J182" s="1596"/>
      <c r="K182" s="1596"/>
      <c r="L182" s="1596"/>
      <c r="M182" s="1596"/>
      <c r="N182" s="1596"/>
      <c r="O182" s="1596"/>
      <c r="P182" s="1596"/>
      <c r="Q182" s="1596"/>
      <c r="R182" s="1596"/>
      <c r="S182" s="1596"/>
      <c r="T182" s="2206">
        <v>61.04</v>
      </c>
      <c r="U182" s="2187">
        <v>60</v>
      </c>
      <c r="V182" s="2187">
        <v>200</v>
      </c>
      <c r="W182" s="2187">
        <v>1000</v>
      </c>
      <c r="X182" s="2187" t="s">
        <v>4459</v>
      </c>
      <c r="Y182" s="2567"/>
      <c r="Z182" s="2212"/>
      <c r="AA182" s="2212"/>
      <c r="AB182" s="2075"/>
      <c r="AC182" s="2206">
        <v>101.2</v>
      </c>
      <c r="AD182" s="2206">
        <v>-28.6</v>
      </c>
      <c r="AE182" s="2206"/>
      <c r="AF182" s="2206"/>
      <c r="AG182" s="2206"/>
      <c r="AH182" s="2206"/>
      <c r="AI182" s="2206"/>
      <c r="AJ182" s="2206">
        <v>35</v>
      </c>
      <c r="AK182" s="2206">
        <v>7.3</v>
      </c>
      <c r="AL182" s="2206">
        <v>63</v>
      </c>
      <c r="AM182" s="2206">
        <v>418</v>
      </c>
      <c r="AN182" s="2206">
        <v>1</v>
      </c>
      <c r="AO182" s="2206">
        <v>3</v>
      </c>
      <c r="AP182" s="2206">
        <v>4</v>
      </c>
      <c r="AQ182" s="2206" t="s">
        <v>139</v>
      </c>
      <c r="AR182" s="2206" t="s">
        <v>138</v>
      </c>
      <c r="AS182" s="1596"/>
      <c r="AT182" s="1596"/>
      <c r="AU182" s="1596"/>
      <c r="AV182" s="1596" t="s">
        <v>158</v>
      </c>
      <c r="AW182" s="1596">
        <v>1.17</v>
      </c>
      <c r="AX182" s="1596">
        <v>1.5709999999999999E-3</v>
      </c>
      <c r="AY182" s="1596">
        <v>0.40200000000000002</v>
      </c>
      <c r="AZ182" s="1596">
        <v>6.3400000000000001E-4</v>
      </c>
      <c r="BA182" s="1596">
        <v>154.4</v>
      </c>
      <c r="BB182" s="1596">
        <v>0.1741</v>
      </c>
      <c r="BC182" s="1596">
        <v>3.6999999999999999E-4</v>
      </c>
      <c r="BD182" s="1596">
        <v>10.193</v>
      </c>
      <c r="BE182" s="1596">
        <v>3366.33</v>
      </c>
      <c r="BF182" s="1596">
        <v>44.08</v>
      </c>
      <c r="BG182" s="1596"/>
      <c r="BH182" s="1596"/>
      <c r="BI182" s="1596"/>
      <c r="BJ182" s="1596"/>
      <c r="BK182" s="1596"/>
      <c r="BL182" s="1596"/>
      <c r="BM182" s="1596"/>
      <c r="BN182" s="1596"/>
      <c r="BO182" s="1596"/>
      <c r="BP182" s="1596"/>
    </row>
    <row r="183" spans="1:68" ht="12.75" customHeight="1" x14ac:dyDescent="0.25">
      <c r="A183" s="2081" t="s">
        <v>4405</v>
      </c>
      <c r="B183" s="1596" t="s">
        <v>4406</v>
      </c>
      <c r="C183" s="1596" t="s">
        <v>842</v>
      </c>
      <c r="D183" s="1596">
        <v>1</v>
      </c>
      <c r="E183" s="1596"/>
      <c r="F183" s="1594" t="s">
        <v>4405</v>
      </c>
      <c r="G183" s="1596"/>
      <c r="H183" s="1596"/>
      <c r="I183" s="1596"/>
      <c r="J183" s="1596"/>
      <c r="K183" s="1596"/>
      <c r="L183" s="1596"/>
      <c r="M183" s="1596"/>
      <c r="N183" s="1596"/>
      <c r="O183" s="1596"/>
      <c r="P183" s="1596"/>
      <c r="Q183" s="1596"/>
      <c r="R183" s="1596"/>
      <c r="S183" s="1596"/>
      <c r="T183" s="2206">
        <v>89.1</v>
      </c>
      <c r="U183" s="2187">
        <v>74</v>
      </c>
      <c r="V183" s="2187">
        <v>385</v>
      </c>
      <c r="W183" s="2187">
        <v>2300</v>
      </c>
      <c r="X183" s="2187" t="s">
        <v>4459</v>
      </c>
      <c r="Y183" s="2567"/>
      <c r="Z183" s="2212"/>
      <c r="AA183" s="2212"/>
      <c r="AB183" s="2206"/>
      <c r="AC183" s="2206">
        <v>131.19999999999999</v>
      </c>
      <c r="AD183" s="2206">
        <v>-104.2</v>
      </c>
      <c r="AE183" s="2206"/>
      <c r="AF183" s="2206"/>
      <c r="AG183" s="2206"/>
      <c r="AH183" s="2206"/>
      <c r="AI183" s="2206"/>
      <c r="AJ183" s="2206">
        <v>36</v>
      </c>
      <c r="AK183" s="2206">
        <v>2.2000000000000002</v>
      </c>
      <c r="AL183" s="2206"/>
      <c r="AM183" s="2206"/>
      <c r="AN183" s="2206">
        <v>2</v>
      </c>
      <c r="AO183" s="2206">
        <v>3</v>
      </c>
      <c r="AP183" s="2206">
        <v>2</v>
      </c>
      <c r="AQ183" s="2206" t="s">
        <v>139</v>
      </c>
      <c r="AR183" s="2206" t="s">
        <v>138</v>
      </c>
      <c r="AS183" s="1596" t="s">
        <v>599</v>
      </c>
      <c r="AT183" s="1596"/>
      <c r="AU183" s="1596"/>
      <c r="AV183" s="1596" t="s">
        <v>158</v>
      </c>
      <c r="AW183" s="1596">
        <v>1.02</v>
      </c>
      <c r="AX183" s="1596">
        <v>1.196E-3</v>
      </c>
      <c r="AY183" s="1596">
        <v>0.41499999999999998</v>
      </c>
      <c r="AZ183" s="1596">
        <v>8.25E-4</v>
      </c>
      <c r="BA183" s="1596">
        <v>121.8</v>
      </c>
      <c r="BB183" s="1596">
        <v>0.14871999999999999</v>
      </c>
      <c r="BC183" s="1596">
        <v>2.24E-4</v>
      </c>
      <c r="BD183" s="1596">
        <v>10.0045</v>
      </c>
      <c r="BE183" s="1596">
        <v>3545.06</v>
      </c>
      <c r="BF183" s="1596">
        <v>50.28</v>
      </c>
      <c r="BG183" s="1596"/>
      <c r="BH183" s="1596"/>
      <c r="BI183" s="1596"/>
      <c r="BJ183" s="1596"/>
      <c r="BK183" s="1596"/>
      <c r="BL183" s="1596"/>
      <c r="BM183" s="1596"/>
      <c r="BN183" s="1596"/>
      <c r="BO183" s="1596"/>
      <c r="BP183" s="1596"/>
    </row>
    <row r="184" spans="1:68" ht="12.75" customHeight="1" x14ac:dyDescent="0.25">
      <c r="A184" s="1594" t="s">
        <v>4407</v>
      </c>
      <c r="B184" s="1596" t="s">
        <v>4408</v>
      </c>
      <c r="C184" s="1596" t="s">
        <v>842</v>
      </c>
      <c r="D184" s="1596">
        <v>1</v>
      </c>
      <c r="E184" s="1596"/>
      <c r="F184" s="1594" t="s">
        <v>4407</v>
      </c>
      <c r="G184" s="1596"/>
      <c r="H184" s="1596"/>
      <c r="I184" s="1596"/>
      <c r="J184" s="1596"/>
      <c r="K184" s="1596"/>
      <c r="L184" s="1596"/>
      <c r="M184" s="1596"/>
      <c r="N184" s="1596"/>
      <c r="O184" s="1596"/>
      <c r="P184" s="1596"/>
      <c r="Q184" s="1596"/>
      <c r="R184" s="1596"/>
      <c r="S184" s="1596"/>
      <c r="T184" s="2206">
        <v>89.1</v>
      </c>
      <c r="U184" s="2206">
        <v>27</v>
      </c>
      <c r="V184" s="2206">
        <v>385</v>
      </c>
      <c r="W184" s="2206">
        <v>2300</v>
      </c>
      <c r="X184" s="2187" t="s">
        <v>4459</v>
      </c>
      <c r="Y184" s="2567"/>
      <c r="Z184" s="2212"/>
      <c r="AA184" s="2212"/>
      <c r="AB184" s="2206"/>
      <c r="AC184" s="2206">
        <v>120.3</v>
      </c>
      <c r="AD184" s="2206">
        <v>-91.2</v>
      </c>
      <c r="AE184" s="2206"/>
      <c r="AF184" s="2206"/>
      <c r="AG184" s="2206"/>
      <c r="AH184" s="2206"/>
      <c r="AI184" s="2206"/>
      <c r="AJ184" s="2206">
        <v>24</v>
      </c>
      <c r="AK184" s="2206">
        <v>2.6</v>
      </c>
      <c r="AL184" s="2206"/>
      <c r="AM184" s="2206"/>
      <c r="AN184" s="2206">
        <v>1</v>
      </c>
      <c r="AO184" s="2206">
        <v>3</v>
      </c>
      <c r="AP184" s="2206">
        <v>1</v>
      </c>
      <c r="AQ184" s="2206" t="s">
        <v>139</v>
      </c>
      <c r="AR184" s="2206" t="s">
        <v>138</v>
      </c>
      <c r="AS184" s="1596"/>
      <c r="AT184" s="1596"/>
      <c r="AU184" s="1596"/>
      <c r="AV184" s="1596"/>
      <c r="AW184" s="1596">
        <v>1.008</v>
      </c>
      <c r="AX184" s="1596">
        <v>1.2229999999999999E-3</v>
      </c>
      <c r="AY184" s="1596">
        <v>0.38900000000000001</v>
      </c>
      <c r="AZ184" s="1596">
        <v>8.4400000000000002E-4</v>
      </c>
      <c r="BA184" s="1596">
        <v>115.1</v>
      </c>
      <c r="BB184" s="1596">
        <v>0.13785</v>
      </c>
      <c r="BC184" s="1596">
        <v>2.2699999999999999E-4</v>
      </c>
      <c r="BD184" s="1596">
        <v>9.8516999999999992</v>
      </c>
      <c r="BE184" s="1596">
        <v>3392.38</v>
      </c>
      <c r="BF184" s="1596">
        <v>49.25</v>
      </c>
      <c r="BG184" s="1596"/>
      <c r="BH184" s="1596"/>
      <c r="BI184" s="1596"/>
      <c r="BJ184" s="1596"/>
      <c r="BK184" s="1596"/>
      <c r="BL184" s="1596"/>
      <c r="BM184" s="1596"/>
      <c r="BN184" s="1596"/>
      <c r="BO184" s="1596"/>
      <c r="BP184" s="1596"/>
    </row>
    <row r="185" spans="1:68" ht="12.75" customHeight="1" x14ac:dyDescent="0.25">
      <c r="A185" s="1594" t="s">
        <v>4468</v>
      </c>
      <c r="B185" s="1596" t="s">
        <v>4410</v>
      </c>
      <c r="C185" s="1596" t="s">
        <v>842</v>
      </c>
      <c r="D185" s="1596">
        <v>1</v>
      </c>
      <c r="E185" s="1596"/>
      <c r="F185" s="1594" t="s">
        <v>4409</v>
      </c>
      <c r="G185" s="1596"/>
      <c r="H185" s="1596"/>
      <c r="I185" s="1596"/>
      <c r="J185" s="1596"/>
      <c r="K185" s="1596"/>
      <c r="L185" s="1596"/>
      <c r="M185" s="1596"/>
      <c r="N185" s="1596"/>
      <c r="O185" s="1596"/>
      <c r="P185" s="1596"/>
      <c r="Q185" s="1596"/>
      <c r="R185" s="1596"/>
      <c r="S185" s="1596"/>
      <c r="T185" s="2206">
        <v>114.23</v>
      </c>
      <c r="U185" s="2206">
        <v>235</v>
      </c>
      <c r="V185" s="2206">
        <v>385</v>
      </c>
      <c r="W185" s="2206">
        <v>5000</v>
      </c>
      <c r="X185" s="2187" t="s">
        <v>4459</v>
      </c>
      <c r="Y185" s="2567"/>
      <c r="Z185" s="2212"/>
      <c r="AA185" s="2212"/>
      <c r="AB185" s="2206"/>
      <c r="AC185" s="2206">
        <v>125.6</v>
      </c>
      <c r="AD185" s="2206">
        <v>-56.8</v>
      </c>
      <c r="AE185" s="2206"/>
      <c r="AF185" s="2206"/>
      <c r="AG185" s="2206"/>
      <c r="AH185" s="2206"/>
      <c r="AI185" s="2206"/>
      <c r="AJ185" s="2206">
        <v>13</v>
      </c>
      <c r="AK185" s="2206">
        <v>0.95</v>
      </c>
      <c r="AL185" s="2206"/>
      <c r="AM185" s="2206"/>
      <c r="AN185" s="2206">
        <v>2</v>
      </c>
      <c r="AO185" s="2206">
        <v>3</v>
      </c>
      <c r="AP185" s="2206">
        <v>0</v>
      </c>
      <c r="AQ185" s="2206" t="s">
        <v>139</v>
      </c>
      <c r="AR185" s="2206" t="s">
        <v>138</v>
      </c>
      <c r="AS185" s="1596" t="s">
        <v>599</v>
      </c>
      <c r="AT185" s="1596" t="s">
        <v>1169</v>
      </c>
      <c r="AU185" s="1596"/>
      <c r="AV185" s="1596"/>
      <c r="AW185" s="1596">
        <v>0.71599999999999997</v>
      </c>
      <c r="AX185" s="1596">
        <v>8.9099999999999997E-4</v>
      </c>
      <c r="AY185" s="1596">
        <v>0.51800000000000002</v>
      </c>
      <c r="AZ185" s="1596">
        <v>9.7269999999999995E-4</v>
      </c>
      <c r="BA185" s="1596">
        <v>91.2</v>
      </c>
      <c r="BB185" s="1596">
        <v>0.14834700000000001</v>
      </c>
      <c r="BC185" s="1596">
        <v>8.2600000000000002E-5</v>
      </c>
      <c r="BD185" s="1596">
        <v>9.5432000000000006</v>
      </c>
      <c r="BE185" s="1596">
        <v>3276.02</v>
      </c>
      <c r="BF185" s="1596">
        <v>55.91</v>
      </c>
      <c r="BG185" s="1596"/>
      <c r="BH185" s="1596"/>
      <c r="BI185" s="1596"/>
      <c r="BJ185" s="1596"/>
      <c r="BK185" s="1596"/>
      <c r="BL185" s="1596"/>
      <c r="BM185" s="1596"/>
      <c r="BN185" s="1596"/>
      <c r="BO185" s="1596"/>
      <c r="BP185" s="1596"/>
    </row>
    <row r="186" spans="1:68" ht="12.75" customHeight="1" x14ac:dyDescent="0.25">
      <c r="A186" s="3371" t="s">
        <v>4469</v>
      </c>
      <c r="B186" s="1596" t="s">
        <v>4470</v>
      </c>
      <c r="C186" s="1596" t="s">
        <v>842</v>
      </c>
      <c r="D186" s="1596">
        <v>1</v>
      </c>
      <c r="E186" s="1596"/>
      <c r="F186" s="3371" t="s">
        <v>1651</v>
      </c>
      <c r="G186" s="1596"/>
      <c r="H186" s="1596"/>
      <c r="I186" s="1596"/>
      <c r="J186" s="1596"/>
      <c r="K186" s="1596"/>
      <c r="L186" s="1596"/>
      <c r="M186" s="1596"/>
      <c r="N186" s="1596"/>
      <c r="O186" s="1596"/>
      <c r="P186" s="1596"/>
      <c r="Q186" s="1596"/>
      <c r="R186" s="1596"/>
      <c r="S186" s="1596"/>
      <c r="T186" s="1596">
        <v>72.150000000000006</v>
      </c>
      <c r="U186" s="2187">
        <v>3000</v>
      </c>
      <c r="V186" s="2187">
        <v>32500</v>
      </c>
      <c r="W186" s="2187">
        <v>190000</v>
      </c>
      <c r="X186" s="2199" t="s">
        <v>4459</v>
      </c>
      <c r="Y186" s="2559"/>
      <c r="Z186" s="2080"/>
      <c r="AA186" s="2080"/>
      <c r="AB186" s="1596"/>
      <c r="AC186" s="1596">
        <v>36</v>
      </c>
      <c r="AD186" s="1596">
        <v>-129.80000000000001</v>
      </c>
      <c r="AE186" s="1596"/>
      <c r="AF186" s="1596"/>
      <c r="AG186" s="1596"/>
      <c r="AH186" s="1596"/>
      <c r="AI186" s="1596"/>
      <c r="AJ186" s="1596">
        <v>-48.15</v>
      </c>
      <c r="AK186" s="1596">
        <v>1.4</v>
      </c>
      <c r="AL186" s="1596"/>
      <c r="AM186" s="1596"/>
      <c r="AN186" s="1596">
        <v>2</v>
      </c>
      <c r="AO186" s="1596">
        <v>4</v>
      </c>
      <c r="AP186" s="1596">
        <v>0</v>
      </c>
      <c r="AQ186" s="1596"/>
      <c r="AR186" s="1596"/>
      <c r="AS186" s="1596"/>
      <c r="AT186" s="1596"/>
      <c r="AU186" s="1596"/>
      <c r="AV186" s="1596"/>
      <c r="AW186" s="1596">
        <v>0.63800000000000001</v>
      </c>
      <c r="AX186" s="1596">
        <v>9.9500000000000001E-4</v>
      </c>
      <c r="AY186" s="1596">
        <v>0.52300000000000002</v>
      </c>
      <c r="AZ186" s="1616">
        <v>1.2842000000000001E-3</v>
      </c>
      <c r="BA186" s="1596">
        <v>92</v>
      </c>
      <c r="BB186" s="1596">
        <v>0.18113599999999999</v>
      </c>
      <c r="BC186" s="1596">
        <v>3.3799999999999998E-4</v>
      </c>
      <c r="BD186" s="1596">
        <v>9.3117999999999999</v>
      </c>
      <c r="BE186" s="1596">
        <v>2541.5700000000002</v>
      </c>
      <c r="BF186" s="1596">
        <v>36.270000000000003</v>
      </c>
      <c r="BG186" s="1596"/>
      <c r="BH186" s="1596"/>
      <c r="BI186" s="1596"/>
      <c r="BJ186" s="1596"/>
      <c r="BK186" s="1596"/>
      <c r="BL186" s="1596"/>
      <c r="BM186" s="1596"/>
      <c r="BN186" s="1596"/>
      <c r="BO186" s="1596"/>
      <c r="BP186" s="1596"/>
    </row>
    <row r="187" spans="1:68" ht="12.75" customHeight="1" x14ac:dyDescent="0.25">
      <c r="A187" s="3372" t="s">
        <v>4411</v>
      </c>
      <c r="B187" s="1556" t="s">
        <v>4412</v>
      </c>
      <c r="C187" s="1556" t="s">
        <v>842</v>
      </c>
      <c r="D187" s="1556">
        <v>1</v>
      </c>
      <c r="E187" s="1556"/>
      <c r="F187" s="3372" t="s">
        <v>4411</v>
      </c>
      <c r="G187" s="1556"/>
      <c r="H187" s="1556"/>
      <c r="I187" s="1556"/>
      <c r="J187" s="1556"/>
      <c r="K187" s="1556"/>
      <c r="L187" s="1556"/>
      <c r="M187" s="1556"/>
      <c r="N187" s="1556"/>
      <c r="O187" s="1556"/>
      <c r="P187" s="1556"/>
      <c r="Q187" s="1556"/>
      <c r="R187" s="1556"/>
      <c r="S187" s="1556"/>
      <c r="T187" s="3380">
        <v>100.12</v>
      </c>
      <c r="U187" s="2187">
        <v>75</v>
      </c>
      <c r="V187" s="2187">
        <v>112</v>
      </c>
      <c r="W187" s="2187">
        <v>200</v>
      </c>
      <c r="X187" s="2199" t="s">
        <v>4459</v>
      </c>
      <c r="Y187" s="2559"/>
      <c r="Z187" s="2212"/>
      <c r="AA187" s="2212"/>
      <c r="AB187" s="2206"/>
      <c r="AC187" s="3380">
        <v>141.30000000000001</v>
      </c>
      <c r="AD187" s="3380">
        <v>-23</v>
      </c>
      <c r="AE187" s="3380"/>
      <c r="AF187" s="3380"/>
      <c r="AG187" s="3380"/>
      <c r="AH187" s="3380"/>
      <c r="AI187" s="3380"/>
      <c r="AJ187" s="3380">
        <v>34</v>
      </c>
      <c r="AK187" s="3380"/>
      <c r="AL187" s="3380"/>
      <c r="AM187" s="3380"/>
      <c r="AN187" s="3380">
        <v>2</v>
      </c>
      <c r="AO187" s="3380">
        <v>3</v>
      </c>
      <c r="AP187" s="3380">
        <v>1</v>
      </c>
      <c r="AQ187" s="3380"/>
      <c r="AR187" s="3380"/>
      <c r="AS187" s="1556" t="s">
        <v>599</v>
      </c>
      <c r="AT187" s="1556"/>
      <c r="AU187" s="1556"/>
      <c r="AV187" s="1556" t="s">
        <v>158</v>
      </c>
      <c r="AW187" s="1556">
        <v>0.99099999999999999</v>
      </c>
      <c r="AX187" s="1556">
        <v>1.0460000000000001E-3</v>
      </c>
      <c r="AY187" s="1556">
        <v>0.38</v>
      </c>
      <c r="AZ187" s="1556">
        <v>6.692E-4</v>
      </c>
      <c r="BA187" s="1556">
        <v>98.7</v>
      </c>
      <c r="BB187" s="1556">
        <v>9.2071E-2</v>
      </c>
      <c r="BC187" s="1556">
        <v>1.7200000000000001E-4</v>
      </c>
      <c r="BD187" s="1556">
        <v>9.1478000000000002</v>
      </c>
      <c r="BE187" s="1556">
        <v>3281.49</v>
      </c>
      <c r="BF187" s="1556">
        <v>55.84</v>
      </c>
      <c r="BG187" s="1556"/>
      <c r="BH187" s="1556"/>
      <c r="BI187" s="1556"/>
      <c r="BJ187" s="1556"/>
      <c r="BK187" s="1556"/>
      <c r="BL187" s="1556"/>
      <c r="BM187" s="1556"/>
      <c r="BN187" s="1556"/>
      <c r="BO187" s="1556"/>
      <c r="BP187" s="1556"/>
    </row>
    <row r="188" spans="1:68" ht="12.75" customHeight="1" x14ac:dyDescent="0.25">
      <c r="A188" s="1513" t="s">
        <v>4413</v>
      </c>
      <c r="B188" s="1515" t="s">
        <v>4414</v>
      </c>
      <c r="C188" s="1515" t="s">
        <v>842</v>
      </c>
      <c r="D188" s="1515">
        <v>1</v>
      </c>
      <c r="E188" s="1515"/>
      <c r="F188" s="1513" t="s">
        <v>4413</v>
      </c>
      <c r="G188" s="1515"/>
      <c r="H188" s="1515"/>
      <c r="I188" s="1515"/>
      <c r="J188" s="1515"/>
      <c r="K188" s="1515"/>
      <c r="L188" s="1515"/>
      <c r="M188" s="1515"/>
      <c r="N188" s="1515"/>
      <c r="O188" s="1515"/>
      <c r="P188" s="1515"/>
      <c r="Q188" s="1515"/>
      <c r="R188" s="1515"/>
      <c r="S188" s="1515"/>
      <c r="T188" s="2207">
        <v>178.2</v>
      </c>
      <c r="U188" s="2187">
        <v>0.7</v>
      </c>
      <c r="V188" s="2187">
        <v>8.1</v>
      </c>
      <c r="W188" s="2187">
        <v>49.4</v>
      </c>
      <c r="X188" s="2199" t="s">
        <v>4459</v>
      </c>
      <c r="Y188" s="2559"/>
      <c r="Z188" s="2212"/>
      <c r="AA188" s="2212"/>
      <c r="AB188" s="2206"/>
      <c r="AC188" s="2207">
        <v>336.9</v>
      </c>
      <c r="AD188" s="2207">
        <v>99.2</v>
      </c>
      <c r="AE188" s="2207"/>
      <c r="AF188" s="2207"/>
      <c r="AG188" s="2207"/>
      <c r="AH188" s="2207"/>
      <c r="AI188" s="2207"/>
      <c r="AJ188" s="2207">
        <v>171</v>
      </c>
      <c r="AK188" s="2207">
        <v>0.8</v>
      </c>
      <c r="AL188" s="2207"/>
      <c r="AM188" s="2207"/>
      <c r="AN188" s="2207">
        <v>0</v>
      </c>
      <c r="AO188" s="2207">
        <v>1</v>
      </c>
      <c r="AP188" s="2207">
        <v>0</v>
      </c>
      <c r="AQ188" s="2207" t="s">
        <v>139</v>
      </c>
      <c r="AR188" s="2207" t="s">
        <v>138</v>
      </c>
      <c r="AS188" s="1515"/>
      <c r="AT188" s="1515"/>
      <c r="AU188" s="1515"/>
      <c r="AV188" s="1515"/>
      <c r="AW188" s="1515">
        <v>1.137</v>
      </c>
      <c r="AX188" s="1515">
        <v>7.1000000000000002E-4</v>
      </c>
      <c r="AY188" s="1515">
        <v>0.32300000000000001</v>
      </c>
      <c r="AZ188" s="1515">
        <v>7.1500000000000003E-4</v>
      </c>
      <c r="BA188" s="1515">
        <v>99.9</v>
      </c>
      <c r="BB188" s="1515">
        <v>5.3999999999999999E-2</v>
      </c>
      <c r="BC188" s="1515">
        <v>6.0000000000000002E-5</v>
      </c>
      <c r="BD188" s="1515">
        <v>10.552300000000001</v>
      </c>
      <c r="BE188" s="1515">
        <v>5760.86</v>
      </c>
      <c r="BF188" s="1515">
        <v>64.16</v>
      </c>
      <c r="BG188" s="1515"/>
      <c r="BH188" s="1515"/>
      <c r="BI188" s="1515"/>
      <c r="BJ188" s="1515"/>
      <c r="BK188" s="1515"/>
      <c r="BL188" s="1515"/>
      <c r="BM188" s="1515"/>
      <c r="BN188" s="1515"/>
      <c r="BO188" s="1515"/>
      <c r="BP188" s="1515"/>
    </row>
    <row r="189" spans="1:68" ht="12.75" customHeight="1" x14ac:dyDescent="0.25">
      <c r="A189" s="1513" t="s">
        <v>620</v>
      </c>
      <c r="B189" s="1514" t="s">
        <v>559</v>
      </c>
      <c r="C189" s="1515" t="s">
        <v>842</v>
      </c>
      <c r="D189" s="1515">
        <v>1</v>
      </c>
      <c r="E189" s="1515"/>
      <c r="F189" s="1513" t="s">
        <v>620</v>
      </c>
      <c r="G189" s="1515"/>
      <c r="H189" s="1515"/>
      <c r="I189" s="1515"/>
      <c r="J189" s="1515"/>
      <c r="K189" s="1515"/>
      <c r="L189" s="1515"/>
      <c r="M189" s="1515"/>
      <c r="N189" s="1515"/>
      <c r="O189" s="1515"/>
      <c r="P189" s="1515"/>
      <c r="Q189" s="1515"/>
      <c r="R189" s="1515"/>
      <c r="S189" s="1515"/>
      <c r="T189" s="1515">
        <v>94.11</v>
      </c>
      <c r="U189" s="2199">
        <v>10</v>
      </c>
      <c r="V189" s="2199">
        <v>50</v>
      </c>
      <c r="W189" s="2199">
        <v>200</v>
      </c>
      <c r="X189" s="2199" t="s">
        <v>4259</v>
      </c>
      <c r="Y189" s="2559"/>
      <c r="Z189" s="2080"/>
      <c r="AA189" s="2080"/>
      <c r="AB189" s="1596"/>
      <c r="AC189" s="1515">
        <v>181.9</v>
      </c>
      <c r="AD189" s="1515">
        <v>40.9</v>
      </c>
      <c r="AE189" s="1515"/>
      <c r="AF189" s="1515"/>
      <c r="AG189" s="1515"/>
      <c r="AH189" s="1515"/>
      <c r="AI189" s="1515"/>
      <c r="AJ189" s="1515">
        <v>79</v>
      </c>
      <c r="AK189" s="1515">
        <v>1.8</v>
      </c>
      <c r="AL189" s="1515"/>
      <c r="AM189" s="1515"/>
      <c r="AN189" s="1515">
        <v>4</v>
      </c>
      <c r="AO189" s="1515">
        <v>2</v>
      </c>
      <c r="AP189" s="1515">
        <v>0</v>
      </c>
      <c r="AQ189" s="1515" t="s">
        <v>139</v>
      </c>
      <c r="AR189" s="1515" t="s">
        <v>138</v>
      </c>
      <c r="AS189" s="1515" t="s">
        <v>1091</v>
      </c>
      <c r="AT189" s="1515"/>
      <c r="AU189" s="1515"/>
      <c r="AV189" s="1515" t="s">
        <v>158</v>
      </c>
      <c r="AW189" s="1515">
        <v>1.103</v>
      </c>
      <c r="AX189" s="1515">
        <v>1.01E-3</v>
      </c>
      <c r="AY189" s="1515">
        <v>0.499</v>
      </c>
      <c r="AZ189" s="1638">
        <v>4.2099999999999999E-4</v>
      </c>
      <c r="BA189" s="1515">
        <v>157.19999999999999</v>
      </c>
      <c r="BB189" s="1515">
        <v>0.21920000000000001</v>
      </c>
      <c r="BC189" s="1515">
        <v>3.3300000000000003E-5</v>
      </c>
      <c r="BD189" s="1515">
        <v>9.9510000000000005</v>
      </c>
      <c r="BE189" s="1515">
        <v>3616.65</v>
      </c>
      <c r="BF189" s="1515">
        <v>91.67</v>
      </c>
      <c r="BG189" s="1515"/>
      <c r="BH189" s="1515"/>
      <c r="BI189" s="1515"/>
      <c r="BJ189" s="1515"/>
      <c r="BK189" s="1515"/>
      <c r="BL189" s="1515"/>
      <c r="BM189" s="1515"/>
      <c r="BN189" s="1515"/>
      <c r="BO189" s="1515"/>
      <c r="BP189" s="1515"/>
    </row>
    <row r="190" spans="1:68" ht="12.75" customHeight="1" x14ac:dyDescent="0.25">
      <c r="A190" s="1513" t="s">
        <v>1796</v>
      </c>
      <c r="B190" s="1514" t="s">
        <v>560</v>
      </c>
      <c r="C190" s="1515" t="s">
        <v>842</v>
      </c>
      <c r="D190" s="1515">
        <v>1</v>
      </c>
      <c r="E190" s="1515"/>
      <c r="F190" s="1513" t="s">
        <v>1796</v>
      </c>
      <c r="G190" s="1515"/>
      <c r="H190" s="1515"/>
      <c r="I190" s="1515"/>
      <c r="J190" s="1515"/>
      <c r="K190" s="1515"/>
      <c r="L190" s="1515"/>
      <c r="M190" s="1515"/>
      <c r="N190" s="1515"/>
      <c r="O190" s="1515"/>
      <c r="P190" s="1515"/>
      <c r="Q190" s="1515"/>
      <c r="R190" s="1515"/>
      <c r="S190" s="1515"/>
      <c r="T190" s="1515">
        <v>98.9</v>
      </c>
      <c r="U190" s="2199"/>
      <c r="V190" s="2199">
        <v>0.5</v>
      </c>
      <c r="W190" s="2199">
        <v>1.5</v>
      </c>
      <c r="X190" s="2199" t="s">
        <v>4259</v>
      </c>
      <c r="Y190" s="2559" t="s">
        <v>289</v>
      </c>
      <c r="Z190" s="2080">
        <v>6.4</v>
      </c>
      <c r="AA190" s="2080">
        <v>12.1</v>
      </c>
      <c r="AB190" s="1596">
        <v>1</v>
      </c>
      <c r="AC190" s="1515">
        <v>7.5</v>
      </c>
      <c r="AD190" s="1515"/>
      <c r="AE190" s="1515"/>
      <c r="AF190" s="1515"/>
      <c r="AG190" s="1515"/>
      <c r="AH190" s="1515"/>
      <c r="AI190" s="1515"/>
      <c r="AJ190" s="1515"/>
      <c r="AK190" s="1515"/>
      <c r="AL190" s="1515"/>
      <c r="AM190" s="1515"/>
      <c r="AN190" s="1515">
        <v>4</v>
      </c>
      <c r="AO190" s="1515">
        <v>0</v>
      </c>
      <c r="AP190" s="1515">
        <v>1</v>
      </c>
      <c r="AQ190" s="1515"/>
      <c r="AR190" s="1515"/>
      <c r="AS190" s="1515"/>
      <c r="AT190" s="1515"/>
      <c r="AU190" s="1515"/>
      <c r="AV190" s="1515" t="s">
        <v>158</v>
      </c>
      <c r="AW190" s="1515">
        <v>1.421</v>
      </c>
      <c r="AX190" s="1515">
        <v>2.4499999999999999E-3</v>
      </c>
      <c r="AY190" s="1515">
        <v>0.245</v>
      </c>
      <c r="AZ190" s="1638">
        <v>2.0000000000000002E-5</v>
      </c>
      <c r="BA190" s="1515">
        <v>59.8</v>
      </c>
      <c r="BB190" s="1515">
        <v>0.13100000000000001</v>
      </c>
      <c r="BC190" s="1515"/>
      <c r="BD190" s="1515">
        <v>10.675000000000001</v>
      </c>
      <c r="BE190" s="1515">
        <v>2994.3</v>
      </c>
      <c r="BF190" s="1515"/>
      <c r="BG190" s="1515"/>
      <c r="BH190" s="1515"/>
      <c r="BI190" s="1515"/>
      <c r="BJ190" s="1515"/>
      <c r="BK190" s="1515"/>
      <c r="BL190" s="1515"/>
      <c r="BM190" s="1515"/>
      <c r="BN190" s="1515"/>
      <c r="BO190" s="1515"/>
      <c r="BP190" s="1515"/>
    </row>
    <row r="191" spans="1:68" ht="12.75" customHeight="1" x14ac:dyDescent="0.25">
      <c r="A191" s="1513" t="s">
        <v>4415</v>
      </c>
      <c r="B191" s="1515" t="s">
        <v>4416</v>
      </c>
      <c r="C191" s="1515" t="s">
        <v>842</v>
      </c>
      <c r="D191" s="1515">
        <v>1</v>
      </c>
      <c r="E191" s="1515"/>
      <c r="F191" s="1513" t="s">
        <v>4415</v>
      </c>
      <c r="G191" s="1515"/>
      <c r="H191" s="1515"/>
      <c r="I191" s="1515"/>
      <c r="J191" s="1515"/>
      <c r="K191" s="1515"/>
      <c r="L191" s="1515"/>
      <c r="M191" s="1515"/>
      <c r="N191" s="1515"/>
      <c r="O191" s="1515"/>
      <c r="P191" s="1515"/>
      <c r="Q191" s="1515"/>
      <c r="R191" s="1515"/>
      <c r="S191" s="1515"/>
      <c r="T191" s="2207">
        <v>153.30000000000001</v>
      </c>
      <c r="U191" s="2187"/>
      <c r="V191" s="2187">
        <v>0.2</v>
      </c>
      <c r="W191" s="2187">
        <v>0.85</v>
      </c>
      <c r="X191" s="2187" t="s">
        <v>4457</v>
      </c>
      <c r="Y191" s="2559" t="s">
        <v>289</v>
      </c>
      <c r="Z191" s="2212"/>
      <c r="AA191" s="2212"/>
      <c r="AB191" s="2206"/>
      <c r="AC191" s="2207">
        <v>106</v>
      </c>
      <c r="AD191" s="2207"/>
      <c r="AE191" s="2207"/>
      <c r="AF191" s="2207"/>
      <c r="AG191" s="2207"/>
      <c r="AH191" s="2207"/>
      <c r="AI191" s="2207"/>
      <c r="AJ191" s="2207"/>
      <c r="AK191" s="2207"/>
      <c r="AL191" s="2207"/>
      <c r="AM191" s="2207"/>
      <c r="AN191" s="2207">
        <v>3</v>
      </c>
      <c r="AO191" s="2207">
        <v>0</v>
      </c>
      <c r="AP191" s="2207">
        <v>3</v>
      </c>
      <c r="AQ191" s="2207"/>
      <c r="AR191" s="2207"/>
      <c r="AS191" s="1515" t="s">
        <v>1514</v>
      </c>
      <c r="AT191" s="1515"/>
      <c r="AU191" s="1515"/>
      <c r="AV191" s="1515" t="s">
        <v>158</v>
      </c>
      <c r="AW191" s="1515">
        <v>1.698</v>
      </c>
      <c r="AX191" s="1515">
        <v>2.1299999999999999E-3</v>
      </c>
      <c r="AY191" s="1515">
        <v>0.189</v>
      </c>
      <c r="AZ191" s="1515">
        <v>1.0000000000000001E-5</v>
      </c>
      <c r="BA191" s="1515">
        <v>48.1</v>
      </c>
      <c r="BB191" s="1515">
        <v>5.8000000000000003E-2</v>
      </c>
      <c r="BC191" s="1515"/>
      <c r="BD191" s="1515">
        <v>11.446999999999999</v>
      </c>
      <c r="BE191" s="1515">
        <v>4335</v>
      </c>
      <c r="BF191" s="1515"/>
      <c r="BG191" s="1515"/>
      <c r="BH191" s="1515"/>
      <c r="BI191" s="1515"/>
      <c r="BJ191" s="1515"/>
      <c r="BK191" s="1515"/>
      <c r="BL191" s="1515"/>
      <c r="BM191" s="1515"/>
      <c r="BN191" s="1515"/>
      <c r="BO191" s="1515"/>
      <c r="BP191" s="1515"/>
    </row>
    <row r="192" spans="1:68" ht="12.75" customHeight="1" x14ac:dyDescent="0.25">
      <c r="A192" s="3293" t="s">
        <v>970</v>
      </c>
      <c r="B192" s="3376" t="s">
        <v>561</v>
      </c>
      <c r="C192" s="1515" t="s">
        <v>842</v>
      </c>
      <c r="D192" s="1515">
        <v>1</v>
      </c>
      <c r="E192" s="1677"/>
      <c r="F192" s="3293" t="s">
        <v>970</v>
      </c>
      <c r="G192" s="1677"/>
      <c r="H192" s="1677"/>
      <c r="I192" s="1677"/>
      <c r="J192" s="1677"/>
      <c r="K192" s="1677"/>
      <c r="L192" s="1677"/>
      <c r="M192" s="1677"/>
      <c r="N192" s="1677"/>
      <c r="O192" s="1677"/>
      <c r="P192" s="1677"/>
      <c r="Q192" s="1677"/>
      <c r="R192" s="1677"/>
      <c r="S192" s="1677"/>
      <c r="T192" s="1677">
        <v>137.30000000000001</v>
      </c>
      <c r="U192" s="1677">
        <v>0.5</v>
      </c>
      <c r="V192" s="1677">
        <v>3</v>
      </c>
      <c r="W192" s="1677">
        <v>15</v>
      </c>
      <c r="X192" s="2199" t="s">
        <v>4259</v>
      </c>
      <c r="Y192" s="2559" t="s">
        <v>289</v>
      </c>
      <c r="Z192" s="2080"/>
      <c r="AA192" s="2080"/>
      <c r="AB192" s="1677"/>
      <c r="AC192" s="1677">
        <v>76.099999999999994</v>
      </c>
      <c r="AD192" s="1677">
        <v>-92</v>
      </c>
      <c r="AE192" s="1677"/>
      <c r="AF192" s="1677"/>
      <c r="AG192" s="1677"/>
      <c r="AH192" s="1677"/>
      <c r="AI192" s="1677"/>
      <c r="AJ192" s="1677"/>
      <c r="AK192" s="1677"/>
      <c r="AL192" s="1677"/>
      <c r="AM192" s="1677"/>
      <c r="AN192" s="1677">
        <v>3</v>
      </c>
      <c r="AO192" s="1677">
        <v>0</v>
      </c>
      <c r="AP192" s="1677">
        <v>2</v>
      </c>
      <c r="AQ192" s="1677"/>
      <c r="AR192" s="1677"/>
      <c r="AS192" s="1677" t="s">
        <v>1514</v>
      </c>
      <c r="AT192" s="1677"/>
      <c r="AU192" s="1677"/>
      <c r="AV192" s="1677"/>
      <c r="AW192" s="1677">
        <v>1.6140000000000001</v>
      </c>
      <c r="AX192" s="1677">
        <v>2.1480000000000002E-3</v>
      </c>
      <c r="AY192" s="1677">
        <v>0.20100000000000001</v>
      </c>
      <c r="AZ192" s="3338">
        <v>3.4E-5</v>
      </c>
      <c r="BA192" s="1677">
        <v>58.2</v>
      </c>
      <c r="BB192" s="1677">
        <v>8.1799999999999998E-2</v>
      </c>
      <c r="BC192" s="1677">
        <v>1.5200000000000001E-4</v>
      </c>
      <c r="BD192" s="1677">
        <v>9.4896999999999991</v>
      </c>
      <c r="BE192" s="1677">
        <v>2959.23</v>
      </c>
      <c r="BF192" s="1677">
        <v>37.479999999999997</v>
      </c>
      <c r="BG192" s="1677"/>
      <c r="BH192" s="1677"/>
      <c r="BI192" s="1677"/>
      <c r="BJ192" s="1677"/>
      <c r="BK192" s="1677"/>
      <c r="BL192" s="1677"/>
      <c r="BM192" s="1677"/>
      <c r="BN192" s="1677"/>
      <c r="BO192" s="1677"/>
      <c r="BP192" s="1677"/>
    </row>
    <row r="193" spans="1:68" ht="12.75" customHeight="1" x14ac:dyDescent="0.25">
      <c r="A193" s="1513" t="s">
        <v>2255</v>
      </c>
      <c r="B193" s="1514" t="s">
        <v>2256</v>
      </c>
      <c r="C193" s="1515" t="s">
        <v>842</v>
      </c>
      <c r="D193" s="1515">
        <v>1</v>
      </c>
      <c r="E193" s="1515"/>
      <c r="F193" s="1513" t="s">
        <v>2255</v>
      </c>
      <c r="G193" s="1515"/>
      <c r="H193" s="1515"/>
      <c r="I193" s="1515"/>
      <c r="J193" s="1515"/>
      <c r="K193" s="1515"/>
      <c r="L193" s="1515"/>
      <c r="M193" s="1515"/>
      <c r="N193" s="1515"/>
      <c r="O193" s="1515"/>
      <c r="P193" s="1515"/>
      <c r="Q193" s="1515"/>
      <c r="R193" s="1515"/>
      <c r="S193" s="1515"/>
      <c r="T193" s="1515">
        <v>34</v>
      </c>
      <c r="U193" s="1515"/>
      <c r="V193" s="1515">
        <v>0.5</v>
      </c>
      <c r="W193" s="1515">
        <v>5</v>
      </c>
      <c r="X193" s="2199" t="s">
        <v>4259</v>
      </c>
      <c r="Y193" s="2559" t="s">
        <v>289</v>
      </c>
      <c r="Z193" s="2080"/>
      <c r="AA193" s="2080"/>
      <c r="AB193" s="1596"/>
      <c r="AC193" s="1515">
        <v>-87.5</v>
      </c>
      <c r="AD193" s="1515"/>
      <c r="AE193" s="1515"/>
      <c r="AF193" s="1515"/>
      <c r="AG193" s="1515"/>
      <c r="AH193" s="1515"/>
      <c r="AI193" s="1515"/>
      <c r="AJ193" s="1515">
        <v>-115</v>
      </c>
      <c r="AK193" s="1515">
        <v>16.7</v>
      </c>
      <c r="AL193" s="1515"/>
      <c r="AM193" s="1515"/>
      <c r="AN193" s="1515">
        <v>4</v>
      </c>
      <c r="AO193" s="1515">
        <v>4</v>
      </c>
      <c r="AP193" s="1515">
        <v>2</v>
      </c>
      <c r="AQ193" s="1515" t="s">
        <v>137</v>
      </c>
      <c r="AR193" s="1515" t="s">
        <v>138</v>
      </c>
      <c r="AS193" s="1515"/>
      <c r="AT193" s="1515" t="s">
        <v>1169</v>
      </c>
      <c r="AU193" s="1515"/>
      <c r="AV193" s="1515"/>
      <c r="AW193" s="1515">
        <v>0.60199999999999998</v>
      </c>
      <c r="AX193" s="1515">
        <v>1.83E-3</v>
      </c>
      <c r="AY193" s="1515">
        <v>0.54800000000000004</v>
      </c>
      <c r="AZ193" s="1638">
        <v>1.3699999999999999E-3</v>
      </c>
      <c r="BA193" s="1515">
        <v>72.7</v>
      </c>
      <c r="BB193" s="1515">
        <v>0.499</v>
      </c>
      <c r="BC193" s="1515">
        <v>1.66E-3</v>
      </c>
      <c r="BD193" s="1515">
        <v>8.8353999999999999</v>
      </c>
      <c r="BE193" s="1515">
        <v>1447.13</v>
      </c>
      <c r="BF193" s="1515">
        <v>21.88</v>
      </c>
      <c r="BG193" s="1515"/>
      <c r="BH193" s="1515"/>
      <c r="BI193" s="1515"/>
      <c r="BJ193" s="1515"/>
      <c r="BK193" s="1515"/>
      <c r="BL193" s="1515"/>
      <c r="BM193" s="1515"/>
      <c r="BN193" s="1515"/>
      <c r="BO193" s="1515"/>
      <c r="BP193" s="1515"/>
    </row>
    <row r="194" spans="1:68" ht="12.75" customHeight="1" x14ac:dyDescent="0.25">
      <c r="A194" s="1513" t="s">
        <v>4417</v>
      </c>
      <c r="B194" s="1515" t="s">
        <v>4418</v>
      </c>
      <c r="C194" s="1515" t="s">
        <v>842</v>
      </c>
      <c r="D194" s="1515">
        <v>1</v>
      </c>
      <c r="E194" s="1515"/>
      <c r="F194" s="1513" t="s">
        <v>4417</v>
      </c>
      <c r="G194" s="1515"/>
      <c r="H194" s="1515"/>
      <c r="I194" s="1515"/>
      <c r="J194" s="1515"/>
      <c r="K194" s="1515"/>
      <c r="L194" s="1515"/>
      <c r="M194" s="1515"/>
      <c r="N194" s="1515"/>
      <c r="O194" s="1515"/>
      <c r="P194" s="1515"/>
      <c r="Q194" s="1515"/>
      <c r="R194" s="1515"/>
      <c r="S194" s="1515"/>
      <c r="T194" s="2207">
        <v>93.13</v>
      </c>
      <c r="U194" s="2207">
        <v>5</v>
      </c>
      <c r="V194" s="2207">
        <v>50</v>
      </c>
      <c r="W194" s="2207">
        <v>300</v>
      </c>
      <c r="X194" s="2187" t="s">
        <v>4459</v>
      </c>
      <c r="Y194" s="2567"/>
      <c r="Z194" s="2212"/>
      <c r="AA194" s="2212"/>
      <c r="AB194" s="2206"/>
      <c r="AC194" s="2207">
        <v>144.1</v>
      </c>
      <c r="AD194" s="2207">
        <v>-18.100000000000001</v>
      </c>
      <c r="AE194" s="2207"/>
      <c r="AF194" s="2207"/>
      <c r="AG194" s="2207"/>
      <c r="AH194" s="2207"/>
      <c r="AI194" s="2207"/>
      <c r="AJ194" s="2207">
        <v>36</v>
      </c>
      <c r="AK194" s="2207">
        <v>1.4</v>
      </c>
      <c r="AL194" s="2207"/>
      <c r="AM194" s="2207">
        <v>500</v>
      </c>
      <c r="AN194" s="2207">
        <v>3</v>
      </c>
      <c r="AO194" s="2207">
        <v>2</v>
      </c>
      <c r="AP194" s="2207">
        <v>0</v>
      </c>
      <c r="AQ194" s="2207" t="s">
        <v>139</v>
      </c>
      <c r="AR194" s="2207" t="s">
        <v>138</v>
      </c>
      <c r="AS194" s="1515"/>
      <c r="AT194" s="1515"/>
      <c r="AU194" s="1515"/>
      <c r="AV194" s="1515" t="s">
        <v>158</v>
      </c>
      <c r="AW194" s="1515">
        <v>0.97899999999999998</v>
      </c>
      <c r="AX194" s="1515">
        <v>1.0629999999999999E-3</v>
      </c>
      <c r="AY194" s="1515">
        <v>0.374</v>
      </c>
      <c r="AZ194" s="1515">
        <v>8.8800000000000001E-4</v>
      </c>
      <c r="BA194" s="1515">
        <v>117.5</v>
      </c>
      <c r="BB194" s="1515">
        <v>0.1225</v>
      </c>
      <c r="BC194" s="1515">
        <v>2.0799999999999999E-4</v>
      </c>
      <c r="BD194" s="1515">
        <v>9.7205999999999992</v>
      </c>
      <c r="BE194" s="1515">
        <v>3502.75</v>
      </c>
      <c r="BF194" s="1515">
        <v>57</v>
      </c>
      <c r="BG194" s="1515"/>
      <c r="BH194" s="1515"/>
      <c r="BI194" s="1515"/>
      <c r="BJ194" s="1515"/>
      <c r="BK194" s="1515"/>
      <c r="BL194" s="1515"/>
      <c r="BM194" s="1515"/>
      <c r="BN194" s="1515"/>
      <c r="BO194" s="1515"/>
      <c r="BP194" s="1515"/>
    </row>
    <row r="195" spans="1:68" ht="12.75" customHeight="1" x14ac:dyDescent="0.25">
      <c r="A195" s="1513" t="s">
        <v>4419</v>
      </c>
      <c r="B195" s="1515" t="s">
        <v>4420</v>
      </c>
      <c r="C195" s="1515" t="s">
        <v>842</v>
      </c>
      <c r="D195" s="1515">
        <v>1</v>
      </c>
      <c r="E195" s="1515"/>
      <c r="F195" s="1513" t="s">
        <v>4419</v>
      </c>
      <c r="G195" s="1515"/>
      <c r="H195" s="1515"/>
      <c r="I195" s="1515"/>
      <c r="J195" s="1515"/>
      <c r="K195" s="1515"/>
      <c r="L195" s="1515"/>
      <c r="M195" s="1515"/>
      <c r="N195" s="1515"/>
      <c r="O195" s="1515"/>
      <c r="P195" s="1515"/>
      <c r="Q195" s="1515"/>
      <c r="R195" s="1515"/>
      <c r="S195" s="1515"/>
      <c r="T195" s="2207">
        <v>86.1</v>
      </c>
      <c r="U195" s="2187">
        <v>0.09</v>
      </c>
      <c r="V195" s="2187">
        <v>9</v>
      </c>
      <c r="W195" s="2207">
        <v>54</v>
      </c>
      <c r="X195" s="2187" t="s">
        <v>4459</v>
      </c>
      <c r="Y195" s="2567"/>
      <c r="Z195" s="2212"/>
      <c r="AA195" s="2212"/>
      <c r="AB195" s="2206"/>
      <c r="AC195" s="2207">
        <v>148.6</v>
      </c>
      <c r="AD195" s="2207">
        <v>110.3</v>
      </c>
      <c r="AE195" s="2207"/>
      <c r="AF195" s="2207"/>
      <c r="AG195" s="2207"/>
      <c r="AH195" s="2207"/>
      <c r="AI195" s="2207"/>
      <c r="AJ195" s="2207">
        <v>87.8</v>
      </c>
      <c r="AK195" s="2207">
        <v>1.9</v>
      </c>
      <c r="AL195" s="2207"/>
      <c r="AM195" s="2207"/>
      <c r="AN195" s="2207">
        <v>3</v>
      </c>
      <c r="AO195" s="2207">
        <v>1</v>
      </c>
      <c r="AP195" s="2207">
        <v>1</v>
      </c>
      <c r="AQ195" s="2207" t="s">
        <v>139</v>
      </c>
      <c r="AR195" s="2207" t="s">
        <v>138</v>
      </c>
      <c r="AS195" s="1515"/>
      <c r="AT195" s="1515"/>
      <c r="AU195" s="1515"/>
      <c r="AV195" s="1515"/>
      <c r="AW195" s="1515">
        <v>1.0129999999999999</v>
      </c>
      <c r="AX195" s="1515">
        <v>1.08E-3</v>
      </c>
      <c r="AY195" s="1515">
        <v>0.52800000000000002</v>
      </c>
      <c r="AZ195" s="1515">
        <v>8.4000000000000003E-4</v>
      </c>
      <c r="BA195" s="1515">
        <v>141.80000000000001</v>
      </c>
      <c r="BB195" s="1515">
        <v>0.1905</v>
      </c>
      <c r="BC195" s="1515">
        <v>8.5000000000000006E-5</v>
      </c>
      <c r="BD195" s="1515">
        <v>11.090400000000001</v>
      </c>
      <c r="BE195" s="1515">
        <v>4372.62</v>
      </c>
      <c r="BF195" s="1515">
        <v>28.48</v>
      </c>
      <c r="BG195" s="1515"/>
      <c r="BH195" s="1515"/>
      <c r="BI195" s="1515"/>
      <c r="BJ195" s="1515"/>
      <c r="BK195" s="1515"/>
      <c r="BL195" s="1515"/>
      <c r="BM195" s="1515"/>
      <c r="BN195" s="1515"/>
      <c r="BO195" s="1515"/>
      <c r="BP195" s="1515"/>
    </row>
    <row r="196" spans="1:68" ht="12.75" customHeight="1" x14ac:dyDescent="0.25">
      <c r="A196" s="1513" t="s">
        <v>420</v>
      </c>
      <c r="B196" s="1514" t="s">
        <v>562</v>
      </c>
      <c r="C196" s="1515" t="s">
        <v>842</v>
      </c>
      <c r="D196" s="1515">
        <v>1</v>
      </c>
      <c r="E196" s="1515"/>
      <c r="F196" s="1513" t="s">
        <v>420</v>
      </c>
      <c r="G196" s="1515"/>
      <c r="H196" s="1515"/>
      <c r="I196" s="1515"/>
      <c r="J196" s="1515"/>
      <c r="K196" s="1515"/>
      <c r="L196" s="1515"/>
      <c r="M196" s="1515"/>
      <c r="N196" s="1515"/>
      <c r="O196" s="1515"/>
      <c r="P196" s="1515"/>
      <c r="Q196" s="1515"/>
      <c r="R196" s="1515"/>
      <c r="S196" s="1515"/>
      <c r="T196" s="1515">
        <v>310.39999999999998</v>
      </c>
      <c r="U196" s="2187">
        <v>2.4</v>
      </c>
      <c r="V196" s="2187">
        <v>100</v>
      </c>
      <c r="W196" s="2187">
        <v>600</v>
      </c>
      <c r="X196" s="2187" t="s">
        <v>4459</v>
      </c>
      <c r="Y196" s="2567"/>
      <c r="Z196" s="2080"/>
      <c r="AA196" s="2080"/>
      <c r="AB196" s="1596"/>
      <c r="AC196" s="1515">
        <v>369.3</v>
      </c>
      <c r="AD196" s="1515"/>
      <c r="AE196" s="1515"/>
      <c r="AF196" s="1515"/>
      <c r="AG196" s="1515"/>
      <c r="AH196" s="1515"/>
      <c r="AI196" s="1515"/>
      <c r="AJ196" s="1515"/>
      <c r="AK196" s="1515"/>
      <c r="AL196" s="1515"/>
      <c r="AM196" s="1515"/>
      <c r="AN196" s="1515">
        <v>0</v>
      </c>
      <c r="AO196" s="1515">
        <v>1</v>
      </c>
      <c r="AP196" s="1515">
        <v>0</v>
      </c>
      <c r="AQ196" s="1515" t="s">
        <v>139</v>
      </c>
      <c r="AR196" s="1515" t="s">
        <v>138</v>
      </c>
      <c r="AS196" s="1515"/>
      <c r="AT196" s="1515"/>
      <c r="AU196" s="1515"/>
      <c r="AV196" s="1515"/>
      <c r="AW196" s="1515">
        <v>1.105</v>
      </c>
      <c r="AX196" s="1515">
        <v>5.5599999999999996E-4</v>
      </c>
      <c r="AY196" s="1515">
        <v>0.40300000000000002</v>
      </c>
      <c r="AZ196" s="1638">
        <v>7.3999999999999999E-4</v>
      </c>
      <c r="BA196" s="1515">
        <v>90.9</v>
      </c>
      <c r="BB196" s="1515">
        <v>6.2350000000000003E-2</v>
      </c>
      <c r="BC196" s="1515">
        <v>7.0500000000000006E-5</v>
      </c>
      <c r="BD196" s="1515">
        <v>14.4269</v>
      </c>
      <c r="BE196" s="1515">
        <v>8795.24</v>
      </c>
      <c r="BF196" s="1515">
        <v>32.24</v>
      </c>
      <c r="BG196" s="1515"/>
      <c r="BH196" s="1515"/>
      <c r="BI196" s="1515"/>
      <c r="BJ196" s="1515"/>
      <c r="BK196" s="1515"/>
      <c r="BL196" s="1515"/>
      <c r="BM196" s="1515"/>
      <c r="BN196" s="1515"/>
      <c r="BO196" s="1515"/>
      <c r="BP196" s="1515"/>
    </row>
    <row r="197" spans="1:68" ht="12.75" customHeight="1" x14ac:dyDescent="0.25">
      <c r="A197" s="1513" t="s">
        <v>1462</v>
      </c>
      <c r="B197" s="1514" t="s">
        <v>563</v>
      </c>
      <c r="C197" s="1515" t="s">
        <v>842</v>
      </c>
      <c r="D197" s="1515">
        <v>1</v>
      </c>
      <c r="E197" s="1515"/>
      <c r="F197" s="1513" t="s">
        <v>1462</v>
      </c>
      <c r="G197" s="1515"/>
      <c r="H197" s="1515"/>
      <c r="I197" s="1515"/>
      <c r="J197" s="1515"/>
      <c r="K197" s="1515"/>
      <c r="L197" s="1515"/>
      <c r="M197" s="1515"/>
      <c r="N197" s="1515"/>
      <c r="O197" s="1515"/>
      <c r="P197" s="1515"/>
      <c r="Q197" s="1515"/>
      <c r="R197" s="1515"/>
      <c r="S197" s="1515"/>
      <c r="T197" s="1515">
        <v>44.09</v>
      </c>
      <c r="U197" s="2207">
        <v>5500</v>
      </c>
      <c r="V197" s="1515"/>
      <c r="W197" s="1515"/>
      <c r="X197" s="2199" t="s">
        <v>4457</v>
      </c>
      <c r="Y197" s="2559"/>
      <c r="Z197" s="2080"/>
      <c r="AA197" s="2080"/>
      <c r="AB197" s="1596"/>
      <c r="AC197" s="1515">
        <v>-42</v>
      </c>
      <c r="AD197" s="1515"/>
      <c r="AE197" s="1515"/>
      <c r="AF197" s="1515"/>
      <c r="AG197" s="1515"/>
      <c r="AH197" s="1515"/>
      <c r="AI197" s="1515"/>
      <c r="AJ197" s="1515">
        <v>-104</v>
      </c>
      <c r="AK197" s="1515">
        <v>2.1</v>
      </c>
      <c r="AL197" s="1515"/>
      <c r="AM197" s="1515"/>
      <c r="AN197" s="1515">
        <v>2</v>
      </c>
      <c r="AO197" s="1515">
        <v>4</v>
      </c>
      <c r="AP197" s="1515">
        <v>0</v>
      </c>
      <c r="AQ197" s="1515" t="s">
        <v>139</v>
      </c>
      <c r="AR197" s="1515" t="s">
        <v>138</v>
      </c>
      <c r="AS197" s="1515"/>
      <c r="AT197" s="1515"/>
      <c r="AU197" s="1515"/>
      <c r="AV197" s="1515"/>
      <c r="AW197" s="1515">
        <v>0.52900000000000003</v>
      </c>
      <c r="AX197" s="1515">
        <v>1.5399999999999999E-3</v>
      </c>
      <c r="AY197" s="1515">
        <v>0.59299999999999997</v>
      </c>
      <c r="AZ197" s="1638">
        <v>2.49E-3</v>
      </c>
      <c r="BA197" s="1515">
        <v>89.7</v>
      </c>
      <c r="BB197" s="1515">
        <v>0.40100000000000002</v>
      </c>
      <c r="BC197" s="1515"/>
      <c r="BD197" s="1515">
        <v>9.952</v>
      </c>
      <c r="BE197" s="1515">
        <v>2298.8000000000002</v>
      </c>
      <c r="BF197" s="1515"/>
      <c r="BG197" s="1515"/>
      <c r="BH197" s="1515"/>
      <c r="BI197" s="1515"/>
      <c r="BJ197" s="1515"/>
      <c r="BK197" s="1515"/>
      <c r="BL197" s="1515"/>
      <c r="BM197" s="1515"/>
      <c r="BN197" s="1515"/>
      <c r="BO197" s="1515"/>
      <c r="BP197" s="1515"/>
    </row>
    <row r="198" spans="1:68" ht="12.75" customHeight="1" x14ac:dyDescent="0.25">
      <c r="A198" s="1513" t="s">
        <v>4628</v>
      </c>
      <c r="B198" s="1515" t="s">
        <v>4629</v>
      </c>
      <c r="C198" s="1515" t="s">
        <v>842</v>
      </c>
      <c r="D198" s="1515">
        <v>1</v>
      </c>
      <c r="E198" s="1515"/>
      <c r="F198" s="1513" t="s">
        <v>4628</v>
      </c>
      <c r="G198" s="1515"/>
      <c r="H198" s="1515"/>
      <c r="I198" s="1515"/>
      <c r="J198" s="1515"/>
      <c r="K198" s="1515"/>
      <c r="L198" s="1515"/>
      <c r="M198" s="1515"/>
      <c r="N198" s="1515"/>
      <c r="O198" s="1515"/>
      <c r="P198" s="1515"/>
      <c r="Q198" s="1515"/>
      <c r="R198" s="1515"/>
      <c r="S198" s="1515"/>
      <c r="T198" s="1515">
        <v>60.07</v>
      </c>
      <c r="U198" s="1515">
        <v>250</v>
      </c>
      <c r="V198" s="1515">
        <v>250</v>
      </c>
      <c r="W198" s="1515">
        <v>4000</v>
      </c>
      <c r="X198" s="2199"/>
      <c r="Y198" s="2559"/>
      <c r="Z198" s="2080"/>
      <c r="AA198" s="2080"/>
      <c r="AB198" s="1596"/>
      <c r="AC198" s="1515">
        <v>97.2</v>
      </c>
      <c r="AD198" s="1515">
        <v>-126</v>
      </c>
      <c r="AE198" s="1515"/>
      <c r="AF198" s="1515"/>
      <c r="AG198" s="1515"/>
      <c r="AH198" s="1515"/>
      <c r="AI198" s="1515"/>
      <c r="AJ198" s="1515">
        <v>17.850000000000001</v>
      </c>
      <c r="AK198" s="1515">
        <v>2</v>
      </c>
      <c r="AL198" s="1515"/>
      <c r="AM198" s="1515"/>
      <c r="AN198" s="1515">
        <v>1</v>
      </c>
      <c r="AO198" s="1515">
        <v>3</v>
      </c>
      <c r="AP198" s="1515">
        <v>0</v>
      </c>
      <c r="AQ198" s="1515" t="s">
        <v>139</v>
      </c>
      <c r="AR198" s="1515" t="s">
        <v>138</v>
      </c>
      <c r="AS198" s="1515"/>
      <c r="AT198" s="1515"/>
      <c r="AU198" s="3384"/>
      <c r="AV198" s="1515" t="s">
        <v>158</v>
      </c>
      <c r="AW198" s="1515">
        <v>0.81799999999999995</v>
      </c>
      <c r="AX198" s="1515">
        <v>9.1E-4</v>
      </c>
      <c r="AY198" s="1515">
        <v>0.56000000000000005</v>
      </c>
      <c r="AZ198" s="1638">
        <v>2.3506999999999998E-3</v>
      </c>
      <c r="BA198" s="1515">
        <v>195.5</v>
      </c>
      <c r="BB198" s="1515">
        <v>0.26812399999999997</v>
      </c>
      <c r="BC198" s="1515">
        <v>4.4900000000000002E-4</v>
      </c>
      <c r="BD198" s="1515">
        <v>13.0519</v>
      </c>
      <c r="BE198" s="1515">
        <v>4372.62</v>
      </c>
      <c r="BF198" s="1515">
        <v>36.74</v>
      </c>
      <c r="BG198" s="1515"/>
      <c r="BH198" s="1515"/>
      <c r="BI198" s="1515"/>
      <c r="BJ198" s="1515"/>
      <c r="BK198" s="1515"/>
      <c r="BL198" s="1515"/>
      <c r="BM198" s="1515"/>
      <c r="BN198" s="1515"/>
      <c r="BO198" s="1515"/>
      <c r="BP198" s="1515"/>
    </row>
    <row r="199" spans="1:68" ht="12.75" customHeight="1" x14ac:dyDescent="0.25">
      <c r="A199" s="1887" t="s">
        <v>4421</v>
      </c>
      <c r="B199" s="1888" t="s">
        <v>4422</v>
      </c>
      <c r="C199" s="1888" t="s">
        <v>842</v>
      </c>
      <c r="D199" s="1888">
        <v>1</v>
      </c>
      <c r="E199" s="1888"/>
      <c r="F199" s="1887" t="s">
        <v>4421</v>
      </c>
      <c r="G199" s="1888"/>
      <c r="H199" s="1888"/>
      <c r="I199" s="1888"/>
      <c r="J199" s="1888"/>
      <c r="K199" s="1888"/>
      <c r="L199" s="1888"/>
      <c r="M199" s="1888"/>
      <c r="N199" s="1888"/>
      <c r="O199" s="1888"/>
      <c r="P199" s="1888"/>
      <c r="Q199" s="1888"/>
      <c r="R199" s="1888"/>
      <c r="S199" s="1888"/>
      <c r="T199" s="2209">
        <v>58.08</v>
      </c>
      <c r="U199" s="2187">
        <v>45</v>
      </c>
      <c r="V199" s="2187">
        <v>260</v>
      </c>
      <c r="W199" s="2187">
        <v>840</v>
      </c>
      <c r="X199" s="2187" t="s">
        <v>4457</v>
      </c>
      <c r="Y199" s="2567"/>
      <c r="Z199" s="2212"/>
      <c r="AA199" s="2212"/>
      <c r="AB199" s="2209"/>
      <c r="AC199" s="2209">
        <v>47.9</v>
      </c>
      <c r="AD199" s="2209">
        <v>-101.6</v>
      </c>
      <c r="AE199" s="2209"/>
      <c r="AF199" s="2209"/>
      <c r="AG199" s="2209"/>
      <c r="AH199" s="2209"/>
      <c r="AI199" s="2209"/>
      <c r="AJ199" s="2209">
        <v>-30</v>
      </c>
      <c r="AK199" s="2209">
        <v>2.9</v>
      </c>
      <c r="AL199" s="2209"/>
      <c r="AM199" s="2209"/>
      <c r="AN199" s="2209">
        <v>3</v>
      </c>
      <c r="AO199" s="2209">
        <v>3</v>
      </c>
      <c r="AP199" s="2209">
        <v>2</v>
      </c>
      <c r="AQ199" s="2209"/>
      <c r="AR199" s="2209"/>
      <c r="AS199" s="1888"/>
      <c r="AT199" s="1888"/>
      <c r="AU199" s="1888"/>
      <c r="AV199" s="1888" t="s">
        <v>158</v>
      </c>
      <c r="AW199" s="1888">
        <v>0.81399999999999995</v>
      </c>
      <c r="AX199" s="1888">
        <v>1.2199999999999999E-3</v>
      </c>
      <c r="AY199" s="1888">
        <v>0.53700000000000003</v>
      </c>
      <c r="AZ199" s="1888">
        <v>4.8000000000000001E-4</v>
      </c>
      <c r="BA199" s="1888">
        <v>130.5</v>
      </c>
      <c r="BB199" s="1888">
        <v>0.24640000000000001</v>
      </c>
      <c r="BC199" s="1888">
        <v>1.6000000000000001E-4</v>
      </c>
      <c r="BD199" s="1888">
        <v>9.7241999999999997</v>
      </c>
      <c r="BE199" s="1888">
        <v>2707.95</v>
      </c>
      <c r="BF199" s="1888">
        <v>42.55</v>
      </c>
      <c r="BG199" s="1888"/>
      <c r="BH199" s="1888"/>
      <c r="BI199" s="1888"/>
      <c r="BJ199" s="1888"/>
      <c r="BK199" s="1888"/>
      <c r="BL199" s="1888"/>
      <c r="BM199" s="1888"/>
      <c r="BN199" s="1888"/>
      <c r="BO199" s="1888"/>
      <c r="BP199" s="1888"/>
    </row>
    <row r="200" spans="1:68" ht="12.75" customHeight="1" x14ac:dyDescent="0.25">
      <c r="A200" s="1513" t="s">
        <v>4423</v>
      </c>
      <c r="B200" s="1515" t="s">
        <v>4424</v>
      </c>
      <c r="C200" s="1515" t="s">
        <v>842</v>
      </c>
      <c r="D200" s="1515">
        <v>1</v>
      </c>
      <c r="E200" s="1515"/>
      <c r="F200" s="1513" t="s">
        <v>4423</v>
      </c>
      <c r="G200" s="1515"/>
      <c r="H200" s="1515"/>
      <c r="I200" s="1515"/>
      <c r="J200" s="1515"/>
      <c r="K200" s="1515"/>
      <c r="L200" s="1515"/>
      <c r="M200" s="1515"/>
      <c r="N200" s="1515"/>
      <c r="O200" s="1515"/>
      <c r="P200" s="1515"/>
      <c r="Q200" s="1515"/>
      <c r="R200" s="1515"/>
      <c r="S200" s="1515"/>
      <c r="T200" s="2207">
        <v>74.08</v>
      </c>
      <c r="U200" s="2207">
        <v>15</v>
      </c>
      <c r="V200" s="2207">
        <v>28</v>
      </c>
      <c r="W200" s="2207">
        <v>170</v>
      </c>
      <c r="X200" s="2187" t="s">
        <v>4459</v>
      </c>
      <c r="Y200" s="2567"/>
      <c r="Z200" s="2212"/>
      <c r="AA200" s="2212"/>
      <c r="AB200" s="2206"/>
      <c r="AC200" s="2207">
        <v>141</v>
      </c>
      <c r="AD200" s="2207">
        <v>-20.5</v>
      </c>
      <c r="AE200" s="2207"/>
      <c r="AF200" s="2207"/>
      <c r="AG200" s="2207"/>
      <c r="AH200" s="2207"/>
      <c r="AI200" s="2207"/>
      <c r="AJ200" s="2207">
        <v>51.85</v>
      </c>
      <c r="AK200" s="2207">
        <v>2.9</v>
      </c>
      <c r="AL200" s="2207"/>
      <c r="AM200" s="2207"/>
      <c r="AN200" s="2207">
        <v>3</v>
      </c>
      <c r="AO200" s="2207">
        <v>2</v>
      </c>
      <c r="AP200" s="2207">
        <v>0</v>
      </c>
      <c r="AQ200" s="2207"/>
      <c r="AR200" s="2207"/>
      <c r="AS200" s="1515"/>
      <c r="AT200" s="1515"/>
      <c r="AU200" s="1515"/>
      <c r="AV200" s="1515" t="s">
        <v>159</v>
      </c>
      <c r="AW200" s="1515">
        <v>1.008</v>
      </c>
      <c r="AX200" s="1515">
        <v>1.108E-3</v>
      </c>
      <c r="AY200" s="1515">
        <v>0.48</v>
      </c>
      <c r="AZ200" s="1515">
        <v>1.0330000000000001E-3</v>
      </c>
      <c r="BA200" s="1515">
        <v>95.1</v>
      </c>
      <c r="BB200" s="1515">
        <v>-0.23621500000000001</v>
      </c>
      <c r="BC200" s="1515">
        <v>1.274E-3</v>
      </c>
      <c r="BD200" s="1515">
        <v>11.641299999999999</v>
      </c>
      <c r="BE200" s="1515">
        <v>4384.34</v>
      </c>
      <c r="BF200" s="1515">
        <v>38.75</v>
      </c>
      <c r="BG200" s="1515"/>
      <c r="BH200" s="1515"/>
      <c r="BI200" s="1515"/>
      <c r="BJ200" s="1515"/>
      <c r="BK200" s="1515"/>
      <c r="BL200" s="1515"/>
      <c r="BM200" s="1515"/>
      <c r="BN200" s="1515"/>
      <c r="BO200" s="1515"/>
      <c r="BP200" s="1515"/>
    </row>
    <row r="201" spans="1:68" ht="12.75" customHeight="1" x14ac:dyDescent="0.25">
      <c r="A201" s="3294" t="s">
        <v>564</v>
      </c>
      <c r="B201" s="1502" t="s">
        <v>565</v>
      </c>
      <c r="C201" s="1502" t="s">
        <v>842</v>
      </c>
      <c r="D201" s="1502">
        <v>1</v>
      </c>
      <c r="E201" s="1502"/>
      <c r="F201" s="3294" t="s">
        <v>564</v>
      </c>
      <c r="G201" s="1502"/>
      <c r="H201" s="1502"/>
      <c r="I201" s="1502"/>
      <c r="J201" s="1502"/>
      <c r="K201" s="1502"/>
      <c r="L201" s="1502"/>
      <c r="M201" s="1502"/>
      <c r="N201" s="1502"/>
      <c r="O201" s="1502"/>
      <c r="P201" s="1502"/>
      <c r="Q201" s="1502"/>
      <c r="R201" s="1502"/>
      <c r="S201" s="1502"/>
      <c r="T201" s="1502">
        <v>102.13</v>
      </c>
      <c r="U201" s="2187">
        <v>240</v>
      </c>
      <c r="V201" s="2187">
        <v>1300</v>
      </c>
      <c r="W201" s="2187">
        <v>7900</v>
      </c>
      <c r="X201" s="2199" t="s">
        <v>4459</v>
      </c>
      <c r="Y201" s="2559"/>
      <c r="Z201" s="2080"/>
      <c r="AA201" s="2080"/>
      <c r="AB201" s="1596"/>
      <c r="AC201" s="1502">
        <v>101.5</v>
      </c>
      <c r="AD201" s="1502">
        <v>-92.5</v>
      </c>
      <c r="AE201" s="1502"/>
      <c r="AF201" s="1502"/>
      <c r="AG201" s="1502"/>
      <c r="AH201" s="1502"/>
      <c r="AI201" s="1502"/>
      <c r="AJ201" s="1502">
        <v>14</v>
      </c>
      <c r="AK201" s="1502">
        <v>1.8</v>
      </c>
      <c r="AL201" s="1502"/>
      <c r="AM201" s="1502"/>
      <c r="AN201" s="1502">
        <v>1</v>
      </c>
      <c r="AO201" s="1502">
        <v>3</v>
      </c>
      <c r="AP201" s="1502">
        <v>0</v>
      </c>
      <c r="AQ201" s="1502" t="s">
        <v>139</v>
      </c>
      <c r="AR201" s="1502" t="s">
        <v>138</v>
      </c>
      <c r="AS201" s="1502"/>
      <c r="AT201" s="1502"/>
      <c r="AU201" s="1502"/>
      <c r="AV201" s="1502" t="s">
        <v>159</v>
      </c>
      <c r="AW201" s="1502">
        <v>0.90600000000000003</v>
      </c>
      <c r="AX201" s="1502">
        <v>1.2049999999999999E-3</v>
      </c>
      <c r="AY201" s="1502">
        <v>0.44900000000000001</v>
      </c>
      <c r="AZ201" s="1639">
        <v>9.3179999999999999E-4</v>
      </c>
      <c r="BA201" s="1502">
        <v>97.2</v>
      </c>
      <c r="BB201" s="1502">
        <v>0.15454499999999999</v>
      </c>
      <c r="BC201" s="1502">
        <v>2.3599999999999999E-4</v>
      </c>
      <c r="BD201" s="1502">
        <v>10.0108</v>
      </c>
      <c r="BE201" s="1502">
        <v>3241.85</v>
      </c>
      <c r="BF201" s="1502">
        <v>51.56</v>
      </c>
      <c r="BG201" s="1502"/>
      <c r="BH201" s="1502"/>
      <c r="BI201" s="1502"/>
      <c r="BJ201" s="1502"/>
      <c r="BK201" s="1502"/>
      <c r="BL201" s="1502"/>
      <c r="BM201" s="1502"/>
      <c r="BN201" s="1502"/>
      <c r="BO201" s="1502"/>
      <c r="BP201" s="1502"/>
    </row>
    <row r="202" spans="1:68" ht="12.75" customHeight="1" x14ac:dyDescent="0.25">
      <c r="A202" s="1500" t="s">
        <v>4425</v>
      </c>
      <c r="B202" s="1502" t="s">
        <v>4426</v>
      </c>
      <c r="C202" s="1502" t="s">
        <v>842</v>
      </c>
      <c r="D202" s="1502">
        <v>1</v>
      </c>
      <c r="E202" s="1502"/>
      <c r="F202" s="1500" t="s">
        <v>4425</v>
      </c>
      <c r="G202" s="1502"/>
      <c r="H202" s="1502"/>
      <c r="I202" s="1502"/>
      <c r="J202" s="1502"/>
      <c r="K202" s="1502"/>
      <c r="L202" s="1502"/>
      <c r="M202" s="1502"/>
      <c r="N202" s="1502"/>
      <c r="O202" s="1502"/>
      <c r="P202" s="1502"/>
      <c r="Q202" s="1502"/>
      <c r="R202" s="1502"/>
      <c r="S202" s="1502"/>
      <c r="T202" s="2210">
        <v>123</v>
      </c>
      <c r="U202" s="2210">
        <v>0.3</v>
      </c>
      <c r="V202" s="2210">
        <v>120</v>
      </c>
      <c r="W202" s="2210">
        <v>700</v>
      </c>
      <c r="X202" s="2187" t="s">
        <v>4459</v>
      </c>
      <c r="Y202" s="2567"/>
      <c r="Z202" s="2212"/>
      <c r="AA202" s="2212"/>
      <c r="AB202" s="2206"/>
      <c r="AC202" s="2210">
        <v>71</v>
      </c>
      <c r="AD202" s="2210">
        <v>-110</v>
      </c>
      <c r="AE202" s="2210"/>
      <c r="AF202" s="2210"/>
      <c r="AG202" s="2210"/>
      <c r="AH202" s="2210"/>
      <c r="AI202" s="2210"/>
      <c r="AJ202" s="2210">
        <v>22</v>
      </c>
      <c r="AK202" s="2210">
        <v>4</v>
      </c>
      <c r="AL202" s="2210"/>
      <c r="AM202" s="2210">
        <v>490</v>
      </c>
      <c r="AN202" s="2210">
        <v>2</v>
      </c>
      <c r="AO202" s="2210">
        <v>3</v>
      </c>
      <c r="AP202" s="2210">
        <v>0</v>
      </c>
      <c r="AQ202" s="2210"/>
      <c r="AR202" s="2210"/>
      <c r="AS202" s="1502"/>
      <c r="AT202" s="1502" t="s">
        <v>599</v>
      </c>
      <c r="AU202" s="1502"/>
      <c r="AV202" s="1502"/>
      <c r="AW202" s="1502">
        <v>1.38</v>
      </c>
      <c r="AX202" s="1502">
        <v>1.73E-3</v>
      </c>
      <c r="AY202" s="1502">
        <v>0.248</v>
      </c>
      <c r="AZ202" s="1502">
        <v>5.1999999999999995E-4</v>
      </c>
      <c r="BA202" s="1502">
        <v>65.5</v>
      </c>
      <c r="BB202" s="1502">
        <v>9.5000000000000001E-2</v>
      </c>
      <c r="BC202" s="1502">
        <v>1.7000000000000001E-4</v>
      </c>
      <c r="BD202" s="1502">
        <v>9.3667999999999996</v>
      </c>
      <c r="BE202" s="1502">
        <v>2796.17</v>
      </c>
      <c r="BF202" s="1502">
        <v>45.56</v>
      </c>
      <c r="BG202" s="1502"/>
      <c r="BH202" s="1502"/>
      <c r="BI202" s="1502"/>
      <c r="BJ202" s="1502"/>
      <c r="BK202" s="1502"/>
      <c r="BL202" s="1502"/>
      <c r="BM202" s="1502"/>
      <c r="BN202" s="1502"/>
      <c r="BO202" s="1502"/>
      <c r="BP202" s="1502"/>
    </row>
    <row r="203" spans="1:68" ht="12.75" customHeight="1" x14ac:dyDescent="0.25">
      <c r="A203" s="1500" t="s">
        <v>1909</v>
      </c>
      <c r="B203" s="1501" t="s">
        <v>566</v>
      </c>
      <c r="C203" s="1502" t="s">
        <v>842</v>
      </c>
      <c r="D203" s="1502">
        <v>1</v>
      </c>
      <c r="E203" s="1502"/>
      <c r="F203" s="1500" t="s">
        <v>1909</v>
      </c>
      <c r="G203" s="1502"/>
      <c r="H203" s="1502"/>
      <c r="I203" s="1502"/>
      <c r="J203" s="1502"/>
      <c r="K203" s="1502"/>
      <c r="L203" s="1502"/>
      <c r="M203" s="1502"/>
      <c r="N203" s="1502"/>
      <c r="O203" s="1502"/>
      <c r="P203" s="1502"/>
      <c r="Q203" s="1502"/>
      <c r="R203" s="1502"/>
      <c r="S203" s="1502"/>
      <c r="T203" s="1502">
        <v>42.1</v>
      </c>
      <c r="U203" s="2187">
        <v>1500</v>
      </c>
      <c r="V203" s="2210">
        <v>2800</v>
      </c>
      <c r="W203" s="2210">
        <v>17000</v>
      </c>
      <c r="X203" s="2199" t="s">
        <v>4459</v>
      </c>
      <c r="Y203" s="2559"/>
      <c r="Z203" s="2080"/>
      <c r="AA203" s="2080"/>
      <c r="AB203" s="1596"/>
      <c r="AC203" s="1502">
        <v>-47.7</v>
      </c>
      <c r="AD203" s="1502">
        <v>-185.3</v>
      </c>
      <c r="AE203" s="1502"/>
      <c r="AF203" s="1502"/>
      <c r="AG203" s="1502"/>
      <c r="AH203" s="1502"/>
      <c r="AI203" s="1502"/>
      <c r="AJ203" s="1502">
        <v>-108.2</v>
      </c>
      <c r="AK203" s="1502">
        <v>2</v>
      </c>
      <c r="AL203" s="1502">
        <v>11</v>
      </c>
      <c r="AM203" s="1502">
        <v>455</v>
      </c>
      <c r="AN203" s="1502">
        <v>1</v>
      </c>
      <c r="AO203" s="1502">
        <v>4</v>
      </c>
      <c r="AP203" s="1502">
        <v>1</v>
      </c>
      <c r="AQ203" s="1502" t="s">
        <v>139</v>
      </c>
      <c r="AR203" s="1502" t="s">
        <v>138</v>
      </c>
      <c r="AS203" s="1502"/>
      <c r="AT203" s="1502"/>
      <c r="AU203" s="1502"/>
      <c r="AV203" s="1502"/>
      <c r="AW203" s="1502">
        <v>0.55200000000000005</v>
      </c>
      <c r="AX203" s="1502">
        <v>1.1999999999999999E-3</v>
      </c>
      <c r="AY203" s="1502">
        <v>0.53900000000000003</v>
      </c>
      <c r="AZ203" s="1639">
        <v>3.3750000000000002E-4</v>
      </c>
      <c r="BA203" s="1502">
        <v>92</v>
      </c>
      <c r="BB203" s="1502">
        <v>0.27500000000000002</v>
      </c>
      <c r="BC203" s="1502">
        <v>1.8699999999999999E-4</v>
      </c>
      <c r="BD203" s="1502">
        <v>8.6661999999999999</v>
      </c>
      <c r="BE203" s="1502">
        <v>1680.06</v>
      </c>
      <c r="BF203" s="1502">
        <v>31.54</v>
      </c>
      <c r="BG203" s="1502"/>
      <c r="BH203" s="1502"/>
      <c r="BI203" s="1502"/>
      <c r="BJ203" s="1502"/>
      <c r="BK203" s="1502"/>
      <c r="BL203" s="1502"/>
      <c r="BM203" s="1502"/>
      <c r="BN203" s="1502"/>
      <c r="BO203" s="1502"/>
      <c r="BP203" s="1502"/>
    </row>
    <row r="204" spans="1:68" ht="12.75" customHeight="1" x14ac:dyDescent="0.25">
      <c r="A204" s="1500" t="s">
        <v>1397</v>
      </c>
      <c r="B204" s="1501" t="s">
        <v>567</v>
      </c>
      <c r="C204" s="1502" t="s">
        <v>842</v>
      </c>
      <c r="D204" s="1502">
        <v>1</v>
      </c>
      <c r="E204" s="1502"/>
      <c r="F204" s="1500" t="s">
        <v>1397</v>
      </c>
      <c r="G204" s="1502"/>
      <c r="H204" s="1502"/>
      <c r="I204" s="1502"/>
      <c r="J204" s="1502"/>
      <c r="K204" s="1502"/>
      <c r="L204" s="1502"/>
      <c r="M204" s="1502"/>
      <c r="N204" s="1502"/>
      <c r="O204" s="1502"/>
      <c r="P204" s="1502"/>
      <c r="Q204" s="1502"/>
      <c r="R204" s="1502"/>
      <c r="S204" s="1502"/>
      <c r="T204" s="1502">
        <v>76.099999999999994</v>
      </c>
      <c r="U204" s="2187">
        <v>9.6</v>
      </c>
      <c r="V204" s="2187">
        <v>418</v>
      </c>
      <c r="W204" s="2187">
        <v>2500</v>
      </c>
      <c r="X204" s="2199" t="s">
        <v>4459</v>
      </c>
      <c r="Y204" s="2559"/>
      <c r="Z204" s="2080"/>
      <c r="AA204" s="2080"/>
      <c r="AB204" s="1596"/>
      <c r="AC204" s="1502">
        <v>187.6</v>
      </c>
      <c r="AD204" s="1502">
        <v>-31</v>
      </c>
      <c r="AE204" s="1502"/>
      <c r="AF204" s="1502"/>
      <c r="AG204" s="1502"/>
      <c r="AH204" s="1502"/>
      <c r="AI204" s="1502"/>
      <c r="AJ204" s="1502">
        <v>99</v>
      </c>
      <c r="AK204" s="1502">
        <v>2.6</v>
      </c>
      <c r="AL204" s="1502"/>
      <c r="AM204" s="1502"/>
      <c r="AN204" s="1502">
        <v>0</v>
      </c>
      <c r="AO204" s="1502">
        <v>1</v>
      </c>
      <c r="AP204" s="1502">
        <v>0</v>
      </c>
      <c r="AQ204" s="1502" t="s">
        <v>139</v>
      </c>
      <c r="AR204" s="1502" t="s">
        <v>138</v>
      </c>
      <c r="AS204" s="1502"/>
      <c r="AT204" s="1502"/>
      <c r="AU204" s="1502"/>
      <c r="AV204" s="1502"/>
      <c r="AW204" s="1502">
        <v>1.0529999999999999</v>
      </c>
      <c r="AX204" s="1502">
        <v>8.2799999999999996E-4</v>
      </c>
      <c r="AY204" s="1502">
        <v>0.55400000000000005</v>
      </c>
      <c r="AZ204" s="1639">
        <v>1.127E-3</v>
      </c>
      <c r="BA204" s="1502">
        <v>216</v>
      </c>
      <c r="BB204" s="1502">
        <v>0.19700000000000001</v>
      </c>
      <c r="BC204" s="1502">
        <v>2.5999999999999998E-4</v>
      </c>
      <c r="BD204" s="1502">
        <v>13.948499999999999</v>
      </c>
      <c r="BE204" s="1502">
        <v>6152.6</v>
      </c>
      <c r="BF204" s="1502">
        <v>19.75</v>
      </c>
      <c r="BG204" s="1502"/>
      <c r="BH204" s="1502"/>
      <c r="BI204" s="1502"/>
      <c r="BJ204" s="1502"/>
      <c r="BK204" s="1502"/>
      <c r="BL204" s="1502"/>
      <c r="BM204" s="1502"/>
      <c r="BN204" s="1502"/>
      <c r="BO204" s="1502"/>
      <c r="BP204" s="1502"/>
    </row>
    <row r="205" spans="1:68" ht="12.75" customHeight="1" x14ac:dyDescent="0.25">
      <c r="A205" s="3294" t="s">
        <v>1910</v>
      </c>
      <c r="B205" s="1502" t="s">
        <v>568</v>
      </c>
      <c r="C205" s="1502" t="s">
        <v>842</v>
      </c>
      <c r="D205" s="1502">
        <v>1</v>
      </c>
      <c r="E205" s="1502"/>
      <c r="F205" s="3294" t="s">
        <v>1910</v>
      </c>
      <c r="G205" s="1502"/>
      <c r="H205" s="1502"/>
      <c r="I205" s="1502"/>
      <c r="J205" s="1502"/>
      <c r="K205" s="1502"/>
      <c r="L205" s="1502"/>
      <c r="M205" s="1502"/>
      <c r="N205" s="1502"/>
      <c r="O205" s="1502"/>
      <c r="P205" s="1502"/>
      <c r="Q205" s="1502"/>
      <c r="R205" s="1502"/>
      <c r="S205" s="1502"/>
      <c r="T205" s="1502">
        <v>58.08</v>
      </c>
      <c r="U205" s="2199">
        <v>50</v>
      </c>
      <c r="V205" s="2199">
        <v>250</v>
      </c>
      <c r="W205" s="2199">
        <v>750</v>
      </c>
      <c r="X205" s="2199" t="s">
        <v>4259</v>
      </c>
      <c r="Y205" s="2559"/>
      <c r="Z205" s="2080">
        <v>2590</v>
      </c>
      <c r="AA205" s="2080">
        <v>25548</v>
      </c>
      <c r="AB205" s="1596">
        <v>2</v>
      </c>
      <c r="AC205" s="1502">
        <v>34.200000000000003</v>
      </c>
      <c r="AD205" s="1502">
        <v>-111.9</v>
      </c>
      <c r="AE205" s="1502"/>
      <c r="AF205" s="1502"/>
      <c r="AG205" s="1502"/>
      <c r="AH205" s="1502"/>
      <c r="AI205" s="1502"/>
      <c r="AJ205" s="1502">
        <v>-37</v>
      </c>
      <c r="AK205" s="1502">
        <v>1.6</v>
      </c>
      <c r="AL205" s="1502">
        <v>41.6</v>
      </c>
      <c r="AM205" s="1502">
        <v>449</v>
      </c>
      <c r="AN205" s="1502">
        <v>3</v>
      </c>
      <c r="AO205" s="1502">
        <v>4</v>
      </c>
      <c r="AP205" s="1502">
        <v>2</v>
      </c>
      <c r="AQ205" s="1502" t="s">
        <v>141</v>
      </c>
      <c r="AR205" s="1502" t="s">
        <v>137</v>
      </c>
      <c r="AS205" s="1502"/>
      <c r="AT205" s="1502"/>
      <c r="AU205" s="1502"/>
      <c r="AV205" s="1502"/>
      <c r="AW205" s="1502">
        <v>0.84299999999999997</v>
      </c>
      <c r="AX205" s="1502">
        <v>1.25E-3</v>
      </c>
      <c r="AY205" s="1502">
        <v>0.498</v>
      </c>
      <c r="AZ205" s="1639">
        <v>7.1000000000000002E-4</v>
      </c>
      <c r="BA205" s="1502">
        <v>120.8</v>
      </c>
      <c r="BB205" s="1502">
        <v>0.2344</v>
      </c>
      <c r="BC205" s="1502">
        <v>2.4000000000000001E-4</v>
      </c>
      <c r="BD205" s="1502">
        <v>9.6994000000000007</v>
      </c>
      <c r="BE205" s="1502">
        <v>2596.98</v>
      </c>
      <c r="BF205" s="1502">
        <v>39.56</v>
      </c>
      <c r="BG205" s="1502"/>
      <c r="BH205" s="1502"/>
      <c r="BI205" s="1502"/>
      <c r="BJ205" s="1502"/>
      <c r="BK205" s="1502"/>
      <c r="BL205" s="1502"/>
      <c r="BM205" s="1502"/>
      <c r="BN205" s="1502"/>
      <c r="BO205" s="1502"/>
      <c r="BP205" s="1502"/>
    </row>
    <row r="206" spans="1:68" ht="12.75" customHeight="1" x14ac:dyDescent="0.25">
      <c r="A206" s="1500" t="s">
        <v>1911</v>
      </c>
      <c r="B206" s="1501" t="s">
        <v>569</v>
      </c>
      <c r="C206" s="1502" t="s">
        <v>842</v>
      </c>
      <c r="D206" s="1502">
        <v>1</v>
      </c>
      <c r="E206" s="1502"/>
      <c r="F206" s="1500" t="s">
        <v>1911</v>
      </c>
      <c r="G206" s="1502"/>
      <c r="H206" s="1502"/>
      <c r="I206" s="1502"/>
      <c r="J206" s="1502"/>
      <c r="K206" s="1502"/>
      <c r="L206" s="1502"/>
      <c r="M206" s="1502"/>
      <c r="N206" s="1502"/>
      <c r="O206" s="1502"/>
      <c r="P206" s="1502"/>
      <c r="Q206" s="1502"/>
      <c r="R206" s="1502"/>
      <c r="S206" s="1502"/>
      <c r="T206" s="1502">
        <v>79.099999999999994</v>
      </c>
      <c r="U206" s="2210">
        <v>3</v>
      </c>
      <c r="V206" s="2210">
        <v>19</v>
      </c>
      <c r="W206" s="2210">
        <v>3700</v>
      </c>
      <c r="X206" s="2199" t="s">
        <v>4459</v>
      </c>
      <c r="Y206" s="2559"/>
      <c r="Z206" s="2080"/>
      <c r="AA206" s="2080"/>
      <c r="AB206" s="1596"/>
      <c r="AC206" s="1502">
        <v>115.2</v>
      </c>
      <c r="AD206" s="1502">
        <v>-41.7</v>
      </c>
      <c r="AE206" s="1502"/>
      <c r="AF206" s="1502"/>
      <c r="AG206" s="1502"/>
      <c r="AH206" s="1502"/>
      <c r="AI206" s="1502"/>
      <c r="AJ206" s="1502">
        <v>20</v>
      </c>
      <c r="AK206" s="1502">
        <v>1.8</v>
      </c>
      <c r="AL206" s="1502">
        <v>12</v>
      </c>
      <c r="AM206" s="1502">
        <v>482</v>
      </c>
      <c r="AN206" s="1502">
        <v>3</v>
      </c>
      <c r="AO206" s="1502">
        <v>3</v>
      </c>
      <c r="AP206" s="1502">
        <v>0</v>
      </c>
      <c r="AQ206" s="1502" t="s">
        <v>139</v>
      </c>
      <c r="AR206" s="1502" t="s">
        <v>138</v>
      </c>
      <c r="AS206" s="1502"/>
      <c r="AT206" s="1502"/>
      <c r="AU206" s="1502"/>
      <c r="AV206" s="1502" t="s">
        <v>158</v>
      </c>
      <c r="AW206" s="1502">
        <v>1.004</v>
      </c>
      <c r="AX206" s="1502">
        <v>1.1429999999999999E-3</v>
      </c>
      <c r="AY206" s="1502">
        <v>0.371</v>
      </c>
      <c r="AZ206" s="1639">
        <v>8.6399999999999997E-4</v>
      </c>
      <c r="BA206" s="1502">
        <v>125.1</v>
      </c>
      <c r="BB206" s="1502">
        <v>0.14069999999999999</v>
      </c>
      <c r="BC206" s="1502">
        <v>2.3800000000000001E-4</v>
      </c>
      <c r="BD206" s="1502">
        <v>9.7913999999999994</v>
      </c>
      <c r="BE206" s="1502">
        <v>3307.98</v>
      </c>
      <c r="BF206" s="1502">
        <v>50.6</v>
      </c>
      <c r="BG206" s="1502"/>
      <c r="BH206" s="1502"/>
      <c r="BI206" s="1502"/>
      <c r="BJ206" s="1502"/>
      <c r="BK206" s="1502"/>
      <c r="BL206" s="1502"/>
      <c r="BM206" s="1502"/>
      <c r="BN206" s="1502"/>
      <c r="BO206" s="1502"/>
      <c r="BP206" s="1502"/>
    </row>
    <row r="207" spans="1:68" ht="12.75" customHeight="1" x14ac:dyDescent="0.25">
      <c r="A207" s="1500" t="s">
        <v>4263</v>
      </c>
      <c r="B207" s="1502"/>
      <c r="C207" s="1502" t="s">
        <v>842</v>
      </c>
      <c r="D207" s="1502">
        <v>0.1</v>
      </c>
      <c r="E207" s="1502"/>
      <c r="F207" s="1502" t="s">
        <v>2948</v>
      </c>
      <c r="G207" s="1502" t="s">
        <v>982</v>
      </c>
      <c r="H207" s="1502"/>
      <c r="I207" s="1502"/>
      <c r="J207" s="1502"/>
      <c r="K207" s="1502">
        <v>0.9</v>
      </c>
      <c r="L207" s="1502"/>
      <c r="M207" s="1502"/>
      <c r="N207" s="1502"/>
      <c r="O207" s="1502"/>
      <c r="P207" s="1502"/>
      <c r="Q207" s="1502"/>
      <c r="R207" s="1502"/>
      <c r="S207" s="1502"/>
      <c r="T207" s="1502">
        <v>58.5</v>
      </c>
      <c r="U207" s="2199"/>
      <c r="V207" s="2199"/>
      <c r="W207" s="2199"/>
      <c r="X207" s="2199"/>
      <c r="Y207" s="2559"/>
      <c r="Z207" s="2080"/>
      <c r="AA207" s="2080"/>
      <c r="AB207" s="1596"/>
      <c r="AC207" s="1502">
        <v>103</v>
      </c>
      <c r="AD207" s="1502">
        <v>-10</v>
      </c>
      <c r="AE207" s="1502"/>
      <c r="AF207" s="1502"/>
      <c r="AG207" s="1502"/>
      <c r="AH207" s="1502"/>
      <c r="AI207" s="1502"/>
      <c r="AJ207" s="1502"/>
      <c r="AK207" s="1502"/>
      <c r="AL207" s="1502"/>
      <c r="AM207" s="1502"/>
      <c r="AN207" s="1502">
        <v>0</v>
      </c>
      <c r="AO207" s="1502">
        <v>0</v>
      </c>
      <c r="AP207" s="1502">
        <v>0</v>
      </c>
      <c r="AQ207" s="1502"/>
      <c r="AR207" s="1502"/>
      <c r="AS207" s="1502"/>
      <c r="AT207" s="1502"/>
      <c r="AU207" s="1502"/>
      <c r="AV207" s="1502"/>
      <c r="AW207" s="1502"/>
      <c r="AX207" s="1502"/>
      <c r="AY207" s="1502"/>
      <c r="AZ207" s="1639"/>
      <c r="BA207" s="1502"/>
      <c r="BB207" s="1502"/>
      <c r="BC207" s="1502"/>
      <c r="BD207" s="1502"/>
      <c r="BE207" s="1502"/>
      <c r="BF207" s="1502"/>
      <c r="BG207" s="1502"/>
      <c r="BH207" s="1502"/>
      <c r="BI207" s="1502"/>
      <c r="BJ207" s="1502"/>
      <c r="BK207" s="1502"/>
      <c r="BL207" s="1502"/>
      <c r="BM207" s="1502"/>
      <c r="BN207" s="1502"/>
      <c r="BO207" s="1502"/>
      <c r="BP207" s="1502"/>
    </row>
    <row r="208" spans="1:68" ht="12.75" customHeight="1" x14ac:dyDescent="0.25">
      <c r="A208" s="3361" t="s">
        <v>2948</v>
      </c>
      <c r="B208" s="1500"/>
      <c r="C208" s="1502" t="s">
        <v>842</v>
      </c>
      <c r="D208" s="1502">
        <v>1</v>
      </c>
      <c r="E208" s="1502" t="s">
        <v>2951</v>
      </c>
      <c r="F208" s="1500"/>
      <c r="G208" s="1502"/>
      <c r="H208" s="1502"/>
      <c r="I208" s="1502"/>
      <c r="J208" s="1502"/>
      <c r="K208" s="1502"/>
      <c r="L208" s="1502"/>
      <c r="M208" s="1502"/>
      <c r="N208" s="1502"/>
      <c r="O208" s="1502"/>
      <c r="P208" s="1502"/>
      <c r="Q208" s="1502"/>
      <c r="R208" s="1502"/>
      <c r="S208" s="1502"/>
      <c r="T208" s="3364">
        <f>IF(Chemical="Sodium Chloride - 10% aqueous",36.39,1-18*LN(Fract_Aq+0.04))</f>
        <v>58.939764847627607</v>
      </c>
      <c r="U208" s="1502"/>
      <c r="V208" s="1502"/>
      <c r="W208" s="1502"/>
      <c r="X208" s="2199"/>
      <c r="Y208" s="2559"/>
      <c r="Z208" s="2080"/>
      <c r="AA208" s="2080"/>
      <c r="AB208" s="1596"/>
      <c r="AC208" s="1502">
        <v>100</v>
      </c>
      <c r="AD208" s="1502"/>
      <c r="AE208" s="1502"/>
      <c r="AF208" s="1502"/>
      <c r="AG208" s="1502"/>
      <c r="AH208" s="1502"/>
      <c r="AI208" s="1502"/>
      <c r="AJ208" s="1502"/>
      <c r="AK208" s="1502"/>
      <c r="AL208" s="1502"/>
      <c r="AM208" s="1502"/>
      <c r="AN208" s="1502"/>
      <c r="AO208" s="1502"/>
      <c r="AP208" s="1502"/>
      <c r="AQ208" s="1502"/>
      <c r="AR208" s="1502"/>
      <c r="AS208" s="1502"/>
      <c r="AT208" s="1502"/>
      <c r="AU208" s="1502"/>
      <c r="AV208" s="1502"/>
      <c r="AW208" s="1502">
        <v>2.5</v>
      </c>
      <c r="AX208" s="1502">
        <v>-8.0000000000000002E-3</v>
      </c>
      <c r="AY208" s="1502">
        <v>0.2</v>
      </c>
      <c r="AZ208" s="1639">
        <v>6.9999999999999994E-5</v>
      </c>
      <c r="BA208" s="1502">
        <v>596.29999999999995</v>
      </c>
      <c r="BB208" s="1502">
        <v>0.45500000000000002</v>
      </c>
      <c r="BC208" s="1502">
        <v>1.0349999999999999E-3</v>
      </c>
      <c r="BD208" s="1502">
        <v>12.582000000000001</v>
      </c>
      <c r="BE208" s="1502">
        <v>21870</v>
      </c>
      <c r="BF208" s="1502"/>
      <c r="BG208" s="1502"/>
      <c r="BH208" s="1502"/>
      <c r="BI208" s="1502"/>
      <c r="BJ208" s="1502"/>
      <c r="BK208" s="1502"/>
      <c r="BL208" s="1502"/>
      <c r="BM208" s="1502"/>
      <c r="BN208" s="1502"/>
      <c r="BO208" s="1502"/>
      <c r="BP208" s="1502"/>
    </row>
    <row r="209" spans="1:94" ht="12.75" customHeight="1" x14ac:dyDescent="0.25">
      <c r="A209" s="1500" t="s">
        <v>4264</v>
      </c>
      <c r="B209" s="1502"/>
      <c r="C209" s="1502" t="s">
        <v>842</v>
      </c>
      <c r="D209" s="1502">
        <v>0.25</v>
      </c>
      <c r="E209" s="1502"/>
      <c r="F209" s="1502" t="s">
        <v>2947</v>
      </c>
      <c r="G209" s="1502" t="s">
        <v>982</v>
      </c>
      <c r="H209" s="1502"/>
      <c r="I209" s="1502"/>
      <c r="J209" s="1502"/>
      <c r="K209" s="1502">
        <v>0.75</v>
      </c>
      <c r="L209" s="1502"/>
      <c r="M209" s="1502"/>
      <c r="N209" s="1502"/>
      <c r="O209" s="1502"/>
      <c r="P209" s="1502"/>
      <c r="Q209" s="1502"/>
      <c r="R209" s="1502"/>
      <c r="S209" s="1502"/>
      <c r="T209" s="1502">
        <v>40</v>
      </c>
      <c r="U209" s="1502"/>
      <c r="V209" s="1502"/>
      <c r="W209" s="1502"/>
      <c r="X209" s="1502"/>
      <c r="Y209" s="2559"/>
      <c r="Z209" s="2080"/>
      <c r="AA209" s="2080"/>
      <c r="AB209" s="1596"/>
      <c r="AC209" s="1502">
        <v>110</v>
      </c>
      <c r="AD209" s="1502">
        <v>-20</v>
      </c>
      <c r="AE209" s="1502"/>
      <c r="AF209" s="1502"/>
      <c r="AG209" s="1502"/>
      <c r="AH209" s="1502"/>
      <c r="AI209" s="1502"/>
      <c r="AJ209" s="1502"/>
      <c r="AK209" s="1502"/>
      <c r="AL209" s="1502"/>
      <c r="AM209" s="1502"/>
      <c r="AN209" s="1502">
        <v>3</v>
      </c>
      <c r="AO209" s="1502">
        <v>0</v>
      </c>
      <c r="AP209" s="1502">
        <v>2</v>
      </c>
      <c r="AQ209" s="1502"/>
      <c r="AR209" s="1502"/>
      <c r="AS209" s="1502" t="s">
        <v>1514</v>
      </c>
      <c r="AT209" s="1502"/>
      <c r="AU209" s="1502"/>
      <c r="AV209" s="1502"/>
      <c r="AW209" s="1502"/>
      <c r="AX209" s="1502"/>
      <c r="AY209" s="1502"/>
      <c r="AZ209" s="1639"/>
      <c r="BA209" s="1502"/>
      <c r="BB209" s="1502"/>
      <c r="BC209" s="1502"/>
      <c r="BD209" s="1502"/>
      <c r="BE209" s="1502"/>
      <c r="BF209" s="1502"/>
      <c r="BG209" s="1502"/>
      <c r="BH209" s="1502"/>
      <c r="BI209" s="1502"/>
      <c r="BJ209" s="1502"/>
      <c r="BK209" s="1502"/>
      <c r="BL209" s="1502"/>
      <c r="BM209" s="1502"/>
      <c r="BN209" s="1502"/>
      <c r="BO209" s="1502"/>
      <c r="BP209" s="1502"/>
    </row>
    <row r="210" spans="1:94" ht="12.75" customHeight="1" x14ac:dyDescent="0.25">
      <c r="A210" s="3293" t="s">
        <v>4265</v>
      </c>
      <c r="B210" s="1677"/>
      <c r="C210" s="1502" t="s">
        <v>842</v>
      </c>
      <c r="D210" s="1502">
        <v>0.5</v>
      </c>
      <c r="E210" s="1677"/>
      <c r="F210" s="1677" t="s">
        <v>2947</v>
      </c>
      <c r="G210" s="1677" t="s">
        <v>982</v>
      </c>
      <c r="H210" s="1677"/>
      <c r="I210" s="1677"/>
      <c r="J210" s="1677"/>
      <c r="K210" s="1677">
        <v>0.5</v>
      </c>
      <c r="L210" s="1677"/>
      <c r="M210" s="1677"/>
      <c r="N210" s="1677"/>
      <c r="O210" s="1677"/>
      <c r="P210" s="1677"/>
      <c r="Q210" s="1677"/>
      <c r="R210" s="1677"/>
      <c r="S210" s="1677"/>
      <c r="T210" s="1677">
        <v>40</v>
      </c>
      <c r="U210" s="1677"/>
      <c r="V210" s="1677"/>
      <c r="W210" s="1677"/>
      <c r="X210" s="2199"/>
      <c r="Y210" s="2559"/>
      <c r="Z210" s="2080"/>
      <c r="AA210" s="2080"/>
      <c r="AB210" s="1677"/>
      <c r="AC210" s="1677">
        <v>146</v>
      </c>
      <c r="AD210" s="1677">
        <v>-10</v>
      </c>
      <c r="AE210" s="1677"/>
      <c r="AF210" s="1677"/>
      <c r="AG210" s="1677"/>
      <c r="AH210" s="1677"/>
      <c r="AI210" s="1677"/>
      <c r="AJ210" s="1677"/>
      <c r="AK210" s="1677"/>
      <c r="AL210" s="1677"/>
      <c r="AM210" s="1677"/>
      <c r="AN210" s="1677">
        <v>3</v>
      </c>
      <c r="AO210" s="1677">
        <v>0</v>
      </c>
      <c r="AP210" s="1677">
        <v>2</v>
      </c>
      <c r="AQ210" s="1677"/>
      <c r="AR210" s="1677"/>
      <c r="AS210" s="1677" t="s">
        <v>1514</v>
      </c>
      <c r="AT210" s="1677"/>
      <c r="AU210" s="1677"/>
      <c r="AV210" s="1677"/>
      <c r="AW210" s="1677"/>
      <c r="AX210" s="1677"/>
      <c r="AY210" s="1677"/>
      <c r="AZ210" s="3338"/>
      <c r="BA210" s="1677"/>
      <c r="BB210" s="1677"/>
      <c r="BC210" s="1677"/>
      <c r="BD210" s="1677"/>
      <c r="BE210" s="1677"/>
      <c r="BF210" s="1677"/>
      <c r="BG210" s="1677"/>
      <c r="BH210" s="1677"/>
      <c r="BI210" s="1677"/>
      <c r="BJ210" s="1677"/>
      <c r="BK210" s="1677"/>
      <c r="BL210" s="1677"/>
      <c r="BM210" s="1677"/>
      <c r="BN210" s="1677"/>
      <c r="BO210" s="1677"/>
      <c r="BP210" s="1677"/>
    </row>
    <row r="211" spans="1:94" ht="12.75" customHeight="1" x14ac:dyDescent="0.25">
      <c r="A211" s="3361" t="s">
        <v>2947</v>
      </c>
      <c r="B211" s="1502"/>
      <c r="C211" s="1502" t="s">
        <v>842</v>
      </c>
      <c r="D211" s="1502">
        <v>1</v>
      </c>
      <c r="E211" s="1502" t="s">
        <v>2951</v>
      </c>
      <c r="F211" s="1502"/>
      <c r="G211" s="1502"/>
      <c r="H211" s="1502"/>
      <c r="I211" s="1502"/>
      <c r="J211" s="1502"/>
      <c r="K211" s="1502"/>
      <c r="L211" s="1502"/>
      <c r="M211" s="1502"/>
      <c r="N211" s="1502"/>
      <c r="O211" s="1502"/>
      <c r="P211" s="1502"/>
      <c r="Q211" s="1502"/>
      <c r="R211" s="1502"/>
      <c r="S211" s="1502"/>
      <c r="T211" s="3364">
        <f>IF(Chemical="Sodium Hydroxide - 25% aqueous",10.62,IF(Chemical="Sodium Hydroxide - 50% aqueous",5.81,1-7*LN(Fract_Aq+0.003)))</f>
        <v>41.664000932198192</v>
      </c>
      <c r="U211" s="1502"/>
      <c r="V211" s="1502"/>
      <c r="W211" s="1502"/>
      <c r="X211" s="2199"/>
      <c r="Y211" s="2559"/>
      <c r="Z211" s="2080"/>
      <c r="AA211" s="2080"/>
      <c r="AB211" s="1596"/>
      <c r="AC211" s="1502">
        <v>105</v>
      </c>
      <c r="AD211" s="1502"/>
      <c r="AE211" s="1502"/>
      <c r="AF211" s="1502"/>
      <c r="AG211" s="1502"/>
      <c r="AH211" s="1502"/>
      <c r="AI211" s="1502"/>
      <c r="AJ211" s="1502"/>
      <c r="AK211" s="1502"/>
      <c r="AL211" s="1502"/>
      <c r="AM211" s="1502"/>
      <c r="AN211" s="1502">
        <v>3</v>
      </c>
      <c r="AO211" s="1502">
        <v>0</v>
      </c>
      <c r="AP211" s="1502">
        <v>2</v>
      </c>
      <c r="AQ211" s="1502"/>
      <c r="AR211" s="1502"/>
      <c r="AS211" s="1502" t="s">
        <v>1514</v>
      </c>
      <c r="AT211" s="1502"/>
      <c r="AU211" s="1502"/>
      <c r="AV211" s="1502"/>
      <c r="AW211" s="1502">
        <v>3.5</v>
      </c>
      <c r="AX211" s="1502">
        <v>-2E-3</v>
      </c>
      <c r="AY211" s="1502">
        <v>0.56000000000000005</v>
      </c>
      <c r="AZ211" s="1639">
        <v>2.9999999999999997E-4</v>
      </c>
      <c r="BA211" s="1502">
        <v>596.29999999999995</v>
      </c>
      <c r="BB211" s="1502">
        <v>0.45500000000000002</v>
      </c>
      <c r="BC211" s="1502">
        <v>1.0349999999999999E-3</v>
      </c>
      <c r="BD211" s="1502">
        <v>10.507999999999999</v>
      </c>
      <c r="BE211" s="1502">
        <v>17350</v>
      </c>
      <c r="BF211" s="1502"/>
      <c r="BG211" s="1502"/>
      <c r="BH211" s="1502"/>
      <c r="BI211" s="1502"/>
      <c r="BJ211" s="1502"/>
      <c r="BK211" s="1502"/>
      <c r="BL211" s="1502"/>
      <c r="BM211" s="1502"/>
      <c r="BN211" s="1502"/>
      <c r="BO211" s="1502"/>
      <c r="BP211" s="1502"/>
    </row>
    <row r="212" spans="1:94" ht="12.75" customHeight="1" x14ac:dyDescent="0.25">
      <c r="A212" s="1500" t="s">
        <v>827</v>
      </c>
      <c r="B212" s="1502"/>
      <c r="C212" s="1502" t="s">
        <v>842</v>
      </c>
      <c r="D212" s="1502">
        <v>1</v>
      </c>
      <c r="E212" s="1502"/>
      <c r="F212" s="1500" t="s">
        <v>827</v>
      </c>
      <c r="G212" s="1502"/>
      <c r="H212" s="1502"/>
      <c r="I212" s="1502"/>
      <c r="J212" s="1502"/>
      <c r="K212" s="1502"/>
      <c r="L212" s="1502"/>
      <c r="M212" s="1502"/>
      <c r="N212" s="1502"/>
      <c r="O212" s="1502"/>
      <c r="P212" s="1502"/>
      <c r="Q212" s="1502"/>
      <c r="R212" s="1502"/>
      <c r="S212" s="1502"/>
      <c r="T212" s="1502">
        <v>400</v>
      </c>
      <c r="U212" s="1502"/>
      <c r="V212" s="1502"/>
      <c r="W212" s="1502"/>
      <c r="X212" s="2199"/>
      <c r="Y212" s="2559"/>
      <c r="Z212" s="2080"/>
      <c r="AA212" s="2080"/>
      <c r="AB212" s="1596"/>
      <c r="AC212" s="1502">
        <v>400</v>
      </c>
      <c r="AD212" s="1502">
        <v>300</v>
      </c>
      <c r="AE212" s="1502"/>
      <c r="AF212" s="1502"/>
      <c r="AG212" s="1502"/>
      <c r="AH212" s="1502"/>
      <c r="AI212" s="1502"/>
      <c r="AJ212" s="1502"/>
      <c r="AK212" s="1502"/>
      <c r="AL212" s="1502"/>
      <c r="AM212" s="1502"/>
      <c r="AN212" s="1502"/>
      <c r="AO212" s="1502"/>
      <c r="AP212" s="1502"/>
      <c r="AQ212" s="1502"/>
      <c r="AR212" s="1502"/>
      <c r="AS212" s="1502"/>
      <c r="AT212" s="1502"/>
      <c r="AU212" s="1502"/>
      <c r="AV212" s="1502"/>
      <c r="AW212" s="1502">
        <v>1.3</v>
      </c>
      <c r="AX212" s="1502">
        <v>1E-3</v>
      </c>
      <c r="AY212" s="1502">
        <v>0.4</v>
      </c>
      <c r="AZ212" s="1639">
        <v>5.0000000000000001E-4</v>
      </c>
      <c r="BA212" s="1502">
        <v>100</v>
      </c>
      <c r="BB212" s="1502">
        <v>0.05</v>
      </c>
      <c r="BC212" s="1502"/>
      <c r="BD212" s="1502">
        <v>11.9</v>
      </c>
      <c r="BE212" s="1502">
        <v>8000</v>
      </c>
      <c r="BF212" s="1502"/>
      <c r="BG212" s="1502"/>
      <c r="BH212" s="1502"/>
      <c r="BI212" s="1502"/>
      <c r="BJ212" s="1502"/>
      <c r="BK212" s="1502"/>
      <c r="BL212" s="1502"/>
      <c r="BM212" s="1502"/>
      <c r="BN212" s="1502"/>
      <c r="BO212" s="1502"/>
      <c r="BP212" s="1502"/>
    </row>
    <row r="213" spans="1:94" ht="12.75" customHeight="1" x14ac:dyDescent="0.25">
      <c r="A213" s="2200" t="s">
        <v>1912</v>
      </c>
      <c r="B213" s="2201" t="s">
        <v>570</v>
      </c>
      <c r="C213" s="2199" t="s">
        <v>842</v>
      </c>
      <c r="D213" s="2199">
        <v>1</v>
      </c>
      <c r="E213" s="2199"/>
      <c r="F213" s="2200" t="s">
        <v>1912</v>
      </c>
      <c r="G213" s="2199"/>
      <c r="H213" s="2199"/>
      <c r="I213" s="2199"/>
      <c r="J213" s="2199"/>
      <c r="K213" s="2199"/>
      <c r="L213" s="2199"/>
      <c r="M213" s="2199"/>
      <c r="N213" s="2199"/>
      <c r="O213" s="2199"/>
      <c r="P213" s="2199"/>
      <c r="Q213" s="2199"/>
      <c r="R213" s="2199"/>
      <c r="S213" s="2199"/>
      <c r="T213" s="2199">
        <v>104.15</v>
      </c>
      <c r="U213" s="2199">
        <v>50</v>
      </c>
      <c r="V213" s="2199">
        <v>250</v>
      </c>
      <c r="W213" s="2199">
        <v>1000</v>
      </c>
      <c r="X213" s="2199" t="s">
        <v>4259</v>
      </c>
      <c r="Y213" s="2559"/>
      <c r="Z213" s="2202"/>
      <c r="AA213" s="2202"/>
      <c r="AB213" s="2199"/>
      <c r="AC213" s="2199">
        <v>145.19999999999999</v>
      </c>
      <c r="AD213" s="2199">
        <v>-30.6</v>
      </c>
      <c r="AE213" s="2199"/>
      <c r="AF213" s="2199"/>
      <c r="AG213" s="2199"/>
      <c r="AH213" s="2199"/>
      <c r="AI213" s="2199"/>
      <c r="AJ213" s="2199">
        <v>31</v>
      </c>
      <c r="AK213" s="2199">
        <v>0.88</v>
      </c>
      <c r="AL213" s="2199"/>
      <c r="AM213" s="2199"/>
      <c r="AN213" s="2199">
        <v>2</v>
      </c>
      <c r="AO213" s="2199">
        <v>3</v>
      </c>
      <c r="AP213" s="2199">
        <v>2</v>
      </c>
      <c r="AQ213" s="2199" t="s">
        <v>139</v>
      </c>
      <c r="AR213" s="2199" t="s">
        <v>138</v>
      </c>
      <c r="AS213" s="2199"/>
      <c r="AT213" s="2199"/>
      <c r="AU213" s="2199"/>
      <c r="AV213" s="2199" t="s">
        <v>160</v>
      </c>
      <c r="AW213" s="2199">
        <v>0.92400000000000004</v>
      </c>
      <c r="AX213" s="2199">
        <v>8.9999999999999998E-4</v>
      </c>
      <c r="AY213" s="2199">
        <v>0.40100000000000002</v>
      </c>
      <c r="AZ213" s="2203">
        <v>7.3999999999999999E-4</v>
      </c>
      <c r="BA213" s="2199">
        <v>104.4</v>
      </c>
      <c r="BB213" s="2199">
        <v>0.13900000000000001</v>
      </c>
      <c r="BC213" s="2199"/>
      <c r="BD213" s="2199">
        <v>12.055</v>
      </c>
      <c r="BE213" s="2199">
        <v>5036.3</v>
      </c>
      <c r="BF213" s="2199"/>
      <c r="BG213" s="2199"/>
      <c r="BH213" s="2199"/>
      <c r="BI213" s="2199"/>
      <c r="BJ213" s="2199"/>
      <c r="BK213" s="2199"/>
      <c r="BL213" s="2199"/>
      <c r="BM213" s="2199"/>
      <c r="BN213" s="2199"/>
      <c r="BO213" s="2199"/>
      <c r="BP213" s="2199"/>
    </row>
    <row r="214" spans="1:94" ht="12.75" customHeight="1" x14ac:dyDescent="0.25">
      <c r="A214" s="2200" t="s">
        <v>4427</v>
      </c>
      <c r="B214" s="2199" t="s">
        <v>4428</v>
      </c>
      <c r="C214" s="2199" t="s">
        <v>842</v>
      </c>
      <c r="D214" s="2199">
        <v>1</v>
      </c>
      <c r="E214" s="2199"/>
      <c r="F214" s="2200" t="s">
        <v>4427</v>
      </c>
      <c r="G214" s="2199"/>
      <c r="H214" s="2199"/>
      <c r="I214" s="2199"/>
      <c r="J214" s="2199"/>
      <c r="K214" s="2199"/>
      <c r="L214" s="2199"/>
      <c r="M214" s="2199"/>
      <c r="N214" s="2199"/>
      <c r="O214" s="2199"/>
      <c r="P214" s="2199"/>
      <c r="Q214" s="2199"/>
      <c r="R214" s="2199"/>
      <c r="S214" s="2199"/>
      <c r="T214" s="2187">
        <v>120.17</v>
      </c>
      <c r="U214" s="2187">
        <v>0.8</v>
      </c>
      <c r="V214" s="2187">
        <v>9.1</v>
      </c>
      <c r="W214" s="2187">
        <v>81</v>
      </c>
      <c r="X214" s="2187" t="s">
        <v>4459</v>
      </c>
      <c r="Y214" s="2567"/>
      <c r="Z214" s="2187"/>
      <c r="AA214" s="2187"/>
      <c r="AB214" s="2187"/>
      <c r="AC214" s="2187">
        <v>285.89999999999998</v>
      </c>
      <c r="AD214" s="2187">
        <v>30.5</v>
      </c>
      <c r="AE214" s="2187"/>
      <c r="AF214" s="2187"/>
      <c r="AG214" s="2187"/>
      <c r="AH214" s="2187"/>
      <c r="AI214" s="2187"/>
      <c r="AJ214" s="2187">
        <v>177</v>
      </c>
      <c r="AK214" s="2187">
        <v>1.9</v>
      </c>
      <c r="AL214" s="2187"/>
      <c r="AM214" s="2187"/>
      <c r="AN214" s="2187">
        <v>1</v>
      </c>
      <c r="AO214" s="2187">
        <v>1</v>
      </c>
      <c r="AP214" s="2187">
        <v>0</v>
      </c>
      <c r="AQ214" s="2187"/>
      <c r="AR214" s="2187"/>
      <c r="AS214" s="2199"/>
      <c r="AT214" s="2199"/>
      <c r="AU214" s="2199"/>
      <c r="AV214" s="2199"/>
      <c r="AW214" s="2199">
        <v>1.296</v>
      </c>
      <c r="AX214" s="2199">
        <v>9.3800000000000003E-4</v>
      </c>
      <c r="AY214" s="2199">
        <v>0.29099999999999998</v>
      </c>
      <c r="AZ214" s="2199">
        <v>6.0800000000000003E-4</v>
      </c>
      <c r="BA214" s="2199">
        <v>130.69999999999999</v>
      </c>
      <c r="BB214" s="2199">
        <v>6.615E-2</v>
      </c>
      <c r="BC214" s="2199">
        <v>8.9499999999999994E-5</v>
      </c>
      <c r="BD214" s="2199">
        <v>10.620900000000001</v>
      </c>
      <c r="BE214" s="2199">
        <v>5307.5</v>
      </c>
      <c r="BF214" s="2199">
        <v>59.29</v>
      </c>
      <c r="BG214" s="2199"/>
      <c r="BH214" s="2199"/>
      <c r="BI214" s="2199"/>
      <c r="BJ214" s="2199"/>
      <c r="BK214" s="2199"/>
      <c r="BL214" s="2199"/>
      <c r="BM214" s="2199"/>
      <c r="BN214" s="2199"/>
      <c r="BO214" s="2199"/>
      <c r="BP214" s="2199"/>
    </row>
    <row r="215" spans="1:94" ht="12.75" customHeight="1" x14ac:dyDescent="0.25">
      <c r="A215" s="1479" t="s">
        <v>1665</v>
      </c>
      <c r="B215" s="3377" t="s">
        <v>571</v>
      </c>
      <c r="C215" s="1477" t="s">
        <v>842</v>
      </c>
      <c r="D215" s="1477">
        <v>1</v>
      </c>
      <c r="E215" s="1477"/>
      <c r="F215" s="1479" t="s">
        <v>1665</v>
      </c>
      <c r="G215" s="1477"/>
      <c r="H215" s="1477"/>
      <c r="I215" s="1477"/>
      <c r="J215" s="1477"/>
      <c r="K215" s="1477"/>
      <c r="L215" s="1477"/>
      <c r="M215" s="1477"/>
      <c r="N215" s="1477"/>
      <c r="O215" s="1477"/>
      <c r="P215" s="1477"/>
      <c r="Q215" s="1477"/>
      <c r="R215" s="1477"/>
      <c r="S215" s="1477"/>
      <c r="T215" s="1477">
        <v>64.06</v>
      </c>
      <c r="U215" s="1477">
        <v>0.3</v>
      </c>
      <c r="V215" s="1477">
        <v>3</v>
      </c>
      <c r="W215" s="1477">
        <v>25</v>
      </c>
      <c r="X215" s="2199" t="s">
        <v>4259</v>
      </c>
      <c r="Y215" s="2559" t="s">
        <v>289</v>
      </c>
      <c r="Z215" s="2080">
        <v>103.4</v>
      </c>
      <c r="AA215" s="2080">
        <v>313.7</v>
      </c>
      <c r="AB215" s="1596">
        <v>1</v>
      </c>
      <c r="AC215" s="1477">
        <v>-10</v>
      </c>
      <c r="AD215" s="1477">
        <v>-103.4</v>
      </c>
      <c r="AE215" s="1477"/>
      <c r="AF215" s="1477"/>
      <c r="AG215" s="1477"/>
      <c r="AH215" s="1477"/>
      <c r="AI215" s="1477"/>
      <c r="AJ215" s="1477"/>
      <c r="AK215" s="1477"/>
      <c r="AL215" s="1477"/>
      <c r="AM215" s="1477"/>
      <c r="AN215" s="1477">
        <v>3</v>
      </c>
      <c r="AO215" s="1477">
        <v>0</v>
      </c>
      <c r="AP215" s="1477">
        <v>0</v>
      </c>
      <c r="AQ215" s="1477"/>
      <c r="AR215" s="1477"/>
      <c r="AS215" s="1477"/>
      <c r="AT215" s="1477"/>
      <c r="AU215" s="1477"/>
      <c r="AV215" s="1477"/>
      <c r="AW215" s="1477">
        <v>1.4019999999999999</v>
      </c>
      <c r="AX215" s="1477">
        <v>2.64E-3</v>
      </c>
      <c r="AY215" s="1477">
        <v>0.33300000000000002</v>
      </c>
      <c r="AZ215" s="3387">
        <v>2.4399999999999999E-4</v>
      </c>
      <c r="BA215" s="1477">
        <v>91.1</v>
      </c>
      <c r="BB215" s="1477">
        <v>0.22770000000000001</v>
      </c>
      <c r="BC215" s="1477">
        <v>4.7600000000000002E-4</v>
      </c>
      <c r="BD215" s="1477">
        <v>10.2555</v>
      </c>
      <c r="BE215" s="1477">
        <v>2351.06</v>
      </c>
      <c r="BF215" s="1477">
        <v>33.92</v>
      </c>
      <c r="BG215" s="1477"/>
      <c r="BH215" s="1477"/>
      <c r="BI215" s="1477"/>
      <c r="BJ215" s="1477"/>
      <c r="BK215" s="1477"/>
      <c r="BL215" s="1477"/>
      <c r="BM215" s="1477"/>
      <c r="BN215" s="1477"/>
      <c r="BO215" s="1477"/>
      <c r="BP215" s="1477"/>
    </row>
    <row r="216" spans="1:94" ht="12.75" customHeight="1" x14ac:dyDescent="0.25">
      <c r="A216" s="3313" t="s">
        <v>1666</v>
      </c>
      <c r="B216" s="3363" t="s">
        <v>572</v>
      </c>
      <c r="C216" s="1398" t="s">
        <v>842</v>
      </c>
      <c r="D216" s="1398">
        <v>1</v>
      </c>
      <c r="E216" s="1398"/>
      <c r="F216" s="3313" t="s">
        <v>1666</v>
      </c>
      <c r="G216" s="1398"/>
      <c r="H216" s="1398"/>
      <c r="I216" s="1398"/>
      <c r="J216" s="1398"/>
      <c r="K216" s="1398"/>
      <c r="L216" s="1398"/>
      <c r="M216" s="1398"/>
      <c r="N216" s="1398"/>
      <c r="O216" s="1398"/>
      <c r="P216" s="1398"/>
      <c r="Q216" s="1398"/>
      <c r="R216" s="1398"/>
      <c r="S216" s="1398"/>
      <c r="T216" s="1398">
        <v>98.1</v>
      </c>
      <c r="U216" s="1398">
        <v>0.5</v>
      </c>
      <c r="V216" s="1398">
        <v>2.4900000000000002</v>
      </c>
      <c r="W216" s="1398">
        <v>29.9</v>
      </c>
      <c r="X216" s="2199" t="s">
        <v>4259</v>
      </c>
      <c r="Y216" s="2559"/>
      <c r="Z216" s="2080"/>
      <c r="AA216" s="2080"/>
      <c r="AB216" s="1596"/>
      <c r="AC216" s="1398">
        <v>336.9</v>
      </c>
      <c r="AD216" s="1398">
        <v>10.3</v>
      </c>
      <c r="AE216" s="1398"/>
      <c r="AF216" s="1398"/>
      <c r="AG216" s="1398"/>
      <c r="AH216" s="1398"/>
      <c r="AI216" s="1398"/>
      <c r="AJ216" s="1398"/>
      <c r="AK216" s="1398"/>
      <c r="AL216" s="1398"/>
      <c r="AM216" s="1398"/>
      <c r="AN216" s="1398">
        <v>3</v>
      </c>
      <c r="AO216" s="1398">
        <v>0</v>
      </c>
      <c r="AP216" s="1398">
        <v>2</v>
      </c>
      <c r="AQ216" s="1398"/>
      <c r="AR216" s="1398"/>
      <c r="AS216" s="1398" t="s">
        <v>1514</v>
      </c>
      <c r="AT216" s="1398"/>
      <c r="AU216" s="1398"/>
      <c r="AV216" s="1398" t="s">
        <v>158</v>
      </c>
      <c r="AW216" s="1398">
        <v>1.857</v>
      </c>
      <c r="AX216" s="1398">
        <v>1.057E-3</v>
      </c>
      <c r="AY216" s="1398">
        <v>0.33600000000000002</v>
      </c>
      <c r="AZ216" s="3366">
        <v>2.418E-4</v>
      </c>
      <c r="BA216" s="1398">
        <v>213</v>
      </c>
      <c r="BB216" s="1398">
        <v>0.14799999999999999</v>
      </c>
      <c r="BC216" s="1398">
        <v>5.1E-5</v>
      </c>
      <c r="BD216" s="3389">
        <f>IF(AND(Fract_Sulfuric&lt;1,Fract_Aq&gt;0),15.416-26*(1-Fract_Sulfuric),15.416)</f>
        <v>15.416</v>
      </c>
      <c r="BE216" s="1398">
        <v>9100</v>
      </c>
      <c r="BF216" s="1398">
        <v>0</v>
      </c>
      <c r="BG216" s="1398"/>
      <c r="BH216" s="1398"/>
      <c r="BI216" s="1398"/>
      <c r="BJ216" s="1398"/>
      <c r="BK216" s="1398"/>
      <c r="BL216" s="1398"/>
      <c r="BM216" s="1398"/>
      <c r="BN216" s="1398"/>
      <c r="BO216" s="1398"/>
      <c r="BP216" s="1398"/>
    </row>
    <row r="217" spans="1:94" ht="12.75" customHeight="1" x14ac:dyDescent="0.25">
      <c r="A217" s="2878" t="s">
        <v>4266</v>
      </c>
      <c r="B217" s="3344"/>
      <c r="C217" s="1385" t="s">
        <v>842</v>
      </c>
      <c r="D217" s="1385">
        <v>0.9</v>
      </c>
      <c r="E217" s="1515"/>
      <c r="F217" s="2878" t="s">
        <v>1666</v>
      </c>
      <c r="G217" s="1385" t="s">
        <v>3066</v>
      </c>
      <c r="H217" s="1385"/>
      <c r="I217" s="1385"/>
      <c r="J217" s="1385"/>
      <c r="K217" s="1385">
        <v>0.1</v>
      </c>
      <c r="L217" s="1385"/>
      <c r="M217" s="1385"/>
      <c r="N217" s="1385"/>
      <c r="O217" s="1385"/>
      <c r="P217" s="1385"/>
      <c r="Q217" s="1385"/>
      <c r="R217" s="1385"/>
      <c r="S217" s="1385"/>
      <c r="T217" s="1385"/>
      <c r="U217" s="1385"/>
      <c r="V217" s="1385"/>
      <c r="W217" s="1385"/>
      <c r="X217" s="2199"/>
      <c r="Y217" s="2559"/>
      <c r="Z217" s="2080"/>
      <c r="AA217" s="2080"/>
      <c r="AB217" s="1596"/>
      <c r="AC217" s="1385"/>
      <c r="AD217" s="1385"/>
      <c r="AE217" s="1385"/>
      <c r="AF217" s="1385"/>
      <c r="AG217" s="1385"/>
      <c r="AH217" s="1385"/>
      <c r="AI217" s="1385"/>
      <c r="AJ217" s="1385"/>
      <c r="AK217" s="1385"/>
      <c r="AL217" s="1385"/>
      <c r="AM217" s="1385"/>
      <c r="AN217" s="1385"/>
      <c r="AO217" s="1385"/>
      <c r="AP217" s="1385"/>
      <c r="AQ217" s="1385"/>
      <c r="AR217" s="1385"/>
      <c r="AS217" s="1385"/>
      <c r="AT217" s="1385"/>
      <c r="AU217" s="1385"/>
      <c r="AV217" s="1385"/>
      <c r="AW217" s="1385"/>
      <c r="AX217" s="1385"/>
      <c r="AY217" s="1385"/>
      <c r="AZ217" s="3324"/>
      <c r="BA217" s="1385"/>
      <c r="BB217" s="1385"/>
      <c r="BC217" s="1385"/>
      <c r="BD217" s="1385"/>
      <c r="BE217" s="1385"/>
      <c r="BF217" s="1385"/>
      <c r="BG217" s="1385"/>
      <c r="BH217" s="1385"/>
      <c r="BI217" s="1385"/>
      <c r="BJ217" s="1385"/>
      <c r="BK217" s="1385"/>
      <c r="BL217" s="1385"/>
      <c r="BM217" s="1385"/>
      <c r="BN217" s="1385"/>
      <c r="BO217" s="1385"/>
      <c r="BP217" s="1385"/>
    </row>
    <row r="218" spans="1:94" ht="12.75" customHeight="1" x14ac:dyDescent="0.25">
      <c r="A218" s="3339" t="s">
        <v>1251</v>
      </c>
      <c r="B218" s="1382" t="s">
        <v>573</v>
      </c>
      <c r="C218" s="1382" t="s">
        <v>842</v>
      </c>
      <c r="D218" s="1382">
        <v>1</v>
      </c>
      <c r="E218" s="1382"/>
      <c r="F218" s="3339" t="s">
        <v>1251</v>
      </c>
      <c r="G218" s="1382"/>
      <c r="H218" s="1382"/>
      <c r="I218" s="1382"/>
      <c r="J218" s="1382"/>
      <c r="K218" s="1382"/>
      <c r="L218" s="1382"/>
      <c r="M218" s="1382"/>
      <c r="N218" s="1382"/>
      <c r="O218" s="1382"/>
      <c r="P218" s="1382"/>
      <c r="Q218" s="1382"/>
      <c r="R218" s="1382"/>
      <c r="S218" s="1382"/>
      <c r="T218" s="1382">
        <v>134.97</v>
      </c>
      <c r="U218" s="1382">
        <v>0.3</v>
      </c>
      <c r="V218" s="1382">
        <v>3</v>
      </c>
      <c r="W218" s="1382">
        <v>15</v>
      </c>
      <c r="X218" s="2199" t="s">
        <v>4259</v>
      </c>
      <c r="Y218" s="2559" t="s">
        <v>289</v>
      </c>
      <c r="Z218" s="2080"/>
      <c r="AA218" s="2080"/>
      <c r="AB218" s="1596"/>
      <c r="AC218" s="1382">
        <v>72.7</v>
      </c>
      <c r="AD218" s="1382">
        <v>-46.2</v>
      </c>
      <c r="AE218" s="1382"/>
      <c r="AF218" s="1382"/>
      <c r="AG218" s="1382"/>
      <c r="AH218" s="1382"/>
      <c r="AI218" s="1382"/>
      <c r="AJ218" s="1382"/>
      <c r="AK218" s="1382"/>
      <c r="AL218" s="1382"/>
      <c r="AM218" s="1382"/>
      <c r="AN218" s="1382">
        <v>3</v>
      </c>
      <c r="AO218" s="1382">
        <v>0</v>
      </c>
      <c r="AP218" s="1382">
        <v>2</v>
      </c>
      <c r="AQ218" s="1382"/>
      <c r="AR218" s="1382"/>
      <c r="AS218" s="1382"/>
      <c r="AT218" s="1382"/>
      <c r="AU218" s="1382"/>
      <c r="AV218" s="1382"/>
      <c r="AW218" s="1382">
        <v>1.7145999999999999</v>
      </c>
      <c r="AX218" s="1382">
        <v>2.3630000000000001E-3</v>
      </c>
      <c r="AY218" s="1382">
        <v>0.20580000000000001</v>
      </c>
      <c r="AZ218" s="3354">
        <v>1.8230000000000001E-4</v>
      </c>
      <c r="BA218" s="1382">
        <v>57.8</v>
      </c>
      <c r="BB218" s="1382">
        <v>0.10589999999999999</v>
      </c>
      <c r="BC218" s="1382"/>
      <c r="BD218" s="1382">
        <v>10.398899999999999</v>
      </c>
      <c r="BE218" s="1382">
        <v>3607.23</v>
      </c>
      <c r="BF218" s="1382">
        <v>0</v>
      </c>
      <c r="BG218" s="1382"/>
      <c r="BH218" s="1382"/>
      <c r="BI218" s="1382"/>
      <c r="BJ218" s="1382"/>
      <c r="BK218" s="1382"/>
      <c r="BL218" s="1382"/>
      <c r="BM218" s="1382"/>
      <c r="BN218" s="1382"/>
      <c r="BO218" s="1382"/>
      <c r="BP218" s="1382"/>
    </row>
    <row r="219" spans="1:94" ht="12.75" customHeight="1" x14ac:dyDescent="0.25">
      <c r="A219" s="3337" t="s">
        <v>4239</v>
      </c>
      <c r="B219" s="1245" t="s">
        <v>4429</v>
      </c>
      <c r="C219" s="1245" t="s">
        <v>842</v>
      </c>
      <c r="D219" s="1245">
        <v>1</v>
      </c>
      <c r="E219" s="1245"/>
      <c r="F219" s="3337" t="s">
        <v>4239</v>
      </c>
      <c r="G219" s="1245"/>
      <c r="H219" s="1245"/>
      <c r="I219" s="1245"/>
      <c r="J219" s="1245"/>
      <c r="K219" s="1245"/>
      <c r="L219" s="1245"/>
      <c r="M219" s="1245"/>
      <c r="N219" s="1245"/>
      <c r="O219" s="1245"/>
      <c r="P219" s="1245"/>
      <c r="Q219" s="1245"/>
      <c r="R219" s="1245"/>
      <c r="S219" s="1245"/>
      <c r="T219" s="3381">
        <v>102.06</v>
      </c>
      <c r="U219" s="3381"/>
      <c r="V219" s="3381">
        <v>21</v>
      </c>
      <c r="W219" s="3381">
        <v>64</v>
      </c>
      <c r="X219" s="2187" t="s">
        <v>4457</v>
      </c>
      <c r="Y219" s="2559" t="s">
        <v>289</v>
      </c>
      <c r="Z219" s="2212"/>
      <c r="AA219" s="2212"/>
      <c r="AB219" s="2206"/>
      <c r="AC219" s="3381">
        <v>-55</v>
      </c>
      <c r="AD219" s="3381">
        <v>-214.1</v>
      </c>
      <c r="AE219" s="3381"/>
      <c r="AF219" s="3381"/>
      <c r="AG219" s="3381"/>
      <c r="AH219" s="3381"/>
      <c r="AI219" s="3381"/>
      <c r="AJ219" s="3381"/>
      <c r="AK219" s="3381"/>
      <c r="AL219" s="3381"/>
      <c r="AM219" s="3381"/>
      <c r="AN219" s="3381">
        <v>3</v>
      </c>
      <c r="AO219" s="3381">
        <v>0</v>
      </c>
      <c r="AP219" s="3381">
        <v>1</v>
      </c>
      <c r="AQ219" s="3381"/>
      <c r="AR219" s="3381"/>
      <c r="AS219" s="1245"/>
      <c r="AT219" s="1245" t="s">
        <v>1169</v>
      </c>
      <c r="AU219" s="1245"/>
      <c r="AV219" s="1245"/>
      <c r="AW219" s="1245">
        <v>1.4590000000000001</v>
      </c>
      <c r="AX219" s="1245">
        <v>6.13E-3</v>
      </c>
      <c r="AY219" s="1245">
        <v>0.27100000000000002</v>
      </c>
      <c r="AZ219" s="1245">
        <v>1.8799999999999999E-3</v>
      </c>
      <c r="BA219" s="1245">
        <v>36.299999999999997</v>
      </c>
      <c r="BB219" s="1245">
        <v>0.23300000000000001</v>
      </c>
      <c r="BC219" s="1245"/>
      <c r="BD219" s="1245">
        <v>10.542999999999999</v>
      </c>
      <c r="BE219" s="1245">
        <v>2295.1999999999998</v>
      </c>
      <c r="BF219" s="1245"/>
      <c r="BG219" s="1212"/>
      <c r="BH219" s="1212"/>
      <c r="BI219" s="1212"/>
      <c r="BJ219" s="1212"/>
      <c r="BK219" s="1212"/>
      <c r="BL219" s="1212"/>
      <c r="BM219" s="1212"/>
      <c r="BN219" s="1212"/>
      <c r="BO219" s="1212"/>
      <c r="BP219" s="1212"/>
    </row>
    <row r="220" spans="1:94" x14ac:dyDescent="0.25">
      <c r="A220" s="2200" t="s">
        <v>4430</v>
      </c>
      <c r="B220" s="2199" t="s">
        <v>4431</v>
      </c>
      <c r="C220" s="4" t="s">
        <v>842</v>
      </c>
      <c r="D220" s="4">
        <v>1</v>
      </c>
      <c r="E220" s="2199"/>
      <c r="F220" s="2200" t="s">
        <v>4430</v>
      </c>
      <c r="G220" s="2199"/>
      <c r="H220" s="2199"/>
      <c r="I220" s="2199"/>
      <c r="J220" s="2199"/>
      <c r="K220" s="2199"/>
      <c r="L220" s="2199"/>
      <c r="M220" s="2199"/>
      <c r="N220" s="2199"/>
      <c r="O220" s="2199"/>
      <c r="P220" s="2199"/>
      <c r="Q220" s="2199"/>
      <c r="R220" s="2199"/>
      <c r="S220" s="2199"/>
      <c r="T220" s="2187">
        <v>166.22</v>
      </c>
      <c r="U220" s="2187">
        <v>0.03</v>
      </c>
      <c r="V220" s="2187">
        <v>0.28999999999999998</v>
      </c>
      <c r="W220" s="2187">
        <v>82</v>
      </c>
      <c r="X220" s="2187" t="s">
        <v>4459</v>
      </c>
      <c r="Y220" s="2567"/>
      <c r="Z220" s="2187"/>
      <c r="AA220" s="2187"/>
      <c r="AB220" s="2187"/>
      <c r="AC220" s="2187">
        <v>289.7</v>
      </c>
      <c r="AD220" s="2187">
        <v>52.8</v>
      </c>
      <c r="AE220" s="2187"/>
      <c r="AF220" s="2187"/>
      <c r="AG220" s="2187"/>
      <c r="AH220" s="2187"/>
      <c r="AI220" s="2187"/>
      <c r="AJ220" s="2187">
        <v>130</v>
      </c>
      <c r="AK220" s="2187"/>
      <c r="AL220" s="2187"/>
      <c r="AM220" s="2187"/>
      <c r="AN220" s="2187">
        <v>3</v>
      </c>
      <c r="AO220" s="2187">
        <v>1</v>
      </c>
      <c r="AP220" s="2187">
        <v>0</v>
      </c>
      <c r="AQ220" s="2187"/>
      <c r="AR220" s="2187"/>
      <c r="AS220" s="2199" t="s">
        <v>1091</v>
      </c>
      <c r="AT220" s="2199"/>
      <c r="AU220" s="2199"/>
      <c r="AV220" s="2199"/>
      <c r="AW220" s="2199">
        <v>1.1080000000000001</v>
      </c>
      <c r="AX220" s="2199">
        <v>9.3800000000000003E-4</v>
      </c>
      <c r="AY220" s="2199">
        <v>0.433</v>
      </c>
      <c r="AZ220" s="2199">
        <v>8.5899999999999995E-4</v>
      </c>
      <c r="BA220" s="2199">
        <v>122.2</v>
      </c>
      <c r="BB220" s="2199">
        <v>0.10829999999999999</v>
      </c>
      <c r="BC220" s="2199">
        <v>1.34E-4</v>
      </c>
      <c r="BD220" s="2199">
        <v>11.108000000000001</v>
      </c>
      <c r="BE220" s="2199">
        <v>5243.62</v>
      </c>
      <c r="BF220" s="2199">
        <v>90.7</v>
      </c>
      <c r="BG220" s="4"/>
      <c r="BH220" s="4"/>
      <c r="BI220" s="4"/>
      <c r="BJ220" s="4"/>
      <c r="BK220" s="4"/>
      <c r="BL220" s="4"/>
      <c r="BM220" s="4"/>
      <c r="BN220" s="4"/>
      <c r="BO220" s="4"/>
      <c r="BP220" s="4"/>
      <c r="BQ220" s="19"/>
      <c r="BR220" s="19"/>
      <c r="BS220" s="19"/>
      <c r="BT220" s="19"/>
      <c r="BU220" s="19"/>
      <c r="BV220" s="19"/>
      <c r="BW220" s="19"/>
      <c r="BX220" s="19"/>
      <c r="BY220" s="1641"/>
      <c r="BZ220" s="19"/>
      <c r="CA220" s="19"/>
      <c r="CB220" s="19"/>
      <c r="CC220" s="19"/>
      <c r="CD220" s="19"/>
      <c r="CE220" s="19"/>
      <c r="CF220" s="19"/>
      <c r="CG220" s="19"/>
      <c r="CH220" s="19"/>
      <c r="CI220" s="19"/>
      <c r="CJ220" s="19"/>
      <c r="CK220" s="19"/>
      <c r="CM220" s="19"/>
      <c r="CN220" s="19"/>
      <c r="CO220" s="19"/>
      <c r="CP220"/>
    </row>
    <row r="221" spans="1:94" x14ac:dyDescent="0.25">
      <c r="A221" s="2200" t="s">
        <v>4432</v>
      </c>
      <c r="B221" s="2199" t="s">
        <v>4433</v>
      </c>
      <c r="C221" s="4" t="s">
        <v>842</v>
      </c>
      <c r="D221" s="4">
        <v>1</v>
      </c>
      <c r="E221" s="2199"/>
      <c r="F221" s="2200" t="s">
        <v>4432</v>
      </c>
      <c r="G221" s="2199"/>
      <c r="H221" s="2199"/>
      <c r="I221" s="2199"/>
      <c r="J221" s="2199"/>
      <c r="K221" s="2199"/>
      <c r="L221" s="2199"/>
      <c r="M221" s="2199"/>
      <c r="N221" s="2199"/>
      <c r="O221" s="2199"/>
      <c r="P221" s="2199"/>
      <c r="Q221" s="2199"/>
      <c r="R221" s="2199"/>
      <c r="S221" s="2199"/>
      <c r="T221" s="2187">
        <v>167.85</v>
      </c>
      <c r="U221" s="2187">
        <v>0.2</v>
      </c>
      <c r="V221" s="2187">
        <v>2.2000000000000002</v>
      </c>
      <c r="W221" s="2187">
        <v>13</v>
      </c>
      <c r="X221" s="2187" t="s">
        <v>4459</v>
      </c>
      <c r="Y221" s="2567"/>
      <c r="Z221" s="2187"/>
      <c r="AA221" s="2187"/>
      <c r="AB221" s="2187"/>
      <c r="AC221" s="2187">
        <v>130.19999999999999</v>
      </c>
      <c r="AD221" s="2187">
        <v>-68.7</v>
      </c>
      <c r="AE221" s="2187"/>
      <c r="AF221" s="2187"/>
      <c r="AG221" s="2187"/>
      <c r="AH221" s="2187"/>
      <c r="AI221" s="2187"/>
      <c r="AJ221" s="2187"/>
      <c r="AK221" s="2187"/>
      <c r="AL221" s="2187"/>
      <c r="AM221" s="2187"/>
      <c r="AN221" s="2187">
        <v>3</v>
      </c>
      <c r="AO221" s="2187">
        <v>0</v>
      </c>
      <c r="AP221" s="2187">
        <v>0</v>
      </c>
      <c r="AQ221" s="2187" t="s">
        <v>139</v>
      </c>
      <c r="AR221" s="2187" t="s">
        <v>138</v>
      </c>
      <c r="AS221" s="2199"/>
      <c r="AT221" s="2199"/>
      <c r="AU221" s="2199"/>
      <c r="AV221" s="2199"/>
      <c r="AW221" s="2199">
        <v>1.5708</v>
      </c>
      <c r="AX221" s="2199">
        <v>1.4940000000000001E-3</v>
      </c>
      <c r="AY221" s="2199">
        <v>0.20569999999999999</v>
      </c>
      <c r="AZ221" s="2199">
        <v>2.7310000000000002E-4</v>
      </c>
      <c r="BA221" s="2199">
        <v>60.62</v>
      </c>
      <c r="BB221" s="2199">
        <v>7.6630000000000004E-2</v>
      </c>
      <c r="BC221" s="2199"/>
      <c r="BD221" s="2199">
        <v>11.73287</v>
      </c>
      <c r="BE221" s="2199">
        <v>4746.1319999999996</v>
      </c>
      <c r="BF221" s="2199"/>
      <c r="BG221" s="4"/>
      <c r="BH221" s="4"/>
      <c r="BI221" s="4"/>
      <c r="BJ221" s="4"/>
      <c r="BK221" s="4"/>
      <c r="BL221" s="4"/>
      <c r="BM221" s="4"/>
      <c r="BN221" s="4"/>
      <c r="BO221" s="4"/>
      <c r="BP221" s="4"/>
      <c r="BQ221" s="19"/>
      <c r="BR221" s="19"/>
      <c r="BS221" s="19"/>
      <c r="BT221" s="19"/>
      <c r="BU221" s="19"/>
      <c r="BV221" s="19"/>
      <c r="BW221" s="19"/>
      <c r="BX221" s="19"/>
      <c r="BY221" s="1641"/>
      <c r="BZ221" s="19"/>
      <c r="CA221" s="19"/>
      <c r="CB221" s="19"/>
      <c r="CC221" s="19"/>
      <c r="CD221" s="19"/>
      <c r="CE221" s="19"/>
      <c r="CF221" s="19"/>
      <c r="CG221" s="19"/>
      <c r="CH221" s="19"/>
      <c r="CI221" s="19"/>
      <c r="CJ221" s="19"/>
      <c r="CK221" s="19"/>
      <c r="CM221" s="19"/>
      <c r="CN221" s="19"/>
      <c r="CO221" s="19"/>
      <c r="CP221"/>
    </row>
    <row r="222" spans="1:94" x14ac:dyDescent="0.25">
      <c r="A222" s="2200" t="s">
        <v>943</v>
      </c>
      <c r="B222" s="2201" t="s">
        <v>1229</v>
      </c>
      <c r="C222" s="4" t="s">
        <v>842</v>
      </c>
      <c r="D222" s="4">
        <v>1</v>
      </c>
      <c r="E222" s="2199"/>
      <c r="F222" s="2200" t="s">
        <v>943</v>
      </c>
      <c r="G222" s="2199"/>
      <c r="H222" s="2199"/>
      <c r="I222" s="2199"/>
      <c r="J222" s="2199"/>
      <c r="K222" s="2199"/>
      <c r="L222" s="2199"/>
      <c r="M222" s="2199"/>
      <c r="N222" s="2199"/>
      <c r="O222" s="2199"/>
      <c r="P222" s="2199"/>
      <c r="Q222" s="2199"/>
      <c r="R222" s="2199"/>
      <c r="S222" s="2199"/>
      <c r="T222" s="2199">
        <v>165.85</v>
      </c>
      <c r="U222" s="2199">
        <v>100</v>
      </c>
      <c r="V222" s="2199">
        <v>200</v>
      </c>
      <c r="W222" s="2199">
        <v>1000</v>
      </c>
      <c r="X222" s="2199" t="s">
        <v>4259</v>
      </c>
      <c r="Y222" s="2559"/>
      <c r="Z222" s="2202"/>
      <c r="AA222" s="2202"/>
      <c r="AB222" s="2199"/>
      <c r="AC222" s="2199">
        <v>121</v>
      </c>
      <c r="AD222" s="2199">
        <v>-22.4</v>
      </c>
      <c r="AE222" s="2199"/>
      <c r="AF222" s="2199"/>
      <c r="AG222" s="2199"/>
      <c r="AH222" s="2199"/>
      <c r="AI222" s="2199"/>
      <c r="AJ222" s="2199"/>
      <c r="AK222" s="2199"/>
      <c r="AL222" s="2199"/>
      <c r="AM222" s="2199"/>
      <c r="AN222" s="2199">
        <v>2</v>
      </c>
      <c r="AO222" s="2199">
        <v>0</v>
      </c>
      <c r="AP222" s="2199">
        <v>0</v>
      </c>
      <c r="AQ222" s="2199"/>
      <c r="AR222" s="2199"/>
      <c r="AS222" s="2199"/>
      <c r="AT222" s="2199" t="s">
        <v>1091</v>
      </c>
      <c r="AU222" s="2199"/>
      <c r="AV222" s="2199"/>
      <c r="AW222" s="2199">
        <v>1.6639999999999999</v>
      </c>
      <c r="AX222" s="2199">
        <v>1.902E-3</v>
      </c>
      <c r="AY222" s="2199">
        <v>0.20599999999999999</v>
      </c>
      <c r="AZ222" s="2203">
        <v>1.7000000000000001E-4</v>
      </c>
      <c r="BA222" s="2199">
        <v>59.6</v>
      </c>
      <c r="BB222" s="2199">
        <v>6.4500000000000002E-2</v>
      </c>
      <c r="BC222" s="2199">
        <v>1.1900000000000001E-4</v>
      </c>
      <c r="BD222" s="2199">
        <v>9.3628</v>
      </c>
      <c r="BE222" s="2199">
        <v>3161.06</v>
      </c>
      <c r="BF222" s="2199">
        <v>56.57</v>
      </c>
      <c r="BG222" s="4"/>
      <c r="BH222" s="4"/>
      <c r="BI222" s="4"/>
      <c r="BJ222" s="4"/>
      <c r="BK222" s="4"/>
      <c r="BL222" s="4"/>
      <c r="BM222" s="4"/>
      <c r="BN222" s="4"/>
      <c r="BO222" s="4"/>
      <c r="BP222" s="4"/>
      <c r="BQ222" s="19"/>
      <c r="BR222" s="19"/>
      <c r="BS222" s="19"/>
      <c r="BT222" s="19"/>
      <c r="BU222" s="19"/>
      <c r="BV222" s="19"/>
      <c r="BW222" s="19"/>
      <c r="BX222" s="19"/>
      <c r="BY222" s="1641"/>
      <c r="BZ222" s="19"/>
      <c r="CA222" s="19"/>
      <c r="CB222" s="19"/>
      <c r="CC222" s="19"/>
      <c r="CD222" s="19"/>
      <c r="CE222" s="19"/>
      <c r="CF222" s="19"/>
      <c r="CG222" s="19"/>
      <c r="CH222" s="19"/>
      <c r="CI222" s="19"/>
      <c r="CJ222" s="19"/>
      <c r="CK222" s="19"/>
      <c r="CM222" s="19"/>
      <c r="CN222" s="19"/>
      <c r="CO222" s="19"/>
      <c r="CP222"/>
    </row>
    <row r="223" spans="1:94" x14ac:dyDescent="0.25">
      <c r="A223" s="2200" t="s">
        <v>4434</v>
      </c>
      <c r="B223" s="2199" t="s">
        <v>4435</v>
      </c>
      <c r="C223" s="4" t="s">
        <v>842</v>
      </c>
      <c r="D223" s="4">
        <v>1</v>
      </c>
      <c r="E223" s="2199"/>
      <c r="F223" s="2200" t="s">
        <v>4434</v>
      </c>
      <c r="G223" s="2199"/>
      <c r="H223" s="2199"/>
      <c r="I223" s="2199"/>
      <c r="J223" s="2199"/>
      <c r="K223" s="2199"/>
      <c r="L223" s="2199"/>
      <c r="M223" s="2199"/>
      <c r="N223" s="2199"/>
      <c r="O223" s="2199"/>
      <c r="P223" s="2199"/>
      <c r="Q223" s="2199"/>
      <c r="R223" s="2199"/>
      <c r="S223" s="2199"/>
      <c r="T223" s="2187">
        <v>198.4</v>
      </c>
      <c r="U223" s="2187">
        <v>3</v>
      </c>
      <c r="V223" s="2187">
        <v>35</v>
      </c>
      <c r="W223" s="2187">
        <v>200</v>
      </c>
      <c r="X223" s="2187" t="s">
        <v>4459</v>
      </c>
      <c r="Y223" s="2567"/>
      <c r="Z223" s="2187"/>
      <c r="AA223" s="2187"/>
      <c r="AB223" s="2187"/>
      <c r="AC223" s="2187">
        <v>253.6</v>
      </c>
      <c r="AD223" s="2187">
        <v>5.9</v>
      </c>
      <c r="AE223" s="2187"/>
      <c r="AF223" s="2187"/>
      <c r="AG223" s="2187"/>
      <c r="AH223" s="2187"/>
      <c r="AI223" s="2187"/>
      <c r="AJ223" s="2187">
        <v>100</v>
      </c>
      <c r="AK223" s="2187">
        <v>0.5</v>
      </c>
      <c r="AL223" s="2187"/>
      <c r="AM223" s="2187"/>
      <c r="AN223" s="2187">
        <v>0</v>
      </c>
      <c r="AO223" s="2187">
        <v>1</v>
      </c>
      <c r="AP223" s="2187">
        <v>0</v>
      </c>
      <c r="AQ223" s="2187" t="s">
        <v>139</v>
      </c>
      <c r="AR223" s="2187" t="s">
        <v>138</v>
      </c>
      <c r="AS223" s="2199"/>
      <c r="AT223" s="2199"/>
      <c r="AU223" s="2199"/>
      <c r="AV223" s="2199"/>
      <c r="AW223" s="2199">
        <v>0.79500000000000004</v>
      </c>
      <c r="AX223" s="2199">
        <v>8.0999999999999996E-4</v>
      </c>
      <c r="AY223" s="2199">
        <v>0.48599999999999999</v>
      </c>
      <c r="AZ223" s="2199">
        <v>1.0300000000000001E-3</v>
      </c>
      <c r="BA223" s="2199">
        <v>86.8</v>
      </c>
      <c r="BB223" s="2199">
        <v>7.2499999999999995E-2</v>
      </c>
      <c r="BC223" s="2199">
        <v>1.75E-4</v>
      </c>
      <c r="BD223" s="2199">
        <v>10.559900000000001</v>
      </c>
      <c r="BE223" s="2199">
        <v>4799.8599999999997</v>
      </c>
      <c r="BF223" s="2199">
        <v>72.38</v>
      </c>
      <c r="BG223" s="4"/>
      <c r="BH223" s="4"/>
      <c r="BI223" s="4"/>
      <c r="BJ223" s="4"/>
      <c r="BK223" s="4"/>
      <c r="BL223" s="4"/>
      <c r="BM223" s="4"/>
      <c r="BN223" s="4"/>
      <c r="BO223" s="4"/>
      <c r="BP223" s="4"/>
      <c r="BQ223" s="19"/>
      <c r="BR223" s="19"/>
      <c r="BS223" s="19"/>
      <c r="BT223" s="19"/>
      <c r="BU223" s="19"/>
      <c r="BV223" s="19"/>
      <c r="BW223" s="19"/>
      <c r="BX223" s="19"/>
      <c r="BY223" s="1641"/>
      <c r="BZ223" s="19"/>
      <c r="CA223" s="19"/>
      <c r="CB223" s="19"/>
      <c r="CC223" s="19"/>
      <c r="CD223" s="19"/>
      <c r="CE223" s="19"/>
      <c r="CF223" s="19"/>
      <c r="CG223" s="19"/>
      <c r="CH223" s="19"/>
      <c r="CI223" s="19"/>
      <c r="CJ223" s="19"/>
      <c r="CK223" s="19"/>
      <c r="CM223" s="19"/>
      <c r="CN223" s="19"/>
      <c r="CO223" s="19"/>
      <c r="CP223"/>
    </row>
    <row r="224" spans="1:94" x14ac:dyDescent="0.25">
      <c r="A224" s="2200" t="s">
        <v>4436</v>
      </c>
      <c r="B224" s="2199" t="s">
        <v>4437</v>
      </c>
      <c r="C224" s="4" t="s">
        <v>842</v>
      </c>
      <c r="D224" s="4">
        <v>1</v>
      </c>
      <c r="E224" s="2199"/>
      <c r="F224" s="2200" t="s">
        <v>4436</v>
      </c>
      <c r="G224" s="2199"/>
      <c r="H224" s="2199"/>
      <c r="I224" s="2199"/>
      <c r="J224" s="2199"/>
      <c r="K224" s="2199"/>
      <c r="L224" s="2199"/>
      <c r="M224" s="2199"/>
      <c r="N224" s="2199"/>
      <c r="O224" s="2199"/>
      <c r="P224" s="2199"/>
      <c r="Q224" s="2199"/>
      <c r="R224" s="2199"/>
      <c r="S224" s="2199"/>
      <c r="T224" s="2187">
        <v>194.2</v>
      </c>
      <c r="U224" s="2187">
        <v>11</v>
      </c>
      <c r="V224" s="2187">
        <v>120</v>
      </c>
      <c r="W224" s="2187">
        <v>700</v>
      </c>
      <c r="X224" s="2187" t="s">
        <v>4459</v>
      </c>
      <c r="Y224" s="2567"/>
      <c r="Z224" s="2187"/>
      <c r="AA224" s="2187"/>
      <c r="AB224" s="2187"/>
      <c r="AC224" s="2187">
        <v>326.39999999999998</v>
      </c>
      <c r="AD224" s="2187">
        <v>-9.4</v>
      </c>
      <c r="AE224" s="2187"/>
      <c r="AF224" s="2187"/>
      <c r="AG224" s="2187"/>
      <c r="AH224" s="2187"/>
      <c r="AI224" s="2187"/>
      <c r="AJ224" s="2187">
        <v>174</v>
      </c>
      <c r="AK224" s="2187"/>
      <c r="AL224" s="2187"/>
      <c r="AM224" s="2187"/>
      <c r="AN224" s="2187">
        <v>0</v>
      </c>
      <c r="AO224" s="2187">
        <v>1</v>
      </c>
      <c r="AP224" s="2187">
        <v>0</v>
      </c>
      <c r="AQ224" s="2187" t="s">
        <v>139</v>
      </c>
      <c r="AR224" s="2187" t="s">
        <v>138</v>
      </c>
      <c r="AS224" s="2199"/>
      <c r="AT224" s="2199"/>
      <c r="AU224" s="2199"/>
      <c r="AV224" s="2199"/>
      <c r="AW224" s="2199">
        <v>1.141</v>
      </c>
      <c r="AX224" s="2199">
        <v>7.9600000000000005E-4</v>
      </c>
      <c r="AY224" s="2199">
        <v>0.39800000000000002</v>
      </c>
      <c r="AZ224" s="2199">
        <v>7.9500000000000003E-4</v>
      </c>
      <c r="BA224" s="2199">
        <v>106.9</v>
      </c>
      <c r="BB224" s="2199">
        <v>8.8700000000000001E-2</v>
      </c>
      <c r="BC224" s="2199"/>
      <c r="BD224" s="2199">
        <v>14.635999999999999</v>
      </c>
      <c r="BE224" s="2199">
        <v>8772.7000000000007</v>
      </c>
      <c r="BF224" s="2199"/>
      <c r="BG224" s="4"/>
      <c r="BH224" s="4"/>
      <c r="BI224" s="4"/>
      <c r="BJ224" s="4"/>
      <c r="BK224" s="4"/>
      <c r="BL224" s="4"/>
      <c r="BM224" s="4"/>
      <c r="BN224" s="4"/>
      <c r="BO224" s="4"/>
      <c r="BP224" s="4"/>
      <c r="BQ224" s="19"/>
      <c r="BR224" s="19"/>
      <c r="BS224" s="19"/>
      <c r="BT224" s="19"/>
      <c r="BU224" s="19"/>
      <c r="BV224" s="19"/>
      <c r="BW224" s="19"/>
      <c r="BX224" s="19"/>
      <c r="BY224" s="1641"/>
      <c r="BZ224" s="19"/>
      <c r="CA224" s="19"/>
      <c r="CB224" s="19"/>
      <c r="CC224" s="19"/>
      <c r="CD224" s="19"/>
      <c r="CE224" s="19"/>
      <c r="CF224" s="19"/>
      <c r="CG224" s="19"/>
      <c r="CH224" s="19"/>
      <c r="CI224" s="19"/>
      <c r="CJ224" s="19"/>
      <c r="CK224" s="19"/>
      <c r="CM224" s="19"/>
      <c r="CN224" s="19"/>
      <c r="CO224" s="19"/>
      <c r="CP224"/>
    </row>
    <row r="225" spans="1:94" x14ac:dyDescent="0.25">
      <c r="A225" s="2204" t="s">
        <v>4471</v>
      </c>
      <c r="B225" s="2199" t="s">
        <v>4472</v>
      </c>
      <c r="C225" s="4" t="s">
        <v>842</v>
      </c>
      <c r="D225" s="4">
        <v>1</v>
      </c>
      <c r="E225" s="2199"/>
      <c r="F225" s="2204" t="s">
        <v>3138</v>
      </c>
      <c r="G225" s="2199"/>
      <c r="H225" s="2199"/>
      <c r="I225" s="2199"/>
      <c r="J225" s="2199"/>
      <c r="K225" s="2199"/>
      <c r="L225" s="2199"/>
      <c r="M225" s="2199"/>
      <c r="N225" s="2199"/>
      <c r="O225" s="2199"/>
      <c r="P225" s="2199"/>
      <c r="Q225" s="2199"/>
      <c r="R225" s="2199"/>
      <c r="S225" s="2199"/>
      <c r="T225" s="2199">
        <v>102.03</v>
      </c>
      <c r="U225" s="2187">
        <v>7900</v>
      </c>
      <c r="V225" s="2187">
        <v>12900</v>
      </c>
      <c r="W225" s="2187">
        <v>26000</v>
      </c>
      <c r="X225" s="2199" t="s">
        <v>4459</v>
      </c>
      <c r="Y225" s="2559"/>
      <c r="Z225" s="2202"/>
      <c r="AA225" s="2202"/>
      <c r="AB225" s="2199"/>
      <c r="AC225" s="2199">
        <v>-26.2</v>
      </c>
      <c r="AD225" s="2199">
        <v>-101</v>
      </c>
      <c r="AE225" s="2199"/>
      <c r="AF225" s="2199"/>
      <c r="AG225" s="2199"/>
      <c r="AH225" s="2199"/>
      <c r="AI225" s="2199"/>
      <c r="AJ225" s="2199"/>
      <c r="AK225" s="2199"/>
      <c r="AL225" s="2199"/>
      <c r="AM225" s="2199"/>
      <c r="AN225" s="2199">
        <v>1</v>
      </c>
      <c r="AO225" s="2199">
        <v>0</v>
      </c>
      <c r="AP225" s="2199">
        <v>0</v>
      </c>
      <c r="AQ225" s="2199"/>
      <c r="AR225" s="2199"/>
      <c r="AS225" s="2199"/>
      <c r="AT225" s="2199"/>
      <c r="AU225" s="2199"/>
      <c r="AV225" s="2199"/>
      <c r="AW225" s="2199">
        <v>1.2969999999999999</v>
      </c>
      <c r="AX225" s="2199">
        <v>2.794E-3</v>
      </c>
      <c r="AY225" s="2199">
        <v>0.32900000000000001</v>
      </c>
      <c r="AZ225" s="2203">
        <v>6.4199999999999999E-4</v>
      </c>
      <c r="BA225" s="2199">
        <v>47.1</v>
      </c>
      <c r="BB225" s="2199">
        <v>0.17560000000000001</v>
      </c>
      <c r="BC225" s="2199">
        <v>2.9999999999999997E-4</v>
      </c>
      <c r="BD225" s="2199">
        <v>9.7090999999999994</v>
      </c>
      <c r="BE225" s="2199">
        <v>2082.41</v>
      </c>
      <c r="BF225" s="2199">
        <v>32.409999999999997</v>
      </c>
      <c r="BG225" s="4"/>
      <c r="BH225" s="4"/>
      <c r="BI225" s="4"/>
      <c r="BJ225" s="4"/>
      <c r="BK225" s="4"/>
      <c r="BL225" s="4"/>
      <c r="BM225" s="4"/>
      <c r="BN225" s="4"/>
      <c r="BO225" s="4"/>
      <c r="BP225" s="4"/>
      <c r="BQ225" s="19"/>
      <c r="BR225" s="19"/>
      <c r="BS225" s="19"/>
      <c r="BT225" s="19"/>
      <c r="BU225" s="19"/>
      <c r="BV225" s="19"/>
      <c r="BW225" s="19"/>
      <c r="BX225" s="19"/>
      <c r="BY225" s="1641"/>
      <c r="BZ225" s="19"/>
      <c r="CA225" s="19"/>
      <c r="CB225" s="19"/>
      <c r="CC225" s="19"/>
      <c r="CD225" s="19"/>
      <c r="CE225" s="19"/>
      <c r="CF225" s="19"/>
      <c r="CG225" s="19"/>
      <c r="CH225" s="19"/>
      <c r="CI225" s="19"/>
      <c r="CJ225" s="19"/>
      <c r="CK225" s="19"/>
      <c r="CM225" s="19"/>
      <c r="CN225" s="19"/>
      <c r="CO225" s="19"/>
      <c r="CP225"/>
    </row>
    <row r="226" spans="1:94" x14ac:dyDescent="0.25">
      <c r="A226" s="2204" t="s">
        <v>1230</v>
      </c>
      <c r="B226" s="2199" t="s">
        <v>1998</v>
      </c>
      <c r="C226" s="4" t="s">
        <v>842</v>
      </c>
      <c r="D226" s="4">
        <v>1</v>
      </c>
      <c r="E226" s="2199"/>
      <c r="F226" s="2204" t="s">
        <v>1230</v>
      </c>
      <c r="G226" s="2199"/>
      <c r="H226" s="2199"/>
      <c r="I226" s="2199"/>
      <c r="J226" s="2199"/>
      <c r="K226" s="2199"/>
      <c r="L226" s="2199"/>
      <c r="M226" s="2199"/>
      <c r="N226" s="2199"/>
      <c r="O226" s="2199"/>
      <c r="P226" s="2199"/>
      <c r="Q226" s="2199"/>
      <c r="R226" s="2199"/>
      <c r="S226" s="2199"/>
      <c r="T226" s="2199">
        <v>100.02</v>
      </c>
      <c r="U226" s="2199">
        <v>200</v>
      </c>
      <c r="V226" s="2199">
        <v>1000</v>
      </c>
      <c r="W226" s="2199">
        <v>10000</v>
      </c>
      <c r="X226" s="2199" t="s">
        <v>4259</v>
      </c>
      <c r="Y226" s="2559"/>
      <c r="Z226" s="2202"/>
      <c r="AA226" s="2202"/>
      <c r="AB226" s="2199"/>
      <c r="AC226" s="2199">
        <v>-75.599999999999994</v>
      </c>
      <c r="AD226" s="2199">
        <v>-142.5</v>
      </c>
      <c r="AE226" s="2199"/>
      <c r="AF226" s="2199"/>
      <c r="AG226" s="2199"/>
      <c r="AH226" s="2199"/>
      <c r="AI226" s="2199"/>
      <c r="AJ226" s="2199"/>
      <c r="AK226" s="2199">
        <v>10</v>
      </c>
      <c r="AL226" s="2199"/>
      <c r="AM226" s="2199"/>
      <c r="AN226" s="2199"/>
      <c r="AO226" s="2199"/>
      <c r="AP226" s="2199"/>
      <c r="AQ226" s="2199"/>
      <c r="AR226" s="2199"/>
      <c r="AS226" s="2199"/>
      <c r="AT226" s="2199"/>
      <c r="AU226" s="2199"/>
      <c r="AV226" s="2199"/>
      <c r="AW226" s="2199">
        <v>1.216</v>
      </c>
      <c r="AX226" s="2199">
        <v>3.7499999999999999E-3</v>
      </c>
      <c r="AY226" s="2199">
        <v>0.311</v>
      </c>
      <c r="AZ226" s="2203">
        <v>5.2499999999999997E-4</v>
      </c>
      <c r="BA226" s="2199">
        <v>27</v>
      </c>
      <c r="BB226" s="2199">
        <v>0.2</v>
      </c>
      <c r="BC226" s="2199">
        <v>3.6099999999999999E-4</v>
      </c>
      <c r="BD226" s="2199">
        <v>9.2891999999999992</v>
      </c>
      <c r="BE226" s="2199">
        <v>1596.3</v>
      </c>
      <c r="BF226" s="2199">
        <v>25.71</v>
      </c>
      <c r="BG226" s="4"/>
      <c r="BH226" s="4"/>
      <c r="BI226" s="4"/>
      <c r="BJ226" s="4"/>
      <c r="BK226" s="4"/>
      <c r="BL226" s="4"/>
      <c r="BM226" s="4"/>
      <c r="BN226" s="4"/>
      <c r="BO226" s="4"/>
      <c r="BP226" s="4"/>
      <c r="BQ226" s="19"/>
      <c r="BR226" s="19"/>
      <c r="BS226" s="19"/>
      <c r="BT226" s="19"/>
      <c r="BU226" s="19"/>
      <c r="BV226" s="19"/>
      <c r="BW226" s="19"/>
      <c r="BX226" s="19"/>
      <c r="BY226" s="1641"/>
      <c r="BZ226" s="19"/>
      <c r="CA226" s="19"/>
      <c r="CB226" s="19"/>
      <c r="CC226" s="19"/>
      <c r="CD226" s="19"/>
      <c r="CE226" s="19"/>
      <c r="CF226" s="19"/>
      <c r="CG226" s="19"/>
      <c r="CH226" s="19"/>
      <c r="CI226" s="19"/>
      <c r="CJ226" s="19"/>
      <c r="CK226" s="19"/>
      <c r="CM226" s="19"/>
      <c r="CN226" s="19"/>
      <c r="CO226" s="19"/>
      <c r="CP226"/>
    </row>
    <row r="227" spans="1:94" x14ac:dyDescent="0.25">
      <c r="A227" s="2200" t="s">
        <v>1252</v>
      </c>
      <c r="B227" s="2201" t="s">
        <v>1999</v>
      </c>
      <c r="C227" s="4" t="s">
        <v>842</v>
      </c>
      <c r="D227" s="4">
        <v>1</v>
      </c>
      <c r="E227" s="2199"/>
      <c r="F227" s="2200" t="s">
        <v>1252</v>
      </c>
      <c r="G227" s="2199"/>
      <c r="H227" s="2199"/>
      <c r="I227" s="2199"/>
      <c r="J227" s="2199"/>
      <c r="K227" s="2199"/>
      <c r="L227" s="2199"/>
      <c r="M227" s="2199"/>
      <c r="N227" s="2199"/>
      <c r="O227" s="2199"/>
      <c r="P227" s="2199"/>
      <c r="Q227" s="2199"/>
      <c r="R227" s="2199"/>
      <c r="S227" s="2199"/>
      <c r="T227" s="2199">
        <v>72.099999999999994</v>
      </c>
      <c r="U227" s="2199">
        <v>100</v>
      </c>
      <c r="V227" s="2199">
        <v>500</v>
      </c>
      <c r="W227" s="2199">
        <v>5000</v>
      </c>
      <c r="X227" s="2199" t="s">
        <v>4259</v>
      </c>
      <c r="Y227" s="2559"/>
      <c r="Z227" s="2202"/>
      <c r="AA227" s="2202"/>
      <c r="AB227" s="2199"/>
      <c r="AC227" s="2199">
        <v>66</v>
      </c>
      <c r="AD227" s="2199">
        <v>-65</v>
      </c>
      <c r="AE227" s="2199"/>
      <c r="AF227" s="2199"/>
      <c r="AG227" s="2199"/>
      <c r="AH227" s="2199"/>
      <c r="AI227" s="2199"/>
      <c r="AJ227" s="2199">
        <v>-14</v>
      </c>
      <c r="AK227" s="2199">
        <v>2</v>
      </c>
      <c r="AL227" s="2199"/>
      <c r="AM227" s="2199"/>
      <c r="AN227" s="2199">
        <v>2</v>
      </c>
      <c r="AO227" s="2199">
        <v>3</v>
      </c>
      <c r="AP227" s="2199">
        <v>1</v>
      </c>
      <c r="AQ227" s="2199" t="s">
        <v>139</v>
      </c>
      <c r="AR227" s="2199" t="s">
        <v>138</v>
      </c>
      <c r="AS227" s="2199"/>
      <c r="AT227" s="2199"/>
      <c r="AU227" s="2199"/>
      <c r="AV227" s="2199"/>
      <c r="AW227" s="2199">
        <v>0.90100000000000002</v>
      </c>
      <c r="AX227" s="2199">
        <v>1.1050000000000001E-3</v>
      </c>
      <c r="AY227" s="2199">
        <v>0.38700000000000001</v>
      </c>
      <c r="AZ227" s="2203">
        <v>1.0019E-3</v>
      </c>
      <c r="BA227" s="2199">
        <v>110.2</v>
      </c>
      <c r="BB227" s="2199">
        <v>0.15723500000000001</v>
      </c>
      <c r="BC227" s="2199">
        <v>2.7700000000000001E-4</v>
      </c>
      <c r="BD227" s="2199">
        <v>9.4550000000000001</v>
      </c>
      <c r="BE227" s="2199">
        <v>2763.61</v>
      </c>
      <c r="BF227" s="2199">
        <v>46.83</v>
      </c>
      <c r="BG227" s="4"/>
      <c r="BH227" s="4"/>
      <c r="BI227" s="4"/>
      <c r="BJ227" s="4"/>
      <c r="BK227" s="4"/>
      <c r="BL227" s="4"/>
      <c r="BM227" s="4"/>
      <c r="BN227" s="4"/>
      <c r="BO227" s="4"/>
      <c r="BP227" s="4"/>
      <c r="BQ227" s="19"/>
      <c r="BR227" s="19"/>
      <c r="BS227" s="19"/>
      <c r="BT227" s="19"/>
      <c r="BU227" s="19"/>
      <c r="BV227" s="19"/>
      <c r="BW227" s="19"/>
      <c r="BX227" s="19"/>
      <c r="BY227" s="1641"/>
      <c r="BZ227" s="19"/>
      <c r="CA227" s="19"/>
      <c r="CB227" s="19"/>
      <c r="CC227" s="19"/>
      <c r="CD227" s="19"/>
      <c r="CE227" s="19"/>
      <c r="CF227" s="19"/>
      <c r="CG227" s="19"/>
      <c r="CH227" s="19"/>
      <c r="CI227" s="19"/>
      <c r="CJ227" s="19"/>
      <c r="CK227" s="19"/>
      <c r="CM227" s="19"/>
      <c r="CN227" s="19"/>
      <c r="CO227" s="19"/>
      <c r="CP227"/>
    </row>
    <row r="228" spans="1:94" x14ac:dyDescent="0.25">
      <c r="A228" s="2200" t="s">
        <v>4438</v>
      </c>
      <c r="B228" s="2199" t="s">
        <v>4439</v>
      </c>
      <c r="C228" s="4" t="s">
        <v>842</v>
      </c>
      <c r="D228" s="4">
        <v>1</v>
      </c>
      <c r="E228" s="2199"/>
      <c r="F228" s="2200" t="s">
        <v>4438</v>
      </c>
      <c r="G228" s="2199"/>
      <c r="H228" s="2199"/>
      <c r="I228" s="2199"/>
      <c r="J228" s="2199"/>
      <c r="K228" s="2199"/>
      <c r="L228" s="2199"/>
      <c r="M228" s="2199"/>
      <c r="N228" s="2199"/>
      <c r="O228" s="2199"/>
      <c r="P228" s="2199"/>
      <c r="Q228" s="2199"/>
      <c r="R228" s="2199"/>
      <c r="S228" s="2199"/>
      <c r="T228" s="2187">
        <v>132.21</v>
      </c>
      <c r="U228" s="2187">
        <v>1.6</v>
      </c>
      <c r="V228" s="2187">
        <v>17</v>
      </c>
      <c r="W228" s="2187">
        <v>105</v>
      </c>
      <c r="X228" s="2187" t="s">
        <v>4459</v>
      </c>
      <c r="Y228" s="2567"/>
      <c r="Z228" s="2187"/>
      <c r="AA228" s="2187"/>
      <c r="AB228" s="2187"/>
      <c r="AC228" s="2187">
        <v>207.4</v>
      </c>
      <c r="AD228" s="2187">
        <v>-35.799999999999997</v>
      </c>
      <c r="AE228" s="2187"/>
      <c r="AF228" s="2187"/>
      <c r="AG228" s="2187"/>
      <c r="AH228" s="2187"/>
      <c r="AI228" s="2187"/>
      <c r="AJ228" s="2187">
        <v>71</v>
      </c>
      <c r="AK228" s="2187">
        <v>0.84</v>
      </c>
      <c r="AL228" s="2187"/>
      <c r="AM228" s="2187"/>
      <c r="AN228" s="2187">
        <v>2</v>
      </c>
      <c r="AO228" s="2187">
        <v>2</v>
      </c>
      <c r="AP228" s="2187">
        <v>1</v>
      </c>
      <c r="AQ228" s="2187"/>
      <c r="AR228" s="2187"/>
      <c r="AS228" s="2199"/>
      <c r="AT228" s="2199" t="s">
        <v>1091</v>
      </c>
      <c r="AU228" s="2199"/>
      <c r="AV228" s="2199"/>
      <c r="AW228" s="2199">
        <v>0.99199999999999999</v>
      </c>
      <c r="AX228" s="2199">
        <v>9.2400000000000002E-4</v>
      </c>
      <c r="AY228" s="2199">
        <v>0.34200000000000003</v>
      </c>
      <c r="AZ228" s="2199">
        <v>9.8620000000000001E-4</v>
      </c>
      <c r="BA228" s="2199">
        <v>98.5</v>
      </c>
      <c r="BB228" s="2199">
        <v>7.2181999999999996E-2</v>
      </c>
      <c r="BC228" s="2199">
        <v>1.47E-4</v>
      </c>
      <c r="BD228" s="2199">
        <v>9.6944999999999997</v>
      </c>
      <c r="BE228" s="2199">
        <v>4044.13</v>
      </c>
      <c r="BF228" s="2199">
        <v>63.71</v>
      </c>
      <c r="BG228" s="4"/>
      <c r="BH228" s="4"/>
      <c r="BI228" s="4"/>
      <c r="BJ228" s="4"/>
      <c r="BK228" s="4"/>
      <c r="BL228" s="4"/>
      <c r="BM228" s="4"/>
      <c r="BN228" s="4"/>
      <c r="BO228" s="4"/>
      <c r="BP228" s="4"/>
      <c r="BQ228" s="19"/>
      <c r="BR228" s="19"/>
      <c r="BS228" s="19"/>
      <c r="BT228" s="19"/>
      <c r="BU228" s="19"/>
      <c r="BV228" s="19"/>
      <c r="BW228" s="19"/>
      <c r="BX228" s="19"/>
      <c r="BY228" s="1641"/>
      <c r="BZ228" s="19"/>
      <c r="CA228" s="19"/>
      <c r="CB228" s="19"/>
      <c r="CC228" s="19"/>
      <c r="CD228" s="19"/>
      <c r="CE228" s="19"/>
      <c r="CF228" s="19"/>
      <c r="CG228" s="19"/>
      <c r="CH228" s="19"/>
      <c r="CI228" s="19"/>
      <c r="CJ228" s="19"/>
      <c r="CK228" s="19"/>
      <c r="CM228" s="19"/>
      <c r="CN228" s="19"/>
      <c r="CO228" s="19"/>
      <c r="CP228"/>
    </row>
    <row r="229" spans="1:94" x14ac:dyDescent="0.25">
      <c r="A229" s="2200" t="s">
        <v>4440</v>
      </c>
      <c r="B229" s="2199" t="s">
        <v>4441</v>
      </c>
      <c r="C229" s="4" t="s">
        <v>842</v>
      </c>
      <c r="D229" s="4">
        <v>1</v>
      </c>
      <c r="E229" s="2199"/>
      <c r="F229" s="2200" t="s">
        <v>4440</v>
      </c>
      <c r="G229" s="2199"/>
      <c r="H229" s="2199"/>
      <c r="I229" s="2199"/>
      <c r="J229" s="2199"/>
      <c r="K229" s="2199"/>
      <c r="L229" s="2199"/>
      <c r="M229" s="2199"/>
      <c r="N229" s="2199"/>
      <c r="O229" s="2199"/>
      <c r="P229" s="2199"/>
      <c r="Q229" s="2199"/>
      <c r="R229" s="2199"/>
      <c r="S229" s="2199"/>
      <c r="T229" s="2187">
        <v>134.19999999999999</v>
      </c>
      <c r="U229" s="2187">
        <v>3.6</v>
      </c>
      <c r="V229" s="2187">
        <v>40</v>
      </c>
      <c r="W229" s="2187">
        <v>237</v>
      </c>
      <c r="X229" s="2187" t="s">
        <v>4459</v>
      </c>
      <c r="Y229" s="2567"/>
      <c r="Z229" s="2187"/>
      <c r="AA229" s="2187"/>
      <c r="AB229" s="2187"/>
      <c r="AC229" s="2187">
        <v>196.9</v>
      </c>
      <c r="AD229" s="2187">
        <v>79.2</v>
      </c>
      <c r="AE229" s="2187"/>
      <c r="AF229" s="2187"/>
      <c r="AG229" s="2187"/>
      <c r="AH229" s="2187"/>
      <c r="AI229" s="2187"/>
      <c r="AJ229" s="2187">
        <v>73</v>
      </c>
      <c r="AK229" s="2187">
        <v>0.9</v>
      </c>
      <c r="AL229" s="2187"/>
      <c r="AM229" s="2187"/>
      <c r="AN229" s="2187">
        <v>1</v>
      </c>
      <c r="AO229" s="2187">
        <v>2</v>
      </c>
      <c r="AP229" s="2187">
        <v>0</v>
      </c>
      <c r="AQ229" s="2187" t="s">
        <v>139</v>
      </c>
      <c r="AR229" s="2187" t="s">
        <v>138</v>
      </c>
      <c r="AS229" s="2199"/>
      <c r="AT229" s="2199"/>
      <c r="AU229" s="2199"/>
      <c r="AV229" s="2199"/>
      <c r="AW229" s="2199">
        <v>0.92900000000000005</v>
      </c>
      <c r="AX229" s="2199">
        <v>1.0150000000000001E-3</v>
      </c>
      <c r="AY229" s="2199">
        <v>0.41499999999999998</v>
      </c>
      <c r="AZ229" s="2199">
        <v>8.3000000000000001E-4</v>
      </c>
      <c r="BA229" s="2199">
        <v>94.3</v>
      </c>
      <c r="BB229" s="2199">
        <v>5.0500000000000003E-2</v>
      </c>
      <c r="BC229" s="2199">
        <v>2.3499999999999999E-4</v>
      </c>
      <c r="BD229" s="2199">
        <v>10.5115</v>
      </c>
      <c r="BE229" s="2199">
        <v>4469.96</v>
      </c>
      <c r="BF229" s="2199">
        <v>44.89</v>
      </c>
      <c r="BG229" s="4"/>
      <c r="BH229" s="4"/>
      <c r="BI229" s="4"/>
      <c r="BJ229" s="4"/>
      <c r="BK229" s="4"/>
      <c r="BL229" s="4"/>
      <c r="BM229" s="4"/>
      <c r="BN229" s="4"/>
      <c r="BO229" s="4"/>
      <c r="BP229" s="4"/>
      <c r="BQ229" s="19"/>
      <c r="BR229" s="19"/>
      <c r="BS229" s="19"/>
      <c r="BT229" s="19"/>
      <c r="BU229" s="19"/>
      <c r="BV229" s="19"/>
      <c r="BW229" s="19"/>
      <c r="BX229" s="19"/>
      <c r="BY229" s="1641"/>
      <c r="BZ229" s="19"/>
      <c r="CA229" s="19"/>
      <c r="CB229" s="19"/>
      <c r="CC229" s="19"/>
      <c r="CD229" s="19"/>
      <c r="CE229" s="19"/>
      <c r="CF229" s="19"/>
      <c r="CG229" s="19"/>
      <c r="CH229" s="19"/>
      <c r="CI229" s="19"/>
      <c r="CJ229" s="19"/>
      <c r="CK229" s="19"/>
      <c r="CM229" s="19"/>
      <c r="CN229" s="19"/>
      <c r="CO229" s="19"/>
      <c r="CP229"/>
    </row>
    <row r="230" spans="1:94" x14ac:dyDescent="0.25">
      <c r="A230" s="2200" t="s">
        <v>4442</v>
      </c>
      <c r="B230" s="2199" t="s">
        <v>4443</v>
      </c>
      <c r="C230" s="4" t="s">
        <v>842</v>
      </c>
      <c r="D230" s="4">
        <v>1</v>
      </c>
      <c r="E230" s="2199"/>
      <c r="F230" s="2200" t="s">
        <v>4442</v>
      </c>
      <c r="G230" s="2199"/>
      <c r="H230" s="2199"/>
      <c r="I230" s="2199"/>
      <c r="J230" s="2199"/>
      <c r="K230" s="2199"/>
      <c r="L230" s="2199"/>
      <c r="M230" s="2199"/>
      <c r="N230" s="2199"/>
      <c r="O230" s="2199"/>
      <c r="P230" s="2199"/>
      <c r="Q230" s="2199"/>
      <c r="R230" s="2199"/>
      <c r="S230" s="2199"/>
      <c r="T230" s="2187">
        <v>88.224000000000004</v>
      </c>
      <c r="U230" s="2187">
        <v>277</v>
      </c>
      <c r="V230" s="2187">
        <v>360</v>
      </c>
      <c r="W230" s="2187">
        <v>750</v>
      </c>
      <c r="X230" s="2187" t="s">
        <v>4459</v>
      </c>
      <c r="Y230" s="2567"/>
      <c r="Z230" s="2187"/>
      <c r="AA230" s="2187"/>
      <c r="AB230" s="2187"/>
      <c r="AC230" s="2187">
        <v>26.64</v>
      </c>
      <c r="AD230" s="2187">
        <v>102.17</v>
      </c>
      <c r="AE230" s="2187"/>
      <c r="AF230" s="2187"/>
      <c r="AG230" s="2187"/>
      <c r="AH230" s="2187"/>
      <c r="AI230" s="2187"/>
      <c r="AJ230" s="2187">
        <v>-28</v>
      </c>
      <c r="AK230" s="2187">
        <v>3</v>
      </c>
      <c r="AL230" s="2187"/>
      <c r="AM230" s="2187">
        <v>450</v>
      </c>
      <c r="AN230" s="2187">
        <v>0</v>
      </c>
      <c r="AO230" s="2187">
        <v>4</v>
      </c>
      <c r="AP230" s="2187">
        <v>0</v>
      </c>
      <c r="AQ230" s="2187"/>
      <c r="AR230" s="2187"/>
      <c r="AS230" s="2199"/>
      <c r="AT230" s="2199"/>
      <c r="AU230" s="2199"/>
      <c r="AV230" s="2199"/>
      <c r="AW230" s="2199">
        <v>0.67069999999999996</v>
      </c>
      <c r="AX230" s="2199">
        <v>1.3010000000000001E-3</v>
      </c>
      <c r="AY230" s="2199">
        <v>0.5131</v>
      </c>
      <c r="AZ230" s="2199">
        <v>8.7480000000000001E-4</v>
      </c>
      <c r="BA230" s="2199">
        <v>71.2</v>
      </c>
      <c r="BB230" s="2199">
        <v>0.12852</v>
      </c>
      <c r="BC230" s="2199">
        <v>8.9114000000000001E-4</v>
      </c>
      <c r="BD230" s="2199">
        <v>9.1002229999999997</v>
      </c>
      <c r="BE230" s="2199">
        <v>2393.0808000000002</v>
      </c>
      <c r="BF230" s="2199">
        <v>36.869</v>
      </c>
      <c r="BG230" s="4"/>
      <c r="BH230" s="4"/>
      <c r="BI230" s="4"/>
      <c r="BJ230" s="4"/>
      <c r="BK230" s="4"/>
      <c r="BL230" s="4"/>
      <c r="BM230" s="4"/>
      <c r="BN230" s="4"/>
      <c r="BO230" s="4"/>
      <c r="BP230" s="4"/>
      <c r="BQ230" s="19"/>
      <c r="BR230" s="19"/>
      <c r="BS230" s="19"/>
      <c r="BT230" s="19"/>
      <c r="BU230" s="19"/>
      <c r="BV230" s="19"/>
      <c r="BW230" s="19"/>
      <c r="BX230" s="19"/>
      <c r="BY230" s="1641"/>
      <c r="BZ230" s="19"/>
      <c r="CA230" s="19"/>
      <c r="CB230" s="19"/>
      <c r="CC230" s="19"/>
      <c r="CD230" s="19"/>
      <c r="CE230" s="19"/>
      <c r="CF230" s="19"/>
      <c r="CG230" s="19"/>
      <c r="CH230" s="19"/>
      <c r="CI230" s="19"/>
      <c r="CJ230" s="19"/>
      <c r="CK230" s="19"/>
      <c r="CM230" s="19"/>
      <c r="CN230" s="19"/>
      <c r="CO230" s="19"/>
      <c r="CP230"/>
    </row>
    <row r="231" spans="1:94" x14ac:dyDescent="0.25">
      <c r="A231" s="2200" t="s">
        <v>1106</v>
      </c>
      <c r="B231" s="2201" t="s">
        <v>2000</v>
      </c>
      <c r="C231" s="4" t="s">
        <v>842</v>
      </c>
      <c r="D231" s="4">
        <v>1</v>
      </c>
      <c r="E231" s="2199"/>
      <c r="F231" s="2200" t="s">
        <v>1106</v>
      </c>
      <c r="G231" s="2199"/>
      <c r="H231" s="2199"/>
      <c r="I231" s="2199"/>
      <c r="J231" s="2199"/>
      <c r="K231" s="2199"/>
      <c r="L231" s="2199"/>
      <c r="M231" s="2199"/>
      <c r="N231" s="2199"/>
      <c r="O231" s="2199"/>
      <c r="P231" s="2199"/>
      <c r="Q231" s="2199"/>
      <c r="R231" s="2199"/>
      <c r="S231" s="2199"/>
      <c r="T231" s="2199">
        <v>119</v>
      </c>
      <c r="U231" s="2199">
        <v>0.2</v>
      </c>
      <c r="V231" s="2199">
        <v>2</v>
      </c>
      <c r="W231" s="2199">
        <v>10</v>
      </c>
      <c r="X231" s="2199" t="s">
        <v>4259</v>
      </c>
      <c r="Y231" s="2559"/>
      <c r="Z231" s="2202"/>
      <c r="AA231" s="2202"/>
      <c r="AB231" s="2199"/>
      <c r="AC231" s="2199">
        <v>76</v>
      </c>
      <c r="AD231" s="2199"/>
      <c r="AE231" s="2199"/>
      <c r="AF231" s="2199"/>
      <c r="AG231" s="2199"/>
      <c r="AH231" s="2199"/>
      <c r="AI231" s="2199"/>
      <c r="AJ231" s="2199"/>
      <c r="AK231" s="2199"/>
      <c r="AL231" s="2199"/>
      <c r="AM231" s="2199"/>
      <c r="AN231" s="2199">
        <v>4</v>
      </c>
      <c r="AO231" s="2199">
        <v>0</v>
      </c>
      <c r="AP231" s="2199">
        <v>2</v>
      </c>
      <c r="AQ231" s="2199"/>
      <c r="AR231" s="2199"/>
      <c r="AS231" s="2199"/>
      <c r="AT231" s="2199"/>
      <c r="AU231" s="2199"/>
      <c r="AV231" s="2199"/>
      <c r="AW231" s="2199">
        <v>1.6719999999999999</v>
      </c>
      <c r="AX231" s="2199">
        <v>1.7600000000000001E-3</v>
      </c>
      <c r="AY231" s="2199">
        <v>0.223</v>
      </c>
      <c r="AZ231" s="2203">
        <v>4.0999999999999999E-4</v>
      </c>
      <c r="BA231" s="2199">
        <v>68.5</v>
      </c>
      <c r="BB231" s="2199">
        <v>0.108</v>
      </c>
      <c r="BC231" s="2199"/>
      <c r="BD231" s="2199">
        <v>11.218</v>
      </c>
      <c r="BE231" s="2199">
        <v>3912.7</v>
      </c>
      <c r="BF231" s="2199"/>
      <c r="BG231" s="4"/>
      <c r="BH231" s="4"/>
      <c r="BI231" s="4"/>
      <c r="BJ231" s="4"/>
      <c r="BK231" s="4"/>
      <c r="BL231" s="4"/>
      <c r="BM231" s="4"/>
      <c r="BN231" s="4"/>
      <c r="BO231" s="4"/>
      <c r="BP231" s="4"/>
      <c r="BQ231" s="19"/>
      <c r="BR231" s="19"/>
      <c r="BS231" s="19"/>
      <c r="BT231" s="19"/>
      <c r="BU231" s="19"/>
      <c r="BV231" s="19"/>
      <c r="BW231" s="19"/>
      <c r="BX231" s="19"/>
      <c r="BY231" s="1641"/>
      <c r="BZ231" s="19"/>
      <c r="CA231" s="19"/>
      <c r="CB231" s="19"/>
      <c r="CC231" s="19"/>
      <c r="CD231" s="19"/>
      <c r="CE231" s="19"/>
      <c r="CF231" s="19"/>
      <c r="CG231" s="19"/>
      <c r="CH231" s="19"/>
      <c r="CI231" s="19"/>
      <c r="CJ231" s="19"/>
      <c r="CK231" s="19"/>
      <c r="CM231" s="19"/>
      <c r="CN231" s="19"/>
      <c r="CO231" s="19"/>
      <c r="CP231"/>
    </row>
    <row r="232" spans="1:94" x14ac:dyDescent="0.25">
      <c r="A232" s="2204" t="s">
        <v>2001</v>
      </c>
      <c r="B232" s="2199" t="s">
        <v>2002</v>
      </c>
      <c r="C232" s="4" t="s">
        <v>842</v>
      </c>
      <c r="D232" s="4">
        <v>1</v>
      </c>
      <c r="E232" s="2199"/>
      <c r="F232" s="2204" t="s">
        <v>2001</v>
      </c>
      <c r="G232" s="2199"/>
      <c r="H232" s="2199"/>
      <c r="I232" s="2199"/>
      <c r="J232" s="2199"/>
      <c r="K232" s="2199"/>
      <c r="L232" s="2199"/>
      <c r="M232" s="2199"/>
      <c r="N232" s="2199"/>
      <c r="O232" s="2199"/>
      <c r="P232" s="2199"/>
      <c r="Q232" s="2199"/>
      <c r="R232" s="2199"/>
      <c r="S232" s="2199"/>
      <c r="T232" s="2199">
        <v>189.69</v>
      </c>
      <c r="U232" s="2199">
        <v>0.64</v>
      </c>
      <c r="V232" s="2199">
        <v>2.58</v>
      </c>
      <c r="W232" s="2199">
        <v>12.89</v>
      </c>
      <c r="X232" s="2199" t="s">
        <v>4259</v>
      </c>
      <c r="Y232" s="2559"/>
      <c r="Z232" s="2202"/>
      <c r="AA232" s="2202"/>
      <c r="AB232" s="2199"/>
      <c r="AC232" s="2199">
        <v>135.9</v>
      </c>
      <c r="AD232" s="2199">
        <v>-24</v>
      </c>
      <c r="AE232" s="2199"/>
      <c r="AF232" s="2199"/>
      <c r="AG232" s="2199"/>
      <c r="AH232" s="2199"/>
      <c r="AI232" s="2199"/>
      <c r="AJ232" s="2199"/>
      <c r="AK232" s="2199"/>
      <c r="AL232" s="2199"/>
      <c r="AM232" s="2199"/>
      <c r="AN232" s="2199">
        <v>4</v>
      </c>
      <c r="AO232" s="2199">
        <v>0</v>
      </c>
      <c r="AP232" s="2199">
        <v>2</v>
      </c>
      <c r="AQ232" s="2199"/>
      <c r="AR232" s="2199"/>
      <c r="AS232" s="2199"/>
      <c r="AT232" s="2199"/>
      <c r="AU232" s="2199"/>
      <c r="AV232" s="2199"/>
      <c r="AW232" s="2199">
        <v>1.758</v>
      </c>
      <c r="AX232" s="2199">
        <v>1.7129999999999999E-3</v>
      </c>
      <c r="AY232" s="2199">
        <v>0.183</v>
      </c>
      <c r="AZ232" s="2203">
        <v>1.2999999999999999E-5</v>
      </c>
      <c r="BA232" s="2199">
        <v>50.2</v>
      </c>
      <c r="BB232" s="2199">
        <v>3.7499999999999999E-2</v>
      </c>
      <c r="BC232" s="2214">
        <v>6.3E-5</v>
      </c>
      <c r="BD232" s="2199">
        <v>8.6692999999999998</v>
      </c>
      <c r="BE232" s="2199">
        <v>2932.95</v>
      </c>
      <c r="BF232" s="2199">
        <v>70.430000000000007</v>
      </c>
      <c r="BG232" s="4"/>
      <c r="BH232" s="4"/>
      <c r="BI232" s="4"/>
      <c r="BJ232" s="4"/>
      <c r="BK232" s="4"/>
      <c r="BL232" s="4"/>
      <c r="BM232" s="4"/>
      <c r="BN232" s="4"/>
      <c r="BO232" s="4"/>
      <c r="BP232" s="4"/>
      <c r="BQ232" s="19"/>
      <c r="BR232" s="19"/>
      <c r="BS232" s="19"/>
      <c r="BT232" s="19"/>
      <c r="BU232" s="19"/>
      <c r="BV232" s="19"/>
      <c r="BW232" s="19"/>
      <c r="BX232" s="19"/>
      <c r="BY232" s="1641"/>
      <c r="BZ232" s="19"/>
      <c r="CA232" s="19"/>
      <c r="CB232" s="19"/>
      <c r="CC232" s="19"/>
      <c r="CD232" s="19"/>
      <c r="CE232" s="19"/>
      <c r="CF232" s="19"/>
      <c r="CG232" s="19"/>
      <c r="CH232" s="19"/>
      <c r="CI232" s="19"/>
      <c r="CJ232" s="19"/>
      <c r="CK232" s="19"/>
      <c r="CM232" s="19"/>
      <c r="CN232" s="19"/>
      <c r="CO232" s="19"/>
      <c r="CP232"/>
    </row>
    <row r="233" spans="1:94" x14ac:dyDescent="0.25">
      <c r="A233" s="2200" t="s">
        <v>1107</v>
      </c>
      <c r="B233" s="2201" t="s">
        <v>2003</v>
      </c>
      <c r="C233" s="4" t="s">
        <v>842</v>
      </c>
      <c r="D233" s="4">
        <v>1</v>
      </c>
      <c r="E233" s="2199"/>
      <c r="F233" s="2200" t="s">
        <v>1107</v>
      </c>
      <c r="G233" s="2199"/>
      <c r="H233" s="2199"/>
      <c r="I233" s="2199"/>
      <c r="J233" s="2199"/>
      <c r="K233" s="2199"/>
      <c r="L233" s="2199"/>
      <c r="M233" s="2199"/>
      <c r="N233" s="2199"/>
      <c r="O233" s="2199"/>
      <c r="P233" s="2199"/>
      <c r="Q233" s="2199"/>
      <c r="R233" s="2199"/>
      <c r="S233" s="2199"/>
      <c r="T233" s="2199">
        <v>92.14</v>
      </c>
      <c r="U233" s="2199">
        <v>50</v>
      </c>
      <c r="V233" s="2199">
        <v>300</v>
      </c>
      <c r="W233" s="2199">
        <v>1000</v>
      </c>
      <c r="X233" s="2199" t="s">
        <v>4259</v>
      </c>
      <c r="Y233" s="2559"/>
      <c r="Z233" s="2202">
        <v>2081</v>
      </c>
      <c r="AA233" s="2202">
        <v>20435</v>
      </c>
      <c r="AB233" s="2199">
        <v>2.5</v>
      </c>
      <c r="AC233" s="2199">
        <v>110.6</v>
      </c>
      <c r="AD233" s="2199">
        <v>-95</v>
      </c>
      <c r="AE233" s="2199"/>
      <c r="AF233" s="2199"/>
      <c r="AG233" s="2199"/>
      <c r="AH233" s="2199"/>
      <c r="AI233" s="2199"/>
      <c r="AJ233" s="2199">
        <v>4</v>
      </c>
      <c r="AK233" s="2199">
        <v>1.1000000000000001</v>
      </c>
      <c r="AL233" s="2199">
        <v>7.1</v>
      </c>
      <c r="AM233" s="2199">
        <v>480</v>
      </c>
      <c r="AN233" s="2199">
        <v>2</v>
      </c>
      <c r="AO233" s="2199">
        <v>3</v>
      </c>
      <c r="AP233" s="2199">
        <v>0</v>
      </c>
      <c r="AQ233" s="2199" t="s">
        <v>139</v>
      </c>
      <c r="AR233" s="2199" t="s">
        <v>138</v>
      </c>
      <c r="AS233" s="2199"/>
      <c r="AT233" s="2199"/>
      <c r="AU233" s="2199"/>
      <c r="AV233" s="2199" t="s">
        <v>160</v>
      </c>
      <c r="AW233" s="2199">
        <v>0.89100000000000001</v>
      </c>
      <c r="AX233" s="2199">
        <v>1.059E-3</v>
      </c>
      <c r="AY233" s="2199">
        <v>0.35099999999999998</v>
      </c>
      <c r="AZ233" s="2203">
        <v>9.2800000000000001E-4</v>
      </c>
      <c r="BA233" s="2199">
        <v>98</v>
      </c>
      <c r="BB233" s="2199">
        <v>9.4E-2</v>
      </c>
      <c r="BC233" s="2199">
        <v>2.2000000000000001E-4</v>
      </c>
      <c r="BD233" s="2199">
        <v>9.4437999999999995</v>
      </c>
      <c r="BE233" s="2199">
        <v>3136.86</v>
      </c>
      <c r="BF233" s="2199">
        <v>51.66</v>
      </c>
      <c r="BG233" s="4"/>
      <c r="BH233" s="4"/>
      <c r="BI233" s="4"/>
      <c r="BJ233" s="4"/>
      <c r="BK233" s="4"/>
      <c r="BL233" s="4"/>
      <c r="BM233" s="4"/>
      <c r="BN233" s="4"/>
      <c r="BO233" s="4"/>
      <c r="BP233" s="4"/>
      <c r="BQ233" s="19"/>
      <c r="BR233" s="19"/>
      <c r="BS233" s="19"/>
      <c r="BT233" s="19"/>
      <c r="BU233" s="19"/>
      <c r="BV233" s="19"/>
      <c r="BW233" s="19"/>
      <c r="BX233" s="19"/>
      <c r="BY233" s="1641"/>
      <c r="BZ233" s="19"/>
      <c r="CA233" s="19"/>
      <c r="CB233" s="19"/>
      <c r="CC233" s="19"/>
      <c r="CD233" s="19"/>
      <c r="CE233" s="19"/>
      <c r="CF233" s="19"/>
      <c r="CG233" s="19"/>
      <c r="CH233" s="19"/>
      <c r="CI233" s="19"/>
      <c r="CJ233" s="19"/>
      <c r="CK233" s="19"/>
      <c r="CM233" s="19"/>
      <c r="CN233" s="19"/>
      <c r="CO233" s="19"/>
      <c r="CP233"/>
    </row>
    <row r="234" spans="1:94" x14ac:dyDescent="0.25">
      <c r="A234" s="2204" t="s">
        <v>2004</v>
      </c>
      <c r="B234" s="2199" t="s">
        <v>2005</v>
      </c>
      <c r="C234" s="4" t="s">
        <v>842</v>
      </c>
      <c r="D234" s="4">
        <v>1</v>
      </c>
      <c r="E234" s="2199"/>
      <c r="F234" s="2204" t="s">
        <v>2004</v>
      </c>
      <c r="G234" s="2199"/>
      <c r="H234" s="2199"/>
      <c r="I234" s="2199"/>
      <c r="J234" s="2199"/>
      <c r="K234" s="2199"/>
      <c r="L234" s="2199"/>
      <c r="M234" s="2199"/>
      <c r="N234" s="2199"/>
      <c r="O234" s="2199"/>
      <c r="P234" s="2199"/>
      <c r="Q234" s="2199"/>
      <c r="R234" s="2199"/>
      <c r="S234" s="2199"/>
      <c r="T234" s="2199">
        <v>174.16</v>
      </c>
      <c r="U234" s="2199">
        <v>0.01</v>
      </c>
      <c r="V234" s="2199">
        <v>0.15</v>
      </c>
      <c r="W234" s="2199">
        <v>0.6</v>
      </c>
      <c r="X234" s="2199" t="s">
        <v>4259</v>
      </c>
      <c r="Y234" s="2559"/>
      <c r="Z234" s="2202"/>
      <c r="AA234" s="2202"/>
      <c r="AB234" s="2199"/>
      <c r="AC234" s="2199">
        <v>252.9</v>
      </c>
      <c r="AD234" s="2199">
        <v>21.8</v>
      </c>
      <c r="AE234" s="2199"/>
      <c r="AF234" s="2199"/>
      <c r="AG234" s="2199"/>
      <c r="AH234" s="2199"/>
      <c r="AI234" s="2199"/>
      <c r="AJ234" s="2199">
        <v>127</v>
      </c>
      <c r="AK234" s="2199">
        <v>0.9</v>
      </c>
      <c r="AL234" s="2199"/>
      <c r="AM234" s="2199"/>
      <c r="AN234" s="2199">
        <v>3</v>
      </c>
      <c r="AO234" s="2199">
        <v>0</v>
      </c>
      <c r="AP234" s="2199">
        <v>1</v>
      </c>
      <c r="AQ234" s="2199"/>
      <c r="AR234" s="2199"/>
      <c r="AS234" s="2199"/>
      <c r="AT234" s="2199" t="s">
        <v>599</v>
      </c>
      <c r="AU234" s="2199"/>
      <c r="AV234" s="2199"/>
      <c r="AW234" s="2199">
        <v>1.248</v>
      </c>
      <c r="AX234" s="2199">
        <v>1.103E-3</v>
      </c>
      <c r="AY234" s="2199">
        <v>0.375</v>
      </c>
      <c r="AZ234" s="2203">
        <v>3.8999999999999999E-4</v>
      </c>
      <c r="BA234" s="2199">
        <v>97.1</v>
      </c>
      <c r="BB234" s="2199">
        <v>0.112333</v>
      </c>
      <c r="BC234" s="2199">
        <v>1.11E-5</v>
      </c>
      <c r="BD234" s="2199">
        <v>10.4472</v>
      </c>
      <c r="BE234" s="2199">
        <v>4733.58</v>
      </c>
      <c r="BF234" s="2199">
        <v>74.31</v>
      </c>
      <c r="BG234" s="4"/>
      <c r="BH234" s="4"/>
      <c r="BI234" s="4"/>
      <c r="BJ234" s="4"/>
      <c r="BK234" s="4"/>
      <c r="BL234" s="4"/>
      <c r="BM234" s="4"/>
      <c r="BN234" s="4"/>
      <c r="BO234" s="4"/>
      <c r="BP234" s="4"/>
      <c r="BQ234" s="19"/>
      <c r="BR234" s="19"/>
      <c r="BS234" s="19"/>
      <c r="BT234" s="19"/>
      <c r="BU234" s="19"/>
      <c r="BV234" s="19"/>
      <c r="BW234" s="19"/>
      <c r="BX234" s="19"/>
      <c r="BY234" s="1641"/>
      <c r="BZ234" s="19"/>
      <c r="CA234" s="19"/>
      <c r="CB234" s="19"/>
      <c r="CC234" s="19"/>
      <c r="CD234" s="19"/>
      <c r="CE234" s="19"/>
      <c r="CF234" s="19"/>
      <c r="CG234" s="19"/>
      <c r="CH234" s="19"/>
      <c r="CI234" s="19"/>
      <c r="CJ234" s="19"/>
      <c r="CK234" s="19"/>
      <c r="CM234" s="19"/>
      <c r="CN234" s="19"/>
      <c r="CO234" s="19"/>
      <c r="CP234"/>
    </row>
    <row r="235" spans="1:94" x14ac:dyDescent="0.25">
      <c r="A235" s="2204" t="s">
        <v>1809</v>
      </c>
      <c r="B235" s="2199" t="s">
        <v>1810</v>
      </c>
      <c r="C235" s="4" t="s">
        <v>842</v>
      </c>
      <c r="D235" s="4">
        <v>1</v>
      </c>
      <c r="E235" s="2199"/>
      <c r="F235" s="2204" t="s">
        <v>1809</v>
      </c>
      <c r="G235" s="2199"/>
      <c r="H235" s="2199"/>
      <c r="I235" s="2199"/>
      <c r="J235" s="2199"/>
      <c r="K235" s="2199"/>
      <c r="L235" s="2199"/>
      <c r="M235" s="2199"/>
      <c r="N235" s="2199"/>
      <c r="O235" s="2199"/>
      <c r="P235" s="2199"/>
      <c r="Q235" s="2199"/>
      <c r="R235" s="2199"/>
      <c r="S235" s="2199"/>
      <c r="T235" s="2199">
        <v>174.16</v>
      </c>
      <c r="U235" s="2199">
        <v>0.01</v>
      </c>
      <c r="V235" s="2199">
        <v>0.15</v>
      </c>
      <c r="W235" s="2199">
        <v>0.6</v>
      </c>
      <c r="X235" s="2199" t="s">
        <v>4259</v>
      </c>
      <c r="Y235" s="2559"/>
      <c r="Z235" s="2202"/>
      <c r="AA235" s="2202"/>
      <c r="AB235" s="2199"/>
      <c r="AC235" s="2199">
        <v>248.9</v>
      </c>
      <c r="AD235" s="2199"/>
      <c r="AE235" s="2199"/>
      <c r="AF235" s="2199"/>
      <c r="AG235" s="2199"/>
      <c r="AH235" s="2199"/>
      <c r="AI235" s="2199"/>
      <c r="AJ235" s="2199"/>
      <c r="AK235" s="2199">
        <v>0.9</v>
      </c>
      <c r="AL235" s="2199"/>
      <c r="AM235" s="2199"/>
      <c r="AN235" s="2199">
        <v>3</v>
      </c>
      <c r="AO235" s="2199">
        <v>0</v>
      </c>
      <c r="AP235" s="2199">
        <v>1</v>
      </c>
      <c r="AQ235" s="2199"/>
      <c r="AR235" s="2199"/>
      <c r="AS235" s="2199"/>
      <c r="AT235" s="2199"/>
      <c r="AU235" s="2199"/>
      <c r="AV235" s="2199"/>
      <c r="AW235" s="2199">
        <v>1.2569999999999999</v>
      </c>
      <c r="AX235" s="2199">
        <v>1.1789999999999999E-3</v>
      </c>
      <c r="AY235" s="2199">
        <v>0.36499999999999999</v>
      </c>
      <c r="AZ235" s="2203">
        <v>3.8620000000000001E-4</v>
      </c>
      <c r="BA235" s="2199">
        <v>99</v>
      </c>
      <c r="BB235" s="2199">
        <v>0.100773</v>
      </c>
      <c r="BC235" s="2199">
        <v>9.2700000000000004E-5</v>
      </c>
      <c r="BD235" s="2199">
        <v>10.811</v>
      </c>
      <c r="BE235" s="2199">
        <v>4911.1099999999997</v>
      </c>
      <c r="BF235" s="2199">
        <v>67.900000000000006</v>
      </c>
      <c r="BG235" s="4"/>
      <c r="BH235" s="4"/>
      <c r="BI235" s="4"/>
      <c r="BJ235" s="4"/>
      <c r="BK235" s="4"/>
      <c r="BL235" s="4"/>
      <c r="BM235" s="4"/>
      <c r="BN235" s="4"/>
      <c r="BO235" s="4"/>
      <c r="BP235" s="4"/>
      <c r="BQ235" s="19"/>
      <c r="BR235" s="19"/>
      <c r="BS235" s="19"/>
      <c r="BT235" s="19"/>
      <c r="BU235" s="19"/>
      <c r="BV235" s="19"/>
      <c r="BW235" s="19"/>
      <c r="BX235" s="19"/>
      <c r="BY235" s="1641"/>
      <c r="BZ235" s="19"/>
      <c r="CA235" s="19"/>
      <c r="CB235" s="19"/>
      <c r="CC235" s="19"/>
      <c r="CD235" s="19"/>
      <c r="CE235" s="19"/>
      <c r="CF235" s="19"/>
      <c r="CG235" s="19"/>
      <c r="CH235" s="19"/>
      <c r="CI235" s="19"/>
      <c r="CJ235" s="19"/>
      <c r="CK235" s="19"/>
      <c r="CM235" s="19"/>
      <c r="CN235" s="19"/>
      <c r="CO235" s="19"/>
      <c r="CP235"/>
    </row>
    <row r="236" spans="1:94" x14ac:dyDescent="0.25">
      <c r="A236" s="2204" t="s">
        <v>244</v>
      </c>
      <c r="B236" s="2199" t="s">
        <v>245</v>
      </c>
      <c r="C236" s="4" t="s">
        <v>842</v>
      </c>
      <c r="D236" s="4">
        <v>1</v>
      </c>
      <c r="E236" s="2199"/>
      <c r="F236" s="2204" t="s">
        <v>244</v>
      </c>
      <c r="G236" s="2199"/>
      <c r="H236" s="2199"/>
      <c r="I236" s="2199"/>
      <c r="J236" s="2199"/>
      <c r="K236" s="2199"/>
      <c r="L236" s="2199"/>
      <c r="M236" s="2199"/>
      <c r="N236" s="2199"/>
      <c r="O236" s="2199"/>
      <c r="P236" s="2199"/>
      <c r="Q236" s="2199"/>
      <c r="R236" s="2199"/>
      <c r="S236" s="2199"/>
      <c r="T236" s="2199">
        <v>131.38999999999999</v>
      </c>
      <c r="U236" s="2199">
        <v>100</v>
      </c>
      <c r="V236" s="2199">
        <v>500</v>
      </c>
      <c r="W236" s="2199">
        <v>5000</v>
      </c>
      <c r="X236" s="2199" t="s">
        <v>4259</v>
      </c>
      <c r="Y236" s="2559"/>
      <c r="Z236" s="2202"/>
      <c r="AA236" s="2202"/>
      <c r="AB236" s="2199"/>
      <c r="AC236" s="2199">
        <v>87.3</v>
      </c>
      <c r="AD236" s="2199">
        <v>-86.5</v>
      </c>
      <c r="AE236" s="2199"/>
      <c r="AF236" s="2199"/>
      <c r="AG236" s="2199"/>
      <c r="AH236" s="2199"/>
      <c r="AI236" s="2199"/>
      <c r="AJ236" s="2199"/>
      <c r="AK236" s="2199">
        <v>8</v>
      </c>
      <c r="AL236" s="2199"/>
      <c r="AM236" s="2199"/>
      <c r="AN236" s="2199">
        <v>2</v>
      </c>
      <c r="AO236" s="2199">
        <v>0</v>
      </c>
      <c r="AP236" s="2199">
        <v>1</v>
      </c>
      <c r="AQ236" s="2199"/>
      <c r="AR236" s="2199"/>
      <c r="AS236" s="2199"/>
      <c r="AT236" s="2199" t="s">
        <v>599</v>
      </c>
      <c r="AU236" s="2199"/>
      <c r="AV236" s="2199" t="s">
        <v>159</v>
      </c>
      <c r="AW236" s="2199">
        <v>1.49</v>
      </c>
      <c r="AX236" s="2199">
        <v>1.8699999999999999E-4</v>
      </c>
      <c r="AY236" s="2199">
        <v>0.217</v>
      </c>
      <c r="AZ236" s="2203">
        <v>2.652E-4</v>
      </c>
      <c r="BA236" s="2199">
        <v>64.8</v>
      </c>
      <c r="BB236" s="2199">
        <v>7.8146999999999994E-2</v>
      </c>
      <c r="BC236" s="2199">
        <v>1.44E-4</v>
      </c>
      <c r="BD236" s="2199">
        <v>9.8757000000000001</v>
      </c>
      <c r="BE236" s="2199">
        <v>3163.58</v>
      </c>
      <c r="BF236" s="2199">
        <v>43.4</v>
      </c>
      <c r="BG236" s="4"/>
      <c r="BH236" s="4"/>
      <c r="BI236" s="4"/>
      <c r="BJ236" s="4"/>
      <c r="BK236" s="4"/>
      <c r="BL236" s="4"/>
      <c r="BM236" s="4"/>
      <c r="BN236" s="4"/>
      <c r="BO236" s="4"/>
      <c r="BP236" s="4"/>
      <c r="BQ236" s="19"/>
      <c r="BR236" s="19"/>
      <c r="BS236" s="19"/>
      <c r="BT236" s="19"/>
      <c r="BU236" s="19"/>
      <c r="BV236" s="19"/>
      <c r="BW236" s="19"/>
      <c r="BX236" s="19"/>
      <c r="BY236" s="1641"/>
      <c r="BZ236" s="19"/>
      <c r="CA236" s="19"/>
      <c r="CB236" s="19"/>
      <c r="CC236" s="19"/>
      <c r="CD236" s="19"/>
      <c r="CE236" s="19"/>
      <c r="CF236" s="19"/>
      <c r="CG236" s="19"/>
      <c r="CH236" s="19"/>
      <c r="CI236" s="19"/>
      <c r="CJ236" s="19"/>
      <c r="CK236" s="19"/>
      <c r="CM236" s="19"/>
      <c r="CN236" s="19"/>
      <c r="CO236" s="19"/>
      <c r="CP236"/>
    </row>
    <row r="237" spans="1:94" x14ac:dyDescent="0.25">
      <c r="A237" s="2200" t="s">
        <v>4444</v>
      </c>
      <c r="B237" s="2199" t="s">
        <v>4445</v>
      </c>
      <c r="C237" s="4" t="s">
        <v>842</v>
      </c>
      <c r="D237" s="4">
        <v>1</v>
      </c>
      <c r="E237" s="2199"/>
      <c r="F237" s="2200" t="s">
        <v>4444</v>
      </c>
      <c r="G237" s="2199"/>
      <c r="H237" s="2199"/>
      <c r="I237" s="2199"/>
      <c r="J237" s="2199"/>
      <c r="K237" s="2199"/>
      <c r="L237" s="2199"/>
      <c r="M237" s="2199"/>
      <c r="N237" s="2199"/>
      <c r="O237" s="2199"/>
      <c r="P237" s="2199"/>
      <c r="Q237" s="2199"/>
      <c r="R237" s="2199"/>
      <c r="S237" s="2199"/>
      <c r="T237" s="2187">
        <v>147.43</v>
      </c>
      <c r="U237" s="2187">
        <v>1.4999999999999999E-2</v>
      </c>
      <c r="V237" s="2187">
        <v>165</v>
      </c>
      <c r="W237" s="2187">
        <v>1000</v>
      </c>
      <c r="X237" s="2187" t="s">
        <v>4459</v>
      </c>
      <c r="Y237" s="2567"/>
      <c r="Z237" s="2187"/>
      <c r="AA237" s="2187"/>
      <c r="AB237" s="2187"/>
      <c r="AC237" s="2187">
        <v>156.1</v>
      </c>
      <c r="AD237" s="2187">
        <v>-14.7</v>
      </c>
      <c r="AE237" s="2187"/>
      <c r="AF237" s="2187"/>
      <c r="AG237" s="2187"/>
      <c r="AH237" s="2187"/>
      <c r="AI237" s="2187"/>
      <c r="AJ237" s="2187">
        <v>71</v>
      </c>
      <c r="AK237" s="2187">
        <v>3.2</v>
      </c>
      <c r="AL237" s="2187">
        <v>12.6</v>
      </c>
      <c r="AM237" s="2187">
        <v>304</v>
      </c>
      <c r="AN237" s="2187">
        <v>2</v>
      </c>
      <c r="AO237" s="2187">
        <v>2</v>
      </c>
      <c r="AP237" s="2187">
        <v>0</v>
      </c>
      <c r="AQ237" s="2187"/>
      <c r="AR237" s="2187"/>
      <c r="AS237" s="2199"/>
      <c r="AT237" s="2199"/>
      <c r="AU237" s="2199"/>
      <c r="AV237" s="2199"/>
      <c r="AW237" s="2199">
        <v>1.42</v>
      </c>
      <c r="AX237" s="2199">
        <v>1.555E-3</v>
      </c>
      <c r="AY237" s="2199">
        <v>0.31900000000000001</v>
      </c>
      <c r="AZ237" s="2199">
        <v>7.4999999999999993E-5</v>
      </c>
      <c r="BA237" s="2199">
        <v>81.3</v>
      </c>
      <c r="BB237" s="2199">
        <v>0.13100000000000001</v>
      </c>
      <c r="BC237" s="2199">
        <v>0</v>
      </c>
      <c r="BD237" s="2199">
        <v>9.3642000000000003</v>
      </c>
      <c r="BE237" s="2199">
        <v>3335.49</v>
      </c>
      <c r="BF237" s="2199">
        <v>73.42</v>
      </c>
      <c r="BG237" s="4"/>
      <c r="BH237" s="4"/>
      <c r="BI237" s="4"/>
      <c r="BJ237" s="4"/>
      <c r="BK237" s="4"/>
      <c r="BL237" s="4"/>
      <c r="BM237" s="4"/>
      <c r="BN237" s="4"/>
      <c r="BO237" s="4"/>
      <c r="BP237" s="4"/>
      <c r="BQ237" s="19"/>
      <c r="BR237" s="19"/>
      <c r="BS237" s="19"/>
      <c r="BT237" s="19"/>
      <c r="BU237" s="19"/>
      <c r="BV237" s="19"/>
      <c r="BW237" s="19"/>
      <c r="BX237" s="19"/>
      <c r="BY237" s="1641"/>
      <c r="BZ237" s="19"/>
      <c r="CA237" s="19"/>
      <c r="CB237" s="19"/>
      <c r="CC237" s="19"/>
      <c r="CD237" s="19"/>
      <c r="CE237" s="19"/>
      <c r="CF237" s="19"/>
      <c r="CG237" s="19"/>
      <c r="CH237" s="19"/>
      <c r="CI237" s="19"/>
      <c r="CJ237" s="19"/>
      <c r="CK237" s="19"/>
      <c r="CM237" s="19"/>
      <c r="CN237" s="19"/>
      <c r="CO237" s="19"/>
      <c r="CP237"/>
    </row>
    <row r="238" spans="1:94" x14ac:dyDescent="0.25">
      <c r="A238" s="2200" t="s">
        <v>4446</v>
      </c>
      <c r="B238" s="2199" t="s">
        <v>4447</v>
      </c>
      <c r="C238" s="4" t="s">
        <v>842</v>
      </c>
      <c r="D238" s="4">
        <v>1</v>
      </c>
      <c r="E238" s="2199"/>
      <c r="F238" s="2200" t="s">
        <v>4446</v>
      </c>
      <c r="G238" s="2199"/>
      <c r="H238" s="2199"/>
      <c r="I238" s="2199"/>
      <c r="J238" s="2199"/>
      <c r="K238" s="2199"/>
      <c r="L238" s="2199"/>
      <c r="M238" s="2199"/>
      <c r="N238" s="2199"/>
      <c r="O238" s="2199"/>
      <c r="P238" s="2199"/>
      <c r="Q238" s="2199"/>
      <c r="R238" s="2199"/>
      <c r="S238" s="2199"/>
      <c r="T238" s="2187">
        <v>149.19</v>
      </c>
      <c r="U238" s="2187">
        <v>2.5</v>
      </c>
      <c r="V238" s="2187">
        <v>39</v>
      </c>
      <c r="W238" s="2187">
        <v>245</v>
      </c>
      <c r="X238" s="2187" t="s">
        <v>4459</v>
      </c>
      <c r="Y238" s="2567"/>
      <c r="Z238" s="2187"/>
      <c r="AA238" s="2187"/>
      <c r="AB238" s="2187"/>
      <c r="AC238" s="2187">
        <v>336</v>
      </c>
      <c r="AD238" s="2187">
        <v>21.6</v>
      </c>
      <c r="AE238" s="2187"/>
      <c r="AF238" s="2187"/>
      <c r="AG238" s="2187"/>
      <c r="AH238" s="2187"/>
      <c r="AI238" s="2187"/>
      <c r="AJ238" s="2187">
        <v>179</v>
      </c>
      <c r="AK238" s="2187">
        <v>1.2</v>
      </c>
      <c r="AL238" s="2187"/>
      <c r="AM238" s="2187"/>
      <c r="AN238" s="2187">
        <v>2</v>
      </c>
      <c r="AO238" s="2187">
        <v>1</v>
      </c>
      <c r="AP238" s="2187">
        <v>0</v>
      </c>
      <c r="AQ238" s="2187" t="s">
        <v>139</v>
      </c>
      <c r="AR238" s="2187" t="s">
        <v>138</v>
      </c>
      <c r="AS238" s="2199"/>
      <c r="AT238" s="2199"/>
      <c r="AU238" s="2199"/>
      <c r="AV238" s="2199"/>
      <c r="AW238" s="2199">
        <v>1.161</v>
      </c>
      <c r="AX238" s="2199">
        <v>7.4799999999999997E-4</v>
      </c>
      <c r="AY238" s="2199">
        <v>0.49099999999999999</v>
      </c>
      <c r="AZ238" s="2199">
        <v>7.8720000000000005E-4</v>
      </c>
      <c r="BA238" s="2199">
        <v>168.4</v>
      </c>
      <c r="BB238" s="2199">
        <v>0.115188</v>
      </c>
      <c r="BC238" s="2199">
        <v>1.47E-4</v>
      </c>
      <c r="BD238" s="2199">
        <v>12.8216</v>
      </c>
      <c r="BE238" s="2199">
        <v>6654.53</v>
      </c>
      <c r="BF238" s="2199">
        <v>90.89</v>
      </c>
      <c r="BG238" s="4"/>
      <c r="BH238" s="4"/>
      <c r="BI238" s="4"/>
      <c r="BJ238" s="4"/>
      <c r="BK238" s="4"/>
      <c r="BL238" s="4"/>
      <c r="BM238" s="4"/>
      <c r="BN238" s="4"/>
      <c r="BO238" s="4"/>
      <c r="BP238" s="4"/>
      <c r="BQ238" s="19"/>
      <c r="BR238" s="19"/>
      <c r="BS238" s="19"/>
      <c r="BT238" s="19"/>
      <c r="BU238" s="19"/>
      <c r="BV238" s="19"/>
      <c r="BW238" s="19"/>
      <c r="BX238" s="19"/>
      <c r="BY238" s="1641"/>
      <c r="BZ238" s="19"/>
      <c r="CA238" s="19"/>
      <c r="CB238" s="19"/>
      <c r="CC238" s="19"/>
      <c r="CD238" s="19"/>
      <c r="CE238" s="19"/>
      <c r="CF238" s="19"/>
      <c r="CG238" s="19"/>
      <c r="CH238" s="19"/>
      <c r="CI238" s="19"/>
      <c r="CJ238" s="19"/>
      <c r="CK238" s="19"/>
      <c r="CM238" s="19"/>
      <c r="CN238" s="19"/>
      <c r="CO238" s="19"/>
      <c r="CP238"/>
    </row>
    <row r="239" spans="1:94" x14ac:dyDescent="0.25">
      <c r="A239" s="2200" t="s">
        <v>4448</v>
      </c>
      <c r="B239" s="2199" t="s">
        <v>4449</v>
      </c>
      <c r="C239" s="4" t="s">
        <v>842</v>
      </c>
      <c r="D239" s="4">
        <v>1</v>
      </c>
      <c r="E239" s="2199"/>
      <c r="F239" s="2200" t="s">
        <v>4448</v>
      </c>
      <c r="G239" s="2199"/>
      <c r="H239" s="2199"/>
      <c r="I239" s="2199"/>
      <c r="J239" s="2199"/>
      <c r="K239" s="2199"/>
      <c r="L239" s="2199"/>
      <c r="M239" s="2199"/>
      <c r="N239" s="2199"/>
      <c r="O239" s="2199"/>
      <c r="P239" s="2199"/>
      <c r="Q239" s="2199"/>
      <c r="R239" s="2199"/>
      <c r="S239" s="2199"/>
      <c r="T239" s="2187">
        <v>114.17</v>
      </c>
      <c r="U239" s="2187">
        <v>5.3</v>
      </c>
      <c r="V239" s="2187">
        <v>60</v>
      </c>
      <c r="W239" s="2187">
        <v>360</v>
      </c>
      <c r="X239" s="2187" t="s">
        <v>4459</v>
      </c>
      <c r="Y239" s="2567"/>
      <c r="Z239" s="2187"/>
      <c r="AA239" s="2187"/>
      <c r="AB239" s="2187"/>
      <c r="AC239" s="2187">
        <v>191.8</v>
      </c>
      <c r="AD239" s="2187">
        <v>-45.5</v>
      </c>
      <c r="AE239" s="2187"/>
      <c r="AF239" s="2187"/>
      <c r="AG239" s="2187"/>
      <c r="AH239" s="2187"/>
      <c r="AI239" s="2187"/>
      <c r="AJ239" s="2187"/>
      <c r="AK239" s="2187">
        <v>0.5</v>
      </c>
      <c r="AL239" s="2187"/>
      <c r="AM239" s="2187"/>
      <c r="AN239" s="2187">
        <v>3</v>
      </c>
      <c r="AO239" s="2187">
        <v>4</v>
      </c>
      <c r="AP239" s="2187">
        <v>3</v>
      </c>
      <c r="AQ239" s="2187" t="s">
        <v>137</v>
      </c>
      <c r="AR239" s="2187" t="s">
        <v>137</v>
      </c>
      <c r="AS239" s="2199"/>
      <c r="AT239" s="2199"/>
      <c r="AU239" s="2199"/>
      <c r="AV239" s="2199" t="s">
        <v>160</v>
      </c>
      <c r="AW239" s="2199">
        <v>0.85199999999999998</v>
      </c>
      <c r="AX239" s="2199">
        <v>7.2999999999999996E-4</v>
      </c>
      <c r="AY239" s="2199">
        <v>0.51</v>
      </c>
      <c r="AZ239" s="2199">
        <v>1.4499999999999999E-3</v>
      </c>
      <c r="BA239" s="2199">
        <v>180.2</v>
      </c>
      <c r="BB239" s="2199">
        <v>0.18729999999999999</v>
      </c>
      <c r="BC239" s="2199">
        <v>3.3399999999999999E-4</v>
      </c>
      <c r="BD239" s="2199">
        <v>15.526</v>
      </c>
      <c r="BE239" s="2199">
        <v>6829.24</v>
      </c>
      <c r="BF239" s="2199">
        <v>25.06</v>
      </c>
      <c r="BG239" s="4"/>
      <c r="BH239" s="4"/>
      <c r="BI239" s="4"/>
      <c r="BJ239" s="4"/>
      <c r="BK239" s="4"/>
      <c r="BL239" s="4"/>
      <c r="BM239" s="4"/>
      <c r="BN239" s="4"/>
      <c r="BO239" s="4"/>
      <c r="BP239" s="4"/>
      <c r="BQ239" s="19"/>
      <c r="BR239" s="19"/>
      <c r="BS239" s="19"/>
      <c r="BT239" s="19"/>
      <c r="BU239" s="19"/>
      <c r="BV239" s="19"/>
      <c r="BW239" s="19"/>
      <c r="BX239" s="19"/>
      <c r="BY239" s="1641"/>
      <c r="BZ239" s="19"/>
      <c r="CA239" s="19"/>
      <c r="CB239" s="19"/>
      <c r="CC239" s="19"/>
      <c r="CD239" s="19"/>
      <c r="CE239" s="19"/>
      <c r="CF239" s="19"/>
      <c r="CG239" s="19"/>
      <c r="CH239" s="19"/>
      <c r="CI239" s="19"/>
      <c r="CJ239" s="19"/>
      <c r="CK239" s="19"/>
      <c r="CM239" s="19"/>
      <c r="CN239" s="19"/>
      <c r="CO239" s="19"/>
      <c r="CP239"/>
    </row>
    <row r="240" spans="1:94" x14ac:dyDescent="0.25">
      <c r="A240" s="2200" t="s">
        <v>4450</v>
      </c>
      <c r="B240" s="2199" t="s">
        <v>4451</v>
      </c>
      <c r="C240" s="4" t="s">
        <v>842</v>
      </c>
      <c r="D240" s="4">
        <v>1</v>
      </c>
      <c r="E240" s="2199"/>
      <c r="F240" s="2200" t="s">
        <v>4450</v>
      </c>
      <c r="G240" s="2199"/>
      <c r="H240" s="2199"/>
      <c r="I240" s="2199"/>
      <c r="J240" s="2199"/>
      <c r="K240" s="2199"/>
      <c r="L240" s="2199"/>
      <c r="M240" s="2199"/>
      <c r="N240" s="2199"/>
      <c r="O240" s="2199"/>
      <c r="P240" s="2199"/>
      <c r="Q240" s="2199"/>
      <c r="R240" s="2199"/>
      <c r="S240" s="2199"/>
      <c r="T240" s="2187">
        <v>101.19</v>
      </c>
      <c r="U240" s="2187">
        <v>1</v>
      </c>
      <c r="V240" s="2187">
        <v>164</v>
      </c>
      <c r="W240" s="2187">
        <v>1000</v>
      </c>
      <c r="X240" s="2187" t="s">
        <v>4459</v>
      </c>
      <c r="Y240" s="2567"/>
      <c r="Z240" s="2187"/>
      <c r="AA240" s="2187"/>
      <c r="AB240" s="2187"/>
      <c r="AC240" s="2187">
        <v>89</v>
      </c>
      <c r="AD240" s="2187">
        <v>-114.8</v>
      </c>
      <c r="AE240" s="2187"/>
      <c r="AF240" s="2187"/>
      <c r="AG240" s="2187"/>
      <c r="AH240" s="2187"/>
      <c r="AI240" s="2187"/>
      <c r="AJ240" s="2187">
        <v>-12</v>
      </c>
      <c r="AK240" s="2187">
        <v>1.2</v>
      </c>
      <c r="AL240" s="2187"/>
      <c r="AM240" s="2187"/>
      <c r="AN240" s="2187">
        <v>3</v>
      </c>
      <c r="AO240" s="2187">
        <v>3</v>
      </c>
      <c r="AP240" s="2187">
        <v>0</v>
      </c>
      <c r="AQ240" s="2187" t="s">
        <v>139</v>
      </c>
      <c r="AR240" s="2187" t="s">
        <v>138</v>
      </c>
      <c r="AS240" s="2199"/>
      <c r="AT240" s="2199"/>
      <c r="AU240" s="2199"/>
      <c r="AV240" s="2199" t="s">
        <v>160</v>
      </c>
      <c r="AW240" s="2199">
        <v>0.746</v>
      </c>
      <c r="AX240" s="2199">
        <v>9.1E-4</v>
      </c>
      <c r="AY240" s="2199">
        <v>0.46899999999999997</v>
      </c>
      <c r="AZ240" s="2199">
        <v>1.1900000000000001E-3</v>
      </c>
      <c r="BA240" s="2199">
        <v>85.1</v>
      </c>
      <c r="BB240" s="2199">
        <v>0.123</v>
      </c>
      <c r="BC240" s="2199"/>
      <c r="BD240" s="2199">
        <v>11.406000000000001</v>
      </c>
      <c r="BE240" s="2199">
        <v>4122</v>
      </c>
      <c r="BF240" s="2199"/>
      <c r="BG240" s="4"/>
      <c r="BH240" s="4"/>
      <c r="BI240" s="4"/>
      <c r="BJ240" s="4"/>
      <c r="BK240" s="4"/>
      <c r="BL240" s="4"/>
      <c r="BM240" s="4"/>
      <c r="BN240" s="4"/>
      <c r="BO240" s="4"/>
      <c r="BP240" s="4"/>
      <c r="BQ240" s="19"/>
      <c r="BR240" s="19"/>
      <c r="BS240" s="19"/>
      <c r="BT240" s="19"/>
      <c r="BU240" s="19"/>
      <c r="BV240" s="19"/>
      <c r="BW240" s="19"/>
      <c r="BX240" s="19"/>
      <c r="BY240" s="1641"/>
      <c r="BZ240" s="19"/>
      <c r="CA240" s="19"/>
      <c r="CB240" s="19"/>
      <c r="CC240" s="19"/>
      <c r="CD240" s="19"/>
      <c r="CE240" s="19"/>
      <c r="CF240" s="19"/>
      <c r="CG240" s="19"/>
      <c r="CH240" s="19"/>
      <c r="CI240" s="19"/>
      <c r="CJ240" s="19"/>
      <c r="CK240" s="19"/>
      <c r="CM240" s="19"/>
      <c r="CN240" s="19"/>
      <c r="CO240" s="19"/>
      <c r="CP240"/>
    </row>
    <row r="241" spans="1:94" x14ac:dyDescent="0.25">
      <c r="A241" s="2200" t="s">
        <v>4473</v>
      </c>
      <c r="B241" s="2199" t="s">
        <v>4474</v>
      </c>
      <c r="C241" s="4" t="s">
        <v>842</v>
      </c>
      <c r="D241" s="4">
        <v>1</v>
      </c>
      <c r="E241" s="2199"/>
      <c r="F241" s="2200" t="s">
        <v>4452</v>
      </c>
      <c r="G241" s="2199"/>
      <c r="H241" s="2199"/>
      <c r="I241" s="2199"/>
      <c r="J241" s="2199"/>
      <c r="K241" s="2199"/>
      <c r="L241" s="2199"/>
      <c r="M241" s="2199"/>
      <c r="N241" s="2199"/>
      <c r="O241" s="2199"/>
      <c r="P241" s="2199"/>
      <c r="Q241" s="2199"/>
      <c r="R241" s="2199"/>
      <c r="S241" s="2199"/>
      <c r="T241" s="2187">
        <v>162.28</v>
      </c>
      <c r="U241" s="2187">
        <v>3</v>
      </c>
      <c r="V241" s="2187">
        <v>33</v>
      </c>
      <c r="W241" s="2187">
        <v>195</v>
      </c>
      <c r="X241" s="2187" t="s">
        <v>4459</v>
      </c>
      <c r="Y241" s="2567"/>
      <c r="Z241" s="2187"/>
      <c r="AA241" s="2187"/>
      <c r="AB241" s="2187"/>
      <c r="AC241" s="2187">
        <v>218.4</v>
      </c>
      <c r="AD241" s="2187"/>
      <c r="AE241" s="2187"/>
      <c r="AF241" s="2187"/>
      <c r="AG241" s="2187"/>
      <c r="AH241" s="2187"/>
      <c r="AI241" s="2187"/>
      <c r="AJ241" s="2187">
        <v>83</v>
      </c>
      <c r="AK241" s="2187">
        <v>1</v>
      </c>
      <c r="AL241" s="2187">
        <v>5.6</v>
      </c>
      <c r="AM241" s="2187"/>
      <c r="AN241" s="2187">
        <v>0</v>
      </c>
      <c r="AO241" s="2187">
        <v>2</v>
      </c>
      <c r="AP241" s="2187">
        <v>0</v>
      </c>
      <c r="AQ241" s="2187"/>
      <c r="AR241" s="2187"/>
      <c r="AS241" s="2199"/>
      <c r="AT241" s="2199"/>
      <c r="AU241" s="2199"/>
      <c r="AV241" s="2199"/>
      <c r="AW241" s="2199">
        <v>0.89</v>
      </c>
      <c r="AX241" s="2199">
        <v>7.7999999999999999E-4</v>
      </c>
      <c r="AY241" s="2199">
        <v>0.39600000000000002</v>
      </c>
      <c r="AZ241" s="2199">
        <v>1.0200000000000001E-3</v>
      </c>
      <c r="BA241" s="2199">
        <v>90.3</v>
      </c>
      <c r="BB241" s="2199">
        <v>8.1000000000000003E-2</v>
      </c>
      <c r="BC241" s="2199">
        <v>1E-4</v>
      </c>
      <c r="BD241" s="2199">
        <v>10.638999999999999</v>
      </c>
      <c r="BE241" s="2199">
        <v>4781.9399999999996</v>
      </c>
      <c r="BF241" s="2199">
        <v>42.29</v>
      </c>
      <c r="BG241" s="4"/>
      <c r="BH241" s="4"/>
      <c r="BI241" s="4"/>
      <c r="BJ241" s="4"/>
      <c r="BK241" s="4"/>
      <c r="BL241" s="4"/>
      <c r="BM241" s="4"/>
      <c r="BN241" s="4"/>
      <c r="BO241" s="4"/>
      <c r="BP241" s="4"/>
      <c r="BQ241" s="19"/>
      <c r="BR241" s="19"/>
      <c r="BS241" s="19"/>
      <c r="BT241" s="19"/>
      <c r="BU241" s="19"/>
      <c r="BV241" s="19"/>
      <c r="BW241" s="19"/>
      <c r="BX241" s="19"/>
      <c r="BY241" s="1641"/>
      <c r="BZ241" s="19"/>
      <c r="CA241" s="19"/>
      <c r="CB241" s="19"/>
      <c r="CC241" s="19"/>
      <c r="CD241" s="19"/>
      <c r="CE241" s="19"/>
      <c r="CF241" s="19"/>
      <c r="CG241" s="19"/>
      <c r="CH241" s="19"/>
      <c r="CI241" s="19"/>
      <c r="CJ241" s="19"/>
      <c r="CK241" s="19"/>
      <c r="CM241" s="19"/>
      <c r="CN241" s="19"/>
      <c r="CO241" s="19"/>
      <c r="CP241"/>
    </row>
    <row r="242" spans="1:94" x14ac:dyDescent="0.25">
      <c r="A242" s="2200" t="s">
        <v>4453</v>
      </c>
      <c r="B242" s="2199" t="s">
        <v>4454</v>
      </c>
      <c r="C242" s="4" t="s">
        <v>842</v>
      </c>
      <c r="D242" s="4">
        <v>1</v>
      </c>
      <c r="E242" s="2199"/>
      <c r="F242" s="2200" t="s">
        <v>4453</v>
      </c>
      <c r="G242" s="2199"/>
      <c r="H242" s="2199"/>
      <c r="I242" s="2199"/>
      <c r="J242" s="2199"/>
      <c r="K242" s="2199"/>
      <c r="L242" s="2199"/>
      <c r="M242" s="2199"/>
      <c r="N242" s="2199"/>
      <c r="O242" s="2199"/>
      <c r="P242" s="2199"/>
      <c r="Q242" s="2199"/>
      <c r="R242" s="2199"/>
      <c r="S242" s="2199"/>
      <c r="T242" s="2187">
        <v>146.24</v>
      </c>
      <c r="U242" s="2187">
        <v>3</v>
      </c>
      <c r="V242" s="2187">
        <v>14</v>
      </c>
      <c r="W242" s="2187">
        <v>83</v>
      </c>
      <c r="X242" s="2187" t="s">
        <v>4459</v>
      </c>
      <c r="Y242" s="2567"/>
      <c r="Z242" s="2187"/>
      <c r="AA242" s="2187"/>
      <c r="AB242" s="2187"/>
      <c r="AC242" s="2187">
        <v>276</v>
      </c>
      <c r="AD242" s="2187">
        <v>-35.15</v>
      </c>
      <c r="AE242" s="2187"/>
      <c r="AF242" s="2187"/>
      <c r="AG242" s="2187"/>
      <c r="AH242" s="2187"/>
      <c r="AI242" s="2187"/>
      <c r="AJ242" s="2187">
        <v>135</v>
      </c>
      <c r="AK242" s="2187"/>
      <c r="AL242" s="2187"/>
      <c r="AM242" s="2187"/>
      <c r="AN242" s="2187">
        <v>3</v>
      </c>
      <c r="AO242" s="2187">
        <v>1</v>
      </c>
      <c r="AP242" s="2187">
        <v>0</v>
      </c>
      <c r="AQ242" s="2187"/>
      <c r="AR242" s="2187"/>
      <c r="AS242" s="2199" t="s">
        <v>599</v>
      </c>
      <c r="AT242" s="2199" t="s">
        <v>599</v>
      </c>
      <c r="AU242" s="2199"/>
      <c r="AV242" s="2199" t="s">
        <v>158</v>
      </c>
      <c r="AW242" s="2199">
        <v>0.998</v>
      </c>
      <c r="AX242" s="2199">
        <v>9.2800000000000001E-4</v>
      </c>
      <c r="AY242" s="2199">
        <v>0.46800000000000003</v>
      </c>
      <c r="AZ242" s="2199">
        <v>8.5970000000000003E-4</v>
      </c>
      <c r="BA242" s="2199">
        <v>129.6</v>
      </c>
      <c r="BB242" s="2199">
        <v>0.12919600000000001</v>
      </c>
      <c r="BC242" s="2199">
        <v>7.5900000000000002E-5</v>
      </c>
      <c r="BD242" s="2199">
        <v>10.948700000000001</v>
      </c>
      <c r="BE242" s="2199">
        <v>5168.3999999999996</v>
      </c>
      <c r="BF242" s="2199">
        <v>77.98</v>
      </c>
      <c r="BG242" s="4"/>
      <c r="BH242" s="4"/>
      <c r="BI242" s="4"/>
      <c r="BJ242" s="4"/>
      <c r="BK242" s="4"/>
      <c r="BL242" s="4"/>
      <c r="BM242" s="4"/>
      <c r="BN242" s="4"/>
      <c r="BO242" s="4"/>
      <c r="BP242" s="4"/>
      <c r="BQ242" s="19"/>
      <c r="BR242" s="19"/>
      <c r="BS242" s="19"/>
      <c r="BT242" s="19"/>
      <c r="BU242" s="19"/>
      <c r="BV242" s="19"/>
      <c r="BW242" s="19"/>
      <c r="BX242" s="19"/>
      <c r="BY242" s="1641"/>
      <c r="BZ242" s="19"/>
      <c r="CA242" s="19"/>
      <c r="CB242" s="19"/>
      <c r="CC242" s="19"/>
      <c r="CD242" s="19"/>
      <c r="CE242" s="19"/>
      <c r="CF242" s="19"/>
      <c r="CG242" s="19"/>
      <c r="CH242" s="19"/>
      <c r="CI242" s="19"/>
      <c r="CJ242" s="19"/>
      <c r="CK242" s="19"/>
      <c r="CM242" s="19"/>
      <c r="CN242" s="19"/>
      <c r="CO242" s="19"/>
      <c r="CP242"/>
    </row>
    <row r="243" spans="1:94" x14ac:dyDescent="0.25">
      <c r="A243" s="2200" t="s">
        <v>4123</v>
      </c>
      <c r="B243" s="2201" t="s">
        <v>4124</v>
      </c>
      <c r="C243" s="4" t="s">
        <v>842</v>
      </c>
      <c r="D243" s="4">
        <v>1</v>
      </c>
      <c r="E243" s="2199"/>
      <c r="F243" s="2200" t="s">
        <v>4123</v>
      </c>
      <c r="G243" s="2199"/>
      <c r="H243" s="2199"/>
      <c r="I243" s="2199"/>
      <c r="J243" s="2199"/>
      <c r="K243" s="2199"/>
      <c r="L243" s="2199"/>
      <c r="M243" s="2199"/>
      <c r="N243" s="2199"/>
      <c r="O243" s="2199"/>
      <c r="P243" s="2199"/>
      <c r="Q243" s="2199"/>
      <c r="R243" s="2199"/>
      <c r="S243" s="2199"/>
      <c r="T243" s="2199">
        <v>108.64</v>
      </c>
      <c r="U243" s="2199">
        <v>3</v>
      </c>
      <c r="V243" s="2199">
        <v>20</v>
      </c>
      <c r="W243" s="2199">
        <v>150</v>
      </c>
      <c r="X243" s="2199" t="s">
        <v>4259</v>
      </c>
      <c r="Y243" s="2559" t="s">
        <v>289</v>
      </c>
      <c r="Z243" s="2202"/>
      <c r="AA243" s="2202"/>
      <c r="AB243" s="2199"/>
      <c r="AC243" s="2199">
        <v>57.73</v>
      </c>
      <c r="AD243" s="2199">
        <v>-55.2</v>
      </c>
      <c r="AE243" s="2199"/>
      <c r="AF243" s="2199"/>
      <c r="AG243" s="2199"/>
      <c r="AH243" s="2199"/>
      <c r="AI243" s="2199"/>
      <c r="AJ243" s="2199">
        <v>-18</v>
      </c>
      <c r="AK243" s="2199">
        <v>2</v>
      </c>
      <c r="AL243" s="2199">
        <v>6.4</v>
      </c>
      <c r="AM243" s="2199">
        <v>395</v>
      </c>
      <c r="AN243" s="2199">
        <v>3</v>
      </c>
      <c r="AO243" s="2199">
        <v>3</v>
      </c>
      <c r="AP243" s="2199">
        <v>0</v>
      </c>
      <c r="AQ243" s="2199"/>
      <c r="AR243" s="2199"/>
      <c r="AS243" s="2199" t="s">
        <v>1514</v>
      </c>
      <c r="AT243" s="2199"/>
      <c r="AU243" s="2199" t="s">
        <v>2809</v>
      </c>
      <c r="AV243" s="2199"/>
      <c r="AW243" s="2199">
        <v>0.89129999999999998</v>
      </c>
      <c r="AX243" s="2199">
        <v>1.5876E-3</v>
      </c>
      <c r="AY243" s="2199">
        <v>0.27343000000000001</v>
      </c>
      <c r="AZ243" s="2203">
        <v>4.3689999999999999E-4</v>
      </c>
      <c r="BA243" s="2199">
        <v>68.904600000000002</v>
      </c>
      <c r="BB243" s="2199">
        <v>0.10298</v>
      </c>
      <c r="BC243" s="2199">
        <v>3.4769999999999999E-4</v>
      </c>
      <c r="BD243" s="2199">
        <v>9.4422984000000003</v>
      </c>
      <c r="BE243" s="2199">
        <v>2767.078</v>
      </c>
      <c r="BF243" s="2199">
        <v>37.999000000000002</v>
      </c>
      <c r="BG243" s="4"/>
      <c r="BH243" s="4"/>
      <c r="BI243" s="4"/>
      <c r="BJ243" s="4"/>
      <c r="BK243" s="4"/>
      <c r="BL243" s="4"/>
      <c r="BM243" s="4"/>
      <c r="BN243" s="4"/>
      <c r="BO243" s="4"/>
      <c r="BP243" s="4"/>
      <c r="BQ243" s="19"/>
      <c r="BR243" s="19"/>
      <c r="BS243" s="19"/>
      <c r="BT243" s="19"/>
      <c r="BU243" s="19"/>
      <c r="BV243" s="19"/>
      <c r="BW243" s="19"/>
      <c r="BX243" s="19"/>
      <c r="BY243" s="1641"/>
      <c r="BZ243" s="19"/>
      <c r="CA243" s="19"/>
      <c r="CB243" s="19"/>
      <c r="CC243" s="19"/>
      <c r="CD243" s="19"/>
      <c r="CE243" s="19"/>
      <c r="CF243" s="19"/>
      <c r="CG243" s="19"/>
      <c r="CH243" s="19"/>
      <c r="CI243" s="19"/>
      <c r="CJ243" s="19"/>
      <c r="CK243" s="19"/>
      <c r="CM243" s="19"/>
      <c r="CN243" s="19"/>
      <c r="CO243" s="19"/>
      <c r="CP243"/>
    </row>
    <row r="244" spans="1:94" x14ac:dyDescent="0.25">
      <c r="A244" s="2200" t="s">
        <v>1379</v>
      </c>
      <c r="B244" s="2201" t="s">
        <v>246</v>
      </c>
      <c r="C244" s="4" t="s">
        <v>842</v>
      </c>
      <c r="D244" s="4">
        <v>1</v>
      </c>
      <c r="E244" s="2199"/>
      <c r="F244" s="2200" t="s">
        <v>1379</v>
      </c>
      <c r="G244" s="2199"/>
      <c r="H244" s="2199"/>
      <c r="I244" s="2199"/>
      <c r="J244" s="2199"/>
      <c r="K244" s="2199"/>
      <c r="L244" s="2199"/>
      <c r="M244" s="2199"/>
      <c r="N244" s="2199"/>
      <c r="O244" s="2199"/>
      <c r="P244" s="2199"/>
      <c r="Q244" s="2199"/>
      <c r="R244" s="2199"/>
      <c r="S244" s="2199"/>
      <c r="T244" s="2199">
        <v>59.1</v>
      </c>
      <c r="U244" s="2199">
        <v>0.1</v>
      </c>
      <c r="V244" s="2199">
        <v>100</v>
      </c>
      <c r="W244" s="2199">
        <v>500</v>
      </c>
      <c r="X244" s="2199" t="s">
        <v>4259</v>
      </c>
      <c r="Y244" s="2559"/>
      <c r="Z244" s="2202"/>
      <c r="AA244" s="2202"/>
      <c r="AB244" s="2199"/>
      <c r="AC244" s="2199">
        <v>2.7</v>
      </c>
      <c r="AD244" s="2199">
        <v>-117</v>
      </c>
      <c r="AE244" s="2199"/>
      <c r="AF244" s="2199"/>
      <c r="AG244" s="2199"/>
      <c r="AH244" s="2199"/>
      <c r="AI244" s="2199"/>
      <c r="AJ244" s="2199">
        <v>-71</v>
      </c>
      <c r="AK244" s="2199">
        <v>2</v>
      </c>
      <c r="AL244" s="2199"/>
      <c r="AM244" s="2199"/>
      <c r="AN244" s="2199">
        <v>3</v>
      </c>
      <c r="AO244" s="2199">
        <v>4</v>
      </c>
      <c r="AP244" s="2199">
        <v>0</v>
      </c>
      <c r="AQ244" s="2199" t="s">
        <v>139</v>
      </c>
      <c r="AR244" s="2199" t="s">
        <v>138</v>
      </c>
      <c r="AS244" s="2199"/>
      <c r="AT244" s="2199"/>
      <c r="AU244" s="2199"/>
      <c r="AV244" s="2199" t="s">
        <v>158</v>
      </c>
      <c r="AW244" s="2199">
        <v>0.65600000000000003</v>
      </c>
      <c r="AX244" s="2199">
        <v>1.25E-3</v>
      </c>
      <c r="AY244" s="2199">
        <v>0.52700000000000002</v>
      </c>
      <c r="AZ244" s="2203">
        <v>1.0399999999999999E-3</v>
      </c>
      <c r="BA244" s="2199">
        <v>93.8</v>
      </c>
      <c r="BB244" s="2199">
        <v>0.21879999999999999</v>
      </c>
      <c r="BC244" s="2199">
        <v>4.06E-4</v>
      </c>
      <c r="BD244" s="2199">
        <v>8.9728999999999992</v>
      </c>
      <c r="BE244" s="2199">
        <v>2102.5300000000002</v>
      </c>
      <c r="BF244" s="2199">
        <v>41.42</v>
      </c>
      <c r="BG244" s="4"/>
      <c r="BH244" s="4"/>
      <c r="BI244" s="4"/>
      <c r="BJ244" s="4"/>
      <c r="BK244" s="4"/>
      <c r="BL244" s="4"/>
      <c r="BM244" s="4"/>
      <c r="BN244" s="4"/>
      <c r="BO244" s="4"/>
      <c r="BP244" s="4"/>
      <c r="BQ244" s="19"/>
      <c r="BR244" s="19"/>
      <c r="BS244" s="19"/>
      <c r="BT244" s="19"/>
      <c r="BU244" s="19"/>
      <c r="BV244" s="19"/>
      <c r="BW244" s="19"/>
      <c r="BX244" s="19"/>
      <c r="BY244" s="1641"/>
      <c r="BZ244" s="19"/>
      <c r="CA244" s="19"/>
      <c r="CB244" s="19"/>
      <c r="CC244" s="19"/>
      <c r="CD244" s="19"/>
      <c r="CE244" s="19"/>
      <c r="CF244" s="19"/>
      <c r="CG244" s="19"/>
      <c r="CH244" s="19"/>
      <c r="CI244" s="19"/>
      <c r="CJ244" s="19"/>
      <c r="CK244" s="19"/>
      <c r="CM244" s="19"/>
      <c r="CN244" s="19"/>
      <c r="CO244" s="19"/>
      <c r="CP244"/>
    </row>
    <row r="245" spans="1:94" x14ac:dyDescent="0.25">
      <c r="A245" s="2200" t="s">
        <v>4455</v>
      </c>
      <c r="B245" s="2199" t="s">
        <v>4456</v>
      </c>
      <c r="C245" s="4" t="s">
        <v>842</v>
      </c>
      <c r="D245" s="4">
        <v>1</v>
      </c>
      <c r="E245" s="2199"/>
      <c r="F245" s="2200" t="s">
        <v>4455</v>
      </c>
      <c r="G245" s="2199"/>
      <c r="H245" s="2199"/>
      <c r="I245" s="2199"/>
      <c r="J245" s="2199"/>
      <c r="K245" s="2199"/>
      <c r="L245" s="2199"/>
      <c r="M245" s="2199"/>
      <c r="N245" s="2199"/>
      <c r="O245" s="2199"/>
      <c r="P245" s="2199"/>
      <c r="Q245" s="2199"/>
      <c r="R245" s="2199"/>
      <c r="S245" s="2199"/>
      <c r="T245" s="2187">
        <v>192.3</v>
      </c>
      <c r="U245" s="2187">
        <v>1.1000000000000001</v>
      </c>
      <c r="V245" s="2187">
        <v>13</v>
      </c>
      <c r="W245" s="2187">
        <v>75</v>
      </c>
      <c r="X245" s="2187" t="s">
        <v>4459</v>
      </c>
      <c r="Y245" s="2567"/>
      <c r="Z245" s="2187"/>
      <c r="AA245" s="2187"/>
      <c r="AB245" s="2187"/>
      <c r="AC245" s="2187">
        <v>265.10000000000002</v>
      </c>
      <c r="AD245" s="2187"/>
      <c r="AE245" s="2187"/>
      <c r="AF245" s="2187"/>
      <c r="AG245" s="2187"/>
      <c r="AH245" s="2187"/>
      <c r="AI245" s="2187"/>
      <c r="AJ245" s="2187">
        <v>141</v>
      </c>
      <c r="AK245" s="2187"/>
      <c r="AL245" s="2187"/>
      <c r="AM245" s="2187"/>
      <c r="AN245" s="2187">
        <v>1</v>
      </c>
      <c r="AO245" s="2187">
        <v>1</v>
      </c>
      <c r="AP245" s="2187">
        <v>0</v>
      </c>
      <c r="AQ245" s="2187" t="s">
        <v>139</v>
      </c>
      <c r="AR245" s="2187" t="s">
        <v>138</v>
      </c>
      <c r="AS245" s="2199"/>
      <c r="AT245" s="2199"/>
      <c r="AU245" s="2199"/>
      <c r="AV245" s="2199"/>
      <c r="AW245" s="2199">
        <v>1.0780000000000001</v>
      </c>
      <c r="AX245" s="2199">
        <v>1.1479999999999999E-3</v>
      </c>
      <c r="AY245" s="2199">
        <v>0.442</v>
      </c>
      <c r="AZ245" s="2199">
        <v>9.6500000000000004E-4</v>
      </c>
      <c r="BA245" s="2199">
        <v>111.3</v>
      </c>
      <c r="BB245" s="2199">
        <v>6.3600000000000004E-2</v>
      </c>
      <c r="BC245" s="2199">
        <v>2.6499999999999999E-4</v>
      </c>
      <c r="BD245" s="2199">
        <v>13.1913</v>
      </c>
      <c r="BE245" s="2199">
        <v>6420.49</v>
      </c>
      <c r="BF245" s="2199">
        <v>51.58</v>
      </c>
      <c r="BG245" s="4"/>
      <c r="BH245" s="4"/>
      <c r="BI245" s="4"/>
      <c r="BJ245" s="4"/>
      <c r="BK245" s="4"/>
      <c r="BL245" s="4"/>
      <c r="BM245" s="4"/>
      <c r="BN245" s="4"/>
      <c r="BO245" s="4"/>
      <c r="BP245" s="4"/>
      <c r="BQ245" s="19"/>
      <c r="BR245" s="19"/>
      <c r="BS245" s="19"/>
      <c r="BT245" s="19"/>
      <c r="BU245" s="19"/>
      <c r="BV245" s="19"/>
      <c r="BW245" s="19"/>
      <c r="BX245" s="19"/>
      <c r="BY245" s="1641"/>
      <c r="BZ245" s="19"/>
      <c r="CA245" s="19"/>
      <c r="CB245" s="19"/>
      <c r="CC245" s="19"/>
      <c r="CD245" s="19"/>
      <c r="CE245" s="19"/>
      <c r="CF245" s="19"/>
      <c r="CG245" s="19"/>
      <c r="CH245" s="19"/>
      <c r="CI245" s="19"/>
      <c r="CJ245" s="19"/>
      <c r="CK245" s="19"/>
      <c r="CM245" s="19"/>
      <c r="CN245" s="19"/>
      <c r="CO245" s="19"/>
      <c r="CP245"/>
    </row>
    <row r="246" spans="1:94" x14ac:dyDescent="0.25">
      <c r="A246" s="2200" t="s">
        <v>1555</v>
      </c>
      <c r="B246" s="2201" t="s">
        <v>1839</v>
      </c>
      <c r="C246" s="4" t="s">
        <v>842</v>
      </c>
      <c r="D246" s="4">
        <v>1</v>
      </c>
      <c r="E246" s="2199"/>
      <c r="F246" s="2200" t="s">
        <v>1555</v>
      </c>
      <c r="G246" s="2199"/>
      <c r="H246" s="2199"/>
      <c r="I246" s="2199"/>
      <c r="J246" s="2199"/>
      <c r="K246" s="2199"/>
      <c r="L246" s="2199"/>
      <c r="M246" s="2199"/>
      <c r="N246" s="2199"/>
      <c r="O246" s="2199"/>
      <c r="P246" s="2199"/>
      <c r="Q246" s="2199"/>
      <c r="R246" s="2199"/>
      <c r="S246" s="2199"/>
      <c r="T246" s="2199">
        <v>86.1</v>
      </c>
      <c r="U246" s="2199">
        <v>5</v>
      </c>
      <c r="V246" s="2199">
        <v>75</v>
      </c>
      <c r="W246" s="2199">
        <v>500</v>
      </c>
      <c r="X246" s="2199" t="s">
        <v>4259</v>
      </c>
      <c r="Y246" s="2559"/>
      <c r="Z246" s="2202"/>
      <c r="AA246" s="2202"/>
      <c r="AB246" s="2213"/>
      <c r="AC246" s="2199">
        <v>72.8</v>
      </c>
      <c r="AD246" s="2199">
        <v>-93.2</v>
      </c>
      <c r="AE246" s="2199"/>
      <c r="AF246" s="2199"/>
      <c r="AG246" s="2199"/>
      <c r="AH246" s="2199"/>
      <c r="AI246" s="2199"/>
      <c r="AJ246" s="2199">
        <v>-8</v>
      </c>
      <c r="AK246" s="2199">
        <v>2.6</v>
      </c>
      <c r="AL246" s="2199"/>
      <c r="AM246" s="2199"/>
      <c r="AN246" s="2199">
        <v>2</v>
      </c>
      <c r="AO246" s="2199">
        <v>3</v>
      </c>
      <c r="AP246" s="2199">
        <v>0</v>
      </c>
      <c r="AQ246" s="2199" t="s">
        <v>139</v>
      </c>
      <c r="AR246" s="2199" t="s">
        <v>138</v>
      </c>
      <c r="AS246" s="2199"/>
      <c r="AT246" s="2199"/>
      <c r="AU246" s="2199"/>
      <c r="AV246" s="2199" t="s">
        <v>158</v>
      </c>
      <c r="AW246" s="2199">
        <v>0.96199999999999997</v>
      </c>
      <c r="AX246" s="2199">
        <v>1.531E-3</v>
      </c>
      <c r="AY246" s="2199">
        <v>0.46700000000000003</v>
      </c>
      <c r="AZ246" s="2203">
        <v>3.2600000000000001E-4</v>
      </c>
      <c r="BA246" s="2199">
        <v>101.9</v>
      </c>
      <c r="BB246" s="2199">
        <v>0.19363</v>
      </c>
      <c r="BC246" s="2199">
        <v>1.37E-4</v>
      </c>
      <c r="BD246" s="2199">
        <v>9.9389000000000003</v>
      </c>
      <c r="BE246" s="2199">
        <v>2965.22</v>
      </c>
      <c r="BF246" s="2199">
        <v>47.73</v>
      </c>
      <c r="BG246" s="4"/>
      <c r="BH246" s="4"/>
      <c r="BI246" s="4"/>
      <c r="BJ246" s="4"/>
      <c r="BK246" s="4"/>
      <c r="BL246" s="4"/>
      <c r="BM246" s="4"/>
      <c r="BN246" s="4"/>
      <c r="BO246" s="4"/>
      <c r="BP246" s="4"/>
      <c r="BQ246" s="19"/>
      <c r="BR246" s="19"/>
      <c r="BS246" s="19"/>
      <c r="BT246" s="19"/>
      <c r="BU246" s="19"/>
      <c r="BV246" s="19"/>
      <c r="BW246" s="19"/>
      <c r="BX246" s="19"/>
      <c r="BY246" s="1641"/>
      <c r="BZ246" s="19"/>
      <c r="CA246" s="19"/>
      <c r="CB246" s="19"/>
      <c r="CC246" s="19"/>
      <c r="CD246" s="19"/>
      <c r="CE246" s="19"/>
      <c r="CF246" s="19"/>
      <c r="CG246" s="19"/>
      <c r="CH246" s="19"/>
      <c r="CI246" s="19"/>
      <c r="CJ246" s="19"/>
      <c r="CK246" s="19"/>
      <c r="CM246" s="19"/>
      <c r="CN246" s="19"/>
      <c r="CO246" s="19"/>
      <c r="CP246"/>
    </row>
    <row r="247" spans="1:94" ht="12.75" customHeight="1" x14ac:dyDescent="0.25">
      <c r="A247" s="189" t="s">
        <v>639</v>
      </c>
      <c r="B247" s="188" t="s">
        <v>1840</v>
      </c>
      <c r="C247" s="4" t="s">
        <v>842</v>
      </c>
      <c r="D247" s="4">
        <v>1</v>
      </c>
      <c r="E247" s="1199"/>
      <c r="F247" s="189" t="s">
        <v>639</v>
      </c>
      <c r="G247" s="421"/>
      <c r="H247" s="421"/>
      <c r="I247" s="421"/>
      <c r="J247" s="421"/>
      <c r="K247" s="421"/>
      <c r="L247" s="421"/>
      <c r="M247" s="421"/>
      <c r="N247" s="421"/>
      <c r="O247" s="421"/>
      <c r="P247" s="421"/>
      <c r="Q247" s="421"/>
      <c r="R247" s="421"/>
      <c r="S247" s="421"/>
      <c r="T247" s="4">
        <v>62.5</v>
      </c>
      <c r="U247" s="4">
        <v>500</v>
      </c>
      <c r="V247" s="4">
        <v>5000</v>
      </c>
      <c r="W247" s="4">
        <v>20000</v>
      </c>
      <c r="X247" s="2199" t="s">
        <v>4259</v>
      </c>
      <c r="Y247" s="2559"/>
      <c r="Z247" s="2080"/>
      <c r="AA247" s="2080"/>
      <c r="AB247" s="2063"/>
      <c r="AC247" s="4">
        <v>-13.8</v>
      </c>
      <c r="AD247" s="4">
        <v>-153.69999999999999</v>
      </c>
      <c r="AE247" s="4"/>
      <c r="AF247" s="4"/>
      <c r="AG247" s="4"/>
      <c r="AH247" s="4"/>
      <c r="AI247" s="4"/>
      <c r="AJ247" s="4">
        <v>-77.2</v>
      </c>
      <c r="AK247" s="4">
        <v>3.6</v>
      </c>
      <c r="AL247" s="4"/>
      <c r="AM247" s="4"/>
      <c r="AN247" s="4">
        <v>2</v>
      </c>
      <c r="AO247" s="4">
        <v>4</v>
      </c>
      <c r="AP247" s="4">
        <v>2</v>
      </c>
      <c r="AQ247" s="4" t="s">
        <v>139</v>
      </c>
      <c r="AR247" s="4" t="s">
        <v>138</v>
      </c>
      <c r="AS247" s="4"/>
      <c r="AT247" s="4"/>
      <c r="AU247" s="1051"/>
      <c r="AV247" s="4"/>
      <c r="AW247" s="4">
        <v>0.93700000000000006</v>
      </c>
      <c r="AX247" s="4">
        <v>1.7049999999999999E-3</v>
      </c>
      <c r="AY247" s="4">
        <v>0.36299999999999999</v>
      </c>
      <c r="AZ247" s="1640">
        <v>5.0940000000000002E-4</v>
      </c>
      <c r="BA247" s="4">
        <v>81.8</v>
      </c>
      <c r="BB247" s="4">
        <v>0.21029999999999999</v>
      </c>
      <c r="BC247" s="4">
        <v>3.6299999999999999E-4</v>
      </c>
      <c r="BD247" s="4">
        <v>9.3853000000000009</v>
      </c>
      <c r="BE247" s="4">
        <v>2146.73</v>
      </c>
      <c r="BF247" s="4">
        <v>30.6</v>
      </c>
      <c r="BG247" s="4"/>
      <c r="BH247" s="4"/>
      <c r="BI247" s="4"/>
      <c r="BJ247" s="4"/>
      <c r="BK247" s="4"/>
      <c r="BL247" s="4"/>
      <c r="BM247" s="4"/>
      <c r="BN247" s="4"/>
      <c r="BO247" s="4"/>
      <c r="BP247" s="4"/>
    </row>
    <row r="248" spans="1:94" ht="12.75" customHeight="1" x14ac:dyDescent="0.25">
      <c r="A248" s="189" t="s">
        <v>640</v>
      </c>
      <c r="B248" s="169" t="s">
        <v>734</v>
      </c>
      <c r="C248" s="4" t="s">
        <v>842</v>
      </c>
      <c r="D248" s="4">
        <v>1</v>
      </c>
      <c r="E248" s="1199"/>
      <c r="F248" s="189" t="s">
        <v>640</v>
      </c>
      <c r="G248" s="421"/>
      <c r="H248" s="421"/>
      <c r="I248" s="421"/>
      <c r="J248" s="421"/>
      <c r="K248" s="421"/>
      <c r="L248" s="421"/>
      <c r="M248" s="421"/>
      <c r="N248" s="421"/>
      <c r="O248" s="421"/>
      <c r="P248" s="421"/>
      <c r="Q248" s="421"/>
      <c r="R248" s="421"/>
      <c r="S248" s="421"/>
      <c r="T248" s="4">
        <v>96.97</v>
      </c>
      <c r="U248" s="4"/>
      <c r="V248" s="4">
        <v>500</v>
      </c>
      <c r="W248" s="4">
        <v>1000</v>
      </c>
      <c r="X248" s="2199" t="s">
        <v>4259</v>
      </c>
      <c r="Y248" s="2559"/>
      <c r="Z248" s="2080"/>
      <c r="AA248" s="2080"/>
      <c r="AB248" s="1596"/>
      <c r="AC248" s="4">
        <v>32</v>
      </c>
      <c r="AD248" s="4"/>
      <c r="AE248" s="4"/>
      <c r="AF248" s="4"/>
      <c r="AG248" s="4"/>
      <c r="AH248" s="4"/>
      <c r="AI248" s="4"/>
      <c r="AJ248" s="4">
        <v>-28</v>
      </c>
      <c r="AK248" s="4">
        <v>6.6</v>
      </c>
      <c r="AL248" s="4"/>
      <c r="AM248" s="4"/>
      <c r="AN248" s="4">
        <v>2</v>
      </c>
      <c r="AO248" s="4">
        <v>4</v>
      </c>
      <c r="AP248" s="4">
        <v>2</v>
      </c>
      <c r="AQ248" s="4" t="s">
        <v>139</v>
      </c>
      <c r="AR248" s="4" t="s">
        <v>138</v>
      </c>
      <c r="AS248" s="4"/>
      <c r="AT248" s="4"/>
      <c r="AU248" s="1051"/>
      <c r="AV248" s="4" t="s">
        <v>158</v>
      </c>
      <c r="AW248" s="4">
        <v>1.252</v>
      </c>
      <c r="AX248" s="4">
        <v>1.97E-3</v>
      </c>
      <c r="AY248" s="4">
        <v>0.26900000000000002</v>
      </c>
      <c r="AZ248" s="1640">
        <v>3.2499999999999999E-4</v>
      </c>
      <c r="BA248" s="4">
        <v>68.5</v>
      </c>
      <c r="BB248" s="4">
        <v>0.124</v>
      </c>
      <c r="BC248" s="4"/>
      <c r="BD248" s="4">
        <v>10.801</v>
      </c>
      <c r="BE248" s="4">
        <v>3291</v>
      </c>
      <c r="BF248" s="4"/>
      <c r="BG248" s="4"/>
      <c r="BH248" s="4"/>
      <c r="BI248" s="4"/>
      <c r="BJ248" s="4"/>
      <c r="BK248" s="4"/>
      <c r="BL248" s="4"/>
      <c r="BM248" s="4"/>
      <c r="BN248" s="4"/>
      <c r="BO248" s="4"/>
      <c r="BP248" s="4"/>
    </row>
    <row r="249" spans="1:94" ht="12.75" customHeight="1" x14ac:dyDescent="0.25">
      <c r="A249" s="189" t="s">
        <v>982</v>
      </c>
      <c r="B249" s="4" t="s">
        <v>735</v>
      </c>
      <c r="C249" s="4" t="s">
        <v>842</v>
      </c>
      <c r="D249" s="4">
        <v>1</v>
      </c>
      <c r="E249" s="1199"/>
      <c r="F249" s="189" t="s">
        <v>982</v>
      </c>
      <c r="G249" s="421"/>
      <c r="H249" s="421"/>
      <c r="I249" s="421"/>
      <c r="J249" s="421"/>
      <c r="K249" s="421"/>
      <c r="L249" s="421"/>
      <c r="M249" s="421"/>
      <c r="N249" s="421"/>
      <c r="O249" s="421"/>
      <c r="P249" s="421"/>
      <c r="Q249" s="421"/>
      <c r="R249" s="421"/>
      <c r="S249" s="421"/>
      <c r="T249" s="4">
        <v>18.02</v>
      </c>
      <c r="U249" s="4"/>
      <c r="V249" s="4"/>
      <c r="W249" s="4"/>
      <c r="X249" s="2199"/>
      <c r="Y249" s="2559"/>
      <c r="Z249" s="2080"/>
      <c r="AA249" s="2080"/>
      <c r="AB249" s="1596"/>
      <c r="AC249" s="4">
        <v>100</v>
      </c>
      <c r="AD249" s="4">
        <v>0</v>
      </c>
      <c r="AE249" s="4"/>
      <c r="AF249" s="4"/>
      <c r="AG249" s="4"/>
      <c r="AH249" s="4"/>
      <c r="AI249" s="4"/>
      <c r="AJ249" s="4"/>
      <c r="AK249" s="4"/>
      <c r="AL249" s="4"/>
      <c r="AM249" s="4"/>
      <c r="AN249" s="4">
        <v>0</v>
      </c>
      <c r="AO249" s="4">
        <v>0</v>
      </c>
      <c r="AP249" s="4">
        <v>0</v>
      </c>
      <c r="AQ249" s="4"/>
      <c r="AR249" s="4"/>
      <c r="AS249" s="4"/>
      <c r="AT249" s="4"/>
      <c r="AU249" s="1051"/>
      <c r="AV249" s="4" t="s">
        <v>158</v>
      </c>
      <c r="AW249" s="4">
        <v>1.0169999999999999</v>
      </c>
      <c r="AX249" s="4">
        <v>7.7999999999999999E-4</v>
      </c>
      <c r="AY249" s="4">
        <v>0.98299999999999998</v>
      </c>
      <c r="AZ249" s="1640">
        <v>5.6700000000000001E-4</v>
      </c>
      <c r="BA249" s="4">
        <v>596.29999999999995</v>
      </c>
      <c r="BB249" s="4">
        <v>0.45500000000000002</v>
      </c>
      <c r="BC249" s="4">
        <v>1.0349999999999999E-3</v>
      </c>
      <c r="BD249" s="4">
        <v>11.712400000000001</v>
      </c>
      <c r="BE249" s="4">
        <v>3853.28</v>
      </c>
      <c r="BF249" s="4">
        <v>44.13</v>
      </c>
      <c r="BG249" s="4"/>
      <c r="BH249" s="4"/>
      <c r="BI249" s="4"/>
      <c r="BJ249" s="4"/>
      <c r="BK249" s="4"/>
      <c r="BL249" s="4"/>
      <c r="BM249" s="4"/>
      <c r="BN249" s="4"/>
      <c r="BO249" s="4"/>
      <c r="BP249" s="4"/>
    </row>
    <row r="250" spans="1:94" ht="12.75" customHeight="1" x14ac:dyDescent="0.25">
      <c r="A250" s="2205" t="s">
        <v>3066</v>
      </c>
      <c r="B250" s="4"/>
      <c r="C250" s="4" t="s">
        <v>842</v>
      </c>
      <c r="D250" s="4">
        <v>1</v>
      </c>
      <c r="E250" s="1199" t="s">
        <v>3041</v>
      </c>
      <c r="F250" s="189"/>
      <c r="G250" s="421"/>
      <c r="H250" s="421"/>
      <c r="I250" s="421"/>
      <c r="J250" s="421"/>
      <c r="K250" s="421"/>
      <c r="L250" s="421"/>
      <c r="M250" s="421"/>
      <c r="N250" s="421"/>
      <c r="O250" s="421"/>
      <c r="P250" s="421"/>
      <c r="Q250" s="421"/>
      <c r="R250" s="421"/>
      <c r="S250" s="421"/>
      <c r="T250" s="4">
        <v>18.02</v>
      </c>
      <c r="U250" s="4"/>
      <c r="V250" s="4"/>
      <c r="W250" s="4"/>
      <c r="X250" s="2199"/>
      <c r="Y250" s="2559"/>
      <c r="Z250" s="2080"/>
      <c r="AA250" s="2080"/>
      <c r="AB250" s="1596"/>
      <c r="AC250" s="4">
        <v>100</v>
      </c>
      <c r="AD250" s="4">
        <v>0</v>
      </c>
      <c r="AE250" s="4"/>
      <c r="AF250" s="4"/>
      <c r="AG250" s="4"/>
      <c r="AH250" s="4"/>
      <c r="AI250" s="4"/>
      <c r="AJ250" s="4"/>
      <c r="AK250" s="4"/>
      <c r="AL250" s="4"/>
      <c r="AM250" s="4"/>
      <c r="AN250" s="4">
        <v>0</v>
      </c>
      <c r="AO250" s="4">
        <v>0</v>
      </c>
      <c r="AP250" s="4">
        <v>0</v>
      </c>
      <c r="AQ250" s="4"/>
      <c r="AR250" s="4"/>
      <c r="AS250" s="4"/>
      <c r="AT250" s="4"/>
      <c r="AU250" s="1051"/>
      <c r="AV250" s="4" t="s">
        <v>158</v>
      </c>
      <c r="AW250" s="4">
        <v>1.2</v>
      </c>
      <c r="AX250" s="4">
        <v>7.7999999999999999E-4</v>
      </c>
      <c r="AY250" s="4">
        <v>0.98299999999999998</v>
      </c>
      <c r="AZ250" s="1640">
        <v>5.6700000000000001E-4</v>
      </c>
      <c r="BA250" s="4">
        <v>596.29999999999995</v>
      </c>
      <c r="BB250" s="4">
        <v>0.45500000000000002</v>
      </c>
      <c r="BC250" s="4">
        <v>1.0349999999999999E-3</v>
      </c>
      <c r="BD250" s="4">
        <v>11.712400000000001</v>
      </c>
      <c r="BE250" s="2215">
        <f>IF(Chemical="Sulfuric Acid - 90% aqueous",5077.43,3853.28+EXP(7.9*Fract_Sulfuric^0.5)-1)</f>
        <v>3853.28</v>
      </c>
      <c r="BF250" s="4">
        <v>44.13</v>
      </c>
      <c r="BG250" s="4"/>
      <c r="BH250" s="4"/>
      <c r="BI250" s="4"/>
      <c r="BJ250" s="4"/>
      <c r="BK250" s="4"/>
      <c r="BL250" s="4"/>
      <c r="BM250" s="4"/>
      <c r="BN250" s="4"/>
      <c r="BO250" s="4"/>
      <c r="BP250" s="4"/>
    </row>
    <row r="251" spans="1:94" ht="12.75" customHeight="1" x14ac:dyDescent="0.25">
      <c r="A251" s="159" t="s">
        <v>736</v>
      </c>
      <c r="B251" s="4" t="s">
        <v>737</v>
      </c>
      <c r="C251" s="4" t="s">
        <v>842</v>
      </c>
      <c r="D251" s="4">
        <v>1</v>
      </c>
      <c r="E251" s="1199"/>
      <c r="F251" s="159" t="s">
        <v>736</v>
      </c>
      <c r="G251" s="421"/>
      <c r="H251" s="421"/>
      <c r="I251" s="421"/>
      <c r="J251" s="421"/>
      <c r="K251" s="421"/>
      <c r="L251" s="421"/>
      <c r="M251" s="421"/>
      <c r="N251" s="421"/>
      <c r="O251" s="421"/>
      <c r="P251" s="421"/>
      <c r="Q251" s="421"/>
      <c r="R251" s="421"/>
      <c r="S251" s="421"/>
      <c r="T251" s="4">
        <v>106.17</v>
      </c>
      <c r="U251" s="2187">
        <v>130</v>
      </c>
      <c r="V251" s="2187">
        <v>920</v>
      </c>
      <c r="W251" s="2187">
        <v>2500</v>
      </c>
      <c r="X251" s="2199" t="s">
        <v>4459</v>
      </c>
      <c r="Y251" s="2559"/>
      <c r="Z251" s="2080"/>
      <c r="AA251" s="2080"/>
      <c r="AB251" s="1596"/>
      <c r="AC251" s="4">
        <v>139.1</v>
      </c>
      <c r="AD251" s="4">
        <v>-47.9</v>
      </c>
      <c r="AE251" s="4"/>
      <c r="AF251" s="4"/>
      <c r="AG251" s="4"/>
      <c r="AH251" s="4"/>
      <c r="AI251" s="4"/>
      <c r="AJ251" s="4">
        <v>29</v>
      </c>
      <c r="AK251" s="4">
        <v>1.1000000000000001</v>
      </c>
      <c r="AL251" s="4"/>
      <c r="AM251" s="4"/>
      <c r="AN251" s="4">
        <v>2</v>
      </c>
      <c r="AO251" s="4">
        <v>3</v>
      </c>
      <c r="AP251" s="4">
        <v>0</v>
      </c>
      <c r="AQ251" s="4"/>
      <c r="AR251" s="4"/>
      <c r="AS251" s="4" t="s">
        <v>599</v>
      </c>
      <c r="AT251" s="4"/>
      <c r="AU251" s="1051"/>
      <c r="AV251" s="4" t="s">
        <v>160</v>
      </c>
      <c r="AW251" s="4">
        <v>0.88200000000000001</v>
      </c>
      <c r="AX251" s="4">
        <v>9.7599999999999998E-4</v>
      </c>
      <c r="AY251" s="4">
        <v>0.37</v>
      </c>
      <c r="AZ251" s="1640">
        <v>9.6400000000000001E-4</v>
      </c>
      <c r="BA251" s="4">
        <v>98.6</v>
      </c>
      <c r="BB251" s="4">
        <v>0.1</v>
      </c>
      <c r="BC251" s="4">
        <v>1.92E-4</v>
      </c>
      <c r="BD251" s="4">
        <v>9.6419999999999995</v>
      </c>
      <c r="BE251" s="4">
        <v>3453.31</v>
      </c>
      <c r="BF251" s="4">
        <v>54.28</v>
      </c>
      <c r="BG251" s="4"/>
      <c r="BH251" s="4"/>
      <c r="BI251" s="4"/>
      <c r="BJ251" s="4"/>
      <c r="BK251" s="4"/>
      <c r="BL251" s="4"/>
      <c r="BM251" s="4"/>
      <c r="BN251" s="4"/>
      <c r="BO251" s="4"/>
      <c r="BP251" s="4"/>
    </row>
    <row r="252" spans="1:94" x14ac:dyDescent="0.25">
      <c r="C252" s="30" t="s">
        <v>20</v>
      </c>
      <c r="D252" s="30">
        <v>1</v>
      </c>
      <c r="T252" s="19">
        <v>130.19</v>
      </c>
      <c r="V252" s="19">
        <v>100</v>
      </c>
      <c r="W252" s="19">
        <v>1000</v>
      </c>
      <c r="AC252" s="19">
        <v>149.30000000000001</v>
      </c>
      <c r="AD252" s="19">
        <v>-71</v>
      </c>
      <c r="AJ252" s="19">
        <v>25</v>
      </c>
      <c r="AK252" s="19">
        <v>1</v>
      </c>
      <c r="AN252" s="19">
        <v>2</v>
      </c>
      <c r="AO252" s="19">
        <v>2</v>
      </c>
      <c r="AP252" s="19">
        <v>0</v>
      </c>
      <c r="AV252" s="19" t="s">
        <v>159</v>
      </c>
      <c r="AW252" s="19">
        <v>0.89300000000000002</v>
      </c>
      <c r="AX252" s="19">
        <v>1.0460000000000001E-3</v>
      </c>
      <c r="AY252" s="19">
        <v>0.439</v>
      </c>
      <c r="AZ252" s="1641">
        <v>9.4169999999999996E-4</v>
      </c>
      <c r="BA252" s="19">
        <v>92.7</v>
      </c>
      <c r="BB252" s="19">
        <v>0.11861099999999999</v>
      </c>
      <c r="BC252" s="19">
        <v>1.8100000000000001E-4</v>
      </c>
      <c r="BD252" s="19">
        <v>10.5116</v>
      </c>
      <c r="BE252" s="19">
        <v>3932.03</v>
      </c>
      <c r="BF252" s="19">
        <v>49.59</v>
      </c>
      <c r="BH252" s="19">
        <v>0</v>
      </c>
      <c r="BI252" s="19">
        <v>0</v>
      </c>
      <c r="BJ252" s="19">
        <v>0</v>
      </c>
      <c r="BK252" s="19">
        <v>0</v>
      </c>
      <c r="BL252" s="19">
        <v>0</v>
      </c>
    </row>
  </sheetData>
  <sheetProtection sheet="1" objects="1" scenarios="1"/>
  <autoFilter ref="A1:BP251" xr:uid="{00000000-0009-0000-0000-000004000000}"/>
  <sortState xmlns:xlrd2="http://schemas.microsoft.com/office/spreadsheetml/2017/richdata2" ref="A2:BP252">
    <sortCondition ref="A3"/>
  </sortState>
  <phoneticPr fontId="3" type="noConversion"/>
  <pageMargins left="0.25" right="0.25" top="0.25" bottom="0.5" header="0" footer="0.25"/>
  <pageSetup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94" r:id="rId4" name="Delete_User_Chemicals">
              <controlPr defaultSize="0" print="0" autoFill="0" autoPict="0" macro="[0]!Clear_User_Chemicals">
                <anchor moveWithCells="1">
                  <from>
                    <xdr:col>0</xdr:col>
                    <xdr:colOff>2247900</xdr:colOff>
                    <xdr:row>0</xdr:row>
                    <xdr:rowOff>127000</xdr:rowOff>
                  </from>
                  <to>
                    <xdr:col>1</xdr:col>
                    <xdr:colOff>673100</xdr:colOff>
                    <xdr:row>0</xdr:row>
                    <xdr:rowOff>323850</xdr:rowOff>
                  </to>
                </anchor>
              </controlPr>
            </control>
          </mc:Choice>
        </mc:AlternateContent>
        <mc:AlternateContent xmlns:mc="http://schemas.openxmlformats.org/markup-compatibility/2006">
          <mc:Choice Requires="x14">
            <control shapeId="3263" r:id="rId5" name="Button 191">
              <controlPr defaultSize="0" print="0" autoFill="0" autoPict="0" macro="[0]!Delete_Selected_User_Chemical">
                <anchor moveWithCells="1">
                  <from>
                    <xdr:col>0</xdr:col>
                    <xdr:colOff>304800</xdr:colOff>
                    <xdr:row>0</xdr:row>
                    <xdr:rowOff>127000</xdr:rowOff>
                  </from>
                  <to>
                    <xdr:col>0</xdr:col>
                    <xdr:colOff>2076450</xdr:colOff>
                    <xdr:row>0</xdr:row>
                    <xdr:rowOff>323850</xdr:rowOff>
                  </to>
                </anchor>
              </controlPr>
            </control>
          </mc:Choice>
        </mc:AlternateContent>
        <mc:AlternateContent xmlns:mc="http://schemas.openxmlformats.org/markup-compatibility/2006">
          <mc:Choice Requires="x14">
            <control shapeId="3264" r:id="rId6" name="Button 192">
              <controlPr defaultSize="0" print="0" autoFill="0" autoPict="0" macro="[0]!Go_To_New_Chemical_from_Chemical_Table">
                <anchor moveWithCells="1">
                  <from>
                    <xdr:col>0</xdr:col>
                    <xdr:colOff>127000</xdr:colOff>
                    <xdr:row>0</xdr:row>
                    <xdr:rowOff>50800</xdr:rowOff>
                  </from>
                  <to>
                    <xdr:col>0</xdr:col>
                    <xdr:colOff>127000</xdr:colOff>
                    <xdr:row>0</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50"/>
    <pageSetUpPr autoPageBreaks="0" fitToPage="1"/>
  </sheetPr>
  <dimension ref="A1:SM3"/>
  <sheetViews>
    <sheetView showGridLines="0" zoomScale="80" zoomScaleNormal="80" workbookViewId="0">
      <pane xSplit="1" ySplit="3" topLeftCell="B7" activePane="bottomRight" state="frozenSplit"/>
      <selection pane="topRight" activeCell="B1" sqref="B1"/>
      <selection pane="bottomLeft" activeCell="A16" sqref="A16"/>
      <selection pane="bottomRight" activeCell="A7" sqref="A7"/>
    </sheetView>
  </sheetViews>
  <sheetFormatPr defaultColWidth="7.81640625" defaultRowHeight="13" outlineLevelCol="1" x14ac:dyDescent="0.3"/>
  <cols>
    <col min="1" max="1" width="34.1796875" style="1465" customWidth="1"/>
    <col min="2" max="2" width="18.81640625" style="1464" customWidth="1"/>
    <col min="3" max="3" width="26.1796875" style="1464" customWidth="1"/>
    <col min="4" max="4" width="13.81640625" style="1464" customWidth="1"/>
    <col min="5" max="5" width="19" style="1464" customWidth="1" outlineLevel="1"/>
    <col min="6" max="6" width="10.81640625" style="1464" customWidth="1" outlineLevel="1"/>
    <col min="7" max="7" width="21.453125" style="1464" customWidth="1" outlineLevel="1"/>
    <col min="8" max="13" width="8.81640625" style="1464" customWidth="1" outlineLevel="1"/>
    <col min="14" max="14" width="9.1796875" style="1464" customWidth="1" outlineLevel="1"/>
    <col min="15" max="44" width="8.81640625" style="1464" customWidth="1" outlineLevel="1"/>
    <col min="45" max="45" width="10" style="1464" customWidth="1" outlineLevel="1"/>
    <col min="46" max="60" width="8.81640625" style="1464" customWidth="1" outlineLevel="1"/>
    <col min="61" max="61" width="9.1796875" style="1464" customWidth="1" outlineLevel="1"/>
    <col min="62" max="75" width="8.81640625" style="1464" customWidth="1" outlineLevel="1"/>
    <col min="76" max="76" width="9.81640625" style="1464" customWidth="1" outlineLevel="1"/>
    <col min="77" max="86" width="8.81640625" style="1464" customWidth="1" outlineLevel="1"/>
    <col min="87" max="87" width="9.1796875" style="1464" customWidth="1" outlineLevel="1"/>
    <col min="88" max="91" width="8.81640625" style="1464" customWidth="1" outlineLevel="1"/>
    <col min="92" max="92" width="8.81640625" style="1464" customWidth="1"/>
    <col min="93" max="129" width="8.81640625" style="1464" customWidth="1" outlineLevel="1"/>
    <col min="130" max="130" width="9.1796875" style="1464" customWidth="1" outlineLevel="1"/>
    <col min="131" max="139" width="8.81640625" style="1464" customWidth="1" outlineLevel="1"/>
    <col min="140" max="140" width="9.81640625" style="1464" customWidth="1" outlineLevel="1"/>
    <col min="141" max="148" width="8.81640625" style="1464" customWidth="1" outlineLevel="1"/>
    <col min="149" max="150" width="9.1796875" style="1464" customWidth="1" outlineLevel="1"/>
    <col min="151" max="200" width="8.81640625" style="1464" customWidth="1" outlineLevel="1"/>
    <col min="201" max="201" width="9.453125" style="1464" customWidth="1" outlineLevel="1"/>
    <col min="202" max="202" width="10.1796875" style="1464" customWidth="1" outlineLevel="1"/>
    <col min="203" max="207" width="8.81640625" style="1464" customWidth="1" outlineLevel="1"/>
    <col min="208" max="208" width="11.1796875" style="1464" customWidth="1" outlineLevel="1"/>
    <col min="209" max="212" width="8.81640625" style="1464" customWidth="1" outlineLevel="1"/>
    <col min="213" max="213" width="9.453125" style="1464" customWidth="1" outlineLevel="1"/>
    <col min="214" max="214" width="9.81640625" style="1464" customWidth="1" outlineLevel="1"/>
    <col min="215" max="216" width="9.453125" style="1464" customWidth="1" outlineLevel="1"/>
    <col min="217" max="221" width="8.81640625" style="1464" customWidth="1" outlineLevel="1"/>
    <col min="222" max="222" width="9.453125" style="1464" customWidth="1" outlineLevel="1"/>
    <col min="223" max="229" width="8.81640625" style="1464" customWidth="1" outlineLevel="1"/>
    <col min="230" max="230" width="9.81640625" style="1464" customWidth="1" outlineLevel="1"/>
    <col min="231" max="242" width="8.81640625" style="1464" customWidth="1" outlineLevel="1"/>
    <col min="243" max="243" width="9.1796875" style="1464" customWidth="1" outlineLevel="1"/>
    <col min="244" max="266" width="8.81640625" style="1464" customWidth="1" outlineLevel="1"/>
    <col min="267" max="269" width="8.81640625" style="1464" customWidth="1"/>
    <col min="270" max="270" width="9.1796875" style="1464" customWidth="1"/>
    <col min="271" max="274" width="8.81640625" style="1464" customWidth="1"/>
    <col min="275" max="276" width="8.81640625" style="1464" customWidth="1" collapsed="1"/>
    <col min="277" max="282" width="8.81640625" style="1464" customWidth="1"/>
    <col min="283" max="302" width="8.81640625" style="1464" customWidth="1" outlineLevel="1"/>
    <col min="303" max="303" width="9.453125" style="1464" customWidth="1" outlineLevel="1"/>
    <col min="304" max="304" width="9.81640625" style="1464" customWidth="1" outlineLevel="1"/>
    <col min="305" max="318" width="9.1796875" style="1464" customWidth="1" outlineLevel="1"/>
    <col min="319" max="320" width="8.81640625" style="1464" customWidth="1" outlineLevel="1"/>
    <col min="321" max="322" width="9.81640625" style="1464" customWidth="1" outlineLevel="1"/>
    <col min="323" max="328" width="9.453125" style="1464" customWidth="1" outlineLevel="1"/>
    <col min="329" max="329" width="9.81640625" style="1464" customWidth="1" outlineLevel="1"/>
    <col min="330" max="330" width="10.1796875" style="1464" customWidth="1" outlineLevel="1"/>
    <col min="331" max="331" width="9.453125" style="1464" customWidth="1" outlineLevel="1"/>
    <col min="332" max="391" width="9.81640625" style="1464" customWidth="1" outlineLevel="1"/>
    <col min="392" max="507" width="10.54296875" style="1464" customWidth="1"/>
    <col min="508" max="16384" width="7.81640625" style="1464"/>
  </cols>
  <sheetData>
    <row r="1" spans="1:507" ht="58.5" customHeight="1" x14ac:dyDescent="0.3">
      <c r="A1" s="673" t="s">
        <v>2459</v>
      </c>
      <c r="B1" s="673"/>
      <c r="C1" s="40"/>
      <c r="D1" s="40"/>
      <c r="E1" s="40"/>
      <c r="F1" s="40"/>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40"/>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40"/>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row>
    <row r="2" spans="1:507" ht="14.25" customHeight="1" thickBot="1" x14ac:dyDescent="0.35">
      <c r="A2" s="1297" t="s">
        <v>644</v>
      </c>
      <c r="B2" s="2476"/>
      <c r="C2" s="2476"/>
      <c r="D2" s="2476"/>
      <c r="E2" s="1298"/>
      <c r="F2" s="2476"/>
      <c r="G2" s="1299" t="s">
        <v>1494</v>
      </c>
      <c r="H2" s="2572"/>
      <c r="I2" s="2572"/>
      <c r="J2" s="2572"/>
      <c r="K2" s="2572"/>
      <c r="L2" s="2572"/>
      <c r="M2" s="2572"/>
      <c r="N2" s="2572"/>
      <c r="O2" s="2572"/>
      <c r="P2" s="2572"/>
      <c r="Q2" s="2572"/>
      <c r="R2" s="2572"/>
      <c r="S2" s="2572"/>
      <c r="T2" s="2572"/>
      <c r="U2" s="2572"/>
      <c r="V2" s="2572"/>
      <c r="W2" s="2572"/>
      <c r="X2" s="2572"/>
      <c r="Y2" s="2572"/>
      <c r="Z2" s="2572"/>
      <c r="AA2" s="2572"/>
      <c r="AB2" s="2572"/>
      <c r="AC2" s="2572"/>
      <c r="AD2" s="2572"/>
      <c r="AE2" s="2572"/>
      <c r="AF2" s="2572"/>
      <c r="AG2" s="2572"/>
      <c r="AH2" s="2572"/>
      <c r="AI2" s="2572"/>
      <c r="AJ2" s="2572"/>
      <c r="AK2" s="2572"/>
      <c r="AL2" s="2572"/>
      <c r="AM2" s="2572"/>
      <c r="AN2" s="2572"/>
      <c r="AO2" s="2572"/>
      <c r="AP2" s="2572"/>
      <c r="AQ2" s="2572"/>
      <c r="AR2" s="2572"/>
      <c r="AS2" s="2572"/>
      <c r="AT2" s="2572"/>
      <c r="AU2" s="2572"/>
      <c r="AV2" s="2572"/>
      <c r="AW2" s="2572"/>
      <c r="AX2" s="2572"/>
      <c r="AY2" s="2572"/>
      <c r="AZ2" s="2572"/>
      <c r="BA2" s="2572"/>
      <c r="BB2" s="2572"/>
      <c r="BC2" s="2572"/>
      <c r="BD2" s="2572"/>
      <c r="BE2" s="2572"/>
      <c r="BF2" s="2572"/>
      <c r="BG2" s="2572"/>
      <c r="BH2" s="2572"/>
      <c r="BI2" s="2572"/>
      <c r="BJ2" s="2572"/>
      <c r="BK2" s="2572"/>
      <c r="BL2" s="2572"/>
      <c r="BM2" s="2572"/>
      <c r="BN2" s="2572"/>
      <c r="BO2" s="2572"/>
      <c r="BP2" s="2572"/>
      <c r="BQ2" s="2572"/>
      <c r="BR2" s="2572"/>
      <c r="BS2" s="2572"/>
      <c r="BT2" s="2572"/>
      <c r="BU2" s="2572"/>
      <c r="BV2" s="2572"/>
      <c r="BW2" s="2572"/>
      <c r="BX2" s="2572"/>
      <c r="BY2" s="2572"/>
      <c r="BZ2" s="2572"/>
      <c r="CA2" s="2572"/>
      <c r="CB2" s="2572"/>
      <c r="CC2" s="2572"/>
      <c r="CD2" s="2572"/>
      <c r="CE2" s="2572"/>
      <c r="CF2" s="2572"/>
      <c r="CG2" s="1300"/>
      <c r="CH2" s="2572"/>
      <c r="CI2" s="2572"/>
      <c r="CJ2" s="2572"/>
      <c r="CK2" s="1300"/>
      <c r="CL2" s="1297" t="s">
        <v>115</v>
      </c>
      <c r="CM2" s="1297"/>
      <c r="CN2" s="1297"/>
      <c r="CO2" s="2476"/>
      <c r="CP2" s="2476"/>
      <c r="CQ2" s="2476"/>
      <c r="CR2" s="2476"/>
      <c r="CS2" s="2476"/>
      <c r="CT2" s="2476"/>
      <c r="CU2" s="2476"/>
      <c r="CV2" s="2476"/>
      <c r="CW2" s="2476"/>
      <c r="CX2" s="2476"/>
      <c r="CY2" s="2476"/>
      <c r="CZ2" s="2476"/>
      <c r="DA2" s="2476"/>
      <c r="DB2" s="2476"/>
      <c r="DC2" s="2476"/>
      <c r="DD2" s="2476"/>
      <c r="DE2" s="2476"/>
      <c r="DF2" s="2476"/>
      <c r="DG2" s="2476"/>
      <c r="DH2" s="2476"/>
      <c r="DI2" s="2476"/>
      <c r="DJ2" s="2476"/>
      <c r="DK2" s="2476"/>
      <c r="DL2" s="2476"/>
      <c r="DM2" s="2476"/>
      <c r="DN2" s="2476"/>
      <c r="DO2" s="2476"/>
      <c r="DP2" s="2476"/>
      <c r="DQ2" s="2476"/>
      <c r="DR2" s="2476"/>
      <c r="DS2" s="2476"/>
      <c r="DT2" s="2476"/>
      <c r="DU2" s="2476"/>
      <c r="DV2" s="2476"/>
      <c r="DW2" s="2476"/>
      <c r="DX2" s="2476"/>
      <c r="DY2" s="2476"/>
      <c r="DZ2" s="2476"/>
      <c r="EA2" s="2476"/>
      <c r="EB2" s="2557"/>
      <c r="EC2" s="2557"/>
      <c r="ED2" s="1299" t="s">
        <v>994</v>
      </c>
      <c r="EE2" s="2572"/>
      <c r="EF2" s="2572"/>
      <c r="EG2" s="2572"/>
      <c r="EH2" s="2572"/>
      <c r="EI2" s="2572"/>
      <c r="EJ2" s="2572"/>
      <c r="EK2" s="2572"/>
      <c r="EL2" s="2572"/>
      <c r="EM2" s="2572"/>
      <c r="EN2" s="2572"/>
      <c r="EO2" s="2572"/>
      <c r="EP2" s="2572"/>
      <c r="EQ2" s="2572"/>
      <c r="ER2" s="2572"/>
      <c r="ES2" s="2572"/>
      <c r="ET2" s="2572"/>
      <c r="EU2" s="2572"/>
      <c r="EV2" s="2572"/>
      <c r="EW2" s="2572"/>
      <c r="EX2" s="2572"/>
      <c r="EY2" s="2572"/>
      <c r="EZ2" s="2572"/>
      <c r="FA2" s="2572"/>
      <c r="FB2" s="2572"/>
      <c r="FC2" s="2572"/>
      <c r="FD2" s="2572"/>
      <c r="FE2" s="2572"/>
      <c r="FF2" s="2572"/>
      <c r="FG2" s="2572"/>
      <c r="FH2" s="2948" t="s">
        <v>1538</v>
      </c>
      <c r="FI2" s="1298"/>
      <c r="FJ2" s="2476"/>
      <c r="FK2" s="2476"/>
      <c r="FL2" s="2476"/>
      <c r="FM2" s="2476"/>
      <c r="FN2" s="1299" t="s">
        <v>986</v>
      </c>
      <c r="FO2" s="2572"/>
      <c r="FP2" s="2572"/>
      <c r="FQ2" s="2572"/>
      <c r="FR2" s="2572"/>
      <c r="FS2" s="2572"/>
      <c r="FT2" s="2572"/>
      <c r="FU2" s="2572"/>
      <c r="FV2" s="2572"/>
      <c r="FW2" s="2572"/>
      <c r="FX2" s="2572"/>
      <c r="FY2" s="2572"/>
      <c r="FZ2" s="2572"/>
      <c r="GA2" s="2572"/>
      <c r="GB2" s="2572"/>
      <c r="GC2" s="2572"/>
      <c r="GD2" s="2572"/>
      <c r="GE2" s="2572"/>
      <c r="GF2" s="2572"/>
      <c r="GG2" s="2572"/>
      <c r="GH2" s="2572"/>
      <c r="GI2" s="2572"/>
      <c r="GJ2" s="2572"/>
      <c r="GK2" s="2572"/>
      <c r="GL2" s="2572"/>
      <c r="GM2" s="2572"/>
      <c r="GN2" s="2572"/>
      <c r="GO2" s="2572"/>
      <c r="GP2" s="2572"/>
      <c r="GQ2" s="1300"/>
      <c r="GR2" s="1297" t="s">
        <v>1110</v>
      </c>
      <c r="GS2" s="2476"/>
      <c r="GT2" s="2476"/>
      <c r="GU2" s="2476"/>
      <c r="GV2" s="2476"/>
      <c r="GW2" s="2476"/>
      <c r="GX2" s="2476"/>
      <c r="GY2" s="2476"/>
      <c r="GZ2" s="2476"/>
      <c r="HA2" s="2476"/>
      <c r="HB2" s="2476"/>
      <c r="HC2" s="2476"/>
      <c r="HD2" s="2476"/>
      <c r="HE2" s="2476"/>
      <c r="HF2" s="2476"/>
      <c r="HG2" s="2476"/>
      <c r="HH2" s="2476"/>
      <c r="HI2" s="2476"/>
      <c r="HJ2" s="2476"/>
      <c r="HK2" s="2476"/>
      <c r="HL2" s="2476"/>
      <c r="HM2" s="2476"/>
      <c r="HN2" s="2476"/>
      <c r="HO2" s="2476"/>
      <c r="HP2" s="2476"/>
      <c r="HQ2" s="2476"/>
      <c r="HR2" s="2476"/>
      <c r="HS2" s="2476"/>
      <c r="HT2" s="2476"/>
      <c r="HU2" s="2476"/>
      <c r="HV2" s="2476"/>
      <c r="HW2" s="2476"/>
      <c r="HX2" s="2476"/>
      <c r="HY2" s="1298"/>
      <c r="HZ2" s="2476"/>
      <c r="IA2" s="2476"/>
      <c r="IB2" s="2476"/>
      <c r="IC2" s="2476"/>
      <c r="ID2" s="2476"/>
      <c r="IE2" s="2476"/>
      <c r="IF2" s="2476"/>
      <c r="IG2" s="2476"/>
      <c r="IH2" s="2476"/>
      <c r="II2" s="2476"/>
      <c r="IJ2" s="2476"/>
      <c r="IK2" s="2476"/>
      <c r="IL2" s="2476"/>
      <c r="IM2" s="2476"/>
      <c r="IN2" s="2476"/>
      <c r="IO2" s="2476"/>
      <c r="IP2" s="2476"/>
      <c r="IQ2" s="2476"/>
      <c r="IR2" s="2476"/>
      <c r="IS2" s="2476"/>
      <c r="IT2" s="2476"/>
      <c r="IU2" s="2476"/>
      <c r="IV2" s="2476"/>
      <c r="IW2" s="2476"/>
      <c r="IX2" s="2476"/>
      <c r="IY2" s="2476"/>
      <c r="IZ2" s="2476"/>
      <c r="JA2" s="2476"/>
      <c r="JB2" s="2476"/>
      <c r="JC2" s="2476"/>
      <c r="JD2" s="2476"/>
      <c r="JE2" s="2476"/>
      <c r="JF2" s="2476"/>
      <c r="JG2" s="1299" t="s">
        <v>1444</v>
      </c>
      <c r="JH2" s="2949"/>
      <c r="JI2" s="2949"/>
      <c r="JJ2" s="2949"/>
      <c r="JK2" s="2949"/>
      <c r="JL2" s="2949"/>
      <c r="JM2" s="2572"/>
      <c r="JN2" s="2572"/>
      <c r="JO2" s="2572"/>
      <c r="JP2" s="2949"/>
      <c r="JQ2" s="2572"/>
      <c r="JR2" s="1300"/>
      <c r="JS2" s="2572"/>
      <c r="JT2" s="2572"/>
      <c r="JU2" s="2572"/>
      <c r="JV2" s="2572"/>
      <c r="JW2" s="2476" t="s">
        <v>386</v>
      </c>
      <c r="JX2" s="2476"/>
      <c r="JY2" s="2476"/>
      <c r="JZ2" s="2476"/>
      <c r="KA2" s="2476"/>
      <c r="KB2" s="2476"/>
      <c r="KC2" s="2476"/>
      <c r="KD2" s="2476"/>
      <c r="KE2" s="2476"/>
      <c r="KF2" s="2476"/>
      <c r="KG2" s="2476"/>
      <c r="KH2" s="2476"/>
      <c r="KI2" s="2476"/>
      <c r="KJ2" s="2476"/>
      <c r="KK2" s="2476"/>
      <c r="KL2" s="2476"/>
      <c r="KM2" s="2476"/>
      <c r="KN2" s="2476"/>
      <c r="KO2" s="2950"/>
      <c r="KP2" s="2950"/>
      <c r="KQ2" s="2950"/>
      <c r="KR2" s="2950"/>
      <c r="KS2" s="2950"/>
      <c r="KT2" s="2950"/>
      <c r="KU2" s="2950"/>
      <c r="KV2" s="2950"/>
      <c r="KW2" s="2950"/>
      <c r="KX2" s="2950"/>
      <c r="KY2" s="2950"/>
      <c r="KZ2" s="2950"/>
      <c r="LA2" s="2950"/>
      <c r="LB2" s="2950"/>
      <c r="LC2" s="2950"/>
      <c r="LD2" s="2950"/>
      <c r="LE2" s="2950"/>
      <c r="LF2" s="2950"/>
      <c r="LG2" s="2947" t="s">
        <v>2051</v>
      </c>
      <c r="LH2" s="2947"/>
      <c r="LI2" s="2947"/>
      <c r="LJ2" s="2947"/>
      <c r="LK2" s="2947"/>
      <c r="LL2" s="2947"/>
      <c r="LM2" s="2947"/>
      <c r="LN2" s="2947"/>
      <c r="LO2" s="2947"/>
      <c r="LP2" s="2947"/>
      <c r="LQ2" s="2947"/>
      <c r="LR2" s="2947"/>
      <c r="LS2" s="2947"/>
      <c r="LT2" s="1301"/>
      <c r="LU2" s="2951"/>
      <c r="LV2" s="2951" t="s">
        <v>5024</v>
      </c>
      <c r="LW2" s="2952"/>
      <c r="LX2" s="2953"/>
      <c r="LY2" s="2953"/>
      <c r="LZ2" s="2953"/>
      <c r="MA2" s="2953"/>
      <c r="MB2" s="2953"/>
      <c r="MC2" s="2953"/>
      <c r="MD2" s="2953"/>
      <c r="ME2" s="2953"/>
      <c r="MF2" s="2953"/>
      <c r="MG2" s="2953"/>
      <c r="MH2" s="2953"/>
      <c r="MI2" s="2953"/>
      <c r="MJ2" s="2953"/>
      <c r="MK2" s="2953"/>
      <c r="ML2" s="2953"/>
      <c r="MM2" s="2953"/>
      <c r="MN2" s="2953"/>
      <c r="MO2" s="2953"/>
      <c r="MP2" s="2953"/>
      <c r="MQ2" s="2953"/>
      <c r="MR2" s="2953"/>
      <c r="MS2" s="2953"/>
      <c r="MT2" s="2953"/>
      <c r="MU2" s="2953"/>
      <c r="MV2" s="2953"/>
      <c r="MW2" s="2953"/>
      <c r="MX2" s="2953"/>
      <c r="MY2" s="2953"/>
      <c r="MZ2" s="2953"/>
      <c r="NA2" s="2953"/>
      <c r="NB2" s="2953"/>
      <c r="NC2" s="2953"/>
      <c r="ND2" s="2953"/>
      <c r="NE2" s="2953"/>
      <c r="NF2" s="2953"/>
      <c r="NG2" s="2953"/>
      <c r="NH2" s="2953"/>
      <c r="NI2" s="2953"/>
      <c r="NJ2" s="2953"/>
      <c r="NK2" s="2953"/>
      <c r="NL2" s="2953"/>
      <c r="NM2" s="2953"/>
      <c r="NN2" s="2953"/>
      <c r="NO2" s="2953"/>
      <c r="NP2" s="2953"/>
      <c r="NQ2" s="2953"/>
      <c r="NR2" s="2953"/>
      <c r="NS2" s="2953"/>
      <c r="NT2" s="2953"/>
      <c r="NU2" s="2953"/>
      <c r="NV2" s="2953"/>
      <c r="NW2" s="2953"/>
      <c r="NX2" s="2953"/>
      <c r="NY2" s="2953"/>
      <c r="NZ2" s="2953"/>
      <c r="OA2" s="2954"/>
      <c r="OB2" s="2955" t="s">
        <v>5022</v>
      </c>
      <c r="OC2" s="2956"/>
      <c r="OD2" s="2957"/>
      <c r="OE2" s="2957"/>
      <c r="OF2" s="2957"/>
      <c r="OG2" s="2957"/>
      <c r="OH2" s="2957"/>
      <c r="OI2" s="2957"/>
      <c r="OJ2" s="2957"/>
      <c r="OK2" s="2957"/>
      <c r="OL2" s="2957"/>
      <c r="OM2" s="2957"/>
      <c r="ON2" s="2957"/>
      <c r="OO2" s="2957"/>
      <c r="OP2" s="2957"/>
      <c r="OQ2" s="2957"/>
      <c r="OR2" s="2957"/>
      <c r="OS2" s="2957"/>
      <c r="OT2" s="2957"/>
      <c r="OU2" s="2957"/>
      <c r="OV2" s="2957"/>
      <c r="OW2" s="2957"/>
      <c r="OX2" s="2957"/>
      <c r="OY2" s="2957"/>
      <c r="OZ2" s="2957"/>
      <c r="PA2" s="2957"/>
      <c r="PB2" s="2957"/>
      <c r="PC2" s="2957"/>
      <c r="PD2" s="2957"/>
      <c r="PE2" s="2957"/>
      <c r="PF2" s="2957"/>
      <c r="PG2" s="2957"/>
      <c r="PH2" s="2957"/>
      <c r="PI2" s="2957"/>
      <c r="PJ2" s="2957"/>
      <c r="PK2" s="2957"/>
      <c r="PL2" s="2957"/>
      <c r="PM2" s="2957"/>
      <c r="PN2" s="2957"/>
      <c r="PO2" s="2957"/>
      <c r="PP2" s="2957"/>
      <c r="PQ2" s="2957"/>
      <c r="PR2" s="2957"/>
      <c r="PS2" s="2957"/>
      <c r="PT2" s="2957"/>
      <c r="PU2" s="2957"/>
      <c r="PV2" s="2957"/>
      <c r="PW2" s="2957"/>
      <c r="PX2" s="2957"/>
      <c r="PY2" s="2957"/>
      <c r="PZ2" s="2957"/>
      <c r="QA2" s="2957"/>
      <c r="QB2" s="2957"/>
      <c r="QC2" s="2957"/>
      <c r="QD2" s="2957"/>
      <c r="QE2" s="2957"/>
      <c r="QF2" s="2957"/>
      <c r="QG2" s="2958"/>
      <c r="QH2" s="2959" t="s">
        <v>5158</v>
      </c>
      <c r="QI2" s="2960"/>
      <c r="QJ2" s="2961"/>
      <c r="QK2" s="2961"/>
      <c r="QL2" s="2961"/>
      <c r="QM2" s="2961"/>
      <c r="QN2" s="2961"/>
      <c r="QO2" s="2961"/>
      <c r="QP2" s="2961"/>
      <c r="QQ2" s="2961"/>
      <c r="QR2" s="2961"/>
      <c r="QS2" s="2961"/>
      <c r="QT2" s="2961"/>
      <c r="QU2" s="2961"/>
      <c r="QV2" s="2961"/>
      <c r="QW2" s="2961"/>
      <c r="QX2" s="2961"/>
      <c r="QY2" s="2961"/>
      <c r="QZ2" s="2961"/>
      <c r="RA2" s="2961"/>
      <c r="RB2" s="2961"/>
      <c r="RC2" s="2961"/>
      <c r="RD2" s="2961"/>
      <c r="RE2" s="2961"/>
      <c r="RF2" s="2961"/>
      <c r="RG2" s="2961"/>
      <c r="RH2" s="2961"/>
      <c r="RI2" s="2961"/>
      <c r="RJ2" s="2961"/>
      <c r="RK2" s="2961"/>
      <c r="RL2" s="2961"/>
      <c r="RM2" s="2961"/>
      <c r="RN2" s="2961"/>
      <c r="RO2" s="2961"/>
      <c r="RP2" s="2961"/>
      <c r="RQ2" s="2961"/>
      <c r="RR2" s="2961"/>
      <c r="RS2" s="2961"/>
      <c r="RT2" s="2961"/>
      <c r="RU2" s="2961"/>
      <c r="RV2" s="2961"/>
      <c r="RW2" s="2961"/>
      <c r="RX2" s="2961"/>
      <c r="RY2" s="2961"/>
      <c r="RZ2" s="2961"/>
      <c r="SA2" s="2961"/>
      <c r="SB2" s="2961"/>
      <c r="SC2" s="2961"/>
      <c r="SD2" s="2961"/>
      <c r="SE2" s="2961"/>
      <c r="SF2" s="2961"/>
      <c r="SG2" s="2961"/>
      <c r="SH2" s="2961"/>
      <c r="SI2" s="2961"/>
      <c r="SJ2" s="2961"/>
      <c r="SK2" s="2961"/>
      <c r="SL2" s="2961"/>
      <c r="SM2" s="2962"/>
    </row>
    <row r="3" spans="1:507" ht="91.5" thickBot="1" x14ac:dyDescent="0.35">
      <c r="A3" s="3390" t="s">
        <v>1084</v>
      </c>
      <c r="B3" s="3391" t="s">
        <v>3122</v>
      </c>
      <c r="C3" s="3392" t="s">
        <v>2305</v>
      </c>
      <c r="D3" s="3391" t="s">
        <v>3299</v>
      </c>
      <c r="E3" s="3391" t="s">
        <v>831</v>
      </c>
      <c r="F3" s="3391" t="s">
        <v>684</v>
      </c>
      <c r="G3" s="3391" t="s">
        <v>151</v>
      </c>
      <c r="H3" s="3391" t="s">
        <v>1818</v>
      </c>
      <c r="I3" s="3391" t="s">
        <v>2234</v>
      </c>
      <c r="J3" s="3391" t="s">
        <v>2235</v>
      </c>
      <c r="K3" s="3391" t="s">
        <v>2265</v>
      </c>
      <c r="L3" s="3391" t="s">
        <v>2266</v>
      </c>
      <c r="M3" s="3391" t="s">
        <v>1440</v>
      </c>
      <c r="N3" s="3391" t="s">
        <v>3303</v>
      </c>
      <c r="O3" s="3391" t="s">
        <v>123</v>
      </c>
      <c r="P3" s="3391" t="s">
        <v>1824</v>
      </c>
      <c r="Q3" s="3391" t="s">
        <v>1825</v>
      </c>
      <c r="R3" s="3391" t="s">
        <v>666</v>
      </c>
      <c r="S3" s="3391" t="s">
        <v>3556</v>
      </c>
      <c r="T3" s="3391" t="s">
        <v>3557</v>
      </c>
      <c r="U3" s="3391" t="s">
        <v>3581</v>
      </c>
      <c r="V3" s="3391" t="s">
        <v>3582</v>
      </c>
      <c r="W3" s="3391" t="s">
        <v>2491</v>
      </c>
      <c r="X3" s="3391" t="s">
        <v>2492</v>
      </c>
      <c r="Y3" s="3391" t="s">
        <v>3559</v>
      </c>
      <c r="Z3" s="3391" t="s">
        <v>3560</v>
      </c>
      <c r="AA3" s="3391" t="s">
        <v>3795</v>
      </c>
      <c r="AB3" s="3391" t="s">
        <v>2781</v>
      </c>
      <c r="AC3" s="3391" t="s">
        <v>2862</v>
      </c>
      <c r="AD3" s="3391" t="s">
        <v>2238</v>
      </c>
      <c r="AE3" s="3391" t="s">
        <v>2239</v>
      </c>
      <c r="AF3" s="3391" t="s">
        <v>2510</v>
      </c>
      <c r="AG3" s="3391" t="s">
        <v>1207</v>
      </c>
      <c r="AH3" s="3391" t="s">
        <v>699</v>
      </c>
      <c r="AI3" s="3391" t="s">
        <v>528</v>
      </c>
      <c r="AJ3" s="3391" t="s">
        <v>484</v>
      </c>
      <c r="AK3" s="3391" t="s">
        <v>2374</v>
      </c>
      <c r="AL3" s="3391" t="s">
        <v>2375</v>
      </c>
      <c r="AM3" s="3391" t="s">
        <v>486</v>
      </c>
      <c r="AN3" s="3391" t="s">
        <v>251</v>
      </c>
      <c r="AO3" s="3391" t="s">
        <v>252</v>
      </c>
      <c r="AP3" s="3391" t="s">
        <v>1819</v>
      </c>
      <c r="AQ3" s="3391" t="s">
        <v>1820</v>
      </c>
      <c r="AR3" s="3391" t="s">
        <v>1569</v>
      </c>
      <c r="AS3" s="3391" t="s">
        <v>1041</v>
      </c>
      <c r="AT3" s="3391" t="s">
        <v>732</v>
      </c>
      <c r="AU3" s="3391" t="s">
        <v>1007</v>
      </c>
      <c r="AV3" s="3391" t="s">
        <v>1895</v>
      </c>
      <c r="AW3" s="3391" t="s">
        <v>1940</v>
      </c>
      <c r="AX3" s="3391" t="s">
        <v>700</v>
      </c>
      <c r="AY3" s="3391" t="s">
        <v>1362</v>
      </c>
      <c r="AZ3" s="3391" t="s">
        <v>701</v>
      </c>
      <c r="BA3" s="3391" t="s">
        <v>702</v>
      </c>
      <c r="BB3" s="3391" t="s">
        <v>466</v>
      </c>
      <c r="BC3" s="3391" t="s">
        <v>624</v>
      </c>
      <c r="BD3" s="3391" t="s">
        <v>3049</v>
      </c>
      <c r="BE3" s="3391" t="s">
        <v>3157</v>
      </c>
      <c r="BF3" s="3391" t="s">
        <v>1790</v>
      </c>
      <c r="BG3" s="3391" t="s">
        <v>1568</v>
      </c>
      <c r="BH3" s="3391" t="s">
        <v>1353</v>
      </c>
      <c r="BI3" s="3391" t="s">
        <v>311</v>
      </c>
      <c r="BJ3" s="3391" t="s">
        <v>474</v>
      </c>
      <c r="BK3" s="3391" t="s">
        <v>703</v>
      </c>
      <c r="BL3" s="3391" t="s">
        <v>704</v>
      </c>
      <c r="BM3" s="3391" t="s">
        <v>1008</v>
      </c>
      <c r="BN3" s="3391" t="s">
        <v>3778</v>
      </c>
      <c r="BO3" s="3391" t="s">
        <v>1670</v>
      </c>
      <c r="BP3" s="3391" t="s">
        <v>646</v>
      </c>
      <c r="BQ3" s="3391" t="s">
        <v>1671</v>
      </c>
      <c r="BR3" s="3391" t="s">
        <v>1687</v>
      </c>
      <c r="BS3" s="3391" t="s">
        <v>1688</v>
      </c>
      <c r="BT3" s="3391" t="s">
        <v>1036</v>
      </c>
      <c r="BU3" s="3391" t="s">
        <v>2521</v>
      </c>
      <c r="BV3" s="3391" t="s">
        <v>2522</v>
      </c>
      <c r="BW3" s="3391" t="s">
        <v>3480</v>
      </c>
      <c r="BX3" s="3391" t="s">
        <v>2992</v>
      </c>
      <c r="BY3" s="3391" t="s">
        <v>2526</v>
      </c>
      <c r="BZ3" s="3391" t="s">
        <v>2527</v>
      </c>
      <c r="CA3" s="3391" t="s">
        <v>2528</v>
      </c>
      <c r="CB3" s="3391" t="s">
        <v>1135</v>
      </c>
      <c r="CC3" s="3391" t="s">
        <v>1136</v>
      </c>
      <c r="CD3" s="3391" t="s">
        <v>1209</v>
      </c>
      <c r="CE3" s="3391" t="s">
        <v>433</v>
      </c>
      <c r="CF3" s="3391" t="s">
        <v>2536</v>
      </c>
      <c r="CG3" s="3391" t="s">
        <v>483</v>
      </c>
      <c r="CH3" s="3391" t="s">
        <v>4571</v>
      </c>
      <c r="CI3" s="3391" t="s">
        <v>4572</v>
      </c>
      <c r="CJ3" s="3391" t="s">
        <v>5234</v>
      </c>
      <c r="CK3" s="3391" t="s">
        <v>691</v>
      </c>
      <c r="CL3" s="3391" t="s">
        <v>3310</v>
      </c>
      <c r="CM3" s="3391" t="s">
        <v>3311</v>
      </c>
      <c r="CN3" s="3391" t="s">
        <v>849</v>
      </c>
      <c r="CO3" s="3391" t="s">
        <v>502</v>
      </c>
      <c r="CP3" s="3391" t="s">
        <v>2385</v>
      </c>
      <c r="CQ3" s="3391" t="s">
        <v>4673</v>
      </c>
      <c r="CR3" s="3391" t="s">
        <v>1650</v>
      </c>
      <c r="CS3" s="3391" t="s">
        <v>1208</v>
      </c>
      <c r="CT3" s="3391" t="s">
        <v>1722</v>
      </c>
      <c r="CU3" s="3391" t="s">
        <v>1723</v>
      </c>
      <c r="CV3" s="3391" t="s">
        <v>2179</v>
      </c>
      <c r="CW3" s="3391" t="s">
        <v>1724</v>
      </c>
      <c r="CX3" s="3391" t="s">
        <v>174</v>
      </c>
      <c r="CY3" s="3391" t="s">
        <v>175</v>
      </c>
      <c r="CZ3" s="3391" t="s">
        <v>2180</v>
      </c>
      <c r="DA3" s="3391" t="s">
        <v>2520</v>
      </c>
      <c r="DB3" s="3391" t="s">
        <v>1515</v>
      </c>
      <c r="DC3" s="3391" t="s">
        <v>1218</v>
      </c>
      <c r="DD3" s="3391" t="s">
        <v>810</v>
      </c>
      <c r="DE3" s="3391" t="s">
        <v>1034</v>
      </c>
      <c r="DF3" s="3391" t="s">
        <v>2181</v>
      </c>
      <c r="DG3" s="3391" t="s">
        <v>359</v>
      </c>
      <c r="DH3" s="3391" t="s">
        <v>360</v>
      </c>
      <c r="DI3" s="3391" t="s">
        <v>2716</v>
      </c>
      <c r="DJ3" s="3391" t="s">
        <v>2023</v>
      </c>
      <c r="DK3" s="3391" t="s">
        <v>1407</v>
      </c>
      <c r="DL3" s="3391" t="s">
        <v>136</v>
      </c>
      <c r="DM3" s="3391" t="s">
        <v>816</v>
      </c>
      <c r="DN3" s="3391" t="s">
        <v>2030</v>
      </c>
      <c r="DO3" s="3391" t="s">
        <v>992</v>
      </c>
      <c r="DP3" s="3391" t="s">
        <v>817</v>
      </c>
      <c r="DQ3" s="3391" t="s">
        <v>1995</v>
      </c>
      <c r="DR3" s="3391" t="s">
        <v>5235</v>
      </c>
      <c r="DS3" s="3391" t="s">
        <v>1675</v>
      </c>
      <c r="DT3" s="3391" t="s">
        <v>1035</v>
      </c>
      <c r="DU3" s="3391" t="s">
        <v>3482</v>
      </c>
      <c r="DV3" s="3391" t="s">
        <v>3693</v>
      </c>
      <c r="DW3" s="3391" t="s">
        <v>4013</v>
      </c>
      <c r="DX3" s="3391" t="s">
        <v>2804</v>
      </c>
      <c r="DY3" s="3391" t="s">
        <v>3258</v>
      </c>
      <c r="DZ3" s="3391" t="s">
        <v>161</v>
      </c>
      <c r="EA3" s="3391" t="s">
        <v>2290</v>
      </c>
      <c r="EB3" s="3391" t="s">
        <v>133</v>
      </c>
      <c r="EC3" s="3391" t="s">
        <v>4708</v>
      </c>
      <c r="ED3" s="3391" t="s">
        <v>647</v>
      </c>
      <c r="EE3" s="3391" t="s">
        <v>697</v>
      </c>
      <c r="EF3" s="3391" t="s">
        <v>288</v>
      </c>
      <c r="EG3" s="3391" t="s">
        <v>176</v>
      </c>
      <c r="EH3" s="3391" t="s">
        <v>1994</v>
      </c>
      <c r="EI3" s="3391" t="s">
        <v>177</v>
      </c>
      <c r="EJ3" s="3391" t="s">
        <v>1954</v>
      </c>
      <c r="EK3" s="3391" t="s">
        <v>3271</v>
      </c>
      <c r="EL3" s="3391" t="s">
        <v>1545</v>
      </c>
      <c r="EM3" s="3391" t="s">
        <v>3754</v>
      </c>
      <c r="EN3" s="3391" t="s">
        <v>3755</v>
      </c>
      <c r="EO3" s="3391" t="s">
        <v>1546</v>
      </c>
      <c r="EP3" s="3391" t="s">
        <v>554</v>
      </c>
      <c r="EQ3" s="3391" t="s">
        <v>931</v>
      </c>
      <c r="ER3" s="3391" t="s">
        <v>985</v>
      </c>
      <c r="ES3" s="3391" t="s">
        <v>3659</v>
      </c>
      <c r="ET3" s="3391" t="s">
        <v>3658</v>
      </c>
      <c r="EU3" s="3391" t="s">
        <v>1821</v>
      </c>
      <c r="EV3" s="3391" t="s">
        <v>1175</v>
      </c>
      <c r="EW3" s="3391" t="s">
        <v>928</v>
      </c>
      <c r="EX3" s="3391" t="s">
        <v>2557</v>
      </c>
      <c r="EY3" s="3391" t="s">
        <v>2559</v>
      </c>
      <c r="EZ3" s="3391" t="s">
        <v>1561</v>
      </c>
      <c r="FA3" s="3391" t="s">
        <v>2840</v>
      </c>
      <c r="FB3" s="3391" t="s">
        <v>361</v>
      </c>
      <c r="FC3" s="3391" t="s">
        <v>362</v>
      </c>
      <c r="FD3" s="3391" t="s">
        <v>555</v>
      </c>
      <c r="FE3" s="3391" t="s">
        <v>556</v>
      </c>
      <c r="FF3" s="3391" t="s">
        <v>1513</v>
      </c>
      <c r="FG3" s="3391" t="s">
        <v>287</v>
      </c>
      <c r="FH3" s="3391" t="s">
        <v>1501</v>
      </c>
      <c r="FI3" s="3391" t="s">
        <v>1384</v>
      </c>
      <c r="FJ3" s="3391" t="s">
        <v>3211</v>
      </c>
      <c r="FK3" s="3391" t="s">
        <v>3213</v>
      </c>
      <c r="FL3" s="3391" t="s">
        <v>3316</v>
      </c>
      <c r="FM3" s="3391" t="s">
        <v>3317</v>
      </c>
      <c r="FN3" s="3391" t="s">
        <v>1456</v>
      </c>
      <c r="FO3" s="3391" t="s">
        <v>1182</v>
      </c>
      <c r="FP3" s="3391" t="s">
        <v>282</v>
      </c>
      <c r="FQ3" s="3391" t="s">
        <v>3272</v>
      </c>
      <c r="FR3" s="3391" t="s">
        <v>3770</v>
      </c>
      <c r="FS3" s="3391" t="s">
        <v>3273</v>
      </c>
      <c r="FT3" s="3391" t="s">
        <v>280</v>
      </c>
      <c r="FU3" s="3391" t="s">
        <v>281</v>
      </c>
      <c r="FV3" s="3391" t="s">
        <v>1352</v>
      </c>
      <c r="FW3" s="3391" t="s">
        <v>880</v>
      </c>
      <c r="FX3" s="3391" t="s">
        <v>273</v>
      </c>
      <c r="FY3" s="3391" t="s">
        <v>1685</v>
      </c>
      <c r="FZ3" s="3391" t="s">
        <v>3065</v>
      </c>
      <c r="GA3" s="3391" t="s">
        <v>2298</v>
      </c>
      <c r="GB3" s="3391" t="s">
        <v>2297</v>
      </c>
      <c r="GC3" s="3391" t="s">
        <v>1085</v>
      </c>
      <c r="GD3" s="3391" t="s">
        <v>990</v>
      </c>
      <c r="GE3" s="3391" t="s">
        <v>1938</v>
      </c>
      <c r="GF3" s="3391" t="s">
        <v>991</v>
      </c>
      <c r="GG3" s="3391" t="s">
        <v>338</v>
      </c>
      <c r="GH3" s="3391" t="s">
        <v>2018</v>
      </c>
      <c r="GI3" s="3391" t="s">
        <v>1090</v>
      </c>
      <c r="GJ3" s="3391" t="s">
        <v>1018</v>
      </c>
      <c r="GK3" s="3391" t="s">
        <v>276</v>
      </c>
      <c r="GL3" s="3391" t="s">
        <v>1173</v>
      </c>
      <c r="GM3" s="3391" t="s">
        <v>15</v>
      </c>
      <c r="GN3" s="3391" t="s">
        <v>4602</v>
      </c>
      <c r="GO3" s="3391" t="s">
        <v>3446</v>
      </c>
      <c r="GP3" s="3391" t="s">
        <v>4755</v>
      </c>
      <c r="GQ3" s="3391" t="s">
        <v>1905</v>
      </c>
      <c r="GR3" s="3391" t="s">
        <v>1686</v>
      </c>
      <c r="GS3" s="3391" t="s">
        <v>2954</v>
      </c>
      <c r="GT3" s="3391" t="s">
        <v>5236</v>
      </c>
      <c r="GU3" s="3391" t="s">
        <v>243</v>
      </c>
      <c r="GV3" s="3391" t="s">
        <v>14</v>
      </c>
      <c r="GW3" s="3391" t="s">
        <v>1804</v>
      </c>
      <c r="GX3" s="3391" t="s">
        <v>1203</v>
      </c>
      <c r="GY3" s="3391" t="s">
        <v>1071</v>
      </c>
      <c r="GZ3" s="3391" t="s">
        <v>3197</v>
      </c>
      <c r="HA3" s="3391" t="s">
        <v>987</v>
      </c>
      <c r="HB3" s="3391" t="s">
        <v>122</v>
      </c>
      <c r="HC3" s="3391" t="s">
        <v>3227</v>
      </c>
      <c r="HD3" s="3391" t="s">
        <v>524</v>
      </c>
      <c r="HE3" s="3391" t="s">
        <v>2855</v>
      </c>
      <c r="HF3" s="3391" t="s">
        <v>2856</v>
      </c>
      <c r="HG3" s="3391" t="s">
        <v>2854</v>
      </c>
      <c r="HH3" s="3391" t="s">
        <v>2857</v>
      </c>
      <c r="HI3" s="3391" t="s">
        <v>2864</v>
      </c>
      <c r="HJ3" s="3391" t="s">
        <v>2865</v>
      </c>
      <c r="HK3" s="3391" t="s">
        <v>2342</v>
      </c>
      <c r="HL3" s="3391" t="s">
        <v>1095</v>
      </c>
      <c r="HM3" s="3391" t="s">
        <v>1096</v>
      </c>
      <c r="HN3" s="3391" t="s">
        <v>1158</v>
      </c>
      <c r="HO3" s="3391" t="s">
        <v>2421</v>
      </c>
      <c r="HP3" s="3391" t="s">
        <v>1725</v>
      </c>
      <c r="HQ3" s="3391" t="s">
        <v>2332</v>
      </c>
      <c r="HR3" s="3391" t="s">
        <v>2464</v>
      </c>
      <c r="HS3" s="3391" t="s">
        <v>2465</v>
      </c>
      <c r="HT3" s="3391" t="s">
        <v>1829</v>
      </c>
      <c r="HU3" s="3391" t="s">
        <v>1923</v>
      </c>
      <c r="HV3" s="3391" t="s">
        <v>5237</v>
      </c>
      <c r="HW3" s="3391" t="s">
        <v>2236</v>
      </c>
      <c r="HX3" s="3391" t="s">
        <v>2237</v>
      </c>
      <c r="HY3" s="3391" t="s">
        <v>1268</v>
      </c>
      <c r="HZ3" s="3391" t="s">
        <v>2468</v>
      </c>
      <c r="IA3" s="3391" t="s">
        <v>2333</v>
      </c>
      <c r="IB3" s="3391" t="s">
        <v>662</v>
      </c>
      <c r="IC3" s="3391" t="s">
        <v>5238</v>
      </c>
      <c r="ID3" s="3391" t="s">
        <v>2469</v>
      </c>
      <c r="IE3" s="3391" t="s">
        <v>2470</v>
      </c>
      <c r="IF3" s="3391" t="s">
        <v>2471</v>
      </c>
      <c r="IG3" s="3391" t="s">
        <v>2472</v>
      </c>
      <c r="IH3" s="3391" t="s">
        <v>2473</v>
      </c>
      <c r="II3" s="3391" t="s">
        <v>2474</v>
      </c>
      <c r="IJ3" s="3391" t="s">
        <v>1427</v>
      </c>
      <c r="IK3" s="3391" t="s">
        <v>1428</v>
      </c>
      <c r="IL3" s="3391" t="s">
        <v>5206</v>
      </c>
      <c r="IM3" s="3391" t="s">
        <v>5205</v>
      </c>
      <c r="IN3" s="3391" t="s">
        <v>3081</v>
      </c>
      <c r="IO3" s="3391" t="s">
        <v>3517</v>
      </c>
      <c r="IP3" s="3391" t="s">
        <v>3574</v>
      </c>
      <c r="IQ3" s="3391" t="s">
        <v>3518</v>
      </c>
      <c r="IR3" s="3391" t="s">
        <v>3660</v>
      </c>
      <c r="IS3" s="3391" t="s">
        <v>3082</v>
      </c>
      <c r="IT3" s="3391" t="s">
        <v>3083</v>
      </c>
      <c r="IU3" s="3391" t="s">
        <v>3084</v>
      </c>
      <c r="IV3" s="3391" t="s">
        <v>3329</v>
      </c>
      <c r="IW3" s="3391" t="s">
        <v>3330</v>
      </c>
      <c r="IX3" s="3391" t="s">
        <v>3331</v>
      </c>
      <c r="IY3" s="3391" t="s">
        <v>3332</v>
      </c>
      <c r="IZ3" s="3391" t="s">
        <v>3327</v>
      </c>
      <c r="JA3" s="3391" t="s">
        <v>3333</v>
      </c>
      <c r="JB3" s="3391" t="s">
        <v>3343</v>
      </c>
      <c r="JC3" s="3391" t="s">
        <v>3344</v>
      </c>
      <c r="JD3" s="3391" t="s">
        <v>3350</v>
      </c>
      <c r="JE3" s="3391" t="s">
        <v>3345</v>
      </c>
      <c r="JF3" s="3391" t="s">
        <v>3346</v>
      </c>
      <c r="JG3" s="3391" t="s">
        <v>1443</v>
      </c>
      <c r="JH3" s="3391" t="s">
        <v>2278</v>
      </c>
      <c r="JI3" s="3391" t="s">
        <v>830</v>
      </c>
      <c r="JJ3" s="3391" t="s">
        <v>1861</v>
      </c>
      <c r="JK3" s="3391" t="s">
        <v>2953</v>
      </c>
      <c r="JL3" s="3391" t="s">
        <v>4192</v>
      </c>
      <c r="JM3" s="3391" t="s">
        <v>1097</v>
      </c>
      <c r="JN3" s="3391" t="s">
        <v>4191</v>
      </c>
      <c r="JO3" s="3391" t="s">
        <v>607</v>
      </c>
      <c r="JP3" s="3391" t="s">
        <v>1862</v>
      </c>
      <c r="JQ3" s="3391" t="s">
        <v>3063</v>
      </c>
      <c r="JR3" s="3391" t="s">
        <v>5239</v>
      </c>
      <c r="JS3" s="3391" t="s">
        <v>2244</v>
      </c>
      <c r="JT3" s="3391" t="s">
        <v>2245</v>
      </c>
      <c r="JU3" s="3391" t="s">
        <v>2246</v>
      </c>
      <c r="JV3" s="3391" t="s">
        <v>2247</v>
      </c>
      <c r="JW3" s="3391" t="s">
        <v>387</v>
      </c>
      <c r="JX3" s="3391" t="s">
        <v>388</v>
      </c>
      <c r="JY3" s="3391" t="s">
        <v>5240</v>
      </c>
      <c r="JZ3" s="3391" t="s">
        <v>5241</v>
      </c>
      <c r="KA3" s="3391" t="s">
        <v>389</v>
      </c>
      <c r="KB3" s="3391" t="s">
        <v>390</v>
      </c>
      <c r="KC3" s="3391" t="s">
        <v>391</v>
      </c>
      <c r="KD3" s="3391" t="s">
        <v>392</v>
      </c>
      <c r="KE3" s="3391" t="s">
        <v>393</v>
      </c>
      <c r="KF3" s="3391" t="s">
        <v>394</v>
      </c>
      <c r="KG3" s="3391" t="s">
        <v>395</v>
      </c>
      <c r="KH3" s="3391" t="s">
        <v>396</v>
      </c>
      <c r="KI3" s="3391" t="s">
        <v>397</v>
      </c>
      <c r="KJ3" s="3391" t="s">
        <v>398</v>
      </c>
      <c r="KK3" s="3391" t="s">
        <v>399</v>
      </c>
      <c r="KL3" s="3391" t="s">
        <v>400</v>
      </c>
      <c r="KM3" s="3391" t="s">
        <v>401</v>
      </c>
      <c r="KN3" s="3391" t="s">
        <v>2529</v>
      </c>
      <c r="KO3" s="3391" t="s">
        <v>2530</v>
      </c>
      <c r="KP3" s="3391" t="s">
        <v>2973</v>
      </c>
      <c r="KQ3" s="3391" t="s">
        <v>2958</v>
      </c>
      <c r="KR3" s="3391" t="s">
        <v>2959</v>
      </c>
      <c r="KS3" s="3391" t="s">
        <v>2960</v>
      </c>
      <c r="KT3" s="3391" t="s">
        <v>2961</v>
      </c>
      <c r="KU3" s="3391" t="s">
        <v>2962</v>
      </c>
      <c r="KV3" s="3391" t="s">
        <v>2963</v>
      </c>
      <c r="KW3" s="3391" t="s">
        <v>2964</v>
      </c>
      <c r="KX3" s="3391" t="s">
        <v>2965</v>
      </c>
      <c r="KY3" s="3391" t="s">
        <v>2966</v>
      </c>
      <c r="KZ3" s="3391" t="s">
        <v>2967</v>
      </c>
      <c r="LA3" s="3391" t="s">
        <v>2968</v>
      </c>
      <c r="LB3" s="3391" t="s">
        <v>2969</v>
      </c>
      <c r="LC3" s="3391" t="s">
        <v>2970</v>
      </c>
      <c r="LD3" s="3391" t="s">
        <v>2971</v>
      </c>
      <c r="LE3" s="3391" t="s">
        <v>2972</v>
      </c>
      <c r="LF3" s="3391" t="s">
        <v>3018</v>
      </c>
      <c r="LG3" s="3391" t="s">
        <v>3020</v>
      </c>
      <c r="LH3" s="3391" t="s">
        <v>3019</v>
      </c>
      <c r="LI3" s="3391" t="s">
        <v>3973</v>
      </c>
      <c r="LJ3" s="3391" t="s">
        <v>3977</v>
      </c>
      <c r="LK3" s="3391" t="s">
        <v>2052</v>
      </c>
      <c r="LL3" s="3391" t="s">
        <v>2053</v>
      </c>
      <c r="LM3" s="3391" t="s">
        <v>2054</v>
      </c>
      <c r="LN3" s="3391" t="s">
        <v>2055</v>
      </c>
      <c r="LO3" s="3391" t="s">
        <v>2056</v>
      </c>
      <c r="LP3" s="3391" t="s">
        <v>2057</v>
      </c>
      <c r="LQ3" s="3391" t="s">
        <v>2058</v>
      </c>
      <c r="LR3" s="3391" t="s">
        <v>2059</v>
      </c>
      <c r="LS3" s="3391" t="s">
        <v>2060</v>
      </c>
      <c r="LT3" s="3391" t="s">
        <v>2061</v>
      </c>
      <c r="LU3" s="3391" t="s">
        <v>5042</v>
      </c>
      <c r="LV3" s="3391" t="str">
        <f>'Scenario Identification'!$C6</f>
        <v>Accumulation of Untreated Vent or Waste</v>
      </c>
      <c r="LW3" s="3391" t="str">
        <f>'Scenario Identification'!$C7</f>
        <v>Blocked-In with Thermal Expansion</v>
      </c>
      <c r="LX3" s="3391" t="str">
        <f>'Scenario Identification'!$C8</f>
        <v>Casing or Containment Failure</v>
      </c>
      <c r="LY3" s="3391" t="str">
        <f>'Scenario Identification'!$C9</f>
        <v>Connection Failure</v>
      </c>
      <c r="LZ3" s="3391" t="str">
        <f>'Scenario Identification'!$C10</f>
        <v>Drain or Vent Valve Open</v>
      </c>
      <c r="MA3" s="3391" t="str">
        <f>'Scenario Identification'!$C11</f>
        <v>Dust Accumulation in Process Area</v>
      </c>
      <c r="MB3" s="3391" t="str">
        <f>'Scenario Identification'!$C12</f>
        <v>Ignitable Headspace</v>
      </c>
      <c r="MC3" s="3391" t="str">
        <f>'Scenario Identification'!$C13</f>
        <v>Excessive Heat Input - Heat Transfer</v>
      </c>
      <c r="MD3" s="3391" t="str">
        <f>'Scenario Identification'!$C14</f>
        <v>Excessive Heat Input - Mechanical</v>
      </c>
      <c r="ME3" s="3391" t="str">
        <f>'Scenario Identification'!$C15</f>
        <v>Excessive Heat Input - Pool Fire Exposure</v>
      </c>
      <c r="MF3" s="3391" t="str">
        <f>'Scenario Identification'!$C16</f>
        <v>Excessive Pad Gas Pressure</v>
      </c>
      <c r="MG3" s="3391" t="str">
        <f>'Scenario Identification'!$C17</f>
        <v>Excessive Vapor Feed Flow</v>
      </c>
      <c r="MH3" s="3391" t="str">
        <f>'Scenario Identification'!$C18</f>
        <v>Pad Gas Compression</v>
      </c>
      <c r="MI3" s="3391" t="str">
        <f>'Scenario Identification'!$C19</f>
        <v>Exhaustion of Scrubbing Media</v>
      </c>
      <c r="MJ3" s="3391" t="str">
        <f>'Scenario Identification'!$C20</f>
        <v>Flash Back of Vent to Fired Equipment</v>
      </c>
      <c r="MK3" s="3391" t="str">
        <f>'Scenario Identification'!$C21</f>
        <v>Fuel Accumulation during Light Off</v>
      </c>
      <c r="ML3" s="3391" t="str">
        <f>'Scenario Identification'!$C22</f>
        <v>Fuel Accumulation during Operation</v>
      </c>
      <c r="MM3" s="3391" t="str">
        <f>'Scenario Identification'!$C23</f>
        <v>Fuel Accumulation while Down</v>
      </c>
      <c r="MN3" s="3391" t="str">
        <f>'Scenario Identification'!$C24</f>
        <v>High Fuel Flow or Energy Content</v>
      </c>
      <c r="MO3" s="3391" t="str">
        <f>'Scenario Identification'!$C25</f>
        <v>High Temperature Failure</v>
      </c>
      <c r="MP3" s="3391" t="str">
        <f>'Scenario Identification'!$C26</f>
        <v>Hose or Loading Arm Connection</v>
      </c>
      <c r="MQ3" s="3391" t="str">
        <f>'Scenario Identification'!$C27</f>
        <v>Damage from Movement</v>
      </c>
      <c r="MR3" s="3391" t="str">
        <f>'Scenario Identification'!$C28</f>
        <v>Hydraulic Surge</v>
      </c>
      <c r="MS3" s="3391" t="str">
        <f>'Scenario Identification'!$C29</f>
        <v>Hydraulic Overpressure</v>
      </c>
      <c r="MT3" s="3391" t="str">
        <f>'Scenario Identification'!$C30</f>
        <v>Introduction of Foreign Material</v>
      </c>
      <c r="MU3" s="3391" t="str">
        <f>'Scenario Identification'!$C31</f>
        <v>Liquid in Vapor Feed</v>
      </c>
      <c r="MV3" s="3391" t="str">
        <f>'Scenario Identification'!$C32</f>
        <v>Loss of Flow - Adsorber or Scrubber</v>
      </c>
      <c r="MW3" s="3391" t="str">
        <f>'Scenario Identification'!$C33</f>
        <v>Loss of Flow or Level - Fired Equipment</v>
      </c>
      <c r="MX3" s="3391" t="str">
        <f>'Scenario Identification'!$C34</f>
        <v>Loss of Pilot or Ignition</v>
      </c>
      <c r="MY3" s="3391" t="str">
        <f>'Scenario Identification'!$C35</f>
        <v>Loss of Vacuum - Thermal Oxidizer</v>
      </c>
      <c r="MZ3" s="3391" t="str">
        <f>'Scenario Identification'!$C36</f>
        <v>Low Temperature Embrittlement</v>
      </c>
      <c r="NA3" s="3391" t="str">
        <f>'Scenario Identification'!$C37</f>
        <v>Overfill or Overflow</v>
      </c>
      <c r="NB3" s="3391" t="str">
        <f>'Scenario Identification'!$C38</f>
        <v>Overfill or Backflow</v>
      </c>
      <c r="NC3" s="3391" t="str">
        <f>'Scenario Identification'!$C39</f>
        <v>Overflow - Flooding or Plugging</v>
      </c>
      <c r="ND3" s="3391" t="str">
        <f>'Scenario Identification'!$C40</f>
        <v>Physical Damage or Puncture</v>
      </c>
      <c r="NE3" s="3391" t="str">
        <f>'Scenario Identification'!$C41</f>
        <v>Mechanical Integrity Failure - Extremely Large</v>
      </c>
      <c r="NF3" s="3391" t="str">
        <f>'Scenario Identification'!$C42</f>
        <v>Mechanical Integrity Failure - Very Large</v>
      </c>
      <c r="NG3" s="3391" t="str">
        <f>'Scenario Identification'!$C43</f>
        <v>Piping or Equipment Leak - Full Bore</v>
      </c>
      <c r="NH3" s="3391" t="str">
        <f>'Scenario Identification'!$C44</f>
        <v>Mechanical Integrity Failure - Medium</v>
      </c>
      <c r="NI3" s="3391" t="str">
        <f>'Scenario Identification'!$C45</f>
        <v>Relief Device Failure</v>
      </c>
      <c r="NJ3" s="3391" t="str">
        <f>'Scenario Identification'!$C46</f>
        <v>Piping or Equipment Leak - Small</v>
      </c>
      <c r="NK3" s="3391" t="str">
        <f>'Scenario Identification'!$C47</f>
        <v>Mechanical Integrity Failure - Very Small</v>
      </c>
      <c r="NL3" s="3391" t="str">
        <f>'Scenario Identification'!$C48</f>
        <v>Plugged or Frozen Vent Line</v>
      </c>
      <c r="NM3" s="3391" t="str">
        <f>'Scenario Identification'!$C49</f>
        <v>Pressure Damage</v>
      </c>
      <c r="NN3" s="3391" t="str">
        <f>'Scenario Identification'!$C50</f>
        <v>Propagation of Flame or Burning Ember</v>
      </c>
      <c r="NO3" s="3391" t="str">
        <f>'Scenario Identification'!$C51</f>
        <v>Pump Deadhead</v>
      </c>
      <c r="NP3" s="3391" t="str">
        <f>'Scenario Identification'!$C52</f>
        <v>Rotating Equipment Damage</v>
      </c>
      <c r="NQ3" s="3391" t="str">
        <f>'Scenario Identification'!$C53</f>
        <v>Seal Leak</v>
      </c>
      <c r="NR3" s="3391" t="str">
        <f>'Scenario Identification'!$C54</f>
        <v>Tube Failure</v>
      </c>
      <c r="NS3" s="3391" t="str">
        <f>'Scenario Identification'!$C55</f>
        <v>Uncontrolled Reaction - Adiabatic</v>
      </c>
      <c r="NT3" s="3391" t="str">
        <f>'Scenario Identification'!$C56</f>
        <v>Uncontrolled Reaction - Thermal Initiation</v>
      </c>
      <c r="NU3" s="3391" t="str">
        <f>'Scenario Identification'!$C57</f>
        <v>Uncontrolled Reaction - Fire Induced</v>
      </c>
      <c r="NV3" s="3391" t="str">
        <f>'Scenario Identification'!$C58</f>
        <v>Uncontrolled Reaction - Catalyst or Impurity</v>
      </c>
      <c r="NW3" s="3391" t="str">
        <f>'Scenario Identification'!$C59</f>
        <v>Uncontrolled Reaction - Pooling of Reactants</v>
      </c>
      <c r="NX3" s="3391" t="str">
        <f>'Scenario Identification'!$C60</f>
        <v>Uncontrolled Reaction - Mis-Loading</v>
      </c>
      <c r="NY3" s="3391" t="str">
        <f>'Scenario Identification'!$C61</f>
        <v>Uncontrolled Reaction - Incompatible Materials</v>
      </c>
      <c r="NZ3" s="3391" t="str">
        <f>'Scenario Identification'!$C62</f>
        <v>Vacuum Damage</v>
      </c>
      <c r="OA3" s="3391" t="str">
        <f>'Scenario Identification'!$C63</f>
        <v>USER DEFINED - EVENT TYPE</v>
      </c>
      <c r="OB3" s="3391" t="str">
        <f>'Scenario Identification'!$C6</f>
        <v>Accumulation of Untreated Vent or Waste</v>
      </c>
      <c r="OC3" s="3391" t="str">
        <f>'Scenario Identification'!$C7</f>
        <v>Blocked-In with Thermal Expansion</v>
      </c>
      <c r="OD3" s="3391" t="str">
        <f>'Scenario Identification'!$C8</f>
        <v>Casing or Containment Failure</v>
      </c>
      <c r="OE3" s="3391" t="str">
        <f>'Scenario Identification'!$C9</f>
        <v>Connection Failure</v>
      </c>
      <c r="OF3" s="3391" t="str">
        <f>'Scenario Identification'!$C10</f>
        <v>Drain or Vent Valve Open</v>
      </c>
      <c r="OG3" s="3391" t="str">
        <f>'Scenario Identification'!$C11</f>
        <v>Dust Accumulation in Process Area</v>
      </c>
      <c r="OH3" s="3391" t="str">
        <f>'Scenario Identification'!$C12</f>
        <v>Ignitable Headspace</v>
      </c>
      <c r="OI3" s="3391" t="str">
        <f>'Scenario Identification'!$C13</f>
        <v>Excessive Heat Input - Heat Transfer</v>
      </c>
      <c r="OJ3" s="3391" t="str">
        <f>'Scenario Identification'!$C14</f>
        <v>Excessive Heat Input - Mechanical</v>
      </c>
      <c r="OK3" s="3391" t="str">
        <f>'Scenario Identification'!$C15</f>
        <v>Excessive Heat Input - Pool Fire Exposure</v>
      </c>
      <c r="OL3" s="3391" t="str">
        <f>'Scenario Identification'!$C16</f>
        <v>Excessive Pad Gas Pressure</v>
      </c>
      <c r="OM3" s="3391" t="str">
        <f>'Scenario Identification'!$C17</f>
        <v>Excessive Vapor Feed Flow</v>
      </c>
      <c r="ON3" s="3391" t="str">
        <f>'Scenario Identification'!$C18</f>
        <v>Pad Gas Compression</v>
      </c>
      <c r="OO3" s="3391" t="str">
        <f>'Scenario Identification'!$C19</f>
        <v>Exhaustion of Scrubbing Media</v>
      </c>
      <c r="OP3" s="3391" t="str">
        <f>'Scenario Identification'!$C20</f>
        <v>Flash Back of Vent to Fired Equipment</v>
      </c>
      <c r="OQ3" s="3391" t="str">
        <f>'Scenario Identification'!$C21</f>
        <v>Fuel Accumulation during Light Off</v>
      </c>
      <c r="OR3" s="3391" t="str">
        <f>'Scenario Identification'!$C22</f>
        <v>Fuel Accumulation during Operation</v>
      </c>
      <c r="OS3" s="3391" t="str">
        <f>'Scenario Identification'!$C23</f>
        <v>Fuel Accumulation while Down</v>
      </c>
      <c r="OT3" s="3391" t="str">
        <f>'Scenario Identification'!$C24</f>
        <v>High Fuel Flow or Energy Content</v>
      </c>
      <c r="OU3" s="3391" t="str">
        <f>'Scenario Identification'!$C25</f>
        <v>High Temperature Failure</v>
      </c>
      <c r="OV3" s="3391" t="str">
        <f>'Scenario Identification'!$C26</f>
        <v>Hose or Loading Arm Connection</v>
      </c>
      <c r="OW3" s="3391" t="str">
        <f>'Scenario Identification'!$C27</f>
        <v>Damage from Movement</v>
      </c>
      <c r="OX3" s="3391" t="str">
        <f>'Scenario Identification'!$C28</f>
        <v>Hydraulic Surge</v>
      </c>
      <c r="OY3" s="3391" t="str">
        <f>'Scenario Identification'!$C29</f>
        <v>Hydraulic Overpressure</v>
      </c>
      <c r="OZ3" s="3391" t="str">
        <f>'Scenario Identification'!$C30</f>
        <v>Introduction of Foreign Material</v>
      </c>
      <c r="PA3" s="3391" t="str">
        <f>'Scenario Identification'!$C31</f>
        <v>Liquid in Vapor Feed</v>
      </c>
      <c r="PB3" s="3391" t="str">
        <f>'Scenario Identification'!$C32</f>
        <v>Loss of Flow - Adsorber or Scrubber</v>
      </c>
      <c r="PC3" s="3391" t="str">
        <f>'Scenario Identification'!$C33</f>
        <v>Loss of Flow or Level - Fired Equipment</v>
      </c>
      <c r="PD3" s="3391" t="str">
        <f>'Scenario Identification'!$C34</f>
        <v>Loss of Pilot or Ignition</v>
      </c>
      <c r="PE3" s="3391" t="str">
        <f>'Scenario Identification'!$C35</f>
        <v>Loss of Vacuum - Thermal Oxidizer</v>
      </c>
      <c r="PF3" s="3391" t="str">
        <f>'Scenario Identification'!$C36</f>
        <v>Low Temperature Embrittlement</v>
      </c>
      <c r="PG3" s="3391" t="str">
        <f>'Scenario Identification'!$C37</f>
        <v>Overfill or Overflow</v>
      </c>
      <c r="PH3" s="3391" t="str">
        <f>'Scenario Identification'!$C38</f>
        <v>Overfill or Backflow</v>
      </c>
      <c r="PI3" s="3391" t="str">
        <f>'Scenario Identification'!$C39</f>
        <v>Overflow - Flooding or Plugging</v>
      </c>
      <c r="PJ3" s="3391" t="str">
        <f>'Scenario Identification'!$C40</f>
        <v>Physical Damage or Puncture</v>
      </c>
      <c r="PK3" s="3391" t="str">
        <f>'Scenario Identification'!$C41</f>
        <v>Mechanical Integrity Failure - Extremely Large</v>
      </c>
      <c r="PL3" s="3391" t="str">
        <f>'Scenario Identification'!$C42</f>
        <v>Mechanical Integrity Failure - Very Large</v>
      </c>
      <c r="PM3" s="3391" t="str">
        <f>'Scenario Identification'!$C43</f>
        <v>Piping or Equipment Leak - Full Bore</v>
      </c>
      <c r="PN3" s="3391" t="str">
        <f>'Scenario Identification'!$C44</f>
        <v>Mechanical Integrity Failure - Medium</v>
      </c>
      <c r="PO3" s="3391" t="str">
        <f>'Scenario Identification'!$C45</f>
        <v>Relief Device Failure</v>
      </c>
      <c r="PP3" s="3391" t="str">
        <f>'Scenario Identification'!$C46</f>
        <v>Piping or Equipment Leak - Small</v>
      </c>
      <c r="PQ3" s="3391" t="str">
        <f>'Scenario Identification'!$C47</f>
        <v>Mechanical Integrity Failure - Very Small</v>
      </c>
      <c r="PR3" s="3391" t="str">
        <f>'Scenario Identification'!$C48</f>
        <v>Plugged or Frozen Vent Line</v>
      </c>
      <c r="PS3" s="3391" t="str">
        <f>'Scenario Identification'!$C49</f>
        <v>Pressure Damage</v>
      </c>
      <c r="PT3" s="3391" t="str">
        <f>'Scenario Identification'!$C50</f>
        <v>Propagation of Flame or Burning Ember</v>
      </c>
      <c r="PU3" s="3391" t="str">
        <f>'Scenario Identification'!$C51</f>
        <v>Pump Deadhead</v>
      </c>
      <c r="PV3" s="3391" t="str">
        <f>'Scenario Identification'!$C52</f>
        <v>Rotating Equipment Damage</v>
      </c>
      <c r="PW3" s="3391" t="str">
        <f>'Scenario Identification'!$C53</f>
        <v>Seal Leak</v>
      </c>
      <c r="PX3" s="3391" t="str">
        <f>'Scenario Identification'!$C54</f>
        <v>Tube Failure</v>
      </c>
      <c r="PY3" s="3391" t="str">
        <f>'Scenario Identification'!$C55</f>
        <v>Uncontrolled Reaction - Adiabatic</v>
      </c>
      <c r="PZ3" s="3391" t="str">
        <f>'Scenario Identification'!$C56</f>
        <v>Uncontrolled Reaction - Thermal Initiation</v>
      </c>
      <c r="QA3" s="3391" t="str">
        <f>'Scenario Identification'!$C57</f>
        <v>Uncontrolled Reaction - Fire Induced</v>
      </c>
      <c r="QB3" s="3391" t="str">
        <f>'Scenario Identification'!$C58</f>
        <v>Uncontrolled Reaction - Catalyst or Impurity</v>
      </c>
      <c r="QC3" s="3391" t="str">
        <f>'Scenario Identification'!$C59</f>
        <v>Uncontrolled Reaction - Pooling of Reactants</v>
      </c>
      <c r="QD3" s="3391" t="str">
        <f>'Scenario Identification'!$C60</f>
        <v>Uncontrolled Reaction - Mis-Loading</v>
      </c>
      <c r="QE3" s="3391" t="str">
        <f>'Scenario Identification'!$C61</f>
        <v>Uncontrolled Reaction - Incompatible Materials</v>
      </c>
      <c r="QF3" s="3391" t="str">
        <f>'Scenario Identification'!$C62</f>
        <v>Vacuum Damage</v>
      </c>
      <c r="QG3" s="3391" t="str">
        <f>'Scenario Identification'!$C63</f>
        <v>USER DEFINED - EVENT TYPE</v>
      </c>
      <c r="QH3" s="3391" t="str">
        <f>'Scenario Identification'!$C6</f>
        <v>Accumulation of Untreated Vent or Waste</v>
      </c>
      <c r="QI3" s="3391" t="str">
        <f>'Scenario Identification'!$C7</f>
        <v>Blocked-In with Thermal Expansion</v>
      </c>
      <c r="QJ3" s="3391" t="str">
        <f>'Scenario Identification'!$C8</f>
        <v>Casing or Containment Failure</v>
      </c>
      <c r="QK3" s="3391" t="str">
        <f>'Scenario Identification'!$C9</f>
        <v>Connection Failure</v>
      </c>
      <c r="QL3" s="3391" t="str">
        <f>'Scenario Identification'!$C10</f>
        <v>Drain or Vent Valve Open</v>
      </c>
      <c r="QM3" s="3391" t="str">
        <f>'Scenario Identification'!$C11</f>
        <v>Dust Accumulation in Process Area</v>
      </c>
      <c r="QN3" s="3391" t="str">
        <f>'Scenario Identification'!$C12</f>
        <v>Ignitable Headspace</v>
      </c>
      <c r="QO3" s="3391" t="str">
        <f>'Scenario Identification'!$C13</f>
        <v>Excessive Heat Input - Heat Transfer</v>
      </c>
      <c r="QP3" s="3391" t="str">
        <f>'Scenario Identification'!$C14</f>
        <v>Excessive Heat Input - Mechanical</v>
      </c>
      <c r="QQ3" s="3391" t="str">
        <f>'Scenario Identification'!$C15</f>
        <v>Excessive Heat Input - Pool Fire Exposure</v>
      </c>
      <c r="QR3" s="3391" t="str">
        <f>'Scenario Identification'!$C16</f>
        <v>Excessive Pad Gas Pressure</v>
      </c>
      <c r="QS3" s="3391" t="str">
        <f>'Scenario Identification'!$C17</f>
        <v>Excessive Vapor Feed Flow</v>
      </c>
      <c r="QT3" s="3391" t="str">
        <f>'Scenario Identification'!$C18</f>
        <v>Pad Gas Compression</v>
      </c>
      <c r="QU3" s="3391" t="str">
        <f>'Scenario Identification'!$C19</f>
        <v>Exhaustion of Scrubbing Media</v>
      </c>
      <c r="QV3" s="3391" t="str">
        <f>'Scenario Identification'!$C20</f>
        <v>Flash Back of Vent to Fired Equipment</v>
      </c>
      <c r="QW3" s="3391" t="str">
        <f>'Scenario Identification'!$C21</f>
        <v>Fuel Accumulation during Light Off</v>
      </c>
      <c r="QX3" s="3391" t="str">
        <f>'Scenario Identification'!$C22</f>
        <v>Fuel Accumulation during Operation</v>
      </c>
      <c r="QY3" s="3391" t="str">
        <f>'Scenario Identification'!$C23</f>
        <v>Fuel Accumulation while Down</v>
      </c>
      <c r="QZ3" s="3391" t="str">
        <f>'Scenario Identification'!$C24</f>
        <v>High Fuel Flow or Energy Content</v>
      </c>
      <c r="RA3" s="3391" t="str">
        <f>'Scenario Identification'!$C25</f>
        <v>High Temperature Failure</v>
      </c>
      <c r="RB3" s="3391" t="str">
        <f>'Scenario Identification'!$C26</f>
        <v>Hose or Loading Arm Connection</v>
      </c>
      <c r="RC3" s="3391" t="str">
        <f>'Scenario Identification'!$C27</f>
        <v>Damage from Movement</v>
      </c>
      <c r="RD3" s="3391" t="str">
        <f>'Scenario Identification'!$C28</f>
        <v>Hydraulic Surge</v>
      </c>
      <c r="RE3" s="3391" t="str">
        <f>'Scenario Identification'!$C29</f>
        <v>Hydraulic Overpressure</v>
      </c>
      <c r="RF3" s="3391" t="str">
        <f>'Scenario Identification'!$C30</f>
        <v>Introduction of Foreign Material</v>
      </c>
      <c r="RG3" s="3391" t="str">
        <f>'Scenario Identification'!$C31</f>
        <v>Liquid in Vapor Feed</v>
      </c>
      <c r="RH3" s="3391" t="str">
        <f>'Scenario Identification'!$C32</f>
        <v>Loss of Flow - Adsorber or Scrubber</v>
      </c>
      <c r="RI3" s="3391" t="str">
        <f>'Scenario Identification'!$C33</f>
        <v>Loss of Flow or Level - Fired Equipment</v>
      </c>
      <c r="RJ3" s="3391" t="str">
        <f>'Scenario Identification'!$C34</f>
        <v>Loss of Pilot or Ignition</v>
      </c>
      <c r="RK3" s="3391" t="str">
        <f>'Scenario Identification'!$C35</f>
        <v>Loss of Vacuum - Thermal Oxidizer</v>
      </c>
      <c r="RL3" s="3391" t="str">
        <f>'Scenario Identification'!$C36</f>
        <v>Low Temperature Embrittlement</v>
      </c>
      <c r="RM3" s="3391" t="str">
        <f>'Scenario Identification'!$C37</f>
        <v>Overfill or Overflow</v>
      </c>
      <c r="RN3" s="3391" t="str">
        <f>'Scenario Identification'!$C38</f>
        <v>Overfill or Backflow</v>
      </c>
      <c r="RO3" s="3391" t="str">
        <f>'Scenario Identification'!$C39</f>
        <v>Overflow - Flooding or Plugging</v>
      </c>
      <c r="RP3" s="3391" t="str">
        <f>'Scenario Identification'!$C40</f>
        <v>Physical Damage or Puncture</v>
      </c>
      <c r="RQ3" s="3391" t="str">
        <f>'Scenario Identification'!$C41</f>
        <v>Mechanical Integrity Failure - Extremely Large</v>
      </c>
      <c r="RR3" s="3391" t="str">
        <f>'Scenario Identification'!$C42</f>
        <v>Mechanical Integrity Failure - Very Large</v>
      </c>
      <c r="RS3" s="3391" t="str">
        <f>'Scenario Identification'!$C43</f>
        <v>Piping or Equipment Leak - Full Bore</v>
      </c>
      <c r="RT3" s="3391" t="str">
        <f>'Scenario Identification'!$C44</f>
        <v>Mechanical Integrity Failure - Medium</v>
      </c>
      <c r="RU3" s="3391" t="str">
        <f>'Scenario Identification'!$C45</f>
        <v>Relief Device Failure</v>
      </c>
      <c r="RV3" s="3391" t="str">
        <f>'Scenario Identification'!$C46</f>
        <v>Piping or Equipment Leak - Small</v>
      </c>
      <c r="RW3" s="3391" t="str">
        <f>'Scenario Identification'!$C47</f>
        <v>Mechanical Integrity Failure - Very Small</v>
      </c>
      <c r="RX3" s="3391" t="str">
        <f>'Scenario Identification'!$C48</f>
        <v>Plugged or Frozen Vent Line</v>
      </c>
      <c r="RY3" s="3391" t="str">
        <f>'Scenario Identification'!$C49</f>
        <v>Pressure Damage</v>
      </c>
      <c r="RZ3" s="3391" t="str">
        <f>'Scenario Identification'!$C50</f>
        <v>Propagation of Flame or Burning Ember</v>
      </c>
      <c r="SA3" s="3391" t="str">
        <f>'Scenario Identification'!$C51</f>
        <v>Pump Deadhead</v>
      </c>
      <c r="SB3" s="3391" t="str">
        <f>'Scenario Identification'!$C52</f>
        <v>Rotating Equipment Damage</v>
      </c>
      <c r="SC3" s="3391" t="str">
        <f>'Scenario Identification'!$C53</f>
        <v>Seal Leak</v>
      </c>
      <c r="SD3" s="3391" t="str">
        <f>'Scenario Identification'!$C54</f>
        <v>Tube Failure</v>
      </c>
      <c r="SE3" s="3391" t="str">
        <f>'Scenario Identification'!$C55</f>
        <v>Uncontrolled Reaction - Adiabatic</v>
      </c>
      <c r="SF3" s="3391" t="str">
        <f>'Scenario Identification'!$C56</f>
        <v>Uncontrolled Reaction - Thermal Initiation</v>
      </c>
      <c r="SG3" s="3391" t="str">
        <f>'Scenario Identification'!$C57</f>
        <v>Uncontrolled Reaction - Fire Induced</v>
      </c>
      <c r="SH3" s="3391" t="str">
        <f>'Scenario Identification'!$C58</f>
        <v>Uncontrolled Reaction - Catalyst or Impurity</v>
      </c>
      <c r="SI3" s="3391" t="str">
        <f>'Scenario Identification'!$C59</f>
        <v>Uncontrolled Reaction - Pooling of Reactants</v>
      </c>
      <c r="SJ3" s="3391" t="str">
        <f>'Scenario Identification'!$C60</f>
        <v>Uncontrolled Reaction - Mis-Loading</v>
      </c>
      <c r="SK3" s="3391" t="str">
        <f>'Scenario Identification'!$C61</f>
        <v>Uncontrolled Reaction - Incompatible Materials</v>
      </c>
      <c r="SL3" s="3391" t="str">
        <f>'Scenario Identification'!$C62</f>
        <v>Vacuum Damage</v>
      </c>
      <c r="SM3" s="3393" t="str">
        <f>'Scenario Identification'!$C63</f>
        <v>USER DEFINED - EVENT TYPE</v>
      </c>
    </row>
  </sheetData>
  <autoFilter ref="A3:LT3" xr:uid="{00000000-0009-0000-0000-000005000000}"/>
  <dataConsolidate link="1"/>
  <phoneticPr fontId="3" type="noConversion"/>
  <printOptions horizontalCentered="1"/>
  <pageMargins left="0" right="0" top="0.5" bottom="0.5" header="0.25" footer="0.25"/>
  <pageSetup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Load_Selected_Equipment">
              <controlPr defaultSize="0" print="0" autoFill="0" autoPict="0" macro="[0]!Load_Equipment_Manual">
                <anchor moveWithCells="1" sizeWithCells="1">
                  <from>
                    <xdr:col>0</xdr:col>
                    <xdr:colOff>1562100</xdr:colOff>
                    <xdr:row>0</xdr:row>
                    <xdr:rowOff>88900</xdr:rowOff>
                  </from>
                  <to>
                    <xdr:col>0</xdr:col>
                    <xdr:colOff>2203450</xdr:colOff>
                    <xdr:row>0</xdr:row>
                    <xdr:rowOff>476250</xdr:rowOff>
                  </to>
                </anchor>
              </controlPr>
            </control>
          </mc:Choice>
        </mc:AlternateContent>
        <mc:AlternateContent xmlns:mc="http://schemas.openxmlformats.org/markup-compatibility/2006">
          <mc:Choice Requires="x14">
            <control shapeId="8197" r:id="rId5" name="Clear_Equipment_Table">
              <controlPr defaultSize="0" print="0" autoFill="0" autoPict="0" macro="[0]!Clear_Equip_Table">
                <anchor moveWithCells="1" sizeWithCells="1">
                  <from>
                    <xdr:col>5</xdr:col>
                    <xdr:colOff>355600</xdr:colOff>
                    <xdr:row>0</xdr:row>
                    <xdr:rowOff>127000</xdr:rowOff>
                  </from>
                  <to>
                    <xdr:col>6</xdr:col>
                    <xdr:colOff>774700</xdr:colOff>
                    <xdr:row>0</xdr:row>
                    <xdr:rowOff>317500</xdr:rowOff>
                  </to>
                </anchor>
              </controlPr>
            </control>
          </mc:Choice>
        </mc:AlternateContent>
        <mc:AlternateContent xmlns:mc="http://schemas.openxmlformats.org/markup-compatibility/2006">
          <mc:Choice Requires="x14">
            <control shapeId="8200" r:id="rId6" name="Go_To_Results">
              <controlPr defaultSize="0" print="0" autoFill="0" autoPict="0" macro="[0]!Go_To_Scenario_Results">
                <anchor moveWithCells="1" sizeWithCells="1">
                  <from>
                    <xdr:col>7</xdr:col>
                    <xdr:colOff>355600</xdr:colOff>
                    <xdr:row>0</xdr:row>
                    <xdr:rowOff>393700</xdr:rowOff>
                  </from>
                  <to>
                    <xdr:col>9</xdr:col>
                    <xdr:colOff>546100</xdr:colOff>
                    <xdr:row>0</xdr:row>
                    <xdr:rowOff>584200</xdr:rowOff>
                  </to>
                </anchor>
              </controlPr>
            </control>
          </mc:Choice>
        </mc:AlternateContent>
        <mc:AlternateContent xmlns:mc="http://schemas.openxmlformats.org/markup-compatibility/2006">
          <mc:Choice Requires="x14">
            <control shapeId="8202" r:id="rId7" name="Go_To_Input">
              <controlPr defaultSize="0" print="0" autoFill="0" autoPict="0" macro="[0]!Go_To_Input_Data">
                <anchor moveWithCells="1" sizeWithCells="1">
                  <from>
                    <xdr:col>7</xdr:col>
                    <xdr:colOff>457200</xdr:colOff>
                    <xdr:row>0</xdr:row>
                    <xdr:rowOff>69850</xdr:rowOff>
                  </from>
                  <to>
                    <xdr:col>9</xdr:col>
                    <xdr:colOff>565150</xdr:colOff>
                    <xdr:row>0</xdr:row>
                    <xdr:rowOff>260350</xdr:rowOff>
                  </to>
                </anchor>
              </controlPr>
            </control>
          </mc:Choice>
        </mc:AlternateContent>
        <mc:AlternateContent xmlns:mc="http://schemas.openxmlformats.org/markup-compatibility/2006">
          <mc:Choice Requires="x14">
            <control shapeId="8461" r:id="rId8" name="Calculate">
              <controlPr defaultSize="0" print="0" autoFill="0" autoPict="0" macro="[0]!Calculate_Scenarios">
                <anchor moveWithCells="1" sizeWithCells="1">
                  <from>
                    <xdr:col>1</xdr:col>
                    <xdr:colOff>152400</xdr:colOff>
                    <xdr:row>0</xdr:row>
                    <xdr:rowOff>69850</xdr:rowOff>
                  </from>
                  <to>
                    <xdr:col>1</xdr:col>
                    <xdr:colOff>1257300</xdr:colOff>
                    <xdr:row>0</xdr:row>
                    <xdr:rowOff>393700</xdr:rowOff>
                  </to>
                </anchor>
              </controlPr>
            </control>
          </mc:Choice>
        </mc:AlternateContent>
        <mc:AlternateContent xmlns:mc="http://schemas.openxmlformats.org/markup-compatibility/2006">
          <mc:Choice Requires="x14">
            <control shapeId="8462" r:id="rId9" name="Calculate_All">
              <controlPr defaultSize="0" print="0" autoFill="0" autoPict="0" macro="[0]!Calculate_All_Equipment">
                <anchor moveWithCells="1" sizeWithCells="1">
                  <from>
                    <xdr:col>2</xdr:col>
                    <xdr:colOff>152400</xdr:colOff>
                    <xdr:row>0</xdr:row>
                    <xdr:rowOff>69850</xdr:rowOff>
                  </from>
                  <to>
                    <xdr:col>2</xdr:col>
                    <xdr:colOff>1212850</xdr:colOff>
                    <xdr:row>0</xdr:row>
                    <xdr:rowOff>393700</xdr:rowOff>
                  </to>
                </anchor>
              </controlPr>
            </control>
          </mc:Choice>
        </mc:AlternateContent>
        <mc:AlternateContent xmlns:mc="http://schemas.openxmlformats.org/markup-compatibility/2006">
          <mc:Choice Requires="x14">
            <control shapeId="8464" r:id="rId10" name="Button 272">
              <controlPr defaultSize="0" print="0" autoFill="0" autoPict="0" macro="[0]!Load_Equipment_Manual">
                <anchor moveWithCells="1" sizeWithCells="1">
                  <from>
                    <xdr:col>0</xdr:col>
                    <xdr:colOff>1562100</xdr:colOff>
                    <xdr:row>0</xdr:row>
                    <xdr:rowOff>88900</xdr:rowOff>
                  </from>
                  <to>
                    <xdr:col>0</xdr:col>
                    <xdr:colOff>2203450</xdr:colOff>
                    <xdr:row>0</xdr:row>
                    <xdr:rowOff>476250</xdr:rowOff>
                  </to>
                </anchor>
              </controlPr>
            </control>
          </mc:Choice>
        </mc:AlternateContent>
        <mc:AlternateContent xmlns:mc="http://schemas.openxmlformats.org/markup-compatibility/2006">
          <mc:Choice Requires="x14">
            <control shapeId="8465" r:id="rId11" name="Layers of Protection Analysis">
              <controlPr defaultSize="0" print="0" autoFill="0" autoPict="0" macro="[0]!Go_To_LOPA_Menu">
                <anchor moveWithCells="1" sizeWithCells="1">
                  <from>
                    <xdr:col>0</xdr:col>
                    <xdr:colOff>88900</xdr:colOff>
                    <xdr:row>0</xdr:row>
                    <xdr:rowOff>95250</xdr:rowOff>
                  </from>
                  <to>
                    <xdr:col>0</xdr:col>
                    <xdr:colOff>774700</xdr:colOff>
                    <xdr:row>0</xdr:row>
                    <xdr:rowOff>476250</xdr:rowOff>
                  </to>
                </anchor>
              </controlPr>
            </control>
          </mc:Choice>
        </mc:AlternateContent>
        <mc:AlternateContent xmlns:mc="http://schemas.openxmlformats.org/markup-compatibility/2006">
          <mc:Choice Requires="x14">
            <control shapeId="8466" r:id="rId12" name="Button 274">
              <controlPr defaultSize="0" print="0" autoFill="0" autoPict="0" macro="[0]!Go_To_Main_Menu">
                <anchor moveWithCells="1" sizeWithCells="1">
                  <from>
                    <xdr:col>0</xdr:col>
                    <xdr:colOff>850900</xdr:colOff>
                    <xdr:row>0</xdr:row>
                    <xdr:rowOff>76200</xdr:rowOff>
                  </from>
                  <to>
                    <xdr:col>0</xdr:col>
                    <xdr:colOff>1498600</xdr:colOff>
                    <xdr:row>0</xdr:row>
                    <xdr:rowOff>469900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FFFF00"/>
    <pageSetUpPr autoPageBreaks="0"/>
  </sheetPr>
  <dimension ref="A1:AW168"/>
  <sheetViews>
    <sheetView showGridLines="0" showRowColHeaders="0" zoomScale="90" zoomScaleNormal="90" workbookViewId="0">
      <selection activeCell="C9" sqref="C9:E9"/>
    </sheetView>
  </sheetViews>
  <sheetFormatPr defaultColWidth="9.1796875" defaultRowHeight="13" x14ac:dyDescent="0.25"/>
  <cols>
    <col min="1" max="1" width="2.81640625" style="30" customWidth="1"/>
    <col min="2" max="2" width="30.81640625" style="30" customWidth="1"/>
    <col min="3" max="9" width="10.81640625" style="30" customWidth="1"/>
    <col min="10" max="10" width="9.81640625" style="30" customWidth="1"/>
    <col min="11" max="11" width="2.81640625" style="30" customWidth="1"/>
    <col min="12" max="12" width="5.81640625" style="30" hidden="1" customWidth="1"/>
    <col min="13" max="13" width="25.81640625" style="30" hidden="1" customWidth="1"/>
    <col min="14" max="22" width="10.81640625" style="30" hidden="1" customWidth="1"/>
    <col min="23" max="24" width="11.81640625" style="30" hidden="1" customWidth="1"/>
    <col min="25" max="27" width="12.81640625" style="30" hidden="1" customWidth="1"/>
    <col min="28" max="32" width="10.81640625" style="30" hidden="1" customWidth="1"/>
    <col min="33" max="33" width="10.1796875" style="30" hidden="1" customWidth="1"/>
    <col min="34" max="34" width="10.81640625" style="30" hidden="1" customWidth="1"/>
    <col min="35" max="35" width="9.81640625" style="30" hidden="1" customWidth="1"/>
    <col min="36" max="36" width="9.54296875" style="30" hidden="1" customWidth="1"/>
    <col min="37" max="38" width="8.81640625" style="30" hidden="1" customWidth="1"/>
    <col min="39" max="39" width="9.54296875" style="30" hidden="1" customWidth="1"/>
    <col min="40" max="41" width="8.81640625" style="30" hidden="1" customWidth="1"/>
    <col min="42" max="44" width="9.1796875" style="30" hidden="1" customWidth="1"/>
    <col min="45" max="16384" width="9.1796875" style="30"/>
  </cols>
  <sheetData>
    <row r="1" spans="1:49" ht="18" x14ac:dyDescent="0.25">
      <c r="A1" s="122"/>
      <c r="B1" s="122"/>
      <c r="C1" s="122"/>
      <c r="D1" s="122"/>
      <c r="E1" s="551" t="s">
        <v>2319</v>
      </c>
      <c r="F1" s="122"/>
      <c r="G1" s="122"/>
      <c r="H1" s="122"/>
      <c r="I1" s="122"/>
      <c r="J1" s="122"/>
      <c r="K1" s="122"/>
      <c r="Y1" s="5"/>
    </row>
    <row r="2" spans="1:49" ht="18" x14ac:dyDescent="0.25">
      <c r="A2" s="122"/>
      <c r="B2" s="122"/>
      <c r="C2" s="122"/>
      <c r="D2" s="122"/>
      <c r="E2" s="551"/>
      <c r="F2" s="122"/>
      <c r="G2" s="122"/>
      <c r="H2" s="122"/>
      <c r="I2" s="122"/>
      <c r="J2" s="122"/>
      <c r="K2" s="122"/>
      <c r="M2" s="335" t="s">
        <v>4666</v>
      </c>
      <c r="N2" s="343">
        <f>IF(Pseudo_Chem="Yes",1,N18)</f>
        <v>0</v>
      </c>
      <c r="O2" s="417" t="s">
        <v>4640</v>
      </c>
      <c r="P2" s="2434">
        <f>IF(Pseudo_Chem="Yes",1,R18)</f>
        <v>0</v>
      </c>
      <c r="Q2" s="417" t="s">
        <v>4645</v>
      </c>
      <c r="R2" s="2434">
        <f>IF(Pseudo_Chem="Yes",1,AI18)</f>
        <v>0</v>
      </c>
      <c r="S2" s="417" t="s">
        <v>4650</v>
      </c>
      <c r="T2" s="352">
        <f>IF(Pseudo_Chem="Yes",1,Q30)</f>
        <v>0</v>
      </c>
      <c r="U2" s="417" t="s">
        <v>4655</v>
      </c>
      <c r="V2" s="2448">
        <f>IF(Pseudo_Chem="Yes",1,AG30)</f>
        <v>1</v>
      </c>
      <c r="W2" s="417" t="s">
        <v>4660</v>
      </c>
      <c r="X2" s="2366" t="str">
        <f>IF(Pseudo_Chem="Yes",Mw_Mix,C64)</f>
        <v/>
      </c>
      <c r="Y2" s="417" t="s">
        <v>3909</v>
      </c>
      <c r="Z2" s="2450">
        <f>Fract_Key_Chemical</f>
        <v>0</v>
      </c>
    </row>
    <row r="3" spans="1:49" ht="15.5" x14ac:dyDescent="0.25">
      <c r="A3" s="122"/>
      <c r="B3" s="148"/>
      <c r="C3" s="122"/>
      <c r="D3" s="122"/>
      <c r="E3" s="345"/>
      <c r="F3" s="122"/>
      <c r="G3" s="122"/>
      <c r="H3" s="122"/>
      <c r="I3" s="122"/>
      <c r="J3" s="122"/>
      <c r="K3" s="122"/>
      <c r="M3" s="335" t="s">
        <v>4667</v>
      </c>
      <c r="N3" s="343">
        <f>IF(Pseudo_Chem="Yes",0,N19)</f>
        <v>0</v>
      </c>
      <c r="O3" s="417" t="s">
        <v>4641</v>
      </c>
      <c r="P3" s="2434">
        <f>IF(Pseudo_Chem="Yes",0,R19)</f>
        <v>0</v>
      </c>
      <c r="Q3" s="417" t="s">
        <v>4646</v>
      </c>
      <c r="R3" s="2434">
        <f>IF(Pseudo_Chem="Yes",0,AI19)</f>
        <v>0</v>
      </c>
      <c r="S3" s="417" t="s">
        <v>4652</v>
      </c>
      <c r="T3" s="352">
        <f>IF(Pseudo_Chem="Yes",0,Q31)</f>
        <v>0</v>
      </c>
      <c r="U3" s="417" t="s">
        <v>4657</v>
      </c>
      <c r="V3" s="2448">
        <f>IF(Pseudo_Chem="Yes",1,AG31)</f>
        <v>1</v>
      </c>
      <c r="W3" s="417" t="s">
        <v>4661</v>
      </c>
      <c r="X3" s="2366" t="str">
        <f>IF(Pseudo_Chem="Yes","",D64)</f>
        <v/>
      </c>
      <c r="Y3" s="417" t="s">
        <v>4665</v>
      </c>
      <c r="Z3" s="2452">
        <f>IF(Pseudo_Chem="Yes",1,AG35)</f>
        <v>1</v>
      </c>
    </row>
    <row r="4" spans="1:49" ht="13.5" customHeight="1" thickBot="1" x14ac:dyDescent="0.3">
      <c r="A4" s="122"/>
      <c r="B4" s="525"/>
      <c r="C4" s="122"/>
      <c r="D4" s="122"/>
      <c r="E4" s="345"/>
      <c r="F4" s="122"/>
      <c r="G4" s="122"/>
      <c r="H4" s="122"/>
      <c r="I4" s="122"/>
      <c r="J4" s="122"/>
      <c r="K4" s="122"/>
      <c r="M4" s="335" t="s">
        <v>4668</v>
      </c>
      <c r="N4" s="343">
        <f>IF(Pseudo_Chem="Yes",0,N20)</f>
        <v>0</v>
      </c>
      <c r="O4" s="417" t="s">
        <v>4642</v>
      </c>
      <c r="P4" s="2434">
        <f>IF(Pseudo_Chem="Yes",0,R20)</f>
        <v>0</v>
      </c>
      <c r="Q4" s="417" t="s">
        <v>4647</v>
      </c>
      <c r="R4" s="2434">
        <f>IF(Pseudo_Chem="Yes",0,AI20)</f>
        <v>0</v>
      </c>
      <c r="S4" s="417" t="s">
        <v>4653</v>
      </c>
      <c r="T4" s="352">
        <f>IF(Pseudo_Chem="Yes",0,Q32)</f>
        <v>0</v>
      </c>
      <c r="U4" s="417" t="s">
        <v>4658</v>
      </c>
      <c r="V4" s="2448">
        <f>IF(Pseudo_Chem="Yes",1,AG32)</f>
        <v>1</v>
      </c>
      <c r="W4" s="417" t="s">
        <v>4662</v>
      </c>
      <c r="X4" s="2366" t="str">
        <f>IF(Pseudo_Chem="Yes","",E64)</f>
        <v/>
      </c>
      <c r="Y4" s="417" t="s">
        <v>3876</v>
      </c>
      <c r="Z4" s="2442">
        <f>IF(Pseudo_Chem="Yes",AI47,AH35)</f>
        <v>0</v>
      </c>
    </row>
    <row r="5" spans="1:49" x14ac:dyDescent="0.3">
      <c r="A5" s="122"/>
      <c r="B5" s="526" t="s">
        <v>2323</v>
      </c>
      <c r="C5" s="3550" t="str">
        <f>IF(Equipment_Tag&lt;&gt;"",Equipment_Tag,"")</f>
        <v/>
      </c>
      <c r="D5" s="3551"/>
      <c r="E5" s="3539" t="str">
        <f>IF(OR(Equipment_Tag="",Equipment=""),"Enter Equipment Identification and Equipment Type on Study Menu Worksheet","")</f>
        <v>Enter Equipment Identification and Equipment Type on Study Menu Worksheet</v>
      </c>
      <c r="F5" s="3540"/>
      <c r="G5" s="3541" t="s">
        <v>90</v>
      </c>
      <c r="H5" s="3542"/>
      <c r="I5" s="679"/>
      <c r="J5" s="570" t="s">
        <v>1836</v>
      </c>
      <c r="K5" s="122"/>
      <c r="M5" s="335" t="s">
        <v>4669</v>
      </c>
      <c r="N5" s="343">
        <f>IF(Pseudo_Chem="Yes",0,N21)</f>
        <v>0</v>
      </c>
      <c r="O5" s="417" t="s">
        <v>4643</v>
      </c>
      <c r="P5" s="2434">
        <f>IF(Pseudo_Chem="Yes",0,R21)</f>
        <v>0</v>
      </c>
      <c r="Q5" s="417" t="s">
        <v>4648</v>
      </c>
      <c r="R5" s="2434">
        <f>IF(Pseudo_Chem="Yes",0,AI21)</f>
        <v>0</v>
      </c>
      <c r="S5" s="417" t="s">
        <v>4654</v>
      </c>
      <c r="T5" s="352">
        <f>IF(Pseudo_Chem="Yes",0,Q33)</f>
        <v>0</v>
      </c>
      <c r="U5" s="417" t="s">
        <v>4659</v>
      </c>
      <c r="V5" s="2448">
        <f>IF(Pseudo_Chem="Yes",1,AG33)</f>
        <v>1</v>
      </c>
      <c r="W5" s="417" t="s">
        <v>4663</v>
      </c>
      <c r="X5" s="2366" t="str">
        <f>IF(Pseudo_Chem="Yes","",F64)</f>
        <v/>
      </c>
      <c r="Y5" s="417" t="s">
        <v>3877</v>
      </c>
      <c r="Z5" s="2453">
        <f>IF(Pseudo_Chem="Yes",AJ47,AI35)</f>
        <v>0</v>
      </c>
    </row>
    <row r="6" spans="1:49" ht="13.5" customHeight="1" x14ac:dyDescent="0.25">
      <c r="A6" s="122"/>
      <c r="B6" s="526" t="s">
        <v>2328</v>
      </c>
      <c r="C6" s="3552" t="str">
        <f>IF(Equipment&lt;&gt;"",Equipment,"")</f>
        <v/>
      </c>
      <c r="D6" s="3552"/>
      <c r="E6" s="3539"/>
      <c r="F6" s="3540"/>
      <c r="G6" s="3561" t="s">
        <v>2324</v>
      </c>
      <c r="H6" s="3562"/>
      <c r="I6" s="680"/>
      <c r="J6" s="1511" t="s">
        <v>403</v>
      </c>
      <c r="K6" s="674"/>
      <c r="M6" s="335" t="s">
        <v>4670</v>
      </c>
      <c r="N6" s="343">
        <f>IF(Pseudo_Chem="Yes",0,N22)</f>
        <v>0</v>
      </c>
      <c r="O6" s="417" t="s">
        <v>4644</v>
      </c>
      <c r="P6" s="2434">
        <f>IF(Pseudo_Chem="Yes",0,R22)</f>
        <v>0</v>
      </c>
      <c r="Q6" s="417" t="s">
        <v>4649</v>
      </c>
      <c r="R6" s="2434">
        <f>IF(Pseudo_Chem="Yes",0,AI22)</f>
        <v>0</v>
      </c>
      <c r="S6" s="417" t="s">
        <v>4651</v>
      </c>
      <c r="T6" s="352">
        <f>IF(Pseudo_Chem="Yes",0,Q34)</f>
        <v>0</v>
      </c>
      <c r="U6" s="417" t="s">
        <v>4656</v>
      </c>
      <c r="V6" s="2448">
        <f>IF(Pseudo_Chem="Yes",1,AG34)</f>
        <v>1</v>
      </c>
      <c r="W6" s="417" t="s">
        <v>4664</v>
      </c>
      <c r="X6" s="2366" t="str">
        <f>IF(Pseudo_Chem="Yes","",G64)</f>
        <v/>
      </c>
      <c r="Y6" s="417" t="s">
        <v>3878</v>
      </c>
      <c r="Z6" s="2453">
        <f>IF(Pseudo_Chem="Yes",AK47,AJ35)</f>
        <v>0</v>
      </c>
    </row>
    <row r="7" spans="1:49" ht="13.5" customHeight="1" x14ac:dyDescent="0.25">
      <c r="A7" s="122"/>
      <c r="B7" s="526" t="s">
        <v>2331</v>
      </c>
      <c r="C7" s="3552" t="str">
        <f>IF(Location&lt;&gt;"",Location,"Outdoor Assumed")</f>
        <v>Outdoor Assumed</v>
      </c>
      <c r="D7" s="3553"/>
      <c r="E7" s="3539"/>
      <c r="F7" s="3540"/>
      <c r="G7" s="3561" t="s">
        <v>1530</v>
      </c>
      <c r="H7" s="3562"/>
      <c r="I7" s="675" t="str">
        <f>IF(Chemical="","",IF(T_Units="F",1.8*Tsat+32,Tsat))</f>
        <v/>
      </c>
      <c r="J7" s="676" t="str">
        <f>" "&amp;T_Units</f>
        <v xml:space="preserve"> C</v>
      </c>
      <c r="K7" s="122"/>
      <c r="N7" s="417"/>
      <c r="O7" s="1068"/>
      <c r="P7" s="417"/>
      <c r="Q7" s="1068"/>
      <c r="R7" s="417"/>
      <c r="S7" s="1068"/>
      <c r="T7" s="380"/>
    </row>
    <row r="8" spans="1:49" ht="13.75" customHeight="1" thickBot="1" x14ac:dyDescent="0.3">
      <c r="A8" s="122"/>
      <c r="B8" s="345"/>
      <c r="C8" s="345"/>
      <c r="D8" s="345"/>
      <c r="E8" s="345"/>
      <c r="F8" s="525"/>
      <c r="G8" s="3563" t="s">
        <v>1360</v>
      </c>
      <c r="H8" s="3564"/>
      <c r="I8" s="3537" t="str">
        <f>IF(AND(TM_Feed&lt;&gt;"",TM_Feed&gt;T),"Solid",IF((P_Unlimited+1)&gt;Psat,"Liquid","Vapor"))</f>
        <v>Liquid</v>
      </c>
      <c r="J8" s="3538"/>
      <c r="K8" s="122"/>
      <c r="AD8" s="26"/>
      <c r="AE8" s="26" t="s">
        <v>2955</v>
      </c>
      <c r="AF8" s="26"/>
      <c r="AG8" s="26"/>
      <c r="AH8" s="19" t="s">
        <v>3042</v>
      </c>
      <c r="AI8" s="30" t="s">
        <v>1666</v>
      </c>
    </row>
    <row r="9" spans="1:49" ht="12.75" customHeight="1" x14ac:dyDescent="0.25">
      <c r="A9" s="122"/>
      <c r="B9" s="1200" t="s">
        <v>2461</v>
      </c>
      <c r="C9" s="3543"/>
      <c r="D9" s="3544"/>
      <c r="E9" s="3545"/>
      <c r="F9" s="1203" t="s">
        <v>2950</v>
      </c>
      <c r="G9" s="3546" t="str">
        <f>IF(Chemical&lt;&gt;"",IF(NOT(ISTEXT(VLOOKUP(Chemical,Chem_Table,COLUMN(Chem_Reference_C),FALSE))),"",VLOOKUP(Chemical,Chem_Table,COLUMN(Chem_Reference_C),FALSE)),"")</f>
        <v/>
      </c>
      <c r="H9" s="3547"/>
      <c r="I9" s="3547"/>
      <c r="J9" s="3547"/>
      <c r="K9" s="122"/>
      <c r="M9" s="380" t="s">
        <v>2168</v>
      </c>
      <c r="N9" s="3548">
        <f>Chemical</f>
        <v>0</v>
      </c>
      <c r="O9" s="3549"/>
      <c r="P9" s="418" t="s">
        <v>2063</v>
      </c>
      <c r="Q9" s="419" t="s">
        <v>2174</v>
      </c>
      <c r="R9" s="26"/>
      <c r="V9" s="417" t="s">
        <v>2173</v>
      </c>
      <c r="W9" s="2216" t="str">
        <f>IF(NOT(ISNUMBER(VLOOKUP(Chemical,Chem_Table,COLUMN(Frac_Key_C),FALSE))),"",VLOOKUP(Chemical,Chem_Table,COLUMN(Frac_Key_C),FALSE))</f>
        <v/>
      </c>
      <c r="X9" s="1607"/>
      <c r="Z9" s="335"/>
      <c r="AA9" s="390"/>
      <c r="AD9" s="335" t="str">
        <f>Chemical_1</f>
        <v/>
      </c>
      <c r="AE9" s="1204">
        <f>IF(ISERR(FIND("*",Chemical_1,1)),0,IF(FIND("*",Chemical_1,1)&gt;0,Fract_Key_Chemical,0))</f>
        <v>0</v>
      </c>
      <c r="AF9" s="1204">
        <f>IF(Chemical_1="Water",Fract_Key_Chemical,0)</f>
        <v>0</v>
      </c>
      <c r="AH9" s="1227">
        <f>IF(ChemName_1="Sulfur Trioxide in Sulfuric Acid Solution*",Fract_Key_Chemical,0)</f>
        <v>0</v>
      </c>
      <c r="AI9" s="1227">
        <f>IF(ChemName_1="Sulfuric Acid",Fract_Key_Chemical,0)</f>
        <v>0</v>
      </c>
    </row>
    <row r="10" spans="1:49" ht="14.15" customHeight="1" x14ac:dyDescent="0.25">
      <c r="A10" s="122"/>
      <c r="B10" s="472" t="s">
        <v>2302</v>
      </c>
      <c r="C10" s="3565"/>
      <c r="D10" s="3566"/>
      <c r="E10" s="3566"/>
      <c r="F10" s="3566"/>
      <c r="G10" s="3566"/>
      <c r="H10" s="3566"/>
      <c r="I10" s="3566"/>
      <c r="J10" s="3566"/>
      <c r="K10" s="122"/>
      <c r="M10" s="414" t="s">
        <v>2169</v>
      </c>
      <c r="N10" s="3532" t="str">
        <f>IF(NOT(ISTEXT(VLOOKUP(Chemical,Chem_Table,COLUMN(Chemical_1_C),FALSE))),"",VLOOKUP(Chemical,Chem_Table,COLUMN(Chemical_1_C),FALSE))</f>
        <v/>
      </c>
      <c r="O10" s="3532"/>
      <c r="P10" s="411" t="str">
        <f>W9</f>
        <v/>
      </c>
      <c r="Q10" s="411" t="str">
        <f>IF(NOT(ISTEXT(VLOOKUP(Chemical,Chem_Table,COLUMN(SecPhase_1_C),FALSE))),"",VLOOKUP(Chemical,Chem_Table,COLUMN(SecPhase_1_C),FALSE))</f>
        <v/>
      </c>
      <c r="T10" s="30" t="s">
        <v>4671</v>
      </c>
      <c r="U10" s="30">
        <f>Molar_Cs</f>
        <v>0</v>
      </c>
      <c r="V10" s="417"/>
      <c r="W10" s="5"/>
      <c r="X10" s="5"/>
      <c r="Z10" s="335"/>
      <c r="AA10" s="390"/>
      <c r="AD10" s="335">
        <f>Chemical_2</f>
        <v>0</v>
      </c>
      <c r="AE10" s="1204">
        <f>IF(ISERR(FIND("*",Chemical_2,1)),0,IF(FIND("*",Chemical_2,1)&gt;0,WtFract_2,0))</f>
        <v>0</v>
      </c>
      <c r="AF10" s="1204">
        <f>IF(Chemical_2="Water",WtFract_2,0)</f>
        <v>0</v>
      </c>
      <c r="AH10" s="1227">
        <f>IF(ChemName_2="Sulfur Trioxide in Sulfuric Acid Solution*",WtFract_2,0)</f>
        <v>0</v>
      </c>
      <c r="AI10" s="1227">
        <f>IF(ChemName_2="Sulfuric Acid",WtFract_2,0)</f>
        <v>0</v>
      </c>
    </row>
    <row r="11" spans="1:49" x14ac:dyDescent="0.25">
      <c r="A11" s="122"/>
      <c r="B11" s="345"/>
      <c r="C11" s="3566"/>
      <c r="D11" s="3566"/>
      <c r="E11" s="3566"/>
      <c r="F11" s="3566"/>
      <c r="G11" s="3566"/>
      <c r="H11" s="3566"/>
      <c r="I11" s="3566"/>
      <c r="J11" s="3566"/>
      <c r="K11" s="122"/>
      <c r="M11" s="414" t="s">
        <v>2170</v>
      </c>
      <c r="N11" s="3532" t="str">
        <f>IF(NOT(ISTEXT(VLOOKUP(Chemical,Chem_Table,COLUMN(Chemical_2_C),FALSE))),"",VLOOKUP(Chemical,Chem_Table,COLUMN(Chemical_2_C),FALSE))</f>
        <v/>
      </c>
      <c r="O11" s="3532"/>
      <c r="P11" s="411" t="str">
        <f>IF(NOT(ISNUMBER(VLOOKUP(Chemical,Chem_Table,COLUMN(WtFract_2_C),FALSE))),"",VLOOKUP(Chemical,Chem_Table,COLUMN(WtFract_2_C),FALSE))</f>
        <v/>
      </c>
      <c r="Q11" s="411" t="str">
        <f>IF(NOT(ISTEXT(VLOOKUP(Chemical,Chem_Table,COLUMN(SecPhase_2_C),FALSE))),"",VLOOKUP(Chemical,Chem_Table,COLUMN(SecPhase_2_C),FALSE))</f>
        <v/>
      </c>
      <c r="T11" s="30" t="s">
        <v>4672</v>
      </c>
      <c r="U11" s="30">
        <f>Molar_HtVap</f>
        <v>0</v>
      </c>
      <c r="Z11" s="335"/>
      <c r="AA11" s="390"/>
      <c r="AD11" s="335">
        <f>Chemical_3</f>
        <v>0</v>
      </c>
      <c r="AE11" s="1204">
        <f>IF(ISERR(FIND("*",Chemical_3,1)),0,IF(FIND("*",Chemical_3,1)&gt;0,WtFract_3,0))</f>
        <v>0</v>
      </c>
      <c r="AF11" s="1204">
        <f>IF(Chemical_3="Water",WtFract_3,0)</f>
        <v>0</v>
      </c>
      <c r="AG11" s="1226">
        <f>IF(AE14&gt;0,AE14/(AE14+AF14),0)</f>
        <v>0</v>
      </c>
      <c r="AH11" s="1227">
        <f>IF(ChemName_3="Sulfur Trioxide in Sulfuric Acid Solution*",WtFract_3,0)</f>
        <v>0</v>
      </c>
      <c r="AI11" s="1227">
        <f>IF(ChemName_3="Sulfuric Acid",WtFract_3,0)</f>
        <v>0</v>
      </c>
    </row>
    <row r="12" spans="1:49" ht="12.75" customHeight="1" x14ac:dyDescent="0.25">
      <c r="A12" s="122"/>
      <c r="B12" s="677" t="s">
        <v>2462</v>
      </c>
      <c r="C12" s="678"/>
      <c r="D12" s="2594" t="str">
        <f>IF(OR(RegToxic="Yes",Regulatory_Tox="Yes"),"Yes","")</f>
        <v/>
      </c>
      <c r="E12" s="684"/>
      <c r="F12" s="684"/>
      <c r="G12" s="684"/>
      <c r="H12" s="684"/>
      <c r="I12" s="684"/>
      <c r="J12" s="684"/>
      <c r="K12" s="122"/>
      <c r="M12" s="414" t="s">
        <v>2171</v>
      </c>
      <c r="N12" s="3532" t="str">
        <f>IF(NOT(ISTEXT(VLOOKUP(Chemical,Chem_Table,COLUMN(Chemical_3_C),FALSE))),"",VLOOKUP(Chemical,Chem_Table,COLUMN(Chemical_3_C),FALSE))</f>
        <v/>
      </c>
      <c r="O12" s="3532"/>
      <c r="P12" s="411" t="str">
        <f>IF(NOT(ISNUMBER(VLOOKUP(Chemical,Chem_Table,COLUMN(WtFract_3_C),FALSE))),"",VLOOKUP(Chemical,Chem_Table,COLUMN(WtFract_3_C),FALSE))</f>
        <v/>
      </c>
      <c r="Q12" s="411" t="str">
        <f>IF(NOT(ISTEXT(VLOOKUP(Chemical,Chem_Table,COLUMN(SecPhase_3_C),FALSE))),"",VLOOKUP(Chemical,Chem_Table,COLUMN(SecPhase_3_C),FALSE))</f>
        <v/>
      </c>
      <c r="U12" s="30">
        <f>Molar_Vapor_Cs</f>
        <v>0</v>
      </c>
      <c r="Z12" s="335"/>
      <c r="AA12" s="390"/>
      <c r="AD12" s="335">
        <f>Chemical_4</f>
        <v>0</v>
      </c>
      <c r="AE12" s="1204">
        <f>IF(ISERR(FIND("*",Chemical_4,1)),0,IF(FIND("*",Chemical_4,1)&gt;0,WtFract_4,0))</f>
        <v>0</v>
      </c>
      <c r="AF12" s="1204">
        <f>IF(Chemical_4="Water",WtFract_4,0)</f>
        <v>0</v>
      </c>
      <c r="AH12" s="1227">
        <f>IF(ChemName_4="Sulfur Trioxide in Sulfuric Acid Solution*",WtFract_4,0)</f>
        <v>0</v>
      </c>
      <c r="AI12" s="1227">
        <f>IF(ChemName_4="Sulfuric Acid",WtFract_4,0)</f>
        <v>0</v>
      </c>
    </row>
    <row r="13" spans="1:49" ht="12.75" customHeight="1" x14ac:dyDescent="0.25">
      <c r="A13" s="122"/>
      <c r="B13" s="122"/>
      <c r="C13" s="122"/>
      <c r="D13" s="2595" t="str">
        <f>IF(OR(RegToxic="Yes",Regulatory_Tox="Yes"),"ERPG-3 Values, LC1, LC50, and/or Categories for Aquatic Toxicity or Dermal Toxicity must be entered","")</f>
        <v/>
      </c>
      <c r="E13" s="345"/>
      <c r="F13" s="122"/>
      <c r="G13" s="122"/>
      <c r="H13" s="122"/>
      <c r="I13" s="122"/>
      <c r="J13" s="122"/>
      <c r="K13" s="122"/>
      <c r="L13" s="26"/>
      <c r="M13" s="414" t="s">
        <v>2172</v>
      </c>
      <c r="N13" s="3532" t="str">
        <f>IF(NOT(ISTEXT(VLOOKUP(Chemical,Chem_Table,COLUMN(Chemical_4_C),FALSE))),"",VLOOKUP(Chemical,Chem_Table,COLUMN(Chemical_4_C),FALSE))</f>
        <v/>
      </c>
      <c r="O13" s="3532"/>
      <c r="P13" s="411" t="str">
        <f>IF(NOT(ISNUMBER(VLOOKUP(Chemical,Chem_Table,COLUMN(WtFract_4_C),FALSE))),"",VLOOKUP(Chemical,Chem_Table,COLUMN(WtFract_4_C),FALSE))</f>
        <v/>
      </c>
      <c r="Q13" s="411" t="str">
        <f>IF(NOT(ISTEXT(VLOOKUP(Chemical,Chem_Table,COLUMN(SecPhase_4_C),FALSE))),"",VLOOKUP(Chemical,Chem_Table,COLUMN(SecPhase_4_C),FALSE))</f>
        <v/>
      </c>
      <c r="R13" s="379"/>
      <c r="S13" s="26"/>
      <c r="T13" s="671" t="s">
        <v>2149</v>
      </c>
      <c r="U13" s="26"/>
      <c r="V13" s="26"/>
      <c r="W13" s="26"/>
      <c r="X13" s="26"/>
      <c r="Z13" s="335"/>
      <c r="AA13" s="390"/>
      <c r="AC13" s="26"/>
      <c r="AD13" s="335">
        <f>Chemical_5</f>
        <v>0</v>
      </c>
      <c r="AE13" s="1204">
        <f>IF(ISERR(FIND("*",Chemical_5,1)),0,IF(FIND("*",Chemical_5,1)&gt;0,WtFract_5,0))</f>
        <v>0</v>
      </c>
      <c r="AF13" s="1204">
        <f>IF(Chemical_5="Water",WtFract_5,0)</f>
        <v>0</v>
      </c>
      <c r="AH13" s="1227">
        <f>IF(ChemName_5="Sulfur Trioxide in Sulfuric Acid Solution*",WtFract_5,0)</f>
        <v>0</v>
      </c>
      <c r="AI13" s="1227">
        <f>IF(ChemName_5="Sulfuric Acid",WtFract_5,0)</f>
        <v>0</v>
      </c>
    </row>
    <row r="14" spans="1:49" ht="12.75" customHeight="1" x14ac:dyDescent="0.25">
      <c r="A14" s="122"/>
      <c r="B14" s="3525" t="s">
        <v>2108</v>
      </c>
      <c r="C14" s="3560" t="s">
        <v>2063</v>
      </c>
      <c r="D14" s="3525" t="s">
        <v>1795</v>
      </c>
      <c r="E14" s="3525" t="s">
        <v>2148</v>
      </c>
      <c r="F14" s="3525" t="s">
        <v>2062</v>
      </c>
      <c r="G14" s="3525" t="s">
        <v>2147</v>
      </c>
      <c r="H14" s="3525" t="s">
        <v>1408</v>
      </c>
      <c r="I14" s="3525" t="s">
        <v>1409</v>
      </c>
      <c r="J14" s="3525" t="s">
        <v>1531</v>
      </c>
      <c r="K14" s="122"/>
      <c r="M14" s="414" t="s">
        <v>2178</v>
      </c>
      <c r="N14" s="3532" t="str">
        <f>IF(NOT(ISTEXT(VLOOKUP(Chemical,Chem_Table,COLUMN(Chemical_5_C),FALSE))),"",VLOOKUP(Chemical,Chem_Table,COLUMN(Chemical_5_C),FALSE))</f>
        <v/>
      </c>
      <c r="O14" s="3532"/>
      <c r="P14" s="411" t="str">
        <f>IF(NOT(ISNUMBER(VLOOKUP(Chemical,Chem_Table,COLUMN(WtFract_5_C),FALSE))),"",VLOOKUP(Chemical,Chem_Table,COLUMN(WtFract_5_C),FALSE))</f>
        <v/>
      </c>
      <c r="Q14" s="411" t="str">
        <f>IF(NOT(ISTEXT(VLOOKUP(Chemical,Chem_Table,COLUMN(SecPhase_5_C),FALSE))),"",VLOOKUP(Chemical,Chem_Table,COLUMN(SecPhase_5_C),FALSE))</f>
        <v/>
      </c>
      <c r="R14" s="379"/>
      <c r="S14" s="26"/>
      <c r="T14" s="26"/>
      <c r="U14" s="26"/>
      <c r="V14" s="26"/>
      <c r="W14" s="26"/>
      <c r="X14" s="26"/>
      <c r="Z14" s="335"/>
      <c r="AA14" s="390"/>
      <c r="AC14" s="26"/>
      <c r="AE14" s="5">
        <f>MAX(AE9:AE13)</f>
        <v>0</v>
      </c>
      <c r="AF14" s="5">
        <f>SUM(AF9:AF13)</f>
        <v>0</v>
      </c>
      <c r="AG14" s="26"/>
      <c r="AH14" s="5">
        <f>MAX(AH9:AH13)</f>
        <v>0</v>
      </c>
      <c r="AI14" s="5">
        <f>MAX(AI9:AI13)</f>
        <v>0</v>
      </c>
    </row>
    <row r="15" spans="1:49" ht="15.75" customHeight="1" thickBot="1" x14ac:dyDescent="0.3">
      <c r="A15" s="122"/>
      <c r="B15" s="3559"/>
      <c r="C15" s="3527"/>
      <c r="D15" s="3526"/>
      <c r="E15" s="3527"/>
      <c r="F15" s="3526"/>
      <c r="G15" s="3526"/>
      <c r="H15" s="3536"/>
      <c r="I15" s="3536"/>
      <c r="J15" s="3536"/>
      <c r="K15" s="122"/>
      <c r="S15" s="3507" t="s">
        <v>2141</v>
      </c>
      <c r="T15" s="3507"/>
      <c r="U15" s="3507" t="s">
        <v>2142</v>
      </c>
      <c r="V15" s="3528"/>
      <c r="W15" s="1612"/>
      <c r="X15" s="374"/>
      <c r="Y15" s="1608"/>
      <c r="Z15" s="374"/>
      <c r="AH15" s="26"/>
      <c r="AI15" s="72"/>
      <c r="AJ15" s="26"/>
      <c r="AN15" s="3436"/>
      <c r="AO15" s="5"/>
      <c r="AP15" s="5"/>
      <c r="AQ15" s="5"/>
      <c r="AR15" s="5"/>
      <c r="AS15" s="5"/>
      <c r="AT15" s="5"/>
    </row>
    <row r="16" spans="1:49" ht="13.5" customHeight="1" x14ac:dyDescent="0.25">
      <c r="A16" s="122"/>
      <c r="B16" s="1260" t="str">
        <f>IF(W9=1,Chemical,"")</f>
        <v/>
      </c>
      <c r="C16" s="1234"/>
      <c r="D16" s="1261"/>
      <c r="E16" s="1262" t="str">
        <f>IF(AND(N18&gt;0,C64&gt;0),IF(State="Vapor",N18,IF(AA$23&gt;0,AA18/AA$23,0)),"")</f>
        <v/>
      </c>
      <c r="F16" s="2470" t="str">
        <f>IF(AI18&gt;0,AI18,"")</f>
        <v/>
      </c>
      <c r="G16" s="2466" t="str">
        <f>C64</f>
        <v/>
      </c>
      <c r="H16" s="194" t="str">
        <f>C89</f>
        <v/>
      </c>
      <c r="I16" s="194" t="str">
        <f>C90</f>
        <v/>
      </c>
      <c r="J16" s="681" t="str">
        <f>C78</f>
        <v/>
      </c>
      <c r="K16" s="122"/>
      <c r="M16" s="3534" t="s">
        <v>2111</v>
      </c>
      <c r="N16" s="3512" t="s">
        <v>2063</v>
      </c>
      <c r="O16" s="3512" t="s">
        <v>1795</v>
      </c>
      <c r="P16" s="3512" t="s">
        <v>2156</v>
      </c>
      <c r="Q16" s="3512" t="s">
        <v>2112</v>
      </c>
      <c r="R16" s="3529" t="s">
        <v>2140</v>
      </c>
      <c r="S16" s="3512" t="s">
        <v>2143</v>
      </c>
      <c r="T16" s="3529" t="s">
        <v>2144</v>
      </c>
      <c r="U16" s="3512" t="s">
        <v>2145</v>
      </c>
      <c r="V16" s="3529" t="s">
        <v>2146</v>
      </c>
      <c r="W16" s="3512" t="s">
        <v>3394</v>
      </c>
      <c r="X16" s="3512" t="s">
        <v>3390</v>
      </c>
      <c r="Y16" s="3508" t="s">
        <v>3391</v>
      </c>
      <c r="Z16" s="3514" t="s">
        <v>2113</v>
      </c>
      <c r="AA16" s="3512" t="s">
        <v>2114</v>
      </c>
      <c r="AB16" s="3515" t="s">
        <v>4508</v>
      </c>
      <c r="AC16" s="3515" t="s">
        <v>4509</v>
      </c>
      <c r="AD16" s="3515" t="s">
        <v>2257</v>
      </c>
      <c r="AE16" s="3613" t="s">
        <v>2281</v>
      </c>
      <c r="AF16" s="3503" t="s">
        <v>2742</v>
      </c>
      <c r="AG16" s="3508" t="s">
        <v>3398</v>
      </c>
      <c r="AH16" s="3508" t="s">
        <v>3510</v>
      </c>
      <c r="AI16" s="3508" t="s">
        <v>3407</v>
      </c>
      <c r="AJ16" s="3508" t="s">
        <v>3402</v>
      </c>
      <c r="AK16" s="3508" t="s">
        <v>3403</v>
      </c>
      <c r="AL16" s="3508" t="s">
        <v>3404</v>
      </c>
      <c r="AN16" s="3570"/>
      <c r="AO16" s="5"/>
      <c r="AP16" s="5"/>
      <c r="AQ16" s="5"/>
      <c r="AT16" s="3595"/>
      <c r="AU16" s="3576"/>
      <c r="AV16" s="3595"/>
      <c r="AW16" s="3576"/>
    </row>
    <row r="17" spans="1:49" ht="12.75" customHeight="1" x14ac:dyDescent="0.25">
      <c r="A17" s="122"/>
      <c r="B17" s="1263"/>
      <c r="C17" s="2462"/>
      <c r="D17" s="2463"/>
      <c r="E17" s="2464" t="str">
        <f>IF(AND(N19&gt;0,D64&gt;0),IF(State="Vapor",N19,IF(AA$23&gt;0,AA19/AA$23,0)),"")</f>
        <v/>
      </c>
      <c r="F17" s="2441" t="str">
        <f>IF(AI19&gt;0,AI19,"")</f>
        <v/>
      </c>
      <c r="G17" s="2398" t="str">
        <f>D64</f>
        <v/>
      </c>
      <c r="H17" s="2363" t="str">
        <f>D89</f>
        <v/>
      </c>
      <c r="I17" s="2363" t="str">
        <f>D90</f>
        <v/>
      </c>
      <c r="J17" s="1619" t="str">
        <f>D78</f>
        <v/>
      </c>
      <c r="K17" s="122"/>
      <c r="M17" s="3535"/>
      <c r="N17" s="3517"/>
      <c r="O17" s="3513"/>
      <c r="P17" s="3513"/>
      <c r="Q17" s="3517"/>
      <c r="R17" s="3531"/>
      <c r="S17" s="3517"/>
      <c r="T17" s="3530"/>
      <c r="U17" s="3517"/>
      <c r="V17" s="3530"/>
      <c r="W17" s="3513"/>
      <c r="X17" s="3513"/>
      <c r="Y17" s="3508"/>
      <c r="Z17" s="3496"/>
      <c r="AA17" s="3517"/>
      <c r="AB17" s="3518"/>
      <c r="AC17" s="3518"/>
      <c r="AD17" s="3518"/>
      <c r="AE17" s="3614"/>
      <c r="AF17" s="3503"/>
      <c r="AG17" s="3509"/>
      <c r="AH17" s="3509"/>
      <c r="AI17" s="3509"/>
      <c r="AJ17" s="3509"/>
      <c r="AK17" s="3509"/>
      <c r="AL17" s="3509"/>
      <c r="AN17" s="1636"/>
      <c r="AO17" s="1636"/>
      <c r="AP17" s="1636"/>
      <c r="AQ17" s="1636"/>
      <c r="AR17" s="1636"/>
      <c r="AS17" s="1636"/>
      <c r="AT17" s="1636"/>
      <c r="AU17" s="1636"/>
      <c r="AV17" s="1636"/>
      <c r="AW17" s="1636"/>
    </row>
    <row r="18" spans="1:49" ht="13.5" customHeight="1" x14ac:dyDescent="0.25">
      <c r="A18" s="122"/>
      <c r="B18" s="1263"/>
      <c r="C18" s="2465"/>
      <c r="D18" s="2463"/>
      <c r="E18" s="2464" t="str">
        <f>IF(AND(N20&gt;0,E64&gt;0),IF(State="Vapor",N20,IF(AA$23&gt;0,AA20/AA$23,0)),"")</f>
        <v/>
      </c>
      <c r="F18" s="2441" t="str">
        <f>IF(AI20&gt;0,AI20,"")</f>
        <v/>
      </c>
      <c r="G18" s="2398" t="str">
        <f>E64</f>
        <v/>
      </c>
      <c r="H18" s="2363" t="str">
        <f>E89</f>
        <v/>
      </c>
      <c r="I18" s="2363" t="str">
        <f>E90</f>
        <v/>
      </c>
      <c r="J18" s="1619" t="str">
        <f>E78</f>
        <v/>
      </c>
      <c r="K18" s="122"/>
      <c r="M18" s="343" t="str">
        <f>IF($W$9=1,C9,B28)</f>
        <v/>
      </c>
      <c r="N18" s="2398">
        <f>IF($W$9=1,Fract_Key_Chemical,IF(C28="",0,C28))</f>
        <v>0</v>
      </c>
      <c r="O18" s="343" t="str">
        <f>IF($W$9=1,SecPhase_1,D28)</f>
        <v/>
      </c>
      <c r="P18" s="343">
        <v>1</v>
      </c>
      <c r="Q18" s="396">
        <f>IF(AND(N18&gt;0,C64&gt;0),N18/C64,0)</f>
        <v>0</v>
      </c>
      <c r="R18" s="2441">
        <f>IF(Q$23&gt;0,Q18/Q$23,0)</f>
        <v>0</v>
      </c>
      <c r="S18" s="382">
        <f>P18*R18</f>
        <v>0</v>
      </c>
      <c r="T18" s="375">
        <f>IF(OR(S$23=1,AND(S$23&gt;0.01,S$23&lt;0.99)),S18/S$23,IF(S$23&lt;0.011,S18/0.01,S18/0.99))</f>
        <v>0</v>
      </c>
      <c r="U18" s="382">
        <f>R18-S18</f>
        <v>0</v>
      </c>
      <c r="V18" s="375">
        <f>IF(AND(U$23&gt;0.01,U$23&lt;0.99),U18/U$23,IF(AND(U$23&gt;0,U$23&lt;0.011),U18/0.01,U18/0.99))</f>
        <v>0</v>
      </c>
      <c r="W18" s="1609">
        <f>(T18+V18)*N30</f>
        <v>0</v>
      </c>
      <c r="X18" s="423">
        <f>(T18+V18)*O30</f>
        <v>0</v>
      </c>
      <c r="Y18" s="1609">
        <f>(T18+V18)*P30</f>
        <v>0</v>
      </c>
      <c r="Z18" s="1609">
        <f>IF(Chemical="",0,IF(W$23&gt;0,W18/W$23,0))</f>
        <v>0</v>
      </c>
      <c r="AA18" s="377">
        <f>IF(AND(N18&gt;0,C64&gt;0),Z18*C64,0)</f>
        <v>0</v>
      </c>
      <c r="AB18" s="364">
        <f>IF(C$89&lt;&gt;"",R18/C$89,0)</f>
        <v>0</v>
      </c>
      <c r="AC18" s="364">
        <f>IF(C$90&lt;&gt;"",R18/C$90,0)</f>
        <v>0</v>
      </c>
      <c r="AD18" s="364">
        <f>IF(C$78&lt;&gt;"",R18/C$78,0)</f>
        <v>0</v>
      </c>
      <c r="AE18" s="2443">
        <f>IF(C$66="",0,R18*C$66)</f>
        <v>0</v>
      </c>
      <c r="AF18" s="2444">
        <f>R18*W18</f>
        <v>0</v>
      </c>
      <c r="AG18" s="1611">
        <f t="shared" ref="AG18:AH22" si="0">IF(X$23&gt;0,X18/X$23,0)</f>
        <v>0</v>
      </c>
      <c r="AH18" s="1611">
        <f t="shared" si="0"/>
        <v>0</v>
      </c>
      <c r="AI18" s="2441">
        <f>IF(R18*y_rel&gt;0,Z18*x_rel/(R18*y_rel),0)</f>
        <v>0</v>
      </c>
      <c r="AJ18" s="1609">
        <f>IF(AG$23*R18&gt;0,AG18*x_rel/(AG$23*R18),0)</f>
        <v>0</v>
      </c>
      <c r="AK18" s="1609">
        <f>IF(AH$23*R18&gt;0,AH18*x_rel/(AH$23*R18),0)</f>
        <v>0</v>
      </c>
      <c r="AL18" s="1635">
        <f>IF(OR(AJ18=0,AK18=0,Pseudo_Chem="Yes"),0,LN(AJ18/AK18))/(T$26-V$26)</f>
        <v>0</v>
      </c>
      <c r="AN18" s="1636"/>
      <c r="AO18" s="1636"/>
      <c r="AP18" s="1636"/>
      <c r="AQ18" s="1636"/>
      <c r="AR18" s="1636"/>
      <c r="AS18" s="1636"/>
      <c r="AT18" s="1636"/>
      <c r="AU18" s="1636"/>
      <c r="AV18" s="1636"/>
      <c r="AW18" s="1636"/>
    </row>
    <row r="19" spans="1:49" ht="12.75" customHeight="1" x14ac:dyDescent="0.25">
      <c r="A19" s="122"/>
      <c r="B19" s="1263"/>
      <c r="C19" s="2462"/>
      <c r="D19" s="2463"/>
      <c r="E19" s="2464" t="str">
        <f>IF(AND(N21&gt;0,F64&gt;0),IF(State="Vapor",N21,IF(AA$23&gt;0,AA21/AA$23,0)),"")</f>
        <v/>
      </c>
      <c r="F19" s="2441" t="str">
        <f>IF(AI21&gt;0,AI21,"")</f>
        <v/>
      </c>
      <c r="G19" s="2398" t="str">
        <f>F64</f>
        <v/>
      </c>
      <c r="H19" s="2363" t="str">
        <f>F89</f>
        <v/>
      </c>
      <c r="I19" s="2363" t="str">
        <f>F90</f>
        <v/>
      </c>
      <c r="J19" s="1619" t="str">
        <f>F78</f>
        <v/>
      </c>
      <c r="K19" s="122"/>
      <c r="M19" s="343" t="str">
        <f>IF($W$9=1,B17,B29)</f>
        <v/>
      </c>
      <c r="N19" s="2398">
        <f>IF($W$9=1,WtFract_2,IF(C29="",0,C29))</f>
        <v>0</v>
      </c>
      <c r="O19" s="343" t="str">
        <f>IF($W$9=1,SecPhase_2,D29)</f>
        <v/>
      </c>
      <c r="P19" s="343">
        <f>IF($C$23="No",1,IF(O19=O$18,1,0))</f>
        <v>1</v>
      </c>
      <c r="Q19" s="391">
        <f>IF(AND(N19&gt;0,D64&gt;0),N19/D64,0)</f>
        <v>0</v>
      </c>
      <c r="R19" s="2441">
        <f t="shared" ref="R19:R22" si="1">IF(Q$23&gt;0,Q19/Q$23,0)</f>
        <v>0</v>
      </c>
      <c r="S19" s="382">
        <f>P19*R19</f>
        <v>0</v>
      </c>
      <c r="T19" s="375">
        <f>IF(OR(S$23=1,AND(S$23&gt;0.01,S$23&lt;0.99)),S19/S$23,IF(S$23&lt;0.011,S19/0.01,S19/0.99))</f>
        <v>0</v>
      </c>
      <c r="U19" s="382">
        <f t="shared" ref="U19:U22" si="2">R19-S19</f>
        <v>0</v>
      </c>
      <c r="V19" s="375">
        <f>IF(AND(U$23&gt;0.01,U$23&lt;0.99),U19/U$23,IF(AND(U$23&gt;0,U$23&lt;0.011),U19/0.01,U19/0.99))</f>
        <v>0</v>
      </c>
      <c r="W19" s="1609">
        <f>(T19+V19)*N31</f>
        <v>0</v>
      </c>
      <c r="X19" s="423">
        <f>(T19+V19)*O31</f>
        <v>0</v>
      </c>
      <c r="Y19" s="1609">
        <f>(T19+V19)*P31</f>
        <v>0</v>
      </c>
      <c r="Z19" s="1609">
        <f>IF(Chemical="",0,IF(W$23&gt;0,W19/W$23,0))</f>
        <v>0</v>
      </c>
      <c r="AA19" s="377">
        <f>IF(AND(N19&gt;0,D64&gt;0),Z19*D64,0)</f>
        <v>0</v>
      </c>
      <c r="AB19" s="364">
        <f>IF(D$89&lt;&gt;"",R19/D$89,0)</f>
        <v>0</v>
      </c>
      <c r="AC19" s="364">
        <f>IF(D$90&lt;&gt;"",R19/D$90,0)</f>
        <v>0</v>
      </c>
      <c r="AD19" s="364">
        <f>IF(D$78&lt;&gt;"",R19/D$78,0)</f>
        <v>0</v>
      </c>
      <c r="AE19" s="2443">
        <f>IF(D$66="",0,R19*D$66)</f>
        <v>0</v>
      </c>
      <c r="AF19" s="2444">
        <f>R19*W19</f>
        <v>0</v>
      </c>
      <c r="AG19" s="1611">
        <f t="shared" si="0"/>
        <v>0</v>
      </c>
      <c r="AH19" s="1611">
        <f t="shared" si="0"/>
        <v>0</v>
      </c>
      <c r="AI19" s="2441">
        <f>IF(R19*y_rel&gt;0,Z19*x_rel/(R19*y_rel),0)</f>
        <v>0</v>
      </c>
      <c r="AJ19" s="1609">
        <f>IF(AG$23*R19&gt;0,AG19*x_rel/(AG$23*R19),0)</f>
        <v>0</v>
      </c>
      <c r="AK19" s="1609">
        <f>IF(AH$23*R19&gt;0,AH19*x_rel/(AH$23*R19),0)</f>
        <v>0</v>
      </c>
      <c r="AL19" s="1635">
        <f>IF(OR(AJ19=0,AK19=0),0,LN(AJ19/AK19))/(T$26-V$26)</f>
        <v>0</v>
      </c>
      <c r="AN19" s="1636"/>
      <c r="AO19" s="1636"/>
      <c r="AP19" s="1636"/>
      <c r="AQ19" s="1636"/>
      <c r="AR19" s="1636"/>
      <c r="AS19" s="1636"/>
      <c r="AT19" s="1636"/>
      <c r="AU19" s="1636"/>
      <c r="AV19" s="1636"/>
      <c r="AW19" s="1636"/>
    </row>
    <row r="20" spans="1:49" ht="12.75" customHeight="1" thickBot="1" x14ac:dyDescent="0.3">
      <c r="A20" s="122"/>
      <c r="B20" s="1264"/>
      <c r="C20" s="2406"/>
      <c r="D20" s="1265"/>
      <c r="E20" s="1620" t="str">
        <f>IF(AND(N22&gt;0,G64&gt;0),IF(State="Vapor",N22,IF(AA$23&gt;0,AA22/AA$23,0)),"")</f>
        <v/>
      </c>
      <c r="F20" s="2471" t="str">
        <f>IF(AI22&gt;0,AI22,"")</f>
        <v/>
      </c>
      <c r="G20" s="2467" t="str">
        <f>G64</f>
        <v/>
      </c>
      <c r="H20" s="1266" t="str">
        <f>G89</f>
        <v/>
      </c>
      <c r="I20" s="1266" t="str">
        <f>G90</f>
        <v/>
      </c>
      <c r="J20" s="682" t="str">
        <f>G78</f>
        <v/>
      </c>
      <c r="K20" s="122"/>
      <c r="M20" s="343" t="str">
        <f>IF($W$9=1,B18,B30)</f>
        <v/>
      </c>
      <c r="N20" s="2398">
        <f>IF($W$9=1,WtFract_3,IF(C30="",0,C30))</f>
        <v>0</v>
      </c>
      <c r="O20" s="343" t="str">
        <f>IF($W$9=1,SecPhase_3,D30)</f>
        <v/>
      </c>
      <c r="P20" s="343">
        <f>IF($C$23="No",1,IF(O20=O$18,1,0))</f>
        <v>1</v>
      </c>
      <c r="Q20" s="391">
        <f>IF(AND(N20&gt;0,E64&gt;0),N20/E64,0)</f>
        <v>0</v>
      </c>
      <c r="R20" s="2441">
        <f t="shared" si="1"/>
        <v>0</v>
      </c>
      <c r="S20" s="382">
        <f>P20*R20</f>
        <v>0</v>
      </c>
      <c r="T20" s="375">
        <f>IF(OR(S$23=1,AND(S$23&gt;0.01,S$23&lt;0.99)),S20/S$23,IF(S$23&lt;0.011,S20/0.01,S20/0.99))</f>
        <v>0</v>
      </c>
      <c r="U20" s="382">
        <f t="shared" si="2"/>
        <v>0</v>
      </c>
      <c r="V20" s="375">
        <f>IF(AND(U$23&gt;0.01,U$23&lt;0.99),U20/U$23,IF(AND(U$23&gt;0,U$23&lt;0.011),U20/0.01,U20/0.99))</f>
        <v>0</v>
      </c>
      <c r="W20" s="1609">
        <f>(T20+V20)*N32</f>
        <v>0</v>
      </c>
      <c r="X20" s="423">
        <f>(T20+V20)*O32</f>
        <v>0</v>
      </c>
      <c r="Y20" s="1609">
        <f>(T20+V20)*P32</f>
        <v>0</v>
      </c>
      <c r="Z20" s="1609">
        <f>IF(Chemical="",0,IF(W$23&gt;0,W20/W$23,0))</f>
        <v>0</v>
      </c>
      <c r="AA20" s="1610">
        <f>IF(AND(N20&gt;0,E64&gt;0),Z20*E64,0)</f>
        <v>0</v>
      </c>
      <c r="AB20" s="364">
        <f>IF(E$89&lt;&gt;"",R20/E$89,0)</f>
        <v>0</v>
      </c>
      <c r="AC20" s="364">
        <f>IF(E$90&lt;&gt;"",R20/E$90,0)</f>
        <v>0</v>
      </c>
      <c r="AD20" s="364">
        <f>IF(E$78&lt;&gt;"",R20/E$78,0)</f>
        <v>0</v>
      </c>
      <c r="AE20" s="2443">
        <f>IF(E$66="",0,R20*E$66)</f>
        <v>0</v>
      </c>
      <c r="AF20" s="2444">
        <f>R20*W20</f>
        <v>0</v>
      </c>
      <c r="AG20" s="1611">
        <f t="shared" si="0"/>
        <v>0</v>
      </c>
      <c r="AH20" s="1611">
        <f t="shared" si="0"/>
        <v>0</v>
      </c>
      <c r="AI20" s="2441">
        <f>IF(R20*y_rel&gt;0,Z20*x_rel/(R20*y_rel),0)</f>
        <v>0</v>
      </c>
      <c r="AJ20" s="1609">
        <f>IF(AG$23*R20&gt;0,AG20*x_rel/(AG$23*R20),0)</f>
        <v>0</v>
      </c>
      <c r="AK20" s="1609">
        <f>IF(AH$23*R20&gt;0,AH20*x_rel/(AH$23*R20),0)</f>
        <v>0</v>
      </c>
      <c r="AL20" s="1635">
        <f>IF(OR(AJ20=0,AK20=0),0,LN(AJ20/AK20))/(T$26-V$26)</f>
        <v>0</v>
      </c>
      <c r="AN20" s="1636"/>
      <c r="AO20" s="1636"/>
      <c r="AP20" s="1636"/>
      <c r="AQ20" s="1636"/>
      <c r="AR20" s="1636"/>
      <c r="AS20" s="1636"/>
      <c r="AT20" s="1636"/>
      <c r="AU20" s="1636"/>
      <c r="AV20" s="1636"/>
      <c r="AW20" s="1636"/>
    </row>
    <row r="21" spans="1:49" ht="12.75" customHeight="1" x14ac:dyDescent="0.25">
      <c r="A21" s="122"/>
      <c r="B21" s="342" t="s">
        <v>2087</v>
      </c>
      <c r="C21" s="683" t="str">
        <f>IF(Chemical&lt;&gt;"",SUM(N2:N6),"")</f>
        <v/>
      </c>
      <c r="D21" s="122"/>
      <c r="E21" s="345"/>
      <c r="F21" s="346" t="s">
        <v>2064</v>
      </c>
      <c r="G21" s="372">
        <f>Mw_Mix</f>
        <v>0</v>
      </c>
      <c r="H21" s="372" t="str">
        <f>IF(AB35&gt;0,IF(AB35&lt;1000000,AB35,""),"")</f>
        <v/>
      </c>
      <c r="I21" s="372" t="str">
        <f>IF(AC35&gt;0,IF(AC35&lt;1000000,AC35,""),"")</f>
        <v/>
      </c>
      <c r="J21" s="372" t="str">
        <f>IF(AND(LFL_Feed&gt;0,State="Vapor"),IF(LFL_Feed&lt;100,LFL_Feed,""),IF(AD35&gt;0,IF(AD35&lt;100,AD35,""),""))</f>
        <v/>
      </c>
      <c r="K21" s="122"/>
      <c r="M21" s="343" t="str">
        <f>IF($W$9=1,B19,B31)</f>
        <v/>
      </c>
      <c r="N21" s="2398">
        <f>IF($W$9=1,WtFract_4,IF(C31="",0,C31))</f>
        <v>0</v>
      </c>
      <c r="O21" s="343" t="str">
        <f>IF($W$9=1,SecPhase_4,D31)</f>
        <v/>
      </c>
      <c r="P21" s="343">
        <f>IF($C$23="No",1,IF(O21=O$18,1,0))</f>
        <v>1</v>
      </c>
      <c r="Q21" s="391">
        <f>IF(AND(N21&gt;0,F64&gt;0),N21/F64,0)</f>
        <v>0</v>
      </c>
      <c r="R21" s="2441">
        <f t="shared" si="1"/>
        <v>0</v>
      </c>
      <c r="S21" s="382">
        <f>P21*R21</f>
        <v>0</v>
      </c>
      <c r="T21" s="375">
        <f>IF(OR(S$23=1,AND(S$23&gt;0.01,S$23&lt;0.99)),S21/S$23,IF(S$23&lt;0.011,S21/0.01,S21/0.99))</f>
        <v>0</v>
      </c>
      <c r="U21" s="382">
        <f t="shared" si="2"/>
        <v>0</v>
      </c>
      <c r="V21" s="375">
        <f>IF(AND(U$23&gt;0.01,U$23&lt;0.99),U21/U$23,IF(AND(U$23&gt;0,U$23&lt;0.011),U21/0.01,U21/0.99))</f>
        <v>0</v>
      </c>
      <c r="W21" s="1609">
        <f>(T21+V21)*N33</f>
        <v>0</v>
      </c>
      <c r="X21" s="423">
        <f>(T21+V21)*O33</f>
        <v>0</v>
      </c>
      <c r="Y21" s="1609">
        <f>(T21+V21)*P33</f>
        <v>0</v>
      </c>
      <c r="Z21" s="1609">
        <f>IF(Chemical="",0,IF(W$23&gt;0,W21/W$23,0))</f>
        <v>0</v>
      </c>
      <c r="AA21" s="1610">
        <f>IF(AND(N21&gt;0,F64&gt;0),Z21*F64,0)</f>
        <v>0</v>
      </c>
      <c r="AB21" s="364">
        <f>IF(F$89&lt;&gt;"",R21/F$89,0)</f>
        <v>0</v>
      </c>
      <c r="AC21" s="364">
        <f>IF(F$90&lt;&gt;"",R21/F$90,0)</f>
        <v>0</v>
      </c>
      <c r="AD21" s="364">
        <f>IF(F$78&lt;&gt;"",R21/F$78,0)</f>
        <v>0</v>
      </c>
      <c r="AE21" s="2443">
        <f>IF(F$66="",0,R21*F$66)</f>
        <v>0</v>
      </c>
      <c r="AF21" s="2444">
        <f>R21*W21</f>
        <v>0</v>
      </c>
      <c r="AG21" s="1611">
        <f t="shared" si="0"/>
        <v>0</v>
      </c>
      <c r="AH21" s="1611">
        <f t="shared" si="0"/>
        <v>0</v>
      </c>
      <c r="AI21" s="2441">
        <f>IF(R21*y_rel&gt;0,Z21*x_rel/(R21*y_rel),0)</f>
        <v>0</v>
      </c>
      <c r="AJ21" s="1609">
        <f>IF(AG$23*R21&gt;0,AG21*x_rel/(AG$23*R21),0)</f>
        <v>0</v>
      </c>
      <c r="AK21" s="1609">
        <f>IF(AH$23*R21&gt;0,AH21*x_rel/(AH$23*R21),0)</f>
        <v>0</v>
      </c>
      <c r="AL21" s="1635">
        <f>IF(OR(AJ21=0,AK21=0),0,LN(AJ21/AK21))/(T$26-V$26)</f>
        <v>0</v>
      </c>
      <c r="AN21" s="1636"/>
      <c r="AO21" s="1636"/>
      <c r="AP21" s="1636"/>
      <c r="AQ21" s="1636"/>
      <c r="AR21" s="1636"/>
      <c r="AS21" s="1636"/>
      <c r="AT21" s="1636"/>
      <c r="AU21" s="1636"/>
      <c r="AV21" s="1636"/>
      <c r="AW21" s="1636"/>
    </row>
    <row r="22" spans="1:49" ht="12.75" customHeight="1" thickBot="1" x14ac:dyDescent="0.3">
      <c r="A22" s="122"/>
      <c r="B22" s="345"/>
      <c r="C22" s="345"/>
      <c r="D22" s="345"/>
      <c r="E22" s="345"/>
      <c r="F22" s="346"/>
      <c r="G22" s="122"/>
      <c r="H22" s="122"/>
      <c r="I22" s="122"/>
      <c r="J22" s="1493" t="str">
        <f>IF(AND(SUM(J16:J20)&gt;0,LFL_Mix=""),"The Estimated LFL for the Vapor Composition indicates the mixture is Non_Flammable","")</f>
        <v/>
      </c>
      <c r="K22" s="122"/>
      <c r="M22" s="343" t="str">
        <f>IF($W$9=1,B20,B32)</f>
        <v/>
      </c>
      <c r="N22" s="2398">
        <f>IF($W$9=1,WtFract_5,IF(C32="",0,C32))</f>
        <v>0</v>
      </c>
      <c r="O22" s="343" t="str">
        <f>IF($W$9=1,SecPhase_5,D32)</f>
        <v/>
      </c>
      <c r="P22" s="343">
        <f>IF($C$23="No",1,IF(O22=O$18,1,0))</f>
        <v>1</v>
      </c>
      <c r="Q22" s="391">
        <f>IF(AND(N22&gt;0,G64&gt;0),N22/G64,0)</f>
        <v>0</v>
      </c>
      <c r="R22" s="2441">
        <f t="shared" si="1"/>
        <v>0</v>
      </c>
      <c r="S22" s="382">
        <f>P22*R22</f>
        <v>0</v>
      </c>
      <c r="T22" s="375">
        <f>IF(OR(S$23=1,AND(S$23&gt;0.01,S$23&lt;0.99)),S22/S$23,IF(S$23&lt;0.011,S22/0.01,S22/0.99))</f>
        <v>0</v>
      </c>
      <c r="U22" s="382">
        <f t="shared" si="2"/>
        <v>0</v>
      </c>
      <c r="V22" s="375">
        <f>IF(AND(U$23&gt;0.01,U$23&lt;0.99),U22/U$23,IF(AND(U$23&gt;0,U$23&lt;0.011),U22/0.01,U22/0.99))</f>
        <v>0</v>
      </c>
      <c r="W22" s="1609">
        <f>(T22+V22)*N34</f>
        <v>0</v>
      </c>
      <c r="X22" s="423">
        <f>(T22+V22)*O34</f>
        <v>0</v>
      </c>
      <c r="Y22" s="1609">
        <f>(T22+V22)*P34</f>
        <v>0</v>
      </c>
      <c r="Z22" s="1609">
        <f>IF(Chemical="",0,IF(W$23&gt;0,W22/W$23,0))</f>
        <v>0</v>
      </c>
      <c r="AA22" s="1610">
        <f>IF(AND(N22&gt;0,G64&gt;0),Z22*G64,0)</f>
        <v>0</v>
      </c>
      <c r="AB22" s="364">
        <f>IF(G$89&lt;&gt;"",R22/G$89,0)</f>
        <v>0</v>
      </c>
      <c r="AC22" s="364">
        <f>IF(G$90&lt;&gt;"",R22/G$90,0)</f>
        <v>0</v>
      </c>
      <c r="AD22" s="364">
        <f>IF(G$78&lt;&gt;"",R22/G$78,0)</f>
        <v>0</v>
      </c>
      <c r="AE22" s="2445">
        <f>IF(G$66="",0,R22*G$66)</f>
        <v>0</v>
      </c>
      <c r="AF22" s="2444">
        <f>R22*W22</f>
        <v>0</v>
      </c>
      <c r="AG22" s="1613">
        <f t="shared" si="0"/>
        <v>0</v>
      </c>
      <c r="AH22" s="1613">
        <f t="shared" si="0"/>
        <v>0</v>
      </c>
      <c r="AI22" s="2441">
        <f>IF(R22*y_rel&gt;0,Z22*x_rel/(R22*y_rel),0)</f>
        <v>0</v>
      </c>
      <c r="AJ22" s="1609">
        <f>IF(AG$23*R22&gt;0,AG22*x_rel/(AG$23*R22),0)</f>
        <v>0</v>
      </c>
      <c r="AK22" s="1609">
        <f>IF(AH$23*R22&gt;0,AH22*x_rel/(AH$23*R22),0)</f>
        <v>0</v>
      </c>
      <c r="AL22" s="1635">
        <f>IF(OR(AJ22=0,AK22=0),0,LN(AJ22/AK22))/(T$26-V$26)</f>
        <v>0</v>
      </c>
    </row>
    <row r="23" spans="1:49" ht="12.75" customHeight="1" thickBot="1" x14ac:dyDescent="0.3">
      <c r="A23" s="122"/>
      <c r="B23" s="520" t="s">
        <v>2176</v>
      </c>
      <c r="C23" s="521" t="str">
        <f>IF(OR(O18="Yes",O19="Yes",O20="Yes",O21="Yes"),"Yes","No")</f>
        <v>No</v>
      </c>
      <c r="D23" s="345"/>
      <c r="E23" s="122"/>
      <c r="F23" s="3519" t="s">
        <v>2098</v>
      </c>
      <c r="G23" s="3520"/>
      <c r="H23" s="3533" t="s">
        <v>2122</v>
      </c>
      <c r="I23" s="3533" t="s">
        <v>853</v>
      </c>
      <c r="J23" s="340"/>
      <c r="K23" s="122"/>
      <c r="N23" s="335"/>
      <c r="P23" s="335" t="s">
        <v>2110</v>
      </c>
      <c r="Q23" s="365">
        <f>SUM(Q18:Q22)</f>
        <v>0</v>
      </c>
      <c r="R23" s="376">
        <f>IF($AF$18=$AF$23,R18,IF($AF$19=$AF$23,R19,IF($AF$20=$AF$23,R20,IF($AF$21=$AF$23,R21,R22))))</f>
        <v>0</v>
      </c>
      <c r="S23" s="427">
        <f t="shared" ref="S23:Y23" si="3">SUM(S18:S22)</f>
        <v>0</v>
      </c>
      <c r="T23" s="427">
        <f t="shared" si="3"/>
        <v>0</v>
      </c>
      <c r="U23" s="427">
        <f t="shared" si="3"/>
        <v>0</v>
      </c>
      <c r="V23" s="427">
        <f t="shared" si="3"/>
        <v>0</v>
      </c>
      <c r="W23" s="427">
        <f t="shared" si="3"/>
        <v>0</v>
      </c>
      <c r="X23" s="427">
        <f t="shared" si="3"/>
        <v>0</v>
      </c>
      <c r="Y23" s="427">
        <f t="shared" si="3"/>
        <v>0</v>
      </c>
      <c r="Z23" s="376">
        <f>IF($AF$18=$AF$23,Z18,IF($AF$19=$AF$23,Z19,IF($AF$20=$AF$23,Z20,IF($AF$21=$AF$23,Z21,Z22))))</f>
        <v>0</v>
      </c>
      <c r="AA23" s="371">
        <f>IF(State="Vapor",Mw_Feed,SUM(AA18:AA22))</f>
        <v>0</v>
      </c>
      <c r="AB23" s="370">
        <f>IF(SUM(AB18:AB21)&gt;0,1/SUM(AB18:AB21),0)</f>
        <v>0</v>
      </c>
      <c r="AC23" s="369">
        <f>IF(SUM(AC18:AC21)&gt;0,1/SUM(AC18:AC21),0)</f>
        <v>0</v>
      </c>
      <c r="AD23" s="497">
        <f>IF(SUM(AD18:AD21)&gt;0,1/SUM(AD18:AD21),0)</f>
        <v>0</v>
      </c>
      <c r="AE23" s="2404">
        <f>SUM(AE18:AE22)*LOG(10+0.3*MAWP)</f>
        <v>0</v>
      </c>
      <c r="AF23" s="991">
        <f>MAX(AF18:AF22)</f>
        <v>0</v>
      </c>
      <c r="AG23" s="376">
        <f>IF($AF$18=$AF$23,AG18,IF($AF$19=$AF$23,AG19,IF($AF$20=$AF$23,AG20,IF($AF$21=$AF$23,AG21,AG22))))</f>
        <v>0</v>
      </c>
      <c r="AH23" s="376">
        <f>IF($AF$18=$AF$23,AH18,IF($AF$19=$AF$23,AH19,IF($AF$20=$AF$23,AH20,IF($AF$21=$AF$23,AH21,AH22))))</f>
        <v>0</v>
      </c>
      <c r="AI23" s="1617"/>
    </row>
    <row r="24" spans="1:49" ht="12.75" customHeight="1" thickBot="1" x14ac:dyDescent="0.3">
      <c r="A24" s="122"/>
      <c r="B24" s="3556" t="str">
        <f>IF(W9=1,"","The Key Chemical selected represents a Standard Mixture."&amp;CHAR(10)&amp;"The Feed Composition below will be used.")</f>
        <v>The Key Chemical selected represents a Standard Mixture.
The Feed Composition below will be used.</v>
      </c>
      <c r="C24" s="3557"/>
      <c r="D24" s="3557"/>
      <c r="E24" s="122"/>
      <c r="F24" s="3521"/>
      <c r="G24" s="3522"/>
      <c r="H24" s="3522"/>
      <c r="I24" s="3522"/>
      <c r="J24" s="341"/>
      <c r="K24" s="122"/>
      <c r="N24" s="335"/>
      <c r="P24" s="408" t="s">
        <v>2167</v>
      </c>
      <c r="Q24" s="410">
        <f>IF(Q23&gt;0,1/Q23,0)</f>
        <v>0</v>
      </c>
      <c r="R24" s="335"/>
      <c r="S24" s="385"/>
      <c r="T24" s="335"/>
      <c r="U24" s="385"/>
      <c r="V24" s="335"/>
      <c r="W24" s="335"/>
      <c r="X24" s="385"/>
      <c r="Y24" s="385"/>
      <c r="Z24" s="431"/>
      <c r="AA24" s="409" t="s">
        <v>1063</v>
      </c>
      <c r="AE24" s="385"/>
      <c r="AF24" s="2403" t="s">
        <v>4627</v>
      </c>
      <c r="AG24" s="1614">
        <f>IF(AND(AG23&gt;0,AH23&gt;0),LN(AG23/AH23)/(1/($T$26+273.15-VP_C)-1/($V$26+273.15-VP_C)),0)</f>
        <v>0</v>
      </c>
      <c r="AH24" s="1615">
        <f>IF(AG23&gt;0,LN(AH23)-y_rel2/($V$26+273.15-VP_C),0)</f>
        <v>0</v>
      </c>
      <c r="AI24" s="1615"/>
    </row>
    <row r="25" spans="1:49" ht="12.75" customHeight="1" thickBot="1" x14ac:dyDescent="0.3">
      <c r="A25" s="122"/>
      <c r="B25" s="3558"/>
      <c r="C25" s="3558"/>
      <c r="D25" s="3558"/>
      <c r="E25" s="122"/>
      <c r="F25" s="344"/>
      <c r="G25" s="335" t="s">
        <v>2089</v>
      </c>
      <c r="H25" s="2246" t="str">
        <f>IF(Chemical&lt;&gt;"",IF(I25&lt;&gt;"",I25,IF(OR(NOT(ISNUMBER(VLOOKUP(Chemical,Chem_Table,COLUMN(MP_C),FALSE))),VLOOKUP(Chemical,Chem_Table,COLUMN(Frac_Key_C),FALSE)=1),H65,VLOOKUP(Chemical,Chem_Table,COLUMN(MP_C),FALSE))),"")</f>
        <v/>
      </c>
      <c r="I25" s="2245"/>
      <c r="J25" s="341" t="s">
        <v>2135</v>
      </c>
      <c r="K25" s="122"/>
      <c r="O25" s="335"/>
      <c r="Q25" s="408"/>
      <c r="R25" s="413"/>
      <c r="S25" s="335"/>
      <c r="T25" s="385"/>
      <c r="U25" s="335"/>
      <c r="V25" s="385"/>
      <c r="W25" s="335"/>
      <c r="X25" s="431"/>
      <c r="Y25" s="431"/>
      <c r="Z25" s="431"/>
      <c r="AA25" s="409"/>
      <c r="AE25" s="381"/>
      <c r="AF25" s="385"/>
      <c r="AG25" s="26"/>
    </row>
    <row r="26" spans="1:49" ht="12.75" customHeight="1" x14ac:dyDescent="0.25">
      <c r="A26" s="122"/>
      <c r="B26" s="3606" t="s">
        <v>2124</v>
      </c>
      <c r="C26" s="3523" t="s">
        <v>2063</v>
      </c>
      <c r="D26" s="3554" t="s">
        <v>1795</v>
      </c>
      <c r="E26" s="122"/>
      <c r="F26" s="344"/>
      <c r="G26" s="335" t="s">
        <v>2090</v>
      </c>
      <c r="H26" s="2246" t="str">
        <f>IF(Chemical&lt;&gt;"",IF(I26&lt;&gt;"",I26,IF(LFL_Mix="","",IF(OR(NOT(ISNUMBER(VLOOKUP(Chemical,Chem_Table,COLUMN(FP_C),FALSE))),VLOOKUP(Chemical,Chem_Table,COLUMN(Frac_Key_C),FALSE)=1),H77,VLOOKUP(Chemical,Chem_Table,COLUMN(FP_C),FALSE)))),"")</f>
        <v/>
      </c>
      <c r="I26" s="2245"/>
      <c r="J26" s="341" t="s">
        <v>2135</v>
      </c>
      <c r="K26" s="122"/>
      <c r="O26" s="353"/>
      <c r="S26" s="373" t="s">
        <v>2162</v>
      </c>
      <c r="T26" s="392">
        <f>IF(LowMix_Corr_T&lt;&gt;"",LowMix_Corr_T,IF(Ambient_Temp&lt;V26-100,Ambient_Temp,V26-100))</f>
        <v>-75</v>
      </c>
      <c r="U26" s="380" t="str">
        <f>" deg C  to"</f>
        <v xml:space="preserve"> deg C  to</v>
      </c>
      <c r="V26" s="392">
        <f>IF(HighMix_Corr_T&lt;&gt;"",HighMix_Corr_T,IF(ISERROR(AE23)=TRUE,100,MAX(AE23,T)+25))</f>
        <v>25</v>
      </c>
      <c r="W26" s="380" t="str">
        <f>" deg C"</f>
        <v xml:space="preserve"> deg C</v>
      </c>
      <c r="AA26" s="360"/>
      <c r="AF26" s="381"/>
      <c r="AG26" s="381"/>
    </row>
    <row r="27" spans="1:49" ht="12.75" customHeight="1" thickBot="1" x14ac:dyDescent="0.3">
      <c r="A27" s="122"/>
      <c r="B27" s="3607"/>
      <c r="C27" s="3524"/>
      <c r="D27" s="3555"/>
      <c r="E27" s="122"/>
      <c r="F27" s="1671"/>
      <c r="G27" s="1672" t="s">
        <v>2760</v>
      </c>
      <c r="H27" s="2247" t="str">
        <f>IF(WFeed_1&lt;1,T47,"")</f>
        <v/>
      </c>
      <c r="I27" s="1670"/>
      <c r="J27" s="1673" t="str">
        <f>IF(ISERROR(IF(ABS(T47-H77)&gt;20,"deg C with high uncertainty ","deg C                                  ")),"",IF(ABS(T47-H77)&gt;20,"deg C with high uncertainty ","deg C                                  "))</f>
        <v/>
      </c>
      <c r="K27" s="122"/>
      <c r="AC27" s="330"/>
      <c r="AD27" s="381"/>
      <c r="AF27" s="381"/>
    </row>
    <row r="28" spans="1:49" ht="12.75" customHeight="1" x14ac:dyDescent="0.25">
      <c r="A28" s="122"/>
      <c r="B28" s="1201" t="str">
        <f>IF(Chemical="","",IF(W$9&lt;&gt;1,IF(N10="",Chemical,N10),""))</f>
        <v/>
      </c>
      <c r="C28" s="430" t="str">
        <f>IF(AND(W$9&lt;&gt;1,P10=""),W9,P10)</f>
        <v/>
      </c>
      <c r="D28" s="1029" t="str">
        <f>IF(W$9&lt;&gt;1,IF(Q10="","",Q10),Q10)</f>
        <v/>
      </c>
      <c r="E28" s="122"/>
      <c r="F28" s="344"/>
      <c r="G28" s="335" t="s">
        <v>2125</v>
      </c>
      <c r="H28" s="2244" t="str">
        <f>IF(I28&lt;&gt;"",I28,"")</f>
        <v/>
      </c>
      <c r="I28" s="2245"/>
      <c r="J28" s="341"/>
      <c r="K28" s="122"/>
      <c r="M28" s="3534" t="s">
        <v>2111</v>
      </c>
      <c r="N28" s="3512" t="s">
        <v>3392</v>
      </c>
      <c r="O28" s="3512" t="s">
        <v>3393</v>
      </c>
      <c r="P28" s="3515" t="s">
        <v>2132</v>
      </c>
      <c r="Q28" s="3512" t="s">
        <v>3401</v>
      </c>
      <c r="R28" s="3512" t="s">
        <v>3399</v>
      </c>
      <c r="S28" s="3512" t="s">
        <v>3400</v>
      </c>
      <c r="T28" s="3510" t="s">
        <v>3405</v>
      </c>
      <c r="U28" s="3512" t="s">
        <v>2128</v>
      </c>
      <c r="V28" s="3515" t="s">
        <v>2130</v>
      </c>
      <c r="W28" s="3515" t="s">
        <v>2129</v>
      </c>
      <c r="X28" s="3515" t="s">
        <v>2131</v>
      </c>
      <c r="Y28" s="3515" t="s">
        <v>5242</v>
      </c>
      <c r="Z28" s="3515" t="s">
        <v>5243</v>
      </c>
      <c r="AA28" s="3515" t="s">
        <v>4510</v>
      </c>
      <c r="AB28" s="3515" t="s">
        <v>4506</v>
      </c>
      <c r="AC28" s="3515" t="s">
        <v>4507</v>
      </c>
      <c r="AD28" s="3515" t="s">
        <v>2126</v>
      </c>
      <c r="AE28" s="3515" t="s">
        <v>2127</v>
      </c>
      <c r="AF28" s="3515" t="s">
        <v>2386</v>
      </c>
      <c r="AG28" s="3515" t="s">
        <v>2667</v>
      </c>
      <c r="AH28" s="3503" t="s">
        <v>2743</v>
      </c>
      <c r="AI28" s="3503" t="s">
        <v>2744</v>
      </c>
      <c r="AJ28" s="3503" t="s">
        <v>2745</v>
      </c>
      <c r="AK28" s="3503" t="s">
        <v>4200</v>
      </c>
      <c r="AL28" s="3503" t="s">
        <v>4201</v>
      </c>
      <c r="AM28" s="3615" t="s">
        <v>4194</v>
      </c>
      <c r="AN28" s="3503" t="s">
        <v>4195</v>
      </c>
      <c r="AO28" s="3503" t="s">
        <v>4202</v>
      </c>
      <c r="AP28" s="3503" t="s">
        <v>4203</v>
      </c>
      <c r="AQ28" s="3503" t="s">
        <v>3418</v>
      </c>
      <c r="AR28" s="3503" t="s">
        <v>3419</v>
      </c>
    </row>
    <row r="29" spans="1:49" ht="12.75" customHeight="1" x14ac:dyDescent="0.25">
      <c r="A29" s="122"/>
      <c r="B29" s="1202" t="str">
        <f>IF(W$9&lt;&gt;1,IF(N11="","",N11),"")</f>
        <v/>
      </c>
      <c r="C29" s="420" t="str">
        <f>IF(W$9&lt;&gt;1,IF(P11="","",P11),P11)</f>
        <v/>
      </c>
      <c r="D29" s="416" t="str">
        <f>IF(W$9&lt;&gt;1,IF(Q11="","",Q11),Q11)</f>
        <v/>
      </c>
      <c r="E29" s="122"/>
      <c r="F29" s="344"/>
      <c r="G29" s="72" t="s">
        <v>2075</v>
      </c>
      <c r="H29" s="2244" t="str">
        <f>IF(Chemical&lt;&gt;"",IF(I29&lt;&gt;"",I29,IF(OR(NOT(ISNUMBER(VLOOKUP(Chemical,Chem_Table,COLUMN(AIgnite_C),FALSE))),VLOOKUP(Chemical,Chem_Table,COLUMN(Frac_Key_C),FALSE)=1),H80,VLOOKUP(Chemical,Chem_Table,COLUMN(AIgnite_C),FALSE))),"")</f>
        <v/>
      </c>
      <c r="I29" s="2245"/>
      <c r="J29" s="341" t="s">
        <v>2135</v>
      </c>
      <c r="K29" s="122"/>
      <c r="M29" s="3535"/>
      <c r="N29" s="3517"/>
      <c r="O29" s="3517"/>
      <c r="P29" s="3516"/>
      <c r="Q29" s="3513"/>
      <c r="R29" s="3513"/>
      <c r="S29" s="3513"/>
      <c r="T29" s="3511"/>
      <c r="U29" s="3517"/>
      <c r="V29" s="3516"/>
      <c r="W29" s="3516"/>
      <c r="X29" s="3516"/>
      <c r="Y29" s="3516"/>
      <c r="Z29" s="3516"/>
      <c r="AA29" s="3518"/>
      <c r="AB29" s="3518"/>
      <c r="AC29" s="3518"/>
      <c r="AD29" s="3518"/>
      <c r="AE29" s="3518"/>
      <c r="AF29" s="3518"/>
      <c r="AG29" s="3518"/>
      <c r="AH29" s="3503"/>
      <c r="AI29" s="3503"/>
      <c r="AJ29" s="3503"/>
      <c r="AK29" s="3503"/>
      <c r="AL29" s="3503"/>
      <c r="AM29" s="3616"/>
      <c r="AN29" s="3503"/>
      <c r="AO29" s="3503"/>
      <c r="AP29" s="3503"/>
      <c r="AQ29" s="3503"/>
      <c r="AR29" s="3503"/>
    </row>
    <row r="30" spans="1:49" ht="12.75" customHeight="1" x14ac:dyDescent="0.25">
      <c r="A30" s="122"/>
      <c r="B30" s="1395" t="str">
        <f>IF(W$9&lt;&gt;1,IF(N12="","",N12),"")</f>
        <v/>
      </c>
      <c r="C30" s="415" t="str">
        <f>IF(W$9&lt;&gt;1,IF(P12="","",P12),P12)</f>
        <v/>
      </c>
      <c r="D30" s="416" t="str">
        <f>IF(W$9&lt;&gt;1,IF(Q12="","",Q12),Q12)</f>
        <v/>
      </c>
      <c r="E30" s="122"/>
      <c r="F30" s="344"/>
      <c r="G30" s="72" t="s">
        <v>487</v>
      </c>
      <c r="H30" s="2244" t="str">
        <f>IF(Chemical&lt;&gt;"",IF(I30&lt;&gt;"",I30,IF(OR(NOT(ISTEXT(VLOOKUP(Chemical,Chem_Table,COLUMN(EI_C),FALSE))),VLOOKUP(Chemical,Chem_Table,COLUMN(Frac_Key_C),FALSE)=1),H81,VLOOKUP(Chemical,Chem_Table,COLUMN(EI_C),FALSE))),"")</f>
        <v/>
      </c>
      <c r="I30" s="2245"/>
      <c r="J30" s="341"/>
      <c r="K30" s="122"/>
      <c r="M30" s="343" t="str">
        <f>M18</f>
        <v/>
      </c>
      <c r="N30" s="1609">
        <f>IF(AND(C$67&lt;&gt;"",C$68&lt;&gt;""),EXP(C$67-C$68/(T+273.15-C$69)),0)</f>
        <v>0</v>
      </c>
      <c r="O30" s="391">
        <f>IF(AND(C$67&lt;&gt;"",C$68&lt;&gt;""),EXP(C$67-C$68/($T$26+273.15-C$69)),0)</f>
        <v>0</v>
      </c>
      <c r="P30" s="391">
        <f>IF(AND(C$67&lt;&gt;"",C$68&lt;&gt;""),EXP(C$67-$C68/($V$26+273.15-C$69)),0)</f>
        <v>0</v>
      </c>
      <c r="Q30" s="2441">
        <f>IF(P0_rel&gt;0,N30/P0_rel,0)</f>
        <v>0</v>
      </c>
      <c r="R30" s="1609">
        <f>IF(P1_rel&gt;0,O30/P1_rel,0)</f>
        <v>0</v>
      </c>
      <c r="S30" s="1609">
        <f>IF(P2_rel&gt;0,P30/P2_rel,0)</f>
        <v>0</v>
      </c>
      <c r="T30" s="1616">
        <f>IF(OR(S30=0,R30=0,Pseudo_Chem="Yes"),0,LN(S30/R30)/($V$26-$T$26))</f>
        <v>0</v>
      </c>
      <c r="U30" s="354">
        <f>IF(C$70&lt;&gt;"",IF(C$70-C$71*$T$26&gt;0.2,IF(AND(W$9&lt;&gt;1,P10=""),1/(C$70-C$71*$T$26),N18/(C$70-C$71*$T$26)),N18/0.2),0)</f>
        <v>0</v>
      </c>
      <c r="V30" s="354">
        <f>IF(C$70&lt;&gt;"",IF(C$70-C$71*$V$26&gt;0.2,IF(AND(W$9&lt;&gt;1,P10=""),1/(C$70-C$71*$V$26),N18/(C$70-C$71*$V$26)),N18/0.2),0)</f>
        <v>0</v>
      </c>
      <c r="W30" s="352">
        <f>IF(C$72&lt;&gt;"",IF(AND(W$9&lt;&gt;1,P10=""),(C$72+C$73*$T$26),N18*(C$72+C$73*$T$26)),0)</f>
        <v>0</v>
      </c>
      <c r="X30" s="352">
        <f>IF(C$72&lt;&gt;"",IF(AND(W$9&lt;&gt;1,P10=""),(C$72+C$73*$V$26),N18*(C$72+C$73*$V$26)),0)</f>
        <v>0</v>
      </c>
      <c r="Y30" s="355">
        <f>IF(AND(E16&lt;&gt;"",C$74&lt;&gt;""),IF(AND(W$9&lt;&gt;1,P10=""),IF(C$74-C$75*$T$26-C$76*$T$26*$T$26&gt;1,C$74-C$75*$T$26-C$76*$T$26*$T$26,1),IF(C$74-C$75*$T$26-C$76*$T$26*$T$26&gt;1,E16*(C$74-C$75*$T$26-C$76*$T$26*$T$26),E16)),0)</f>
        <v>0</v>
      </c>
      <c r="Z30" s="355">
        <f>IF(AND(E16&lt;&gt;"",C$74&lt;&gt;""),IF(AND(W$9&lt;&gt;1,P10=""),IF(C$74-C$75*$V$26-C$76*$V$26*$V$26&gt;1,C$74-C$75*$V$26-C$76*$V$26*$V$26,1),IF(C$74-C$75*$V$26-C$76*$V$26*$V$26&gt;1,E16*(C$74-C$75*$V$26-C$76*$V$26*$V$26),E16)),0)</f>
        <v>0</v>
      </c>
      <c r="AA30" s="364">
        <f>IF(C$88&lt;&gt;"",$Z18/C$88,0)</f>
        <v>0</v>
      </c>
      <c r="AB30" s="364">
        <f>IF(C$89&lt;&gt;"",$Z18/C$89,0)</f>
        <v>0</v>
      </c>
      <c r="AC30" s="364">
        <f>IF(C$90&lt;&gt;"",$Z18/C$90,0)</f>
        <v>0</v>
      </c>
      <c r="AD30" s="364">
        <f>IF(C$78&lt;&gt;"",$Z18/C$78,0)</f>
        <v>0</v>
      </c>
      <c r="AE30" s="364">
        <f>IF(C$79&lt;&gt;"",$Z18/C$79,0)</f>
        <v>0</v>
      </c>
      <c r="AF30" s="2446">
        <f>IF(C$90&lt;&gt;"",R18/C$90,0)</f>
        <v>0</v>
      </c>
      <c r="AG30" s="2449">
        <f>IF(R18&gt;0,(T18+V18)/R18,1)</f>
        <v>1</v>
      </c>
      <c r="AH30" s="989" t="str">
        <f>IF(AF18=AF$23,C$67,0)</f>
        <v/>
      </c>
      <c r="AI30" s="992" t="str">
        <f>IF(AF18=AF$23,C$68,0)</f>
        <v/>
      </c>
      <c r="AJ30" s="992" t="str">
        <f>IF(AF18=AF$23,C$69,0)</f>
        <v/>
      </c>
      <c r="AK30" s="2225" t="str">
        <f>IF(C60&lt;&gt;"",IF(NOT(ISNUMBER(VLOOKUP(C60,Chem_Table,COLUMN(ProbitLC1_C),FALSE))),"",VLOOKUP(C60,Chem_Table,COLUMN(ProbitLC1_C),FALSE)),"")</f>
        <v/>
      </c>
      <c r="AL30" s="2225" t="str">
        <f>IF(C60&lt;&gt;"",IF(NOT(ISNUMBER(VLOOKUP(C60,Chem_Table,COLUMN(ProbitLC50_C),FALSE))),"",VLOOKUP(C60,Chem_Table,COLUMN(ProbitLC50_C),FALSE)),"")</f>
        <v/>
      </c>
      <c r="AM30" s="1621" t="str">
        <f>IF(C60&lt;&gt;"",IF(NOT(ISNUMBER(VLOOKUP(C60,Chem_Table,COLUMN(Probitn_C),FALSE))),"",VLOOKUP(C60,Chem_Table,COLUMN(Probitn_C),FALSE)),"")</f>
        <v/>
      </c>
      <c r="AN30" s="2107">
        <f>IF(AM30&lt;&gt;"",AM30,2)</f>
        <v>2</v>
      </c>
      <c r="AO30" s="1618">
        <f>IF(C90="",0,IF(AK30="",LC1_Ratio*C90,AK30))</f>
        <v>0</v>
      </c>
      <c r="AP30" s="1618">
        <f>IF(C90="",0,IF(AK30="",LC50_Ratio*C90,AL30))</f>
        <v>0</v>
      </c>
      <c r="AQ30" s="1609">
        <f t="shared" ref="AQ30:AR34" si="4">IF(AO30&lt;&gt;0,$Z18/AO30,0)</f>
        <v>0</v>
      </c>
      <c r="AR30" s="1609">
        <f t="shared" si="4"/>
        <v>0</v>
      </c>
    </row>
    <row r="31" spans="1:49" ht="12.75" customHeight="1" x14ac:dyDescent="0.25">
      <c r="A31" s="122"/>
      <c r="B31" s="1202" t="str">
        <f>IF(W$9&lt;&gt;1,IF(N13="","",N13),"")</f>
        <v/>
      </c>
      <c r="C31" s="429" t="str">
        <f>IF(W$9&lt;&gt;1,IF(P13="","",P13),P13)</f>
        <v/>
      </c>
      <c r="D31" s="416" t="str">
        <f>IF(W$9&lt;&gt;1,IF(Q13="","",Q13),Q13)</f>
        <v/>
      </c>
      <c r="E31" s="122"/>
      <c r="F31" s="344"/>
      <c r="G31" s="72" t="s">
        <v>883</v>
      </c>
      <c r="H31" s="2244" t="str">
        <f>IF(Chemical&lt;&gt;"",IF(I31&lt;&gt;"",I31,IF(OR(NOT(ISTEXT(VLOOKUP(Chemical,Chem_Table,COLUMN(FS_C),FALSE))),VLOOKUP(Chemical,Chem_Table,COLUMN(Frac_Key_C),FALSE)=1),H82,VLOOKUP(Chemical,Chem_Table,COLUMN(FS_C),FALSE))),"")</f>
        <v/>
      </c>
      <c r="I31" s="2245"/>
      <c r="J31" s="341"/>
      <c r="K31" s="122"/>
      <c r="M31" s="343" t="str">
        <f>M19</f>
        <v/>
      </c>
      <c r="N31" s="1609">
        <f>IF(AND(D$67&lt;&gt;"",D$68&lt;&gt;""),EXP(D$67-D$68/(T+273.15-D$69)),0)</f>
        <v>0</v>
      </c>
      <c r="O31" s="391">
        <f>IF(AND(D$67&lt;&gt;"",D$68&lt;&gt;""),EXP(D$67-D$68/($T$26+273.15-D$69)),0)</f>
        <v>0</v>
      </c>
      <c r="P31" s="391">
        <f>IF(AND(D$67&lt;&gt;"",D$68&lt;&gt;""),EXP(D$67-D$68/($V$26+273.15-D$69)),0)</f>
        <v>0</v>
      </c>
      <c r="Q31" s="2441">
        <f>IF(P0_rel&gt;0,N31/P0_rel,0)</f>
        <v>0</v>
      </c>
      <c r="R31" s="1609">
        <f>IF(P1_rel&gt;0,O31/P1_rel,0)</f>
        <v>0</v>
      </c>
      <c r="S31" s="1609">
        <f>IF(P2_rel&gt;0,P31/P2_rel,0)</f>
        <v>0</v>
      </c>
      <c r="T31" s="1616">
        <f>IF(OR(S31=0,R31=0),0,LN(S31/R31)/($V$26-$T$26))</f>
        <v>0</v>
      </c>
      <c r="U31" s="354">
        <f>IF(D$70&lt;&gt;"",IF(D$70-D$71*$T$26&gt;0.2,N19/(D$70-D$71*$T$26),N19/0.2),0)</f>
        <v>0</v>
      </c>
      <c r="V31" s="354">
        <f>IF(D$70&lt;&gt;"",IF(D$70-D$71*$V$26&gt;0.2,N19/(D$70-D$71*$V$26),N19/0.2),0)</f>
        <v>0</v>
      </c>
      <c r="W31" s="352">
        <f>IF(D$72&lt;&gt;"",N19*(D$72+D$73*$T$26),0)</f>
        <v>0</v>
      </c>
      <c r="X31" s="352">
        <f>IF(D$72&lt;&gt;"",N19*(D$72+D$73*$V$26),0)</f>
        <v>0</v>
      </c>
      <c r="Y31" s="355">
        <f>IF(AND(E17&lt;&gt;"",D$74&lt;&gt;""),IF(AND(W$9&lt;&gt;1,P11=""),IF(D$74-D$75*$T$26-D$76*$T$26*$T$26&gt;1,D$74-D$75*$T$26-D$76*$T$26*$T$26,1),IF(D$74-D$75*$T$26-D$76*$T$26*$T$26&gt;1,E17*(D$74-D$75*$T$26-D$76*$T$26*$T$26),E17)),0)</f>
        <v>0</v>
      </c>
      <c r="Z31" s="355">
        <f>IF(AND(E17&lt;&gt;"",D$74&lt;&gt;""),IF(AND(W$9&lt;&gt;1,P11=""),IF(D$74-D$75*$V$26-D$76*$V$26*$V$26&gt;1,D$74-D$75*$V$26-D$76*$V$26*$V$26,1),IF(D$74-D$75*$V$26-D$76*$V$26*$V$26&gt;1,E17*(D$74-D$75*$V$26-D$76*$V$26*$V$26),E17)),0)</f>
        <v>0</v>
      </c>
      <c r="AA31" s="364">
        <f>IF(D$88&lt;&gt;"",$Z19/D$88,0)</f>
        <v>0</v>
      </c>
      <c r="AB31" s="364">
        <f>IF(AND(W$9&lt;&gt;1,P10="",AA11&lt;&gt;""),(1-$Z18)/AA11,IF(D$89&lt;&gt;"",$Z19/D$89,0))</f>
        <v>0</v>
      </c>
      <c r="AC31" s="364">
        <f>IF(AND(W$9&lt;&gt;1,P10="",AA12&lt;&gt;""),(1-$Z18)/AA12,IF(D$90&lt;&gt;"",$Z19/D$90,0))</f>
        <v>0</v>
      </c>
      <c r="AD31" s="364">
        <f>IF(AND(W$9&lt;&gt;1,P10="",AA13&lt;&gt;""),(1-$Z18)/AA13,IF(D$78&lt;&gt;"",$Z19/D$78,0))</f>
        <v>0</v>
      </c>
      <c r="AE31" s="364">
        <f>IF(D$79&lt;&gt;"",$Z19/D$79,0)</f>
        <v>0</v>
      </c>
      <c r="AF31" s="2446">
        <f>IF(D$90&lt;&gt;"",R19/D$90,0)</f>
        <v>0</v>
      </c>
      <c r="AG31" s="2449">
        <f t="shared" ref="AG31:AG34" si="5">IF(R19&gt;0,(T19+V19)/R19,1)</f>
        <v>1</v>
      </c>
      <c r="AH31" s="989" t="str">
        <f>IF(AF19=AF$23,IF(AND(D$67="",O31&gt;0),LN(O31)+AI31/(273.15+T26),D$67),0)</f>
        <v/>
      </c>
      <c r="AI31" s="992" t="str">
        <f>IF(AF19=AF$23,IF(AND(D$68="",O31&gt;0),(LN(P31)-LN(O31))/(1/(273.15+T26)-1/(273.15+V26)),D$68),0)</f>
        <v/>
      </c>
      <c r="AJ31" s="992">
        <f>IF(AF19=AF$23,IF(D$69="",0,D$69),0)</f>
        <v>0</v>
      </c>
      <c r="AK31" s="2225" t="str">
        <f>IF(D60&lt;&gt;"",IF(NOT(ISNUMBER(VLOOKUP(D60,Chem_Table,COLUMN(ProbitLC1_C),FALSE))),"",VLOOKUP(D60,Chem_Table,COLUMN(ProbitLC1_C),FALSE)),"")</f>
        <v/>
      </c>
      <c r="AL31" s="2225" t="str">
        <f>IF(D60&lt;&gt;"",IF(NOT(ISNUMBER(VLOOKUP(D60,Chem_Table,COLUMN(ProbitLC50_C),FALSE))),"",VLOOKUP(D60,Chem_Table,COLUMN(ProbitLC50_C),FALSE)),"")</f>
        <v/>
      </c>
      <c r="AM31" s="1621" t="str">
        <f>IF(D60&lt;&gt;"",IF(NOT(ISNUMBER(VLOOKUP(D60,Chem_Table,COLUMN(Probitn_C),FALSE))),"",VLOOKUP(D60,Chem_Table,COLUMN(Probitn_C),FALSE)),"")</f>
        <v/>
      </c>
      <c r="AN31" s="2107">
        <f>IF(AM31&lt;&gt;"",AM31,2)</f>
        <v>2</v>
      </c>
      <c r="AO31" s="1618">
        <f>IF(D90="",0,IF(AK31="",LC1_Ratio*D90,AK31))</f>
        <v>0</v>
      </c>
      <c r="AP31" s="1618">
        <f>IF(D90="",0,IF(AK31="",LC50_Ratio*D90,AL31))</f>
        <v>0</v>
      </c>
      <c r="AQ31" s="1609">
        <f t="shared" si="4"/>
        <v>0</v>
      </c>
      <c r="AR31" s="1609">
        <f t="shared" si="4"/>
        <v>0</v>
      </c>
    </row>
    <row r="32" spans="1:49" ht="12.75" customHeight="1" thickBot="1" x14ac:dyDescent="0.3">
      <c r="A32" s="122"/>
      <c r="B32" s="1396" t="str">
        <f>IF(W$9&lt;&gt;1,IF(N14="","",N14),"")</f>
        <v/>
      </c>
      <c r="C32" s="428" t="str">
        <f>IF(W$9&lt;&gt;1,IF(P14="","",P14),P14)</f>
        <v/>
      </c>
      <c r="D32" s="412" t="str">
        <f>IF(W$9&lt;&gt;1,IF(Q14="","",Q14),Q14)</f>
        <v/>
      </c>
      <c r="E32" s="122"/>
      <c r="F32" s="344"/>
      <c r="G32" s="72" t="s">
        <v>2076</v>
      </c>
      <c r="H32" s="2244" t="str">
        <f>IF(Chemical&lt;&gt;"",IF(I32&lt;&gt;"",I32,IF(OR(NOT(ISTEXT(VLOOKUP(Chemical,Chem_Table,COLUMN(DTRS_C),FALSE))),VLOOKUP(Chemical,Chem_Table,COLUMN(Frac_Key_C),FALSE)=1),H97,VLOOKUP(Chemical,Chem_Table,COLUMN(DTRS_C),FALSE))),"")</f>
        <v/>
      </c>
      <c r="I32" s="2245"/>
      <c r="J32" s="341"/>
      <c r="K32" s="122"/>
      <c r="M32" s="343" t="str">
        <f>M20</f>
        <v/>
      </c>
      <c r="N32" s="1609">
        <f>IF(AND(E$67&lt;&gt;"",E$68&lt;&gt;""),EXP(E$67-E$68/(T+273.15-E$69)),0)</f>
        <v>0</v>
      </c>
      <c r="O32" s="391">
        <f>IF(AND(E$67&lt;&gt;"",E$68&lt;&gt;""),EXP(E$67-E$68/($T$26+273.15-E$69)),0)</f>
        <v>0</v>
      </c>
      <c r="P32" s="391">
        <f>IF(AND(E$67&lt;&gt;"",E$68&lt;&gt;""),EXP(E$67-E$68/($V$26+273.15-E$69)),0)</f>
        <v>0</v>
      </c>
      <c r="Q32" s="2441">
        <f>IF(P0_rel&gt;0,N32/P0_rel,0)</f>
        <v>0</v>
      </c>
      <c r="R32" s="1609">
        <f>IF(P1_rel&gt;0,O32/P1_rel,0)</f>
        <v>0</v>
      </c>
      <c r="S32" s="1609">
        <f>IF(P2_rel&gt;0,P32/P2_rel,0)</f>
        <v>0</v>
      </c>
      <c r="T32" s="1616">
        <f>IF(OR(S32=0,R32=0),0,LN(S32/R32)/($V$26-$T$26))</f>
        <v>0</v>
      </c>
      <c r="U32" s="354">
        <f>IF(E$70&lt;&gt;"",IF(E$70-E$71*$T$26&gt;0.2,N20/(E$70-E$71*$T$26),N20/0.2),0)</f>
        <v>0</v>
      </c>
      <c r="V32" s="354">
        <f>IF(E$70&lt;&gt;"",IF(E$70-E$71*$V$26&gt;0.2,N20/(E$70-E$71*$V$26),N20/0.2),0)</f>
        <v>0</v>
      </c>
      <c r="W32" s="366">
        <f>IF(E$72&lt;&gt;"",N20*(E$72+E$73*$T$26),0)</f>
        <v>0</v>
      </c>
      <c r="X32" s="352">
        <f>IF(E$72&lt;&gt;"",N20*(E$72+E$73*$V$26),0)</f>
        <v>0</v>
      </c>
      <c r="Y32" s="355">
        <f>IF(AND(E18&lt;&gt;"",E$74&lt;&gt;""),IF(AND(W$9&lt;&gt;1,P12=""),IF(E$74-E$75*$T$26-E$76*$T$26*$T$26&gt;1,E$74-E$75*$T$26-E$76*$T$26*$T$26,1),IF(E$74-E$75*$T$26-E$76*$T$26*$T$26&gt;1,E18*(E$74-E$75*$T$26-E$76*$T$26*$T$26),E18)),0)</f>
        <v>0</v>
      </c>
      <c r="Z32" s="355">
        <f>IF(AND(E18&lt;&gt;"",E$74&lt;&gt;""),IF(AND(W$9&lt;&gt;1,P12=""),IF(E$74-E$75*$V$26-E$76*$V$26*$V$26&gt;1,E$74-E$75*$V$26-E$76*$V$26*$V$26,1),IF(E$74-E$75*$V$26-E$76*$V$26*$V$26&gt;1,E18*(E$74-E$75*$V$26-E$76*$V$26*$V$26),E18)),0)</f>
        <v>0</v>
      </c>
      <c r="AA32" s="364">
        <f>IF(E$88&lt;&gt;"",$Z20/E$88,0)</f>
        <v>0</v>
      </c>
      <c r="AB32" s="364">
        <f>IF(E$89&lt;&gt;"",$Z20/E$89,0)</f>
        <v>0</v>
      </c>
      <c r="AC32" s="364">
        <f>IF(E$90&lt;&gt;"",$Z20/E$90,0)</f>
        <v>0</v>
      </c>
      <c r="AD32" s="364">
        <f>IF(E$78&lt;&gt;"",$Z20/E$78,0)</f>
        <v>0</v>
      </c>
      <c r="AE32" s="364">
        <f>IF(E$79&lt;&gt;"",$Z20/E$79,0)</f>
        <v>0</v>
      </c>
      <c r="AF32" s="2446">
        <f>IF(E$90&lt;&gt;"",R20/E$90,0)</f>
        <v>0</v>
      </c>
      <c r="AG32" s="2449">
        <f t="shared" si="5"/>
        <v>1</v>
      </c>
      <c r="AH32" s="989" t="str">
        <f>IF(AF20=AF$23,E$67,0)</f>
        <v/>
      </c>
      <c r="AI32" s="992" t="str">
        <f>IF(AF20=AF$23,E$68,0)</f>
        <v/>
      </c>
      <c r="AJ32" s="992" t="str">
        <f>IF(AF20=AF$23,E$69,0)</f>
        <v/>
      </c>
      <c r="AK32" s="2225" t="str">
        <f>IF(E60&lt;&gt;"",IF(NOT(ISNUMBER(VLOOKUP(E60,Chem_Table,COLUMN(ProbitLC1_C),FALSE))),"",VLOOKUP(E60,Chem_Table,COLUMN(ProbitLC1_C),FALSE)),"")</f>
        <v/>
      </c>
      <c r="AL32" s="2225" t="str">
        <f>IF(E60&lt;&gt;"",IF(NOT(ISNUMBER(VLOOKUP(E60,Chem_Table,COLUMN(ProbitLC50_C),FALSE))),"",VLOOKUP(E60,Chem_Table,COLUMN(ProbitLC50_C),FALSE)),"")</f>
        <v/>
      </c>
      <c r="AM32" s="1621" t="str">
        <f>IF(E60&lt;&gt;"",IF(NOT(ISNUMBER(VLOOKUP(E60,Chem_Table,COLUMN(Probitn_C),FALSE))),"",VLOOKUP(E60,Chem_Table,COLUMN(Probitn_C),FALSE)),"")</f>
        <v/>
      </c>
      <c r="AN32" s="2107">
        <f>IF(AM32&lt;&gt;"",AM32,2)</f>
        <v>2</v>
      </c>
      <c r="AO32" s="1618">
        <f>IF(E90="",0,IF(AK32="",LC1_Ratio*E90,AK32))</f>
        <v>0</v>
      </c>
      <c r="AP32" s="1618">
        <f>IF(E90="",0,IF(AK32="",LC50_Ratio*E90,AL32))</f>
        <v>0</v>
      </c>
      <c r="AQ32" s="1609">
        <f t="shared" si="4"/>
        <v>0</v>
      </c>
      <c r="AR32" s="1609">
        <f t="shared" si="4"/>
        <v>0</v>
      </c>
    </row>
    <row r="33" spans="1:44" ht="12.75" customHeight="1" x14ac:dyDescent="0.25">
      <c r="A33" s="122"/>
      <c r="B33" s="122"/>
      <c r="C33" s="122"/>
      <c r="D33" s="122"/>
      <c r="E33" s="122"/>
      <c r="F33" s="344"/>
      <c r="G33" s="72" t="s">
        <v>2077</v>
      </c>
      <c r="H33" s="2244" t="str">
        <f>IF(Chemical&lt;&gt;"",IF(I33&lt;&gt;"",I33,IF(OR(NOT(ISTEXT(VLOOKUP(Chemical,Chem_Table,COLUMN(ATRS_C),FALSE))),VLOOKUP(Chemical,Chem_Table,COLUMN(Frac_Key_C),FALSE)=1),H98,VLOOKUP(Chemical,Chem_Table,COLUMN(ATRS_C),FALSE))),"")</f>
        <v/>
      </c>
      <c r="I33" s="2245"/>
      <c r="J33" s="341"/>
      <c r="K33" s="122"/>
      <c r="M33" s="343" t="str">
        <f>M21</f>
        <v/>
      </c>
      <c r="N33" s="1609">
        <f>IF(AND(F$67&lt;&gt;"",F$68&lt;&gt;""),EXP(F$67-F$68/(T+273.15-F$69)),0)</f>
        <v>0</v>
      </c>
      <c r="O33" s="391">
        <f>IF(AND(F$67&lt;&gt;"",F$68&lt;&gt;""),EXP(F$67-F$68/($T$26+273.15-F$69)),0)</f>
        <v>0</v>
      </c>
      <c r="P33" s="391">
        <f>IF(AND(F$67&lt;&gt;"",F$68&lt;&gt;""),EXP(F$67-F$68/($V$26+273.15-F$69)),0)</f>
        <v>0</v>
      </c>
      <c r="Q33" s="2441">
        <f>IF(P0_rel&gt;0,N33/P0_rel,0)</f>
        <v>0</v>
      </c>
      <c r="R33" s="1609">
        <f>IF(P1_rel&gt;0,O33/P1_rel,0)</f>
        <v>0</v>
      </c>
      <c r="S33" s="1609">
        <f>IF(P2_rel&gt;0,P33/P2_rel,0)</f>
        <v>0</v>
      </c>
      <c r="T33" s="1616">
        <f>IF(OR(S33=0,R33=0),0,LN(S33/R33)/($V$26-$T$26))</f>
        <v>0</v>
      </c>
      <c r="U33" s="354">
        <f>IF(F$70&lt;&gt;"",IF(F$70-F$71*$T$26&gt;0.2,N21/(F$70-F$71*$T$26),N21/0.2),0)</f>
        <v>0</v>
      </c>
      <c r="V33" s="354">
        <f>IF(F$70&lt;&gt;"",IF(F$70-F$71*$V$26&gt;0.2,N21/(F$70-F$71*$V$26),N21/0.2),0)</f>
        <v>0</v>
      </c>
      <c r="W33" s="366">
        <f>IF(F$72&lt;&gt;"",N21*(F$72+F$73*$T$26),0)</f>
        <v>0</v>
      </c>
      <c r="X33" s="352">
        <f>IF(F$72&lt;&gt;"",N21*(F$72+F$73*$V$26),0)</f>
        <v>0</v>
      </c>
      <c r="Y33" s="355">
        <f>IF(AND(E19&lt;&gt;"",F$74&lt;&gt;""),IF(AND(W$9&lt;&gt;1,P13=""),IF(F$74-F$75*$T$26-F$76*$T$26*$T$26&gt;1,F$74-F$75*$T$26-F$76*$T$26*$T$26,1),IF(F$74-F$75*$T$26-F$76*$T$26*$T$26&gt;1,E19*(F$74-F$75*$T$26-F$76*$T$26*$T$26),E19)),0)</f>
        <v>0</v>
      </c>
      <c r="Z33" s="355">
        <f>IF(AND(E19&lt;&gt;"",F$74&lt;&gt;""),IF(AND(W$9&lt;&gt;1,P13=""),IF(F$74-F$75*$V$26-F$76*$V$26*$V$26&gt;1,F$74-F$75*$V$26-F$76*$V$26*$V$26,1),IF(F$74-F$75*$V$26-F$76*$V$26*$V$26&gt;1,E19*(F$74-F$75*$V$26-F$76*$V$26*$V$26),E19)),0)</f>
        <v>0</v>
      </c>
      <c r="AA33" s="364">
        <f>IF(F$88&lt;&gt;"",$Z21/F$88,0)</f>
        <v>0</v>
      </c>
      <c r="AB33" s="364">
        <f>IF(F$89&lt;&gt;"",$Z21/F$89,0)</f>
        <v>0</v>
      </c>
      <c r="AC33" s="364">
        <f>IF(F$90&lt;&gt;"",$Z21/F$90,0)</f>
        <v>0</v>
      </c>
      <c r="AD33" s="364">
        <f>IF(F$78&lt;&gt;"",$Z21/F$78,0)</f>
        <v>0</v>
      </c>
      <c r="AE33" s="364">
        <f>IF(F$79&lt;&gt;"",$Z21/F$79,0)</f>
        <v>0</v>
      </c>
      <c r="AF33" s="2446">
        <f>IF(F$90&lt;&gt;"",R21/F$90,0)</f>
        <v>0</v>
      </c>
      <c r="AG33" s="2449">
        <f t="shared" si="5"/>
        <v>1</v>
      </c>
      <c r="AH33" s="989" t="str">
        <f>IF(AF21=AF$23,F$67,0)</f>
        <v/>
      </c>
      <c r="AI33" s="992" t="str">
        <f>IF(AF21=AF$23,F$68,0)</f>
        <v/>
      </c>
      <c r="AJ33" s="992" t="str">
        <f>IF(AF21=AF$23,F$69,0)</f>
        <v/>
      </c>
      <c r="AK33" s="2225" t="str">
        <f>IF(F60&lt;&gt;"",IF(NOT(ISNUMBER(VLOOKUP(F60,Chem_Table,COLUMN(ProbitLC1_C),FALSE))),"",VLOOKUP(F60,Chem_Table,COLUMN(ProbitLC1_C),FALSE)),"")</f>
        <v/>
      </c>
      <c r="AL33" s="2225" t="str">
        <f>IF(F60&lt;&gt;"",IF(NOT(ISNUMBER(VLOOKUP(F60,Chem_Table,COLUMN(ProbitLC50_C),FALSE))),"",VLOOKUP(F60,Chem_Table,COLUMN(ProbitLC50_C),FALSE)),"")</f>
        <v/>
      </c>
      <c r="AM33" s="1621" t="str">
        <f>IF(F60&lt;&gt;"",IF(NOT(ISNUMBER(VLOOKUP(F60,Chem_Table,COLUMN(Probitn_C),FALSE))),"",VLOOKUP(F60,Chem_Table,COLUMN(Probitn_C),FALSE)),"")</f>
        <v/>
      </c>
      <c r="AN33" s="2107">
        <f>IF(AM33&lt;&gt;"",AM33,2)</f>
        <v>2</v>
      </c>
      <c r="AO33" s="1618">
        <f>IF(F90="",0,IF(AK33="",LC1_Ratio*F90,AK33))</f>
        <v>0</v>
      </c>
      <c r="AP33" s="1618">
        <f>IF(F90="",0,IF(AK33="",LC50_Ratio*F90,AL33))</f>
        <v>0</v>
      </c>
      <c r="AQ33" s="1609">
        <f t="shared" si="4"/>
        <v>0</v>
      </c>
      <c r="AR33" s="1609">
        <f t="shared" si="4"/>
        <v>0</v>
      </c>
    </row>
    <row r="34" spans="1:44" ht="12.75" customHeight="1" thickBot="1" x14ac:dyDescent="0.3">
      <c r="A34" s="122"/>
      <c r="B34" s="122"/>
      <c r="C34" s="122"/>
      <c r="D34" s="122"/>
      <c r="E34" s="122"/>
      <c r="F34" s="3504" t="s">
        <v>3481</v>
      </c>
      <c r="G34" s="3505"/>
      <c r="H34" s="3506"/>
      <c r="I34" s="2245"/>
      <c r="J34" s="341"/>
      <c r="K34" s="122"/>
      <c r="M34" s="343" t="str">
        <f>M22</f>
        <v/>
      </c>
      <c r="N34" s="1609">
        <f>IF(AND(G$67&lt;&gt;"",G$68&lt;&gt;""),EXP(G$67-G$68/(T+273.15-G$69)),0)</f>
        <v>0</v>
      </c>
      <c r="O34" s="391">
        <f>IF(AND(G$67&lt;&gt;"",G$68&lt;&gt;""),EXP(G$67-G$68/($T$26+273.15-G$69)),0)</f>
        <v>0</v>
      </c>
      <c r="P34" s="391">
        <f>IF(AND(G$67&lt;&gt;"",G$68&lt;&gt;""),EXP(G$67-G$68/($V$26+273.15-G$69)),0)</f>
        <v>0</v>
      </c>
      <c r="Q34" s="2441">
        <f>IF(P0_rel&gt;0,N34/P0_rel,0)</f>
        <v>0</v>
      </c>
      <c r="R34" s="1609">
        <f>IF(P1_rel&gt;0,O34/P1_rel,0)</f>
        <v>0</v>
      </c>
      <c r="S34" s="1609">
        <f>IF(P2_rel&gt;0,P34/P2_rel,0)</f>
        <v>0</v>
      </c>
      <c r="T34" s="1616">
        <f>IF(OR(S34=0,R34=0),0,LN(S34/R34)/($V$26-$T$26))</f>
        <v>0</v>
      </c>
      <c r="U34" s="354">
        <f>IF(G$70&lt;&gt;"",IF(G$70-G$71*$T$26&gt;0.2,N22/(G$70-G$71*$T$26),N22/0.2),0)</f>
        <v>0</v>
      </c>
      <c r="V34" s="354">
        <f>IF(G$70&lt;&gt;"",IF(G$70-G$71*$V$26&gt;0.2,N22/(G$70-G$71*$V$26),N22/0.2),0)</f>
        <v>0</v>
      </c>
      <c r="W34" s="366">
        <f>IF(G$72&lt;&gt;"",N22*(G$72+G$73*$T$26),0)</f>
        <v>0</v>
      </c>
      <c r="X34" s="352">
        <f>IF(G$72&lt;&gt;"",N22*(G$72+G$73*$V$26),0)</f>
        <v>0</v>
      </c>
      <c r="Y34" s="355">
        <f>IF(AND(E20&lt;&gt;"",G$74&lt;&gt;""),IF(AND(W$9&lt;&gt;1,P14=""),IF(G$74-G$75*$T$26-G$76*$T$26*$T$26&gt;1,G$74-G$75*$T$26-G$76*$T$26*$T$26,1),IF(G$74-G$75*$T$26-G$76*$T$26*$T$26&gt;1,E20*(G$74-G$75*$T$26-G$76*$T$26*$T$26),E20)),0)</f>
        <v>0</v>
      </c>
      <c r="Z34" s="355">
        <f>IF(AND(E20&lt;&gt;"",G$74&lt;&gt;""),IF(AND(W$9&lt;&gt;1,P14=""),IF(G$74-G$75*$V$26-G$76*$V$26*$V$26&gt;1,G$74-G$75*$V$26-G$76*$V$26*$V$26,1),IF(G$74-G$75*$V$26-G$76*$V$26*$V$26&gt;1,E20*(G$74-G$75*$V$26-G$76*$V$26*$V$26),E20)),0)</f>
        <v>0</v>
      </c>
      <c r="AA34" s="364">
        <f>IF(G$88&lt;&gt;"",$Z22/G$88,0)</f>
        <v>0</v>
      </c>
      <c r="AB34" s="364">
        <f>IF(G$89&lt;&gt;"",$Z22/G$89,0)</f>
        <v>0</v>
      </c>
      <c r="AC34" s="364">
        <f>IF(G$90&lt;&gt;"",$Z22/G$90,0)</f>
        <v>0</v>
      </c>
      <c r="AD34" s="364">
        <f>IF(G$78&lt;&gt;"",$Z22/G$78,0)</f>
        <v>0</v>
      </c>
      <c r="AE34" s="364">
        <f>IF(G$79&lt;&gt;"",$Z22/G$79,0)</f>
        <v>0</v>
      </c>
      <c r="AF34" s="2447">
        <f>IF(G$90&lt;&gt;"",R22/G$90,0)</f>
        <v>0</v>
      </c>
      <c r="AG34" s="2451">
        <f t="shared" si="5"/>
        <v>1</v>
      </c>
      <c r="AH34" s="990" t="str">
        <f>IF(AF22=AF$23,G$67,0)</f>
        <v/>
      </c>
      <c r="AI34" s="993" t="str">
        <f>IF(AF22=AF$23,G$68,0)</f>
        <v/>
      </c>
      <c r="AJ34" s="993" t="str">
        <f>IF(AF22=AF$23,G$69,0)</f>
        <v/>
      </c>
      <c r="AK34" s="2225" t="str">
        <f>IF(G60&lt;&gt;"",IF(NOT(ISNUMBER(VLOOKUP(G60,Chem_Table,COLUMN(ProbitLC1_C),FALSE))),"",VLOOKUP(G60,Chem_Table,COLUMN(ProbitLC1_C),FALSE)),"")</f>
        <v/>
      </c>
      <c r="AL34" s="2225" t="str">
        <f>IF(G60&lt;&gt;"",IF(NOT(ISNUMBER(VLOOKUP(G60,Chem_Table,COLUMN(ProbitLC50_C),FALSE))),"",VLOOKUP(G60,Chem_Table,COLUMN(ProbitLC50_C),FALSE)),"")</f>
        <v/>
      </c>
      <c r="AM34" s="1621" t="str">
        <f>IF(G60&lt;&gt;"",IF(NOT(ISNUMBER(VLOOKUP(G60,Chem_Table,COLUMN(Probitn_C),FALSE))),"",VLOOKUP(G60,Chem_Table,COLUMN(Probitn_C),FALSE)),"")</f>
        <v/>
      </c>
      <c r="AN34" s="2107">
        <f>IF(AM34&lt;&gt;"",AM34,2)</f>
        <v>2</v>
      </c>
      <c r="AO34" s="1618">
        <f>IF(G90="",0,IF(AK34="",LC1_Ratio*G90,AK34))</f>
        <v>0</v>
      </c>
      <c r="AP34" s="1618">
        <f>IF(G90="",0,IF(AK34="",LC50_Ratio*G90,AL34))</f>
        <v>0</v>
      </c>
      <c r="AQ34" s="2226">
        <f t="shared" si="4"/>
        <v>0</v>
      </c>
      <c r="AR34" s="2226">
        <f t="shared" si="4"/>
        <v>0</v>
      </c>
    </row>
    <row r="35" spans="1:44" ht="12.75" customHeight="1" thickBot="1" x14ac:dyDescent="0.3">
      <c r="A35" s="122"/>
      <c r="B35" s="2440" t="s">
        <v>4639</v>
      </c>
      <c r="C35" s="2474"/>
      <c r="D35" s="122"/>
      <c r="E35" s="122"/>
      <c r="F35" s="2241"/>
      <c r="G35" s="72" t="s">
        <v>3674</v>
      </c>
      <c r="H35" s="2242" t="str">
        <f>IF(Chemical="","",IF(I35&lt;&gt;"",I35,NFPA_F_Max))</f>
        <v/>
      </c>
      <c r="I35" s="2248"/>
      <c r="J35" s="341"/>
      <c r="K35" s="122"/>
      <c r="M35" s="19"/>
      <c r="N35" s="376">
        <f>IF($AF$18=$AF$23,N30,IF($AF$19=$AF$23,N31,IF($AF$20=$AF$23,N32,IF($AF$21=$AF$23,N33,N34))))</f>
        <v>0</v>
      </c>
      <c r="O35" s="376">
        <f>IF($AF$18=$AF$23,O30,IF($AF$19=$AF$23,O31,IF($AF$20=$AF$23,O32,IF($AF$21=$AF$23,O33,O34))))</f>
        <v>0</v>
      </c>
      <c r="P35" s="376">
        <f>IF($AF$18=$AF$23,P30,IF($AF$19=$AF$23,P31,IF($AF$20=$AF$23,P32,IF($AF$21=$AF$23,P33,P34))))</f>
        <v>0</v>
      </c>
      <c r="S35" s="335" t="s">
        <v>2120</v>
      </c>
      <c r="T35" s="335"/>
      <c r="U35" s="1680">
        <f>IF(AND(W$9&lt;&gt;1,N11=""),LD_A-LD_B*T26,IF(SUM(U30:U34)&gt;0,1/SUM(U30:U34),0))</f>
        <v>0</v>
      </c>
      <c r="V35" s="1681">
        <f>IF(AND(W$9&lt;&gt;1,N11=""),LD_A-LD_B*V26,IF(SUM(V30:V34)&gt;0,1/SUM(V30:V34),0))</f>
        <v>0</v>
      </c>
      <c r="W35" s="1680">
        <f>IF(AND(W$9&lt;&gt;1,N11=""),LHC_A+LHC_B*T26,SUM(W30:W34))</f>
        <v>0</v>
      </c>
      <c r="X35" s="1680">
        <f>IF(AND(W$9&lt;&gt;1,N11=""),LHC_A+LHC_B*V26,SUM(X30:X34))</f>
        <v>0</v>
      </c>
      <c r="Y35" s="1682">
        <f>IF(AND(W$9&lt;&gt;1,N11=""),HVAP_A-HVAP_B*T26-HVAP_C*T26*T26,SUM(Y30:Y34))</f>
        <v>0</v>
      </c>
      <c r="Z35" s="1682">
        <f>IF(AND(W$9&lt;&gt;1,N11=""),HVAP_A-HVAP_B*V26-HVAP_C*V26*V26,SUM(Z30:Z34))</f>
        <v>0</v>
      </c>
      <c r="AA35" s="1682">
        <f>IF(SUM(AA30:AA34)&gt;0,1/SUM(AA30:AA34),0)</f>
        <v>0</v>
      </c>
      <c r="AB35" s="1683">
        <f>IF(SUM(AB30:AB34)&gt;0,IF(1/SUM(AB30:AB34)&lt;1000000,1/SUM(AB30:AB34),1000000),0)</f>
        <v>0</v>
      </c>
      <c r="AC35" s="1683">
        <f>IF(SUM(AC30:AC34)&gt;0,IF(1/SUM(AC30:AC34)&lt;1000000,1/SUM(AC30:AC34),1000000),0)</f>
        <v>0</v>
      </c>
      <c r="AD35" s="1682">
        <f>IF(SUM(AD30:AD34)&gt;0,1/SUM(AD30:AD34),0)</f>
        <v>0</v>
      </c>
      <c r="AE35" s="1684">
        <f>IF(SUM(AE30:AE34)&gt;0,1/SUM(AE30:AE34),0)</f>
        <v>0</v>
      </c>
      <c r="AF35" s="1682">
        <f>IF(SUM(AF30:AF34)&gt;0,1/SUM(AF30:AF34),0)</f>
        <v>0</v>
      </c>
      <c r="AG35" s="368">
        <f>IF($AF$18=$AF$23,AG30,IF($AF$19=$AF$23,AG31,IF($AF$20=$AF$23,AG32,IF($AF$21=$AF$23,AG33,AG34))))</f>
        <v>1</v>
      </c>
      <c r="AH35" s="994">
        <f>SUM(AH30:AH34)</f>
        <v>0</v>
      </c>
      <c r="AI35" s="410">
        <f>SUM(AI30:AI34)</f>
        <v>0</v>
      </c>
      <c r="AJ35" s="410">
        <f>SUM(AJ30:AJ34)</f>
        <v>0</v>
      </c>
      <c r="AK35" s="413"/>
      <c r="AL35" s="413"/>
      <c r="AM35" s="413"/>
      <c r="AN35" s="413"/>
      <c r="AQ35" s="1685">
        <f>IF(SUM(AQ30:AQ34)&gt;0,MIN(1000000,1/SUM(AQ30:AQ34)),0)</f>
        <v>0</v>
      </c>
      <c r="AR35" s="1685">
        <f>IF(SUM(AR30:AR34)&gt;0,MIN(1000000,1/SUM(AR30:AR34)),0)</f>
        <v>0</v>
      </c>
    </row>
    <row r="36" spans="1:44" ht="12.75" customHeight="1" x14ac:dyDescent="0.25">
      <c r="A36" s="122"/>
      <c r="B36" s="122"/>
      <c r="C36" s="122"/>
      <c r="D36" s="122"/>
      <c r="E36" s="122"/>
      <c r="F36" s="2241"/>
      <c r="G36" s="72" t="s">
        <v>4012</v>
      </c>
      <c r="H36" s="2242" t="str">
        <f>IF(Chemical="","",IF(I36&lt;&gt;"",I36,NFPA_H_Max))</f>
        <v/>
      </c>
      <c r="I36" s="2248"/>
      <c r="J36" s="341"/>
      <c r="K36" s="122"/>
      <c r="AC36" s="280"/>
    </row>
    <row r="37" spans="1:44" ht="12.75" customHeight="1" x14ac:dyDescent="0.25">
      <c r="A37" s="122"/>
      <c r="B37" s="122"/>
      <c r="C37" s="122"/>
      <c r="D37" s="122"/>
      <c r="E37" s="122"/>
      <c r="F37" s="344"/>
      <c r="G37" s="72" t="s">
        <v>2803</v>
      </c>
      <c r="H37" s="2244" t="str">
        <f>IF(Chemical&lt;&gt;"",IF(I37&lt;&gt;"",I37,IF(OR(NOT(ISTEXT(VLOOKUP(Chemical,Chem_Table,COLUMN(RRS_C),FALSE))),VLOOKUP(Chemical,Chem_Table,COLUMN(Frac_Key_C),FALSE)=1),H99,VLOOKUP(Chemical,Chem_Table,COLUMN(RRS_C),FALSE))),"")</f>
        <v/>
      </c>
      <c r="I37" s="2243"/>
      <c r="J37" s="341"/>
      <c r="K37" s="122"/>
      <c r="N37" s="3608" t="s">
        <v>2668</v>
      </c>
      <c r="O37" s="3609"/>
      <c r="P37" s="3609"/>
      <c r="Q37" s="3609"/>
      <c r="R37" s="3609"/>
      <c r="S37" s="3609"/>
      <c r="T37" s="3609"/>
      <c r="U37" s="381"/>
      <c r="V37" s="3575" t="s">
        <v>2150</v>
      </c>
      <c r="W37" s="3562"/>
      <c r="X37" s="3562"/>
      <c r="Y37" s="3562"/>
      <c r="Z37" s="3562"/>
      <c r="AA37" s="3562"/>
      <c r="AB37" s="395"/>
    </row>
    <row r="38" spans="1:44" ht="12.75" customHeight="1" thickBot="1" x14ac:dyDescent="0.3">
      <c r="A38" s="122"/>
      <c r="B38" s="3604" t="s">
        <v>2083</v>
      </c>
      <c r="C38" s="3604"/>
      <c r="D38" s="3604"/>
      <c r="E38" s="122"/>
      <c r="F38" s="344"/>
      <c r="G38" s="72" t="s">
        <v>3257</v>
      </c>
      <c r="H38" s="2242" t="str">
        <f>IF(Chemical="","",IF(I38&lt;&gt;"",I38,NFPA_R_Max))</f>
        <v/>
      </c>
      <c r="I38" s="2248"/>
      <c r="J38" s="341"/>
      <c r="K38" s="122"/>
      <c r="M38" s="394"/>
      <c r="N38" s="3609"/>
      <c r="O38" s="3609"/>
      <c r="P38" s="3609"/>
      <c r="Q38" s="3609"/>
      <c r="R38" s="3609"/>
      <c r="S38" s="3609"/>
      <c r="T38" s="3609"/>
      <c r="V38" s="3602" t="s">
        <v>2118</v>
      </c>
      <c r="W38" s="3603"/>
      <c r="X38" s="3602" t="s">
        <v>2117</v>
      </c>
      <c r="Y38" s="3603"/>
      <c r="Z38" s="3602" t="s">
        <v>2119</v>
      </c>
      <c r="AA38" s="3603"/>
      <c r="AB38" s="390"/>
    </row>
    <row r="39" spans="1:44" ht="12.75" customHeight="1" thickBot="1" x14ac:dyDescent="0.3">
      <c r="A39" s="122"/>
      <c r="B39" s="1518" t="s">
        <v>526</v>
      </c>
      <c r="C39" s="1522">
        <f>IF(D39&lt;&gt;"C",TBp*1.8+32,TBp)</f>
        <v>0</v>
      </c>
      <c r="D39" s="1523" t="s">
        <v>1836</v>
      </c>
      <c r="E39" s="122"/>
      <c r="F39" s="344"/>
      <c r="G39" s="72" t="s">
        <v>2094</v>
      </c>
      <c r="H39" s="2244" t="str">
        <f>IF(Chemical&lt;&gt;"",IF(I39&lt;&gt;"",I39,IF(OR(NOT(ISTEXT(VLOOKUP(Chemical,Chem_Table,COLUMN(Conductive_C),FALSE))),VLOOKUP(Chemical,Chem_Table,COLUMN(Frac_Key_C),FALSE)=1),H100,VLOOKUP(Chemical,Chem_Table,COLUMN(Conductive_C),FALSE))),"")</f>
        <v/>
      </c>
      <c r="I39" s="2245"/>
      <c r="J39" s="341"/>
      <c r="K39" s="122"/>
      <c r="M39" s="394"/>
      <c r="N39" s="492"/>
      <c r="O39" s="492"/>
      <c r="P39" s="492"/>
      <c r="Q39" s="492"/>
      <c r="R39" s="492"/>
      <c r="S39" s="492"/>
      <c r="T39" s="492"/>
      <c r="V39" s="358" t="s">
        <v>2115</v>
      </c>
      <c r="W39" s="356">
        <f>U35+W40*$T$26</f>
        <v>0</v>
      </c>
      <c r="X39" s="358" t="s">
        <v>2115</v>
      </c>
      <c r="Y39" s="356">
        <f>W35-Y40*$T$26</f>
        <v>0</v>
      </c>
      <c r="Z39" s="358" t="s">
        <v>2115</v>
      </c>
      <c r="AA39" s="359">
        <f>Y35+AA40*$T$26</f>
        <v>0</v>
      </c>
      <c r="AB39" s="384"/>
      <c r="AG39" s="3491" t="s">
        <v>2111</v>
      </c>
      <c r="AH39" s="3492"/>
      <c r="AI39" s="3495" t="s">
        <v>4633</v>
      </c>
      <c r="AJ39" s="3497" t="s">
        <v>4634</v>
      </c>
      <c r="AK39" s="3499" t="s">
        <v>4635</v>
      </c>
    </row>
    <row r="40" spans="1:44" ht="12.75" customHeight="1" thickBot="1" x14ac:dyDescent="0.3">
      <c r="A40" s="122"/>
      <c r="B40" s="1517" t="s">
        <v>2093</v>
      </c>
      <c r="C40" s="1872">
        <f>Psat/AB51</f>
        <v>0</v>
      </c>
      <c r="D40" s="1524" t="s">
        <v>967</v>
      </c>
      <c r="E40" s="122"/>
      <c r="F40" s="344"/>
      <c r="J40" s="341"/>
      <c r="K40" s="122"/>
      <c r="N40" s="335" t="str">
        <f>"Operating Pressure at Op Temperature of "&amp;ROUND(T,1)&amp;" deg C = "</f>
        <v xml:space="preserve">Operating Pressure at Op Temperature of 0 deg C = </v>
      </c>
      <c r="O40" s="368">
        <f>P+1</f>
        <v>1.0009999999999999</v>
      </c>
      <c r="P40" s="30" t="s">
        <v>2279</v>
      </c>
      <c r="S40" s="335" t="s">
        <v>2134</v>
      </c>
      <c r="T40" s="265">
        <f>IF(AND(x_rel&gt;0,y_rel&gt;0),(AI35+y_rel2)/(AH35-y_rel1-LN((1)/(x_rel*AG35)))+AJ35-273.15,0)</f>
        <v>0</v>
      </c>
      <c r="U40" s="30" t="s">
        <v>2135</v>
      </c>
      <c r="V40" s="358" t="s">
        <v>2116</v>
      </c>
      <c r="W40" s="357">
        <f>IF(U35&lt;&gt;V35,(U35-V35)/($V$26-$T$26),0)</f>
        <v>0</v>
      </c>
      <c r="X40" s="358" t="s">
        <v>2116</v>
      </c>
      <c r="Y40" s="357">
        <f>IF(W35&lt;&gt;X35,-(W35-X35)/($V$26-$T$26),0)</f>
        <v>0</v>
      </c>
      <c r="Z40" s="358" t="s">
        <v>2116</v>
      </c>
      <c r="AA40" s="356">
        <f>IF(Y35&lt;&gt;Z35,(Y35-Z35)/($V$26-$T$26),0)</f>
        <v>0</v>
      </c>
      <c r="AG40" s="3493"/>
      <c r="AH40" s="3494"/>
      <c r="AI40" s="3496"/>
      <c r="AJ40" s="3498"/>
      <c r="AK40" s="3500"/>
      <c r="AO40" s="2848"/>
    </row>
    <row r="41" spans="1:44" ht="12.75" customHeight="1" thickBot="1" x14ac:dyDescent="0.3">
      <c r="A41" s="122"/>
      <c r="B41" s="1517" t="s">
        <v>2084</v>
      </c>
      <c r="C41" s="1520">
        <f>Liq_rho/AB52</f>
        <v>0.1</v>
      </c>
      <c r="D41" s="1524" t="s">
        <v>2164</v>
      </c>
      <c r="E41" s="122"/>
      <c r="F41" s="3610" t="s">
        <v>2097</v>
      </c>
      <c r="G41" s="3611"/>
      <c r="H41" s="3611"/>
      <c r="I41" s="3611"/>
      <c r="J41" s="3612"/>
      <c r="K41" s="122"/>
      <c r="N41" s="335" t="str">
        <f>"MAWP at Op Temperature of "&amp;ROUND(T,1)&amp;" deg C = "</f>
        <v xml:space="preserve">MAWP at Op Temperature of 0 deg C = </v>
      </c>
      <c r="O41" s="495">
        <f>MAWP+1</f>
        <v>1</v>
      </c>
      <c r="P41" s="30" t="s">
        <v>2279</v>
      </c>
      <c r="S41" s="358" t="str">
        <f>"Boiling Point at Operating Press of "&amp;ROUND(P,2)&amp;" atm gauge = "</f>
        <v xml:space="preserve">Boiling Point at Operating Press of 0 atm gauge = </v>
      </c>
      <c r="T41" s="265">
        <f>IF(AND(x_rel&gt;0,y_rel&gt;0),(AI35+y_rel2)/(AH35-y_rel1-LN((1+P_Unlimited)/(x_rel*AG35)))+AJ35-273.15,0)</f>
        <v>0</v>
      </c>
      <c r="U41" s="30" t="s">
        <v>2135</v>
      </c>
      <c r="V41" s="2468"/>
      <c r="AG41" s="3489" t="str">
        <f>ChemName_1</f>
        <v/>
      </c>
      <c r="AH41" s="3490"/>
      <c r="AI41" s="2434">
        <f>T18+V18</f>
        <v>0</v>
      </c>
      <c r="AJ41" s="2435">
        <f>O30*AI41</f>
        <v>0</v>
      </c>
      <c r="AK41" s="2436">
        <f>P30*AI41</f>
        <v>0</v>
      </c>
      <c r="AP41" s="2849"/>
    </row>
    <row r="42" spans="1:44" ht="12.75" customHeight="1" thickBot="1" x14ac:dyDescent="0.3">
      <c r="A42" s="122"/>
      <c r="B42" s="1517" t="s">
        <v>2095</v>
      </c>
      <c r="C42" s="1520">
        <f>Liq_C/AB53</f>
        <v>0</v>
      </c>
      <c r="D42" s="3580" t="s">
        <v>404</v>
      </c>
      <c r="E42" s="122"/>
      <c r="F42" s="3578" t="s">
        <v>3488</v>
      </c>
      <c r="G42" s="3579"/>
      <c r="H42" s="2244" t="str">
        <f>IF(I42&lt;&gt;"",I42,H83)</f>
        <v/>
      </c>
      <c r="I42" s="2245"/>
      <c r="J42" s="341"/>
      <c r="K42" s="122"/>
      <c r="N42" s="335" t="str">
        <f>"Vapor Pressure at Op Temperature of "&amp;ROUND(T,1)&amp;" deg C = "</f>
        <v xml:space="preserve">Vapor Pressure at Op Temperature of 0 deg C = </v>
      </c>
      <c r="O42" s="376">
        <f>IF(y_rel&gt;0,x_rel*AG35*EXP(AH35-y_rel1-(AI35+y_rel2)/(T+273.15-AJ35)),0)</f>
        <v>0</v>
      </c>
      <c r="P42" s="30" t="s">
        <v>2279</v>
      </c>
      <c r="S42" s="335" t="str">
        <f>"Boiling Point at Relief Set of "&amp;ROUND(IF(Relief_Set=0,MAWP,Relief_Set),2)&amp;" atm gauge = "</f>
        <v xml:space="preserve">Boiling Point at Relief Set of 0 atm gauge = </v>
      </c>
      <c r="T42" s="265">
        <f>IF(AND(x_rel&gt;0,y_rel&gt;0),(AI35+y_rel2)/(AH35-y_rel1-LN((1+IF(Relief_Set=0,MAWP,Relief_Set))/(x_rel*AG35)))+AJ35-273.15,0)</f>
        <v>0</v>
      </c>
      <c r="U42" s="30" t="s">
        <v>2135</v>
      </c>
      <c r="V42" s="2468"/>
      <c r="X42" s="397" t="s">
        <v>2166</v>
      </c>
      <c r="Y42" s="398">
        <f>IF(Q23&gt;0,0.5*(W35+X35)*Mw_Feed,0)</f>
        <v>0</v>
      </c>
      <c r="Z42" s="338" t="s">
        <v>2154</v>
      </c>
      <c r="AA42" s="31"/>
      <c r="AB42" s="2848"/>
      <c r="AG42" s="3489" t="str">
        <f>ChemName_2</f>
        <v/>
      </c>
      <c r="AH42" s="3490"/>
      <c r="AI42" s="2434">
        <f t="shared" ref="AI42:AI45" si="6">T19+V19</f>
        <v>0</v>
      </c>
      <c r="AJ42" s="2435">
        <f t="shared" ref="AJ42:AJ45" si="7">O31*AI42</f>
        <v>0</v>
      </c>
      <c r="AK42" s="2436">
        <f t="shared" ref="AK42:AK45" si="8">P31*AI42</f>
        <v>0</v>
      </c>
    </row>
    <row r="43" spans="1:44" ht="12.75" customHeight="1" thickBot="1" x14ac:dyDescent="0.3">
      <c r="A43" s="122"/>
      <c r="B43" s="1517" t="s">
        <v>2086</v>
      </c>
      <c r="C43" s="1520">
        <f>Liq_C_atTBp/AB53</f>
        <v>0</v>
      </c>
      <c r="D43" s="3605"/>
      <c r="E43" s="122"/>
      <c r="F43" s="3578" t="s">
        <v>2091</v>
      </c>
      <c r="G43" s="3579"/>
      <c r="H43" s="2244" t="str">
        <f>IF(I43&lt;&gt;"",I43,H84)</f>
        <v/>
      </c>
      <c r="I43" s="2245"/>
      <c r="J43" s="341" t="s">
        <v>2066</v>
      </c>
      <c r="K43" s="122"/>
      <c r="N43" s="335" t="str">
        <f>"Vapor Pressure at Ambient Temp of "&amp;ROUND(Ambient_Temp,1)&amp;" deg C = "</f>
        <v xml:space="preserve">Vapor Pressure at Ambient Temp of 25 deg C = </v>
      </c>
      <c r="O43" s="376">
        <f>IF(y_rel&gt;0,x_rel*AG35*EXP(AH35-y_rel1-(AI35+y_rel2)/(Ambient_Temp+273.15-AJ35)),0)</f>
        <v>0</v>
      </c>
      <c r="P43" s="30" t="s">
        <v>2279</v>
      </c>
      <c r="S43" s="358" t="str">
        <f>"Boiling Point at Burst Pressure of "&amp;ROUND(Burst_P,2)&amp;" atm gauge = "</f>
        <v xml:space="preserve">Boiling Point at Burst Pressure of 0 atm gauge = </v>
      </c>
      <c r="T43" s="265">
        <f>IF(AND(x_rel&gt;0,y_rel&gt;0),(AI35+y_rel2)/(AH35-y_rel1-LN((1+Burst_P)/(x_rel*AG35)))+AJ35-273.15,0)</f>
        <v>0</v>
      </c>
      <c r="U43" s="30" t="s">
        <v>2135</v>
      </c>
      <c r="V43" s="2468"/>
      <c r="X43" s="397" t="s">
        <v>2213</v>
      </c>
      <c r="Y43" s="398">
        <f>IF($H$72-$H$75+($H$73-2*$H$76)*(T26+V26)/2&gt;0.15,Mw_Mix*($H$72-$H$75+($H$73-2*$H$76)*(T26+V26)/2),Mw_Mix*0.15)</f>
        <v>0</v>
      </c>
      <c r="Z43" s="338" t="s">
        <v>2154</v>
      </c>
      <c r="AA43" s="31" t="str">
        <f>"at "&amp;ROUND((T26+V26)/2,1)&amp;" C"</f>
        <v>at -25 C</v>
      </c>
      <c r="AG43" s="3489" t="str">
        <f>ChemName_3</f>
        <v/>
      </c>
      <c r="AH43" s="3490"/>
      <c r="AI43" s="2434">
        <f t="shared" si="6"/>
        <v>0</v>
      </c>
      <c r="AJ43" s="2435">
        <f t="shared" si="7"/>
        <v>0</v>
      </c>
      <c r="AK43" s="2436">
        <f t="shared" si="8"/>
        <v>0</v>
      </c>
    </row>
    <row r="44" spans="1:44" ht="12.75" customHeight="1" thickBot="1" x14ac:dyDescent="0.3">
      <c r="A44" s="122"/>
      <c r="B44" s="1517" t="s">
        <v>2348</v>
      </c>
      <c r="C44" s="1521">
        <f>Lat_Ht/AB54</f>
        <v>4.1839988820354987</v>
      </c>
      <c r="D44" s="3580" t="s">
        <v>405</v>
      </c>
      <c r="E44" s="122"/>
      <c r="F44" s="3578" t="s">
        <v>2123</v>
      </c>
      <c r="G44" s="3579"/>
      <c r="H44" s="2244" t="str">
        <f>IF(I44&lt;&gt;"",I44,H85)</f>
        <v/>
      </c>
      <c r="I44" s="2245"/>
      <c r="J44" s="341" t="s">
        <v>2066</v>
      </c>
      <c r="K44" s="122"/>
      <c r="N44" s="72" t="str">
        <f>"Vapor Pressure at Heating Media Temp of "&amp;ROUND(Heating_T,1)&amp;" deg C = "</f>
        <v xml:space="preserve">Vapor Pressure at Heating Media Temp of 0 deg C = </v>
      </c>
      <c r="O44" s="367">
        <f>IF(AND(Heating_T_Input&lt;&gt;"",y_rel&gt;0),x_rel*AG35*EXP(AH35-y_rel1-(AI35+y_rel2)/(Heating_T+273.15-AJ35)),0)</f>
        <v>0</v>
      </c>
      <c r="P44" s="30" t="s">
        <v>2279</v>
      </c>
      <c r="S44" s="358" t="str">
        <f>"Boiling Point at Fire Burst Press of "&amp;ROUND(Fire_Burst,2)&amp;" atm gauge = "</f>
        <v xml:space="preserve">Boiling Point at Fire Burst Press of 0 atm gauge = </v>
      </c>
      <c r="T44" s="265">
        <f>IF(AND(x_rel&gt;0,y_rel&gt;0),(AI35+y_rel2)/(AH35-y_rel1-LN((1+Fire_Burst)/(x_rel*AG35)))+AJ35-273.15,0)</f>
        <v>0</v>
      </c>
      <c r="U44" s="30" t="s">
        <v>2135</v>
      </c>
      <c r="V44" s="2468"/>
      <c r="X44" s="397" t="s">
        <v>2212</v>
      </c>
      <c r="Y44" s="399">
        <f>0.5*(Y35+Z35)*Mw_Mix</f>
        <v>0</v>
      </c>
      <c r="Z44" s="338" t="s">
        <v>2155</v>
      </c>
      <c r="AG44" s="3489" t="str">
        <f>ChemName_4</f>
        <v/>
      </c>
      <c r="AH44" s="3490"/>
      <c r="AI44" s="2434">
        <f t="shared" si="6"/>
        <v>0</v>
      </c>
      <c r="AJ44" s="2435">
        <f t="shared" si="7"/>
        <v>0</v>
      </c>
      <c r="AK44" s="2436">
        <f t="shared" si="8"/>
        <v>0</v>
      </c>
    </row>
    <row r="45" spans="1:44" ht="12.75" customHeight="1" thickBot="1" x14ac:dyDescent="0.3">
      <c r="A45" s="122"/>
      <c r="B45" s="1517" t="s">
        <v>2085</v>
      </c>
      <c r="C45" s="1521">
        <f>Lat_Ht_atTBp/AB54</f>
        <v>4.1839988820354987</v>
      </c>
      <c r="D45" s="3581"/>
      <c r="E45" s="122"/>
      <c r="F45" s="3578" t="s">
        <v>2092</v>
      </c>
      <c r="G45" s="3579"/>
      <c r="H45" s="2244" t="str">
        <f>IF(I45&lt;&gt;"",I45,H86)</f>
        <v/>
      </c>
      <c r="I45" s="2245"/>
      <c r="J45" s="341" t="s">
        <v>2067</v>
      </c>
      <c r="K45" s="122"/>
      <c r="N45" s="72" t="str">
        <f>"Vapor Pressure at Cooling Media Temp of "&amp;ROUND(Coolant_Temp,1)&amp;" deg C = "</f>
        <v xml:space="preserve">Vapor Pressure at Cooling Media Temp of 0 deg C = </v>
      </c>
      <c r="O45" s="367">
        <f>IF(AND(Coolant_Temp_Input&lt;&gt;"",y_rel&gt;0),x_rel*AG35*EXP(AH35-y_rel1-(AI35+y_rel2)/(Coolant_Temp+273.15-AJ35)),0)</f>
        <v>0</v>
      </c>
      <c r="P45" s="30" t="s">
        <v>2279</v>
      </c>
      <c r="S45" s="335" t="str">
        <f>"Temperature at Relief Set of "&amp;ROUND(IF(Relief_Set=0,MAWP,Relief_Set),2)&amp;" atm gauge = "</f>
        <v xml:space="preserve">Temperature at Relief Set of 0 atm gauge = </v>
      </c>
      <c r="T45" s="2469">
        <f>IF(AND(x_rel&gt;0,AB46&gt;0),IF(1+IF(Relief_Set=0,MAWP,Relief_Set)-O$48*((Y46+Z46)/2+273.15)/(T+273.15)&gt;0.1,$Z$5/($Z$4-LN((1+IF(Relief_Set=0,MAWP,Relief_Set)-O$48*((Y46+Z46)/2+273.15)/(T+273.15))*AB46/(x_rel*AG35)))+$Z$6-273.15,(T+273.15)*(1+IF(Relief_Set=0,MAWP,Relief_Set))/(1+P)-273.15),(Y46+Z46)/2)</f>
        <v>0</v>
      </c>
      <c r="U45" s="30" t="s">
        <v>2135</v>
      </c>
      <c r="V45" s="2468"/>
      <c r="X45" s="493" t="s">
        <v>2259</v>
      </c>
      <c r="Y45" s="490">
        <f>IF(Mw_Mix&gt;0,82.06*(T_atRelief+273.15)*($H$70-$H$71*T_atRelief)/((1+Relief_Set)*Mw_Mix),0)</f>
        <v>0</v>
      </c>
      <c r="AB45" s="5" t="s">
        <v>3406</v>
      </c>
      <c r="AG45" s="3501" t="str">
        <f>ChemName_5</f>
        <v/>
      </c>
      <c r="AH45" s="3502"/>
      <c r="AI45" s="2437">
        <f t="shared" si="6"/>
        <v>0</v>
      </c>
      <c r="AJ45" s="2438">
        <f t="shared" si="7"/>
        <v>0</v>
      </c>
      <c r="AK45" s="2439">
        <f t="shared" si="8"/>
        <v>0</v>
      </c>
    </row>
    <row r="46" spans="1:44" ht="12.75" customHeight="1" thickBot="1" x14ac:dyDescent="0.3">
      <c r="A46" s="122"/>
      <c r="B46" s="1517" t="s">
        <v>3308</v>
      </c>
      <c r="C46" s="1540">
        <f>IF(D46&lt;&gt;"C",T_atRelief*1.8+32,T_atRelief)</f>
        <v>0</v>
      </c>
      <c r="D46" s="1524" t="s">
        <v>1836</v>
      </c>
      <c r="E46" s="122"/>
      <c r="F46" s="3561" t="s">
        <v>3375</v>
      </c>
      <c r="G46" s="3579"/>
      <c r="H46" s="2244" t="str">
        <f>IF(I46&lt;&gt;"",I46,H87)</f>
        <v/>
      </c>
      <c r="I46" s="2245"/>
      <c r="J46" s="341"/>
      <c r="K46" s="122"/>
      <c r="N46" s="72" t="str">
        <f>"Vapor Pressure at Max Feed Temp of "&amp;ROUND(Feed_T,1)&amp;" deg C = "</f>
        <v xml:space="preserve">Vapor Pressure at Max Feed Temp of 0 deg C = </v>
      </c>
      <c r="O46" s="367">
        <f>IF(AND(Feed_Temp_Input&lt;&gt;"",y_rel&gt;0),x_rel*AG35*EXP(AH35-y_rel1-(AI35+y_rel2)/(Feed_T+273.15-AJ35)),0)</f>
        <v>0</v>
      </c>
      <c r="P46" s="30" t="s">
        <v>2279</v>
      </c>
      <c r="S46" s="358" t="str">
        <f>"Temperature at Burst Pressure of "&amp;ROUND(Burst_P,2)&amp;" atm gauge = "</f>
        <v xml:space="preserve">Temperature at Burst Pressure of 0 atm gauge = </v>
      </c>
      <c r="T46" s="265">
        <f>IF(AND(x_rel&gt;0,AB47&gt;0),IF(1+Burst_P-O$48*((Y47+Z47)/2+273.15)/(T+273.15)&gt;0.1,$Z$5/($Z$4-LN((1+Burst_P-O$48*((Y47+Z47)/2+273.15)/(T+273.15))*AB47/(x_rel*AG35)))+$Z$6-273.15,(T+273.15)*(1+Burst_P)/(1+P)-273.15),(Y47+Z47)/2)</f>
        <v>0</v>
      </c>
      <c r="U46" s="30" t="s">
        <v>2135</v>
      </c>
      <c r="V46" s="2468"/>
      <c r="X46" s="493" t="s">
        <v>4949</v>
      </c>
      <c r="Y46" s="496">
        <f>IF(AND(x_rel&gt;0,AB46&gt;0,AG35&gt;0),IF(1+IF(Relief_Set=0,MAWP,Relief_Set)-O$48*(T_atRelief+273.15)/(T+273.15)&gt;0.1,$Z$5/($Z$4-LN((1+IF(Relief_Set=0,MAWP,Relief_Set)-O$48*(T_atRelief+273.15)/(T+273.15))*AB46/(x_rel*AG35)))+$Z$6-273.15,(T+273.15)*(1+IF(Relief_Set=0,MAWP,Relief_Set))/(1+P)-273.15),T)</f>
        <v>0</v>
      </c>
      <c r="Z46" s="496">
        <f>IF(AND(x_rel&gt;0,AB46&gt;0,AG35&gt;0),IF(1+IF(Relief_Set=0,MAWP,Relief_Set)-O$48*(Y46+273.15)/(T+273.15)&gt;0.1,$Z$5/($Z$4-LN((1+IF(Relief_Set=0,MAWP,Relief_Set)-O$48*(Y46+273.15)/(T+273.15))*AB46/(x_rel*AG35)))+$Z$6-273.15,(T+273.15)*(1+IF(Relief_Set=0,MAWP,Relief_Set))/(1+P)-273.15),Y46)</f>
        <v>0</v>
      </c>
      <c r="AA46" s="30" t="s">
        <v>2135</v>
      </c>
      <c r="AB46" s="384">
        <f>EXP(y_rel1+y_rel2/(T_atRelief+273.15-AJ35))</f>
        <v>1</v>
      </c>
      <c r="AI46" s="335" t="s">
        <v>4636</v>
      </c>
      <c r="AJ46" s="2433">
        <f>SUM(AJ41:AJ45)</f>
        <v>0</v>
      </c>
      <c r="AK46" s="2433">
        <f>SUM(AK41:AK45)</f>
        <v>0</v>
      </c>
    </row>
    <row r="47" spans="1:44" ht="12.75" customHeight="1" thickBot="1" x14ac:dyDescent="0.3">
      <c r="A47" s="122"/>
      <c r="B47" s="1516" t="s">
        <v>3309</v>
      </c>
      <c r="C47" s="1541">
        <f>IF(D47&lt;&gt;"C",T_atBurst*1.8+32,T_atBurst)</f>
        <v>0</v>
      </c>
      <c r="D47" s="1525" t="s">
        <v>1836</v>
      </c>
      <c r="E47" s="122"/>
      <c r="F47" s="3592" t="s">
        <v>3483</v>
      </c>
      <c r="G47" s="3593"/>
      <c r="H47" s="3593"/>
      <c r="I47" s="1664"/>
      <c r="J47" s="339"/>
      <c r="K47" s="122"/>
      <c r="N47" s="335" t="str">
        <f>"Vapor Pressure at Peak Temp at Burst of "&amp;ROUND(Tpeak_atBurst,1)&amp;" deg C = "</f>
        <v xml:space="preserve">Vapor Pressure at Peak Temp at Burst of 0 deg C = </v>
      </c>
      <c r="O47" s="367">
        <f>IF(y_rel&gt;0,x_rel*AG35*EXP(AH35-y_rel1-(AI35+y_rel2)/(Tpeak_atBurst+273.15-AJ35)),0)</f>
        <v>0</v>
      </c>
      <c r="P47" s="30" t="s">
        <v>2279</v>
      </c>
      <c r="Q47" s="380"/>
      <c r="R47" s="380"/>
      <c r="S47" s="565" t="str">
        <f>IF(J21&lt;&gt;"","Estimated Mixture Flash Point at "&amp;ROUND(J21/100,3)&amp;" atm absolute = ","Estimated as No Flash Point    ")</f>
        <v xml:space="preserve">Estimated as No Flash Point    </v>
      </c>
      <c r="T47" s="265" t="str">
        <f>IF(J21&lt;&gt;"",IF(AND(x_rel&gt;0,y_rel&gt;0),(AI35+y_rel2)/(AH35-y_rel1-LN((0.01*J21)/(x_rel*AG35)))+AJ35-273.15,0),"")</f>
        <v/>
      </c>
      <c r="U47" s="380" t="s">
        <v>2135</v>
      </c>
      <c r="V47" s="2468"/>
      <c r="X47" s="493" t="s">
        <v>2280</v>
      </c>
      <c r="Y47" s="496">
        <f>IF(AND(x_rel&gt;0,AB47&gt;0,AG35&gt;0),IF(1+Burst_P-O$48*(T_atBurst+273.15)/(T+273.15)&gt;0.1,$Z$5/($Z$4-LN((1+Burst_P-O$48*(T_atBurst+273.15)/(T+273.15))*AB47/(x_rel*AG35)))+$Z$6-273.15,(T+273.15)*(1+Burst_P)/(1+P)-273.15),T)</f>
        <v>0</v>
      </c>
      <c r="Z47" s="496">
        <f>IF(AND(x_rel&gt;0,AB47&gt;0,AG35&gt;0),IF(1+Burst_P-O$48*(Y47+273.15)/(T+273.15)&gt;0.1,$Z$5/($Z$4-LN((1+Burst_P-O$48*(Y47+273.15)/(T+273.15))*AB47/(x_rel*AG35)))+$Z$6-273.15,(T+273.15)*(1+Burst_P)/(1+P)-273.15),Y47)</f>
        <v>0</v>
      </c>
      <c r="AA47" s="30" t="s">
        <v>2135</v>
      </c>
      <c r="AB47" s="384">
        <f>EXP(y_rel1+y_rel2/(T_atBurst+273.15-AJ35))</f>
        <v>1</v>
      </c>
      <c r="AH47" s="335" t="s">
        <v>4631</v>
      </c>
      <c r="AI47" s="2430" t="e">
        <f>LN(AJ46)+AJ47/(230+T26)</f>
        <v>#NUM!</v>
      </c>
      <c r="AJ47" s="2429" t="e">
        <f>LN(AK46/AJ46)/(1/(230+T26)-1/(230+V26))</f>
        <v>#DIV/0!</v>
      </c>
      <c r="AK47" s="410">
        <v>43.15</v>
      </c>
    </row>
    <row r="48" spans="1:44" ht="12.75" customHeight="1" thickBot="1" x14ac:dyDescent="0.3">
      <c r="A48" s="122"/>
      <c r="B48" s="122"/>
      <c r="C48" s="122"/>
      <c r="D48" s="122"/>
      <c r="E48" s="122"/>
      <c r="F48" s="122"/>
      <c r="G48" s="122"/>
      <c r="H48" s="122"/>
      <c r="I48" s="122"/>
      <c r="J48" s="122"/>
      <c r="K48" s="122"/>
      <c r="N48" s="335" t="str">
        <f>"Gas Pad Pressure at Op Temperature of "&amp;ROUND(T,1)&amp;" deg C = "</f>
        <v xml:space="preserve">Gas Pad Pressure at Op Temperature of 0 deg C = </v>
      </c>
      <c r="O48" s="368">
        <f>IF(AND(Equipment&lt;&gt;"Extraction",Equipment&lt;&gt;"Pump",Equipment&lt;&gt;"Heat Exchanger"),IF(P_Unlimited+1-Psat&lt;0,0,P_Unlimited+1-Psat),0)</f>
        <v>1</v>
      </c>
      <c r="P48" s="30" t="s">
        <v>2279</v>
      </c>
      <c r="Q48" s="380"/>
      <c r="R48" s="380"/>
      <c r="S48" s="565"/>
      <c r="T48" s="1800"/>
      <c r="U48" s="380"/>
      <c r="V48" s="2468"/>
      <c r="X48" s="493"/>
      <c r="Y48" s="1128"/>
      <c r="Z48" s="1128"/>
      <c r="AB48" s="384"/>
      <c r="AH48" s="335" t="s">
        <v>4632</v>
      </c>
      <c r="AI48" s="2431" t="e">
        <f>AJ47/AI47-230</f>
        <v>#DIV/0!</v>
      </c>
      <c r="AJ48" s="2432" t="s">
        <v>1836</v>
      </c>
    </row>
    <row r="49" spans="1:40" ht="12.75" customHeight="1" x14ac:dyDescent="0.25">
      <c r="A49" s="122"/>
      <c r="B49" s="1623" t="s">
        <v>3413</v>
      </c>
      <c r="C49" s="1624"/>
      <c r="D49" s="1623" t="s">
        <v>3414</v>
      </c>
      <c r="E49" s="1625" t="str">
        <f>IF(AQ35&gt;0,AQ35,"")</f>
        <v/>
      </c>
      <c r="F49" s="1624" t="s">
        <v>3412</v>
      </c>
      <c r="G49" s="1624"/>
      <c r="H49" s="1623" t="s">
        <v>3415</v>
      </c>
      <c r="I49" s="1625" t="str">
        <f>IF(AR35&gt;0,AR35,"")</f>
        <v/>
      </c>
      <c r="J49" s="1624" t="s">
        <v>3412</v>
      </c>
      <c r="K49" s="122"/>
      <c r="V49" s="2468"/>
    </row>
    <row r="50" spans="1:40" ht="12.75" customHeight="1" thickBot="1" x14ac:dyDescent="0.3">
      <c r="A50" s="122"/>
      <c r="B50" s="122"/>
      <c r="C50" s="122"/>
      <c r="D50" s="122"/>
      <c r="E50" s="122"/>
      <c r="F50" s="3594" t="str">
        <f>IF(AND(Chemical&lt;&gt;"",State="Solid",OR(H42="",H43="",H45="")),"WARNING: Chemical is a Solid and No Dust Flammability Entered - Dust Scenarios May Not Considered","")</f>
        <v/>
      </c>
      <c r="G50" s="3594"/>
      <c r="H50" s="3594"/>
      <c r="I50" s="3594"/>
      <c r="J50" s="3594"/>
      <c r="K50" s="122"/>
      <c r="N50" s="389" t="str">
        <f>"Properties at Operating Temperature of "&amp;ROUND(T,1)&amp;" deg C"</f>
        <v>Properties at Operating Temperature of 0 deg C</v>
      </c>
      <c r="S50" s="389" t="str">
        <f>"Properties at Normal Boiling Point of "&amp;ROUND(TBp,1)&amp;" deg C"</f>
        <v>Properties at Normal Boiling Point of 0 deg C</v>
      </c>
      <c r="X50" s="389" t="str">
        <f>"Properties of Heat Transfer Fluid at "&amp;ROUND(Heating_T,1)&amp;" deg C and "&amp;ROUND(Heating_P,1)&amp;" atm"</f>
        <v>Properties of Heat Transfer Fluid at 0 deg C and 0 atm</v>
      </c>
      <c r="AB50" s="336" t="s">
        <v>2088</v>
      </c>
    </row>
    <row r="51" spans="1:40" ht="12.75" customHeight="1" thickBot="1" x14ac:dyDescent="0.3">
      <c r="A51" s="122"/>
      <c r="B51" s="122"/>
      <c r="C51" s="122"/>
      <c r="D51" s="122"/>
      <c r="E51" s="122"/>
      <c r="F51" s="3594"/>
      <c r="G51" s="3594"/>
      <c r="H51" s="3594"/>
      <c r="I51" s="3594"/>
      <c r="J51" s="3594"/>
      <c r="K51" s="122"/>
      <c r="M51" s="335" t="s">
        <v>2157</v>
      </c>
      <c r="N51" s="367">
        <f>IF($H$70-$H$71*T&gt;0.1,$H$70-$H$71*T,0.1)</f>
        <v>0.1</v>
      </c>
      <c r="O51" s="30" t="s">
        <v>2138</v>
      </c>
      <c r="R51" s="335" t="s">
        <v>2157</v>
      </c>
      <c r="S51" s="367">
        <f>$H$70-$H$71*TBp</f>
        <v>0</v>
      </c>
      <c r="T51" s="30" t="s">
        <v>2138</v>
      </c>
      <c r="W51" s="335" t="s">
        <v>1908</v>
      </c>
      <c r="X51" s="368">
        <f>IF(AE63&gt;0,HTFeed_1*ActHT_1*EXP(VPHT_A-VPHT_B/(Heating_T+273.15-VPHT_C))/AE63,0)</f>
        <v>0</v>
      </c>
      <c r="Y51" s="30" t="s">
        <v>2136</v>
      </c>
      <c r="AA51" s="335" t="s">
        <v>2151</v>
      </c>
      <c r="AB51" s="383">
        <f>IF(D40="",1,VLOOKUP(D40,'Unit Conversion'!$J$3:$K$59,2,0))</f>
        <v>9.8692329999999998E-3</v>
      </c>
      <c r="AC51" s="30" t="str">
        <f>D40</f>
        <v>kPa</v>
      </c>
      <c r="AN51" s="335"/>
    </row>
    <row r="52" spans="1:40" ht="13.5" customHeight="1" thickBot="1" x14ac:dyDescent="0.3">
      <c r="A52" s="122"/>
      <c r="B52" s="122"/>
      <c r="C52" s="3588" t="s">
        <v>1603</v>
      </c>
      <c r="D52" s="3588"/>
      <c r="E52" s="564" t="s">
        <v>303</v>
      </c>
      <c r="F52" s="564" t="s">
        <v>2225</v>
      </c>
      <c r="G52" s="564" t="s">
        <v>1408</v>
      </c>
      <c r="H52" s="564" t="s">
        <v>1409</v>
      </c>
      <c r="I52" s="564" t="s">
        <v>1531</v>
      </c>
      <c r="J52" s="564" t="s">
        <v>2546</v>
      </c>
      <c r="K52" s="122"/>
      <c r="M52" s="335" t="s">
        <v>2158</v>
      </c>
      <c r="N52" s="376">
        <f>Mw_Mix*(1+P)/(82.06*(273+T))</f>
        <v>0</v>
      </c>
      <c r="O52" s="30" t="s">
        <v>2138</v>
      </c>
      <c r="P52" s="996"/>
      <c r="R52" s="335" t="s">
        <v>2158</v>
      </c>
      <c r="S52" s="367">
        <f>Mw_Mix*(1+P)/(82.06*(273.15+TBp))</f>
        <v>0</v>
      </c>
      <c r="T52" s="30" t="s">
        <v>2138</v>
      </c>
      <c r="U52" s="996"/>
      <c r="W52" s="335" t="s">
        <v>2157</v>
      </c>
      <c r="X52" s="367" t="str">
        <f>IF(Heating_Media_Name&lt;&gt;0,AB77-AC77*Heating_T,"")</f>
        <v/>
      </c>
      <c r="Y52" s="30" t="s">
        <v>2138</v>
      </c>
      <c r="AA52" s="335" t="s">
        <v>2152</v>
      </c>
      <c r="AB52" s="383">
        <f>IF(D41="",1,VLOOKUP(D41,'Unit Conversion'!$J$3:$K$59,2,0))</f>
        <v>1</v>
      </c>
      <c r="AC52" s="30" t="str">
        <f>D41</f>
        <v>Kg/liter</v>
      </c>
    </row>
    <row r="53" spans="1:40" ht="12.75" customHeight="1" thickBot="1" x14ac:dyDescent="0.3">
      <c r="A53" s="122"/>
      <c r="B53" s="472" t="s">
        <v>2539</v>
      </c>
      <c r="C53" s="3589" t="str">
        <f>IF(Pad_Name=0,"",Pad_Name)</f>
        <v/>
      </c>
      <c r="D53" s="3589"/>
      <c r="E53" s="728" t="s">
        <v>1396</v>
      </c>
      <c r="F53" s="720">
        <f>IF(Pad_Name&lt;&gt;"",IF(NOT(ISNUMBER(VLOOKUP(Pad_Name,Chem_Table,COLUMN(Mw_C),FALSE))),"",VLOOKUP(Pad_Name,Chem_Table,COLUMN(Mw_C),FALSE)),29)</f>
        <v>29</v>
      </c>
      <c r="G53" s="721" t="str">
        <f>IF(Pad_Name&lt;&gt;"",IF(NOT(ISNUMBER(VLOOKUP(Pad_Name,Chem_Table,COLUMN(ERPG2_C),FALSE))),"",VLOOKUP(Pad_Name,Chem_Table,COLUMN(ERPG2_C),FALSE)),"")</f>
        <v/>
      </c>
      <c r="H53" s="721" t="str">
        <f>IF(Pad_Name&lt;&gt;"",IF(NOT(ISNUMBER(VLOOKUP(Pad_Name,Chem_Table,COLUMN(ERPG3_C),FALSE))),"",VLOOKUP(Pad_Name,Chem_Table,COLUMN(ERPG3_C),FALSE)),"")</f>
        <v/>
      </c>
      <c r="I53" s="721" t="str">
        <f>IF(Pad_Name&lt;&gt;"",IF(NOT(ISNUMBER(VLOOKUP(Pad_Name,Chem_Table,COLUMN(LFL_C),FALSE))),"",VLOOKUP(Pad_Name,Chem_Table,COLUMN(LFL_C),FALSE)),"")</f>
        <v/>
      </c>
      <c r="J53" s="721" t="str">
        <f>IF(Pad_Name&lt;&gt;"",IF(NOT(ISNUMBER(VLOOKUP(Pad_Name,Chem_Table,COLUMN(FP_C),FALSE))),"",VLOOKUP(Pad_Name,Chem_Table,COLUMN(FP_C),FALSE)),"")</f>
        <v/>
      </c>
      <c r="K53" s="122"/>
      <c r="M53" s="335" t="s">
        <v>2159</v>
      </c>
      <c r="N53" s="367">
        <f>$H$72+$H$73*T</f>
        <v>0</v>
      </c>
      <c r="O53" s="30" t="s">
        <v>2137</v>
      </c>
      <c r="R53" s="335" t="s">
        <v>2159</v>
      </c>
      <c r="S53" s="367">
        <f>$H$72+$H$73*TBp</f>
        <v>0</v>
      </c>
      <c r="T53" s="30" t="s">
        <v>2137</v>
      </c>
      <c r="U53" s="996"/>
      <c r="W53" s="335" t="s">
        <v>2158</v>
      </c>
      <c r="X53" s="367" t="str">
        <f>IF(HT_Mw&lt;&gt;"",HT_Mw*(1+Heating_P)/(82.06*(273.15+Heating_T)),"")</f>
        <v/>
      </c>
      <c r="Y53" s="30" t="s">
        <v>2138</v>
      </c>
      <c r="AA53" s="335" t="s">
        <v>1422</v>
      </c>
      <c r="AB53" s="383">
        <f>IF(D42="",1,VLOOKUP(D42,'Unit Conversion'!$J$3:$K$59,2,0))</f>
        <v>0.23900579999999999</v>
      </c>
      <c r="AC53" s="30" t="str">
        <f>D42</f>
        <v>J/gm C</v>
      </c>
    </row>
    <row r="54" spans="1:40" ht="12.75" customHeight="1" thickBot="1" x14ac:dyDescent="0.3">
      <c r="A54" s="122"/>
      <c r="B54" s="472" t="s">
        <v>2538</v>
      </c>
      <c r="C54" s="3590" t="str">
        <f>IF(Heating_Media_Name=0,"",Heating_Media_Name)</f>
        <v/>
      </c>
      <c r="D54" s="3591"/>
      <c r="E54" s="728" t="str">
        <f>IF(X51=0,"",IF(X51&gt;Heating_P+1,"Vapor","Liquid"))</f>
        <v/>
      </c>
      <c r="F54" s="720" t="str">
        <f>IF(Heating_Media_Name&lt;&gt;"",ROUND(AF68,1),"")</f>
        <v/>
      </c>
      <c r="G54" s="721" t="str">
        <f>IF(AND(Y77&lt;&gt;"",Heating_Media_Name&lt;&gt;""),ROUND(Y77,2),"")</f>
        <v/>
      </c>
      <c r="H54" s="721" t="str">
        <f>IF(AND(Z77&lt;&gt;"",Heating_Media_Name&lt;&gt;""),ROUND(Z77,1),"")</f>
        <v/>
      </c>
      <c r="I54" s="721" t="str">
        <f>IF(AND(AA77&lt;&gt;"",Heating_Media_Name&lt;&gt;""),ROUND(AA77,2),"")</f>
        <v/>
      </c>
      <c r="J54" s="721" t="str">
        <f>IF(Heating_Media_Name&lt;&gt;"",IF(NOT(ISNUMBER(VLOOKUP(Heating_Media_Name,Chem_Table,COLUMN(FP_C),FALSE))),X77,VLOOKUP(Heating_Media_Name,Chem_Table,COLUMN(FP_C),FALSE)),X77)</f>
        <v/>
      </c>
      <c r="K54" s="122"/>
      <c r="M54" s="335" t="s">
        <v>2160</v>
      </c>
      <c r="N54" s="367">
        <f>IF($H$72-$H$75+($H$73-2*$H$76)*T&gt;0.15,$H$72-$H$75+($H$73-2*$H$76)*T,0.15)</f>
        <v>0.15</v>
      </c>
      <c r="O54" s="30" t="s">
        <v>2137</v>
      </c>
      <c r="R54" s="335" t="s">
        <v>2160</v>
      </c>
      <c r="S54" s="367">
        <f>IF($H$72-$H$75+($H$73-2*$H$76)*TBp&gt;0.15,$H$72-$H$75+($H$73-2*$H$76)*TBp,0.15)</f>
        <v>0.15</v>
      </c>
      <c r="T54" s="30" t="s">
        <v>2137</v>
      </c>
      <c r="W54" s="335" t="s">
        <v>2159</v>
      </c>
      <c r="X54" s="367" t="str">
        <f>IF(Heating_Media_Name&lt;&gt;0,AD77+AE77*Heating_T,"")</f>
        <v/>
      </c>
      <c r="Y54" s="30" t="s">
        <v>2137</v>
      </c>
      <c r="AA54" s="335" t="s">
        <v>2153</v>
      </c>
      <c r="AB54" s="383">
        <f>IF(D44="",1,VLOOKUP(D44,'Unit Conversion'!$J$3:$K$59,2,0))</f>
        <v>0.23900579999999999</v>
      </c>
      <c r="AC54" s="30" t="str">
        <f>D44</f>
        <v>J/gm</v>
      </c>
    </row>
    <row r="55" spans="1:40" ht="12.75" customHeight="1" thickBot="1" x14ac:dyDescent="0.3">
      <c r="A55" s="122"/>
      <c r="B55" s="472"/>
      <c r="C55" s="472"/>
      <c r="D55" s="472"/>
      <c r="E55" s="472"/>
      <c r="F55" s="472"/>
      <c r="G55" s="472"/>
      <c r="H55" s="472"/>
      <c r="I55" s="472"/>
      <c r="J55" s="472"/>
      <c r="K55" s="122"/>
      <c r="M55" s="335" t="s">
        <v>2161</v>
      </c>
      <c r="N55" s="265">
        <f>IF($H$74-$H$75*T-$H$76*T*T&gt;1,$H$74-$H$75*T-$H$76*T*T,1)</f>
        <v>1</v>
      </c>
      <c r="O55" s="30" t="s">
        <v>2139</v>
      </c>
      <c r="R55" s="335" t="s">
        <v>2161</v>
      </c>
      <c r="S55" s="265">
        <f>IF($H$74-$H$75*TBp-$H$76*TBp*TBp&gt;1,$H$74-$H$75*TBp-$H$76*TBp*TBp,1)</f>
        <v>1</v>
      </c>
      <c r="T55" s="30" t="s">
        <v>2139</v>
      </c>
      <c r="W55" s="335" t="s">
        <v>3195</v>
      </c>
      <c r="X55" s="368">
        <f>IF(AD77-AG77+(AE77-2*AH77)*TBp/2&gt;0.15,AD77-AG77+(AE77-2*AH77)*TBp/2,0.15)</f>
        <v>0.15</v>
      </c>
    </row>
    <row r="56" spans="1:40" ht="12.75" customHeight="1" thickBot="1" x14ac:dyDescent="0.3">
      <c r="A56" s="122"/>
      <c r="B56" s="472"/>
      <c r="C56" s="122"/>
      <c r="D56" s="122"/>
      <c r="E56" s="122"/>
      <c r="F56" s="122"/>
      <c r="G56" s="122"/>
      <c r="H56" s="122"/>
      <c r="I56" s="122"/>
      <c r="J56" s="122"/>
      <c r="K56" s="122"/>
      <c r="W56" s="335" t="s">
        <v>2161</v>
      </c>
      <c r="X56" s="265" t="str">
        <f>IF(Heating_Media_Name&lt;&gt;0,IF(AF77-AG77*Heating_T-AH77*Heating_T*Heating_T&gt;1,AF77-AG77*Heating_T-AH77*Heating_T*Heating_T,1),"")</f>
        <v/>
      </c>
      <c r="Y56" s="30" t="s">
        <v>2139</v>
      </c>
      <c r="AA56" s="417" t="s">
        <v>2229</v>
      </c>
      <c r="AB56" s="494">
        <f>IF(F53="",29,F53)</f>
        <v>29</v>
      </c>
    </row>
    <row r="57" spans="1:40" ht="14.25" hidden="1" customHeight="1" thickBot="1" x14ac:dyDescent="0.3">
      <c r="A57" s="549"/>
      <c r="B57" s="549"/>
      <c r="C57" s="549"/>
      <c r="D57" s="549"/>
      <c r="E57" s="549"/>
      <c r="F57" s="549"/>
      <c r="G57" s="549"/>
      <c r="H57" s="549"/>
      <c r="I57" s="549"/>
      <c r="J57" s="549"/>
      <c r="K57" s="549"/>
      <c r="M57" s="335" t="s">
        <v>2653</v>
      </c>
      <c r="N57" s="805">
        <f>Mw_Mix/(82.06*(Ambient_Temp+273.15))</f>
        <v>0</v>
      </c>
      <c r="O57" s="30" t="s">
        <v>2138</v>
      </c>
      <c r="R57" s="995" t="s">
        <v>2867</v>
      </c>
      <c r="S57" s="1135">
        <f>MAX(MIN(I16:I20),S58)</f>
        <v>0</v>
      </c>
      <c r="W57" s="358" t="str">
        <f>"Boiling Point at Relief Set Pressure of "&amp;ROUND(IF(Relief_Set=0,MAWP,Relief_Set),2)&amp;" atm gauge = "</f>
        <v xml:space="preserve">Boiling Point at Relief Set Pressure of 0 atm gauge = </v>
      </c>
      <c r="X57" s="265">
        <f>IF(AND(Y63&gt;0,AE63&gt;0),VPHT_B/(VPHT_A-LN((1+IF(Relief_Set=0,MAWP,Relief_Set))*AD63/(Y63*ActHT_Rel)))+VPHT_C-273.15,0)</f>
        <v>0</v>
      </c>
      <c r="Y57" s="30" t="s">
        <v>551</v>
      </c>
    </row>
    <row r="58" spans="1:40" ht="12.75" hidden="1" customHeight="1" thickBot="1" x14ac:dyDescent="0.3">
      <c r="A58" s="549"/>
      <c r="B58" s="549"/>
      <c r="C58" s="3582" t="s">
        <v>2083</v>
      </c>
      <c r="D58" s="3583"/>
      <c r="E58" s="3583"/>
      <c r="F58" s="3583"/>
      <c r="G58" s="3584"/>
      <c r="H58" s="549"/>
      <c r="I58" s="549"/>
      <c r="J58" s="549"/>
      <c r="K58" s="549"/>
      <c r="M58" s="30" t="s">
        <v>4744</v>
      </c>
      <c r="N58" s="2601">
        <f>IF($H$70-$H$71*T_atBurst&gt;0.1,$H$70-$H$71*T_atBurst,0.1)</f>
        <v>0.1</v>
      </c>
      <c r="O58" s="30" t="s">
        <v>2138</v>
      </c>
      <c r="R58" s="995" t="s">
        <v>3256</v>
      </c>
      <c r="S58" s="1397" t="str">
        <f>IF(AND(Fract_Key_Mix&lt;1,Chemical&lt;&gt;""),IF(NOT(ISNUMBER(VLOOKUP(Chemical,Chem_Table,COLUMN(ERPG3_C),FALSE))),"",VLOOKUP(Chemical,Chem_Table,COLUMN(ERPG3_C),FALSE)),"")</f>
        <v/>
      </c>
      <c r="W58" s="358" t="str">
        <f>"Vapor Pressure at Ambient Temp of "&amp;ROUND(Ambient_Temp,1)&amp;" deg C = "</f>
        <v xml:space="preserve">Vapor Pressure at Ambient Temp of 25 deg C = </v>
      </c>
      <c r="X58" s="1494">
        <f>IF(AE63&gt;0,HTFeed_1*ActHT_1*EXP(VPHT_A-VPHT_B/(Ambient_Temp+273.15-VPHT_C))/AE63,0)</f>
        <v>0</v>
      </c>
      <c r="Y58" s="30" t="s">
        <v>2136</v>
      </c>
    </row>
    <row r="59" spans="1:40" ht="13.5" hidden="1" customHeight="1" thickBot="1" x14ac:dyDescent="0.3">
      <c r="A59" s="549"/>
      <c r="B59" s="549"/>
      <c r="C59" s="424" t="s">
        <v>2079</v>
      </c>
      <c r="D59" s="425" t="s">
        <v>2080</v>
      </c>
      <c r="E59" s="425" t="s">
        <v>2081</v>
      </c>
      <c r="F59" s="425" t="s">
        <v>2082</v>
      </c>
      <c r="G59" s="426" t="s">
        <v>2177</v>
      </c>
      <c r="H59" s="549"/>
      <c r="I59" s="549"/>
      <c r="J59" s="549"/>
      <c r="K59" s="549"/>
      <c r="M59" s="30" t="s">
        <v>4744</v>
      </c>
      <c r="N59" s="2601">
        <f>IF($H$70-$H$71*T_atFire_Burst&gt;0.1,$H$70-$H$71*T_atFire_Burst,0.1)</f>
        <v>0.1</v>
      </c>
      <c r="O59" s="30" t="s">
        <v>2138</v>
      </c>
      <c r="X59" s="822" t="s">
        <v>3164</v>
      </c>
    </row>
    <row r="60" spans="1:40" hidden="1" x14ac:dyDescent="0.25">
      <c r="A60" s="549"/>
      <c r="B60" s="3596" t="s">
        <v>2065</v>
      </c>
      <c r="C60" s="3598" t="str">
        <f>IF(M18=0,"",M18)</f>
        <v/>
      </c>
      <c r="D60" s="3600" t="str">
        <f>IF(OR(M19=0,M19="Non-Key Chemical"),"",M19)</f>
        <v/>
      </c>
      <c r="E60" s="3600" t="str">
        <f>IF(M20=0,"",M20)</f>
        <v/>
      </c>
      <c r="F60" s="3585" t="str">
        <f>IF(M21=0,"",M21)</f>
        <v/>
      </c>
      <c r="G60" s="3585" t="str">
        <f>IF(M22=0,"",M22)</f>
        <v/>
      </c>
      <c r="H60" s="3571" t="s">
        <v>2122</v>
      </c>
      <c r="I60" s="549"/>
      <c r="J60" s="549"/>
      <c r="K60" s="549"/>
      <c r="M60" s="30" t="s">
        <v>4744</v>
      </c>
      <c r="N60" s="2601">
        <f>IF($H$70-$H$71*Tpeak_atBurst&gt;0.1,$H$70-$H$71*Tpeak_atBurst,0.1)</f>
        <v>0.1</v>
      </c>
      <c r="O60" s="30" t="s">
        <v>2138</v>
      </c>
      <c r="R60" s="335" t="s">
        <v>4950</v>
      </c>
      <c r="S60" s="3573">
        <f>Heating_Media_Name</f>
        <v>0</v>
      </c>
      <c r="T60" s="3574"/>
      <c r="AC60" s="3512" t="s">
        <v>2133</v>
      </c>
    </row>
    <row r="61" spans="1:40" ht="13.5" hidden="1" customHeight="1" x14ac:dyDescent="0.25">
      <c r="A61" s="549"/>
      <c r="B61" s="3597"/>
      <c r="C61" s="3599"/>
      <c r="D61" s="3601"/>
      <c r="E61" s="3601"/>
      <c r="F61" s="3586"/>
      <c r="G61" s="3587"/>
      <c r="H61" s="3572"/>
      <c r="I61" s="549"/>
      <c r="J61" s="549"/>
      <c r="K61" s="549"/>
      <c r="Q61" s="3534" t="s">
        <v>2111</v>
      </c>
      <c r="R61" s="3512" t="s">
        <v>2063</v>
      </c>
      <c r="S61" s="3534" t="s">
        <v>2147</v>
      </c>
      <c r="T61" s="3503" t="s">
        <v>2743</v>
      </c>
      <c r="U61" s="3503" t="s">
        <v>2744</v>
      </c>
      <c r="V61" s="3503" t="s">
        <v>2745</v>
      </c>
      <c r="W61" s="3534" t="s">
        <v>1795</v>
      </c>
      <c r="X61" s="3512" t="s">
        <v>2112</v>
      </c>
      <c r="Y61" s="3529" t="s">
        <v>2140</v>
      </c>
      <c r="AA61" s="3512" t="s">
        <v>2143</v>
      </c>
      <c r="AB61" s="3512" t="s">
        <v>2145</v>
      </c>
      <c r="AC61" s="3517"/>
      <c r="AD61" s="3503" t="s">
        <v>2746</v>
      </c>
      <c r="AE61" s="3512" t="s">
        <v>2113</v>
      </c>
      <c r="AF61" s="1334"/>
      <c r="AG61" s="3534" t="s">
        <v>2062</v>
      </c>
      <c r="AH61" s="3567" t="s">
        <v>2667</v>
      </c>
    </row>
    <row r="62" spans="1:40" ht="13.5" hidden="1" customHeight="1" thickBot="1" x14ac:dyDescent="0.3">
      <c r="A62" s="549"/>
      <c r="B62" s="361" t="s">
        <v>2109</v>
      </c>
      <c r="C62" s="2183" t="str">
        <f>IF(N2=0,"",N2)</f>
        <v/>
      </c>
      <c r="D62" s="2184" t="str">
        <f>IF(N3=0,"",N3)</f>
        <v/>
      </c>
      <c r="E62" s="2184" t="str">
        <f>IF(N4=0,"",N4)</f>
        <v/>
      </c>
      <c r="F62" s="2185" t="str">
        <f>IF(N5=0,"",N5)</f>
        <v/>
      </c>
      <c r="G62" s="2185" t="str">
        <f>IF(N6=0,"",N6)</f>
        <v/>
      </c>
      <c r="H62" s="405"/>
      <c r="I62" s="549"/>
      <c r="J62" s="549"/>
      <c r="K62" s="549"/>
      <c r="Q62" s="3535"/>
      <c r="R62" s="3517"/>
      <c r="S62" s="3569"/>
      <c r="T62" s="3503"/>
      <c r="U62" s="3503"/>
      <c r="V62" s="3503"/>
      <c r="W62" s="3569"/>
      <c r="X62" s="3517"/>
      <c r="Y62" s="3531"/>
      <c r="Z62" s="1336" t="s">
        <v>3174</v>
      </c>
      <c r="AA62" s="3517"/>
      <c r="AB62" s="3517"/>
      <c r="AC62" s="1359">
        <f>(Ambient_Temp +MAX(Heating_T,AA86))/2</f>
        <v>12.5</v>
      </c>
      <c r="AD62" s="3503"/>
      <c r="AE62" s="3517"/>
      <c r="AF62" s="1336" t="s">
        <v>3165</v>
      </c>
      <c r="AG62" s="3569"/>
      <c r="AH62" s="3568"/>
    </row>
    <row r="63" spans="1:40" ht="13.5" hidden="1" thickBot="1" x14ac:dyDescent="0.3">
      <c r="A63" s="549"/>
      <c r="B63" s="362" t="s">
        <v>28</v>
      </c>
      <c r="C63" s="2457" t="str">
        <f>IF(C60&lt;&gt;"",IF(NOT(ISTEXT(VLOOKUP(C60,Chem_Table,COLUMN(Cas_No_C),FALSE))),"",VLOOKUP(C60,Chem_Table,COLUMN(Cas_No_C),FALSE)),"")</f>
        <v/>
      </c>
      <c r="D63" s="2187" t="str">
        <f>IF(D60&lt;&gt;"",IF(NOT(ISTEXT(VLOOKUP(D60,Chem_Table,COLUMN(Cas_No_C),FALSE))),"",VLOOKUP(D60,Chem_Table,COLUMN(Cas_No_C),FALSE)),"")</f>
        <v/>
      </c>
      <c r="E63" s="2187" t="str">
        <f>IF(E60&lt;&gt;"",IF(NOT(ISTEXT(VLOOKUP(E60,Chem_Table,COLUMN(Cas_No_C),FALSE))),"",VLOOKUP(E60,Chem_Table,COLUMN(Cas_No_C),FALSE)),"")</f>
        <v/>
      </c>
      <c r="F63" s="2188" t="str">
        <f>IF(F60&lt;&gt;"",IF(NOT(ISTEXT(VLOOKUP(F60,Chem_Table,COLUMN(Cas_No_C),FALSE))),"",VLOOKUP(F60,Chem_Table,COLUMN(Cas_No_C),FALSE)),"")</f>
        <v/>
      </c>
      <c r="G63" s="2454" t="str">
        <f>IF(G60&lt;&gt;"",IF(NOT(ISTEXT(VLOOKUP(G60,Chem_Table,COLUMN(Cas_No_C),FALSE))),"",VLOOKUP(G60,Chem_Table,COLUMN(Cas_No_C),FALSE)),"")</f>
        <v/>
      </c>
      <c r="H63" s="405"/>
      <c r="I63" s="549"/>
      <c r="J63" s="549"/>
      <c r="K63" s="549"/>
      <c r="N63" s="3575" t="s">
        <v>2671</v>
      </c>
      <c r="O63" s="3576"/>
      <c r="Q63" s="1315" t="str">
        <f>IF(NOT(ISTEXT(VLOOKUP(Heating_Media_Name,Chem_Table,COLUMN(Chemical_1_C),FALSE))),IF(Heating_Media_Name=0,"",Heating_Media_Name),VLOOKUP(Heating_Media_Name,Chem_Table,COLUMN(Chemical_1_C),FALSE))</f>
        <v/>
      </c>
      <c r="R63" s="1326">
        <f>IF(NOT(ISNUMBER(VLOOKUP(Heating_Media_Name,Chem_Table,COLUMN(Frac_Key_C),FALSE))),0,VLOOKUP(Heating_Media_Name,Chem_Table,COLUMN(Frac_Key_C),FALSE))</f>
        <v>0</v>
      </c>
      <c r="S63" s="113" t="str">
        <f>IF(Q63&lt;&gt;"",IF(NOT(ISNUMBER(VLOOKUP(Q63,Chem_Table,COLUMN(Mw_C),FALSE))),"",VLOOKUP(Q63,Chem_Table,COLUMN(Mw_C),FALSE)),"")</f>
        <v/>
      </c>
      <c r="T63" s="1327" t="str">
        <f>IF(Q63&lt;&gt;"",IF(NOT(ISNUMBER(VLOOKUP(Q63,Chem_Table,COLUMN(VP_A_C),FALSE))),"",VLOOKUP(Q63,Chem_Table,COLUMN(VP_A_C),FALSE)),"")</f>
        <v/>
      </c>
      <c r="U63" s="1327" t="str">
        <f>IF(Q63&lt;&gt;"",IF(NOT(ISNUMBER(VLOOKUP(Q63,Chem_Table,COLUMN(VP_B_C),FALSE))),"",VLOOKUP(Q63,Chem_Table,COLUMN(VP_B_C),FALSE)),"")</f>
        <v/>
      </c>
      <c r="V63" s="1327" t="str">
        <f>IF(Q63&lt;&gt;"",IF(NOT(ISNUMBER(VLOOKUP(Q63,Chem_Table,COLUMN(VP_C_C),FALSE))),0,VLOOKUP(Q63,Chem_Table,COLUMN(VP_C_C),FALSE)),"")</f>
        <v/>
      </c>
      <c r="W63" s="1328" t="str">
        <f>IF(Q63&lt;&gt;"",IF(NOT(ISNUMBER(VLOOKUP(Q63,Chem_Table,COLUMN(SecPhase_1_C),FALSE))),"",VLOOKUP(Q63,Chem_Table,COLUMN(SecPhase_1_C),FALSE)),"")</f>
        <v/>
      </c>
      <c r="X63" s="1322">
        <f>IF(R63&gt;0,R63/S63,0)</f>
        <v>0</v>
      </c>
      <c r="Y63" s="991">
        <f>IF(X$68&gt;0,X63/X$68,0)</f>
        <v>0</v>
      </c>
      <c r="Z63" s="1320">
        <f>IF(S63&lt;&gt;"",Y63*S63,0)</f>
        <v>0</v>
      </c>
      <c r="AA63" s="1325">
        <f>Y63</f>
        <v>0</v>
      </c>
      <c r="AB63" s="1320">
        <f>AA63-Y63</f>
        <v>0</v>
      </c>
      <c r="AC63" s="1323">
        <f>IF(Y63&gt;0,(IF(AA$68&gt;0,AA63/AA$68,0)+IF(AB$68&gt;0,AB63/AB$68,0))*EXP(T63-U63/(AC$62+273.15-V63)),0)</f>
        <v>0</v>
      </c>
      <c r="AD63" s="1332">
        <v>1</v>
      </c>
      <c r="AE63" s="991">
        <f>IF(AC$68&gt;0,AC63/AC$68,0)</f>
        <v>0</v>
      </c>
      <c r="AF63" s="1335">
        <f>IF(S63&lt;&gt;"",AE63*S63,0)</f>
        <v>0</v>
      </c>
      <c r="AG63" s="1332">
        <v>1</v>
      </c>
      <c r="AH63" s="1327">
        <f>IF(Y63&gt;0,(AA63+AB63)/Y63,0)</f>
        <v>0</v>
      </c>
    </row>
    <row r="64" spans="1:40" ht="13.75" hidden="1" customHeight="1" thickBot="1" x14ac:dyDescent="0.3">
      <c r="A64" s="549"/>
      <c r="B64" s="362" t="s">
        <v>2121</v>
      </c>
      <c r="C64" s="2457" t="str">
        <f>IF(C60&lt;&gt;"",IF(NOT(ISNUMBER(VLOOKUP(C60,Chem_Table,COLUMN(Mw_C),FALSE))),"",VLOOKUP(C60,Chem_Table,COLUMN(Mw_C),FALSE)),"")</f>
        <v/>
      </c>
      <c r="D64" s="2187" t="str">
        <f>IF(D60&lt;&gt;"",IF(NOT(ISNUMBER(VLOOKUP(D60,Chem_Table,COLUMN(Mw_C),FALSE))),"",VLOOKUP(D60,Chem_Table,COLUMN(Mw_C),FALSE)),"")</f>
        <v/>
      </c>
      <c r="E64" s="2187" t="str">
        <f>IF(E60&lt;&gt;"",IF(NOT(ISNUMBER(VLOOKUP(E60,Chem_Table,COLUMN(Mw_C),FALSE))),"",VLOOKUP(E60,Chem_Table,COLUMN(Mw_C),FALSE)),"")</f>
        <v/>
      </c>
      <c r="F64" s="2188" t="str">
        <f>IF(F60&lt;&gt;"",IF(NOT(ISNUMBER(VLOOKUP(F60,Chem_Table,COLUMN(Mw_C),FALSE))),"",VLOOKUP(F60,Chem_Table,COLUMN(Mw_C),FALSE)),"")</f>
        <v/>
      </c>
      <c r="G64" s="2454" t="str">
        <f>IF(G60&lt;&gt;"",IF(NOT(ISNUMBER(VLOOKUP(G60,Chem_Table,COLUMN(Mw_C),FALSE))),"",VLOOKUP(G60,Chem_Table,COLUMN(Mw_C),FALSE)),"")</f>
        <v/>
      </c>
      <c r="H64" s="2189">
        <f>Mw_Mix</f>
        <v>0</v>
      </c>
      <c r="I64" s="549"/>
      <c r="J64" s="549"/>
      <c r="K64" s="549"/>
      <c r="N64" s="822" t="s">
        <v>2509</v>
      </c>
      <c r="O64" s="822" t="s">
        <v>2672</v>
      </c>
      <c r="Q64" s="1313" t="str">
        <f>IF(NOT(ISTEXT(VLOOKUP(Heating_Media_Name,Chem_Table,COLUMN(Chemical_2_C),FALSE))),"",VLOOKUP(Heating_Media_Name,Chem_Table,COLUMN(Chemical_2_C),FALSE))</f>
        <v/>
      </c>
      <c r="R64" s="1326">
        <f>IF(NOT(ISNUMBER(VLOOKUP(Heating_Media_Name,Chem_Table,COLUMN(WtFract_2_C),FALSE))),0,VLOOKUP(Heating_Media_Name,Chem_Table,COLUMN(WtFract_2_C),FALSE))</f>
        <v>0</v>
      </c>
      <c r="S64" s="113" t="str">
        <f>IF(Q64&lt;&gt;"",IF(NOT(ISNUMBER(VLOOKUP(Q64,Chem_Table,COLUMN(Mw_C),FALSE))),"",VLOOKUP(Q64,Chem_Table,COLUMN(Mw_C),FALSE)),"")</f>
        <v/>
      </c>
      <c r="T64" s="1333" t="str">
        <f>IF(Q64&lt;&gt;"",IF(NOT(ISNUMBER(VLOOKUP(Q64,Chem_Table,COLUMN(VP_A_C),FALSE))),"",VLOOKUP(Q64,Chem_Table,COLUMN(VP_A_C),FALSE)),"")</f>
        <v/>
      </c>
      <c r="U64" s="1310" t="str">
        <f>IF(Q64&lt;&gt;"",IF(NOT(ISNUMBER(VLOOKUP(Q64,Chem_Table,COLUMN(VP_B_C),FALSE))),"",VLOOKUP(Q64,Chem_Table,COLUMN(VP_B_C),FALSE)),"")</f>
        <v/>
      </c>
      <c r="V64" s="1310" t="str">
        <f>IF(Q64&lt;&gt;"",IF(NOT(ISNUMBER(VLOOKUP(Q64,Chem_Table,COLUMN(VP_C_C),FALSE))),0,VLOOKUP(Q64,Chem_Table,COLUMN(VP_C_C),FALSE)),"")</f>
        <v/>
      </c>
      <c r="W64" s="1315" t="str">
        <f>IF(Q64&lt;&gt;"",IF(NOT(ISNUMBER(VLOOKUP(Q64,Chem_Table,COLUMN(SecPhase_2_C),FALSE))),"",VLOOKUP(Q64,Chem_Table,COLUMN(SecPhase_2_C),FALSE)),"")</f>
        <v/>
      </c>
      <c r="X64" s="1322">
        <f>IF(R64&gt;0,R64/S64,0)</f>
        <v>0</v>
      </c>
      <c r="Y64" s="991">
        <f>IF(X$68&gt;0,X64/X$68,0)</f>
        <v>0</v>
      </c>
      <c r="Z64" s="1325">
        <f>IF(S64&lt;&gt;"",Y64*S64,0)</f>
        <v>0</v>
      </c>
      <c r="AA64" s="352">
        <f>IF(W64="No",1,IF(W64=W$63,1,0))*Y64</f>
        <v>0</v>
      </c>
      <c r="AB64" s="1320">
        <f>AA64-Y64</f>
        <v>0</v>
      </c>
      <c r="AC64" s="1323">
        <f>IF(Y64&gt;0,(IF(AA$68&gt;0,AA64/AA$68,0)+IF(AB$68&gt;0,AB64/AB$68,0))*EXP(T64-U64/(AC$62+273.15-V64)),0)</f>
        <v>0</v>
      </c>
      <c r="AD64" s="1332">
        <f>IF(AC63&gt;0,AC64/AC63,0)</f>
        <v>0</v>
      </c>
      <c r="AE64" s="1331">
        <f>IF(AC$68&gt;0,AC64/AC$68,0)</f>
        <v>0</v>
      </c>
      <c r="AF64" s="1335">
        <f>IF(S64&lt;&gt;"",AE64*S64,0)</f>
        <v>0</v>
      </c>
      <c r="AG64" s="1332" t="str">
        <f>IF(Y64*AE$63&gt;0,AE64*Y$63/(Y64*AE$63),"")</f>
        <v/>
      </c>
      <c r="AH64" s="1327">
        <f>IF(Y64&gt;0,(AA64+AB64)/Y64,0)</f>
        <v>0</v>
      </c>
    </row>
    <row r="65" spans="1:41" ht="13.5" hidden="1" thickBot="1" x14ac:dyDescent="0.3">
      <c r="A65" s="549"/>
      <c r="B65" s="362" t="s">
        <v>2099</v>
      </c>
      <c r="C65" s="2457" t="str">
        <f>IF(C60&lt;&gt;"",IF(NOT(ISNUMBER(VLOOKUP(C60,Chem_Table,COLUMN(MP_C),FALSE))),"",VLOOKUP(C60,Chem_Table,COLUMN(MP_C),FALSE)),"")</f>
        <v/>
      </c>
      <c r="D65" s="2187" t="str">
        <f>IF(D60&lt;&gt;"",IF(NOT(ISNUMBER(VLOOKUP(D60,Chem_Table,COLUMN(MP_C),FALSE))),"",VLOOKUP(D60,Chem_Table,COLUMN(MP_C),FALSE)),"")</f>
        <v/>
      </c>
      <c r="E65" s="2187" t="str">
        <f>IF(E60&lt;&gt;"",IF(NOT(ISNUMBER(VLOOKUP(E60,Chem_Table,COLUMN(MP_C),FALSE))),"",VLOOKUP(E60,Chem_Table,COLUMN(MP_C),FALSE)),"")</f>
        <v/>
      </c>
      <c r="F65" s="2188" t="str">
        <f>IF(F60&lt;&gt;"",IF(NOT(ISNUMBER(VLOOKUP(F60,Chem_Table,COLUMN(MP_C),FALSE))),"",VLOOKUP(F60,Chem_Table,COLUMN(MP_C),FALSE)),"")</f>
        <v/>
      </c>
      <c r="G65" s="2454" t="str">
        <f>IF(G60&lt;&gt;"",IF(NOT(ISNUMBER(VLOOKUP(G60,Chem_Table,COLUMN(MP_C),FALSE))),"",VLOOKUP(G60,Chem_Table,COLUMN(MP_C),FALSE)),"")</f>
        <v/>
      </c>
      <c r="H65" s="2189" t="str">
        <f>IF(OR(AND(C60="",D60="",E60="",F60="",G60=""),AND(C65="",D65="",E65="",F65="",G65="")),"",MIN(C65:G65))</f>
        <v/>
      </c>
      <c r="I65" s="550" t="s">
        <v>2182</v>
      </c>
      <c r="J65" s="549"/>
      <c r="K65" s="549"/>
      <c r="N65" s="5">
        <f>Pad_Name</f>
        <v>0</v>
      </c>
      <c r="O65" s="5">
        <f>Heating_Media_Name</f>
        <v>0</v>
      </c>
      <c r="Q65" s="1313" t="str">
        <f>IF(NOT(ISTEXT(VLOOKUP(Heating_Media_Name,Chem_Table,COLUMN(Chemical_3_C),FALSE))),"",VLOOKUP(Heating_Media_Name,Chem_Table,COLUMN(Chemical_3_C),FALSE))</f>
        <v/>
      </c>
      <c r="R65" s="1314">
        <f>IF(NOT(ISNUMBER(VLOOKUP(Heating_Media_Name,Chem_Table,COLUMN(WtFract_3_C),FALSE))),0,VLOOKUP(Heating_Media_Name,Chem_Table,COLUMN(WtFract_3_C),FALSE))</f>
        <v>0</v>
      </c>
      <c r="S65" s="113" t="str">
        <f>IF(Q65&lt;&gt;"",IF(NOT(ISNUMBER(VLOOKUP(Q65,Chem_Table,COLUMN(Mw_C),FALSE))),"",VLOOKUP(Q65,Chem_Table,COLUMN(Mw_C),FALSE)),"")</f>
        <v/>
      </c>
      <c r="T65" s="1316" t="str">
        <f>IF(Q65&lt;&gt;"",IF(NOT(ISNUMBER(VLOOKUP(Q65,Chem_Table,COLUMN(VP_A_C),FALSE))),"",VLOOKUP(Q65,Chem_Table,COLUMN(VP_A_C),FALSE)),"")</f>
        <v/>
      </c>
      <c r="U65" s="1316" t="str">
        <f>IF(Q65&lt;&gt;"",IF(NOT(ISNUMBER(VLOOKUP(Q65,Chem_Table,COLUMN(VP_B_C),FALSE))),"",VLOOKUP(Q65,Chem_Table,COLUMN(VP_B_C),FALSE)),"")</f>
        <v/>
      </c>
      <c r="V65" s="1316" t="str">
        <f>IF(Q65&lt;&gt;"",IF(NOT(ISNUMBER(VLOOKUP(Q65,Chem_Table,COLUMN(VP_C_C),FALSE))),0,VLOOKUP(Q65,Chem_Table,COLUMN(VP_C_C),FALSE)),"")</f>
        <v/>
      </c>
      <c r="W65" s="1315" t="str">
        <f>IF(Q65&lt;&gt;"",IF(NOT(ISNUMBER(VLOOKUP(Q65,Chem_Table,COLUMN(SecPhase_3_C),FALSE))),"",VLOOKUP(Q65,Chem_Table,COLUMN(SecPhase_3_C),FALSE)),"")</f>
        <v/>
      </c>
      <c r="X65" s="1322">
        <f>IF(R65&gt;0,R65/S65,0)</f>
        <v>0</v>
      </c>
      <c r="Y65" s="991">
        <f>IF(X$68&gt;0,X65/X$68,0)</f>
        <v>0</v>
      </c>
      <c r="Z65" s="1325">
        <f>IF(S65&lt;&gt;"",Y65*S65,0)</f>
        <v>0</v>
      </c>
      <c r="AA65" s="352">
        <f>IF(W65="No",1,IF(W65=W$63,1,0))*Y65</f>
        <v>0</v>
      </c>
      <c r="AB65" s="1320">
        <f>AA65-Y65</f>
        <v>0</v>
      </c>
      <c r="AC65" s="1323">
        <f>IF(Y65&gt;0,(IF(AA$68&gt;0,AA65/AA$68,0)+IF(AB$68&gt;0,AB65/AB$68,0))*EXP(T65-U65/(AC$62+273.15-V65)),0)</f>
        <v>0</v>
      </c>
      <c r="AD65" s="1332">
        <f>IF(AC64&gt;0,AC65/AC64,0)</f>
        <v>0</v>
      </c>
      <c r="AE65" s="1325">
        <f>IF(AC$68&gt;0,AC65/AC$68,0)</f>
        <v>0</v>
      </c>
      <c r="AF65" s="1335">
        <f>IF(S65&lt;&gt;"",AE65*S65,0)</f>
        <v>0</v>
      </c>
      <c r="AG65" s="1332" t="str">
        <f>IF(Y65*AE$63&gt;0,AE65*Y$63/(Y65*AE$63),"")</f>
        <v/>
      </c>
      <c r="AH65" s="1327">
        <f>IF(Y65&gt;0,(AA65+AB65)/Y65,0)</f>
        <v>0</v>
      </c>
    </row>
    <row r="66" spans="1:41" ht="12.75" hidden="1" customHeight="1" thickBot="1" x14ac:dyDescent="0.3">
      <c r="A66" s="549"/>
      <c r="B66" s="362" t="s">
        <v>2100</v>
      </c>
      <c r="C66" s="2190" t="str">
        <f>IF(C60&lt;&gt;"",IF(NOT(ISNUMBER(VLOOKUP(C60,Chem_Table,COLUMN(BP_C),FALSE))),"",VLOOKUP(C60,Chem_Table,COLUMN(BP_C),FALSE)),"")</f>
        <v/>
      </c>
      <c r="D66" s="2187" t="str">
        <f>IF(D60&lt;&gt;"",IF(NOT(ISNUMBER(VLOOKUP(D60,Chem_Table,COLUMN(BP_C),FALSE))),"",VLOOKUP(D60,Chem_Table,COLUMN(BP_C),FALSE)),"")</f>
        <v/>
      </c>
      <c r="E66" s="2187" t="str">
        <f>IF(E60&lt;&gt;"",IF(NOT(ISNUMBER(VLOOKUP(E60,Chem_Table,COLUMN(BP_C),FALSE))),"",VLOOKUP(E60,Chem_Table,COLUMN(BP_C),FALSE)),"")</f>
        <v/>
      </c>
      <c r="F66" s="2188" t="str">
        <f>IF(F60&lt;&gt;"",IF(NOT(ISNUMBER(VLOOKUP(F60,Chem_Table,COLUMN(BP_C),FALSE))),"",VLOOKUP(F60,Chem_Table,COLUMN(BP_C),FALSE)),"")</f>
        <v/>
      </c>
      <c r="G66" s="2454" t="str">
        <f>IF(G60&lt;&gt;"",IF(NOT(ISNUMBER(VLOOKUP(G60,Chem_Table,COLUMN(BP_C),FALSE))),"",VLOOKUP(G60,Chem_Table,COLUMN(BP_C),FALSE)),"")</f>
        <v/>
      </c>
      <c r="H66" s="2191">
        <f>TBp</f>
        <v>0</v>
      </c>
      <c r="I66" s="549"/>
      <c r="J66" s="549"/>
      <c r="K66" s="549"/>
      <c r="M66" s="335" t="s">
        <v>2673</v>
      </c>
      <c r="N66" s="1696" t="str">
        <f>IF(Pad_Name&lt;&gt;0,IF(NOT(ISNUMBER(VLOOKUP(Pad_Name,Chem_Table,COLUMN(BP_C),FALSE))),"",VLOOKUP(Pad_Name,Chem_Table,COLUMN(BP_C),FALSE)),"")</f>
        <v/>
      </c>
      <c r="O66" s="1697">
        <f>IF(AND(Y63&gt;0,AE63&gt;0),VPHT_B/(VPHT_A-LN((1)*AD63/(Y63*ActHT_Rel)))+VPHT_C-273.15,0)</f>
        <v>0</v>
      </c>
      <c r="Q66" s="1313" t="str">
        <f>IF(NOT(ISTEXT(VLOOKUP(Heating_Media_Name,Chem_Table,COLUMN(Chemical_4_C),FALSE))),"",VLOOKUP(Heating_Media_Name,Chem_Table,COLUMN(Chemical_4_C),FALSE))</f>
        <v/>
      </c>
      <c r="R66" s="1314">
        <f>IF(NOT(ISNUMBER(VLOOKUP(Heating_Media_Name,Chem_Table,COLUMN(WtFract_4_C),FALSE))),0,VLOOKUP(Heating_Media_Name,Chem_Table,COLUMN(WtFract_4_C),FALSE))</f>
        <v>0</v>
      </c>
      <c r="S66" s="113" t="str">
        <f>IF(Q66&lt;&gt;"",IF(NOT(ISNUMBER(VLOOKUP(Q66,Chem_Table,COLUMN(Mw_C),FALSE))),"",VLOOKUP(Q66,Chem_Table,COLUMN(Mw_C),FALSE)),"")</f>
        <v/>
      </c>
      <c r="T66" s="1316" t="str">
        <f>IF(Q66&lt;&gt;"",IF(NOT(ISNUMBER(VLOOKUP(Q66,Chem_Table,COLUMN(VP_A_C),FALSE))),"",VLOOKUP(Q66,Chem_Table,COLUMN(VP_A_C),FALSE)),"")</f>
        <v/>
      </c>
      <c r="U66" s="1316" t="str">
        <f>IF(Q66&lt;&gt;"",IF(NOT(ISNUMBER(VLOOKUP(Q66,Chem_Table,COLUMN(VP_B_C),FALSE))),"",VLOOKUP(Q66,Chem_Table,COLUMN(VP_B_C),FALSE)),"")</f>
        <v/>
      </c>
      <c r="V66" s="1316" t="str">
        <f>IF(Q66&lt;&gt;"",IF(NOT(ISNUMBER(VLOOKUP(Q66,Chem_Table,COLUMN(VP_C_C),FALSE))),0,VLOOKUP(Q66,Chem_Table,COLUMN(VP_C_C),FALSE)),"")</f>
        <v/>
      </c>
      <c r="W66" s="1315" t="str">
        <f>IF(Q66&lt;&gt;"",IF(NOT(ISNUMBER(VLOOKUP(Q66,Chem_Table,COLUMN(SecPhase_4_C),FALSE))),"",VLOOKUP(Q66,Chem_Table,COLUMN(SecPhase_4_C),FALSE)),"")</f>
        <v/>
      </c>
      <c r="X66" s="1322">
        <f>IF(R66&gt;0,R66/S66,0)</f>
        <v>0</v>
      </c>
      <c r="Y66" s="991">
        <f>IF(X$68&gt;0,X66/X$68,0)</f>
        <v>0</v>
      </c>
      <c r="Z66" s="1325">
        <f>IF(S66&lt;&gt;"",Y66*S66,0)</f>
        <v>0</v>
      </c>
      <c r="AA66" s="352">
        <f>IF(W66="No",1,IF(W66=W$63,1,0))*Y66</f>
        <v>0</v>
      </c>
      <c r="AB66" s="1320">
        <f>AA66-Y66</f>
        <v>0</v>
      </c>
      <c r="AC66" s="1323">
        <f>IF(Y66&gt;0,(IF(AA$68&gt;0,AA66/AA$68,0)+IF(AB$68&gt;0,AB66/AB$68,0))*EXP(T66-U66/(AC$62+273.15-V66)),0)</f>
        <v>0</v>
      </c>
      <c r="AD66" s="1332">
        <f>IF(AC65&gt;0,AC66/AC65,0)</f>
        <v>0</v>
      </c>
      <c r="AE66" s="1325">
        <f>IF(AC$68&gt;0,AC66/AC$68,0)</f>
        <v>0</v>
      </c>
      <c r="AF66" s="1335">
        <f>IF(S66&lt;&gt;"",AE66*S66,0)</f>
        <v>0</v>
      </c>
      <c r="AG66" s="1332" t="str">
        <f>IF(Y66*AE$63&gt;0,AE66*Y$63/(Y66*AE$63),"")</f>
        <v/>
      </c>
      <c r="AH66" s="1327">
        <f>IF(Y66&gt;0,(AA66+AB66)/Y66,0)</f>
        <v>0</v>
      </c>
    </row>
    <row r="67" spans="1:41" ht="13.5" hidden="1" thickBot="1" x14ac:dyDescent="0.3">
      <c r="A67" s="549"/>
      <c r="B67" s="362" t="s">
        <v>2069</v>
      </c>
      <c r="C67" s="2457" t="str">
        <f>IF(C60&lt;&gt;"",IF(NOT(ISNUMBER(VLOOKUP(C60,Chem_Table,COLUMN(VP_A_C),FALSE))),"",VLOOKUP(C60,Chem_Table,COLUMN(VP_A_C),FALSE)),"")</f>
        <v/>
      </c>
      <c r="D67" s="2186" t="str">
        <f>IF(D60&lt;&gt;"",IF(NOT(ISNUMBER(VLOOKUP(D60,Chem_Table,COLUMN(VP_A_C),FALSE))),"",VLOOKUP(D60,Chem_Table,COLUMN(VP_A_C),FALSE)),"")</f>
        <v/>
      </c>
      <c r="E67" s="2187" t="str">
        <f>IF(E60&lt;&gt;"",IF(NOT(ISNUMBER(VLOOKUP(E60,Chem_Table,COLUMN(VP_A_C),FALSE))),"",VLOOKUP(E60,Chem_Table,COLUMN(VP_A_C),FALSE)),"")</f>
        <v/>
      </c>
      <c r="F67" s="2188" t="str">
        <f>IF(F60&lt;&gt;"",IF(NOT(ISNUMBER(VLOOKUP(F60,Chem_Table,COLUMN(VP_A_C),FALSE))),"",VLOOKUP(F60,Chem_Table,COLUMN(VP_A_C),FALSE)),"")</f>
        <v/>
      </c>
      <c r="G67" s="2454" t="str">
        <f>IF(G60&lt;&gt;"",IF(NOT(ISNUMBER(VLOOKUP(G60,Chem_Table,COLUMN(VP_A_C),FALSE))),"",VLOOKUP(G60,Chem_Table,COLUMN(VP_A_C),FALSE)),"")</f>
        <v/>
      </c>
      <c r="H67" s="2461">
        <f>AH35</f>
        <v>0</v>
      </c>
      <c r="I67" s="550"/>
      <c r="J67" s="549"/>
      <c r="K67" s="549"/>
      <c r="M67" s="335" t="s">
        <v>2674</v>
      </c>
      <c r="N67" s="1696" t="str">
        <f>IF(Pad_Name&lt;&gt;0,IF(NOT(ISNUMBER(VLOOKUP(Pad_Name,Chem_Table,COLUMN(NH_C),FALSE))),"",VLOOKUP(Pad_Name,Chem_Table,COLUMN(NH_C),FALSE)),"")</f>
        <v/>
      </c>
      <c r="O67" s="1696">
        <f>IF(Heating_Media_Name&lt;&gt;0,IF(NOT(ISNUMBER(VLOOKUP(Heating_Media_Name,Chem_Table,COLUMN(NH_C),FALSE))),T86,VLOOKUP(Heating_Media_Name,Chem_Table,COLUMN(NH_C),FALSE)),T86)</f>
        <v>0</v>
      </c>
      <c r="Q67" s="1315" t="str">
        <f>IF(NOT(ISTEXT(VLOOKUP(Heating_Media_Name,Chem_Table,COLUMN(Chemical_5_C),FALSE))),"",VLOOKUP(Heating_Media_Name,Chem_Table,COLUMN(Chemical_5_C),FALSE))</f>
        <v/>
      </c>
      <c r="R67" s="1314">
        <f>IF(NOT(ISNUMBER(VLOOKUP(Heating_Media_Name,Chem_Table,COLUMN(WtFract_5_C),FALSE))),0,VLOOKUP(Heating_Media_Name,Chem_Table,COLUMN(WtFract_5_C),FALSE))</f>
        <v>0</v>
      </c>
      <c r="S67" s="113" t="str">
        <f>IF(Q67&lt;&gt;"",IF(NOT(ISNUMBER(VLOOKUP(Q67,Chem_Table,COLUMN(Mw_C),FALSE))),"",VLOOKUP(Q67,Chem_Table,COLUMN(Mw_C),FALSE)),"")</f>
        <v/>
      </c>
      <c r="T67" s="1316" t="str">
        <f>IF(Q67&lt;&gt;"",IF(NOT(ISNUMBER(VLOOKUP(Q67,Chem_Table,COLUMN(VP_A_C),FALSE))),"",VLOOKUP(Q67,Chem_Table,COLUMN(VP_A_C),FALSE)),"")</f>
        <v/>
      </c>
      <c r="U67" s="1316" t="str">
        <f>IF(Q67&lt;&gt;"",IF(NOT(ISNUMBER(VLOOKUP(Q67,Chem_Table,COLUMN(VP_B_C),FALSE))),"",VLOOKUP(Q67,Chem_Table,COLUMN(VP_B_C),FALSE)),"")</f>
        <v/>
      </c>
      <c r="V67" s="1316" t="str">
        <f>IF(Q67&lt;&gt;"",IF(NOT(ISNUMBER(VLOOKUP(Q67,Chem_Table,COLUMN(VP_C_C),FALSE))),0,VLOOKUP(Q67,Chem_Table,COLUMN(VP_C_C),FALSE)),"")</f>
        <v/>
      </c>
      <c r="W67" s="1315" t="str">
        <f>IF(Q67&lt;&gt;"",IF(NOT(ISNUMBER(VLOOKUP(Q67,Chem_Table,COLUMN(SecPhase_5_C),FALSE))),"",VLOOKUP(Q67,Chem_Table,COLUMN(SecPhase_5_C),FALSE)),"")</f>
        <v/>
      </c>
      <c r="X67" s="1322">
        <f>IF(R67&gt;0,R67/S67,0)</f>
        <v>0</v>
      </c>
      <c r="Y67" s="991">
        <f>IF(X$68&gt;0,X67/X$68,0)</f>
        <v>0</v>
      </c>
      <c r="Z67" s="1325">
        <f>IF(S67&lt;&gt;"",Y67*S67,0)</f>
        <v>0</v>
      </c>
      <c r="AA67" s="352">
        <f>IF(W67="No",1,IF(W67=W$63,1,0))*Y67</f>
        <v>0</v>
      </c>
      <c r="AB67" s="1320">
        <f>AA67-Y67</f>
        <v>0</v>
      </c>
      <c r="AC67" s="1323">
        <f>IF(Y67&gt;0,(IF(AA$68&gt;0,AA67/AA$68,0)+IF(AB$68&gt;0,AB67/AB$68,0))*EXP(T67-U67/(AC$62+273.15-V67)),0)</f>
        <v>0</v>
      </c>
      <c r="AD67" s="1332">
        <f>IF(AC66&gt;0,AC67/AC66,0)</f>
        <v>0</v>
      </c>
      <c r="AE67" s="1320">
        <f>IF(AC$68&gt;0,AC67/AC$68,0)</f>
        <v>0</v>
      </c>
      <c r="AF67" s="1335">
        <f>IF(S67&lt;&gt;"",AE67*S67,0)</f>
        <v>0</v>
      </c>
      <c r="AG67" s="1332" t="str">
        <f>IF(Y67*AE$63&gt;0,AE67*Y$63/(Y67*AE$63),"")</f>
        <v/>
      </c>
      <c r="AH67" s="1327">
        <f>IF(Y67&gt;0,(AA67+AB67)/Y67,0)</f>
        <v>0</v>
      </c>
    </row>
    <row r="68" spans="1:41" ht="12.75" hidden="1" customHeight="1" thickBot="1" x14ac:dyDescent="0.3">
      <c r="A68" s="549"/>
      <c r="B68" s="362" t="s">
        <v>2070</v>
      </c>
      <c r="C68" s="2457" t="str">
        <f>IF(C60&lt;&gt;"",IF(NOT(ISNUMBER(VLOOKUP(C60,Chem_Table,COLUMN(VP_B_C),FALSE))),"",VLOOKUP(C60,Chem_Table,COLUMN(VP_B_C),FALSE)),"")</f>
        <v/>
      </c>
      <c r="D68" s="2186" t="str">
        <f>IF(D60&lt;&gt;"",IF(NOT(ISNUMBER(VLOOKUP(D60,Chem_Table,COLUMN(VP_B_C),FALSE))),"",VLOOKUP(D60,Chem_Table,COLUMN(VP_B_C),FALSE)),"")</f>
        <v/>
      </c>
      <c r="E68" s="2187" t="str">
        <f>IF(E60&lt;&gt;"",IF(NOT(ISNUMBER(VLOOKUP(E60,Chem_Table,COLUMN(VP_B_C),FALSE))),"",VLOOKUP(E60,Chem_Table,COLUMN(VP_B_C),FALSE)),"")</f>
        <v/>
      </c>
      <c r="F68" s="2188" t="str">
        <f>IF(F60&lt;&gt;"",IF(NOT(ISNUMBER(VLOOKUP(F60,Chem_Table,COLUMN(VP_B_C),FALSE))),"",VLOOKUP(F60,Chem_Table,COLUMN(VP_B_C),FALSE)),"")</f>
        <v/>
      </c>
      <c r="G68" s="2454" t="str">
        <f>IF(G60&lt;&gt;"",IF(NOT(ISNUMBER(VLOOKUP(G60,Chem_Table,COLUMN(VP_B_C),FALSE))),"",VLOOKUP(G60,Chem_Table,COLUMN(VP_B_C),FALSE)),"")</f>
        <v/>
      </c>
      <c r="H68" s="2189">
        <f>AI35</f>
        <v>0</v>
      </c>
      <c r="I68" s="550"/>
      <c r="J68" s="549"/>
      <c r="K68" s="549"/>
      <c r="M68" s="335" t="s">
        <v>4951</v>
      </c>
      <c r="N68" s="1677">
        <f>IF(Pad_Name&lt;&gt;0,IF(NOT(ISNUMBER(VLOOKUP(Pad_Name,Chem_Table,COLUMN(NF_C),FALSE))),0,VLOOKUP(Pad_Name,Chem_Table,COLUMN(NF_C),FALSE)),0)</f>
        <v>0</v>
      </c>
      <c r="O68" s="1696">
        <f>IF(Heating_Media_Name&lt;&gt;0,IF(NOT(ISNUMBER(VLOOKUP(Heating_Media_Name,Chem_Table,COLUMN(NF_C),FALSE))),U86,VLOOKUP(Heating_Media_Name,Chem_Table,COLUMN(NF_C),FALSE)),U86)</f>
        <v>0</v>
      </c>
      <c r="R68" s="19"/>
      <c r="S68" s="19"/>
      <c r="T68" s="5"/>
      <c r="U68" s="5"/>
      <c r="V68" s="5"/>
      <c r="W68" s="335" t="s">
        <v>2087</v>
      </c>
      <c r="X68" s="1320">
        <f t="shared" ref="X68:AC68" si="9">SUM(X63:X67)</f>
        <v>0</v>
      </c>
      <c r="Y68" s="1324">
        <f t="shared" si="9"/>
        <v>0</v>
      </c>
      <c r="Z68" s="991">
        <f t="shared" si="9"/>
        <v>0</v>
      </c>
      <c r="AA68" s="1320">
        <f t="shared" si="9"/>
        <v>0</v>
      </c>
      <c r="AB68" s="1322">
        <f t="shared" si="9"/>
        <v>0</v>
      </c>
      <c r="AC68" s="991">
        <f t="shared" si="9"/>
        <v>0</v>
      </c>
      <c r="AD68" s="385"/>
      <c r="AE68" s="385"/>
      <c r="AF68" s="991">
        <f>SUM(AF63:AF67)</f>
        <v>0</v>
      </c>
    </row>
    <row r="69" spans="1:41" ht="14.25" hidden="1" customHeight="1" x14ac:dyDescent="0.25">
      <c r="A69" s="549"/>
      <c r="B69" s="362" t="s">
        <v>2071</v>
      </c>
      <c r="C69" s="2457" t="str">
        <f>IF(C60&lt;&gt;"",IF(NOT(ISNUMBER(VLOOKUP(C60,Chem_Table,COLUMN(VP_C_C),FALSE))),0,VLOOKUP(C60,Chem_Table,COLUMN(VP_C_C),FALSE)),"")</f>
        <v/>
      </c>
      <c r="D69" s="2186" t="str">
        <f>IF(D60&lt;&gt;"",IF(NOT(ISNUMBER(VLOOKUP(D60,Chem_Table,COLUMN(VP_C_C),FALSE))),0,VLOOKUP(D60,Chem_Table,COLUMN(VP_C_C),FALSE)),"")</f>
        <v/>
      </c>
      <c r="E69" s="2187" t="str">
        <f>IF(E60&lt;&gt;"",IF(NOT(ISNUMBER(VLOOKUP(E60,Chem_Table,COLUMN(VP_C_C),FALSE))),0,VLOOKUP(E60,Chem_Table,COLUMN(VP_C_C),FALSE)),"")</f>
        <v/>
      </c>
      <c r="F69" s="2188" t="str">
        <f>IF(F60&lt;&gt;"",IF(NOT(ISNUMBER(VLOOKUP(F60,Chem_Table,COLUMN(VP_C_C),FALSE))),0,VLOOKUP(F60,Chem_Table,COLUMN(VP_C_C),FALSE)),"")</f>
        <v/>
      </c>
      <c r="G69" s="2454" t="str">
        <f>IF(G60&lt;&gt;"",IF(NOT(ISNUMBER(VLOOKUP(G60,Chem_Table,COLUMN(VP_C_C),FALSE))),0,VLOOKUP(G60,Chem_Table,COLUMN(VP_C_C),FALSE)),"")</f>
        <v/>
      </c>
      <c r="H69" s="2189">
        <f>AJ35</f>
        <v>0</v>
      </c>
      <c r="I69" s="550"/>
      <c r="J69" s="549"/>
      <c r="K69" s="549"/>
      <c r="M69" s="335" t="s">
        <v>2675</v>
      </c>
      <c r="N69" s="1696" t="str">
        <f>IF(Pad_Name&lt;&gt;0,IF(NOT(ISNUMBER(VLOOKUP(Pad_Name,Chem_Table,COLUMN(NR_C),FALSE))),"",VLOOKUP(Pad_Name,Chem_Table,COLUMN(NR_C),FALSE)),"")</f>
        <v/>
      </c>
      <c r="O69" s="1696" t="str">
        <f>IF(Heating_Media_Name&lt;&gt;0,IF(NOT(ISNUMBER(VLOOKUP(Heating_Media_Name,Chem_Table,COLUMN(NR_C),FALSE))),V86,VLOOKUP(Heating_Media_Name,Chem_Table,COLUMN(NR_C),FALSE)),"")</f>
        <v/>
      </c>
      <c r="R69" s="19"/>
      <c r="S69" s="19"/>
      <c r="T69" s="19"/>
      <c r="U69" s="5"/>
      <c r="V69" s="5"/>
      <c r="W69" s="5"/>
      <c r="X69" s="335"/>
      <c r="Y69" s="385"/>
      <c r="Z69" s="385"/>
      <c r="AA69" s="385"/>
      <c r="AB69" s="385"/>
      <c r="AC69" s="385"/>
      <c r="AD69" s="385"/>
      <c r="AE69" s="385"/>
      <c r="AF69" s="385"/>
      <c r="AG69" s="385"/>
      <c r="AK69" s="3503" t="s">
        <v>3411</v>
      </c>
      <c r="AL69" s="3503" t="s">
        <v>3416</v>
      </c>
      <c r="AM69" s="3503" t="s">
        <v>3417</v>
      </c>
      <c r="AN69" s="3503" t="s">
        <v>3418</v>
      </c>
      <c r="AO69" s="3503" t="s">
        <v>3419</v>
      </c>
    </row>
    <row r="70" spans="1:41" ht="12.75" hidden="1" customHeight="1" x14ac:dyDescent="0.25">
      <c r="A70" s="549"/>
      <c r="B70" s="362" t="s">
        <v>2072</v>
      </c>
      <c r="C70" s="1333" t="str">
        <f>IF(C60&lt;&gt;"",IF(NOT(ISNUMBER(VLOOKUP(C60,Chem_Table,COLUMN(LD_A_C),FALSE))),"",VLOOKUP(C60,Chem_Table,COLUMN(LD_A_C),FALSE)),"")</f>
        <v/>
      </c>
      <c r="D70" s="2187" t="str">
        <f>IF(D60&lt;&gt;"",IF(NOT(ISNUMBER(VLOOKUP(D60,Chem_Table,COLUMN(LD_A_C),FALSE))),"",VLOOKUP(D60,Chem_Table,COLUMN(LD_A_C),FALSE)),"")</f>
        <v/>
      </c>
      <c r="E70" s="2187" t="str">
        <f>IF(E60&lt;&gt;"",IF(NOT(ISNUMBER(VLOOKUP(E60,Chem_Table,COLUMN(LD_A_C),FALSE))),"",VLOOKUP(E60,Chem_Table,COLUMN(LD_A_C),FALSE)),"")</f>
        <v/>
      </c>
      <c r="F70" s="2188" t="str">
        <f>IF(F60&lt;&gt;"",IF(NOT(ISNUMBER(VLOOKUP(F60,Chem_Table,COLUMN(LD_A_C),FALSE))),"",VLOOKUP(F60,Chem_Table,COLUMN(LD_A_C),FALSE)),"")</f>
        <v/>
      </c>
      <c r="G70" s="2454" t="str">
        <f>IF(G60&lt;&gt;"",IF(NOT(ISNUMBER(VLOOKUP(G60,Chem_Table,COLUMN(LD_A_C),FALSE))),"",VLOOKUP(G60,Chem_Table,COLUMN(LD_A_C),FALSE)),"")</f>
        <v/>
      </c>
      <c r="H70" s="2192">
        <f>IF(Chemical="",0,IF(AND(D60="",E60="",F60="",G60=""),C70,W39))</f>
        <v>0</v>
      </c>
      <c r="I70" s="2472"/>
      <c r="J70" s="549"/>
      <c r="K70" s="549"/>
      <c r="M70" s="1665" t="s">
        <v>3474</v>
      </c>
      <c r="N70" s="1696" t="str">
        <f>IF(Pad_Name&lt;&gt;0,IF(NOT(ISNUMBER(VLOOKUP(Pad_Name,Chem_Table,COLUMN(FP_C),FALSE))),"",VLOOKUP(Pad_Name,Chem_Table,COLUMN(FP_C),FALSE)),"")</f>
        <v/>
      </c>
      <c r="O70" s="1696" t="str">
        <f>IF(Heating_Media_Name&lt;&gt;0,IF(NOT(ISNUMBER(VLOOKUP(Heating_Media_Name,Chem_Table,COLUMN(FP_C),FALSE))),U88,VLOOKUP(Heating_Media_Name,Chem_Table,COLUMN(FP_C),FALSE)),"")</f>
        <v/>
      </c>
      <c r="Q70" s="3534" t="s">
        <v>2111</v>
      </c>
      <c r="R70" s="3534" t="s">
        <v>1408</v>
      </c>
      <c r="S70" s="3534" t="s">
        <v>1409</v>
      </c>
      <c r="T70" s="3503" t="s">
        <v>3546</v>
      </c>
      <c r="U70" s="3503" t="s">
        <v>3547</v>
      </c>
      <c r="V70" s="3503" t="s">
        <v>3548</v>
      </c>
      <c r="W70" s="3534" t="s">
        <v>1531</v>
      </c>
      <c r="X70" s="5"/>
      <c r="Y70" s="3515" t="s">
        <v>4506</v>
      </c>
      <c r="Z70" s="3515" t="s">
        <v>4507</v>
      </c>
      <c r="AA70" s="3515" t="s">
        <v>2126</v>
      </c>
      <c r="AI70" s="5" t="s">
        <v>3175</v>
      </c>
      <c r="AJ70" s="1344" t="s">
        <v>3176</v>
      </c>
      <c r="AK70" s="3503"/>
      <c r="AL70" s="3503"/>
      <c r="AM70" s="3503"/>
      <c r="AN70" s="3503"/>
      <c r="AO70" s="3503"/>
    </row>
    <row r="71" spans="1:41" ht="12.75" hidden="1" customHeight="1" x14ac:dyDescent="0.25">
      <c r="A71" s="549"/>
      <c r="B71" s="362" t="s">
        <v>2073</v>
      </c>
      <c r="C71" s="2457" t="str">
        <f>IF(C60&lt;&gt;"",IF(NOT(ISNUMBER(VLOOKUP(C60,Chem_Table,COLUMN(LD_B_C),FALSE))),0,VLOOKUP(C60,Chem_Table,COLUMN(LD_B_C),FALSE)),"")</f>
        <v/>
      </c>
      <c r="D71" s="2187" t="str">
        <f>IF(D60&lt;&gt;"",IF(NOT(ISNUMBER(VLOOKUP(D60,Chem_Table,COLUMN(LD_B_C),FALSE))),0,VLOOKUP(D60,Chem_Table,COLUMN(LD_B_C),FALSE)),"")</f>
        <v/>
      </c>
      <c r="E71" s="2187" t="str">
        <f>IF(E60&lt;&gt;"",IF(NOT(ISNUMBER(VLOOKUP(E60,Chem_Table,COLUMN(LD_B_C),FALSE))),0,VLOOKUP(E60,Chem_Table,COLUMN(LD_B_C),FALSE)),"")</f>
        <v/>
      </c>
      <c r="F71" s="2188" t="str">
        <f>IF(F60&lt;&gt;"",IF(NOT(ISNUMBER(VLOOKUP(F60,Chem_Table,COLUMN(LD_B_C),FALSE))),0,VLOOKUP(F60,Chem_Table,COLUMN(LD_B_C),FALSE)),"")</f>
        <v/>
      </c>
      <c r="G71" s="2454" t="str">
        <f>IF(G60&lt;&gt;"",IF(NOT(ISNUMBER(VLOOKUP(G60,Chem_Table,COLUMN(LD_B_C),FALSE))),0,VLOOKUP(G60,Chem_Table,COLUMN(LD_B_C),FALSE)),"")</f>
        <v/>
      </c>
      <c r="H71" s="2193">
        <f>IF(Chemical="",0,IF(AND(D60="",E60="",F60="",G60=""),C71,W40))</f>
        <v>0</v>
      </c>
      <c r="I71" s="2472"/>
      <c r="J71" s="549"/>
      <c r="K71" s="549"/>
      <c r="M71" s="335" t="s">
        <v>2676</v>
      </c>
      <c r="N71" s="1696" t="str">
        <f>IF(Pad_Name&lt;&gt;0,IF(NOT(ISNUMBER(VLOOKUP(Pad_Name,Chem_Table,COLUMN(ERPG3_C),FALSE))),"",VLOOKUP(Pad_Name,Chem_Table,COLUMN(ERPG3_C),FALSE)),"")</f>
        <v/>
      </c>
      <c r="O71" s="1696" t="str">
        <f>IF(Heating_Media_Name&lt;&gt;0,IF(NOT(ISNUMBER(VLOOKUP(Heating_Media_Name,Chem_Table,COLUMN(ERPG3_C),FALSE))),HT_ER3,VLOOKUP(Heating_Media_Name,Chem_Table,COLUMN(ERPG3_C),FALSE)),HT_ER3)</f>
        <v/>
      </c>
      <c r="Q71" s="3535"/>
      <c r="R71" s="3577"/>
      <c r="S71" s="3577"/>
      <c r="T71" s="3503"/>
      <c r="U71" s="3503"/>
      <c r="V71" s="3503"/>
      <c r="W71" s="3577"/>
      <c r="X71" s="5" t="s">
        <v>3173</v>
      </c>
      <c r="Y71" s="3518"/>
      <c r="Z71" s="3518"/>
      <c r="AA71" s="3518"/>
      <c r="AB71" s="5" t="s">
        <v>3166</v>
      </c>
      <c r="AC71" s="5" t="s">
        <v>3167</v>
      </c>
      <c r="AD71" s="5" t="s">
        <v>3168</v>
      </c>
      <c r="AE71" s="5" t="s">
        <v>3169</v>
      </c>
      <c r="AF71" s="5" t="s">
        <v>3170</v>
      </c>
      <c r="AG71" s="5" t="s">
        <v>3171</v>
      </c>
      <c r="AH71" s="5" t="s">
        <v>3172</v>
      </c>
      <c r="AI71" s="1316" t="str">
        <f>IF(Q63&lt;&gt;"",IF(NOT(ISNUMBER(VLOOKUP(Q63,Chem_Table,COLUMN(NF_C),FALSE))),"",VLOOKUP(Q63,Chem_Table,COLUMN(NF_C),FALSE)),"")</f>
        <v/>
      </c>
      <c r="AJ71" s="1316">
        <f>IF(AND(X72&lt;&gt;"",AI71&gt;0),R63,0)</f>
        <v>0</v>
      </c>
      <c r="AK71" s="2107">
        <f>IF(T72&lt;&gt;"",T72,2)</f>
        <v>2</v>
      </c>
      <c r="AL71" s="1618">
        <f>IF(S72="",0,IF(U72="",LC1_Ratio*S72,(EXP((2.67-U72)/V72)/60)^(1/T72)))</f>
        <v>0</v>
      </c>
      <c r="AM71" s="1618">
        <f>IF(S72="",0,IF(U72="",LC50_Ratio*S72,(EXP((5-U72)/V72)/60)^(1/T72)))</f>
        <v>0</v>
      </c>
      <c r="AN71" s="1609">
        <f>IF(AL71&lt;&gt;0,AE63/AL71,0)</f>
        <v>0</v>
      </c>
      <c r="AO71" s="1609">
        <f>IF(AM71&lt;&gt;0,AE63/AM71,0)</f>
        <v>0</v>
      </c>
    </row>
    <row r="72" spans="1:41" hidden="1" x14ac:dyDescent="0.25">
      <c r="A72" s="549"/>
      <c r="B72" s="362" t="s">
        <v>1816</v>
      </c>
      <c r="C72" s="2457" t="str">
        <f>IF(C60&lt;&gt;"",IF(NOT(ISNUMBER(VLOOKUP(C60,Chem_Table,COLUMN(LCP_A_C),FALSE))),"",VLOOKUP(C60,Chem_Table,COLUMN(LCP_A_C),FALSE)),"")</f>
        <v/>
      </c>
      <c r="D72" s="2187" t="str">
        <f>IF(D60&lt;&gt;"",IF(NOT(ISNUMBER(VLOOKUP(D60,Chem_Table,COLUMN(LCP_A_C),FALSE))),"",VLOOKUP(D60,Chem_Table,COLUMN(LCP_A_C),FALSE)),"")</f>
        <v/>
      </c>
      <c r="E72" s="2187" t="str">
        <f>IF(E60&lt;&gt;"",IF(NOT(ISNUMBER(VLOOKUP(E60,Chem_Table,COLUMN(LCP_A_C),FALSE))),"",VLOOKUP(E60,Chem_Table,COLUMN(LCP_A_C),FALSE)),"")</f>
        <v/>
      </c>
      <c r="F72" s="2188" t="str">
        <f>IF(F60&lt;&gt;"",IF(NOT(ISNUMBER(VLOOKUP(F60,Chem_Table,COLUMN(LCP_A_C),FALSE))),"",VLOOKUP(F60,Chem_Table,COLUMN(LCP_A_C),FALSE)),"")</f>
        <v/>
      </c>
      <c r="G72" s="2454" t="str">
        <f>IF(G60&lt;&gt;"",IF(NOT(ISNUMBER(VLOOKUP(G60,Chem_Table,COLUMN(LCP_A_C),FALSE))),"",VLOOKUP(G60,Chem_Table,COLUMN(LCP_A_C),FALSE)),"")</f>
        <v/>
      </c>
      <c r="H72" s="2192">
        <f>IF(Chemical="",0,IF(AND(D60="",E60="",F60="",G60=""),C72,Y39))</f>
        <v>0</v>
      </c>
      <c r="I72" s="2473"/>
      <c r="J72" s="549"/>
      <c r="K72" s="549"/>
      <c r="M72" s="72" t="s">
        <v>3408</v>
      </c>
      <c r="N72" s="1696" t="str">
        <f>IF(Pad_Name&lt;&gt;"",IF(NOT(ISNUMBER(VLOOKUP(Pad_Name,Chem_Table,COLUMN(ProbitA_C),FALSE))),"",VLOOKUP(Pad_Name,Chem_Table,COLUMN(ProbitA_C),FALSE)),"")</f>
        <v/>
      </c>
      <c r="O72" s="1696"/>
      <c r="Q72" s="1315" t="str">
        <f>Q63</f>
        <v/>
      </c>
      <c r="R72" s="1314" t="str">
        <f>IF(Q63&lt;&gt;"",IF(NOT(ISNUMBER(VLOOKUP(Q63,Chem_Table,COLUMN(ERPG2_C),FALSE))),"",VLOOKUP(Q63,Chem_Table,COLUMN(ERPG2_C),FALSE)),"")</f>
        <v/>
      </c>
      <c r="S72" s="1314" t="str">
        <f>IF(Q63&lt;&gt;"",IF(NOT(ISNUMBER(VLOOKUP(Q63,Chem_Table,COLUMN(ERPG3_C),FALSE))),"",VLOOKUP(Q63,Chem_Table,COLUMN(ERPG3_C),FALSE)),"")</f>
        <v/>
      </c>
      <c r="T72" s="1677" t="str">
        <f>IF(Q63&lt;&gt;"",IF(NOT(ISNUMBER(VLOOKUP(Q63,Chem_Table,COLUMN(ProbitA_C),FALSE))),"",VLOOKUP(Q63,Chem_Table,COLUMN(ProbitA_C),FALSE)),"")</f>
        <v/>
      </c>
      <c r="U72" s="1677" t="str">
        <f>IF(Q63&lt;&gt;"",IF(NOT(ISNUMBER(VLOOKUP(Q63,Chem_Table,COLUMN(ProbitA_C),FALSE))),"",VLOOKUP(Q63,Chem_Table,COLUMN(ProbitA_C),FALSE)),"")</f>
        <v/>
      </c>
      <c r="V72" s="1677" t="str">
        <f>IF(Q63&lt;&gt;"",IF(NOT(ISNUMBER(VLOOKUP(Q63,Chem_Table,COLUMN(ProbitB_C),FALSE))),"",VLOOKUP(Q63,Chem_Table,COLUMN(ProbitB_C),FALSE)),"")</f>
        <v/>
      </c>
      <c r="W72" s="1316" t="str">
        <f>IF(Q63&lt;&gt;"",IF(NOT(ISNUMBER(VLOOKUP(Q63,Chem_Table,COLUMN(LFL_C),FALSE))),"",VLOOKUP(Q63,Chem_Table,COLUMN(LFL_C),FALSE)),"")</f>
        <v/>
      </c>
      <c r="X72" s="1316" t="str">
        <f>IF(Q63&lt;&gt;"",IF(NOT(ISNUMBER(VLOOKUP(Q63,Chem_Table,COLUMN(FP_C),FALSE))),"",VLOOKUP(Q63,Chem_Table,COLUMN(FP_C),FALSE)),"")</f>
        <v/>
      </c>
      <c r="Y72" s="1320">
        <f t="shared" ref="Y72:Z76" si="10">IF(R72&lt;&gt;"",$AE63/R72,0)</f>
        <v>0</v>
      </c>
      <c r="Z72" s="1320">
        <f t="shared" si="10"/>
        <v>0</v>
      </c>
      <c r="AA72" s="1322">
        <f>IF(W72&lt;&gt;"",$AE63/W72,0)</f>
        <v>0</v>
      </c>
      <c r="AB72" s="1321">
        <f>IF(Q63&lt;&gt;"",IF(NOT(ISNUMBER(VLOOKUP(Q63,Chem_Table,COLUMN(LD_A_C),FALSE))),0,VLOOKUP(Q63,Chem_Table,COLUMN(LD_A_C),FALSE)),0)*R63</f>
        <v>0</v>
      </c>
      <c r="AC72" s="1340">
        <f>IF(Q63&lt;&gt;"",IF(NOT(ISNUMBER(VLOOKUP(Q63,Chem_Table,COLUMN(LD_B_C),FALSE))),0,VLOOKUP(Q63,Chem_Table,COLUMN(LD_B_C),FALSE)),0)*R63</f>
        <v>0</v>
      </c>
      <c r="AD72" s="1321">
        <f>IF(Q63&lt;&gt;"",IF(NOT(ISNUMBER(VLOOKUP(Q63,Chem_Table,COLUMN(LCP_A_C),FALSE))),0,VLOOKUP(Q63,Chem_Table,COLUMN(LCP_A_C),FALSE)),0)*R63</f>
        <v>0</v>
      </c>
      <c r="AE72" s="1340">
        <f>IF(Q63&lt;&gt;"",IF(NOT(ISNUMBER(VLOOKUP(Q63,Chem_Table,COLUMN(LCP_B_C),FALSE))),0,VLOOKUP(Q63,Chem_Table,COLUMN(LCP_B_C),FALSE)),0)*R63</f>
        <v>0</v>
      </c>
      <c r="AF72" s="1342">
        <f>IF(Q63&lt;&gt;"",IF(NOT(ISNUMBER(VLOOKUP(Q63,Chem_Table,COLUMN(HV_A_C),FALSE))),0,VLOOKUP(Q63,Chem_Table,COLUMN(HV_A_C),FALSE)),0)*IF(AF$68&gt;0,AF63/AF$68,0)</f>
        <v>0</v>
      </c>
      <c r="AG72" s="1321">
        <f>IF(Q63&lt;&gt;"",IF(NOT(ISNUMBER(VLOOKUP(Q63,Chem_Table,COLUMN(HV_B_C),FALSE))),0,VLOOKUP(Q63,Chem_Table,COLUMN(HV_B_C),FALSE)),0)*IF(AF$68&gt;0,AF63/AF$68,0)</f>
        <v>0</v>
      </c>
      <c r="AH72" s="1340">
        <f>IF(Q63&lt;&gt;"",IF(NOT(ISNUMBER(VLOOKUP(Q63,Chem_Table,COLUMN(HV_C_C),FALSE))),0,VLOOKUP(Q63,Chem_Table,COLUMN(HV_C_C),FALSE)),0)*IF(AF$68&gt;0,AF63/AF$68,0)</f>
        <v>0</v>
      </c>
      <c r="AI72" s="1316" t="str">
        <f>IF(Q64&lt;&gt;"",IF(NOT(ISNUMBER(VLOOKUP(Q64,Chem_Table,COLUMN(NF_C),FALSE))),"",VLOOKUP(Q64,Chem_Table,COLUMN(NF_C),FALSE)),"")</f>
        <v/>
      </c>
      <c r="AJ72" s="1316">
        <f>IF(AND(X73&lt;&gt;"",AI72&gt;0),R64,0)</f>
        <v>0</v>
      </c>
      <c r="AK72" s="2107">
        <f>IF(T73&lt;&gt;"",T73,2)</f>
        <v>2</v>
      </c>
      <c r="AL72" s="1618">
        <f>IF(S73="",0,IF(U73="",LC1_Ratio*S73,(EXP((2.67-U73)/V73)/60)^(1/T73)))</f>
        <v>0</v>
      </c>
      <c r="AM72" s="1618">
        <f>IF(S73="",0,IF(U73="",LC50_Ratio*S73,(EXP((5-U73)/V73)/60)^(1/T73)))</f>
        <v>0</v>
      </c>
      <c r="AN72" s="1609">
        <f>IF(AL72&lt;&gt;0,AE64/AL72,0)</f>
        <v>0</v>
      </c>
      <c r="AO72" s="1609">
        <f>IF(AM72&lt;&gt;0,AE64/AM72,0)</f>
        <v>0</v>
      </c>
    </row>
    <row r="73" spans="1:41" hidden="1" x14ac:dyDescent="0.25">
      <c r="A73" s="549"/>
      <c r="B73" s="362" t="s">
        <v>1032</v>
      </c>
      <c r="C73" s="2457" t="str">
        <f>IF(C60&lt;&gt;"",IF(NOT(ISNUMBER(VLOOKUP(C60,Chem_Table,COLUMN(LCP_B_C),FALSE))),0,VLOOKUP(C60,Chem_Table,COLUMN(LCP_B_C),FALSE)),"")</f>
        <v/>
      </c>
      <c r="D73" s="2187" t="str">
        <f>IF(D60&lt;&gt;"",IF(NOT(ISNUMBER(VLOOKUP(D60,Chem_Table,COLUMN(LCP_B_C),FALSE))),0,VLOOKUP(D60,Chem_Table,COLUMN(LCP_B_C),FALSE)),"")</f>
        <v/>
      </c>
      <c r="E73" s="2187" t="str">
        <f>IF(E60&lt;&gt;"",IF(NOT(ISNUMBER(VLOOKUP(E60,Chem_Table,COLUMN(LCP_B_C),FALSE))),0,VLOOKUP(E60,Chem_Table,COLUMN(LCP_B_C),FALSE)),"")</f>
        <v/>
      </c>
      <c r="F73" s="2188" t="str">
        <f>IF(F60&lt;&gt;"",IF(NOT(ISNUMBER(VLOOKUP(F60,Chem_Table,COLUMN(LCP_B_C),FALSE))),0,VLOOKUP(F60,Chem_Table,COLUMN(LCP_B_C),FALSE)),"")</f>
        <v/>
      </c>
      <c r="G73" s="2454" t="str">
        <f>IF(G60&lt;&gt;"",IF(NOT(ISNUMBER(VLOOKUP(G60,Chem_Table,COLUMN(LCP_B_C),FALSE))),0,VLOOKUP(G60,Chem_Table,COLUMN(LCP_B_C),FALSE)),"")</f>
        <v/>
      </c>
      <c r="H73" s="2193">
        <f>IF(Chemical="",0,IF(AND(D60="",E60="",F60="",G60=""),C73,Y40))</f>
        <v>0</v>
      </c>
      <c r="I73" s="2473"/>
      <c r="J73" s="549"/>
      <c r="K73" s="549"/>
      <c r="M73" s="72" t="s">
        <v>3410</v>
      </c>
      <c r="N73" s="1696" t="str">
        <f>IF(Pad_Name&lt;&gt;"",IF(NOT(ISNUMBER(VLOOKUP(Pad_Name,Chem_Table,COLUMN(ProbitB_C),FALSE))),"",VLOOKUP(Pad_Name,Chem_Table,COLUMN(ProbitB_C),FALSE)),"")</f>
        <v/>
      </c>
      <c r="O73" s="1696"/>
      <c r="Q73" s="1315" t="str">
        <f>Q64</f>
        <v/>
      </c>
      <c r="R73" s="1314" t="str">
        <f>IF(Q64&lt;&gt;"",IF(NOT(ISNUMBER(VLOOKUP(Q64,Chem_Table,COLUMN(ERPG2_C),FALSE))),"",VLOOKUP(Q64,Chem_Table,COLUMN(ERPG2_C),FALSE)),"")</f>
        <v/>
      </c>
      <c r="S73" s="1314" t="str">
        <f>IF(Q64&lt;&gt;"",IF(NOT(ISNUMBER(VLOOKUP(Q64,Chem_Table,COLUMN(ERPG3_C),FALSE))),"",VLOOKUP(Q64,Chem_Table,COLUMN(ERPG3_C),FALSE)),"")</f>
        <v/>
      </c>
      <c r="T73" s="1677" t="str">
        <f>IF(Q64&lt;&gt;"",IF(NOT(ISNUMBER(VLOOKUP(Q64,Chem_Table,COLUMN(ProbitA_C),FALSE))),"",VLOOKUP(Q64,Chem_Table,COLUMN(ProbitA_C),FALSE)),"")</f>
        <v/>
      </c>
      <c r="U73" s="1677" t="str">
        <f>IF(Q64&lt;&gt;"",IF(NOT(ISNUMBER(VLOOKUP(Q64,Chem_Table,COLUMN(ProbitA_C),FALSE))),"",VLOOKUP(Q64,Chem_Table,COLUMN(ProbitA_C),FALSE)),"")</f>
        <v/>
      </c>
      <c r="V73" s="1677" t="str">
        <f>IF(Q64&lt;&gt;"",IF(NOT(ISNUMBER(VLOOKUP(Q64,Chem_Table,COLUMN(ProbitB_C),FALSE))),"",VLOOKUP(Q64,Chem_Table,COLUMN(ProbitB_C),FALSE)),"")</f>
        <v/>
      </c>
      <c r="W73" s="1316" t="str">
        <f>IF(Q64&lt;&gt;"",IF(NOT(ISNUMBER(VLOOKUP(Q64,Chem_Table,COLUMN(LFL_C),FALSE))),"",VLOOKUP(Q64,Chem_Table,COLUMN(LFL_C),FALSE)),"")</f>
        <v/>
      </c>
      <c r="X73" s="1316" t="str">
        <f>IF(Q64&lt;&gt;"",IF(NOT(ISNUMBER(VLOOKUP(Q64,Chem_Table,COLUMN(FP_C),FALSE))),"",VLOOKUP(Q64,Chem_Table,COLUMN(FP_C),FALSE)),"")</f>
        <v/>
      </c>
      <c r="Y73" s="1320">
        <f t="shared" si="10"/>
        <v>0</v>
      </c>
      <c r="Z73" s="1320">
        <f t="shared" si="10"/>
        <v>0</v>
      </c>
      <c r="AA73" s="1322">
        <f>IF(W73&lt;&gt;"",$AE64/W73,0)</f>
        <v>0</v>
      </c>
      <c r="AB73" s="1321">
        <f>IF(Q64&lt;&gt;"",IF(NOT(ISNUMBER(VLOOKUP(Q64,Chem_Table,COLUMN(LD_A_C),FALSE))),0,VLOOKUP(Q64,Chem_Table,COLUMN(LD_A_C),FALSE)),0)*R64</f>
        <v>0</v>
      </c>
      <c r="AC73" s="1340">
        <f>IF(Q64&lt;&gt;"",IF(NOT(ISNUMBER(VLOOKUP(Q64,Chem_Table,COLUMN(LD_B_C),FALSE))),0,VLOOKUP(Q64,Chem_Table,COLUMN(LD_B_C),FALSE)),0)*R64</f>
        <v>0</v>
      </c>
      <c r="AD73" s="1321">
        <f>IF(Q64&lt;&gt;"",IF(NOT(ISNUMBER(VLOOKUP(Q64,Chem_Table,COLUMN(LCP_A_C),FALSE))),0,VLOOKUP(Q64,Chem_Table,COLUMN(LCP_A_C),FALSE)),0)*R64</f>
        <v>0</v>
      </c>
      <c r="AE73" s="1340">
        <f>IF(Q64&lt;&gt;"",IF(NOT(ISNUMBER(VLOOKUP(Q64,Chem_Table,COLUMN(LCP_B_C),FALSE))),0,VLOOKUP(Q64,Chem_Table,COLUMN(LCP_B_C),FALSE)),0)*R64</f>
        <v>0</v>
      </c>
      <c r="AF73" s="1342">
        <f>IF(Q64&lt;&gt;"",IF(NOT(ISNUMBER(VLOOKUP(Q64,Chem_Table,COLUMN(HV_A_C),FALSE))),0,VLOOKUP(Q64,Chem_Table,COLUMN(HV_A_C),FALSE)),0)*IF(AF$68&gt;0,AF64/AF$68,0)</f>
        <v>0</v>
      </c>
      <c r="AG73" s="1321">
        <f>IF(Q64&lt;&gt;"",IF(NOT(ISNUMBER(VLOOKUP(Q64,Chem_Table,COLUMN(HV_B_C),FALSE))),0,VLOOKUP(Q64,Chem_Table,COLUMN(HV_B_C),FALSE)),0)*IF(AF$68&gt;0,AF64/AF$68,0)</f>
        <v>0</v>
      </c>
      <c r="AH73" s="1340">
        <f>IF(Q64&lt;&gt;"",IF(NOT(ISNUMBER(VLOOKUP(Q64,Chem_Table,COLUMN(HV_C_C),FALSE))),0,VLOOKUP(Q64,Chem_Table,COLUMN(HV_C_C),FALSE)),0)*IF(AF$68&gt;0,AF64/AF$68,0)</f>
        <v>0</v>
      </c>
      <c r="AI73" s="1316" t="str">
        <f>IF(Q65&lt;&gt;"",IF(NOT(ISNUMBER(VLOOKUP(Q65,Chem_Table,COLUMN(NF_C),FALSE))),"",VLOOKUP(Q65,Chem_Table,COLUMN(NF_C),FALSE)),"")</f>
        <v/>
      </c>
      <c r="AJ73" s="1316">
        <f>IF(AND(X74&lt;&gt;"",AI73&gt;0),R65,0)</f>
        <v>0</v>
      </c>
      <c r="AK73" s="2107">
        <f>IF(T74&lt;&gt;"",T74,2)</f>
        <v>2</v>
      </c>
      <c r="AL73" s="1618">
        <f>IF(S74="",0,IF(U74="",LC1_Ratio*S74,(EXP((2.67-U74)/V74)/60)^(1/T74)))</f>
        <v>0</v>
      </c>
      <c r="AM73" s="1618">
        <f>IF(S74="",0,IF(U74="",LC50_Ratio*S74,(EXP((5-U74)/V74)/60)^(1/T74)))</f>
        <v>0</v>
      </c>
      <c r="AN73" s="1609">
        <f>IF(AL73&lt;&gt;0,AE65/AL73,0)</f>
        <v>0</v>
      </c>
      <c r="AO73" s="1609">
        <f>IF(AM73&lt;&gt;0,AE65/AM73,0)</f>
        <v>0</v>
      </c>
    </row>
    <row r="74" spans="1:41" hidden="1" x14ac:dyDescent="0.25">
      <c r="A74" s="549"/>
      <c r="B74" s="362" t="s">
        <v>1033</v>
      </c>
      <c r="C74" s="2457" t="str">
        <f>IF(C60&lt;&gt;"",IF(NOT(ISNUMBER(VLOOKUP(C60,Chem_Table,COLUMN(HV_A_C),FALSE))),"",VLOOKUP(C60,Chem_Table,COLUMN(HV_A_C),FALSE)),"")</f>
        <v/>
      </c>
      <c r="D74" s="2187" t="str">
        <f>IF(D60&lt;&gt;"",IF(NOT(ISNUMBER(VLOOKUP(D60,Chem_Table,COLUMN(HV_A_C),FALSE))),"",VLOOKUP(D60,Chem_Table,COLUMN(HV_A_C),FALSE)),"")</f>
        <v/>
      </c>
      <c r="E74" s="2187" t="str">
        <f>IF(E60&lt;&gt;"",IF(NOT(ISNUMBER(VLOOKUP(E60,Chem_Table,COLUMN(HV_A_C),FALSE))),"",VLOOKUP(E60,Chem_Table,COLUMN(HV_A_C),FALSE)),"")</f>
        <v/>
      </c>
      <c r="F74" s="2188" t="str">
        <f>IF(F60&lt;&gt;"",IF(NOT(ISNUMBER(VLOOKUP(F60,Chem_Table,COLUMN(HV_A_C),FALSE))),"",VLOOKUP(F60,Chem_Table,COLUMN(HV_A_C),FALSE)),"")</f>
        <v/>
      </c>
      <c r="G74" s="2454" t="str">
        <f>IF(G60&lt;&gt;"",IF(NOT(ISNUMBER(VLOOKUP(G60,Chem_Table,COLUMN(HV_A_C),FALSE))),"",VLOOKUP(G60,Chem_Table,COLUMN(HV_A_C),FALSE)),"")</f>
        <v/>
      </c>
      <c r="H74" s="2189">
        <f>IF(Chemical="",0,IF(AND(D60="",E60="",F60="",G60=""),C74,AA39))</f>
        <v>0</v>
      </c>
      <c r="I74" s="2472"/>
      <c r="J74" s="549"/>
      <c r="K74" s="549"/>
      <c r="M74" s="72" t="s">
        <v>3551</v>
      </c>
      <c r="N74" s="1696" t="str">
        <f>IF(Pad_Name&lt;&gt;"",IF(NOT(ISNUMBER(VLOOKUP(Pad_Name,Chem_Table,COLUMN(Probitn_C),FALSE))),"",VLOOKUP(Pad_Name,Chem_Table,COLUMN(Probitn_C),FALSE)),"")</f>
        <v/>
      </c>
      <c r="O74" s="1696"/>
      <c r="Q74" s="1315" t="str">
        <f>Q65</f>
        <v/>
      </c>
      <c r="R74" s="1314" t="str">
        <f>IF(Q65&lt;&gt;"",IF(NOT(ISNUMBER(VLOOKUP(Q65,Chem_Table,COLUMN(ERPG2_C),FALSE))),"",VLOOKUP(Q65,Chem_Table,COLUMN(ERPG2_C),FALSE)),"")</f>
        <v/>
      </c>
      <c r="S74" s="1314" t="str">
        <f>IF(Q65&lt;&gt;"",IF(NOT(ISNUMBER(VLOOKUP(Q65,Chem_Table,COLUMN(ERPG3_C),FALSE))),"",VLOOKUP(Q65,Chem_Table,COLUMN(ERPG3_C),FALSE)),"")</f>
        <v/>
      </c>
      <c r="T74" s="1677" t="str">
        <f>IF(Q65&lt;&gt;"",IF(NOT(ISNUMBER(VLOOKUP(Q65,Chem_Table,COLUMN(ProbitA_C),FALSE))),"",VLOOKUP(Q65,Chem_Table,COLUMN(ProbitA_C),FALSE)),"")</f>
        <v/>
      </c>
      <c r="U74" s="1677" t="str">
        <f>IF(Q65&lt;&gt;"",IF(NOT(ISNUMBER(VLOOKUP(Q65,Chem_Table,COLUMN(ProbitA_C),FALSE))),"",VLOOKUP(Q65,Chem_Table,COLUMN(ProbitA_C),FALSE)),"")</f>
        <v/>
      </c>
      <c r="V74" s="1677" t="str">
        <f>IF(Q65&lt;&gt;"",IF(NOT(ISNUMBER(VLOOKUP(Q65,Chem_Table,COLUMN(ProbitB_C),FALSE))),"",VLOOKUP(Q65,Chem_Table,COLUMN(ProbitB_C),FALSE)),"")</f>
        <v/>
      </c>
      <c r="W74" s="1316" t="str">
        <f>IF(Q65&lt;&gt;"",IF(NOT(ISNUMBER(VLOOKUP(Q65,Chem_Table,COLUMN(LFL_C),FALSE))),"",VLOOKUP(Q65,Chem_Table,COLUMN(LFL_C),FALSE)),"")</f>
        <v/>
      </c>
      <c r="X74" s="1316" t="str">
        <f>IF(Q65&lt;&gt;"",IF(NOT(ISNUMBER(VLOOKUP(Q65,Chem_Table,COLUMN(FP_C),FALSE))),"",VLOOKUP(Q65,Chem_Table,COLUMN(FP_C),FALSE)),"")</f>
        <v/>
      </c>
      <c r="Y74" s="1320">
        <f t="shared" si="10"/>
        <v>0</v>
      </c>
      <c r="Z74" s="1320">
        <f t="shared" si="10"/>
        <v>0</v>
      </c>
      <c r="AA74" s="1322">
        <f>IF(W74&lt;&gt;"",$AE65/W74,0)</f>
        <v>0</v>
      </c>
      <c r="AB74" s="1321">
        <f>IF(Q65&lt;&gt;"",IF(NOT(ISNUMBER(VLOOKUP(Q65,Chem_Table,COLUMN(LD_A_C),FALSE))),0,VLOOKUP(Q65,Chem_Table,COLUMN(LD_A_C),FALSE)),0)*R65</f>
        <v>0</v>
      </c>
      <c r="AC74" s="1340">
        <f>IF(Q65&lt;&gt;"",IF(NOT(ISNUMBER(VLOOKUP(Q65,Chem_Table,COLUMN(LD_B_C),FALSE))),0,VLOOKUP(Q65,Chem_Table,COLUMN(LD_B_C),FALSE)),0)*R65</f>
        <v>0</v>
      </c>
      <c r="AD74" s="1321">
        <f>IF(Q65&lt;&gt;"",IF(NOT(ISNUMBER(VLOOKUP(Q65,Chem_Table,COLUMN(LCP_A_C),FALSE))),0,VLOOKUP(Q65,Chem_Table,COLUMN(LCP_A_C),FALSE)),0)*R65</f>
        <v>0</v>
      </c>
      <c r="AE74" s="1340">
        <f>IF(Q65&lt;&gt;"",IF(NOT(ISNUMBER(VLOOKUP(Q65,Chem_Table,COLUMN(LCP_B_C),FALSE))),0,VLOOKUP(Q65,Chem_Table,COLUMN(LCP_B_C),FALSE)),0)*R65</f>
        <v>0</v>
      </c>
      <c r="AF74" s="1342">
        <f>IF(Q65&lt;&gt;"",IF(NOT(ISNUMBER(VLOOKUP(Q65,Chem_Table,COLUMN(HV_A_C),FALSE))),0,VLOOKUP(Q65,Chem_Table,COLUMN(HV_A_C),FALSE)),0)*IF(AF$68&gt;0,AF65/AF$68,0)</f>
        <v>0</v>
      </c>
      <c r="AG74" s="1321">
        <f>IF(Q65&lt;&gt;"",IF(NOT(ISNUMBER(VLOOKUP(Q65,Chem_Table,COLUMN(HV_B_C),FALSE))),0,VLOOKUP(Q65,Chem_Table,COLUMN(HV_B_C),FALSE)),0)*IF(AF$68&gt;0,AF65/AF$68,0)</f>
        <v>0</v>
      </c>
      <c r="AH74" s="1340">
        <f>IF(Q65&lt;&gt;"",IF(NOT(ISNUMBER(VLOOKUP(Q65,Chem_Table,COLUMN(HV_C_C),FALSE))),0,VLOOKUP(Q65,Chem_Table,COLUMN(HV_C_C),FALSE)),0)*IF(AF$68&gt;0,AF65/AF$68,0)</f>
        <v>0</v>
      </c>
      <c r="AI74" s="1316" t="str">
        <f>IF(Q66&lt;&gt;"",IF(NOT(ISNUMBER(VLOOKUP(Q66,Chem_Table,COLUMN(NF_C),FALSE))),"",VLOOKUP(Q66,Chem_Table,COLUMN(NF_C),FALSE)),"")</f>
        <v/>
      </c>
      <c r="AJ74" s="1316">
        <f>IF(AND(X75&lt;&gt;"",AI74&gt;0),R66,0)</f>
        <v>0</v>
      </c>
      <c r="AK74" s="2107">
        <f>IF(T75&lt;&gt;"",T75,2)</f>
        <v>2</v>
      </c>
      <c r="AL74" s="1618">
        <f>IF(S75="",0,IF(U75="",LC1_Ratio*S75,(EXP((2.67-U75)/V75)/60)^(1/T75)))</f>
        <v>0</v>
      </c>
      <c r="AM74" s="1618">
        <f>IF(S75="",0,IF(U75="",LC50_Ratio*S75,(EXP((5-U75)/V75)/60)^(1/T75)))</f>
        <v>0</v>
      </c>
      <c r="AN74" s="1609">
        <f>IF(AL74&lt;&gt;0,AE66/AL74,0)</f>
        <v>0</v>
      </c>
      <c r="AO74" s="1609">
        <f>IF(AM74&lt;&gt;0,AE66/AM74,0)</f>
        <v>0</v>
      </c>
    </row>
    <row r="75" spans="1:41" ht="13.5" hidden="1" thickBot="1" x14ac:dyDescent="0.3">
      <c r="A75" s="549"/>
      <c r="B75" s="362" t="s">
        <v>509</v>
      </c>
      <c r="C75" s="2457" t="str">
        <f>IF(C60&lt;&gt;"",IF(NOT(ISNUMBER(VLOOKUP(C60,Chem_Table,COLUMN(HV_B_C),FALSE))),0,VLOOKUP(C60,Chem_Table,COLUMN(HV_B_C),FALSE)),"")</f>
        <v/>
      </c>
      <c r="D75" s="2187" t="str">
        <f>IF(D60&lt;&gt;"",IF(NOT(ISNUMBER(VLOOKUP(D60,Chem_Table,COLUMN(HV_B_C),FALSE))),0,VLOOKUP(D60,Chem_Table,COLUMN(HV_B_C),FALSE)),"")</f>
        <v/>
      </c>
      <c r="E75" s="2187" t="str">
        <f>IF(E60&lt;&gt;"",IF(NOT(ISNUMBER(VLOOKUP(E60,Chem_Table,COLUMN(HV_B_C),FALSE))),0,VLOOKUP(E60,Chem_Table,COLUMN(HV_B_C),FALSE)),"")</f>
        <v/>
      </c>
      <c r="F75" s="2188" t="str">
        <f>IF(F60&lt;&gt;"",IF(NOT(ISNUMBER(VLOOKUP(F60,Chem_Table,COLUMN(HV_B_C),FALSE))),0,VLOOKUP(F60,Chem_Table,COLUMN(HV_B_C),FALSE)),"")</f>
        <v/>
      </c>
      <c r="G75" s="2454" t="str">
        <f>IF(G60&lt;&gt;"",IF(NOT(ISNUMBER(VLOOKUP(G60,Chem_Table,COLUMN(HV_B_C),FALSE))),0,VLOOKUP(G60,Chem_Table,COLUMN(HV_B_C),FALSE)),"")</f>
        <v/>
      </c>
      <c r="H75" s="2192">
        <f>IF(Chemical="",0,IF(AND(D60="",E60="",F60="",G60=""),C75,AA40))</f>
        <v>0</v>
      </c>
      <c r="I75" s="2472"/>
      <c r="J75" s="549"/>
      <c r="K75" s="549"/>
      <c r="M75" s="72" t="s">
        <v>3409</v>
      </c>
      <c r="N75" s="1696">
        <f>IF(N74&lt;&gt;"",N74,2)</f>
        <v>2</v>
      </c>
      <c r="O75" s="1696"/>
      <c r="Q75" s="1315" t="str">
        <f>Q66</f>
        <v/>
      </c>
      <c r="R75" s="1314" t="str">
        <f>IF(Q66&lt;&gt;"",IF(NOT(ISNUMBER(VLOOKUP(Q66,Chem_Table,COLUMN(ERPG2_C),FALSE))),"",VLOOKUP(Q66,Chem_Table,COLUMN(ERPG2_C),FALSE)),"")</f>
        <v/>
      </c>
      <c r="S75" s="1314" t="str">
        <f>IF(Q66&lt;&gt;"",IF(NOT(ISNUMBER(VLOOKUP(Q66,Chem_Table,COLUMN(ERPG3_C),FALSE))),"",VLOOKUP(Q66,Chem_Table,COLUMN(ERPG3_C),FALSE)),"")</f>
        <v/>
      </c>
      <c r="T75" s="1677" t="str">
        <f>IF(Q66&lt;&gt;"",IF(NOT(ISNUMBER(VLOOKUP(Q66,Chem_Table,COLUMN(ProbitA_C),FALSE))),"",VLOOKUP(Q66,Chem_Table,COLUMN(ProbitA_C),FALSE)),"")</f>
        <v/>
      </c>
      <c r="U75" s="1677" t="str">
        <f>IF(Q66&lt;&gt;"",IF(NOT(ISNUMBER(VLOOKUP(Q66,Chem_Table,COLUMN(ProbitA_C),FALSE))),"",VLOOKUP(Q66,Chem_Table,COLUMN(ProbitA_C),FALSE)),"")</f>
        <v/>
      </c>
      <c r="V75" s="1677" t="str">
        <f>IF(Q66&lt;&gt;"",IF(NOT(ISNUMBER(VLOOKUP(Q66,Chem_Table,COLUMN(ProbitB_C),FALSE))),"",VLOOKUP(Q66,Chem_Table,COLUMN(ProbitB_C),FALSE)),"")</f>
        <v/>
      </c>
      <c r="W75" s="1316" t="str">
        <f>IF(Q66&lt;&gt;"",IF(NOT(ISNUMBER(VLOOKUP(Q66,Chem_Table,COLUMN(LFL_C),FALSE))),"",VLOOKUP(Q66,Chem_Table,COLUMN(LFL_C),FALSE)),"")</f>
        <v/>
      </c>
      <c r="X75" s="1316" t="str">
        <f>IF(Q66&lt;&gt;"",IF(NOT(ISNUMBER(VLOOKUP(Q66,Chem_Table,COLUMN(FP_C),FALSE))),"",VLOOKUP(Q66,Chem_Table,COLUMN(FP_C),FALSE)),"")</f>
        <v/>
      </c>
      <c r="Y75" s="1320">
        <f t="shared" si="10"/>
        <v>0</v>
      </c>
      <c r="Z75" s="1320">
        <f t="shared" si="10"/>
        <v>0</v>
      </c>
      <c r="AA75" s="1322">
        <f>IF(W75&lt;&gt;"",$AE66/W75,0)</f>
        <v>0</v>
      </c>
      <c r="AB75" s="1321">
        <f>IF(Q66&lt;&gt;"",IF(NOT(ISNUMBER(VLOOKUP(Q66,Chem_Table,COLUMN(LD_A_C),FALSE))),0,VLOOKUP(Q66,Chem_Table,COLUMN(LD_A_C),FALSE)),0)*R66</f>
        <v>0</v>
      </c>
      <c r="AC75" s="1340">
        <f>IF(Q66&lt;&gt;"",IF(NOT(ISNUMBER(VLOOKUP(Q66,Chem_Table,COLUMN(LD_B_C),FALSE))),0,VLOOKUP(Q66,Chem_Table,COLUMN(LD_B_C),FALSE)),0)*R66</f>
        <v>0</v>
      </c>
      <c r="AD75" s="1321">
        <f>IF(Q66&lt;&gt;"",IF(NOT(ISNUMBER(VLOOKUP(Q66,Chem_Table,COLUMN(LCP_A_C),FALSE))),0,VLOOKUP(Q66,Chem_Table,COLUMN(LCP_A_C),FALSE)),0)*R66</f>
        <v>0</v>
      </c>
      <c r="AE75" s="1340">
        <f>IF(Q66&lt;&gt;"",IF(NOT(ISNUMBER(VLOOKUP(Q66,Chem_Table,COLUMN(LCP_B_C),FALSE))),0,VLOOKUP(Q66,Chem_Table,COLUMN(LCP_B_C),FALSE)),0)*R66</f>
        <v>0</v>
      </c>
      <c r="AF75" s="1342">
        <f>IF(Q66&lt;&gt;"",IF(NOT(ISNUMBER(VLOOKUP(Q66,Chem_Table,COLUMN(HV_A_C),FALSE))),0,VLOOKUP(Q66,Chem_Table,COLUMN(HV_A_C),FALSE)),0)*IF(AF$68&gt;0,AF66/AF$68,0)</f>
        <v>0</v>
      </c>
      <c r="AG75" s="1321">
        <f>IF(Q66&lt;&gt;"",IF(NOT(ISNUMBER(VLOOKUP(Q66,Chem_Table,COLUMN(HV_B_C),FALSE))),0,VLOOKUP(Q66,Chem_Table,COLUMN(HV_B_C),FALSE)),0)*IF(AF$68&gt;0,AF66/AF$68,0)</f>
        <v>0</v>
      </c>
      <c r="AH75" s="1340">
        <f>IF(Q66&lt;&gt;"",IF(NOT(ISNUMBER(VLOOKUP(Q66,Chem_Table,COLUMN(HV_C_C),FALSE))),0,VLOOKUP(Q66,Chem_Table,COLUMN(HV_C_C),FALSE)),0)*IF(AF$68&gt;0,AF66/AF$68,0)</f>
        <v>0</v>
      </c>
      <c r="AI75" s="1316" t="str">
        <f>IF(Q67&lt;&gt;"",IF(NOT(ISNUMBER(VLOOKUP(Q67,Chem_Table,COLUMN(NF_C),FALSE))),"",VLOOKUP(Q67,Chem_Table,COLUMN(NF_C),FALSE)),"")</f>
        <v/>
      </c>
      <c r="AJ75" s="1316">
        <f>IF(AND(X76&lt;&gt;"",AI75&gt;0),R67,0)</f>
        <v>0</v>
      </c>
      <c r="AK75" s="2107">
        <f>IF(T76&lt;&gt;"",T76,2)</f>
        <v>2</v>
      </c>
      <c r="AL75" s="1618">
        <f>IF(S76="",0,IF(U76="",LC1_Ratio*S76,(EXP((2.67-U76)/V76)/60)^(1/T76)))</f>
        <v>0</v>
      </c>
      <c r="AM75" s="1618">
        <f>IF(S76="",0,IF(U76="",LC50_Ratio*S76,(EXP((5-U76)/V76)/60)^(1/T76)))</f>
        <v>0</v>
      </c>
      <c r="AN75" s="1609">
        <f>IF(AL75&lt;&gt;0,AE67/AL75,0)</f>
        <v>0</v>
      </c>
      <c r="AO75" s="1609">
        <f>IF(AM75&lt;&gt;0,AE67/AM75,0)</f>
        <v>0</v>
      </c>
    </row>
    <row r="76" spans="1:41" ht="13.5" hidden="1" thickBot="1" x14ac:dyDescent="0.3">
      <c r="A76" s="549"/>
      <c r="B76" s="362" t="s">
        <v>2010</v>
      </c>
      <c r="C76" s="2457" t="str">
        <f>IF(C60&lt;&gt;"",IF(NOT(ISNUMBER(VLOOKUP(C60,Chem_Table,COLUMN(HV_C_C),FALSE))),0,VLOOKUP(C60,Chem_Table,COLUMN(HV_C_C),FALSE)),"")</f>
        <v/>
      </c>
      <c r="D76" s="2187" t="str">
        <f>IF(D60&lt;&gt;"",IF(NOT(ISNUMBER(VLOOKUP(D60,Chem_Table,COLUMN(HV_C_C),FALSE))),0,VLOOKUP(D60,Chem_Table,COLUMN(HV_C_C),FALSE)),"")</f>
        <v/>
      </c>
      <c r="E76" s="2187" t="str">
        <f>IF(E60&lt;&gt;"",IF(NOT(ISNUMBER(VLOOKUP(E60,Chem_Table,COLUMN(HV_C_C),FALSE))),0,VLOOKUP(E60,Chem_Table,COLUMN(HV_C_C),FALSE)),"")</f>
        <v/>
      </c>
      <c r="F76" s="2188" t="str">
        <f>IF(F60&lt;&gt;"",IF(NOT(ISNUMBER(VLOOKUP(F60,Chem_Table,COLUMN(HV_C_C),FALSE))),0,VLOOKUP(F60,Chem_Table,COLUMN(HV_C_C),FALSE)),"")</f>
        <v/>
      </c>
      <c r="G76" s="2454" t="str">
        <f>IF(G60&lt;&gt;"",IF(NOT(ISNUMBER(VLOOKUP(G60,Chem_Table,COLUMN(HV_C_C),FALSE))),0,VLOOKUP(G60,Chem_Table,COLUMN(HV_C_C),FALSE)),"")</f>
        <v/>
      </c>
      <c r="H76" s="2193">
        <f>IF(Chemical="",0,IF(AND(D60="",E60="",F60="",G60=""),C76,0))</f>
        <v>0</v>
      </c>
      <c r="I76" s="2472"/>
      <c r="J76" s="549"/>
      <c r="K76" s="549"/>
      <c r="M76" s="335" t="s">
        <v>3549</v>
      </c>
      <c r="N76" s="1699">
        <f>IF(N71="",0,IF(N72="",LC1_Ratio*N71,(EXP((2.67-N72)/N73)/60)^(1/N75)))</f>
        <v>0</v>
      </c>
      <c r="O76" s="1696"/>
      <c r="Q76" s="1315" t="str">
        <f>Q67</f>
        <v/>
      </c>
      <c r="R76" s="1314" t="str">
        <f>IF(Q67&lt;&gt;"",IF(NOT(ISNUMBER(VLOOKUP(Q67,Chem_Table,COLUMN(ERPG2_C),FALSE))),"",VLOOKUP(Q67,Chem_Table,COLUMN(ERPG2_C),FALSE)),"")</f>
        <v/>
      </c>
      <c r="S76" s="1347" t="str">
        <f>IF(Q67&lt;&gt;"",IF(NOT(ISNUMBER(VLOOKUP(Q67,Chem_Table,COLUMN(ERPG3_C),FALSE))),"",VLOOKUP(Q67,Chem_Table,COLUMN(ERPG3_C),FALSE)),"")</f>
        <v/>
      </c>
      <c r="T76" s="1677" t="str">
        <f>IF(Q67&lt;&gt;"",IF(NOT(ISNUMBER(VLOOKUP(Q67,Chem_Table,COLUMN(ProbitA_C),FALSE))),"",VLOOKUP(Q67,Chem_Table,COLUMN(ProbitA_C),FALSE)),"")</f>
        <v/>
      </c>
      <c r="U76" s="1677" t="str">
        <f>IF(Q67&lt;&gt;"",IF(NOT(ISNUMBER(VLOOKUP(Q67,Chem_Table,COLUMN(ProbitA_C),FALSE))),"",VLOOKUP(Q67,Chem_Table,COLUMN(ProbitA_C),FALSE)),"")</f>
        <v/>
      </c>
      <c r="V76" s="1677" t="str">
        <f>IF(Q67&lt;&gt;"",IF(NOT(ISNUMBER(VLOOKUP(Q67,Chem_Table,COLUMN(ProbitB_C),FALSE))),"",VLOOKUP(Q67,Chem_Table,COLUMN(ProbitB_C),FALSE)),"")</f>
        <v/>
      </c>
      <c r="W76" s="1316" t="str">
        <f>IF(Q67&lt;&gt;"",IF(NOT(ISNUMBER(VLOOKUP(Q67,Chem_Table,COLUMN(LFL_C),FALSE))),"",VLOOKUP(Q67,Chem_Table,COLUMN(LFL_C),FALSE)),"")</f>
        <v/>
      </c>
      <c r="X76" s="1316" t="str">
        <f>IF(Q67&lt;&gt;"",IF(NOT(ISNUMBER(VLOOKUP(Q67,Chem_Table,COLUMN(FP_C),FALSE))),"",VLOOKUP(Q67,Chem_Table,COLUMN(FP_C),FALSE)),"")</f>
        <v/>
      </c>
      <c r="Y76" s="1329">
        <f t="shared" si="10"/>
        <v>0</v>
      </c>
      <c r="Z76" s="1329">
        <f t="shared" si="10"/>
        <v>0</v>
      </c>
      <c r="AA76" s="1338">
        <f>IF(W76&lt;&gt;"",$AE67/W76,0)</f>
        <v>0</v>
      </c>
      <c r="AB76" s="1321">
        <f>IF(Q67&lt;&gt;"",IF(NOT(ISNUMBER(VLOOKUP(Q67,Chem_Table,COLUMN(LD_A_C),FALSE))),0,VLOOKUP(Q67,Chem_Table,COLUMN(LD_A_C),FALSE)),0)*R67</f>
        <v>0</v>
      </c>
      <c r="AC76" s="1340">
        <f>IF(Q67&lt;&gt;"",IF(NOT(ISNUMBER(VLOOKUP(Q67,Chem_Table,COLUMN(LD_B_C),FALSE))),0,VLOOKUP(Q67,Chem_Table,COLUMN(LD_B_C),FALSE)),0)*R67</f>
        <v>0</v>
      </c>
      <c r="AD76" s="1321">
        <f>IF(Q67&lt;&gt;"",IF(NOT(ISNUMBER(VLOOKUP(Q67,Chem_Table,COLUMN(LCP_A_C),FALSE))),0,VLOOKUP(Q67,Chem_Table,COLUMN(LCP_A_C),FALSE)),0)*R67</f>
        <v>0</v>
      </c>
      <c r="AE76" s="1340">
        <f>IF(Q67&lt;&gt;"",IF(NOT(ISNUMBER(VLOOKUP(Q67,Chem_Table,COLUMN(LCP_B_C),FALSE))),0,VLOOKUP(Q67,Chem_Table,COLUMN(LCP_B_C),FALSE)),0)*R67</f>
        <v>0</v>
      </c>
      <c r="AF76" s="1342">
        <f>IF(Q67&lt;&gt;"",IF(NOT(ISNUMBER(VLOOKUP(Q67,Chem_Table,COLUMN(HV_A_C),FALSE))),0,VLOOKUP(Q67,Chem_Table,COLUMN(HV_A_C),FALSE)),0)*IF(AF$68&gt;0,AF67/AF$68,0)</f>
        <v>0</v>
      </c>
      <c r="AG76" s="1321">
        <f>IF(Q67&lt;&gt;"",IF(NOT(ISNUMBER(VLOOKUP(Q67,Chem_Table,COLUMN(HV_B_C),FALSE))),0,VLOOKUP(Q67,Chem_Table,COLUMN(HV_B_C),FALSE)),0)*IF(AF$68&gt;0,AF67/AF$68,0)</f>
        <v>0</v>
      </c>
      <c r="AH76" s="1340">
        <f>IF(Q67&lt;&gt;"",IF(NOT(ISNUMBER(VLOOKUP(Q67,Chem_Table,COLUMN(HV_C_C),FALSE))),0,VLOOKUP(Q67,Chem_Table,COLUMN(HV_C_C),FALSE)),0)*IF(AF$68&gt;0,AF67/AF$68,0)</f>
        <v>0</v>
      </c>
      <c r="AK76" s="413"/>
      <c r="AN76" s="1685">
        <f>IF(SUM(AN71:AN75)&gt;0,1/SUM(AN71:AN75),0)</f>
        <v>0</v>
      </c>
      <c r="AO76" s="1685">
        <f>IF(SUM(AO71:AO75)&gt;0,1/SUM(AO71:AO75),0)</f>
        <v>0</v>
      </c>
    </row>
    <row r="77" spans="1:41" ht="12.75" hidden="1" customHeight="1" thickBot="1" x14ac:dyDescent="0.3">
      <c r="A77" s="549"/>
      <c r="B77" s="362" t="s">
        <v>2068</v>
      </c>
      <c r="C77" s="2457" t="str">
        <f>IF(C60&lt;&gt;"",IF(NOT(ISNUMBER(VLOOKUP(C60,Chem_Table,COLUMN(FP_C),FALSE))),"",VLOOKUP(C60,Chem_Table,COLUMN(FP_C),FALSE)),"")</f>
        <v/>
      </c>
      <c r="D77" s="2187" t="str">
        <f>IF(D60&lt;&gt;"",IF(NOT(ISNUMBER(VLOOKUP(D60,Chem_Table,COLUMN(FP_C),FALSE))),"",VLOOKUP(D60,Chem_Table,COLUMN(FP_C),FALSE)),"")</f>
        <v/>
      </c>
      <c r="E77" s="2187" t="str">
        <f>IF(E60&lt;&gt;"",IF(NOT(ISNUMBER(VLOOKUP(E60,Chem_Table,COLUMN(FP_C),FALSE))),"",VLOOKUP(E60,Chem_Table,COLUMN(FP_C),FALSE)),"")</f>
        <v/>
      </c>
      <c r="F77" s="2188" t="str">
        <f>IF(F60&lt;&gt;"",IF(NOT(ISNUMBER(VLOOKUP(F60,Chem_Table,COLUMN(FP_C),FALSE))),"",VLOOKUP(F60,Chem_Table,COLUMN(FP_C),FALSE)),"")</f>
        <v/>
      </c>
      <c r="G77" s="2454" t="str">
        <f>IF(G60&lt;&gt;"",IF(NOT(ISNUMBER(VLOOKUP(G60,Chem_Table,COLUMN(FP_C),FALSE))),"",VLOOKUP(G60,Chem_Table,COLUMN(FP_C),FALSE)),"")</f>
        <v/>
      </c>
      <c r="H77" s="2086" t="str">
        <f>IF(AND(C77="",D77="",E77="",F77="",G77=""),"",MIN(C77:G77))</f>
        <v/>
      </c>
      <c r="I77" s="550" t="s">
        <v>2182</v>
      </c>
      <c r="J77" s="549"/>
      <c r="K77" s="549"/>
      <c r="M77" s="335" t="s">
        <v>3550</v>
      </c>
      <c r="N77" s="1699">
        <f>IF(N71="",0,IF(N72="",LC50_Ratio*N71,(EXP((5-N72)/N73)/60)^(1/N75)))</f>
        <v>0</v>
      </c>
      <c r="O77" s="1696"/>
      <c r="R77" s="995" t="s">
        <v>3191</v>
      </c>
      <c r="S77" s="1354" t="str">
        <f>IF(OR(S78&gt;0,SUM(S72:S76)=0),S78,MIN(S72:S76))</f>
        <v/>
      </c>
      <c r="T77" s="1357"/>
      <c r="U77" s="1357"/>
      <c r="V77" s="1357"/>
      <c r="X77" s="1317" t="str">
        <f>IF(AND(X72="",X73="",X74="",X75="",X76=""),"",MIN(X72:X76))</f>
        <v/>
      </c>
      <c r="Y77" s="1330" t="str">
        <f>IF(SUM(Y72:Y76)&gt;0,1/SUM(Y72:Y76),"")</f>
        <v/>
      </c>
      <c r="Z77" s="1330" t="str">
        <f>IF(SUM(Z72:Z76)&gt;0,1/SUM(Z72:Z76),"")</f>
        <v/>
      </c>
      <c r="AA77" s="1339" t="str">
        <f>IF(SUM(AA72:AA76)&gt;0,1/SUM(AA72:AA76),"")</f>
        <v/>
      </c>
      <c r="AB77" s="1332">
        <f t="shared" ref="AB77:AH77" si="11">SUM(AB72:AB76)</f>
        <v>0</v>
      </c>
      <c r="AC77" s="1341">
        <f t="shared" si="11"/>
        <v>0</v>
      </c>
      <c r="AD77" s="1332">
        <f t="shared" si="11"/>
        <v>0</v>
      </c>
      <c r="AE77" s="1341">
        <f t="shared" si="11"/>
        <v>0</v>
      </c>
      <c r="AF77" s="1343">
        <f t="shared" si="11"/>
        <v>0</v>
      </c>
      <c r="AG77" s="1332">
        <f t="shared" si="11"/>
        <v>0</v>
      </c>
      <c r="AH77" s="1341">
        <f t="shared" si="11"/>
        <v>0</v>
      </c>
    </row>
    <row r="78" spans="1:41" ht="13.5" hidden="1" thickBot="1" x14ac:dyDescent="0.3">
      <c r="A78" s="549"/>
      <c r="B78" s="362" t="s">
        <v>2101</v>
      </c>
      <c r="C78" s="2457" t="str">
        <f>IF(C60&lt;&gt;"",IF(NOT(ISNUMBER(VLOOKUP(C60,Chem_Table,COLUMN(LFL_C),FALSE))),"",VLOOKUP(C60,Chem_Table,COLUMN(LFL_C),FALSE)),"")</f>
        <v/>
      </c>
      <c r="D78" s="2187" t="str">
        <f>IF(D60&lt;&gt;"",IF(NOT(ISNUMBER(VLOOKUP(D60,Chem_Table,COLUMN(LFL_C),FALSE))),"",VLOOKUP(D60,Chem_Table,COLUMN(LFL_C),FALSE)),"")</f>
        <v/>
      </c>
      <c r="E78" s="2187" t="str">
        <f>IF(E60&lt;&gt;"",IF(NOT(ISNUMBER(VLOOKUP(E60,Chem_Table,COLUMN(LFL_C),FALSE))),"",VLOOKUP(E60,Chem_Table,COLUMN(LFL_C),FALSE)),"")</f>
        <v/>
      </c>
      <c r="F78" s="2188" t="str">
        <f>IF(F60&lt;&gt;"",IF(NOT(ISNUMBER(VLOOKUP(F60,Chem_Table,COLUMN(LFL_C),FALSE))),"",VLOOKUP(F60,Chem_Table,COLUMN(LFL_C),FALSE)),"")</f>
        <v/>
      </c>
      <c r="G78" s="2454" t="str">
        <f>IF(G60&lt;&gt;"",IF(NOT(ISNUMBER(VLOOKUP(G60,Chem_Table,COLUMN(LFL_C),FALSE))),"",VLOOKUP(G60,Chem_Table,COLUMN(LFL_C),FALSE)),"")</f>
        <v/>
      </c>
      <c r="H78" s="2086" t="str">
        <f>IF(AD35&gt;0,AD35,"")</f>
        <v/>
      </c>
      <c r="I78" s="549"/>
      <c r="J78" s="549"/>
      <c r="K78" s="549"/>
      <c r="M78" s="823" t="s">
        <v>2677</v>
      </c>
      <c r="N78" s="1698" t="str">
        <f>IF(OR(Pad_Name=0,N66="",N67="",N68=""),"",LOOKUP(LOOKUP(IF(N66&lt;30,IF(N71&gt;990000,INDEX(TC_BPLT30,4),LOOKUP(N71,ERPG3_Range,TC_BPLT30)),IF(N66&lt;60,IF(N71&gt;990000,INDEX(TC_BP30TO60,4),LOOKUP(N71,ERPG3_Range,TC_BP30TO60)),IF(N66&lt;150,IF(N71&gt;990000,INDEX(TC_BP60TO150,4),LOOKUP(N71,ERPG3_Range,TC_BP60TO150)),IF(N71&gt;990000,INDEX(TC_BPGT150,4),LOOKUP(N71,ERPG3_Range,TC_BPGT150))))),Class,TC_SCORE)+LOOKUP(N69,Class,NR_SCORE)+LOOKUP(N68,Class,NF_SCORE)+LOOKUP(N67,Class,NH_SCORE),HAZ_SCORE,HAZ_CATEGORY))</f>
        <v/>
      </c>
      <c r="O78" s="1698" t="str">
        <f>IF(OR(Heating_Media_Name=0,HT_BP="",O67="",O68=""),"",LOOKUP(LOOKUP(IF(HT_BP&lt;30,IF(O71&gt;990000,INDEX(TC_BPLT30,4),LOOKUP(O71,ERPG3_Range,TC_BPLT30)),IF(HT_BP&lt;60,IF(O71&gt;990000,INDEX(TC_BP30TO60,4),LOOKUP(O71,ERPG3_Range,TC_BP30TO60)),IF(HT_BP&lt;150,IF(O71&gt;990000,INDEX(TC_BP60TO150,4),LOOKUP(O71,ERPG3_Range,TC_BP60TO150)),IF(O71&gt;990000,INDEX(TC_BPGT150,4),LOOKUP(O71,ERPG3_Range,TC_BPGT150))))),Class,TC_SCORE)+LOOKUP(O69,Class,NR_SCORE)+LOOKUP(O68,Class,NF_SCORE)+LOOKUP(O67,Class,NH_SCORE),HAZ_SCORE,HAZ_CATEGORY))</f>
        <v/>
      </c>
      <c r="R78" s="1704" t="s">
        <v>3553</v>
      </c>
      <c r="S78" s="1705" t="str">
        <f>IF(Heating_Media_Name&lt;&gt;"",IF(NOT(ISNUMBER(VLOOKUP(Heating_Media_Name,Chem_Table,COLUMN(ERPG3_C),FALSE))),"",VLOOKUP(Heating_Media_Name,Chem_Table,COLUMN(ERPG3_C),FALSE)),"")</f>
        <v/>
      </c>
      <c r="T78" s="1357"/>
      <c r="V78" s="5"/>
      <c r="W78" s="390"/>
      <c r="X78" s="390"/>
      <c r="Y78" s="390"/>
      <c r="Z78" s="384"/>
      <c r="AA78" s="1358"/>
      <c r="AB78" s="384"/>
      <c r="AC78" s="1358"/>
      <c r="AD78" s="1128"/>
    </row>
    <row r="79" spans="1:41" ht="13.5" hidden="1" thickBot="1" x14ac:dyDescent="0.3">
      <c r="A79" s="549"/>
      <c r="B79" s="362" t="s">
        <v>2102</v>
      </c>
      <c r="C79" s="2457" t="str">
        <f>IF(C60&lt;&gt;"",IF(NOT(ISNUMBER(VLOOKUP(C60,Chem_Table,COLUMN(UFL_C),FALSE))),"",VLOOKUP(C60,Chem_Table,COLUMN(UFL_C),FALSE)),"")</f>
        <v/>
      </c>
      <c r="D79" s="2187" t="str">
        <f>IF(D60&lt;&gt;"",IF(NOT(ISNUMBER(VLOOKUP(D60,Chem_Table,COLUMN(UFL_C),FALSE))),"",VLOOKUP(D60,Chem_Table,COLUMN(UFL_C),FALSE)),"")</f>
        <v/>
      </c>
      <c r="E79" s="2187" t="str">
        <f>IF(E60&lt;&gt;"",IF(NOT(ISNUMBER(VLOOKUP(E60,Chem_Table,COLUMN(UFL_C),FALSE))),"",VLOOKUP(E60,Chem_Table,COLUMN(UFL_C),FALSE)),"")</f>
        <v/>
      </c>
      <c r="F79" s="2188" t="str">
        <f>IF(F60&lt;&gt;"",IF(NOT(ISNUMBER(VLOOKUP(F60,Chem_Table,COLUMN(UFL_C),FALSE))),"",VLOOKUP(F60,Chem_Table,COLUMN(UFL_C),FALSE)),"")</f>
        <v/>
      </c>
      <c r="G79" s="2454" t="str">
        <f>IF(G60&lt;&gt;"",IF(NOT(ISNUMBER(VLOOKUP(G60,Chem_Table,COLUMN(UFL_C),FALSE))),"",VLOOKUP(G60,Chem_Table,COLUMN(UFL_C),FALSE)),"")</f>
        <v/>
      </c>
      <c r="H79" s="378" t="str">
        <f>IF(AE35&gt;0,AE35,"")</f>
        <v/>
      </c>
      <c r="I79" s="549"/>
      <c r="J79" s="549"/>
      <c r="K79" s="549"/>
      <c r="M79" s="335"/>
      <c r="N79" s="430"/>
      <c r="O79" s="430"/>
      <c r="Q79" s="3534" t="s">
        <v>2111</v>
      </c>
      <c r="R79" s="19"/>
      <c r="S79" s="19"/>
      <c r="AI79" s="3491" t="s">
        <v>4637</v>
      </c>
      <c r="AJ79" s="3492"/>
      <c r="AK79" s="3495" t="s">
        <v>4633</v>
      </c>
      <c r="AL79" s="3497" t="s">
        <v>4634</v>
      </c>
      <c r="AM79" s="3499" t="s">
        <v>4638</v>
      </c>
    </row>
    <row r="80" spans="1:41" ht="12.75" hidden="1" customHeight="1" thickBot="1" x14ac:dyDescent="0.3">
      <c r="A80" s="549"/>
      <c r="B80" s="362" t="s">
        <v>2103</v>
      </c>
      <c r="C80" s="2457" t="str">
        <f>IF(C60&lt;&gt;"",IF(NOT(ISNUMBER(VLOOKUP(C60,Chem_Table,COLUMN(AIgnite_C),FALSE))),"",VLOOKUP(C60,Chem_Table,COLUMN(AIgnite_C),FALSE)),"")</f>
        <v/>
      </c>
      <c r="D80" s="2187" t="str">
        <f>IF(D60&lt;&gt;"",IF(NOT(ISNUMBER(VLOOKUP(D60,Chem_Table,COLUMN(AIgnite_C),FALSE))),"",VLOOKUP(D60,Chem_Table,COLUMN(AIgnite_C),FALSE)),"")</f>
        <v/>
      </c>
      <c r="E80" s="2187" t="str">
        <f>IF(E60&lt;&gt;"",IF(NOT(ISNUMBER(VLOOKUP(E60,Chem_Table,COLUMN(AIgnite_C),FALSE))),"",VLOOKUP(E60,Chem_Table,COLUMN(AIgnite_C),FALSE)),"")</f>
        <v/>
      </c>
      <c r="F80" s="2188" t="str">
        <f>IF(F60&lt;&gt;"",IF(NOT(ISNUMBER(VLOOKUP(F60,Chem_Table,COLUMN(AIgnite_C),FALSE))),"",VLOOKUP(F60,Chem_Table,COLUMN(AIgnite_C),FALSE)),"")</f>
        <v/>
      </c>
      <c r="G80" s="2454" t="str">
        <f>IF(G60&lt;&gt;"",IF(NOT(ISNUMBER(VLOOKUP(G60,Chem_Table,COLUMN(AIgnite_C),FALSE))),"",VLOOKUP(G60,Chem_Table,COLUMN(AIgnite_C),FALSE)),"")</f>
        <v/>
      </c>
      <c r="H80" s="2194" t="str">
        <f>IF(AND(C80="",D80="",E80="",F80="",G80=""),"",MIN(C80:F80))</f>
        <v/>
      </c>
      <c r="I80" s="550" t="s">
        <v>2096</v>
      </c>
      <c r="J80" s="549"/>
      <c r="K80" s="549"/>
      <c r="N80" s="335" t="s">
        <v>487</v>
      </c>
      <c r="O80" s="1350" t="str">
        <f>IF(Heating_Media_Name&lt;&gt;0,IF(NOT(ISNUMBER(VLOOKUP(Heating_Media_Name,Chem_Table,COLUMN(EI_C),FALSE))),R86,VLOOKUP(Heating_Media_Name,Chem_Table,COLUMN(EI_C),FALSE)),R86)</f>
        <v/>
      </c>
      <c r="Q80" s="3535"/>
      <c r="R80" s="5" t="s">
        <v>3177</v>
      </c>
      <c r="S80" s="5" t="s">
        <v>3178</v>
      </c>
      <c r="T80" s="5" t="s">
        <v>3181</v>
      </c>
      <c r="U80" s="5" t="s">
        <v>3180</v>
      </c>
      <c r="V80" s="5" t="s">
        <v>3179</v>
      </c>
      <c r="W80" s="5" t="s">
        <v>3190</v>
      </c>
      <c r="X80" s="5" t="s">
        <v>3182</v>
      </c>
      <c r="Y80" s="5" t="s">
        <v>3183</v>
      </c>
      <c r="Z80" s="5" t="s">
        <v>158</v>
      </c>
      <c r="AA80" s="5" t="s">
        <v>3184</v>
      </c>
      <c r="AB80" s="19" t="s">
        <v>3185</v>
      </c>
      <c r="AH80" s="26"/>
      <c r="AI80" s="3493"/>
      <c r="AJ80" s="3494"/>
      <c r="AK80" s="3496"/>
      <c r="AL80" s="3498"/>
      <c r="AM80" s="3500"/>
    </row>
    <row r="81" spans="1:39" ht="13.5" hidden="1" thickBot="1" x14ac:dyDescent="0.3">
      <c r="A81" s="549"/>
      <c r="B81" s="362" t="s">
        <v>487</v>
      </c>
      <c r="C81" s="2457" t="str">
        <f>IF(C60&lt;&gt;"",IF(NOT(ISTEXT(VLOOKUP(C60,Chem_Table,COLUMN(EI_C),FALSE))),"",VLOOKUP(C60,Chem_Table,COLUMN(EI_C),FALSE)),"")</f>
        <v/>
      </c>
      <c r="D81" s="2187" t="str">
        <f>IF(D60&lt;&gt;"",IF(NOT(ISTEXT(VLOOKUP(D60,Chem_Table,COLUMN(EI_C),FALSE))),"",VLOOKUP(D60,Chem_Table,COLUMN(EI_C),FALSE)),"")</f>
        <v/>
      </c>
      <c r="E81" s="2187" t="str">
        <f>IF(E60&lt;&gt;"",IF(NOT(ISTEXT(VLOOKUP(E60,Chem_Table,COLUMN(EI_C),FALSE))),"",VLOOKUP(E60,Chem_Table,COLUMN(EI_C),FALSE)),"")</f>
        <v/>
      </c>
      <c r="F81" s="2188" t="str">
        <f>IF(F60&lt;&gt;"",IF(NOT(ISTEXT(VLOOKUP(F60,Chem_Table,COLUMN(EI_C),FALSE))),"",VLOOKUP(F60,Chem_Table,COLUMN(EI_C),FALSE)),"")</f>
        <v/>
      </c>
      <c r="G81" s="2454" t="str">
        <f>IF(G60&lt;&gt;"",IF(NOT(ISTEXT(VLOOKUP(G60,Chem_Table,COLUMN(EI_C),FALSE))),"",VLOOKUP(G60,Chem_Table,COLUMN(EI_C),FALSE)),"")</f>
        <v/>
      </c>
      <c r="H81" s="2194" t="str">
        <f>IF(OR(C81="High",D81="High",E81="High",F81="High",G81="High"),"High",IF(OR(C81="Elevated",D81="Elevated",E81="Elevated",F81="Elevated",G81="Elevated"),"Elevated",IF(OR(C81="Normal",D81="Normal",E81="Normal",F81="Normal",G81="Normal"),"Normal",IF(AND(C81="Low",OR(D81="Low",D62=""),OR(E81="Low",E62=""),OR(F81="Low",F62=""),OR(G81="Low",G62="")),"Low",""))))</f>
        <v/>
      </c>
      <c r="I81" s="550" t="s">
        <v>2096</v>
      </c>
      <c r="J81" s="549"/>
      <c r="K81" s="549"/>
      <c r="N81" s="335" t="s">
        <v>883</v>
      </c>
      <c r="O81" s="1327" t="str">
        <f>IF(Heating_Media_Name&lt;&gt;0,IF(NOT(ISNUMBER(VLOOKUP(Heating_Media_Name,Chem_Table,COLUMN(FS_C),FALSE))),S86,VLOOKUP(Heating_Media_Name,Chem_Table,COLUMN(FS_C),FALSE)),S86)</f>
        <v/>
      </c>
      <c r="Q81" s="1315" t="str">
        <f>Q63</f>
        <v/>
      </c>
      <c r="R81" s="1340" t="str">
        <f>IF(Q63&lt;&gt;"",IF(NOT(ISTEXT(VLOOKUP(Q63,Chem_Table,COLUMN(EI_C),FALSE))),"",VLOOKUP(Q63,Chem_Table,COLUMN(EI_C),FALSE)),"")</f>
        <v/>
      </c>
      <c r="S81" s="1340" t="str">
        <f>IF(Q63&lt;&gt;"",IF(NOT(ISTEXT(VLOOKUP(Q63,Chem_Table,COLUMN(FS_C),FALSE))),"",VLOOKUP(Q63,Chem_Table,COLUMN(FS_C),FALSE)),"")</f>
        <v/>
      </c>
      <c r="T81" s="1316" t="str">
        <f>IF(Q63&lt;&gt;"",IF(NOT(ISNUMBER(VLOOKUP(Q63,Chem_Table,COLUMN(NH_C),FALSE))),"",VLOOKUP(Q63,Chem_Table,COLUMN(NH_C),FALSE)),"")</f>
        <v/>
      </c>
      <c r="U81" s="1316" t="str">
        <f>IF(Q63&lt;&gt;"",IF(NOT(ISNUMBER(VLOOKUP(Q63,Chem_Table,COLUMN(NF_C),FALSE))),"",VLOOKUP(Q63,Chem_Table,COLUMN(NF_C),FALSE)),"")</f>
        <v/>
      </c>
      <c r="V81" s="1316" t="str">
        <f>IF(Q63&lt;&gt;"",IF(NOT(ISNUMBER(VLOOKUP(Q63,Chem_Table,COLUMN(NR_C),FALSE))),"",VLOOKUP(Q63,Chem_Table,COLUMN(NR_C),FALSE)),"")</f>
        <v/>
      </c>
      <c r="W81" s="1316" t="str">
        <f>IF(Q63&lt;&gt;"",IF(NOT(ISNUMBER(VLOOKUP(Q63,Chem_Table,COLUMN(AIgnite_C),FALSE))),"",VLOOKUP(Q63,Chem_Table,COLUMN(AIgnite_C),FALSE)),"")</f>
        <v/>
      </c>
      <c r="X81" s="1316" t="str">
        <f>IF(Q63&lt;&gt;"",IF(NOT(ISTEXT(VLOOKUP(Q63,Chem_Table,COLUMN(DTRS_C),FALSE))),"",VLOOKUP(Q63,Chem_Table,COLUMN(DTRS_C),FALSE)),"")</f>
        <v/>
      </c>
      <c r="Y81" s="1316" t="str">
        <f>IF(Q63&lt;&gt;"",IF(NOT(ISTEXT(VLOOKUP(Q63,Chem_Table,COLUMN(ATRS_C),FALSE))),"",VLOOKUP(Q63,Chem_Table,COLUMN(ATRS_C),FALSE)),"")</f>
        <v/>
      </c>
      <c r="Z81" s="1316" t="str">
        <f>IF(Q63&lt;&gt;"",IF(NOT(ISTEXT(VLOOKUP(Q63,Chem_Table,COLUMN(Conductive_C),FALSE))),"",VLOOKUP(Q63,Chem_Table,COLUMN(Conductive_C),FALSE)),"")</f>
        <v/>
      </c>
      <c r="AA81" s="1317" t="str">
        <f>IF(Q63&lt;&gt;"",IF(NOT(ISNUMBER(VLOOKUP(Q63,Chem_Table,COLUMN(BP_C),FALSE))),"",VLOOKUP(Q63,Chem_Table,COLUMN(BP_C),FALSE)),"")</f>
        <v/>
      </c>
      <c r="AB81" s="113" t="str">
        <f>IF(OR(Q63="",AA81="",T81="",U81=""),"",LOOKUP(LOOKUP(IF(AA81&lt;30,IF(S72&gt;990000,INDEX(TC_BPLT30,4),LOOKUP(S72,ERPG3_Range,TC_BPLT30)),IF(AA81&lt;60,IF(S72&gt;990000,INDEX(TC_BP30TO60,4),LOOKUP(S72,ERPG3_Range,TC_BP30TO60)),IF(AA81&lt;150,IF(S72&gt;990000,INDEX(TC_BP60TO150,4),LOOKUP(S72,ERPG3_Range,TC_BP60TO150)),IF(S72&gt;990000,INDEX(TC_BPGT150,4),LOOKUP(S72,ERPG3_Range,TC_BPGT150))))),Class,TC_SCORE)+LOOKUP(V81,Class,NR_SCORE)+LOOKUP(U81,Class,NF_SCORE)*IF(AND(AA81&gt;30,T&gt;AA81),1.5,1)+LOOKUP(T81,Class,NH_SCORE),HAZ_SCORE,HAZ_CATEGORY))</f>
        <v/>
      </c>
      <c r="AG81" s="26"/>
      <c r="AH81" s="386"/>
      <c r="AI81" s="3489" t="str">
        <f>HT_Name_1</f>
        <v/>
      </c>
      <c r="AJ81" s="3490"/>
      <c r="AK81" s="2434">
        <f>IF(AA$68&gt;0,AA63/AA$68,0)+IF(AB$68&gt;0,AB63/AB$68,0)</f>
        <v>0</v>
      </c>
      <c r="AL81" s="2435" t="str">
        <f>IF(T63="","",AK81*EXP(T63-U63/(AC$62+273.15-V63)))</f>
        <v/>
      </c>
      <c r="AM81" s="2436" t="str">
        <f>IF(T63="","",AK81*EXP(T63-U63/(Ambient_Temp+273.15-V63)))</f>
        <v/>
      </c>
    </row>
    <row r="82" spans="1:39" ht="13.5" hidden="1" thickBot="1" x14ac:dyDescent="0.3">
      <c r="A82" s="549"/>
      <c r="B82" s="362" t="s">
        <v>883</v>
      </c>
      <c r="C82" s="2457" t="str">
        <f>IF(C60&lt;&gt;"",IF(NOT(ISTEXT(VLOOKUP(C60,Chem_Table,COLUMN(FS_C),FALSE))),"",VLOOKUP(C60,Chem_Table,COLUMN(FS_C),FALSE)),"")</f>
        <v/>
      </c>
      <c r="D82" s="2187" t="str">
        <f>IF(D60&lt;&gt;"",IF(NOT(ISTEXT(VLOOKUP(D60,Chem_Table,COLUMN(FS_C),FALSE))),"",VLOOKUP(D60,Chem_Table,COLUMN(FS_C),FALSE)),"")</f>
        <v/>
      </c>
      <c r="E82" s="2187" t="str">
        <f>IF(E60&lt;&gt;"",IF(NOT(ISTEXT(VLOOKUP(E60,Chem_Table,COLUMN(FS_C),FALSE))),"",VLOOKUP(E60,Chem_Table,COLUMN(FS_C),FALSE)),"")</f>
        <v/>
      </c>
      <c r="F82" s="2188" t="str">
        <f>IF(F60&lt;&gt;"",IF(NOT(ISTEXT(VLOOKUP(F60,Chem_Table,COLUMN(FS_C),FALSE))),"",VLOOKUP(F60,Chem_Table,COLUMN(FS_C),FALSE)),"")</f>
        <v/>
      </c>
      <c r="G82" s="2454" t="str">
        <f>IF(G60&lt;&gt;"",IF(NOT(ISTEXT(VLOOKUP(G60,Chem_Table,COLUMN(FS_C),FALSE))),"",VLOOKUP(G60,Chem_Table,COLUMN(FS_C),FALSE)),"")</f>
        <v/>
      </c>
      <c r="H82" s="2194" t="str">
        <f>IF(OR(C82="High",D82="High",E82="High",F82="High",G82="High"),"High",IF(OR(C82="Medium",D82="Medium",E82="Medium",F82="Medium",G82="Medium"),"Medium",IF(AND(C82="Low",OR(D82="Low",D62=""),OR(E82="Low",E62=""),OR(F82="Low",F62=""),OR(G82="Low",G62="")),"Low","")))</f>
        <v/>
      </c>
      <c r="I82" s="550" t="s">
        <v>2096</v>
      </c>
      <c r="J82" s="549"/>
      <c r="K82" s="549"/>
      <c r="N82" s="335" t="s">
        <v>3189</v>
      </c>
      <c r="O82" s="1327">
        <f>IF(Heating_Media_Name&lt;&gt;0,IF(NOT(ISNUMBER(VLOOKUP(Heating_Media_Name,Chem_Table,COLUMN(AIgnite_C),FALSE))),W86,VLOOKUP(Heating_Media_Name,Chem_Table,COLUMN(AIgnite_C),FALSE)),W86)</f>
        <v>0</v>
      </c>
      <c r="Q82" s="1315" t="str">
        <f>Q64</f>
        <v/>
      </c>
      <c r="R82" s="1340" t="str">
        <f>IF(Q64&lt;&gt;"",IF(NOT(ISTEXT(VLOOKUP(Q64,Chem_Table,COLUMN(EI_C),FALSE))),"",VLOOKUP(Q64,Chem_Table,COLUMN(EI_C),FALSE)),"")</f>
        <v/>
      </c>
      <c r="S82" s="1340" t="str">
        <f>IF(Q64&lt;&gt;"",IF(NOT(ISTEXT(VLOOKUP(Q64,Chem_Table,COLUMN(FS_C),FALSE))),"",VLOOKUP(Q64,Chem_Table,COLUMN(FS_C),FALSE)),"")</f>
        <v/>
      </c>
      <c r="T82" s="1316" t="str">
        <f>IF(Q64&lt;&gt;"",IF(NOT(ISNUMBER(VLOOKUP(Q64,Chem_Table,COLUMN(NH_C),FALSE))),"",VLOOKUP(Q64,Chem_Table,COLUMN(NH_C),FALSE)),"")</f>
        <v/>
      </c>
      <c r="U82" s="1316" t="str">
        <f>IF(Q64&lt;&gt;"",IF(NOT(ISNUMBER(VLOOKUP(Q64,Chem_Table,COLUMN(NF_C),FALSE))),"",VLOOKUP(Q64,Chem_Table,COLUMN(NF_C),FALSE)),"")</f>
        <v/>
      </c>
      <c r="V82" s="1316" t="str">
        <f>IF(Q64&lt;&gt;"",IF(NOT(ISNUMBER(VLOOKUP(Q64,Chem_Table,COLUMN(NR_C),FALSE))),"",VLOOKUP(Q64,Chem_Table,COLUMN(NR_C),FALSE)),"")</f>
        <v/>
      </c>
      <c r="W82" s="1316" t="str">
        <f>IF(Q64&lt;&gt;"",IF(NOT(ISNUMBER(VLOOKUP(Q64,Chem_Table,COLUMN(AIgnite_C),FALSE))),"",VLOOKUP(Q64,Chem_Table,COLUMN(AIgnite_C),FALSE)),"")</f>
        <v/>
      </c>
      <c r="X82" s="1316" t="str">
        <f>IF(Q64&lt;&gt;"",IF(NOT(ISTEXT(VLOOKUP(Q64,Chem_Table,COLUMN(DTRS_C),FALSE))),"",VLOOKUP(Q64,Chem_Table,COLUMN(DTRS_C),FALSE)),"")</f>
        <v/>
      </c>
      <c r="Y82" s="1316" t="str">
        <f>IF(Q64&lt;&gt;"",IF(NOT(ISTEXT(VLOOKUP(Q64,Chem_Table,COLUMN(ATRS_C),FALSE))),"",VLOOKUP(Q64,Chem_Table,COLUMN(ATRS_C),FALSE)),"")</f>
        <v/>
      </c>
      <c r="Z82" s="1316" t="str">
        <f>IF(Q64&lt;&gt;"",IF(NOT(ISTEXT(VLOOKUP(Q64,Chem_Table,COLUMN(Conductive_C),FALSE))),"",VLOOKUP(Q64,Chem_Table,COLUMN(Conductive_C),FALSE)),"")</f>
        <v/>
      </c>
      <c r="AA82" s="1317" t="str">
        <f>IF(Q64&lt;&gt;"",IF(NOT(ISNUMBER(VLOOKUP(Q64,Chem_Table,COLUMN(BP_C),FALSE))),"",VLOOKUP(Q64,Chem_Table,COLUMN(BP_C),FALSE)),"")</f>
        <v/>
      </c>
      <c r="AB82" s="113" t="str">
        <f>IF(OR(Q64="",AA82="",T82="",U82=""),"",LOOKUP(LOOKUP(IF(AA82&lt;30,IF(S73&gt;990000,INDEX(TC_BPLT30,4),LOOKUP(S73,ERPG3_Range,TC_BPLT30)),IF(AA82&lt;60,IF(S73&gt;990000,INDEX(TC_BP30TO60,4),LOOKUP(S73,ERPG3_Range,TC_BP30TO60)),IF(AA82&lt;150,IF(S73&gt;990000,INDEX(TC_BP60TO150,4),LOOKUP(S73,ERPG3_Range,TC_BP60TO150)),IF(S73&gt;990000,INDEX(TC_BPGT150,4),LOOKUP(S73,ERPG3_Range,TC_BPGT150))))),Class,TC_SCORE)+LOOKUP(V82,Class,NR_SCORE)+LOOKUP(U82,Class,NF_SCORE)*IF(AND(AA82&gt;30,T&gt;AA82),1.5,1)+LOOKUP(T82,Class,NH_SCORE),HAZ_SCORE,HAZ_CATEGORY))</f>
        <v/>
      </c>
      <c r="AG82" s="26"/>
      <c r="AH82" s="386"/>
      <c r="AI82" s="3489" t="str">
        <f>HT_Name_2</f>
        <v/>
      </c>
      <c r="AJ82" s="3490"/>
      <c r="AK82" s="2434">
        <f t="shared" ref="AK82:AK85" si="12">IF(AA$68&gt;0,AA64/AA$68,0)+IF(AB$68&gt;0,AB64/AB$68,0)</f>
        <v>0</v>
      </c>
      <c r="AL82" s="2435" t="str">
        <f t="shared" ref="AL82:AL85" si="13">IF(T64="","",AK82*EXP(T64-U64/(AC$62+273.15-V64)))</f>
        <v/>
      </c>
      <c r="AM82" s="2436" t="str">
        <f>IF(T64="","",AK82*EXP(T64-U64/(Ambient_Temp+273.15-V64)))</f>
        <v/>
      </c>
    </row>
    <row r="83" spans="1:39" ht="13.5" hidden="1" thickBot="1" x14ac:dyDescent="0.3">
      <c r="A83" s="549"/>
      <c r="B83" s="362" t="s">
        <v>2074</v>
      </c>
      <c r="C83" s="2457" t="str">
        <f>IF(C60&lt;&gt;"",IF(NOT(ISTEXT(VLOOKUP(C60,Chem_Table,COLUMN(Dust_Class_C),FALSE))),"",VLOOKUP(C60,Chem_Table,COLUMN(Dust_Class_C),FALSE)),"")</f>
        <v/>
      </c>
      <c r="D83" s="2187" t="str">
        <f>IF(D60&lt;&gt;"",IF(NOT(ISTEXT(VLOOKUP(D60,Chem_Table,COLUMN(Dust_Class_C),FALSE))),"",VLOOKUP(D60,Chem_Table,COLUMN(Dust_Class_C),FALSE)),"")</f>
        <v/>
      </c>
      <c r="E83" s="2187" t="str">
        <f>IF(E60&lt;&gt;"",IF(NOT(ISTEXT(VLOOKUP(E60,Chem_Table,COLUMN(Dust_Class_C),FALSE))),"",VLOOKUP(E60,Chem_Table,COLUMN(Dust_Class_C),FALSE)),"")</f>
        <v/>
      </c>
      <c r="F83" s="2188" t="str">
        <f>IF(F60&lt;&gt;"",IF(NOT(ISTEXT(VLOOKUP(F60,Chem_Table,COLUMN(Dust_Class_C),FALSE))),"",VLOOKUP(F60,Chem_Table,COLUMN(Dust_Class_C),FALSE)),"")</f>
        <v/>
      </c>
      <c r="G83" s="2454" t="str">
        <f>IF(G60&lt;&gt;"",IF(NOT(ISTEXT(VLOOKUP(G60,Chem_Table,COLUMN(Dust_Class_C),FALSE))),"",VLOOKUP(G60,Chem_Table,COLUMN(Dust_Class_C),FALSE)),"")</f>
        <v/>
      </c>
      <c r="H83" s="2195" t="str">
        <f>IF(OR(C83="Class 3",D83="Class 3",E83="Class 3",F83="Class 3",G83="Class 3"),"Class 3",IF(OR(C83="Class 2",D83="Class 2",E83="Class 2",F83="Class 2",G83="Class 2"),"Class 2",IF(OR(C83="Class 1",D83="Class 1",E83="Class 1",F83="Class 1",G83="Class 1"),"Class 1","")))</f>
        <v/>
      </c>
      <c r="I83" s="550" t="s">
        <v>2096</v>
      </c>
      <c r="J83" s="549"/>
      <c r="K83" s="549"/>
      <c r="N83" s="362" t="s">
        <v>2076</v>
      </c>
      <c r="O83" s="1327" t="str">
        <f>IF(Heating_Media_Name&lt;&gt;"",IF(NOT(ISTEXT(VLOOKUP(Heating_Media_Name,Chem_Table,COLUMN(DTRS_C),FALSE))),X86,VLOOKUP(Heating_Media_Name,Chem_Table,COLUMN(DTRS_C),FALSE)),X86)</f>
        <v/>
      </c>
      <c r="Q83" s="1315" t="str">
        <f>Q65</f>
        <v/>
      </c>
      <c r="R83" s="1340" t="str">
        <f>IF(Q65&lt;&gt;"",IF(NOT(ISTEXT(VLOOKUP(Q65,Chem_Table,COLUMN(EI_C),FALSE))),"",VLOOKUP(Q65,Chem_Table,COLUMN(EI_C),FALSE)),"")</f>
        <v/>
      </c>
      <c r="S83" s="1340" t="str">
        <f>IF(Q65&lt;&gt;"",IF(NOT(ISTEXT(VLOOKUP(Q65,Chem_Table,COLUMN(FS_C),FALSE))),"",VLOOKUP(Q65,Chem_Table,COLUMN(FS_C),FALSE)),"")</f>
        <v/>
      </c>
      <c r="T83" s="1316" t="str">
        <f>IF(Q65&lt;&gt;"",IF(NOT(ISNUMBER(VLOOKUP(Q65,Chem_Table,COLUMN(NH_C),FALSE))),"",VLOOKUP(Q65,Chem_Table,COLUMN(NH_C),FALSE)),"")</f>
        <v/>
      </c>
      <c r="U83" s="1316" t="str">
        <f>IF(Q65&lt;&gt;"",IF(NOT(ISNUMBER(VLOOKUP(Q65,Chem_Table,COLUMN(NF_C),FALSE))),"",VLOOKUP(Q65,Chem_Table,COLUMN(NF_C),FALSE)),"")</f>
        <v/>
      </c>
      <c r="V83" s="1316" t="str">
        <f>IF(Q65&lt;&gt;"",IF(NOT(ISNUMBER(VLOOKUP(Q65,Chem_Table,COLUMN(NR_C),FALSE))),"",VLOOKUP(Q65,Chem_Table,COLUMN(NR_C),FALSE)),"")</f>
        <v/>
      </c>
      <c r="W83" s="1316" t="str">
        <f>IF(Q65&lt;&gt;"",IF(NOT(ISNUMBER(VLOOKUP(Q65,Chem_Table,COLUMN(AIgnite_C),FALSE))),"",VLOOKUP(Q65,Chem_Table,COLUMN(AIgnite_C),FALSE)),"")</f>
        <v/>
      </c>
      <c r="X83" s="1316" t="str">
        <f>IF(Q65&lt;&gt;"",IF(NOT(ISTEXT(VLOOKUP(Q65,Chem_Table,COLUMN(DTRS_C),FALSE))),"",VLOOKUP(Q65,Chem_Table,COLUMN(DTRS_C),FALSE)),"")</f>
        <v/>
      </c>
      <c r="Y83" s="1316" t="str">
        <f>IF(Q65&lt;&gt;"",IF(NOT(ISTEXT(VLOOKUP(Q65,Chem_Table,COLUMN(ATRS_C),FALSE))),"",VLOOKUP(Q65,Chem_Table,COLUMN(ATRS_C),FALSE)),"")</f>
        <v/>
      </c>
      <c r="Z83" s="1316" t="str">
        <f>IF(Q65&lt;&gt;"",IF(NOT(ISTEXT(VLOOKUP(Q65,Chem_Table,COLUMN(Conductive_C),FALSE))),"",VLOOKUP(Q65,Chem_Table,COLUMN(Conductive_C),FALSE)),"")</f>
        <v/>
      </c>
      <c r="AA83" s="1317" t="str">
        <f>IF(Q65&lt;&gt;"",IF(NOT(ISNUMBER(VLOOKUP(Q65,Chem_Table,COLUMN(BP_C),FALSE))),"",VLOOKUP(Q65,Chem_Table,COLUMN(BP_C),FALSE)),"")</f>
        <v/>
      </c>
      <c r="AB83" s="113" t="str">
        <f>IF(OR(Q65="",AA83="",T83="",U83=""),"",LOOKUP(LOOKUP(IF(AA83&lt;30,IF(S74&gt;990000,INDEX(TC_BPLT30,4),LOOKUP(S74,ERPG3_Range,TC_BPLT30)),IF(AA83&lt;60,IF(S74&gt;990000,INDEX(TC_BP30TO60,4),LOOKUP(S74,ERPG3_Range,TC_BP30TO60)),IF(AA83&lt;150,IF(S74&gt;990000,INDEX(TC_BP60TO150,4),LOOKUP(S74,ERPG3_Range,TC_BP60TO150)),IF(S74&gt;990000,INDEX(TC_BPGT150,4),LOOKUP(S74,ERPG3_Range,TC_BPGT150))))),Class,TC_SCORE)+LOOKUP(V83,Class,NR_SCORE)+LOOKUP(U83,Class,NF_SCORE)*IF(AND(AA83&gt;30,T&gt;AA83),1.5,1)+LOOKUP(T83,Class,NH_SCORE),HAZ_SCORE,HAZ_CATEGORY))</f>
        <v/>
      </c>
      <c r="AG83" s="26"/>
      <c r="AH83" s="26"/>
      <c r="AI83" s="3489" t="str">
        <f>HT_Name_3</f>
        <v/>
      </c>
      <c r="AJ83" s="3490"/>
      <c r="AK83" s="2434">
        <f t="shared" si="12"/>
        <v>0</v>
      </c>
      <c r="AL83" s="2435" t="str">
        <f t="shared" si="13"/>
        <v/>
      </c>
      <c r="AM83" s="2436" t="str">
        <f>IF(T65="","",AK83*EXP(T65-U65/(Ambient_Temp+273.15-V65)))</f>
        <v/>
      </c>
    </row>
    <row r="84" spans="1:39" ht="13.5" hidden="1" thickBot="1" x14ac:dyDescent="0.3">
      <c r="A84" s="549"/>
      <c r="B84" s="362" t="s">
        <v>2104</v>
      </c>
      <c r="C84" s="2457" t="str">
        <f>IF(C60&lt;&gt;"",IF(NOT(ISNUMBER(VLOOKUP(C60,Chem_Table,COLUMN(Dust_Size_C),FALSE))),"",VLOOKUP(C60,Chem_Table,COLUMN(Dust_Size_C),FALSE)),"")</f>
        <v/>
      </c>
      <c r="D84" s="2187" t="str">
        <f>IF(D60&lt;&gt;"",IF(NOT(ISNUMBER(VLOOKUP(D60,Chem_Table,COLUMN(Dust_Size_C),FALSE))),"",VLOOKUP(D60,Chem_Table,COLUMN(Dust_Size_C),FALSE)),"")</f>
        <v/>
      </c>
      <c r="E84" s="2187" t="str">
        <f>IF(E60&lt;&gt;"",IF(NOT(ISNUMBER(VLOOKUP(E60,Chem_Table,COLUMN(Dust_Size_C),FALSE))),"",VLOOKUP(E60,Chem_Table,COLUMN(Dust_Size_C),FALSE)),"")</f>
        <v/>
      </c>
      <c r="F84" s="2188" t="str">
        <f>IF(F60&lt;&gt;"",IF(NOT(ISNUMBER(VLOOKUP(F60,Chem_Table,COLUMN(Dust_Size_C),FALSE))),"",VLOOKUP(F60,Chem_Table,COLUMN(Dust_Size_C),FALSE)),"")</f>
        <v/>
      </c>
      <c r="G84" s="2454" t="str">
        <f>IF(G60&lt;&gt;"",IF(NOT(ISNUMBER(VLOOKUP(G60,Chem_Table,COLUMN(Dust_Size_C),FALSE))),"",VLOOKUP(G60,Chem_Table,COLUMN(Dust_Size_C),FALSE)),"")</f>
        <v/>
      </c>
      <c r="H84" s="2194" t="str">
        <f>IF(AND(C84="",D84="",E84="",F84="",G84=""),"",MIN(C84:F84))</f>
        <v/>
      </c>
      <c r="I84" s="550" t="s">
        <v>2096</v>
      </c>
      <c r="J84" s="549"/>
      <c r="K84" s="549"/>
      <c r="N84" s="362" t="s">
        <v>2077</v>
      </c>
      <c r="O84" s="1327" t="str">
        <f>IF(Heating_Media_Name&lt;&gt;"",IF(NOT(ISTEXT(VLOOKUP(Heating_Media_Name,Chem_Table,COLUMN(ATRS_C),FALSE))),Y86,VLOOKUP(Heating_Media_Name,Chem_Table,COLUMN(ATRS_C),FALSE)),Y86)</f>
        <v/>
      </c>
      <c r="Q84" s="1315" t="str">
        <f>Q66</f>
        <v/>
      </c>
      <c r="R84" s="1340" t="str">
        <f>IF(Q66&lt;&gt;"",IF(NOT(ISTEXT(VLOOKUP(Q66,Chem_Table,COLUMN(EI_C),FALSE))),"",VLOOKUP(Q66,Chem_Table,COLUMN(EI_C),FALSE)),"")</f>
        <v/>
      </c>
      <c r="S84" s="1340" t="str">
        <f>IF(Q66&lt;&gt;"",IF(NOT(ISTEXT(VLOOKUP(Q66,Chem_Table,COLUMN(FS_C),FALSE))),"",VLOOKUP(Q66,Chem_Table,COLUMN(FS_C),FALSE)),"")</f>
        <v/>
      </c>
      <c r="T84" s="1316" t="str">
        <f>IF(Q66&lt;&gt;"",IF(NOT(ISNUMBER(VLOOKUP(Q66,Chem_Table,COLUMN(NH_C),FALSE))),"",VLOOKUP(Q66,Chem_Table,COLUMN(NH_C),FALSE)),"")</f>
        <v/>
      </c>
      <c r="U84" s="1316" t="str">
        <f>IF(Q66&lt;&gt;"",IF(NOT(ISNUMBER(VLOOKUP(Q66,Chem_Table,COLUMN(NF_C),FALSE))),"",VLOOKUP(Q66,Chem_Table,COLUMN(NF_C),FALSE)),"")</f>
        <v/>
      </c>
      <c r="V84" s="1316" t="str">
        <f>IF(Q66&lt;&gt;"",IF(NOT(ISNUMBER(VLOOKUP(Q66,Chem_Table,COLUMN(NR_C),FALSE))),"",VLOOKUP(Q66,Chem_Table,COLUMN(NR_C),FALSE)),"")</f>
        <v/>
      </c>
      <c r="W84" s="1316" t="str">
        <f>IF(Q66&lt;&gt;"",IF(NOT(ISNUMBER(VLOOKUP(Q66,Chem_Table,COLUMN(AIgnite_C),FALSE))),"",VLOOKUP(Q66,Chem_Table,COLUMN(AIgnite_C),FALSE)),"")</f>
        <v/>
      </c>
      <c r="X84" s="1316" t="str">
        <f>IF(Q66&lt;&gt;"",IF(NOT(ISTEXT(VLOOKUP(Q66,Chem_Table,COLUMN(DTRS_C),FALSE))),"",VLOOKUP(Q66,Chem_Table,COLUMN(DTRS_C),FALSE)),"")</f>
        <v/>
      </c>
      <c r="Y84" s="1316" t="str">
        <f>IF(Q66&lt;&gt;"",IF(NOT(ISTEXT(VLOOKUP(Q66,Chem_Table,COLUMN(ATRS_C),FALSE))),"",VLOOKUP(Q66,Chem_Table,COLUMN(ATRS_C),FALSE)),"")</f>
        <v/>
      </c>
      <c r="Z84" s="1316" t="str">
        <f>IF(Q66&lt;&gt;"",IF(NOT(ISTEXT(VLOOKUP(Q66,Chem_Table,COLUMN(Conductive_C),FALSE))),"",VLOOKUP(Q66,Chem_Table,COLUMN(Conductive_C),FALSE)),"")</f>
        <v/>
      </c>
      <c r="AA84" s="1317" t="str">
        <f>IF(Q66&lt;&gt;"",IF(NOT(ISNUMBER(VLOOKUP(Q66,Chem_Table,COLUMN(BP_C),FALSE))),"",VLOOKUP(Q66,Chem_Table,COLUMN(BP_C),FALSE)),"")</f>
        <v/>
      </c>
      <c r="AB84" s="113" t="str">
        <f>IF(OR(Q66="",AA84="",T84="",U84=""),"",LOOKUP(LOOKUP(IF(AA84&lt;30,IF(S75&gt;990000,INDEX(TC_BPLT30,4),LOOKUP(S75,ERPG3_Range,TC_BPLT30)),IF(AA84&lt;60,IF(S75&gt;990000,INDEX(TC_BP30TO60,4),LOOKUP(S75,ERPG3_Range,TC_BP30TO60)),IF(AA84&lt;150,IF(S75&gt;990000,INDEX(TC_BP60TO150,4),LOOKUP(S75,ERPG3_Range,TC_BP60TO150)),IF(S75&gt;990000,INDEX(TC_BPGT150,4),LOOKUP(S75,ERPG3_Range,TC_BPGT150))))),Class,TC_SCORE)+LOOKUP(V84,Class,NR_SCORE)+LOOKUP(U84,Class,NF_SCORE)*IF(AND(AA84&gt;30,T&gt;AA84),1.5,1)+LOOKUP(T84,Class,NH_SCORE),HAZ_SCORE,HAZ_CATEGORY))</f>
        <v/>
      </c>
      <c r="AG84" s="29"/>
      <c r="AI84" s="3489" t="str">
        <f>HT_Name_4</f>
        <v/>
      </c>
      <c r="AJ84" s="3490"/>
      <c r="AK84" s="2434">
        <f t="shared" si="12"/>
        <v>0</v>
      </c>
      <c r="AL84" s="2435" t="str">
        <f t="shared" si="13"/>
        <v/>
      </c>
      <c r="AM84" s="2436" t="str">
        <f>IF(T66="","",AK84*EXP(T66-U66/(Ambient_Temp+273.15-V66)))</f>
        <v/>
      </c>
    </row>
    <row r="85" spans="1:39" ht="13.5" hidden="1" thickBot="1" x14ac:dyDescent="0.3">
      <c r="A85" s="549"/>
      <c r="B85" s="362" t="s">
        <v>2107</v>
      </c>
      <c r="C85" s="2457" t="str">
        <f>IF(C60&lt;&gt;"",IF(NOT(ISNUMBER(VLOOKUP(C60,Chem_Table,COLUMN(Fraction_Dust_C),FALSE))),"",VLOOKUP(C60,Chem_Table,COLUMN(Fraction_Dust_C),FALSE)),"")</f>
        <v/>
      </c>
      <c r="D85" s="2187" t="str">
        <f>IF(D60&lt;&gt;"",IF(NOT(ISNUMBER(VLOOKUP(D60,Chem_Table,COLUMN(Fraction_Dust_C),FALSE))),"",VLOOKUP(D60,Chem_Table,COLUMN(Fraction_Dust_C),FALSE)),"")</f>
        <v/>
      </c>
      <c r="E85" s="2187" t="str">
        <f>IF(E60&lt;&gt;"",IF(NOT(ISNUMBER(VLOOKUP(E60,Chem_Table,COLUMN(Fraction_Dust_C),FALSE))),"",VLOOKUP(E60,Chem_Table,COLUMN(Fraction_Dust_C),FALSE)),"")</f>
        <v/>
      </c>
      <c r="F85" s="2188" t="str">
        <f>IF(F60&lt;&gt;"",IF(NOT(ISNUMBER(VLOOKUP(F60,Chem_Table,COLUMN(Fraction_Dust_C),FALSE))),"",VLOOKUP(F60,Chem_Table,COLUMN(Fraction_Dust_C),FALSE)),"")</f>
        <v/>
      </c>
      <c r="G85" s="2454" t="str">
        <f>IF(G60&lt;&gt;"",IF(NOT(ISNUMBER(VLOOKUP(G60,Chem_Table,COLUMN(Fraction_Dust_C),FALSE))),"",VLOOKUP(G60,Chem_Table,COLUMN(Fraction_Dust_C),FALSE)),"")</f>
        <v/>
      </c>
      <c r="H85" s="2194" t="str">
        <f>IF(AND(C85="",D85="",E85="",F85="",G85=""),"",MIN(C85:F85))</f>
        <v/>
      </c>
      <c r="I85" s="550" t="s">
        <v>2096</v>
      </c>
      <c r="J85" s="549"/>
      <c r="K85" s="549"/>
      <c r="N85" s="1349" t="s">
        <v>3186</v>
      </c>
      <c r="O85" s="1327" t="str">
        <f>IF(Heating_Media_Name&lt;&gt;0,IF(NOT(ISNUMBER(VLOOKUP(Heating_Media_Name,Chem_Table,COLUMN(Conductive_C),FALSE))),Z86,VLOOKUP(Heating_Media_Name,Chem_Table,COLUMN(Conductive_C),FALSE)),Z86)</f>
        <v/>
      </c>
      <c r="Q85" s="1315" t="str">
        <f>Q67</f>
        <v/>
      </c>
      <c r="R85" s="1345" t="str">
        <f>IF(Q67&lt;&gt;"",IF(NOT(ISTEXT(VLOOKUP(Q67,Chem_Table,COLUMN(EI_C),FALSE))),"",VLOOKUP(Q67,Chem_Table,COLUMN(EI_C),FALSE)),"")</f>
        <v/>
      </c>
      <c r="S85" s="1345" t="str">
        <f>IF(Q67&lt;&gt;"",IF(NOT(ISTEXT(VLOOKUP(Q67,Chem_Table,COLUMN(FS_C),FALSE))),"",VLOOKUP(Q67,Chem_Table,COLUMN(FS_C),FALSE)),"")</f>
        <v/>
      </c>
      <c r="T85" s="1346" t="str">
        <f>IF(Q67&lt;&gt;"",IF(NOT(ISNUMBER(VLOOKUP(Q67,Chem_Table,COLUMN(NH_C),FALSE))),"",VLOOKUP(Q67,Chem_Table,COLUMN(NH_C),FALSE)),"")</f>
        <v/>
      </c>
      <c r="U85" s="1346" t="str">
        <f>IF(Q67&lt;&gt;"",IF(NOT(ISNUMBER(VLOOKUP(Q67,Chem_Table,COLUMN(NF_C),FALSE))),"",VLOOKUP(Q67,Chem_Table,COLUMN(NF_C),FALSE)),"")</f>
        <v/>
      </c>
      <c r="V85" s="1346" t="str">
        <f>IF(Q67&lt;&gt;"",IF(NOT(ISNUMBER(VLOOKUP(Q67,Chem_Table,COLUMN(NR_C),FALSE))),"",VLOOKUP(Q67,Chem_Table,COLUMN(NR_C),FALSE)),"")</f>
        <v/>
      </c>
      <c r="W85" s="1316" t="str">
        <f>IF(Q67&lt;&gt;"",IF(NOT(ISNUMBER(VLOOKUP(Q67,Chem_Table,COLUMN(AIgnite_C),FALSE))),"",VLOOKUP(Q67,Chem_Table,COLUMN(AIgnite_C),FALSE)),"")</f>
        <v/>
      </c>
      <c r="X85" s="1346" t="str">
        <f>IF(Q67&lt;&gt;"",IF(NOT(ISTEXT(VLOOKUP(Q67,Chem_Table,COLUMN(DTRS_C),FALSE))),"",VLOOKUP(Q67,Chem_Table,COLUMN(DTRS_C),FALSE)),"")</f>
        <v/>
      </c>
      <c r="Y85" s="1346" t="str">
        <f>IF(Q67&lt;&gt;"",IF(NOT(ISTEXT(VLOOKUP(Q67,Chem_Table,COLUMN(ATRS_C),FALSE))),"",VLOOKUP(Q67,Chem_Table,COLUMN(ATRS_C),FALSE)),"")</f>
        <v/>
      </c>
      <c r="Z85" s="1316" t="str">
        <f>IF(Q67&lt;&gt;"",IF(NOT(ISTEXT(VLOOKUP(Q67,Chem_Table,COLUMN(Conductive_C),FALSE))),"",VLOOKUP(Q67,Chem_Table,COLUMN(Conductive_C),FALSE)),"")</f>
        <v/>
      </c>
      <c r="AA85" s="1348" t="str">
        <f>IF(Q67&lt;&gt;"",IF(NOT(ISNUMBER(VLOOKUP(Q67,Chem_Table,COLUMN(BP_C),FALSE))),"",VLOOKUP(Q67,Chem_Table,COLUMN(BP_C),FALSE)),"")</f>
        <v/>
      </c>
      <c r="AB85" s="113" t="str">
        <f>IF(OR(Q67="",AA85="",T85="",U85=""),"",LOOKUP(LOOKUP(IF(AA85&lt;30,IF(S76&gt;990000,INDEX(TC_BPLT30,4),LOOKUP(S76,ERPG3_Range,TC_BPLT30)),IF(AA85&lt;60,IF(S76&gt;990000,INDEX(TC_BP30TO60,4),LOOKUP(S76,ERPG3_Range,TC_BP30TO60)),IF(AA85&lt;150,IF(S76&gt;990000,INDEX(TC_BP60TO150,4),LOOKUP(S76,ERPG3_Range,TC_BP60TO150)),IF(S76&gt;990000,INDEX(TC_BPGT150,4),LOOKUP(S76,ERPG3_Range,TC_BPGT150))))),Class,TC_SCORE)+LOOKUP(V85,Class,NR_SCORE)+LOOKUP(U85,Class,NF_SCORE)*IF(AND(AA85&gt;30,T&gt;AA85),1.5,1)+LOOKUP(T85,Class,NH_SCORE),HAZ_SCORE,HAZ_CATEGORY))</f>
        <v/>
      </c>
      <c r="AE85" s="1318"/>
      <c r="AG85" s="3436"/>
      <c r="AI85" s="3489" t="str">
        <f>HT_Name_5</f>
        <v/>
      </c>
      <c r="AJ85" s="3490"/>
      <c r="AK85" s="2434">
        <f t="shared" si="12"/>
        <v>0</v>
      </c>
      <c r="AL85" s="2435" t="str">
        <f t="shared" si="13"/>
        <v/>
      </c>
      <c r="AM85" s="2436" t="str">
        <f>IF(T67="","",AK85*EXP(T67-U67/(Ambient_Temp+273.15-V67)))</f>
        <v/>
      </c>
    </row>
    <row r="86" spans="1:39" ht="13.5" hidden="1" thickBot="1" x14ac:dyDescent="0.3">
      <c r="A86" s="549"/>
      <c r="B86" s="362" t="s">
        <v>2105</v>
      </c>
      <c r="C86" s="2457" t="str">
        <f>IF(C60&lt;&gt;"",IF(NOT(ISNUMBER(VLOOKUP(C60,Chem_Table,COLUMN(Dust_MIE_C),FALSE))),"",VLOOKUP(C60,Chem_Table,COLUMN(Dust_MIE_C),FALSE)),"")</f>
        <v/>
      </c>
      <c r="D86" s="2187" t="str">
        <f>IF(D60&lt;&gt;"",IF(NOT(ISNUMBER(VLOOKUP(D60,Chem_Table,COLUMN(Dust_MIE_C),FALSE))),"",VLOOKUP(D60,Chem_Table,COLUMN(Dust_MIE_C),FALSE)),"")</f>
        <v/>
      </c>
      <c r="E86" s="2187" t="str">
        <f>IF(E60&lt;&gt;"",IF(NOT(ISNUMBER(VLOOKUP(E60,Chem_Table,COLUMN(Dust_MIE_C),FALSE))),"",VLOOKUP(E60,Chem_Table,COLUMN(Dust_MIE_C),FALSE)),"")</f>
        <v/>
      </c>
      <c r="F86" s="2188" t="str">
        <f>IF(F60&lt;&gt;"",IF(NOT(ISNUMBER(VLOOKUP(F60,Chem_Table,COLUMN(Dust_MIE_C),FALSE))),"",VLOOKUP(F60,Chem_Table,COLUMN(Dust_MIE_C),FALSE)),"")</f>
        <v/>
      </c>
      <c r="G86" s="2454" t="str">
        <f>IF(G60&lt;&gt;"",IF(NOT(ISNUMBER(VLOOKUP(G60,Chem_Table,COLUMN(Dust_MIE_C),FALSE))),"",VLOOKUP(G60,Chem_Table,COLUMN(Dust_MIE_C),FALSE)),"")</f>
        <v/>
      </c>
      <c r="H86" s="2194" t="str">
        <f>IF(AND(C86="",D86="",E86="",F86="",G86=""),"",MIN(C86:F86))</f>
        <v/>
      </c>
      <c r="I86" s="550" t="s">
        <v>2096</v>
      </c>
      <c r="J86" s="549"/>
      <c r="K86" s="549"/>
      <c r="R86" s="1341" t="str">
        <f>IF(OR(R81="High",R82="High",S83="High",S84="High",S85="High"),"High",IF(OR(R81="Elevated",R82="Elevated",R83="Elevated",R84="Elevated",R85="Elevated"),"Elevated",IF(OR(R81="Normal",R82="Normal",R83="Normal",R84="Normal",R85="Normal"),"Normal",IF(AND(R81="Low",OR(R82="Low",HT_Fract_2=""),OR(R83="Low",HT_Fract_3=""),OR(R84="Low",HT_Fract_4=""),OR(R85="Low",HT_Fract_5="")),"Low",""))))</f>
        <v/>
      </c>
      <c r="S86" s="1341" t="str">
        <f>IF(OR(S81="High",S82="High",S83="High",S84="High",S85="High"),"High",IF(OR(S81="Medium",S82="Medium",S83="Medium",S84="Medium",S85="Medium"),"Medium",IF(AND(S81="Low",OR(S82="Low",HT_Fract_2=""),OR(S83="Low",HT_Fract_3=""),OR(S84="Low",HT_Fract_4=""),OR(S85="Low",HT_Fract_5="")),"Low","")))</f>
        <v/>
      </c>
      <c r="T86" s="1327">
        <f>MAX(T81:T85)</f>
        <v>0</v>
      </c>
      <c r="U86" s="1327">
        <f>MAX(U81:U85)</f>
        <v>0</v>
      </c>
      <c r="V86" s="1327">
        <f>MAX(V81:V85)</f>
        <v>0</v>
      </c>
      <c r="W86" s="1327">
        <f>MIN(W81:W85)</f>
        <v>0</v>
      </c>
      <c r="X86" s="1337" t="str">
        <f>IF(OR(X81="Very Toxic",X82="Very Toxic",X83="Very Toxic",X84="Very Toxic",X85="Very Toxic"),"Very Toxic",IF(OR(X81="Toxic",X82="Toxic",X83="Toxic",X84="Toxic",X85="Toxic"),"Toxic",IF(OR(X81="Corrosive",X82="Corrosive",X83="Corrosive",X84="Corrosive",X85="Corrosive"),"Corrosive",IF(OR(X81="Harmful",X82="Harmful",X83="Harmful",X84="Harmful",X85="Harmful"),"Harmful",IF(AND(X81="NA",OR(X82="NA",HT_Fract_2=""),OR(X83="NA",HT_Fract_3=""),OR(X84="NA",HT_Fract_4=""),OR(X85="NA",HT_Fract_5="")),"NA","")))))</f>
        <v/>
      </c>
      <c r="Y86" s="1327" t="str">
        <f>IF(OR(Y81="Very Toxic",Y82="Very Toxic",Y83="Very Toxic",Y84="Very Toxic",Y85="Very Toxic"),"Very Toxic",IF(OR(Y81="Toxic",Y82="Toxic",Y83="Toxic",Y84="Toxic",Y85="Toxic"),"Toxic",IF(OR(Y81="Harmful",Y82="Harmful",Y83="Harmful",Y84="Harmful",Y85="Harmful"),"Harmful",IF(AND(Y81="NA",OR(Y82="NA",HT_Fract_2=""),OR(Y83="NA",HT_Fract_3=""),OR(Y84="NA",HT_Fract_4=""),OR(Y85="NA",HT_Fract_5="")),"NA",""))))</f>
        <v/>
      </c>
      <c r="Z86" s="1337" t="str">
        <f>IF(OR(Z81="Non-Conductive",Z82="Non-Conductive",Z83="Non-Conductive",Z84="Non-Conductive",Z85="Non-Conductive"),"Non-Conductive",IF(OR(Z81="Semi-Conductive",Z82="Semi-Conductive",Z83="Semi-Conductive",Z84="Semi-Conductive",Z85="Semi-Conductive"),"Semi-Conductive",IF(AND(Z81="Conductive",OR(Z82="Conductive",HT_Fract_2=""),OR(Z83="Conductive",HT_Fract_3=""),OR(Z84="Conductive",HT_Fract_4=""),OR(Z85="Conductive",HT_Fract_5="")),"Conductive","")))</f>
        <v/>
      </c>
      <c r="AA86" s="1327" t="str">
        <f>IF(ISERROR(AVERAGE(AA81:AA85)),"",AVERAGE(AA81:AA85))</f>
        <v/>
      </c>
      <c r="AB86" s="430"/>
      <c r="AE86" s="1318"/>
      <c r="AF86" s="29"/>
      <c r="AG86" s="3570"/>
      <c r="AK86" s="335" t="s">
        <v>4636</v>
      </c>
      <c r="AL86" s="2433">
        <f>SUM(AL81:AL85)</f>
        <v>0</v>
      </c>
      <c r="AM86" s="2433">
        <f>SUM(AM81:AM85)</f>
        <v>0</v>
      </c>
    </row>
    <row r="87" spans="1:39" ht="13.5" hidden="1" thickBot="1" x14ac:dyDescent="0.3">
      <c r="A87" s="549"/>
      <c r="B87" s="23" t="s">
        <v>1995</v>
      </c>
      <c r="C87" s="2457" t="str">
        <f>IF(C60&lt;&gt;"",IF(NOT(ISTEXT(VLOOKUP(C60,Chem_Table,COLUMN(Dust_Hybrid_C),FALSE))),"",VLOOKUP(C60,Chem_Table,COLUMN(Dust_Hybrid_C),FALSE)),"")</f>
        <v/>
      </c>
      <c r="D87" s="2187" t="str">
        <f>IF(D60&lt;&gt;"",IF(NOT(ISTEXT(VLOOKUP(D60,Chem_Table,COLUMN(Dust_Hybrid_C),FALSE))),"",VLOOKUP(D60,Chem_Table,COLUMN(Dust_Hybrid_C),FALSE)),"")</f>
        <v/>
      </c>
      <c r="E87" s="2187" t="str">
        <f>IF(E60&lt;&gt;"",IF(NOT(ISTEXT(VLOOKUP(E60,Chem_Table,COLUMN(Dust_Hybrid_C),FALSE))),"",VLOOKUP(E60,Chem_Table,COLUMN(Dust_Hybrid_C),FALSE)),"")</f>
        <v/>
      </c>
      <c r="F87" s="2188" t="str">
        <f>IF(F60&lt;&gt;"",IF(NOT(ISTEXT(VLOOKUP(F60,Chem_Table,COLUMN(Dust_Hybrid_C),FALSE))),"",VLOOKUP(F60,Chem_Table,COLUMN(Dust_Hybrid_C),FALSE)),"")</f>
        <v/>
      </c>
      <c r="G87" s="2454" t="str">
        <f>IF(G60&lt;&gt;"",IF(NOT(ISTEXT(VLOOKUP(G60,Chem_Table,COLUMN(Dust_Hybrid_C),FALSE))),"",VLOOKUP(G60,Chem_Table,COLUMN(Dust_Hybrid_C),FALSE)),"")</f>
        <v/>
      </c>
      <c r="H87" s="2194" t="str">
        <f>IF(OR(C87="Yes",D87="Yes",E87="Yes",F87="Yes",G87="Yes"),"Yes",IF(AND(C87="No",OR(D87="No",D62=""),OR(E87="No",E62=""),OR(F87="No",F62=""),OR(G87="No",G62="")),"No",""))</f>
        <v/>
      </c>
      <c r="I87" s="550" t="s">
        <v>2096</v>
      </c>
      <c r="J87" s="549"/>
      <c r="K87" s="549"/>
      <c r="R87" s="1358"/>
      <c r="S87" s="1358"/>
      <c r="T87" s="5"/>
      <c r="U87" s="5"/>
      <c r="V87" s="5"/>
      <c r="W87" s="5"/>
      <c r="Y87" s="5"/>
      <c r="AA87" s="5"/>
      <c r="AB87" s="5"/>
      <c r="AC87" s="430"/>
      <c r="AF87" s="29"/>
      <c r="AG87" s="1318"/>
      <c r="AJ87" s="335" t="s">
        <v>4631</v>
      </c>
      <c r="AK87" s="2430" t="str">
        <f>IF(AL86=0,"",LN(AL86)+AL87/(230+V66))</f>
        <v/>
      </c>
      <c r="AL87" s="2429" t="str">
        <f>IF(AL86=0,"",LN(AM86/AL86)/(1/(230+V66)-1/(230+X66)))</f>
        <v/>
      </c>
      <c r="AM87" s="410">
        <v>43.15</v>
      </c>
    </row>
    <row r="88" spans="1:39" hidden="1" x14ac:dyDescent="0.25">
      <c r="A88" s="549"/>
      <c r="B88" s="362" t="s">
        <v>2106</v>
      </c>
      <c r="C88" s="2457" t="str">
        <f>IF(C60&lt;&gt;"",IF(NOT(ISNUMBER(VLOOKUP(C60,Chem_Table,COLUMN(ERPG1_C),FALSE))),"",VLOOKUP(C60,Chem_Table,COLUMN(ERPG1_C),FALSE)),"")</f>
        <v/>
      </c>
      <c r="D88" s="2187" t="str">
        <f>IF(D60&lt;&gt;"",IF(NOT(ISNUMBER(VLOOKUP(D60,Chem_Table,COLUMN(ERPG1_C),FALSE))),"",VLOOKUP(D60,Chem_Table,COLUMN(ERPG1_C),FALSE)),"")</f>
        <v/>
      </c>
      <c r="E88" s="2187" t="str">
        <f>IF(E60&lt;&gt;"",IF(NOT(ISNUMBER(VLOOKUP(E60,Chem_Table,COLUMN(ERPG1_C),FALSE))),"",VLOOKUP(E60,Chem_Table,COLUMN(ERPG1_C),FALSE)),"")</f>
        <v/>
      </c>
      <c r="F88" s="2188" t="str">
        <f>IF(F60&lt;&gt;"",IF(NOT(ISNUMBER(VLOOKUP(F60,Chem_Table,COLUMN(ERPG1_C),FALSE))),"",VLOOKUP(F60,Chem_Table,COLUMN(ERPG1_C),FALSE)),"")</f>
        <v/>
      </c>
      <c r="G88" s="2454" t="str">
        <f>IF(G60&lt;&gt;"",IF(NOT(ISNUMBER(VLOOKUP(G60,Chem_Table,COLUMN(ERPG1_C),FALSE))),"",VLOOKUP(G60,Chem_Table,COLUMN(ERPG1_C),FALSE)),"")</f>
        <v/>
      </c>
      <c r="H88" s="2189" t="str">
        <f>IF(AA35&gt;0,AA35,"")</f>
        <v/>
      </c>
      <c r="I88" s="549"/>
      <c r="J88" s="549"/>
      <c r="K88" s="549"/>
      <c r="R88" s="1358"/>
      <c r="S88" s="1358"/>
      <c r="T88" s="5"/>
      <c r="U88" s="5"/>
      <c r="V88" s="5"/>
      <c r="W88" s="5"/>
      <c r="Y88" s="5"/>
      <c r="AA88" s="5"/>
      <c r="AB88" s="5"/>
      <c r="AC88" s="430"/>
      <c r="AF88" s="1318"/>
      <c r="AG88" s="29"/>
      <c r="AH88" s="1318"/>
      <c r="AJ88" s="335" t="s">
        <v>4632</v>
      </c>
      <c r="AK88" s="2431" t="str">
        <f>IF(AK87="","",AL87/AK87-230)</f>
        <v/>
      </c>
      <c r="AL88" s="2432" t="s">
        <v>1836</v>
      </c>
    </row>
    <row r="89" spans="1:39" hidden="1" x14ac:dyDescent="0.25">
      <c r="A89" s="549"/>
      <c r="B89" s="362" t="s">
        <v>834</v>
      </c>
      <c r="C89" s="2457" t="str">
        <f>IF(C60&lt;&gt;"",IF(NOT(ISNUMBER(VLOOKUP(C60,Chem_Table,COLUMN(ERPG2_C),FALSE))),"",VLOOKUP(C60,Chem_Table,COLUMN(ERPG2_C),FALSE)),"")</f>
        <v/>
      </c>
      <c r="D89" s="2187" t="str">
        <f>IF(D60&lt;&gt;"",IF(NOT(ISNUMBER(VLOOKUP(D60,Chem_Table,COLUMN(ERPG2_C),FALSE))),"",VLOOKUP(D60,Chem_Table,COLUMN(ERPG2_C),FALSE)),"")</f>
        <v/>
      </c>
      <c r="E89" s="2187" t="str">
        <f>IF(E60&lt;&gt;"",IF(NOT(ISNUMBER(VLOOKUP(E60,Chem_Table,COLUMN(ERPG2_C),FALSE))),"",VLOOKUP(E60,Chem_Table,COLUMN(ERPG2_C),FALSE)),"")</f>
        <v/>
      </c>
      <c r="F89" s="2188" t="str">
        <f>IF(F60&lt;&gt;"",IF(NOT(ISNUMBER(VLOOKUP(F60,Chem_Table,COLUMN(ERPG2_C),FALSE))),"",VLOOKUP(F60,Chem_Table,COLUMN(ERPG2_C),FALSE)),"")</f>
        <v/>
      </c>
      <c r="G89" s="2454" t="str">
        <f>IF(G60&lt;&gt;"",IF(NOT(ISNUMBER(VLOOKUP(G60,Chem_Table,COLUMN(ERPG2_C),FALSE))),"",VLOOKUP(G60,Chem_Table,COLUMN(ERPG2_C),FALSE)),"")</f>
        <v/>
      </c>
      <c r="H89" s="2189" t="str">
        <f>IF(AB35&gt;0,AB35,"")</f>
        <v/>
      </c>
      <c r="I89" s="549"/>
      <c r="J89" s="549"/>
      <c r="K89" s="549"/>
      <c r="R89" s="1358"/>
      <c r="S89" s="1358"/>
      <c r="T89" s="5"/>
      <c r="U89" s="5"/>
      <c r="V89" s="5"/>
      <c r="W89" s="5"/>
      <c r="Y89" s="5"/>
      <c r="AA89" s="5"/>
      <c r="AB89" s="5"/>
      <c r="AC89" s="430"/>
      <c r="AF89" s="1318"/>
      <c r="AG89" s="29"/>
      <c r="AH89" s="1318"/>
    </row>
    <row r="90" spans="1:39" hidden="1" x14ac:dyDescent="0.25">
      <c r="A90" s="549"/>
      <c r="B90" s="362" t="s">
        <v>1984</v>
      </c>
      <c r="C90" s="2457" t="str">
        <f>IF(C60&lt;&gt;"",IF(NOT(ISNUMBER(VLOOKUP(C60,Chem_Table,COLUMN(ERPG3_C),FALSE))),"",VLOOKUP(C60,Chem_Table,COLUMN(ERPG3_C),FALSE)),"")</f>
        <v/>
      </c>
      <c r="D90" s="2187" t="str">
        <f>IF(D60&lt;&gt;"",IF(NOT(ISNUMBER(VLOOKUP(D60,Chem_Table,COLUMN(ERPG3_C),FALSE))),"",VLOOKUP(D60,Chem_Table,COLUMN(ERPG3_C),FALSE)),"")</f>
        <v/>
      </c>
      <c r="E90" s="2187" t="str">
        <f>IF(E60&lt;&gt;"",IF(NOT(ISNUMBER(VLOOKUP(E60,Chem_Table,COLUMN(ERPG3_C),FALSE))),"",VLOOKUP(E60,Chem_Table,COLUMN(ERPG3_C),FALSE)),"")</f>
        <v/>
      </c>
      <c r="F90" s="2188" t="str">
        <f>IF(F60&lt;&gt;"",IF(NOT(ISNUMBER(VLOOKUP(F60,Chem_Table,COLUMN(ERPG3_C),FALSE))),"",VLOOKUP(F60,Chem_Table,COLUMN(ERPG3_C),FALSE)),"")</f>
        <v/>
      </c>
      <c r="G90" s="2454" t="str">
        <f>IF(G60&lt;&gt;"",IF(NOT(ISNUMBER(VLOOKUP(G60,Chem_Table,COLUMN(ERPG3_C),FALSE))),"",VLOOKUP(G60,Chem_Table,COLUMN(ERPG3_C),FALSE)),"")</f>
        <v/>
      </c>
      <c r="H90" s="2196" t="str">
        <f>IF(AC35&gt;0,AC35,"")</f>
        <v/>
      </c>
      <c r="I90" s="549"/>
      <c r="J90" s="549"/>
      <c r="K90" s="549"/>
      <c r="AF90" s="387"/>
      <c r="AG90" s="1318"/>
      <c r="AH90" s="387"/>
    </row>
    <row r="91" spans="1:39" hidden="1" x14ac:dyDescent="0.25">
      <c r="A91" s="549"/>
      <c r="B91" s="362" t="s">
        <v>4743</v>
      </c>
      <c r="C91" s="2457" t="str">
        <f>IF(C60&lt;&gt;"",IF(NOT(ISTEXT(VLOOKUP(C60,Chem_Table,COLUMN(RegToxic_C),FALSE))),"",VLOOKUP(C60,Chem_Table,COLUMN(RegToxic_C),FALSE)),"")</f>
        <v/>
      </c>
      <c r="D91" s="2457" t="str">
        <f>IF(D60&lt;&gt;"",IF(NOT(ISTEXT(VLOOKUP(D60,Chem_Table,COLUMN(RegToxic_C),FALSE))),"",VLOOKUP(D60,Chem_Table,COLUMN(RegToxic_C),FALSE)),"")</f>
        <v/>
      </c>
      <c r="E91" s="2457" t="str">
        <f>IF(E60&lt;&gt;"",IF(NOT(ISTEXT(VLOOKUP(E60,Chem_Table,COLUMN(RegToxic_C),FALSE))),"",VLOOKUP(E60,Chem_Table,COLUMN(RegToxic_C),FALSE)),"")</f>
        <v/>
      </c>
      <c r="F91" s="2457" t="str">
        <f>IF(F60&lt;&gt;"",IF(NOT(ISTEXT(VLOOKUP(F60,Chem_Table,COLUMN(RegToxic_C),FALSE))),"",VLOOKUP(F60,Chem_Table,COLUMN(RegToxic_C),FALSE)),"")</f>
        <v/>
      </c>
      <c r="G91" s="2457" t="str">
        <f>IF(G60&lt;&gt;"",IF(NOT(ISTEXT(VLOOKUP(G60,Chem_Table,COLUMN(RegToxic_C),FALSE))),"",VLOOKUP(G60,Chem_Table,COLUMN(RegToxic_C),FALSE)),"")</f>
        <v/>
      </c>
      <c r="H91" s="2196" t="str">
        <f>IF(OR(C91="Yes",D91="Yes",E91="Yes",F91="Yes",G91="Yes"),"Yes","")</f>
        <v/>
      </c>
      <c r="I91" s="549"/>
      <c r="J91" s="549"/>
      <c r="K91" s="549"/>
      <c r="AF91" s="387"/>
      <c r="AG91" s="387"/>
      <c r="AH91" s="387"/>
    </row>
    <row r="92" spans="1:39" ht="15" hidden="1" x14ac:dyDescent="0.25">
      <c r="A92" s="549"/>
      <c r="B92" s="362" t="s">
        <v>4682</v>
      </c>
      <c r="C92" s="2512" t="str">
        <f>IF(C60&lt;&gt;"",IF(NOT(ISNUMBER(VLOOKUP(C60,Chem_Table,COLUMN(ProbitLC1_C),FALSE))),"",VLOOKUP(C60,Chem_Table,COLUMN(ProbitLC1_C),FALSE)),"")</f>
        <v/>
      </c>
      <c r="D92" s="2398"/>
      <c r="E92" s="2398"/>
      <c r="F92" s="2454"/>
      <c r="G92" s="2454"/>
      <c r="H92" s="2196" t="str">
        <f>IF(AQ35&gt;0,AQ35,"")</f>
        <v/>
      </c>
      <c r="I92" s="549"/>
      <c r="J92" s="549"/>
      <c r="K92" s="549"/>
      <c r="AF92" s="387"/>
      <c r="AG92" s="387"/>
      <c r="AH92" s="387"/>
    </row>
    <row r="93" spans="1:39" ht="12.75" hidden="1" customHeight="1" x14ac:dyDescent="0.25">
      <c r="A93" s="549"/>
      <c r="B93" s="362" t="s">
        <v>4683</v>
      </c>
      <c r="C93" s="2512" t="str">
        <f>IF(C60&lt;&gt;"",IF(NOT(ISNUMBER(VLOOKUP(C60,Chem_Table,COLUMN(ProbitLC50_C),FALSE))),"",VLOOKUP(C60,Chem_Table,COLUMN(ProbitLC50_C),FALSE)),"")</f>
        <v/>
      </c>
      <c r="D93" s="2398"/>
      <c r="E93" s="2398"/>
      <c r="F93" s="2454"/>
      <c r="G93" s="2454"/>
      <c r="H93" s="2196" t="str">
        <f>IF(AR35&gt;0,AR35,"")</f>
        <v/>
      </c>
      <c r="I93" s="549"/>
      <c r="J93" s="549"/>
      <c r="K93" s="549"/>
      <c r="AF93" s="387"/>
      <c r="AG93" s="387"/>
      <c r="AH93" s="387"/>
    </row>
    <row r="94" spans="1:39" ht="12.75" hidden="1" customHeight="1" x14ac:dyDescent="0.25">
      <c r="A94" s="549"/>
      <c r="B94" s="362" t="s">
        <v>983</v>
      </c>
      <c r="C94" s="2457" t="str">
        <f>IF(C60&lt;&gt;"",IF(NOT(ISNUMBER(VLOOKUP(C60,Chem_Table,COLUMN(NH_C),FALSE))),"",VLOOKUP(C60,Chem_Table,COLUMN(NH_C),FALSE)),"")</f>
        <v/>
      </c>
      <c r="D94" s="2187" t="str">
        <f>IF(D60&lt;&gt;"",IF(NOT(ISNUMBER(VLOOKUP(D60,Chem_Table,COLUMN(NH_C),FALSE))),"",VLOOKUP(D60,Chem_Table,COLUMN(NH_C),FALSE)),"")</f>
        <v/>
      </c>
      <c r="E94" s="2187" t="str">
        <f>IF(E60&lt;&gt;"",IF(NOT(ISNUMBER(VLOOKUP(E60,Chem_Table,COLUMN(NH_C),FALSE))),"",VLOOKUP(E60,Chem_Table,COLUMN(NH_C),FALSE)),"")</f>
        <v/>
      </c>
      <c r="F94" s="2188" t="str">
        <f>IF(F60&lt;&gt;"",IF(NOT(ISNUMBER(VLOOKUP(F60,Chem_Table,COLUMN(NH_C),FALSE))),"",VLOOKUP(F60,Chem_Table,COLUMN(NH_C),FALSE)),"")</f>
        <v/>
      </c>
      <c r="G94" s="2454" t="str">
        <f>IF(G60&lt;&gt;"",IF(NOT(ISNUMBER(VLOOKUP(G60,Chem_Table,COLUMN(NH_C),FALSE))),"",VLOOKUP(G60,Chem_Table,COLUMN(NH_C),FALSE)),"")</f>
        <v/>
      </c>
      <c r="H94" s="2197">
        <f>MAX(C94:G94)</f>
        <v>0</v>
      </c>
      <c r="I94" s="550" t="s">
        <v>2096</v>
      </c>
      <c r="J94" s="549"/>
      <c r="K94" s="549"/>
      <c r="AF94" s="387"/>
      <c r="AG94" s="387"/>
      <c r="AH94" s="387"/>
    </row>
    <row r="95" spans="1:39" hidden="1" x14ac:dyDescent="0.25">
      <c r="A95" s="549"/>
      <c r="B95" s="362" t="s">
        <v>508</v>
      </c>
      <c r="C95" s="2457" t="str">
        <f>IF(C60&lt;&gt;"",IF(NOT(ISNUMBER(VLOOKUP(C60,Chem_Table,COLUMN(NF_C),FALSE))),"",VLOOKUP(C60,Chem_Table,COLUMN(NF_C),FALSE)),"")</f>
        <v/>
      </c>
      <c r="D95" s="2187" t="str">
        <f>IF(D60&lt;&gt;"",IF(NOT(ISNUMBER(VLOOKUP(D60,Chem_Table,COLUMN(NF_C),FALSE))),"",VLOOKUP(D60,Chem_Table,COLUMN(NF_C),FALSE)),"")</f>
        <v/>
      </c>
      <c r="E95" s="2187" t="str">
        <f>IF(E60&lt;&gt;"",IF(NOT(ISNUMBER(VLOOKUP(E60,Chem_Table,COLUMN(NF_C),FALSE))),"",VLOOKUP(E60,Chem_Table,COLUMN(NF_C),FALSE)),"")</f>
        <v/>
      </c>
      <c r="F95" s="2188" t="str">
        <f>IF(F60&lt;&gt;"",IF(NOT(ISNUMBER(VLOOKUP(F60,Chem_Table,COLUMN(NF_C),FALSE))),"",VLOOKUP(F60,Chem_Table,COLUMN(NF_C),FALSE)),"")</f>
        <v/>
      </c>
      <c r="G95" s="2454" t="str">
        <f>IF(G60&lt;&gt;"",IF(NOT(ISNUMBER(VLOOKUP(G60,Chem_Table,COLUMN(NF_C),FALSE))),"",VLOOKUP(G60,Chem_Table,COLUMN(NF_C),FALSE)),"")</f>
        <v/>
      </c>
      <c r="H95" s="2197">
        <f>MAX(C95:G95)</f>
        <v>0</v>
      </c>
      <c r="I95" s="550" t="s">
        <v>2096</v>
      </c>
      <c r="J95" s="549"/>
      <c r="K95" s="549"/>
      <c r="AF95" s="26"/>
      <c r="AG95" s="388"/>
      <c r="AH95" s="26"/>
    </row>
    <row r="96" spans="1:39" hidden="1" x14ac:dyDescent="0.25">
      <c r="A96" s="549"/>
      <c r="B96" s="362" t="s">
        <v>984</v>
      </c>
      <c r="C96" s="2457" t="str">
        <f>IF(C60&lt;&gt;"",IF(NOT(ISNUMBER(VLOOKUP(C60,Chem_Table,COLUMN(NR_C),FALSE))),"",VLOOKUP(C60,Chem_Table,COLUMN(NR_C),FALSE)),"")</f>
        <v/>
      </c>
      <c r="D96" s="2187" t="str">
        <f>IF(D60&lt;&gt;"",IF(NOT(ISNUMBER(VLOOKUP(D60,Chem_Table,COLUMN(NR_C),FALSE))),"",VLOOKUP(D60,Chem_Table,COLUMN(NR_C),FALSE)),"")</f>
        <v/>
      </c>
      <c r="E96" s="2187" t="str">
        <f>IF(E60&lt;&gt;"",IF(NOT(ISNUMBER(VLOOKUP(E60,Chem_Table,COLUMN(NR_C),FALSE))),"",VLOOKUP(E60,Chem_Table,COLUMN(NR_C),FALSE)),"")</f>
        <v/>
      </c>
      <c r="F96" s="2188" t="str">
        <f>IF(F60&lt;&gt;"",IF(NOT(ISNUMBER(VLOOKUP(F60,Chem_Table,COLUMN(NR_C),FALSE))),"",VLOOKUP(F60,Chem_Table,COLUMN(NR_C),FALSE)),"")</f>
        <v/>
      </c>
      <c r="G96" s="2454" t="str">
        <f>IF(G60&lt;&gt;"",IF(NOT(ISNUMBER(VLOOKUP(G60,Chem_Table,COLUMN(NR_C),FALSE))),"",VLOOKUP(G60,Chem_Table,COLUMN(NR_C),FALSE)),"")</f>
        <v/>
      </c>
      <c r="H96" s="2197">
        <f>MAX(C96:G96)</f>
        <v>0</v>
      </c>
      <c r="I96" s="550" t="s">
        <v>2096</v>
      </c>
      <c r="J96" s="549"/>
      <c r="K96" s="549"/>
      <c r="AG96" s="387"/>
    </row>
    <row r="97" spans="1:24" hidden="1" x14ac:dyDescent="0.25">
      <c r="A97" s="549"/>
      <c r="B97" s="363" t="s">
        <v>2076</v>
      </c>
      <c r="C97" s="2457" t="str">
        <f>IF(C60&lt;&gt;"",IF(NOT(ISTEXT(VLOOKUP(C60,Chem_Table,COLUMN(DTRS_C),FALSE))),"",VLOOKUP(C60,Chem_Table,COLUMN(DTRS_C),FALSE)),"")</f>
        <v/>
      </c>
      <c r="D97" s="2187" t="str">
        <f>IF(D60&lt;&gt;"",IF(NOT(ISTEXT(VLOOKUP(D60,Chem_Table,COLUMN(DTRS_C),FALSE))),"",VLOOKUP(D60,Chem_Table,COLUMN(DTRS_C),FALSE)),"")</f>
        <v/>
      </c>
      <c r="E97" s="2187" t="str">
        <f>IF(E60&lt;&gt;"",IF(NOT(ISTEXT(VLOOKUP(E60,Chem_Table,COLUMN(DTRS_C),FALSE))),"",VLOOKUP(E60,Chem_Table,COLUMN(DTRS_C),FALSE)),"")</f>
        <v/>
      </c>
      <c r="F97" s="2188" t="str">
        <f>IF(F60&lt;&gt;"",IF(NOT(ISTEXT(VLOOKUP(F60,Chem_Table,COLUMN(DTRS_C),FALSE))),"",VLOOKUP(F60,Chem_Table,COLUMN(DTRS_C),FALSE)),"")</f>
        <v/>
      </c>
      <c r="G97" s="2454" t="str">
        <f>IF(G60&lt;&gt;"",IF(NOT(ISTEXT(VLOOKUP(G60,Chem_Table,COLUMN(DTRS_C),FALSE))),"",VLOOKUP(G60,Chem_Table,COLUMN(DTRS_C),FALSE)),"")</f>
        <v/>
      </c>
      <c r="H97" s="406" t="str">
        <f>IF(OR(C97="Very Toxic",D97="Very Toxic",E97="Very Toxic",F97="Very Toxic",G97="Very Toxic"),"Very Toxic",IF(OR(C97="Toxic",D97="Toxic",E97="Toxic",F97="Toxic",G97="Toxic"),"Toxic",IF(OR(C97="Corrosive",D97="Corrosive",E97="Corrosive",F97="Corrosive",G97="Corrosive"),"Corrosive",IF(OR(C97="Harmful",D97="Harmful",E97="Harmful",F97="Harmful",G97="Harmful"),"Harmful",IF(AND(C97="NA",OR(D97="NA",D62=""),OR(E97="NA",E62=""),OR(F97="NA",F62=""),OR(G97="NA",G62="")),"NA","")))))</f>
        <v/>
      </c>
      <c r="I97" s="550" t="s">
        <v>2096</v>
      </c>
      <c r="J97" s="549"/>
      <c r="K97" s="549"/>
    </row>
    <row r="98" spans="1:24" hidden="1" x14ac:dyDescent="0.25">
      <c r="A98" s="549"/>
      <c r="B98" s="362" t="s">
        <v>2077</v>
      </c>
      <c r="C98" s="2457" t="str">
        <f>IF(C60&lt;&gt;"",IF(NOT(ISTEXT(VLOOKUP(C60,Chem_Table,COLUMN(ATRS_C),FALSE))),"",VLOOKUP(C60,Chem_Table,COLUMN(ATRS_C),FALSE)),"")</f>
        <v/>
      </c>
      <c r="D98" s="2187" t="str">
        <f>IF(D60&lt;&gt;"",IF(NOT(ISTEXT(VLOOKUP(D60,Chem_Table,COLUMN(ATRS_C),FALSE))),"",VLOOKUP(D60,Chem_Table,COLUMN(ATRS_C),FALSE)),"")</f>
        <v/>
      </c>
      <c r="E98" s="2187" t="str">
        <f>IF(E60&lt;&gt;"",IF(NOT(ISTEXT(VLOOKUP(E60,Chem_Table,COLUMN(ATRS_C),FALSE))),"",VLOOKUP(E60,Chem_Table,COLUMN(ATRS_C),FALSE)),"")</f>
        <v/>
      </c>
      <c r="F98" s="2188" t="str">
        <f>IF(F60&lt;&gt;"",IF(NOT(ISTEXT(VLOOKUP(F60,Chem_Table,COLUMN(ATRS_C),FALSE))),"",VLOOKUP(F60,Chem_Table,COLUMN(ATRS_C),FALSE)),"")</f>
        <v/>
      </c>
      <c r="G98" s="2454" t="str">
        <f>IF(G60&lt;&gt;"",IF(NOT(ISTEXT(VLOOKUP(G60,Chem_Table,COLUMN(ATRS_C),FALSE))),"",VLOOKUP(G60,Chem_Table,COLUMN(ATRS_C),FALSE)),"")</f>
        <v/>
      </c>
      <c r="H98" s="2194" t="str">
        <f>IF(OR(C98="Very Toxic",D98="Very Toxic",E98="Very Toxic",F98="Very Toxic",G98="Very Toxic"),"Very Toxic",IF(OR(C98="Toxic",D98="Toxic",E98="Toxic",F98="Toxic",G98="Toxic"),"Toxic",IF(OR(C98="Harmful",D98="Harmful",E98="Harmful",F98="Harmful",G98="Harmful"),"Harmful",IF(AND(C98="NA",OR(D98="NA",D62=""),OR(E98="NA",E62=""),OR(F98="NA",F62=""),OR(G98="NA",G62="")),"NA",""))))</f>
        <v/>
      </c>
      <c r="I98" s="550" t="s">
        <v>2096</v>
      </c>
      <c r="J98" s="549"/>
      <c r="K98" s="549"/>
    </row>
    <row r="99" spans="1:24" hidden="1" x14ac:dyDescent="0.25">
      <c r="A99" s="549"/>
      <c r="B99" s="362" t="s">
        <v>2803</v>
      </c>
      <c r="C99" s="2457" t="str">
        <f>IF(C60&lt;&gt;"",IF(NOT(ISTEXT(VLOOKUP(C60,Chem_Table,COLUMN(RRS_C),FALSE))),"",VLOOKUP(C60,Chem_Table,COLUMN(RRS_C),FALSE)),"")</f>
        <v/>
      </c>
      <c r="D99" s="2187" t="str">
        <f>IF(D60&lt;&gt;"",IF(NOT(ISTEXT(VLOOKUP(D60,Chem_Table,COLUMN(RRS_C),FALSE))),"",VLOOKUP(D60,Chem_Table,COLUMN(RRS_C),FALSE)),"")</f>
        <v/>
      </c>
      <c r="E99" s="2187" t="str">
        <f>IF(E60&lt;&gt;"",IF(NOT(ISTEXT(VLOOKUP(E60,Chem_Table,COLUMN(RRS_C),FALSE))),"",VLOOKUP(E60,Chem_Table,COLUMN(RRS_C),FALSE)),"")</f>
        <v/>
      </c>
      <c r="F99" s="2188" t="str">
        <f>IF(F60&lt;&gt;"",IF(NOT(ISTEXT(VLOOKUP(F60,Chem_Table,COLUMN(RRS_C),FALSE))),"",VLOOKUP(F60,Chem_Table,COLUMN(RRS_C),FALSE)),"")</f>
        <v/>
      </c>
      <c r="G99" s="2454" t="str">
        <f>IF(G60&lt;&gt;"",IF(NOT(ISTEXT(VLOOKUP(G60,Chem_Table,COLUMN(RRS_C),FALSE))),"",VLOOKUP(G60,Chem_Table,COLUMN(RRS_C),FALSE)),"")</f>
        <v/>
      </c>
      <c r="H99" s="406" t="str">
        <f>IF(OR(C99="Extremely Explosive",D99="Extremely Explosive",E99="Extremely Explosive",F99="Extremely Explosive",G99="Extremely Explosive"),"Extremely Explosive",IF(OR(C99="Explosive",D99="Explosive",E99="Explosive",F99="Explosive",G99="Explosive"),"Explosive",IF(OR(C99="Oxidizer",D99="Oxidizer",E99="Oxidizer",F99="Oxidizer",G99="Oxidizer"),"Oxidizer",IF(OR(C99="Water Reactive",D99="Water Reactive",E99="Water Reactive",F99="Water Reactive",G99="Water Reactive"),"Water Reactive",IF(AND(C99="NA",OR(D99="NA",D64=""),OR(E99="NA",E64=""),OR(F99="NA",F64=""),OR(G99="NA",G64="")),"NA","")))))</f>
        <v/>
      </c>
      <c r="I99" s="550" t="s">
        <v>2096</v>
      </c>
      <c r="J99" s="549"/>
      <c r="K99" s="549"/>
    </row>
    <row r="100" spans="1:24" hidden="1" x14ac:dyDescent="0.25">
      <c r="A100" s="549"/>
      <c r="B100" s="362" t="s">
        <v>2078</v>
      </c>
      <c r="C100" s="2457" t="str">
        <f>IF(C60&lt;&gt;"",IF(NOT(ISTEXT(VLOOKUP(C60,Chem_Table,COLUMN(Conductive_C),FALSE))),"",VLOOKUP(C60,Chem_Table,COLUMN(Conductive_C),FALSE)),"")</f>
        <v/>
      </c>
      <c r="D100" s="2187" t="str">
        <f>IF(D60&lt;&gt;"",IF(NOT(ISTEXT(VLOOKUP(D60,Chem_Table,COLUMN(Conductive_C),FALSE))),"",VLOOKUP(D60,Chem_Table,COLUMN(Conductive_C),FALSE)),"")</f>
        <v/>
      </c>
      <c r="E100" s="2187" t="str">
        <f>IF(E60&lt;&gt;"",IF(NOT(ISTEXT(VLOOKUP(E60,Chem_Table,COLUMN(Conductive_C),FALSE))),"",VLOOKUP(E60,Chem_Table,COLUMN(Conductive_C),FALSE)),"")</f>
        <v/>
      </c>
      <c r="F100" s="2188" t="str">
        <f>IF(F60&lt;&gt;"",IF(NOT(ISTEXT(VLOOKUP(F60,Chem_Table,COLUMN(Conductive_C),FALSE))),"",VLOOKUP(F60,Chem_Table,COLUMN(Conductive_C),FALSE)),"")</f>
        <v/>
      </c>
      <c r="G100" s="2454" t="str">
        <f>IF(G60&lt;&gt;"",IF(NOT(ISTEXT(VLOOKUP(G60,Chem_Table,COLUMN(Conductive_C),FALSE))),"",VLOOKUP(G60,Chem_Table,COLUMN(Conductive_C),FALSE)),"")</f>
        <v/>
      </c>
      <c r="H100" s="2194" t="str">
        <f>IF(OR(C100="Non-Conductive",D100="Non-Conductive",E100="Non-Conductive",F100="Non-Conductive",G100="Non-Conductive"),"Non-Conductive",IF(OR(C100="Semi-Conductive",D100="Semi-Conductive",E100="Semi-Conductive",F100="Semi-Conductive",G100="Semi-Conductive"),"Semi-Conductive",IF(OR(C100="Conductive",D100="Conductive",E100="Conductive",F100="Conductive",G100="Conductive"),"Conductive","")))</f>
        <v/>
      </c>
      <c r="I100" s="550" t="s">
        <v>2096</v>
      </c>
      <c r="J100" s="549"/>
      <c r="K100" s="549"/>
    </row>
    <row r="101" spans="1:24" hidden="1" x14ac:dyDescent="0.25">
      <c r="A101" s="549"/>
      <c r="B101" s="2459" t="s">
        <v>3649</v>
      </c>
      <c r="C101" s="2458">
        <f>IF(OR(C95&lt;1,C77=""),0,C62)</f>
        <v>0</v>
      </c>
      <c r="D101" s="336">
        <f>IF(OR(D95&lt;1,D77=""),0,D62)</f>
        <v>0</v>
      </c>
      <c r="E101" s="336">
        <f>IF(OR(E95&lt;1,E77=""),0,E62)</f>
        <v>0</v>
      </c>
      <c r="F101" s="336">
        <f>IF(OR(F95&lt;1,F77=""),0,F62)</f>
        <v>0</v>
      </c>
      <c r="G101" s="1772">
        <f>IF(OR(G95&lt;1,G77=""),0,G62)</f>
        <v>0</v>
      </c>
      <c r="H101" s="2455">
        <f>SUM(C101:G101)</f>
        <v>0</v>
      </c>
      <c r="I101" s="549"/>
      <c r="J101" s="549"/>
      <c r="K101" s="549"/>
    </row>
    <row r="102" spans="1:24" ht="12.75" hidden="1" customHeight="1" thickBot="1" x14ac:dyDescent="0.3">
      <c r="A102" s="549"/>
      <c r="B102" s="2460" t="s">
        <v>3214</v>
      </c>
      <c r="C102" s="2458">
        <f>IF(C96="",0,IF(C96&gt;1,C62,0))</f>
        <v>0</v>
      </c>
      <c r="D102" s="336">
        <f>IF(D96="",0,IF(D96&gt;1,D62,0))</f>
        <v>0</v>
      </c>
      <c r="E102" s="336">
        <f>IF(E96="",0,IF(E96&gt;1,E62,0))</f>
        <v>0</v>
      </c>
      <c r="F102" s="336">
        <f>IF(F96="",0,IF(F96&gt;1,F62,0))</f>
        <v>0</v>
      </c>
      <c r="G102" s="1772">
        <f>IF(G96="",0,IF(G96&gt;1,G62,0))</f>
        <v>0</v>
      </c>
      <c r="H102" s="2456">
        <f>SUM(C102:G102)</f>
        <v>0</v>
      </c>
      <c r="I102" s="549"/>
      <c r="J102" s="549"/>
      <c r="K102" s="549"/>
    </row>
    <row r="103" spans="1:24" ht="12.75" hidden="1" customHeight="1" x14ac:dyDescent="0.25">
      <c r="A103" s="549"/>
      <c r="B103" s="568"/>
      <c r="C103" s="1526"/>
      <c r="D103" s="1526"/>
      <c r="E103" s="1526"/>
      <c r="F103" s="1526"/>
      <c r="G103" s="1526"/>
      <c r="H103" s="1526"/>
      <c r="I103" s="549"/>
      <c r="J103" s="549"/>
      <c r="K103" s="549"/>
    </row>
    <row r="104" spans="1:24" ht="12.75" hidden="1" customHeight="1" x14ac:dyDescent="0.25">
      <c r="A104" s="549"/>
      <c r="B104" s="549"/>
      <c r="C104" s="568" t="s">
        <v>3312</v>
      </c>
      <c r="D104" s="1539"/>
      <c r="E104" s="549"/>
      <c r="F104" s="549"/>
      <c r="G104" s="549"/>
      <c r="H104" s="568" t="s">
        <v>3313</v>
      </c>
      <c r="I104" s="1539"/>
      <c r="J104" s="549"/>
      <c r="K104" s="549"/>
    </row>
    <row r="105" spans="1:24" hidden="1" x14ac:dyDescent="0.25">
      <c r="A105" s="549"/>
      <c r="B105" s="549"/>
      <c r="C105" s="549"/>
      <c r="D105" s="549"/>
      <c r="E105" s="549"/>
      <c r="F105" s="549"/>
      <c r="G105" s="549"/>
      <c r="H105" s="549"/>
      <c r="I105" s="549"/>
      <c r="J105" s="549"/>
      <c r="K105" s="549"/>
    </row>
    <row r="106" spans="1:24" hidden="1" x14ac:dyDescent="0.25"/>
    <row r="107" spans="1:24" hidden="1" x14ac:dyDescent="0.25"/>
    <row r="108" spans="1:24" hidden="1" x14ac:dyDescent="0.25">
      <c r="W108" s="335"/>
    </row>
    <row r="109" spans="1:24" hidden="1" x14ac:dyDescent="0.25">
      <c r="X109" s="5"/>
    </row>
    <row r="119" ht="12.75" customHeight="1" x14ac:dyDescent="0.25"/>
    <row r="144" ht="12.75" customHeight="1" x14ac:dyDescent="0.25"/>
    <row r="168" ht="12.75" customHeight="1" x14ac:dyDescent="0.25"/>
  </sheetData>
  <sheetProtection sheet="1" objects="1" scenarios="1"/>
  <mergeCells count="178">
    <mergeCell ref="AO69:AO70"/>
    <mergeCell ref="T70:T71"/>
    <mergeCell ref="U70:U71"/>
    <mergeCell ref="V70:V71"/>
    <mergeCell ref="AN15:AN16"/>
    <mergeCell ref="AA70:AA71"/>
    <mergeCell ref="X28:X29"/>
    <mergeCell ref="AC28:AC29"/>
    <mergeCell ref="AD28:AD29"/>
    <mergeCell ref="V16:V17"/>
    <mergeCell ref="U16:U17"/>
    <mergeCell ref="AE16:AE17"/>
    <mergeCell ref="AF28:AF29"/>
    <mergeCell ref="AC16:AC17"/>
    <mergeCell ref="AD16:AD17"/>
    <mergeCell ref="Z70:Z71"/>
    <mergeCell ref="U61:U62"/>
    <mergeCell ref="V61:V62"/>
    <mergeCell ref="AK28:AK29"/>
    <mergeCell ref="AL28:AL29"/>
    <mergeCell ref="AM28:AM29"/>
    <mergeCell ref="AK69:AK70"/>
    <mergeCell ref="AL69:AL70"/>
    <mergeCell ref="AM69:AM70"/>
    <mergeCell ref="AN69:AN70"/>
    <mergeCell ref="AT16:AU16"/>
    <mergeCell ref="AV16:AW16"/>
    <mergeCell ref="AO28:AO29"/>
    <mergeCell ref="AP28:AP29"/>
    <mergeCell ref="AQ28:AQ29"/>
    <mergeCell ref="AR28:AR29"/>
    <mergeCell ref="B60:B61"/>
    <mergeCell ref="C60:C61"/>
    <mergeCell ref="D60:D61"/>
    <mergeCell ref="E60:E61"/>
    <mergeCell ref="X38:Y38"/>
    <mergeCell ref="Z38:AA38"/>
    <mergeCell ref="V37:AA37"/>
    <mergeCell ref="V38:W38"/>
    <mergeCell ref="B38:D38"/>
    <mergeCell ref="D42:D43"/>
    <mergeCell ref="B26:B27"/>
    <mergeCell ref="N37:T38"/>
    <mergeCell ref="F41:J41"/>
    <mergeCell ref="F42:G42"/>
    <mergeCell ref="AG28:AG29"/>
    <mergeCell ref="AF16:AF17"/>
    <mergeCell ref="AE28:AE29"/>
    <mergeCell ref="F43:G43"/>
    <mergeCell ref="D44:D45"/>
    <mergeCell ref="F45:G45"/>
    <mergeCell ref="C58:G58"/>
    <mergeCell ref="F60:F61"/>
    <mergeCell ref="G60:G61"/>
    <mergeCell ref="C52:D52"/>
    <mergeCell ref="C53:D53"/>
    <mergeCell ref="C54:D54"/>
    <mergeCell ref="F46:G46"/>
    <mergeCell ref="F44:G44"/>
    <mergeCell ref="F47:H47"/>
    <mergeCell ref="F50:J51"/>
    <mergeCell ref="AG85:AG86"/>
    <mergeCell ref="H60:H61"/>
    <mergeCell ref="S60:T60"/>
    <mergeCell ref="N63:O63"/>
    <mergeCell ref="AD61:AD62"/>
    <mergeCell ref="AE61:AE62"/>
    <mergeCell ref="AG61:AG62"/>
    <mergeCell ref="AB61:AB62"/>
    <mergeCell ref="R70:R71"/>
    <mergeCell ref="AC60:AC61"/>
    <mergeCell ref="S70:S71"/>
    <mergeCell ref="W70:W71"/>
    <mergeCell ref="Y70:Y71"/>
    <mergeCell ref="T61:T62"/>
    <mergeCell ref="AH61:AH62"/>
    <mergeCell ref="Q61:Q62"/>
    <mergeCell ref="Q70:Q71"/>
    <mergeCell ref="Q79:Q80"/>
    <mergeCell ref="R61:R62"/>
    <mergeCell ref="S61:S62"/>
    <mergeCell ref="W61:W62"/>
    <mergeCell ref="X61:X62"/>
    <mergeCell ref="Y61:Y62"/>
    <mergeCell ref="AA61:AA62"/>
    <mergeCell ref="I8:J8"/>
    <mergeCell ref="E5:F7"/>
    <mergeCell ref="G5:H5"/>
    <mergeCell ref="C9:E9"/>
    <mergeCell ref="G9:J9"/>
    <mergeCell ref="N28:N29"/>
    <mergeCell ref="O16:O17"/>
    <mergeCell ref="N16:N17"/>
    <mergeCell ref="N9:O9"/>
    <mergeCell ref="C5:D5"/>
    <mergeCell ref="C7:D7"/>
    <mergeCell ref="C6:D6"/>
    <mergeCell ref="D26:D27"/>
    <mergeCell ref="B24:D25"/>
    <mergeCell ref="B14:B15"/>
    <mergeCell ref="C14:C15"/>
    <mergeCell ref="G7:H7"/>
    <mergeCell ref="G8:H8"/>
    <mergeCell ref="G6:H6"/>
    <mergeCell ref="N10:O10"/>
    <mergeCell ref="N11:O11"/>
    <mergeCell ref="N12:O12"/>
    <mergeCell ref="N14:O14"/>
    <mergeCell ref="C10:J11"/>
    <mergeCell ref="N13:O13"/>
    <mergeCell ref="I23:I24"/>
    <mergeCell ref="H23:H24"/>
    <mergeCell ref="M28:M29"/>
    <mergeCell ref="M16:M17"/>
    <mergeCell ref="O28:O29"/>
    <mergeCell ref="I14:I15"/>
    <mergeCell ref="H14:H15"/>
    <mergeCell ref="J14:J15"/>
    <mergeCell ref="AH28:AH29"/>
    <mergeCell ref="AI28:AI29"/>
    <mergeCell ref="AJ28:AJ29"/>
    <mergeCell ref="AB16:AB17"/>
    <mergeCell ref="Y16:Y17"/>
    <mergeCell ref="Y28:Y29"/>
    <mergeCell ref="F23:G24"/>
    <mergeCell ref="C26:C27"/>
    <mergeCell ref="G14:G15"/>
    <mergeCell ref="D14:D15"/>
    <mergeCell ref="F14:F15"/>
    <mergeCell ref="E14:E15"/>
    <mergeCell ref="U15:V15"/>
    <mergeCell ref="P28:P29"/>
    <mergeCell ref="P16:P17"/>
    <mergeCell ref="Q16:Q17"/>
    <mergeCell ref="V28:V29"/>
    <mergeCell ref="W28:W29"/>
    <mergeCell ref="W16:W17"/>
    <mergeCell ref="U28:U29"/>
    <mergeCell ref="Q28:Q29"/>
    <mergeCell ref="T16:T17"/>
    <mergeCell ref="R16:R17"/>
    <mergeCell ref="S16:S17"/>
    <mergeCell ref="AG39:AH40"/>
    <mergeCell ref="AG41:AH41"/>
    <mergeCell ref="AG42:AH42"/>
    <mergeCell ref="AG43:AH43"/>
    <mergeCell ref="AG44:AH44"/>
    <mergeCell ref="AG45:AH45"/>
    <mergeCell ref="AN28:AN29"/>
    <mergeCell ref="F34:H34"/>
    <mergeCell ref="S15:T15"/>
    <mergeCell ref="AL16:AL17"/>
    <mergeCell ref="T28:T29"/>
    <mergeCell ref="AI16:AI17"/>
    <mergeCell ref="AG16:AG17"/>
    <mergeCell ref="AH16:AH17"/>
    <mergeCell ref="S28:S29"/>
    <mergeCell ref="R28:R29"/>
    <mergeCell ref="AJ16:AJ17"/>
    <mergeCell ref="AK16:AK17"/>
    <mergeCell ref="Z16:Z17"/>
    <mergeCell ref="Z28:Z29"/>
    <mergeCell ref="AA16:AA17"/>
    <mergeCell ref="AA28:AA29"/>
    <mergeCell ref="AB28:AB29"/>
    <mergeCell ref="X16:X17"/>
    <mergeCell ref="AI84:AJ84"/>
    <mergeCell ref="AI79:AJ80"/>
    <mergeCell ref="AK79:AK80"/>
    <mergeCell ref="AL79:AL80"/>
    <mergeCell ref="AM79:AM80"/>
    <mergeCell ref="AI85:AJ85"/>
    <mergeCell ref="AK39:AK40"/>
    <mergeCell ref="AI81:AJ81"/>
    <mergeCell ref="AI82:AJ82"/>
    <mergeCell ref="AI83:AJ83"/>
    <mergeCell ref="AI39:AI40"/>
    <mergeCell ref="AJ39:AJ40"/>
  </mergeCells>
  <phoneticPr fontId="3" type="noConversion"/>
  <conditionalFormatting sqref="I46">
    <cfRule type="expression" dxfId="785" priority="62" stopIfTrue="1">
      <formula>IF(AND(State="Solid",$I$46="",$H$46=""),TRUE,FALSE)</formula>
    </cfRule>
  </conditionalFormatting>
  <conditionalFormatting sqref="C21">
    <cfRule type="expression" dxfId="784" priority="739" stopIfTrue="1">
      <formula>IF($C$21="",FALSE,IF(OR($C$21&gt;1.001,$C$21&lt;0.999),TRUE,FALSE))</formula>
    </cfRule>
  </conditionalFormatting>
  <conditionalFormatting sqref="Q18">
    <cfRule type="expression" dxfId="783" priority="191" stopIfTrue="1">
      <formula>IF(#REF!=VLOOKUP(M$18,Chem_Table,COLUMN(Fract_Key_C),FALSE),FALSE,TRUE)</formula>
    </cfRule>
  </conditionalFormatting>
  <conditionalFormatting sqref="Q19">
    <cfRule type="expression" dxfId="782" priority="189" stopIfTrue="1">
      <formula>IF(#REF!=VLOOKUP(M$18,Chem_Table,COLUMN(Fract_Key_C),FALSE),FALSE,TRUE)</formula>
    </cfRule>
  </conditionalFormatting>
  <conditionalFormatting sqref="Q20">
    <cfRule type="expression" dxfId="781" priority="188" stopIfTrue="1">
      <formula>IF(#REF!=VLOOKUP(M$18,Chem_Table,COLUMN(Fract_Key_C),FALSE),FALSE,TRUE)</formula>
    </cfRule>
  </conditionalFormatting>
  <conditionalFormatting sqref="Q21:Q22">
    <cfRule type="expression" dxfId="780" priority="187" stopIfTrue="1">
      <formula>IF(#REF!=VLOOKUP(M$18,Chem_Table,COLUMN(Fract_Key_C),FALSE),FALSE,TRUE)</formula>
    </cfRule>
  </conditionalFormatting>
  <conditionalFormatting sqref="Q19">
    <cfRule type="expression" dxfId="779" priority="185" stopIfTrue="1">
      <formula>IF(#REF!=VLOOKUP(M$18,Chem_Table,COLUMN(Fract_Key_C),FALSE),FALSE,TRUE)</formula>
    </cfRule>
  </conditionalFormatting>
  <conditionalFormatting sqref="Q20">
    <cfRule type="expression" dxfId="778" priority="184" stopIfTrue="1">
      <formula>IF(#REF!=VLOOKUP(M$18,Chem_Table,COLUMN(Fract_Key_C),FALSE),FALSE,TRUE)</formula>
    </cfRule>
  </conditionalFormatting>
  <conditionalFormatting sqref="Q21:Q22">
    <cfRule type="expression" dxfId="777" priority="183" stopIfTrue="1">
      <formula>IF(#REF!=VLOOKUP(M$18,Chem_Table,COLUMN(Fract_Key_C),FALSE),FALSE,TRUE)</formula>
    </cfRule>
  </conditionalFormatting>
  <conditionalFormatting sqref="O30:O34">
    <cfRule type="expression" dxfId="776" priority="179" stopIfTrue="1">
      <formula>IF(#REF!=VLOOKUP(M$18,Chem_Table,COLUMN(Fract_Key_C),FALSE),FALSE,TRUE)</formula>
    </cfRule>
  </conditionalFormatting>
  <conditionalFormatting sqref="Q19">
    <cfRule type="expression" dxfId="775" priority="142" stopIfTrue="1">
      <formula>IF(#REF!=VLOOKUP(M$18,Chem_Table,COLUMN(Fract_Key_C),FALSE),FALSE,TRUE)</formula>
    </cfRule>
  </conditionalFormatting>
  <conditionalFormatting sqref="Q20">
    <cfRule type="expression" dxfId="774" priority="141" stopIfTrue="1">
      <formula>IF(#REF!=VLOOKUP(M$18,Chem_Table,COLUMN(Fract_Key_C),FALSE),FALSE,TRUE)</formula>
    </cfRule>
  </conditionalFormatting>
  <conditionalFormatting sqref="Q21">
    <cfRule type="expression" dxfId="773" priority="140" stopIfTrue="1">
      <formula>IF(#REF!=VLOOKUP(M$18,Chem_Table,COLUMN(Fract_Key_C),FALSE),FALSE,TRUE)</formula>
    </cfRule>
  </conditionalFormatting>
  <conditionalFormatting sqref="P30:P34">
    <cfRule type="expression" dxfId="772" priority="853" stopIfTrue="1">
      <formula>IF(#REF!=VLOOKUP(Q$18,Chem_Table,COLUMN(Fract_Key_C),FALSE),FALSE,TRUE)</formula>
    </cfRule>
  </conditionalFormatting>
  <conditionalFormatting sqref="C12 B16:D20">
    <cfRule type="expression" dxfId="771" priority="45">
      <formula>IF($W$9=1,FALSE,TRUE)</formula>
    </cfRule>
  </conditionalFormatting>
  <conditionalFormatting sqref="Q22">
    <cfRule type="expression" dxfId="770" priority="113" stopIfTrue="1">
      <formula>IF(#REF!=VLOOKUP(M$18,Chem_Table,COLUMN(Fract_Key_C),FALSE),FALSE,TRUE)</formula>
    </cfRule>
  </conditionalFormatting>
  <conditionalFormatting sqref="Q21:Q22">
    <cfRule type="expression" dxfId="769" priority="112" stopIfTrue="1">
      <formula>IF(#REF!=VLOOKUP(M$18,Chem_Table,COLUMN(Fract_Key_C),FALSE),FALSE,TRUE)</formula>
    </cfRule>
  </conditionalFormatting>
  <conditionalFormatting sqref="Q21:Q22">
    <cfRule type="expression" dxfId="768" priority="111" stopIfTrue="1">
      <formula>IF(#REF!=VLOOKUP(M$18,Chem_Table,COLUMN(Fract_Key_C),FALSE),FALSE,TRUE)</formula>
    </cfRule>
  </conditionalFormatting>
  <conditionalFormatting sqref="Q21:Q22">
    <cfRule type="expression" dxfId="767" priority="110" stopIfTrue="1">
      <formula>IF(#REF!=VLOOKUP(M$18,Chem_Table,COLUMN(Fract_Key_C),FALSE),FALSE,TRUE)</formula>
    </cfRule>
  </conditionalFormatting>
  <conditionalFormatting sqref="B28:D32">
    <cfRule type="expression" dxfId="766" priority="34">
      <formula>IF($W$9&lt;&gt;1,FALSE,TRUE)</formula>
    </cfRule>
  </conditionalFormatting>
  <conditionalFormatting sqref="Q21">
    <cfRule type="expression" dxfId="765" priority="108" stopIfTrue="1">
      <formula>IF(#REF!=VLOOKUP(M$18,Chem_Table,COLUMN(Fract_Key_C),FALSE),FALSE,TRUE)</formula>
    </cfRule>
  </conditionalFormatting>
  <conditionalFormatting sqref="Q21">
    <cfRule type="expression" dxfId="764" priority="107" stopIfTrue="1">
      <formula>IF(#REF!=VLOOKUP(M$18,Chem_Table,COLUMN(Fract_Key_C),FALSE),FALSE,TRUE)</formula>
    </cfRule>
  </conditionalFormatting>
  <conditionalFormatting sqref="Q21">
    <cfRule type="expression" dxfId="763" priority="106" stopIfTrue="1">
      <formula>IF(#REF!=VLOOKUP(M$18,Chem_Table,COLUMN(Fract_Key_C),FALSE),FALSE,TRUE)</formula>
    </cfRule>
  </conditionalFormatting>
  <conditionalFormatting sqref="Q22">
    <cfRule type="expression" dxfId="762" priority="105" stopIfTrue="1">
      <formula>IF(#REF!=VLOOKUP(M$18,Chem_Table,COLUMN(Fract_Key_C),FALSE),FALSE,TRUE)</formula>
    </cfRule>
  </conditionalFormatting>
  <conditionalFormatting sqref="Q22">
    <cfRule type="expression" dxfId="761" priority="104" stopIfTrue="1">
      <formula>IF(#REF!=VLOOKUP(M$18,Chem_Table,COLUMN(Fract_Key_C),FALSE),FALSE,TRUE)</formula>
    </cfRule>
  </conditionalFormatting>
  <conditionalFormatting sqref="Q22">
    <cfRule type="expression" dxfId="760" priority="103" stopIfTrue="1">
      <formula>IF(#REF!=VLOOKUP(M$18,Chem_Table,COLUMN(Fract_Key_C),FALSE),FALSE,TRUE)</formula>
    </cfRule>
  </conditionalFormatting>
  <conditionalFormatting sqref="T26">
    <cfRule type="expression" dxfId="759" priority="1468" stopIfTrue="1">
      <formula>IF(AND(OR($B$17&lt;&gt;"",$B$18&lt;&gt;"",$B$19&lt;&gt;""),#REF!=""),TRUE,FALSE)</formula>
    </cfRule>
  </conditionalFormatting>
  <conditionalFormatting sqref="V26">
    <cfRule type="expression" dxfId="758" priority="1469" stopIfTrue="1">
      <formula>IF(AND(OR($B$17&lt;&gt;"",$B$18&lt;&gt;"",$B$19&lt;&gt;""),#REF!=""),TRUE,FALSE)</formula>
    </cfRule>
  </conditionalFormatting>
  <conditionalFormatting sqref="I5">
    <cfRule type="expression" dxfId="757" priority="80">
      <formula>IF($I$5="",TRUE,FALSE)</formula>
    </cfRule>
  </conditionalFormatting>
  <conditionalFormatting sqref="I6">
    <cfRule type="expression" dxfId="756" priority="79">
      <formula>IF($I$6="",TRUE,FALSE)</formula>
    </cfRule>
  </conditionalFormatting>
  <conditionalFormatting sqref="C9:E9">
    <cfRule type="expression" dxfId="755" priority="55">
      <formula>IF($C$9="",TRUE,FALSE)</formula>
    </cfRule>
    <cfRule type="expression" dxfId="754" priority="56">
      <formula>IF(FIND("*",Chemical,1)&gt;0,TRUE,FALSE)</formula>
    </cfRule>
    <cfRule type="expression" dxfId="753" priority="78">
      <formula>IF(VLOOKUP($C$9,Chem_Table,COLUMN(Prop_Source_C),FALSE)="User",TRUE,FALSE)</formula>
    </cfRule>
  </conditionalFormatting>
  <conditionalFormatting sqref="C16">
    <cfRule type="expression" dxfId="752" priority="1041">
      <formula>IF($C$16="",TRUE,FALSE)</formula>
    </cfRule>
  </conditionalFormatting>
  <conditionalFormatting sqref="I26">
    <cfRule type="expression" dxfId="751" priority="75">
      <formula>IF($H$26="",TRUE,FALSE)</formula>
    </cfRule>
  </conditionalFormatting>
  <conditionalFormatting sqref="I42">
    <cfRule type="expression" dxfId="750" priority="61">
      <formula>IF(AND(State="Solid",$I$42="",$H$42=""),TRUE,FALSE)</formula>
    </cfRule>
  </conditionalFormatting>
  <conditionalFormatting sqref="I43">
    <cfRule type="expression" dxfId="749" priority="60">
      <formula>IF(AND(State="Solid",$I$43="",$H$43=""),TRUE,FALSE)</formula>
    </cfRule>
  </conditionalFormatting>
  <conditionalFormatting sqref="I45">
    <cfRule type="expression" dxfId="748" priority="59">
      <formula>IF(AND(State="Solid",$I$45="",$H$45=""),TRUE,FALSE)</formula>
    </cfRule>
  </conditionalFormatting>
  <conditionalFormatting sqref="J5">
    <cfRule type="expression" dxfId="747" priority="58">
      <formula>IF($J$5="",TRUE,FALSE)</formula>
    </cfRule>
  </conditionalFormatting>
  <conditionalFormatting sqref="J6">
    <cfRule type="expression" dxfId="746" priority="57">
      <formula>IF($J$6="",TRUE,FALSE)</formula>
    </cfRule>
  </conditionalFormatting>
  <conditionalFormatting sqref="B16">
    <cfRule type="expression" dxfId="745" priority="54">
      <formula>IF(FIND("*",Chemical,1)&gt;0,TRUE,FALSE)</formula>
    </cfRule>
    <cfRule type="expression" dxfId="744" priority="77">
      <formula>IF(VLOOKUP($C$9,Chem_Table,COLUMN(Prop_Source_C),FALSE)="User",TRUE,FALSE)</formula>
    </cfRule>
  </conditionalFormatting>
  <conditionalFormatting sqref="B17">
    <cfRule type="expression" dxfId="743" priority="52">
      <formula>IF(FIND("*",Chemical_2,1)&gt;0,TRUE,FALSE)</formula>
    </cfRule>
    <cfRule type="expression" dxfId="742" priority="53">
      <formula>IF(VLOOKUP(Chemical_2,Chem_Table,COLUMN(Prop_Source_C),FALSE)="User",TRUE,FALSE)</formula>
    </cfRule>
  </conditionalFormatting>
  <conditionalFormatting sqref="B18">
    <cfRule type="expression" dxfId="741" priority="50">
      <formula>IF(FIND("*",Chemical_3,1)&gt;0,TRUE,FALSE)</formula>
    </cfRule>
    <cfRule type="expression" dxfId="740" priority="51">
      <formula>IF(VLOOKUP(Chemical_3,Chem_Table,COLUMN(Prop_Source_C),FALSE)="User",TRUE,FALSE)</formula>
    </cfRule>
  </conditionalFormatting>
  <conditionalFormatting sqref="B19">
    <cfRule type="expression" dxfId="739" priority="47">
      <formula>IF(FIND("*",Chemical_4,1)&gt;0,TRUE,FALSE)</formula>
    </cfRule>
    <cfRule type="expression" dxfId="738" priority="49">
      <formula>IF(VLOOKUP(Chemical_4,Chem_Table,COLUMN(Prop_Source_C),FALSE)="User",TRUE,FALSE)</formula>
    </cfRule>
  </conditionalFormatting>
  <conditionalFormatting sqref="B20">
    <cfRule type="expression" dxfId="737" priority="46">
      <formula>IF(FIND("*",Chemical_5,1)&gt;0,TRUE,FALSE)</formula>
    </cfRule>
    <cfRule type="expression" dxfId="736" priority="48">
      <formula>IF(VLOOKUP(Chemical_5,Chem_Table,COLUMN(Prop_Source_C),FALSE)="User",TRUE,FALSE)</formula>
    </cfRule>
  </conditionalFormatting>
  <conditionalFormatting sqref="B28">
    <cfRule type="expression" dxfId="735" priority="35">
      <formula>IF(FIND("*",$B$28,1)&gt;0,TRUE,FALSE)</formula>
    </cfRule>
    <cfRule type="expression" dxfId="734" priority="44">
      <formula>IF(VLOOKUP($B$28,Chem_Table,COLUMN(Prop_Source_C),FALSE)="User",TRUE,FALSE)</formula>
    </cfRule>
  </conditionalFormatting>
  <conditionalFormatting sqref="B29">
    <cfRule type="expression" dxfId="733" priority="39">
      <formula>IF(FIND("*",$B$29,1)&gt;0,TRUE,FALSE)</formula>
    </cfRule>
    <cfRule type="expression" dxfId="732" priority="43">
      <formula>IF(VLOOKUP($B$29,Chem_Table,COLUMN(Prop_Source_C),FALSE)="User",TRUE,FALSE)</formula>
    </cfRule>
  </conditionalFormatting>
  <conditionalFormatting sqref="B30">
    <cfRule type="expression" dxfId="731" priority="38">
      <formula>IF(FIND("*",$B$30,1)&gt;0,TRUE,FALSE)</formula>
    </cfRule>
    <cfRule type="expression" dxfId="730" priority="42">
      <formula>IF(VLOOKUP($B$30,Chem_Table,COLUMN(Prop_Source_C),FALSE)="User",TRUE,FALSE)</formula>
    </cfRule>
  </conditionalFormatting>
  <conditionalFormatting sqref="B31">
    <cfRule type="expression" dxfId="729" priority="37">
      <formula>IF(FIND("*",$B$31,1)&gt;0,TRUE,FALSE)</formula>
    </cfRule>
    <cfRule type="expression" dxfId="728" priority="41">
      <formula>IF(VLOOKUP($B$31,Chem_Table,COLUMN(Prop_Source_C),FALSE)="User",TRUE,FALSE)</formula>
    </cfRule>
  </conditionalFormatting>
  <conditionalFormatting sqref="B32">
    <cfRule type="expression" dxfId="727" priority="36">
      <formula>IF(FIND("*",$B$32,1)&gt;0,TRUE,FALSE)</formula>
    </cfRule>
    <cfRule type="expression" dxfId="726" priority="40">
      <formula>IF(VLOOKUP($B$32,Chem_Table,COLUMN(Prop_Source_C),FALSE)="User",TRUE,FALSE)</formula>
    </cfRule>
  </conditionalFormatting>
  <conditionalFormatting sqref="I25">
    <cfRule type="expression" dxfId="725" priority="32">
      <formula>IF($H$25="",TRUE,FALSE)</formula>
    </cfRule>
  </conditionalFormatting>
  <conditionalFormatting sqref="I39">
    <cfRule type="expression" dxfId="724" priority="14">
      <formula>IF(AND(Flash_Pt_Feed&lt;60,$H$39=""),TRUE,FALSE)</formula>
    </cfRule>
  </conditionalFormatting>
  <conditionalFormatting sqref="AJ41">
    <cfRule type="expression" dxfId="723" priority="10" stopIfTrue="1">
      <formula>IF(#REF!=VLOOKUP(AH$18,Chem_Table,COLUMN(Fract_Key_C),FALSE),FALSE,TRUE)</formula>
    </cfRule>
  </conditionalFormatting>
  <conditionalFormatting sqref="AJ42:AJ45">
    <cfRule type="expression" dxfId="722" priority="8" stopIfTrue="1">
      <formula>IF(#REF!=VLOOKUP(AH$18,Chem_Table,COLUMN(Fract_Key_C),FALSE),FALSE,TRUE)</formula>
    </cfRule>
  </conditionalFormatting>
  <conditionalFormatting sqref="AL81">
    <cfRule type="expression" dxfId="721" priority="6" stopIfTrue="1">
      <formula>IF(#REF!=VLOOKUP(AJ$18,Chem_Table,COLUMN(Fract_Key_C),FALSE),FALSE,TRUE)</formula>
    </cfRule>
  </conditionalFormatting>
  <conditionalFormatting sqref="AM81">
    <cfRule type="expression" dxfId="720" priority="5" stopIfTrue="1">
      <formula>IF(#REF!=VLOOKUP(AK$18,Chem_Table,COLUMN(Fract_Key_C),FALSE),FALSE,TRUE)</formula>
    </cfRule>
  </conditionalFormatting>
  <conditionalFormatting sqref="AL82:AL85">
    <cfRule type="expression" dxfId="719" priority="2" stopIfTrue="1">
      <formula>IF(#REF!=VLOOKUP(AJ$18,Chem_Table,COLUMN(Fract_Key_C),FALSE),FALSE,TRUE)</formula>
    </cfRule>
  </conditionalFormatting>
  <conditionalFormatting sqref="AM82:AM85">
    <cfRule type="expression" dxfId="718" priority="1" stopIfTrue="1">
      <formula>IF(#REF!=VLOOKUP(AK$18,Chem_Table,COLUMN(Fract_Key_C),FALSE),FALSE,TRUE)</formula>
    </cfRule>
  </conditionalFormatting>
  <conditionalFormatting sqref="AK41">
    <cfRule type="expression" dxfId="717" priority="67467" stopIfTrue="1">
      <formula>IF(#REF!=VLOOKUP(R$2,Chem_Table,COLUMN(Fract_Key_C),FALSE),FALSE,TRUE)</formula>
    </cfRule>
  </conditionalFormatting>
  <conditionalFormatting sqref="AK42:AK45">
    <cfRule type="expression" dxfId="716" priority="67468" stopIfTrue="1">
      <formula>IF(#REF!=VLOOKUP(R$2,Chem_Table,COLUMN(Fract_Key_C),FALSE),FALSE,TRUE)</formula>
    </cfRule>
  </conditionalFormatting>
  <dataValidations count="22">
    <dataValidation type="list" allowBlank="1" showInputMessage="1" showErrorMessage="1" sqref="D16:D20 C12 C35" xr:uid="{00000000-0002-0000-0700-000000000000}">
      <formula1>"Yes"</formula1>
    </dataValidation>
    <dataValidation type="list" allowBlank="1" showInputMessage="1" showErrorMessage="1" sqref="B17:B20 C9 M35" xr:uid="{00000000-0002-0000-0700-000001000000}">
      <formula1>Chem_Name</formula1>
    </dataValidation>
    <dataValidation type="list" allowBlank="1" showInputMessage="1" showErrorMessage="1" sqref="I39" xr:uid="{00000000-0002-0000-0700-000002000000}">
      <formula1>Conductivity_List</formula1>
    </dataValidation>
    <dataValidation type="list" allowBlank="1" showInputMessage="1" showErrorMessage="1" sqref="I34 I28 I46:I47 I50" xr:uid="{00000000-0002-0000-0700-000003000000}">
      <formula1>YN_List</formula1>
    </dataValidation>
    <dataValidation type="list" allowBlank="1" showInputMessage="1" showErrorMessage="1" sqref="I42" xr:uid="{00000000-0002-0000-0700-000004000000}">
      <formula1>DustDefl_List</formula1>
    </dataValidation>
    <dataValidation type="list" allowBlank="1" showInputMessage="1" showErrorMessage="1" sqref="D39 D46:D47" xr:uid="{00000000-0002-0000-0700-000005000000}">
      <formula1>"C,F"</formula1>
    </dataValidation>
    <dataValidation type="list" allowBlank="1" showInputMessage="1" showErrorMessage="1" sqref="D40" xr:uid="{00000000-0002-0000-0700-000006000000}">
      <formula1>"atm,bar,kPa,psi,mmHg"</formula1>
    </dataValidation>
    <dataValidation type="list" allowBlank="1" showInputMessage="1" showErrorMessage="1" sqref="D42" xr:uid="{00000000-0002-0000-0700-000007000000}">
      <formula1>"cal/gm C,J/gm C,BTU/lb F"</formula1>
    </dataValidation>
    <dataValidation type="list" allowBlank="1" showInputMessage="1" showErrorMessage="1" sqref="D44" xr:uid="{00000000-0002-0000-0700-000008000000}">
      <formula1>"cal/gm,J/gm,BTU/lb"</formula1>
    </dataValidation>
    <dataValidation type="list" allowBlank="1" showInputMessage="1" showErrorMessage="1" sqref="D41" xr:uid="{00000000-0002-0000-0700-000009000000}">
      <formula1>"gm/ml,gm/liter,Kg/liter,Kg/cu m,lb/cu ft,lb/gal"</formula1>
    </dataValidation>
    <dataValidation type="list" allowBlank="1" showInputMessage="1" showErrorMessage="1" sqref="I30" xr:uid="{00000000-0002-0000-0700-00000A000000}">
      <formula1>Ignition_List</formula1>
    </dataValidation>
    <dataValidation type="list" allowBlank="1" showInputMessage="1" showErrorMessage="1" sqref="I31" xr:uid="{00000000-0002-0000-0700-00000B000000}">
      <formula1>Flame_List</formula1>
    </dataValidation>
    <dataValidation type="list" allowBlank="1" showInputMessage="1" showErrorMessage="1" sqref="I32" xr:uid="{00000000-0002-0000-0700-00000C000000}">
      <formula1>DermalTox_List</formula1>
    </dataValidation>
    <dataValidation type="list" allowBlank="1" showInputMessage="1" showErrorMessage="1" sqref="I33" xr:uid="{00000000-0002-0000-0700-00000D000000}">
      <formula1>InhalTox_List</formula1>
    </dataValidation>
    <dataValidation type="decimal" operator="greaterThan" allowBlank="1" showInputMessage="1" showErrorMessage="1" sqref="I5:I6" xr:uid="{00000000-0002-0000-0700-00000E000000}">
      <formula1>-1000</formula1>
    </dataValidation>
    <dataValidation type="list" allowBlank="1" showInputMessage="1" showErrorMessage="1" sqref="J6" xr:uid="{00000000-0002-0000-0700-00000F000000}">
      <formula1>Press_List</formula1>
    </dataValidation>
    <dataValidation type="list" allowBlank="1" showInputMessage="1" showErrorMessage="1" sqref="J5" xr:uid="{00000000-0002-0000-0700-000010000000}">
      <formula1>T_List</formula1>
    </dataValidation>
    <dataValidation type="list" allowBlank="1" showInputMessage="1" showErrorMessage="1" sqref="I37" xr:uid="{00000000-0002-0000-0700-000011000000}">
      <formula1>ReactiveCategory_List</formula1>
    </dataValidation>
    <dataValidation type="list" allowBlank="1" showInputMessage="1" showErrorMessage="1" sqref="I38 I35:I36" xr:uid="{00000000-0002-0000-0700-000012000000}">
      <formula1>NFPA_List</formula1>
    </dataValidation>
    <dataValidation type="decimal" allowBlank="1" showInputMessage="1" showErrorMessage="1" sqref="C16:C20" xr:uid="{00000000-0002-0000-0700-000013000000}">
      <formula1>0</formula1>
      <formula2>1.001</formula2>
    </dataValidation>
    <dataValidation type="whole" operator="greaterThan" allowBlank="1" showInputMessage="1" showErrorMessage="1" error="Enter integer greater than zero." sqref="I43" xr:uid="{00000000-0002-0000-0700-000014000000}">
      <formula1>0</formula1>
    </dataValidation>
    <dataValidation type="decimal" allowBlank="1" showInputMessage="1" showErrorMessage="1" error="Enter integar greater than zero and less than mean particle size" sqref="I44" xr:uid="{00000000-0002-0000-0700-000015000000}">
      <formula1>0</formula1>
      <formula2>H43-1</formula2>
    </dataValidation>
  </dataValidations>
  <pageMargins left="1.25" right="0" top="0.5" bottom="0.25" header="0" footer="0.25"/>
  <pageSetup scale="9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10" r:id="rId4" name="Button 70">
              <controlPr defaultSize="0" print="0" autoFill="0" autoPict="0" macro="[0]!Go_To_Process_Conditions">
                <anchor moveWithCells="1" sizeWithCells="1">
                  <from>
                    <xdr:col>7</xdr:col>
                    <xdr:colOff>736600</xdr:colOff>
                    <xdr:row>1</xdr:row>
                    <xdr:rowOff>88900</xdr:rowOff>
                  </from>
                  <to>
                    <xdr:col>10</xdr:col>
                    <xdr:colOff>127000</xdr:colOff>
                    <xdr:row>2</xdr:row>
                    <xdr:rowOff>50800</xdr:rowOff>
                  </to>
                </anchor>
              </controlPr>
            </control>
          </mc:Choice>
        </mc:AlternateContent>
        <mc:AlternateContent xmlns:mc="http://schemas.openxmlformats.org/markup-compatibility/2006">
          <mc:Choice Requires="x14">
            <control shapeId="10598" r:id="rId5" name="Button 358">
              <controlPr defaultSize="0" print="0" autoFill="0" autoPict="0" macro="[0]!Save_Equipment">
                <anchor moveWithCells="1" sizeWithCells="1">
                  <from>
                    <xdr:col>1</xdr:col>
                    <xdr:colOff>1905000</xdr:colOff>
                    <xdr:row>1</xdr:row>
                    <xdr:rowOff>114300</xdr:rowOff>
                  </from>
                  <to>
                    <xdr:col>4</xdr:col>
                    <xdr:colOff>508000</xdr:colOff>
                    <xdr:row>2</xdr:row>
                    <xdr:rowOff>152400</xdr:rowOff>
                  </to>
                </anchor>
              </controlPr>
            </control>
          </mc:Choice>
        </mc:AlternateContent>
        <mc:AlternateContent xmlns:mc="http://schemas.openxmlformats.org/markup-compatibility/2006">
          <mc:Choice Requires="x14">
            <control shapeId="221842" r:id="rId6" name="Button 1682">
              <controlPr defaultSize="0" print="0" autoFill="0" autoPict="0" macro="[0]!Go_To_New_Chemical">
                <anchor moveWithCells="1" sizeWithCells="1">
                  <from>
                    <xdr:col>0</xdr:col>
                    <xdr:colOff>88900</xdr:colOff>
                    <xdr:row>1</xdr:row>
                    <xdr:rowOff>69850</xdr:rowOff>
                  </from>
                  <to>
                    <xdr:col>1</xdr:col>
                    <xdr:colOff>1460500</xdr:colOff>
                    <xdr:row>2</xdr:row>
                    <xdr:rowOff>88900</xdr:rowOff>
                  </to>
                </anchor>
              </controlPr>
            </control>
          </mc:Choice>
        </mc:AlternateContent>
        <mc:AlternateContent xmlns:mc="http://schemas.openxmlformats.org/markup-compatibility/2006">
          <mc:Choice Requires="x14">
            <control shapeId="221845" r:id="rId7" name="Button 1685">
              <controlPr defaultSize="0" print="0" autoFill="0" autoPict="0" macro="[0]!Clear_Input_Data">
                <anchor moveWithCells="1" sizeWithCells="1">
                  <from>
                    <xdr:col>5</xdr:col>
                    <xdr:colOff>146050</xdr:colOff>
                    <xdr:row>1</xdr:row>
                    <xdr:rowOff>146050</xdr:rowOff>
                  </from>
                  <to>
                    <xdr:col>6</xdr:col>
                    <xdr:colOff>222250</xdr:colOff>
                    <xdr:row>2</xdr:row>
                    <xdr:rowOff>107950</xdr:rowOff>
                  </to>
                </anchor>
              </controlPr>
            </control>
          </mc:Choice>
        </mc:AlternateContent>
        <mc:AlternateContent xmlns:mc="http://schemas.openxmlformats.org/markup-compatibility/2006">
          <mc:Choice Requires="x14">
            <control shapeId="221864" r:id="rId8" name="Button 1704">
              <controlPr defaultSize="0" print="0" autoFill="0" autoPict="0" macro="[0]!Go_To_Main_Menu">
                <anchor moveWithCells="1" sizeWithCells="1">
                  <from>
                    <xdr:col>0</xdr:col>
                    <xdr:colOff>88900</xdr:colOff>
                    <xdr:row>0</xdr:row>
                    <xdr:rowOff>50800</xdr:rowOff>
                  </from>
                  <to>
                    <xdr:col>1</xdr:col>
                    <xdr:colOff>1422400</xdr:colOff>
                    <xdr:row>1</xdr:row>
                    <xdr:rowOff>38100</xdr:rowOff>
                  </to>
                </anchor>
              </controlPr>
            </control>
          </mc:Choice>
        </mc:AlternateContent>
        <mc:AlternateContent xmlns:mc="http://schemas.openxmlformats.org/markup-compatibility/2006">
          <mc:Choice Requires="x14">
            <control shapeId="221872" r:id="rId9" name="Button 1712">
              <controlPr defaultSize="0" print="0" autoFill="0" autoPict="0" macro="[0]!Go_To_Plant_Layout">
                <anchor moveWithCells="1" sizeWithCells="1">
                  <from>
                    <xdr:col>8</xdr:col>
                    <xdr:colOff>279400</xdr:colOff>
                    <xdr:row>2</xdr:row>
                    <xdr:rowOff>88900</xdr:rowOff>
                  </from>
                  <to>
                    <xdr:col>10</xdr:col>
                    <xdr:colOff>127000</xdr:colOff>
                    <xdr:row>3</xdr:row>
                    <xdr:rowOff>114300</xdr:rowOff>
                  </to>
                </anchor>
              </controlPr>
            </control>
          </mc:Choice>
        </mc:AlternateContent>
        <mc:AlternateContent xmlns:mc="http://schemas.openxmlformats.org/markup-compatibility/2006">
          <mc:Choice Requires="x14">
            <control shapeId="221877" r:id="rId10" name="Button 1717">
              <controlPr defaultSize="0" print="0" autoFill="0" autoPict="0" macro="[0]!Show_ChemDetails">
                <anchor moveWithCells="1" sizeWithCells="1">
                  <from>
                    <xdr:col>1</xdr:col>
                    <xdr:colOff>12700</xdr:colOff>
                    <xdr:row>54</xdr:row>
                    <xdr:rowOff>76200</xdr:rowOff>
                  </from>
                  <to>
                    <xdr:col>1</xdr:col>
                    <xdr:colOff>1066800</xdr:colOff>
                    <xdr:row>55</xdr:row>
                    <xdr:rowOff>107950</xdr:rowOff>
                  </to>
                </anchor>
              </controlPr>
            </control>
          </mc:Choice>
        </mc:AlternateContent>
        <mc:AlternateContent xmlns:mc="http://schemas.openxmlformats.org/markup-compatibility/2006">
          <mc:Choice Requires="x14">
            <control shapeId="221878" r:id="rId11" name="Button 1718">
              <controlPr defaultSize="0" print="0" autoFill="0" autoPict="0" macro="[0]!Hide_ChemDetails">
                <anchor moveWithCells="1" sizeWithCells="1">
                  <from>
                    <xdr:col>1</xdr:col>
                    <xdr:colOff>1333500</xdr:colOff>
                    <xdr:row>54</xdr:row>
                    <xdr:rowOff>76200</xdr:rowOff>
                  </from>
                  <to>
                    <xdr:col>2</xdr:col>
                    <xdr:colOff>298450</xdr:colOff>
                    <xdr:row>55</xdr:row>
                    <xdr:rowOff>107950</xdr:rowOff>
                  </to>
                </anchor>
              </controlPr>
            </control>
          </mc:Choice>
        </mc:AlternateContent>
        <mc:AlternateContent xmlns:mc="http://schemas.openxmlformats.org/markup-compatibility/2006">
          <mc:Choice Requires="x14">
            <control shapeId="221896" r:id="rId12" name="Button 1736">
              <controlPr defaultSize="0" print="0" autoFill="0" autoPict="0" macro="[0]!Go_To_Input_Data">
                <anchor moveWithCells="1" sizeWithCells="1">
                  <from>
                    <xdr:col>8</xdr:col>
                    <xdr:colOff>50800</xdr:colOff>
                    <xdr:row>0</xdr:row>
                    <xdr:rowOff>76200</xdr:rowOff>
                  </from>
                  <to>
                    <xdr:col>10</xdr:col>
                    <xdr:colOff>127000</xdr:colOff>
                    <xdr:row>1</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FFFF00"/>
    <pageSetUpPr autoPageBreaks="0"/>
  </sheetPr>
  <dimension ref="A1:P84"/>
  <sheetViews>
    <sheetView showGridLines="0" showRowColHeaders="0" zoomScale="90" zoomScaleNormal="90" workbookViewId="0">
      <selection activeCell="G6" sqref="G6:I7"/>
    </sheetView>
  </sheetViews>
  <sheetFormatPr defaultColWidth="8.81640625" defaultRowHeight="12.5" x14ac:dyDescent="0.25"/>
  <cols>
    <col min="1" max="1" width="1.81640625" customWidth="1"/>
    <col min="2" max="2" width="26.1796875" customWidth="1"/>
    <col min="3" max="3" width="4.81640625" customWidth="1"/>
    <col min="4" max="4" width="12" customWidth="1"/>
    <col min="5" max="5" width="13.453125" customWidth="1"/>
    <col min="6" max="6" width="1.81640625" customWidth="1"/>
    <col min="7" max="7" width="36.81640625" customWidth="1"/>
    <col min="8" max="8" width="11.1796875" customWidth="1"/>
    <col min="9" max="9" width="12.81640625" customWidth="1"/>
    <col min="10" max="10" width="2.1796875" customWidth="1"/>
    <col min="14" max="14" width="11.1796875" bestFit="1" customWidth="1"/>
  </cols>
  <sheetData>
    <row r="1" spans="1:16" ht="18" x14ac:dyDescent="0.25">
      <c r="A1" s="1"/>
      <c r="B1" s="1"/>
      <c r="C1" s="1"/>
      <c r="D1" s="1"/>
      <c r="E1" s="1"/>
      <c r="F1" s="668" t="s">
        <v>2457</v>
      </c>
      <c r="G1" s="1"/>
      <c r="H1" s="1"/>
      <c r="I1" s="1"/>
      <c r="J1" s="1"/>
    </row>
    <row r="2" spans="1:16" ht="18" x14ac:dyDescent="0.25">
      <c r="A2" s="1"/>
      <c r="B2" s="1"/>
      <c r="C2" s="1"/>
      <c r="D2" s="1"/>
      <c r="E2" s="1"/>
      <c r="F2" s="668"/>
      <c r="G2" s="1"/>
      <c r="H2" s="1"/>
      <c r="I2" s="1"/>
      <c r="J2" s="1"/>
    </row>
    <row r="3" spans="1:16" s="511" customFormat="1" ht="13" x14ac:dyDescent="0.25">
      <c r="A3" s="665"/>
      <c r="B3" s="666"/>
      <c r="C3" s="666"/>
      <c r="D3" s="137"/>
      <c r="E3" s="137"/>
      <c r="F3" s="667"/>
      <c r="G3" s="137"/>
      <c r="H3" s="137"/>
      <c r="I3" s="1"/>
      <c r="J3" s="1"/>
      <c r="K3"/>
      <c r="L3"/>
      <c r="M3"/>
      <c r="N3"/>
      <c r="O3"/>
      <c r="P3"/>
    </row>
    <row r="4" spans="1:16" ht="12.75" customHeight="1" thickBot="1" x14ac:dyDescent="0.3">
      <c r="A4" s="1"/>
      <c r="B4" s="525"/>
      <c r="C4" s="1"/>
      <c r="D4" s="1"/>
      <c r="E4" s="1"/>
      <c r="F4" s="1"/>
      <c r="G4" s="1"/>
      <c r="H4" s="1"/>
      <c r="I4" s="1"/>
      <c r="J4" s="1"/>
    </row>
    <row r="5" spans="1:16" ht="12.75" customHeight="1" thickBot="1" x14ac:dyDescent="0.35">
      <c r="A5" s="1"/>
      <c r="B5" s="526" t="s">
        <v>2323</v>
      </c>
      <c r="C5" s="3650" t="str">
        <f>IF(Equipment_Tag&lt;&gt;"",Equipment_Tag,"")</f>
        <v/>
      </c>
      <c r="D5" s="3651"/>
      <c r="E5" s="3652"/>
      <c r="F5" s="525"/>
      <c r="G5" s="3625" t="s">
        <v>2305</v>
      </c>
      <c r="H5" s="3626"/>
      <c r="I5" s="3627"/>
      <c r="J5" s="1"/>
    </row>
    <row r="6" spans="1:16" ht="12.75" customHeight="1" x14ac:dyDescent="0.25">
      <c r="A6" s="1"/>
      <c r="B6" s="526" t="s">
        <v>2328</v>
      </c>
      <c r="C6" s="3636" t="str">
        <f>IF(Equipment&lt;&gt;"",Equipment,"")</f>
        <v/>
      </c>
      <c r="D6" s="3637"/>
      <c r="E6" s="3638"/>
      <c r="F6" s="525"/>
      <c r="G6" s="3628"/>
      <c r="H6" s="3629"/>
      <c r="I6" s="3630"/>
      <c r="J6" s="1"/>
    </row>
    <row r="7" spans="1:16" ht="12.75" customHeight="1" thickBot="1" x14ac:dyDescent="0.3">
      <c r="A7" s="1"/>
      <c r="B7" s="526" t="s">
        <v>2331</v>
      </c>
      <c r="C7" s="3653" t="str">
        <f>IF(Location&lt;&gt;"",Location,"Outdoor Assumed")</f>
        <v>Outdoor Assumed</v>
      </c>
      <c r="D7" s="3654"/>
      <c r="E7" s="3655"/>
      <c r="F7" s="525"/>
      <c r="G7" s="3631"/>
      <c r="H7" s="3632"/>
      <c r="I7" s="3633"/>
      <c r="J7" s="1"/>
    </row>
    <row r="8" spans="1:16" s="810" customFormat="1" ht="13" thickBot="1" x14ac:dyDescent="0.3">
      <c r="A8" s="809"/>
      <c r="B8" s="3639" t="str">
        <f>IF(OR(Equipment_Tag="",Equipment=""),"Enter Equipment Identification, and Equipment Type, on Study Menu Worksheet","")</f>
        <v>Enter Equipment Identification, and Equipment Type, on Study Menu Worksheet</v>
      </c>
      <c r="C8" s="3639"/>
      <c r="D8" s="3639"/>
      <c r="E8" s="3639"/>
      <c r="F8" s="3639"/>
      <c r="G8" s="3639"/>
      <c r="H8" s="3639"/>
      <c r="I8" s="3639"/>
      <c r="J8" s="809"/>
      <c r="K8"/>
      <c r="L8"/>
      <c r="M8"/>
      <c r="N8"/>
      <c r="O8"/>
      <c r="P8"/>
    </row>
    <row r="9" spans="1:16" ht="12.75" customHeight="1" thickBot="1" x14ac:dyDescent="0.3">
      <c r="A9" s="1"/>
      <c r="B9" s="3617" t="s">
        <v>2306</v>
      </c>
      <c r="C9" s="3618"/>
      <c r="D9" s="3618"/>
      <c r="E9" s="3619"/>
      <c r="F9" s="1"/>
      <c r="G9" s="3617" t="s">
        <v>2740</v>
      </c>
      <c r="H9" s="3618"/>
      <c r="I9" s="3619"/>
      <c r="J9" s="1"/>
    </row>
    <row r="10" spans="1:16" ht="12.75" customHeight="1" x14ac:dyDescent="0.25">
      <c r="A10" s="1"/>
      <c r="B10" s="3634" t="s">
        <v>1006</v>
      </c>
      <c r="C10" s="3635"/>
      <c r="D10" s="523"/>
      <c r="E10" s="195" t="s">
        <v>1496</v>
      </c>
      <c r="F10" s="1"/>
      <c r="G10" s="672" t="s">
        <v>523</v>
      </c>
      <c r="H10" s="987"/>
      <c r="I10" s="198" t="s">
        <v>1068</v>
      </c>
      <c r="J10" s="1"/>
    </row>
    <row r="11" spans="1:16" ht="12.75" customHeight="1" x14ac:dyDescent="0.25">
      <c r="A11" s="1"/>
      <c r="B11" s="3623" t="s">
        <v>1517</v>
      </c>
      <c r="C11" s="3624"/>
      <c r="D11" s="1710"/>
      <c r="E11" s="198" t="s">
        <v>403</v>
      </c>
      <c r="F11" s="1"/>
      <c r="G11" s="672" t="s">
        <v>3049</v>
      </c>
      <c r="H11" s="2076"/>
      <c r="I11" s="727"/>
      <c r="J11" s="1"/>
    </row>
    <row r="12" spans="1:16" ht="12.75" customHeight="1" thickBot="1" x14ac:dyDescent="0.3">
      <c r="A12" s="1"/>
      <c r="B12" s="3623" t="s">
        <v>1007</v>
      </c>
      <c r="C12" s="3576"/>
      <c r="D12" s="1708"/>
      <c r="E12" s="199"/>
      <c r="F12" s="1"/>
      <c r="G12" s="695" t="s">
        <v>4179</v>
      </c>
      <c r="H12" s="3640"/>
      <c r="I12" s="3641"/>
      <c r="J12" s="1"/>
    </row>
    <row r="13" spans="1:16" ht="12.75" customHeight="1" thickBot="1" x14ac:dyDescent="0.3">
      <c r="A13" s="1"/>
      <c r="B13" s="3623" t="s">
        <v>3554</v>
      </c>
      <c r="C13" s="3576"/>
      <c r="D13" s="1708"/>
      <c r="E13" s="198" t="s">
        <v>1836</v>
      </c>
      <c r="F13" s="1"/>
      <c r="G13" s="1"/>
      <c r="H13" s="1"/>
      <c r="I13" s="1"/>
      <c r="J13" s="1"/>
    </row>
    <row r="14" spans="1:16" ht="12.75" customHeight="1" thickBot="1" x14ac:dyDescent="0.3">
      <c r="A14" s="1"/>
      <c r="B14" s="3623" t="s">
        <v>3580</v>
      </c>
      <c r="C14" s="3576"/>
      <c r="D14" s="1708"/>
      <c r="E14" s="198" t="s">
        <v>1836</v>
      </c>
      <c r="F14" s="1"/>
      <c r="G14" s="3620" t="s">
        <v>3387</v>
      </c>
      <c r="H14" s="3621"/>
      <c r="I14" s="3622"/>
      <c r="J14" s="1"/>
    </row>
    <row r="15" spans="1:16" ht="12.75" customHeight="1" x14ac:dyDescent="0.25">
      <c r="A15" s="1"/>
      <c r="B15" s="3623" t="str">
        <f>IF(Equipment="Pump","Pump Inlet Diameter = ",IF(Equipment="Piping","Pipe Diameter","Nozzle or Pipe Size = "))</f>
        <v xml:space="preserve">Nozzle or Pipe Size = </v>
      </c>
      <c r="C15" s="3576"/>
      <c r="D15" s="1709"/>
      <c r="E15" s="198" t="s">
        <v>893</v>
      </c>
      <c r="F15" s="1"/>
      <c r="G15" s="524" t="s">
        <v>2535</v>
      </c>
      <c r="H15" s="3663"/>
      <c r="I15" s="3664"/>
      <c r="J15" s="1"/>
    </row>
    <row r="16" spans="1:16" ht="12.75" customHeight="1" x14ac:dyDescent="0.25">
      <c r="A16" s="1"/>
      <c r="B16" s="3623" t="s">
        <v>2311</v>
      </c>
      <c r="C16" s="3624"/>
      <c r="D16" s="1711"/>
      <c r="E16" s="199"/>
      <c r="F16" s="1"/>
      <c r="G16" s="672" t="s">
        <v>2660</v>
      </c>
      <c r="H16" s="3661"/>
      <c r="I16" s="3662"/>
      <c r="J16" s="1"/>
    </row>
    <row r="17" spans="1:11" ht="12.75" customHeight="1" x14ac:dyDescent="0.25">
      <c r="A17" s="1"/>
      <c r="B17" s="3623" t="s">
        <v>1041</v>
      </c>
      <c r="C17" s="3624"/>
      <c r="D17" s="3665"/>
      <c r="E17" s="3666"/>
      <c r="F17" s="1"/>
      <c r="G17" s="672" t="s">
        <v>1209</v>
      </c>
      <c r="H17" s="2076"/>
      <c r="I17" s="1843"/>
      <c r="J17" s="1"/>
    </row>
    <row r="18" spans="1:11" ht="12.75" customHeight="1" x14ac:dyDescent="0.25">
      <c r="A18" s="1"/>
      <c r="B18" s="3671" t="s">
        <v>4059</v>
      </c>
      <c r="C18" s="3672"/>
      <c r="D18" s="1886" t="str">
        <f>IF(OR(ISERROR(Est_Equip_Mass),Equipment_Volume=""),"",Est_Equip_Mass)</f>
        <v/>
      </c>
      <c r="E18" s="1884" t="str">
        <f>Mass_Equip_Units</f>
        <v>kg</v>
      </c>
      <c r="F18" s="1"/>
      <c r="G18" s="672" t="s">
        <v>3388</v>
      </c>
      <c r="H18" s="3669"/>
      <c r="I18" s="3670"/>
      <c r="J18" s="1"/>
    </row>
    <row r="19" spans="1:11" ht="12.75" customHeight="1" x14ac:dyDescent="0.25">
      <c r="A19" s="1"/>
      <c r="B19" s="3623" t="s">
        <v>2489</v>
      </c>
      <c r="C19" s="3668"/>
      <c r="D19" s="1712"/>
      <c r="E19" s="198" t="s">
        <v>2822</v>
      </c>
      <c r="F19" s="1"/>
      <c r="G19" s="672"/>
      <c r="H19" s="2329" t="s">
        <v>4566</v>
      </c>
      <c r="I19" s="2330" t="s">
        <v>4567</v>
      </c>
      <c r="J19" s="1"/>
    </row>
    <row r="20" spans="1:11" ht="12.75" customHeight="1" x14ac:dyDescent="0.25">
      <c r="A20" s="1"/>
      <c r="B20" s="3667" t="s">
        <v>3074</v>
      </c>
      <c r="C20" s="3624"/>
      <c r="D20" s="1709"/>
      <c r="E20" s="74"/>
      <c r="F20" s="1"/>
      <c r="G20" s="2331" t="s">
        <v>4565</v>
      </c>
      <c r="H20" s="2332">
        <f>Pump_Vol1*D^Pump_Vol2</f>
        <v>0</v>
      </c>
      <c r="I20" s="2333"/>
      <c r="J20" s="1"/>
    </row>
    <row r="21" spans="1:11" ht="12.75" customHeight="1" thickBot="1" x14ac:dyDescent="0.3">
      <c r="A21" s="1"/>
      <c r="B21" s="3623" t="s">
        <v>287</v>
      </c>
      <c r="C21" s="3624"/>
      <c r="D21" s="1709"/>
      <c r="E21" s="199"/>
      <c r="F21" s="1"/>
      <c r="G21" s="2334" t="s">
        <v>4570</v>
      </c>
      <c r="H21" s="2335">
        <f>Pump_Sur1*D^Pump_Sur2</f>
        <v>0</v>
      </c>
      <c r="I21" s="2336"/>
      <c r="J21" s="1"/>
    </row>
    <row r="22" spans="1:11" ht="12.75" customHeight="1" thickBot="1" x14ac:dyDescent="0.3">
      <c r="A22" s="1"/>
      <c r="B22" s="3623" t="s">
        <v>1614</v>
      </c>
      <c r="C22" s="3624"/>
      <c r="D22" s="1711"/>
      <c r="E22" s="198" t="s">
        <v>1892</v>
      </c>
      <c r="F22" s="1"/>
      <c r="G22" s="1"/>
      <c r="H22" s="1"/>
      <c r="I22" s="1"/>
      <c r="J22" s="1"/>
    </row>
    <row r="23" spans="1:11" ht="12.75" customHeight="1" thickBot="1" x14ac:dyDescent="0.3">
      <c r="A23" s="1"/>
      <c r="B23" s="3623" t="str">
        <f>"Insulation"&amp;IF(AND(Insulation&lt;&gt;"",Corrosion_Insulation="Yes")," with Potential Corrosion (CUI)","")</f>
        <v>Insulation</v>
      </c>
      <c r="C23" s="3624"/>
      <c r="D23" s="1711"/>
      <c r="E23" s="1231"/>
      <c r="F23" s="1"/>
      <c r="G23" s="3617" t="s">
        <v>2325</v>
      </c>
      <c r="H23" s="3673"/>
      <c r="I23" s="3660"/>
      <c r="J23" s="1"/>
    </row>
    <row r="24" spans="1:11" ht="12.75" customHeight="1" thickBot="1" x14ac:dyDescent="0.3">
      <c r="A24" s="1"/>
      <c r="B24" s="3656" t="s">
        <v>3981</v>
      </c>
      <c r="C24" s="3668"/>
      <c r="D24" s="1873"/>
      <c r="E24" s="1231"/>
      <c r="F24" s="1"/>
      <c r="G24" s="1033" t="s">
        <v>2307</v>
      </c>
      <c r="H24" s="3674"/>
      <c r="I24" s="3675"/>
      <c r="J24" s="1"/>
    </row>
    <row r="25" spans="1:11" ht="12.75" customHeight="1" thickBot="1" x14ac:dyDescent="0.35">
      <c r="A25" s="1"/>
      <c r="B25" s="3623" t="s">
        <v>4081</v>
      </c>
      <c r="C25" s="3624"/>
      <c r="D25" s="1708"/>
      <c r="E25" s="1231"/>
      <c r="F25" s="1"/>
      <c r="G25" s="1"/>
      <c r="H25" s="1"/>
      <c r="I25" s="1"/>
      <c r="J25" s="1"/>
      <c r="K25" s="1821"/>
    </row>
    <row r="26" spans="1:11" ht="12.75" customHeight="1" thickBot="1" x14ac:dyDescent="0.3">
      <c r="A26" s="1"/>
      <c r="B26" s="3676" t="s">
        <v>2851</v>
      </c>
      <c r="C26" s="3677"/>
      <c r="D26" s="1713" t="str">
        <f>IF(OR(ISERROR(Est_Surf_Area),Equipment_Volume=""),"",Est_Surf_Area)</f>
        <v/>
      </c>
      <c r="E26" s="552" t="str">
        <f>Sur_Area_Units</f>
        <v>sq m</v>
      </c>
      <c r="F26" s="1"/>
      <c r="G26" s="3617" t="s">
        <v>2308</v>
      </c>
      <c r="H26" s="3673"/>
      <c r="I26" s="3660"/>
      <c r="J26" s="1"/>
    </row>
    <row r="27" spans="1:11" ht="12.75" customHeight="1" thickBot="1" x14ac:dyDescent="0.3">
      <c r="A27" s="1"/>
      <c r="B27" s="3656" t="s">
        <v>2850</v>
      </c>
      <c r="C27" s="3657"/>
      <c r="D27" s="1712"/>
      <c r="E27" s="198" t="s">
        <v>1160</v>
      </c>
      <c r="F27" s="1"/>
      <c r="G27" s="1221" t="s">
        <v>2490</v>
      </c>
      <c r="H27" s="3687"/>
      <c r="I27" s="3688"/>
      <c r="J27" s="1"/>
    </row>
    <row r="28" spans="1:11" ht="12.75" customHeight="1" x14ac:dyDescent="0.25">
      <c r="A28" s="1"/>
      <c r="B28" s="3623" t="s">
        <v>2232</v>
      </c>
      <c r="C28" s="3624"/>
      <c r="D28" s="1709"/>
      <c r="E28" s="198" t="s">
        <v>1068</v>
      </c>
      <c r="F28" s="1"/>
      <c r="G28" s="672" t="s">
        <v>3558</v>
      </c>
      <c r="H28" s="1708"/>
      <c r="I28" s="545" t="s">
        <v>1161</v>
      </c>
      <c r="J28" s="1"/>
    </row>
    <row r="29" spans="1:11" ht="12.75" customHeight="1" thickBot="1" x14ac:dyDescent="0.3">
      <c r="A29" s="1"/>
      <c r="B29" s="3642" t="s">
        <v>466</v>
      </c>
      <c r="C29" s="3643"/>
      <c r="D29" s="1555"/>
      <c r="E29" s="202" t="s">
        <v>893</v>
      </c>
      <c r="F29" s="1"/>
      <c r="G29" s="672" t="s">
        <v>1353</v>
      </c>
      <c r="H29" s="1191"/>
      <c r="I29" s="1211"/>
      <c r="J29" s="1"/>
    </row>
    <row r="30" spans="1:11" ht="12.75" customHeight="1" thickBot="1" x14ac:dyDescent="0.3">
      <c r="A30" s="1"/>
      <c r="B30" s="3685" t="str">
        <f>IF(AND(MAWP_Input&lt;&gt;"",P&gt;MAWP+0.001),"Warning:  Operating Pressure is greater than entered MAWP","")</f>
        <v/>
      </c>
      <c r="C30" s="3686"/>
      <c r="D30" s="3686"/>
      <c r="E30" s="3686"/>
      <c r="F30" s="1"/>
      <c r="G30" s="1669" t="s">
        <v>3156</v>
      </c>
      <c r="H30" s="1305"/>
      <c r="I30" s="198"/>
      <c r="J30" s="1"/>
    </row>
    <row r="31" spans="1:11" ht="12.75" customHeight="1" thickBot="1" x14ac:dyDescent="0.3">
      <c r="A31" s="1"/>
      <c r="B31" s="3617" t="s">
        <v>2320</v>
      </c>
      <c r="C31" s="3618"/>
      <c r="D31" s="3618"/>
      <c r="E31" s="3660"/>
      <c r="F31" s="1"/>
      <c r="G31" s="695" t="s">
        <v>1822</v>
      </c>
      <c r="H31" s="1304"/>
      <c r="I31" s="821"/>
      <c r="J31" s="1"/>
      <c r="K31" s="511"/>
    </row>
    <row r="32" spans="1:11" ht="12.75" customHeight="1" thickBot="1" x14ac:dyDescent="0.3">
      <c r="A32" s="1"/>
      <c r="B32" s="3634" t="s">
        <v>3795</v>
      </c>
      <c r="C32" s="3682"/>
      <c r="D32" s="3683"/>
      <c r="E32" s="3684"/>
      <c r="F32" s="1"/>
      <c r="G32" s="1"/>
      <c r="H32" s="1"/>
      <c r="I32" s="1"/>
      <c r="J32" s="1"/>
    </row>
    <row r="33" spans="1:13" ht="12.75" customHeight="1" thickBot="1" x14ac:dyDescent="0.3">
      <c r="A33" s="1"/>
      <c r="B33" s="3623" t="s">
        <v>2781</v>
      </c>
      <c r="C33" s="3576"/>
      <c r="D33" s="1822"/>
      <c r="E33" s="199"/>
      <c r="F33" s="1"/>
      <c r="G33" s="3617" t="s">
        <v>2310</v>
      </c>
      <c r="H33" s="3618"/>
      <c r="I33" s="3619"/>
      <c r="J33" s="122"/>
    </row>
    <row r="34" spans="1:13" ht="12.75" customHeight="1" x14ac:dyDescent="0.25">
      <c r="A34" s="1"/>
      <c r="B34" s="3623" t="s">
        <v>2861</v>
      </c>
      <c r="C34" s="3576"/>
      <c r="D34" s="1823"/>
      <c r="E34" s="199"/>
      <c r="F34" s="1"/>
      <c r="G34" s="524" t="s">
        <v>2510</v>
      </c>
      <c r="H34" s="3691"/>
      <c r="I34" s="3692"/>
      <c r="J34" s="1"/>
    </row>
    <row r="35" spans="1:13" ht="13.5" thickBot="1" x14ac:dyDescent="0.3">
      <c r="A35" s="1"/>
      <c r="B35" s="3693" t="s">
        <v>2327</v>
      </c>
      <c r="C35" s="3695"/>
      <c r="D35" s="1555"/>
      <c r="E35" s="201"/>
      <c r="F35" s="1"/>
      <c r="G35" s="672" t="s">
        <v>485</v>
      </c>
      <c r="H35" s="3680"/>
      <c r="I35" s="3681"/>
      <c r="J35" s="1"/>
    </row>
    <row r="36" spans="1:13" ht="13.5" thickBot="1" x14ac:dyDescent="0.3">
      <c r="A36" s="1"/>
      <c r="B36" s="1"/>
      <c r="C36" s="1"/>
      <c r="D36" s="1"/>
      <c r="E36" s="1"/>
      <c r="F36" s="1"/>
      <c r="G36" s="672" t="s">
        <v>2661</v>
      </c>
      <c r="H36" s="3678"/>
      <c r="I36" s="3679"/>
      <c r="J36" s="1"/>
    </row>
    <row r="37" spans="1:13" ht="12.75" customHeight="1" thickBot="1" x14ac:dyDescent="0.3">
      <c r="A37" s="1"/>
      <c r="B37" s="3617" t="s">
        <v>2309</v>
      </c>
      <c r="C37" s="3618"/>
      <c r="D37" s="3618"/>
      <c r="E37" s="3619"/>
      <c r="F37" s="1"/>
      <c r="G37" s="672" t="s">
        <v>2663</v>
      </c>
      <c r="H37" s="709"/>
      <c r="I37" s="198" t="s">
        <v>403</v>
      </c>
      <c r="J37" s="1"/>
    </row>
    <row r="38" spans="1:13" ht="13" x14ac:dyDescent="0.25">
      <c r="A38" s="1"/>
      <c r="B38" s="3634" t="s">
        <v>2300</v>
      </c>
      <c r="C38" s="3635"/>
      <c r="D38" s="527"/>
      <c r="E38" s="195" t="s">
        <v>1160</v>
      </c>
      <c r="F38" s="1"/>
      <c r="G38" s="672" t="s">
        <v>2664</v>
      </c>
      <c r="H38" s="709"/>
      <c r="I38" s="198" t="s">
        <v>893</v>
      </c>
      <c r="J38" s="1"/>
    </row>
    <row r="39" spans="1:13" ht="13" x14ac:dyDescent="0.25">
      <c r="A39" s="1"/>
      <c r="B39" s="3623" t="s">
        <v>2293</v>
      </c>
      <c r="C39" s="3624"/>
      <c r="D39" s="726"/>
      <c r="E39" s="519" t="s">
        <v>1454</v>
      </c>
      <c r="F39" s="1"/>
      <c r="G39" s="672" t="s">
        <v>2373</v>
      </c>
      <c r="H39" s="709"/>
      <c r="I39" s="198" t="s">
        <v>5317</v>
      </c>
      <c r="J39" s="1"/>
    </row>
    <row r="40" spans="1:13" ht="13" x14ac:dyDescent="0.25">
      <c r="A40" s="1"/>
      <c r="B40" s="3623" t="s">
        <v>4047</v>
      </c>
      <c r="C40" s="3624"/>
      <c r="D40" s="726"/>
      <c r="E40" s="198" t="s">
        <v>1836</v>
      </c>
      <c r="F40" s="1"/>
      <c r="G40" s="672" t="s">
        <v>4120</v>
      </c>
      <c r="H40" s="709"/>
      <c r="I40" s="198" t="s">
        <v>893</v>
      </c>
      <c r="J40" s="122"/>
    </row>
    <row r="41" spans="1:13" ht="13" x14ac:dyDescent="0.25">
      <c r="A41" s="1"/>
      <c r="B41" s="3623" t="s">
        <v>2692</v>
      </c>
      <c r="C41" s="3624"/>
      <c r="D41" s="1215"/>
      <c r="E41" s="198" t="s">
        <v>403</v>
      </c>
      <c r="F41" s="1"/>
      <c r="G41" s="672" t="s">
        <v>2988</v>
      </c>
      <c r="H41" s="1538"/>
      <c r="I41" s="198" t="s">
        <v>1068</v>
      </c>
      <c r="J41" s="122"/>
    </row>
    <row r="42" spans="1:13" ht="13" x14ac:dyDescent="0.25">
      <c r="A42" s="1"/>
      <c r="B42" s="3623" t="s">
        <v>2992</v>
      </c>
      <c r="C42" s="3624"/>
      <c r="D42" s="1214"/>
      <c r="E42" s="199"/>
      <c r="F42" s="1"/>
      <c r="G42" s="590" t="s">
        <v>3348</v>
      </c>
      <c r="H42" s="1532"/>
      <c r="I42" s="538" t="s">
        <v>1068</v>
      </c>
      <c r="J42" s="122"/>
    </row>
    <row r="43" spans="1:13" ht="13" x14ac:dyDescent="0.25">
      <c r="A43" s="1"/>
      <c r="B43" s="672" t="s">
        <v>2544</v>
      </c>
      <c r="C43" s="725"/>
      <c r="D43" s="3696"/>
      <c r="E43" s="3697"/>
      <c r="F43" s="1"/>
      <c r="G43" s="590" t="s">
        <v>3349</v>
      </c>
      <c r="H43" s="1532"/>
      <c r="I43" s="538" t="s">
        <v>1068</v>
      </c>
      <c r="J43" s="122"/>
    </row>
    <row r="44" spans="1:13" ht="13.5" thickBot="1" x14ac:dyDescent="0.35">
      <c r="A44" s="1"/>
      <c r="B44" s="3658" t="s">
        <v>2545</v>
      </c>
      <c r="C44" s="3659"/>
      <c r="D44" s="921" t="str">
        <f>Heating_Media_State</f>
        <v/>
      </c>
      <c r="E44" s="727"/>
      <c r="F44" s="1"/>
      <c r="G44" s="590" t="s">
        <v>2233</v>
      </c>
      <c r="H44" s="1531"/>
      <c r="I44" s="538" t="s">
        <v>1068</v>
      </c>
      <c r="J44" s="122"/>
    </row>
    <row r="45" spans="1:13" ht="13" x14ac:dyDescent="0.3">
      <c r="A45" s="1"/>
      <c r="B45" s="3658" t="s">
        <v>3475</v>
      </c>
      <c r="C45" s="3659"/>
      <c r="D45" s="1214"/>
      <c r="E45" s="727"/>
      <c r="F45" s="1"/>
      <c r="G45" s="1551" t="s">
        <v>3347</v>
      </c>
      <c r="H45" s="1552"/>
      <c r="I45" s="1553"/>
      <c r="J45" s="122"/>
    </row>
    <row r="46" spans="1:13" ht="13" x14ac:dyDescent="0.25">
      <c r="A46" s="1"/>
      <c r="B46" s="3623" t="s">
        <v>2551</v>
      </c>
      <c r="C46" s="3624"/>
      <c r="D46" s="726"/>
      <c r="E46" s="198" t="s">
        <v>893</v>
      </c>
      <c r="F46" s="1"/>
      <c r="G46" s="533" t="s">
        <v>3326</v>
      </c>
      <c r="H46" s="1550"/>
      <c r="I46" s="538" t="s">
        <v>1068</v>
      </c>
      <c r="J46" s="122"/>
    </row>
    <row r="47" spans="1:13" ht="13.5" thickBot="1" x14ac:dyDescent="0.3">
      <c r="A47" s="1"/>
      <c r="B47" s="3623" t="s">
        <v>2525</v>
      </c>
      <c r="C47" s="3624"/>
      <c r="D47" s="726"/>
      <c r="E47" s="199"/>
      <c r="F47" s="1"/>
      <c r="G47" s="672" t="s">
        <v>3328</v>
      </c>
      <c r="H47" s="1550"/>
      <c r="I47" s="538" t="s">
        <v>1068</v>
      </c>
      <c r="J47" s="122"/>
    </row>
    <row r="48" spans="1:13" ht="13" x14ac:dyDescent="0.25">
      <c r="A48" s="1"/>
      <c r="B48" s="3623" t="s">
        <v>2294</v>
      </c>
      <c r="C48" s="3624"/>
      <c r="D48" s="527"/>
      <c r="E48" s="198" t="s">
        <v>1160</v>
      </c>
      <c r="F48" s="1"/>
      <c r="G48" s="672" t="s">
        <v>3351</v>
      </c>
      <c r="H48" s="1550"/>
      <c r="I48" s="538"/>
      <c r="J48" s="122"/>
      <c r="M48" s="511"/>
    </row>
    <row r="49" spans="1:10" ht="13" x14ac:dyDescent="0.25">
      <c r="A49" s="1"/>
      <c r="B49" s="3623" t="s">
        <v>2295</v>
      </c>
      <c r="C49" s="3576"/>
      <c r="D49" s="726"/>
      <c r="E49" s="519" t="s">
        <v>1454</v>
      </c>
      <c r="F49" s="1"/>
      <c r="G49" s="1223" t="s">
        <v>3350</v>
      </c>
      <c r="H49" s="1554"/>
      <c r="I49" s="536"/>
      <c r="J49" s="122"/>
    </row>
    <row r="50" spans="1:10" ht="13.5" thickBot="1" x14ac:dyDescent="0.3">
      <c r="A50" s="1"/>
      <c r="B50" s="3693" t="s">
        <v>2299</v>
      </c>
      <c r="C50" s="3694"/>
      <c r="D50" s="710"/>
      <c r="E50" s="202" t="s">
        <v>1836</v>
      </c>
      <c r="F50" s="1"/>
      <c r="G50" s="1224" t="s">
        <v>3340</v>
      </c>
      <c r="H50" s="1550"/>
      <c r="I50" s="538"/>
      <c r="J50" s="122"/>
    </row>
    <row r="51" spans="1:10" ht="13.5" thickBot="1" x14ac:dyDescent="0.3">
      <c r="A51" s="1"/>
      <c r="B51" s="1"/>
      <c r="C51" s="1"/>
      <c r="D51" s="1"/>
      <c r="E51" s="1"/>
      <c r="F51" s="1"/>
      <c r="G51" s="1549" t="s">
        <v>3339</v>
      </c>
      <c r="H51" s="1555"/>
      <c r="I51" s="1537"/>
      <c r="J51" s="122"/>
    </row>
    <row r="52" spans="1:10" ht="13" x14ac:dyDescent="0.25">
      <c r="A52" s="1"/>
      <c r="B52" s="3644" t="str">
        <f>IF(OR(Relief_Discharge_Location="Scrubber or Containment",Relief_Discharge_Location="Flare or Incinerator"),"Relief Discharge to Scrubber or Flare which might be considered as a Protective Layer","")</f>
        <v/>
      </c>
      <c r="C52" s="3645"/>
      <c r="D52" s="3645"/>
      <c r="E52" s="3646"/>
      <c r="F52" s="1"/>
      <c r="G52" s="1"/>
      <c r="H52" s="1"/>
      <c r="I52" s="1"/>
      <c r="J52" s="122"/>
    </row>
    <row r="53" spans="1:10" ht="13" x14ac:dyDescent="0.25">
      <c r="A53" s="1"/>
      <c r="B53" s="3647"/>
      <c r="C53" s="3648"/>
      <c r="D53" s="3648"/>
      <c r="E53" s="3649"/>
      <c r="F53" s="1"/>
      <c r="G53" s="3689" t="str">
        <f>IF(Relief_Set&lt;P,"Warning:  Operating Pressure Greater than Relief Set Pressure","")</f>
        <v>Warning:  Operating Pressure Greater than Relief Set Pressure</v>
      </c>
      <c r="H53" s="3690"/>
      <c r="I53" s="3690"/>
      <c r="J53" s="122"/>
    </row>
    <row r="54" spans="1:10" ht="13" x14ac:dyDescent="0.25">
      <c r="A54" s="1"/>
      <c r="B54" s="1"/>
      <c r="C54" s="1"/>
      <c r="D54" s="1"/>
      <c r="E54" s="1"/>
      <c r="F54" s="1"/>
      <c r="G54" s="1"/>
      <c r="H54" s="1"/>
      <c r="I54" s="1"/>
      <c r="J54" s="122"/>
    </row>
    <row r="56" spans="1:10" x14ac:dyDescent="0.25">
      <c r="J56" s="337"/>
    </row>
    <row r="57" spans="1:10" x14ac:dyDescent="0.25">
      <c r="A57" s="337"/>
      <c r="J57" s="337"/>
    </row>
    <row r="59" spans="1:10" x14ac:dyDescent="0.25">
      <c r="B59" s="337"/>
      <c r="C59" s="337"/>
      <c r="D59" s="337"/>
      <c r="E59" s="337"/>
    </row>
    <row r="60" spans="1:10" x14ac:dyDescent="0.25">
      <c r="B60" s="337"/>
      <c r="C60" s="337"/>
      <c r="D60" s="337"/>
      <c r="E60" s="337"/>
    </row>
    <row r="61" spans="1:10" ht="13" x14ac:dyDescent="0.25">
      <c r="B61" s="400"/>
      <c r="C61" s="400"/>
      <c r="D61" s="400"/>
      <c r="E61" s="400"/>
    </row>
    <row r="62" spans="1:10" ht="13" x14ac:dyDescent="0.25">
      <c r="B62" s="400"/>
      <c r="C62" s="400"/>
      <c r="D62" s="400"/>
      <c r="E62" s="400"/>
      <c r="G62" s="400"/>
      <c r="H62" s="400"/>
      <c r="I62" s="400"/>
    </row>
    <row r="63" spans="1:10" ht="13" x14ac:dyDescent="0.25">
      <c r="B63" s="400"/>
      <c r="C63" s="400"/>
      <c r="D63" s="400"/>
      <c r="E63" s="400"/>
    </row>
    <row r="64" spans="1:10" x14ac:dyDescent="0.25">
      <c r="B64" s="337"/>
      <c r="C64" s="337"/>
      <c r="D64" s="337"/>
      <c r="E64" s="337"/>
    </row>
    <row r="65" spans="2:9" x14ac:dyDescent="0.25">
      <c r="B65" s="337"/>
      <c r="C65" s="337"/>
      <c r="D65" s="337"/>
      <c r="E65" s="337"/>
      <c r="H65" s="337"/>
      <c r="I65" s="337"/>
    </row>
    <row r="66" spans="2:9" x14ac:dyDescent="0.25">
      <c r="H66" s="337"/>
      <c r="I66" s="337"/>
    </row>
    <row r="67" spans="2:9" x14ac:dyDescent="0.25">
      <c r="H67" s="337"/>
      <c r="I67" s="337"/>
    </row>
    <row r="68" spans="2:9" x14ac:dyDescent="0.25">
      <c r="H68" s="337"/>
      <c r="I68" s="337"/>
    </row>
    <row r="69" spans="2:9" ht="13" x14ac:dyDescent="0.25">
      <c r="H69" s="400"/>
      <c r="I69" s="400"/>
    </row>
    <row r="70" spans="2:9" ht="13" x14ac:dyDescent="0.25">
      <c r="F70" s="337"/>
      <c r="G70" s="400"/>
      <c r="H70" s="400"/>
      <c r="I70" s="400"/>
    </row>
    <row r="71" spans="2:9" x14ac:dyDescent="0.25">
      <c r="F71" s="337"/>
      <c r="G71" s="337"/>
      <c r="H71" s="337"/>
      <c r="I71" s="337"/>
    </row>
    <row r="72" spans="2:9" x14ac:dyDescent="0.25">
      <c r="F72" s="337"/>
      <c r="G72" s="337"/>
      <c r="H72" s="337"/>
      <c r="I72" s="337"/>
    </row>
    <row r="73" spans="2:9" x14ac:dyDescent="0.25">
      <c r="F73" s="337"/>
    </row>
    <row r="74" spans="2:9" x14ac:dyDescent="0.25">
      <c r="F74" s="337"/>
    </row>
    <row r="75" spans="2:9" x14ac:dyDescent="0.25">
      <c r="F75" s="337"/>
    </row>
    <row r="76" spans="2:9" x14ac:dyDescent="0.25">
      <c r="F76" s="337"/>
    </row>
    <row r="77" spans="2:9" ht="13" x14ac:dyDescent="0.25">
      <c r="F77" s="400"/>
    </row>
    <row r="78" spans="2:9" ht="13" x14ac:dyDescent="0.25">
      <c r="F78" s="400"/>
    </row>
    <row r="79" spans="2:9" ht="13" x14ac:dyDescent="0.25">
      <c r="F79" s="400"/>
    </row>
    <row r="80" spans="2:9" ht="13" x14ac:dyDescent="0.25">
      <c r="F80" s="400"/>
    </row>
    <row r="81" spans="6:6" ht="13" x14ac:dyDescent="0.25">
      <c r="F81" s="400"/>
    </row>
    <row r="82" spans="6:6" ht="13" x14ac:dyDescent="0.25">
      <c r="F82" s="338"/>
    </row>
    <row r="83" spans="6:6" ht="13" x14ac:dyDescent="0.25">
      <c r="F83" s="338"/>
    </row>
    <row r="84" spans="6:6" ht="13" x14ac:dyDescent="0.25">
      <c r="F84" s="338"/>
    </row>
  </sheetData>
  <sheetProtection sheet="1" objects="1" scenarios="1"/>
  <mergeCells count="65">
    <mergeCell ref="G53:I53"/>
    <mergeCell ref="H34:I34"/>
    <mergeCell ref="B33:C33"/>
    <mergeCell ref="B50:C50"/>
    <mergeCell ref="B35:C35"/>
    <mergeCell ref="B48:C48"/>
    <mergeCell ref="B46:C46"/>
    <mergeCell ref="B45:C45"/>
    <mergeCell ref="B49:C49"/>
    <mergeCell ref="B47:C47"/>
    <mergeCell ref="G33:I33"/>
    <mergeCell ref="B37:E37"/>
    <mergeCell ref="B39:C39"/>
    <mergeCell ref="D43:E43"/>
    <mergeCell ref="B41:C41"/>
    <mergeCell ref="B34:C34"/>
    <mergeCell ref="G26:I26"/>
    <mergeCell ref="G23:I23"/>
    <mergeCell ref="B42:C42"/>
    <mergeCell ref="H24:I24"/>
    <mergeCell ref="B23:C23"/>
    <mergeCell ref="B26:C26"/>
    <mergeCell ref="B40:C40"/>
    <mergeCell ref="B38:C38"/>
    <mergeCell ref="H36:I36"/>
    <mergeCell ref="H35:I35"/>
    <mergeCell ref="B25:C25"/>
    <mergeCell ref="B32:C32"/>
    <mergeCell ref="D32:E32"/>
    <mergeCell ref="B24:C24"/>
    <mergeCell ref="B30:E30"/>
    <mergeCell ref="H27:I27"/>
    <mergeCell ref="H16:I16"/>
    <mergeCell ref="H15:I15"/>
    <mergeCell ref="D17:E17"/>
    <mergeCell ref="B17:C17"/>
    <mergeCell ref="B20:C20"/>
    <mergeCell ref="B19:C19"/>
    <mergeCell ref="B16:C16"/>
    <mergeCell ref="H18:I18"/>
    <mergeCell ref="B15:C15"/>
    <mergeCell ref="B18:C18"/>
    <mergeCell ref="B28:C28"/>
    <mergeCell ref="B29:C29"/>
    <mergeCell ref="B52:E53"/>
    <mergeCell ref="C5:E5"/>
    <mergeCell ref="C7:E7"/>
    <mergeCell ref="B21:C21"/>
    <mergeCell ref="B22:C22"/>
    <mergeCell ref="B27:C27"/>
    <mergeCell ref="B44:C44"/>
    <mergeCell ref="B31:E31"/>
    <mergeCell ref="G9:I9"/>
    <mergeCell ref="G14:I14"/>
    <mergeCell ref="B11:C11"/>
    <mergeCell ref="G5:I5"/>
    <mergeCell ref="G6:I7"/>
    <mergeCell ref="B10:C10"/>
    <mergeCell ref="C6:E6"/>
    <mergeCell ref="B9:E9"/>
    <mergeCell ref="B8:I8"/>
    <mergeCell ref="B12:C12"/>
    <mergeCell ref="B13:C13"/>
    <mergeCell ref="B14:C14"/>
    <mergeCell ref="H12:I12"/>
  </mergeCells>
  <phoneticPr fontId="3" type="noConversion"/>
  <conditionalFormatting sqref="B18:C19">
    <cfRule type="expression" dxfId="715" priority="155">
      <formula>IF(Equipment="Pump",TRUE,FALSE)</formula>
    </cfRule>
  </conditionalFormatting>
  <conditionalFormatting sqref="D10">
    <cfRule type="expression" dxfId="714" priority="148">
      <formula>IF($D$10="",TRUE,FALSE)</formula>
    </cfRule>
  </conditionalFormatting>
  <conditionalFormatting sqref="D11">
    <cfRule type="expression" dxfId="713" priority="147">
      <formula>IF($D$11="",TRUE,FALSE)</formula>
    </cfRule>
  </conditionalFormatting>
  <conditionalFormatting sqref="D15">
    <cfRule type="expression" dxfId="712" priority="146">
      <formula>IF(AND(State&lt;&gt;"Solid",$D$15=""),TRUE,FALSE)</formula>
    </cfRule>
  </conditionalFormatting>
  <conditionalFormatting sqref="D22">
    <cfRule type="expression" dxfId="711" priority="144">
      <formula>IF(AND(Equipment="Pump",Pump_Type&lt;&gt;"Diaphragm-Limited Source Pressure",Pump_Type&lt;&gt;"Positive Displacement",$D$22=""),TRUE,FALSE)</formula>
    </cfRule>
    <cfRule type="expression" dxfId="710" priority="145">
      <formula>IF($D$22="",TRUE,FALSE)</formula>
    </cfRule>
  </conditionalFormatting>
  <conditionalFormatting sqref="D38">
    <cfRule type="expression" dxfId="709" priority="140">
      <formula>IF(AND(OR(Equipment="Stirred Reactor/Crystallizer",Equipment="Heat Exchanger"),$D$38=""),TRUE,FALSE)</formula>
    </cfRule>
  </conditionalFormatting>
  <conditionalFormatting sqref="D39">
    <cfRule type="expression" dxfId="708" priority="139">
      <formula>IF(AND(OR(Equipment="Stirred Reactor/Crystallizer",Equipment="Heat Exchanger"),$D$39=""),TRUE,FALSE)</formula>
    </cfRule>
  </conditionalFormatting>
  <conditionalFormatting sqref="D40">
    <cfRule type="expression" dxfId="707" priority="7">
      <formula>IF(AND($D$40&lt;&gt;"",Heating_T&lt;T),TRUE,FALSE)</formula>
    </cfRule>
    <cfRule type="expression" dxfId="706" priority="138">
      <formula>IF(AND(OR(Equipment="Stirred Reactor/Crystallizer",Equipment="Heat Exchanger"),AND($D$50="",$D$40="")),TRUE,FALSE)</formula>
    </cfRule>
  </conditionalFormatting>
  <conditionalFormatting sqref="D12">
    <cfRule type="expression" dxfId="705" priority="137">
      <formula>IF(AND(MAWP&lt;1,$D$12=""),TRUE,FALSE)</formula>
    </cfRule>
  </conditionalFormatting>
  <conditionalFormatting sqref="D23">
    <cfRule type="expression" dxfId="704" priority="136">
      <formula>IF($D$23="",TRUE,FALSE)</formula>
    </cfRule>
  </conditionalFormatting>
  <conditionalFormatting sqref="D47">
    <cfRule type="expression" dxfId="703" priority="135">
      <formula>IF(AND(Equipment="Heat Exchanger",$D$47=""),TRUE,FALSE)</formula>
    </cfRule>
  </conditionalFormatting>
  <conditionalFormatting sqref="D46">
    <cfRule type="expression" dxfId="702" priority="134">
      <formula>IF(AND(Equipment="Heat Exchanger",$D$46=""),TRUE,FALSE)</formula>
    </cfRule>
  </conditionalFormatting>
  <conditionalFormatting sqref="H10">
    <cfRule type="expression" dxfId="701" priority="23">
      <formula>IF(OR(Equipment="Pump",Equipment="Piping",Equipment="Compressor or Blower",Equipment="Turbine or Gas Expander"),FALSE,TRUE)</formula>
    </cfRule>
    <cfRule type="expression" dxfId="700" priority="132">
      <formula>IF(AND(Equipment="Piping",$H$10=""),TRUE,FALSE)</formula>
    </cfRule>
    <cfRule type="expression" dxfId="699" priority="133">
      <formula>IF(AND(Equipment="Pump",$H$10=""),TRUE,FALSE)</formula>
    </cfRule>
  </conditionalFormatting>
  <conditionalFormatting sqref="D16">
    <cfRule type="expression" dxfId="698" priority="131">
      <formula>IF(AND(Equipment="Piping",$D$16=""),TRUE,FALSE)</formula>
    </cfRule>
  </conditionalFormatting>
  <conditionalFormatting sqref="H15:I15">
    <cfRule type="expression" dxfId="697" priority="24">
      <formula>IF(Equipment&lt;&gt;"Pump",TRUE,FALSE)</formula>
    </cfRule>
    <cfRule type="expression" dxfId="696" priority="130">
      <formula>IF(AND(Equipment="Pump",$H$15=""),TRUE,FALSE)</formula>
    </cfRule>
  </conditionalFormatting>
  <conditionalFormatting sqref="H16:I16">
    <cfRule type="expression" dxfId="695" priority="129">
      <formula>IF(AND(Equipment="Pump",$H$16=""),TRUE,FALSE)</formula>
    </cfRule>
  </conditionalFormatting>
  <conditionalFormatting sqref="H35:I35">
    <cfRule type="expression" dxfId="694" priority="127">
      <formula>IF(AND(Equipgroup_A="Yes",$H$35=""),TRUE,FALSE)</formula>
    </cfRule>
  </conditionalFormatting>
  <conditionalFormatting sqref="H37">
    <cfRule type="expression" dxfId="693" priority="126">
      <formula>IF(AND(Equipgroup_A="Yes",$H$37=""),TRUE,FALSE)</formula>
    </cfRule>
  </conditionalFormatting>
  <conditionalFormatting sqref="H38">
    <cfRule type="expression" dxfId="692" priority="61">
      <formula>IF(AND($H$37&lt;&gt;"",$H$38="",$H$35="Safety Valve"),TRUE,FALSE)</formula>
    </cfRule>
    <cfRule type="expression" dxfId="691" priority="125">
      <formula>IF(AND(Equipgroup_A="Yes",$H$38=""),TRUE,FALSE)</formula>
    </cfRule>
  </conditionalFormatting>
  <conditionalFormatting sqref="H41 H46:H48 H50:H51">
    <cfRule type="expression" dxfId="690" priority="124">
      <formula>IF(AND(Equipgroup_A="Yes",$H$41=""),TRUE,FALSE)</formula>
    </cfRule>
  </conditionalFormatting>
  <conditionalFormatting sqref="H24:I24">
    <cfRule type="expression" dxfId="689" priority="123">
      <formula>IF(AND(OR(Equipment="Tank Truck/Rail Car/Tote",Equipment="Drum/IBC Handling"),$H$24=""),TRUE,FALSE)</formula>
    </cfRule>
  </conditionalFormatting>
  <conditionalFormatting sqref="H36:I36">
    <cfRule type="expression" dxfId="688" priority="122">
      <formula>IF(AND(Equipgroup_A="Yes",Location="Indoors",$H$36=""),TRUE,FALSE)</formula>
    </cfRule>
  </conditionalFormatting>
  <conditionalFormatting sqref="E10">
    <cfRule type="expression" dxfId="687" priority="120">
      <formula>IF($E$10="",TRUE,FALSE)</formula>
    </cfRule>
  </conditionalFormatting>
  <conditionalFormatting sqref="E11">
    <cfRule type="expression" dxfId="686" priority="119">
      <formula>IF($E$11="",TRUE,FALSE)</formula>
    </cfRule>
  </conditionalFormatting>
  <conditionalFormatting sqref="E15">
    <cfRule type="expression" dxfId="685" priority="118">
      <formula>IF($E$15="",TRUE,FALSE)</formula>
    </cfRule>
  </conditionalFormatting>
  <conditionalFormatting sqref="E22">
    <cfRule type="expression" dxfId="684" priority="51">
      <formula>IF(AND($D$22&lt;&gt;"",$E$22=""),TRUE,FALSE)</formula>
    </cfRule>
    <cfRule type="expression" dxfId="683" priority="117">
      <formula>IF($E$22="",TRUE,FALSE)</formula>
    </cfRule>
  </conditionalFormatting>
  <conditionalFormatting sqref="E27">
    <cfRule type="expression" dxfId="682" priority="50">
      <formula>IF(AND($D$27&lt;&gt;"",$E$27=""),TRUE,FALSE)</formula>
    </cfRule>
    <cfRule type="expression" dxfId="681" priority="116">
      <formula>IF($E$27="",TRUE,FALSE)</formula>
    </cfRule>
  </conditionalFormatting>
  <conditionalFormatting sqref="E28">
    <cfRule type="expression" dxfId="680" priority="49">
      <formula>IF(AND($D$28&lt;&gt;"",$E$28=""),TRUE,FALSE)</formula>
    </cfRule>
    <cfRule type="expression" dxfId="679" priority="115">
      <formula>IF($E$28="",TRUE,FALSE)</formula>
    </cfRule>
  </conditionalFormatting>
  <conditionalFormatting sqref="E38">
    <cfRule type="expression" dxfId="678" priority="47">
      <formula>IF(AND($D$38&lt;&gt;"",$E$38=""),TRUE,FALSE)</formula>
    </cfRule>
    <cfRule type="expression" dxfId="677" priority="114">
      <formula>IF($E$38="",TRUE,FALSE)</formula>
    </cfRule>
  </conditionalFormatting>
  <conditionalFormatting sqref="E39">
    <cfRule type="expression" dxfId="676" priority="46">
      <formula>IF(AND($D$39&lt;&gt;"",$E$39=""),TRUE,FALSE)</formula>
    </cfRule>
    <cfRule type="expression" dxfId="675" priority="113">
      <formula>IF($E$39="",TRUE,FALSE)</formula>
    </cfRule>
  </conditionalFormatting>
  <conditionalFormatting sqref="E40">
    <cfRule type="expression" dxfId="674" priority="45">
      <formula>IF(AND($D$40&lt;&gt;"",$E$40=""),TRUE,FALSE)</formula>
    </cfRule>
    <cfRule type="expression" dxfId="673" priority="112">
      <formula>IF($E$40="",TRUE,FALSE)</formula>
    </cfRule>
  </conditionalFormatting>
  <conditionalFormatting sqref="E46">
    <cfRule type="expression" dxfId="672" priority="43">
      <formula>IF(AND($D$46&lt;&gt;"",$E$46=""),TRUE,FALSE)</formula>
    </cfRule>
    <cfRule type="expression" dxfId="671" priority="110">
      <formula>IF($E$46="",TRUE,FALSE)</formula>
    </cfRule>
  </conditionalFormatting>
  <conditionalFormatting sqref="E48">
    <cfRule type="expression" dxfId="670" priority="42">
      <formula>IF(AND($D$48&lt;&gt;"",$E$48=""),TRUE,FALSE)</formula>
    </cfRule>
    <cfRule type="expression" dxfId="669" priority="109">
      <formula>IF($E$48="",TRUE,FALSE)</formula>
    </cfRule>
  </conditionalFormatting>
  <conditionalFormatting sqref="E49">
    <cfRule type="expression" dxfId="668" priority="41">
      <formula>IF(AND($D$49&lt;&gt;"",$E$49=""),TRUE,FALSE)</formula>
    </cfRule>
    <cfRule type="expression" dxfId="667" priority="108">
      <formula>IF($E$49="",TRUE,FALSE)</formula>
    </cfRule>
  </conditionalFormatting>
  <conditionalFormatting sqref="E50">
    <cfRule type="expression" dxfId="666" priority="40">
      <formula>IF(AND($D$50&lt;&gt;"",$E$50=""),TRUE,FALSE)</formula>
    </cfRule>
    <cfRule type="expression" dxfId="665" priority="107">
      <formula>IF($E$50="",TRUE,FALSE)</formula>
    </cfRule>
  </conditionalFormatting>
  <conditionalFormatting sqref="I10">
    <cfRule type="expression" dxfId="664" priority="48">
      <formula>IF(AND($H$10&lt;&gt;"",$I$10=""),TRUE,FALSE)</formula>
    </cfRule>
    <cfRule type="expression" dxfId="663" priority="106">
      <formula>IF($I$10="",TRUE,FALSE)</formula>
    </cfRule>
  </conditionalFormatting>
  <conditionalFormatting sqref="I37">
    <cfRule type="expression" dxfId="662" priority="39">
      <formula>IF(AND($H$37&lt;&gt;"",$I$37=""),TRUE,FALSE)</formula>
    </cfRule>
    <cfRule type="expression" dxfId="661" priority="105">
      <formula>IF($I$37="",TRUE,FALSE)</formula>
    </cfRule>
  </conditionalFormatting>
  <conditionalFormatting sqref="I38">
    <cfRule type="expression" dxfId="660" priority="38">
      <formula>IF(AND($H$38&lt;&gt;"",$I$38=""),TRUE,FALSE)</formula>
    </cfRule>
    <cfRule type="expression" dxfId="659" priority="104">
      <formula>IF($I$38="",TRUE,FALSE)</formula>
    </cfRule>
  </conditionalFormatting>
  <conditionalFormatting sqref="I39">
    <cfRule type="expression" dxfId="658" priority="37">
      <formula>IF(AND($H$39&lt;&gt;"",$I$39=""),TRUE,FALSE)</formula>
    </cfRule>
    <cfRule type="expression" dxfId="657" priority="103">
      <formula>IF($I$39="",TRUE,FALSE)</formula>
    </cfRule>
  </conditionalFormatting>
  <conditionalFormatting sqref="I40">
    <cfRule type="expression" dxfId="656" priority="36">
      <formula>IF(AND($H$40&lt;&gt;"",$I$40=""),TRUE,FALSE)</formula>
    </cfRule>
    <cfRule type="expression" dxfId="655" priority="102">
      <formula>IF($I$40="",TRUE,FALSE)</formula>
    </cfRule>
  </conditionalFormatting>
  <conditionalFormatting sqref="I41">
    <cfRule type="expression" dxfId="654" priority="35">
      <formula>IF(AND($H$41&lt;&gt;"",$I$41=""),TRUE,FALSE)</formula>
    </cfRule>
    <cfRule type="expression" dxfId="653" priority="101">
      <formula>IF($I$41="",TRUE,FALSE)</formula>
    </cfRule>
  </conditionalFormatting>
  <conditionalFormatting sqref="E41">
    <cfRule type="expression" dxfId="652" priority="44">
      <formula>IF(AND($D$41&lt;&gt;"",$E$41=""),TRUE,FALSE)</formula>
    </cfRule>
    <cfRule type="expression" dxfId="651" priority="99">
      <formula>IF($E$41="",TRUE,FALSE)</formula>
    </cfRule>
  </conditionalFormatting>
  <conditionalFormatting sqref="D17:E17 E18">
    <cfRule type="expression" dxfId="650" priority="52">
      <formula>IF(AND(OR(Corrosive="Yes",AND(OR(Insulation="Yes",Insulation="Fireproof"),Corrosion_Insulation="Yes")),$D$17=""),TRUE,FALSE)</formula>
    </cfRule>
  </conditionalFormatting>
  <conditionalFormatting sqref="H42">
    <cfRule type="expression" dxfId="649" priority="60">
      <formula>IF(AND(OR(Location&lt;&gt;"Indoors",Relief_Release="Outdoors"),$H$37&lt;&gt;"",$H$42=""),TRUE,FALSE)</formula>
    </cfRule>
  </conditionalFormatting>
  <conditionalFormatting sqref="H44">
    <cfRule type="expression" dxfId="648" priority="59">
      <formula>IF(AND(OR(Location&lt;&gt;"Indoors",Relief_Release="Outdoors"),$H$37&lt;&gt;"",$H$44=""),TRUE,FALSE)</formula>
    </cfRule>
  </conditionalFormatting>
  <conditionalFormatting sqref="I43">
    <cfRule type="expression" dxfId="647" priority="33">
      <formula>IF(AND($H$43&lt;&gt;"",$I$43=""),TRUE,FALSE)</formula>
    </cfRule>
    <cfRule type="expression" dxfId="646" priority="58">
      <formula>IF($I$43="",TRUE,FALSE)</formula>
    </cfRule>
  </conditionalFormatting>
  <conditionalFormatting sqref="I44">
    <cfRule type="expression" dxfId="645" priority="32">
      <formula>IF(AND($H$44&lt;&gt;"",$I$44=""),TRUE,FALSE)</formula>
    </cfRule>
    <cfRule type="expression" dxfId="644" priority="57">
      <formula>IF($I$44="",TRUE,FALSE)</formula>
    </cfRule>
  </conditionalFormatting>
  <conditionalFormatting sqref="I42">
    <cfRule type="expression" dxfId="643" priority="34">
      <formula>IF(AND($H$42&lt;&gt;"",$I$42=""),TRUE,FALSE)</formula>
    </cfRule>
    <cfRule type="expression" dxfId="642" priority="56">
      <formula>IF($I$42="",TRUE,FALSE)</formula>
    </cfRule>
  </conditionalFormatting>
  <conditionalFormatting sqref="I46">
    <cfRule type="expression" dxfId="641" priority="31">
      <formula>IF(AND($H$46&lt;&gt;"",$I$46=""),TRUE,FALSE)</formula>
    </cfRule>
    <cfRule type="expression" dxfId="640" priority="55">
      <formula>IF($I$46="",TRUE,FALSE)</formula>
    </cfRule>
  </conditionalFormatting>
  <conditionalFormatting sqref="I48">
    <cfRule type="expression" dxfId="639" priority="30">
      <formula>IF(AND($H$48&lt;&gt;"",$I$48=""),TRUE,FALSE)</formula>
    </cfRule>
  </conditionalFormatting>
  <conditionalFormatting sqref="I51">
    <cfRule type="expression" dxfId="638" priority="53">
      <formula>IF(AND($H$51&lt;&gt;"",$I$51=""),TRUE,FALSE)</formula>
    </cfRule>
  </conditionalFormatting>
  <conditionalFormatting sqref="I47">
    <cfRule type="expression" dxfId="637" priority="28">
      <formula>IF(AND($H$47&lt;&gt;"",$I$47=""),TRUE,FALSE)</formula>
    </cfRule>
    <cfRule type="expression" dxfId="636" priority="54">
      <formula>IF($I$47="",TRUE,FALSE)</formula>
    </cfRule>
  </conditionalFormatting>
  <conditionalFormatting sqref="I50">
    <cfRule type="expression" dxfId="635" priority="29">
      <formula>IF(AND($H$50&lt;&gt;"",$I$50=""),TRUE,FALSE)</formula>
    </cfRule>
  </conditionalFormatting>
  <conditionalFormatting sqref="H17">
    <cfRule type="expression" dxfId="634" priority="27">
      <formula>IF(Equipment&lt;&gt;"Pump",TRUE,FALSE)</formula>
    </cfRule>
  </conditionalFormatting>
  <conditionalFormatting sqref="H18:I18">
    <cfRule type="expression" dxfId="633" priority="25">
      <formula>IF(Equipment&lt;&gt;"Pump",TRUE,FALSE)</formula>
    </cfRule>
  </conditionalFormatting>
  <conditionalFormatting sqref="H11">
    <cfRule type="expression" dxfId="632" priority="21">
      <formula>IF(OR(Equipment="Pump",Equipment="Piping",Equipment="Compressor or Blower",Equipment="Turbine or Gas Expander"),FALSE,TRUE)</formula>
    </cfRule>
  </conditionalFormatting>
  <conditionalFormatting sqref="E14">
    <cfRule type="expression" dxfId="631" priority="18">
      <formula>IF($E$14="",TRUE,FALSE)</formula>
    </cfRule>
  </conditionalFormatting>
  <conditionalFormatting sqref="I28">
    <cfRule type="expression" dxfId="630" priority="16">
      <formula>IF($I$28="",TRUE,FALSE)</formula>
    </cfRule>
  </conditionalFormatting>
  <conditionalFormatting sqref="E13">
    <cfRule type="expression" dxfId="629" priority="15">
      <formula>IF($E$13="",TRUE,FALSE)</formula>
    </cfRule>
  </conditionalFormatting>
  <conditionalFormatting sqref="H40">
    <cfRule type="expression" dxfId="628" priority="13">
      <formula>IF(AND($H$37&lt;&gt;"",$H$38="",$H$35="Safety Valve"),TRUE,FALSE)</formula>
    </cfRule>
    <cfRule type="expression" dxfId="627" priority="14">
      <formula>IF(AND(Equipgroup_A="Yes",$H$38=""),TRUE,FALSE)</formula>
    </cfRule>
  </conditionalFormatting>
  <conditionalFormatting sqref="D25">
    <cfRule type="expression" dxfId="626" priority="12">
      <formula>IF(OR($D$23="Yes",$D$23="Fireproof"),TRUE,FALSE)</formula>
    </cfRule>
  </conditionalFormatting>
  <conditionalFormatting sqref="D32">
    <cfRule type="expression" dxfId="625" priority="11">
      <formula>IF(AND(Equipment="Vessel/Tank",$D$32=""),TRUE,FALSE)</formula>
    </cfRule>
  </conditionalFormatting>
  <conditionalFormatting sqref="D21">
    <cfRule type="expression" dxfId="624" priority="9">
      <formula>IF(AND($D$21="",Rotating_Equip="Yes"),TRUE,FALSE)</formula>
    </cfRule>
  </conditionalFormatting>
  <conditionalFormatting sqref="D50">
    <cfRule type="expression" dxfId="623" priority="8">
      <formula>IF(AND($D$50&lt;&gt;"",Coolant_Temp&gt;T),TRUE,FALSE)</formula>
    </cfRule>
  </conditionalFormatting>
  <conditionalFormatting sqref="E19">
    <cfRule type="expression" dxfId="622" priority="6">
      <formula>IF($E$19="",TRUE,FALSE)</formula>
    </cfRule>
  </conditionalFormatting>
  <conditionalFormatting sqref="H28">
    <cfRule type="expression" dxfId="621" priority="3">
      <formula>IF(AND($H$28="",Equipment="Drum Oven"),TRUE,FALSE)</formula>
    </cfRule>
  </conditionalFormatting>
  <conditionalFormatting sqref="D48">
    <cfRule type="expression" dxfId="620" priority="2">
      <formula>IF(AND(OR(Equipment="Stirred Reactor/Crystallizer",Equipment="Heat Exchanger"),$D$38=""),TRUE,FALSE)</formula>
    </cfRule>
  </conditionalFormatting>
  <conditionalFormatting sqref="D49">
    <cfRule type="expression" dxfId="619" priority="1">
      <formula>IF(AND(OR(Equipment="Stirred Reactor/Crystallizer",Equipment="Heat Exchanger"),$D$39=""),TRUE,FALSE)</formula>
    </cfRule>
  </conditionalFormatting>
  <dataValidations count="34">
    <dataValidation type="decimal" operator="greaterThanOrEqual" allowBlank="1" showInputMessage="1" showErrorMessage="1" sqref="H37:H40 H43 D46 D48:D49 D10:D11 D27 D22 H10 D38:D41 H28 D18:D19 D13 D15" xr:uid="{00000000-0002-0000-0800-000000000000}">
      <formula1>0</formula1>
    </dataValidation>
    <dataValidation type="list" allowBlank="1" showInputMessage="1" showErrorMessage="1" sqref="I40 I38 E46 E15 E29" xr:uid="{00000000-0002-0000-0800-000001000000}">
      <formula1>Size_List</formula1>
    </dataValidation>
    <dataValidation type="list" allowBlank="1" showInputMessage="1" showErrorMessage="1" sqref="I37 E11 E41" xr:uid="{00000000-0002-0000-0800-000002000000}">
      <formula1>Press_List</formula1>
    </dataValidation>
    <dataValidation type="list" allowBlank="1" showInputMessage="1" showErrorMessage="1" sqref="I39" xr:uid="{00000000-0002-0000-0800-000003000000}">
      <formula1>Rate_List</formula1>
    </dataValidation>
    <dataValidation type="list" allowBlank="1" showInputMessage="1" showErrorMessage="1" sqref="I41:I44 I46:I48 I50:I51 E28 I10" xr:uid="{00000000-0002-0000-0800-000004000000}">
      <formula1>Dist_List</formula1>
    </dataValidation>
    <dataValidation type="list" allowBlank="1" showInputMessage="1" showErrorMessage="1" sqref="H36" xr:uid="{00000000-0002-0000-0800-000005000000}">
      <formula1>Discharge_List</formula1>
    </dataValidation>
    <dataValidation type="list" allowBlank="1" showInputMessage="1" showErrorMessage="1" sqref="H35" xr:uid="{00000000-0002-0000-0800-000006000000}">
      <formula1>Relief_List</formula1>
    </dataValidation>
    <dataValidation type="list" allowBlank="1" showInputMessage="1" showErrorMessage="1" sqref="H49 D25 H31 D33:D35 H17 D42 H29 H11 D12 D21" xr:uid="{00000000-0002-0000-0800-000007000000}">
      <formula1>YN_List</formula1>
    </dataValidation>
    <dataValidation type="decimal" operator="greaterThan" allowBlank="1" showInputMessage="1" showErrorMessage="1" sqref="H41 H46:H48 H50:H51" xr:uid="{00000000-0002-0000-0800-000008000000}">
      <formula1>-100</formula1>
    </dataValidation>
    <dataValidation type="list" allowBlank="1" showInputMessage="1" showErrorMessage="1" sqref="E22" xr:uid="{00000000-0002-0000-0800-000009000000}">
      <formula1>Motor_List</formula1>
    </dataValidation>
    <dataValidation type="list" allowBlank="1" showInputMessage="1" showErrorMessage="1" sqref="D43:E43" xr:uid="{00000000-0002-0000-0800-00000A000000}">
      <formula1>Chem_Name</formula1>
    </dataValidation>
    <dataValidation type="list" allowBlank="1" showInputMessage="1" showErrorMessage="1" sqref="E50 E40 E13:E14" xr:uid="{00000000-0002-0000-0800-00000B000000}">
      <formula1>T_List</formula1>
    </dataValidation>
    <dataValidation type="list" allowBlank="1" showInputMessage="1" showErrorMessage="1" sqref="E48 E38 E27" xr:uid="{00000000-0002-0000-0800-00000C000000}">
      <formula1>Area_List</formula1>
    </dataValidation>
    <dataValidation type="list" allowBlank="1" showInputMessage="1" showErrorMessage="1" sqref="E49 E39" xr:uid="{00000000-0002-0000-0800-00000D000000}">
      <formula1>U_List</formula1>
    </dataValidation>
    <dataValidation type="decimal" operator="greaterThanOrEqual" allowBlank="1" showInputMessage="1" showErrorMessage="1" sqref="D50" xr:uid="{00000000-0002-0000-0800-00000E000000}">
      <formula1>-500</formula1>
    </dataValidation>
    <dataValidation type="list" operator="greaterThanOrEqual" allowBlank="1" showInputMessage="1" showErrorMessage="1" sqref="D47" xr:uid="{00000000-0002-0000-0800-00000F000000}">
      <formula1>"&gt; 100,&lt; 100"</formula1>
    </dataValidation>
    <dataValidation type="list" allowBlank="1" showInputMessage="1" showErrorMessage="1" sqref="I30 I28" xr:uid="{00000000-0002-0000-0800-000010000000}">
      <formula1>Vol_List</formula1>
    </dataValidation>
    <dataValidation type="list" allowBlank="1" showInputMessage="1" showErrorMessage="1" sqref="H27" xr:uid="{00000000-0002-0000-0800-000011000000}">
      <formula1>Cost_List</formula1>
    </dataValidation>
    <dataValidation type="list" allowBlank="1" showInputMessage="1" showErrorMessage="1" sqref="H24" xr:uid="{00000000-0002-0000-0800-000012000000}">
      <formula1>Connection_List</formula1>
    </dataValidation>
    <dataValidation type="list" allowBlank="1" showInputMessage="1" showErrorMessage="1" sqref="H16" xr:uid="{00000000-0002-0000-0800-000013000000}">
      <formula1>Seal_List</formula1>
    </dataValidation>
    <dataValidation type="list" allowBlank="1" showInputMessage="1" showErrorMessage="1" sqref="H15:I15" xr:uid="{00000000-0002-0000-0800-000014000000}">
      <formula1>Pump_List</formula1>
    </dataValidation>
    <dataValidation type="whole" operator="greaterThanOrEqual" allowBlank="1" showInputMessage="1" showErrorMessage="1" sqref="D16" xr:uid="{00000000-0002-0000-0800-000015000000}">
      <formula1>0</formula1>
    </dataValidation>
    <dataValidation type="decimal" operator="greaterThan" allowBlank="1" showInputMessage="1" showErrorMessage="1" sqref="D29" xr:uid="{00000000-0002-0000-0800-000016000000}">
      <formula1>0</formula1>
    </dataValidation>
    <dataValidation type="list" allowBlank="1" showInputMessage="1" showErrorMessage="1" sqref="D23" xr:uid="{00000000-0002-0000-0800-000017000000}">
      <formula1>Insul_List</formula1>
    </dataValidation>
    <dataValidation type="list" allowBlank="1" showInputMessage="1" showErrorMessage="1" sqref="D17" xr:uid="{00000000-0002-0000-0800-000018000000}">
      <formula1>Matl_Construction_List</formula1>
    </dataValidation>
    <dataValidation type="list" allowBlank="1" showInputMessage="1" showErrorMessage="1" sqref="E10" xr:uid="{00000000-0002-0000-0800-000019000000}">
      <formula1>EquipVol_List</formula1>
    </dataValidation>
    <dataValidation type="list" allowBlank="1" showInputMessage="1" showErrorMessage="1" sqref="E19" xr:uid="{00000000-0002-0000-0800-00001A000000}">
      <formula1>Mass_List</formula1>
    </dataValidation>
    <dataValidation type="list" allowBlank="1" showInputMessage="1" showErrorMessage="1" sqref="H18:I18" xr:uid="{00000000-0002-0000-0800-00001B000000}">
      <formula1>Auto_Valve_List</formula1>
    </dataValidation>
    <dataValidation type="list" allowBlank="1" showInputMessage="1" showErrorMessage="1" sqref="H30" xr:uid="{00000000-0002-0000-0800-00001C000000}">
      <formula1>ExpJoint_List</formula1>
    </dataValidation>
    <dataValidation type="list" allowBlank="1" showInputMessage="1" showErrorMessage="1" sqref="D45" xr:uid="{00000000-0002-0000-0800-00001D000000}">
      <formula1>HotOil_List</formula1>
    </dataValidation>
    <dataValidation type="list" allowBlank="1" showInputMessage="1" showErrorMessage="1" sqref="D20" xr:uid="{00000000-0002-0000-0800-00001E000000}">
      <formula1>Corrosion_List</formula1>
    </dataValidation>
    <dataValidation type="list" allowBlank="1" showInputMessage="1" showErrorMessage="1" sqref="D32" xr:uid="{00000000-0002-0000-0800-00001F000000}">
      <formula1>Tank_Geometry_List</formula1>
    </dataValidation>
    <dataValidation type="decimal" allowBlank="1" showInputMessage="1" showErrorMessage="1" sqref="D24" xr:uid="{00000000-0002-0000-0800-000020000000}">
      <formula1>0.025</formula1>
      <formula2>1</formula2>
    </dataValidation>
    <dataValidation type="list" allowBlank="1" showInputMessage="1" showErrorMessage="1" sqref="H12" xr:uid="{00000000-0002-0000-0800-000021000000}">
      <formula1>Screwed_List</formula1>
    </dataValidation>
  </dataValidations>
  <pageMargins left="1.25" right="0" top="0.25" bottom="0.25" header="0.25" footer="0.2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273" r:id="rId4" name="Button 153">
              <controlPr defaultSize="0" print="0" autoFill="0" autoPict="0" macro="[0]!Clear_Input_Data">
                <anchor moveWithCells="1" sizeWithCells="1">
                  <from>
                    <xdr:col>6</xdr:col>
                    <xdr:colOff>419100</xdr:colOff>
                    <xdr:row>1</xdr:row>
                    <xdr:rowOff>88900</xdr:rowOff>
                  </from>
                  <to>
                    <xdr:col>6</xdr:col>
                    <xdr:colOff>1174750</xdr:colOff>
                    <xdr:row>2</xdr:row>
                    <xdr:rowOff>76200</xdr:rowOff>
                  </to>
                </anchor>
              </controlPr>
            </control>
          </mc:Choice>
        </mc:AlternateContent>
        <mc:AlternateContent xmlns:mc="http://schemas.openxmlformats.org/markup-compatibility/2006">
          <mc:Choice Requires="x14">
            <control shapeId="5384" r:id="rId5" name="Button 264">
              <controlPr defaultSize="0" print="0" autoFill="0" autoPict="0" macro="[0]!Save_Equipment">
                <anchor moveWithCells="1" sizeWithCells="1">
                  <from>
                    <xdr:col>1</xdr:col>
                    <xdr:colOff>1822450</xdr:colOff>
                    <xdr:row>1</xdr:row>
                    <xdr:rowOff>127000</xdr:rowOff>
                  </from>
                  <to>
                    <xdr:col>5</xdr:col>
                    <xdr:colOff>0</xdr:colOff>
                    <xdr:row>2</xdr:row>
                    <xdr:rowOff>146050</xdr:rowOff>
                  </to>
                </anchor>
              </controlPr>
            </control>
          </mc:Choice>
        </mc:AlternateContent>
        <mc:AlternateContent xmlns:mc="http://schemas.openxmlformats.org/markup-compatibility/2006">
          <mc:Choice Requires="x14">
            <control shapeId="5473" r:id="rId6" name="Button 353">
              <controlPr defaultSize="0" print="0" autoFill="0" autoPict="0" macro="[0]!Go_To_Chemical_Data">
                <anchor moveWithCells="1" sizeWithCells="1">
                  <from>
                    <xdr:col>1</xdr:col>
                    <xdr:colOff>12700</xdr:colOff>
                    <xdr:row>1</xdr:row>
                    <xdr:rowOff>107950</xdr:rowOff>
                  </from>
                  <to>
                    <xdr:col>1</xdr:col>
                    <xdr:colOff>1289050</xdr:colOff>
                    <xdr:row>2</xdr:row>
                    <xdr:rowOff>88900</xdr:rowOff>
                  </to>
                </anchor>
              </controlPr>
            </control>
          </mc:Choice>
        </mc:AlternateContent>
        <mc:AlternateContent xmlns:mc="http://schemas.openxmlformats.org/markup-compatibility/2006">
          <mc:Choice Requires="x14">
            <control shapeId="757856" r:id="rId7" name="Button 2144">
              <controlPr defaultSize="0" print="0" autoFill="0" autoPict="0" macro="[0]!Go_To_Main_Menu">
                <anchor moveWithCells="1" sizeWithCells="1">
                  <from>
                    <xdr:col>1</xdr:col>
                    <xdr:colOff>31750</xdr:colOff>
                    <xdr:row>0</xdr:row>
                    <xdr:rowOff>50800</xdr:rowOff>
                  </from>
                  <to>
                    <xdr:col>1</xdr:col>
                    <xdr:colOff>1371600</xdr:colOff>
                    <xdr:row>1</xdr:row>
                    <xdr:rowOff>38100</xdr:rowOff>
                  </to>
                </anchor>
              </controlPr>
            </control>
          </mc:Choice>
        </mc:AlternateContent>
        <mc:AlternateContent xmlns:mc="http://schemas.openxmlformats.org/markup-compatibility/2006">
          <mc:Choice Requires="x14">
            <control shapeId="757875" r:id="rId8" name="Button 2163">
              <controlPr defaultSize="0" print="0" autoFill="0" autoPict="0" macro="[0]!Go_To_Process_Conditions">
                <anchor moveWithCells="1" sizeWithCells="1">
                  <from>
                    <xdr:col>6</xdr:col>
                    <xdr:colOff>2438400</xdr:colOff>
                    <xdr:row>0</xdr:row>
                    <xdr:rowOff>69850</xdr:rowOff>
                  </from>
                  <to>
                    <xdr:col>9</xdr:col>
                    <xdr:colOff>69850</xdr:colOff>
                    <xdr:row>1</xdr:row>
                    <xdr:rowOff>12700</xdr:rowOff>
                  </to>
                </anchor>
              </controlPr>
            </control>
          </mc:Choice>
        </mc:AlternateContent>
        <mc:AlternateContent xmlns:mc="http://schemas.openxmlformats.org/markup-compatibility/2006">
          <mc:Choice Requires="x14">
            <control shapeId="757876" r:id="rId9" name="Button 2164">
              <controlPr defaultSize="0" print="0" autoFill="0" autoPict="0" macro="[0]!Go_To_Plant_Layout">
                <anchor moveWithCells="1" sizeWithCells="1">
                  <from>
                    <xdr:col>7</xdr:col>
                    <xdr:colOff>469900</xdr:colOff>
                    <xdr:row>1</xdr:row>
                    <xdr:rowOff>88900</xdr:rowOff>
                  </from>
                  <to>
                    <xdr:col>9</xdr:col>
                    <xdr:colOff>69850</xdr:colOff>
                    <xdr:row>2</xdr:row>
                    <xdr:rowOff>31750</xdr:rowOff>
                  </to>
                </anchor>
              </controlPr>
            </control>
          </mc:Choice>
        </mc:AlternateContent>
        <mc:AlternateContent xmlns:mc="http://schemas.openxmlformats.org/markup-compatibility/2006">
          <mc:Choice Requires="x14">
            <control shapeId="757877" r:id="rId10" name="Button 2165">
              <controlPr defaultSize="0" print="0" autoFill="0" autoPict="0" macro="[0]!Go_To_Reaction_Input">
                <anchor moveWithCells="1" sizeWithCells="1">
                  <from>
                    <xdr:col>7</xdr:col>
                    <xdr:colOff>412750</xdr:colOff>
                    <xdr:row>2</xdr:row>
                    <xdr:rowOff>88900</xdr:rowOff>
                  </from>
                  <to>
                    <xdr:col>9</xdr:col>
                    <xdr:colOff>50800</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tabColor rgb="FFFFFF00"/>
    <pageSetUpPr autoPageBreaks="0"/>
  </sheetPr>
  <dimension ref="A1:R42"/>
  <sheetViews>
    <sheetView showGridLines="0" showRowColHeaders="0" zoomScaleNormal="100" workbookViewId="0">
      <selection activeCell="C4" sqref="C4"/>
    </sheetView>
  </sheetViews>
  <sheetFormatPr defaultColWidth="9.1796875" defaultRowHeight="12.5" x14ac:dyDescent="0.25"/>
  <cols>
    <col min="1" max="1" width="2.81640625" style="337" customWidth="1"/>
    <col min="2" max="2" width="27.81640625" style="337" bestFit="1" customWidth="1"/>
    <col min="3" max="5" width="16.81640625" style="337" customWidth="1"/>
    <col min="6" max="6" width="5.81640625" style="337" customWidth="1"/>
    <col min="7" max="7" width="19.1796875" style="337" bestFit="1" customWidth="1"/>
    <col min="8" max="10" width="9.1796875" style="337"/>
    <col min="11" max="11" width="2.81640625" style="337" customWidth="1"/>
    <col min="12" max="12" width="0" style="337" hidden="1" customWidth="1"/>
    <col min="13" max="13" width="14.81640625" style="337" hidden="1" customWidth="1"/>
    <col min="14" max="14" width="9.81640625" style="337" hidden="1" customWidth="1"/>
    <col min="15" max="15" width="8.81640625" style="337" hidden="1" customWidth="1"/>
    <col min="16" max="18" width="9.1796875" style="337" hidden="1" customWidth="1"/>
    <col min="19" max="16384" width="9.1796875" style="337"/>
  </cols>
  <sheetData>
    <row r="1" spans="1:18" ht="21.75" customHeight="1" x14ac:dyDescent="0.25">
      <c r="A1" s="3698" t="s">
        <v>2719</v>
      </c>
      <c r="B1" s="3698"/>
      <c r="C1" s="3698"/>
      <c r="D1" s="3698"/>
      <c r="E1" s="3698"/>
      <c r="F1" s="3698"/>
      <c r="G1" s="3698"/>
      <c r="H1" s="3698"/>
      <c r="I1" s="3698"/>
      <c r="J1" s="3698"/>
      <c r="K1" s="3698"/>
    </row>
    <row r="2" spans="1:18" ht="13.5" thickBot="1" x14ac:dyDescent="0.3">
      <c r="A2" s="1"/>
      <c r="B2" s="1"/>
      <c r="C2" s="1"/>
      <c r="D2" s="1"/>
      <c r="E2" s="525"/>
      <c r="F2" s="1"/>
      <c r="G2" s="525"/>
      <c r="H2" s="525"/>
      <c r="I2" s="525"/>
      <c r="J2" s="525"/>
      <c r="K2" s="525"/>
    </row>
    <row r="3" spans="1:18" ht="40.4" customHeight="1" thickBot="1" x14ac:dyDescent="0.3">
      <c r="A3" s="1"/>
      <c r="B3" s="569" t="s">
        <v>491</v>
      </c>
      <c r="C3" s="621" t="s">
        <v>2717</v>
      </c>
      <c r="D3" s="621" t="s">
        <v>2450</v>
      </c>
      <c r="E3" s="632" t="s">
        <v>2718</v>
      </c>
      <c r="F3" s="1"/>
      <c r="G3" s="525"/>
      <c r="H3" s="525"/>
      <c r="I3" s="525"/>
      <c r="J3" s="525"/>
      <c r="K3" s="525"/>
    </row>
    <row r="4" spans="1:18" ht="13" x14ac:dyDescent="0.25">
      <c r="A4" s="1"/>
      <c r="B4" s="620" t="s">
        <v>2065</v>
      </c>
      <c r="C4" s="648"/>
      <c r="D4" s="988"/>
      <c r="E4" s="649"/>
      <c r="F4" s="1"/>
      <c r="G4" s="525"/>
      <c r="H4" s="525"/>
      <c r="I4" s="525"/>
      <c r="J4" s="525"/>
      <c r="K4" s="525"/>
    </row>
    <row r="5" spans="1:18" ht="13" x14ac:dyDescent="0.25">
      <c r="A5" s="1"/>
      <c r="B5" s="349" t="s">
        <v>28</v>
      </c>
      <c r="C5" s="619" t="str">
        <f>IF(NOT(ISTEXT(VLOOKUP($C$4,Chem_Table,COLUMN(Cas_No_C),FALSE))),"",VLOOKUP($C$4,Chem_Table,COLUMN(Cas_No_C),FALSE))</f>
        <v/>
      </c>
      <c r="D5" s="635"/>
      <c r="E5" s="624" t="str">
        <f>IF(ISBLANK(D5),IF(NOT(ISTEXT(VLOOKUP($C$4,Chem_Table,COLUMN(Cas_No_C),FALSE))),"",VLOOKUP($C$4,Chem_Table,COLUMN(Cas_No_C),FALSE)),D5)</f>
        <v/>
      </c>
      <c r="F5" s="1"/>
      <c r="G5" s="525"/>
      <c r="H5" s="525"/>
      <c r="I5" s="525"/>
      <c r="J5" s="525"/>
      <c r="K5" s="525"/>
    </row>
    <row r="6" spans="1:18" ht="32.15" customHeight="1" x14ac:dyDescent="0.25">
      <c r="A6" s="1"/>
      <c r="B6" s="1026" t="s">
        <v>2773</v>
      </c>
      <c r="C6" s="1028"/>
      <c r="D6" s="2397"/>
      <c r="E6" s="1027"/>
      <c r="F6" s="1"/>
      <c r="G6" s="525"/>
      <c r="H6" s="525"/>
      <c r="I6" s="525"/>
      <c r="J6" s="525"/>
      <c r="K6" s="525"/>
    </row>
    <row r="7" spans="1:18" ht="13" x14ac:dyDescent="0.25">
      <c r="A7" s="1"/>
      <c r="B7" s="349" t="s">
        <v>879</v>
      </c>
      <c r="C7" s="347" t="str">
        <f>IF(NOT(ISNUMBER(VLOOKUP($C$4,Chem_Table,COLUMN(Mw_C),FALSE))),"",VLOOKUP($C$4,Chem_Table,COLUMN(Mw_C),FALSE))</f>
        <v/>
      </c>
      <c r="D7" s="622"/>
      <c r="E7" s="625" t="str">
        <f>IF(ISBLANK(D7),IF(NOT(ISNUMBER(VLOOKUP($C$4,Chem_Table,COLUMN(Mw_C),FALSE))),"",VLOOKUP($C$4,Chem_Table,COLUMN(Mw_C),FALSE)),D7)</f>
        <v/>
      </c>
      <c r="F7" s="1"/>
      <c r="G7" s="525"/>
      <c r="H7" s="525"/>
      <c r="I7" s="525"/>
      <c r="J7" s="525"/>
      <c r="K7" s="525"/>
    </row>
    <row r="8" spans="1:18" ht="13" x14ac:dyDescent="0.25">
      <c r="A8" s="1"/>
      <c r="B8" s="349" t="s">
        <v>756</v>
      </c>
      <c r="C8" s="347" t="str">
        <f>IF(NOT(ISNUMBER(VLOOKUP($C$4,Chem_Table,COLUMN(MP_C),FALSE))),"",VLOOKUP($C$4,Chem_Table,COLUMN(MP_C),FALSE))</f>
        <v/>
      </c>
      <c r="D8" s="622"/>
      <c r="E8" s="625" t="str">
        <f>IF(ISBLANK(D8),IF(NOT(ISNUMBER(VLOOKUP($C$4,Chem_Table,COLUMN(MP_C),FALSE))),"",VLOOKUP($C$4,Chem_Table,COLUMN(MP_C),FALSE)),D8)</f>
        <v/>
      </c>
      <c r="F8" s="1"/>
      <c r="G8" s="525"/>
      <c r="H8" s="525"/>
      <c r="I8" s="525"/>
      <c r="J8" s="525"/>
      <c r="K8" s="525"/>
    </row>
    <row r="9" spans="1:18" ht="14.5" customHeight="1" x14ac:dyDescent="0.25">
      <c r="A9" s="1"/>
      <c r="B9" s="349" t="s">
        <v>757</v>
      </c>
      <c r="C9" s="347" t="str">
        <f>IF(NOT(ISNUMBER(VLOOKUP($C$4,Chem_Table,COLUMN(BP_C),FALSE))),"",VLOOKUP($C$4,Chem_Table,COLUMN(BP_C),FALSE))</f>
        <v/>
      </c>
      <c r="D9" s="622"/>
      <c r="E9" s="625" t="str">
        <f>IF(ISBLANK(D9),IF(NOT(ISNUMBER(VLOOKUP($C$4,Chem_Table,COLUMN(BP_C),FALSE))),"",VLOOKUP($C$4,Chem_Table,COLUMN(BP_C),FALSE)),D9)</f>
        <v/>
      </c>
      <c r="F9" s="1"/>
      <c r="G9" s="525"/>
      <c r="H9" s="525"/>
      <c r="I9" s="525"/>
      <c r="J9" s="525"/>
      <c r="K9" s="525"/>
    </row>
    <row r="10" spans="1:18" ht="14.5" customHeight="1" thickBot="1" x14ac:dyDescent="0.3">
      <c r="A10" s="1"/>
      <c r="B10" s="349" t="s">
        <v>511</v>
      </c>
      <c r="C10" s="401" t="str">
        <f>IF(NOT(ISNUMBER(VLOOKUP($C$4,Chem_Table,COLUMN(VP_A_C),FALSE))),"",VLOOKUP($C$4,Chem_Table,COLUMN(VP_A_C),FALSE))</f>
        <v/>
      </c>
      <c r="D10" s="622"/>
      <c r="E10" s="626" t="str">
        <f>IF(ISBLANK(D10),IF(NOT(P13=""),P13,IF(NOT(ISNUMBER(VLOOKUP($C$4,Chem_Table,COLUMN(VP_A_C),FALSE))),"",VLOOKUP($C$4,Chem_Table,COLUMN(VP_A_C),FALSE))),D10)</f>
        <v/>
      </c>
      <c r="F10" s="1"/>
      <c r="G10" s="525"/>
      <c r="H10" s="525"/>
      <c r="I10" s="525"/>
      <c r="J10" s="525"/>
      <c r="K10" s="525"/>
    </row>
    <row r="11" spans="1:18" ht="13.5" thickBot="1" x14ac:dyDescent="0.3">
      <c r="A11" s="1"/>
      <c r="B11" s="349" t="s">
        <v>510</v>
      </c>
      <c r="C11" s="402" t="str">
        <f>IF(NOT(ISNUMBER(VLOOKUP($C$4,Chem_Table,COLUMN(VP_B_C),FALSE))),"",VLOOKUP($C$4,Chem_Table,COLUMN(VP_B_C),FALSE))</f>
        <v/>
      </c>
      <c r="D11" s="622"/>
      <c r="E11" s="627" t="str">
        <f>IF(ISBLANK(D11),IF(NOT(Q13=""),Q13,IF(NOT(ISNUMBER(VLOOKUP($C$4,Chem_Table,COLUMN(VP_B_C),FALSE))),"",VLOOKUP($C$4,Chem_Table,COLUMN(VP_B_C),FALSE))),D11)</f>
        <v/>
      </c>
      <c r="F11" s="1"/>
      <c r="G11" s="3699" t="s">
        <v>2449</v>
      </c>
      <c r="H11" s="3700"/>
      <c r="I11" s="3700"/>
      <c r="J11" s="3701"/>
      <c r="K11" s="525"/>
    </row>
    <row r="12" spans="1:18" ht="13.5" thickBot="1" x14ac:dyDescent="0.3">
      <c r="A12" s="1"/>
      <c r="B12" s="349" t="s">
        <v>1667</v>
      </c>
      <c r="C12" s="404" t="str">
        <f>IF(NOT(ISNUMBER(VLOOKUP($C$4,Chem_Table,COLUMN(VP_C_C),FALSE))),"",VLOOKUP($C$4,Chem_Table,COLUMN(VP_C_C),FALSE))</f>
        <v/>
      </c>
      <c r="D12" s="623"/>
      <c r="E12" s="628" t="str">
        <f>IF(ISBLANK(D12),IF(NOT(R13=""),R13,IF(NOT(ISNUMBER(VLOOKUP($C$4,Chem_Table,COLUMN(VP_C_C),FALSE))),"",VLOOKUP($C$4,Chem_Table,COLUMN(VP_C_C),FALSE))),D12)</f>
        <v/>
      </c>
      <c r="F12" s="1"/>
      <c r="G12" s="618" t="s">
        <v>2446</v>
      </c>
      <c r="H12" s="618" t="s">
        <v>1560</v>
      </c>
      <c r="I12" s="633" t="s">
        <v>2447</v>
      </c>
      <c r="J12" s="632" t="s">
        <v>2448</v>
      </c>
      <c r="K12" s="525"/>
      <c r="M12" s="637" t="s">
        <v>2088</v>
      </c>
      <c r="N12" s="636">
        <f>IF(T_Data_Units="F",(I13-32)/1.8,I13)</f>
        <v>0</v>
      </c>
      <c r="O12" s="636">
        <f>IF(T_Data_Units="F",(J13-32)/1.8,J13)</f>
        <v>0</v>
      </c>
      <c r="P12" s="637" t="s">
        <v>2451</v>
      </c>
      <c r="Q12" s="637" t="s">
        <v>2452</v>
      </c>
      <c r="R12" s="637" t="s">
        <v>2453</v>
      </c>
    </row>
    <row r="13" spans="1:18" ht="13" x14ac:dyDescent="0.25">
      <c r="A13" s="1"/>
      <c r="B13" s="349" t="s">
        <v>1814</v>
      </c>
      <c r="C13" s="401" t="str">
        <f>IF(NOT(ISNUMBER(VLOOKUP($C$4,Chem_Table,COLUMN(LD_A_C),FALSE))),"",VLOOKUP($C$4,Chem_Table,COLUMN(LD_A_C),FALSE))</f>
        <v/>
      </c>
      <c r="D13" s="622"/>
      <c r="E13" s="626" t="str">
        <f>IF(ISBLANK(D13),IF(NOT(P14=""),P14,IF(NOT(ISNUMBER(VLOOKUP($C$4,Chem_Table,COLUMN(LD_A_C),FALSE))),"",VLOOKUP($C$4,Chem_Table,COLUMN(LD_A_C),FALSE))),D13)</f>
        <v/>
      </c>
      <c r="F13" s="1"/>
      <c r="G13" s="2602" t="s">
        <v>4754</v>
      </c>
      <c r="H13" s="2603" t="s">
        <v>1836</v>
      </c>
      <c r="I13" s="2604"/>
      <c r="J13" s="2605"/>
      <c r="K13" s="525"/>
      <c r="M13" s="637">
        <f>IF(VP_Data_Units="",1,VLOOKUP(VP_Data_Units,'Unit Conversion'!$J$3:$K$59,2,0))</f>
        <v>9.8692329999999998E-3</v>
      </c>
      <c r="N13" s="636" t="str">
        <f>IF(VP_1&lt;&gt;"",VP_1*$M$13,"")</f>
        <v/>
      </c>
      <c r="O13" s="636" t="str">
        <f>IF(VP_2&lt;&gt;"",VP_2*$M$13,"")</f>
        <v/>
      </c>
      <c r="P13" s="638" t="str">
        <f>IF(OR(Temp_1="",Temp_2="",VP_1="",VP_2=""),"",LN(O13)+Q13/(273+O12-43))</f>
        <v/>
      </c>
      <c r="Q13" s="639" t="str">
        <f>IF(OR(Temp_1="",Temp_2="",VP_1="",VP_2=""),"",LN(O13/N13)/((1/(273+N12-43)-(1/(273+O12-43)))))</f>
        <v/>
      </c>
      <c r="R13" s="640" t="str">
        <f>IF(OR(Temp_1="",Temp_2="",VP_1="",VP_2=""),"",43)</f>
        <v/>
      </c>
    </row>
    <row r="14" spans="1:18" ht="13" x14ac:dyDescent="0.25">
      <c r="A14" s="1"/>
      <c r="B14" s="349" t="s">
        <v>1815</v>
      </c>
      <c r="C14" s="403" t="str">
        <f>IF(NOT(ISNUMBER(VLOOKUP($C$4,Chem_Table,COLUMN(LD_B_C),FALSE))),"",VLOOKUP($C$4,Chem_Table,COLUMN(LD_B_C),FALSE))</f>
        <v/>
      </c>
      <c r="D14" s="622"/>
      <c r="E14" s="629" t="str">
        <f>IF(ISBLANK(D14),IF(NOT(Q14=""),Q14,IF(NOT(ISNUMBER(VLOOKUP($C$4,Chem_Table,COLUMN(LD_B_C),FALSE))),"",VLOOKUP($C$4,Chem_Table,COLUMN(LD_B_C),FALSE))),D14)</f>
        <v/>
      </c>
      <c r="F14" s="1"/>
      <c r="G14" s="672" t="s">
        <v>2477</v>
      </c>
      <c r="H14" s="644" t="s">
        <v>967</v>
      </c>
      <c r="I14" s="634"/>
      <c r="J14" s="645"/>
      <c r="K14" s="525"/>
      <c r="M14" s="637">
        <f>IF(Dens_Data_Units="",1,VLOOKUP(Dens_Data_Units,'Unit Conversion'!$J$3:$K$59,2,0))</f>
        <v>1E-3</v>
      </c>
      <c r="N14" s="641" t="str">
        <f>IF(LD_1&lt;&gt;"",LD_1*$M$14,"")</f>
        <v/>
      </c>
      <c r="O14" s="641" t="str">
        <f>IF(LD_2&lt;&gt;"",LD_2*$M$14,"")</f>
        <v/>
      </c>
      <c r="P14" s="638" t="str">
        <f>IF(OR(Temp_1="",Temp_2="",LD_1="",LD_2=""),"",N14+Q14*(N12))</f>
        <v/>
      </c>
      <c r="Q14" s="642" t="str">
        <f>IF(OR(Temp_1="",Temp_2="",LD_1="",LD_2=""),"",-(N14-O14)/(N12-O12))</f>
        <v/>
      </c>
      <c r="R14" s="637"/>
    </row>
    <row r="15" spans="1:18" ht="13" x14ac:dyDescent="0.25">
      <c r="A15" s="1"/>
      <c r="B15" s="349" t="s">
        <v>1816</v>
      </c>
      <c r="C15" s="401" t="str">
        <f>IF(NOT(ISNUMBER(VLOOKUP($C$4,Chem_Table,COLUMN(LCP_A_C),FALSE))),"",VLOOKUP($C$4,Chem_Table,COLUMN(LCP_A_C),FALSE))</f>
        <v/>
      </c>
      <c r="D15" s="622"/>
      <c r="E15" s="626" t="str">
        <f>IF(ISBLANK(D15),IF(NOT(P15=""),P15,IF(NOT(ISNUMBER(VLOOKUP($C$4,Chem_Table,COLUMN(LCP_A_C),FALSE))),"",VLOOKUP($C$4,Chem_Table,COLUMN(LCP_A_C),FALSE))),D15)</f>
        <v/>
      </c>
      <c r="F15" s="1"/>
      <c r="G15" s="672" t="s">
        <v>2478</v>
      </c>
      <c r="H15" s="644" t="s">
        <v>2163</v>
      </c>
      <c r="I15" s="634"/>
      <c r="J15" s="645"/>
      <c r="K15" s="525"/>
      <c r="M15" s="637">
        <f>IF(Cp_Data_Units="",1,VLOOKUP(Cp_Data_Units,'Unit Conversion'!$J$3:$K$59,2,0))</f>
        <v>0.23900579999999999</v>
      </c>
      <c r="N15" s="641" t="str">
        <f>IF(LHC_1&lt;&gt;"",LHC_1*$M$15,"")</f>
        <v/>
      </c>
      <c r="O15" s="641" t="str">
        <f>IF(LHC_2&lt;&gt;"",LHC_2*$M$15,"")</f>
        <v/>
      </c>
      <c r="P15" s="638" t="str">
        <f>IF(OR(Temp_1="",Temp_2="",LHC_1="",LHC_2=""),"",N15-Q15*(N12))</f>
        <v/>
      </c>
      <c r="Q15" s="642" t="str">
        <f>IF(OR(Temp_1="",Temp_2="",LHC_1="",LHC_2=""),"",(N15-O15)/(N12-O12))</f>
        <v/>
      </c>
      <c r="R15" s="637"/>
    </row>
    <row r="16" spans="1:18" ht="13" x14ac:dyDescent="0.25">
      <c r="A16" s="1"/>
      <c r="B16" s="349" t="s">
        <v>1032</v>
      </c>
      <c r="C16" s="403" t="str">
        <f>IF(NOT(ISNUMBER(VLOOKUP($C$4,Chem_Table,COLUMN(LCP_B_C),FALSE))),"",VLOOKUP($C$4,Chem_Table,COLUMN(LCP_B_C),FALSE))</f>
        <v/>
      </c>
      <c r="D16" s="622"/>
      <c r="E16" s="629" t="str">
        <f>IF(ISBLANK(D16),IF(NOT(Q15=""),Q15,IF(NOT(ISNUMBER(VLOOKUP($C$4,Chem_Table,COLUMN(LCP_B_C),FALSE))),"",VLOOKUP($C$4,Chem_Table,COLUMN(LCP_B_C),FALSE))),D16)</f>
        <v/>
      </c>
      <c r="F16" s="1"/>
      <c r="G16" s="672" t="s">
        <v>2479</v>
      </c>
      <c r="H16" s="644" t="s">
        <v>404</v>
      </c>
      <c r="I16" s="634"/>
      <c r="J16" s="645"/>
      <c r="K16" s="525"/>
      <c r="M16" s="637">
        <f>IF(LH_Data_Units="",1,VLOOKUP(LH_Data_Units,'Unit Conversion'!$J$3:$K$59,2,0))</f>
        <v>0.23900579999999999</v>
      </c>
      <c r="N16" s="643" t="str">
        <f>IF(HVAP_1&lt;&gt;"",HVAP_1*$M$16,"")</f>
        <v/>
      </c>
      <c r="O16" s="643" t="str">
        <f>IF(HVAP_2&lt;&gt;"",HVAP_2*$M$16,"")</f>
        <v/>
      </c>
      <c r="P16" s="640" t="str">
        <f>IF(OR(Temp_1="",Temp_2="",HVAP_1="",HVAP_2=""),"",N16+Q16*(N12))</f>
        <v/>
      </c>
      <c r="Q16" s="638" t="str">
        <f>IF(OR(Temp_1="",Temp_2="",HVAP_1="",HVAP_2=""),"",-(N16-O16)/(N12-O12))</f>
        <v/>
      </c>
      <c r="R16" s="642" t="str">
        <f>IF(OR(Temp_1="",Temp_2="",HVAP_1="",HVAP_2=""),"",0)</f>
        <v/>
      </c>
    </row>
    <row r="17" spans="1:18" ht="13.5" thickBot="1" x14ac:dyDescent="0.3">
      <c r="A17" s="1"/>
      <c r="B17" s="349" t="s">
        <v>1033</v>
      </c>
      <c r="C17" s="404" t="str">
        <f>IF(NOT(ISNUMBER(VLOOKUP($C$4,Chem_Table,COLUMN(HV_A_C),FALSE))),"",VLOOKUP($C$4,Chem_Table,COLUMN(HV_A_C),FALSE))</f>
        <v/>
      </c>
      <c r="D17" s="622"/>
      <c r="E17" s="628" t="str">
        <f>IF(ISBLANK(D17),IF(NOT(P16=""),P16,IF(NOT(ISNUMBER(VLOOKUP($C$4,Chem_Table,COLUMN(HV_A_C),FALSE))),"",VLOOKUP($C$4,Chem_Table,COLUMN(HV_A_C),FALSE))),D17)</f>
        <v/>
      </c>
      <c r="F17" s="1"/>
      <c r="G17" s="695" t="s">
        <v>2480</v>
      </c>
      <c r="H17" s="348" t="s">
        <v>405</v>
      </c>
      <c r="I17" s="646"/>
      <c r="J17" s="647"/>
      <c r="K17" s="525"/>
    </row>
    <row r="18" spans="1:18" ht="13" x14ac:dyDescent="0.25">
      <c r="A18" s="1"/>
      <c r="B18" s="349" t="s">
        <v>509</v>
      </c>
      <c r="C18" s="401" t="str">
        <f>IF(NOT(ISNUMBER(VLOOKUP($C$4,Chem_Table,COLUMN(HV_B_C),FALSE))),"",VLOOKUP($C$4,Chem_Table,COLUMN(HV_B_C),FALSE))</f>
        <v/>
      </c>
      <c r="D18" s="622"/>
      <c r="E18" s="626" t="str">
        <f>IF(ISBLANK(D18),IF(NOT(Q16=""),Q16,IF(NOT(ISNUMBER(VLOOKUP($C$4,Chem_Table,COLUMN(HV_B_C),FALSE))),"",VLOOKUP($C$4,Chem_Table,COLUMN(HV_B_C),FALSE))),D18)</f>
        <v/>
      </c>
      <c r="F18" s="1"/>
      <c r="G18" s="525"/>
      <c r="H18" s="525"/>
      <c r="I18" s="525"/>
      <c r="J18" s="525"/>
      <c r="K18" s="525"/>
      <c r="M18"/>
      <c r="N18"/>
      <c r="O18"/>
      <c r="P18"/>
      <c r="Q18"/>
      <c r="R18"/>
    </row>
    <row r="19" spans="1:18" ht="13.5" thickBot="1" x14ac:dyDescent="0.3">
      <c r="A19" s="1"/>
      <c r="B19" s="697" t="s">
        <v>2010</v>
      </c>
      <c r="C19" s="650" t="str">
        <f>IF(NOT(ISNUMBER(VLOOKUP($C$4,Chem_Table,COLUMN(HV_C_C),FALSE))),"",VLOOKUP($C$4,Chem_Table,COLUMN(HV_C_C),FALSE))</f>
        <v/>
      </c>
      <c r="D19" s="651"/>
      <c r="E19" s="650" t="str">
        <f>IF(ISBLANK(D19),IF(NOT(R16=""),R16,IF(NOT(ISNUMBER(VLOOKUP($C$4,Chem_Table,COLUMN(HV_C_C),FALSE))),"",VLOOKUP($C$4,Chem_Table,COLUMN(HV_C_C),FALSE))),D19)</f>
        <v/>
      </c>
      <c r="F19" s="1"/>
      <c r="G19" s="525"/>
      <c r="H19" s="694" t="s">
        <v>2476</v>
      </c>
      <c r="I19" s="693" t="str">
        <f>IF(OR(Vap_Pres_A_N="",Vap_Pres_B_N=""),"",IF(AND(Vap_Pres_A_N&gt;0,Vap_Pres_B_N&gt;0),Vap_Pres_B_N/Vap_Pres_A_N+Vap_Pres_C_N-273,""))</f>
        <v/>
      </c>
      <c r="J19" s="525"/>
      <c r="K19" s="525"/>
      <c r="M19"/>
      <c r="N19"/>
      <c r="O19"/>
      <c r="P19"/>
      <c r="Q19"/>
      <c r="R19"/>
    </row>
    <row r="20" spans="1:18" ht="13" x14ac:dyDescent="0.25">
      <c r="A20" s="1"/>
      <c r="B20" s="698" t="s">
        <v>758</v>
      </c>
      <c r="C20" s="656" t="str">
        <f>IF(NOT(ISNUMBER(VLOOKUP($C$4,Chem_Table,COLUMN(FP_C),FALSE))),"",VLOOKUP($C$4,Chem_Table,COLUMN(FP_C),FALSE))</f>
        <v/>
      </c>
      <c r="D20" s="657"/>
      <c r="E20" s="699" t="str">
        <f>IF(ISBLANK(D20),IF(NOT(ISNUMBER(VLOOKUP($C$4,Chem_Table,COLUMN(FP_C),FALSE))),"",VLOOKUP($C$4,Chem_Table,COLUMN(FP_C),FALSE)),D20)</f>
        <v/>
      </c>
      <c r="F20" s="1"/>
      <c r="G20" s="525"/>
      <c r="H20" s="525"/>
      <c r="I20" s="525"/>
      <c r="J20" s="525"/>
      <c r="K20" s="525"/>
      <c r="M20"/>
      <c r="N20"/>
      <c r="O20"/>
      <c r="P20"/>
      <c r="Q20"/>
      <c r="R20"/>
    </row>
    <row r="21" spans="1:18" ht="13" x14ac:dyDescent="0.25">
      <c r="A21" s="1"/>
      <c r="B21" s="700" t="s">
        <v>1985</v>
      </c>
      <c r="C21" s="696" t="str">
        <f>IF(NOT(ISNUMBER(VLOOKUP($C$4,Chem_Table,COLUMN(LFL_C),FALSE))),"",VLOOKUP($C$4,Chem_Table,COLUMN(LFL_C),FALSE))</f>
        <v/>
      </c>
      <c r="D21" s="678"/>
      <c r="E21" s="701" t="str">
        <f>IF(ISBLANK(D21),IF(NOT(ISNUMBER(VLOOKUP($C$4,Chem_Table,COLUMN(LFL_C),FALSE))),"",VLOOKUP($C$4,Chem_Table,COLUMN(LFL_C),FALSE)),D21)</f>
        <v/>
      </c>
      <c r="F21" s="1"/>
      <c r="G21" s="525"/>
      <c r="H21" s="525"/>
      <c r="I21" s="525"/>
      <c r="J21" s="525"/>
      <c r="K21" s="525"/>
      <c r="M21"/>
      <c r="N21"/>
      <c r="O21"/>
      <c r="P21"/>
      <c r="Q21"/>
      <c r="R21"/>
    </row>
    <row r="22" spans="1:18" ht="13" x14ac:dyDescent="0.25">
      <c r="A22" s="1"/>
      <c r="B22" s="700" t="s">
        <v>2021</v>
      </c>
      <c r="C22" s="696" t="str">
        <f>IF(NOT(ISNUMBER(VLOOKUP($C$4,Chem_Table,COLUMN(UFL_C),FALSE))),"",VLOOKUP($C$4,Chem_Table,COLUMN(UFL_C),FALSE))</f>
        <v/>
      </c>
      <c r="D22" s="678"/>
      <c r="E22" s="701" t="str">
        <f>IF(ISBLANK(D22),IF(NOT(ISNUMBER(VLOOKUP($C$4,Chem_Table,COLUMN(UFL_C),FALSE))),"",VLOOKUP($C$4,Chem_Table,COLUMN(UFL_C),FALSE)),D22)</f>
        <v/>
      </c>
      <c r="F22" s="1"/>
      <c r="G22" s="525"/>
      <c r="H22" s="525"/>
      <c r="I22" s="525"/>
      <c r="J22" s="525"/>
      <c r="K22" s="525"/>
    </row>
    <row r="23" spans="1:18" ht="13" x14ac:dyDescent="0.25">
      <c r="A23" s="1"/>
      <c r="B23" s="700" t="s">
        <v>2022</v>
      </c>
      <c r="C23" s="696" t="str">
        <f>IF(NOT(ISNUMBER(VLOOKUP($C$4,Chem_Table,COLUMN(AIgnite_C),FALSE))),"",VLOOKUP($C$4,Chem_Table,COLUMN(AIgnite_C),FALSE))</f>
        <v/>
      </c>
      <c r="D23" s="678"/>
      <c r="E23" s="701" t="str">
        <f>IF(ISBLANK(D23),IF(NOT(ISNUMBER(VLOOKUP($C$4,Chem_Table,COLUMN(AIgnite_C),FALSE))),"",VLOOKUP($C$4,Chem_Table,COLUMN(AIgnite_C),FALSE)),D23)</f>
        <v/>
      </c>
      <c r="F23" s="1"/>
      <c r="G23" s="525"/>
      <c r="H23" s="525"/>
      <c r="I23" s="525"/>
      <c r="J23" s="525"/>
      <c r="K23" s="525"/>
    </row>
    <row r="24" spans="1:18" ht="13" x14ac:dyDescent="0.25">
      <c r="A24" s="1"/>
      <c r="B24" s="700" t="s">
        <v>487</v>
      </c>
      <c r="C24" s="696" t="str">
        <f>IF(NOT(ISTEXT(VLOOKUP($C$4,Chem_Table,COLUMN(EI_C),FALSE))),"",VLOOKUP($C$4,Chem_Table,COLUMN(EI_C),FALSE))</f>
        <v/>
      </c>
      <c r="D24" s="678"/>
      <c r="E24" s="701" t="str">
        <f>IF(ISBLANK(D24),IF(NOT(ISTEXT(VLOOKUP($C$4,Chem_Table,COLUMN(EI_C),FALSE))),"",VLOOKUP($C$4,Chem_Table,COLUMN(EI_C),FALSE)),D24)</f>
        <v/>
      </c>
      <c r="F24" s="1"/>
      <c r="G24" s="525"/>
      <c r="H24" s="525"/>
      <c r="I24" s="525"/>
      <c r="J24" s="525"/>
      <c r="K24" s="525"/>
    </row>
    <row r="25" spans="1:18" ht="13" x14ac:dyDescent="0.25">
      <c r="A25" s="1"/>
      <c r="B25" s="700" t="s">
        <v>883</v>
      </c>
      <c r="C25" s="696" t="str">
        <f>IF(NOT(ISTEXT(VLOOKUP($C$4,Chem_Table,COLUMN(FS_C),FALSE))),"",VLOOKUP($C$4,Chem_Table,COLUMN(FS_C),FALSE))</f>
        <v/>
      </c>
      <c r="D25" s="678"/>
      <c r="E25" s="701" t="str">
        <f>IF(ISBLANK(D25),IF(NOT(ISTEXT(VLOOKUP($C$4,Chem_Table,COLUMN(FS_C),FALSE))),"",VLOOKUP($C$4,Chem_Table,COLUMN(FS_C),FALSE)),D25)</f>
        <v/>
      </c>
      <c r="F25" s="1"/>
      <c r="G25" s="525"/>
      <c r="H25" s="525"/>
      <c r="I25" s="525"/>
      <c r="J25" s="525"/>
      <c r="K25" s="525"/>
    </row>
    <row r="26" spans="1:18" ht="13.5" thickBot="1" x14ac:dyDescent="0.3">
      <c r="A26" s="1"/>
      <c r="B26" s="351" t="s">
        <v>161</v>
      </c>
      <c r="C26" s="659" t="str">
        <f>IF(NOT(ISTEXT(VLOOKUP($C$4,Chem_Table,COLUMN(Conductive_C),FALSE))),"",VLOOKUP($C$4,Chem_Table,COLUMN(Conductive_C),FALSE))</f>
        <v/>
      </c>
      <c r="D26" s="660"/>
      <c r="E26" s="661" t="str">
        <f>IF(ISBLANK(D26),IF(NOT(ISTEXT(VLOOKUP($C$4,Chem_Table,COLUMN(Conductive_C),FALSE))),"",VLOOKUP($C$4,Chem_Table,COLUMN(Conductive_C),FALSE)),D26)</f>
        <v/>
      </c>
      <c r="F26" s="1"/>
      <c r="G26" s="525"/>
      <c r="H26" s="525"/>
      <c r="I26" s="525"/>
      <c r="J26" s="525"/>
      <c r="K26" s="525"/>
    </row>
    <row r="27" spans="1:18" ht="13" x14ac:dyDescent="0.25">
      <c r="A27" s="1"/>
      <c r="B27" s="655" t="s">
        <v>816</v>
      </c>
      <c r="C27" s="656" t="str">
        <f>IF(NOT(ISTEXT(VLOOKUP($C$4,Chem_Table,COLUMN(Dust_Class_C),FALSE))),"",VLOOKUP($C$4,Chem_Table,COLUMN(Dust_Class_C),FALSE))</f>
        <v/>
      </c>
      <c r="D27" s="657"/>
      <c r="E27" s="658" t="str">
        <f>IF(ISBLANK(D27),IF(NOT(ISTEXT(VLOOKUP($C$4,Chem_Table,COLUMN(Dust_Class_C),FALSE))),"",VLOOKUP($C$4,Chem_Table,COLUMN(Dust_Class_C),FALSE)),D27)</f>
        <v/>
      </c>
      <c r="F27" s="1"/>
      <c r="G27" s="525"/>
      <c r="H27" s="525"/>
      <c r="I27" s="525"/>
      <c r="J27" s="525"/>
      <c r="K27" s="525"/>
    </row>
    <row r="28" spans="1:18" ht="13" x14ac:dyDescent="0.25">
      <c r="A28" s="1"/>
      <c r="B28" s="630" t="s">
        <v>529</v>
      </c>
      <c r="C28" s="662" t="str">
        <f>IF(NOT(ISNUMBER(VLOOKUP($C$4,Chem_Table,COLUMN(Dust_Size_C),FALSE))),"",VLOOKUP($C$4,Chem_Table,COLUMN(Dust_Size_C),FALSE))</f>
        <v/>
      </c>
      <c r="D28" s="622"/>
      <c r="E28" s="663" t="str">
        <f>IF(ISBLANK(D28),IF(NOT(ISNUMBER(VLOOKUP($C$4,Chem_Table,COLUMN(Dust_Size_C),FALSE))),"",VLOOKUP($C$4,Chem_Table,COLUMN(Dust_Size_C),FALSE)),D28)</f>
        <v/>
      </c>
      <c r="F28" s="1"/>
      <c r="G28" s="525"/>
      <c r="H28" s="525"/>
      <c r="I28" s="525"/>
      <c r="J28" s="525"/>
      <c r="K28" s="525"/>
    </row>
    <row r="29" spans="1:18" ht="13" x14ac:dyDescent="0.25">
      <c r="A29" s="1"/>
      <c r="B29" s="630" t="s">
        <v>1015</v>
      </c>
      <c r="C29" s="631" t="str">
        <f>IF(NOT(ISNUMBER(VLOOKUP($C$4,Chem_Table,COLUMN(Fraction_Dust_C),FALSE))),"",VLOOKUP($C$4,Chem_Table,COLUMN(Fraction_Dust_C),FALSE))</f>
        <v/>
      </c>
      <c r="D29" s="622"/>
      <c r="E29" s="664" t="str">
        <f>IF(ISBLANK(D29),IF(NOT(ISNUMBER(VLOOKUP($C$4,Chem_Table,COLUMN(Fraction_Dust_C),FALSE))),"",VLOOKUP($C$4,Chem_Table,COLUMN(Fraction_Dust_C),FALSE)),D29)</f>
        <v/>
      </c>
      <c r="F29" s="1"/>
      <c r="G29" s="525"/>
      <c r="H29" s="525"/>
      <c r="I29" s="525"/>
      <c r="J29" s="525"/>
      <c r="K29" s="525"/>
    </row>
    <row r="30" spans="1:18" ht="13" x14ac:dyDescent="0.25">
      <c r="A30" s="1"/>
      <c r="B30" s="630" t="s">
        <v>1647</v>
      </c>
      <c r="C30" s="631" t="str">
        <f>IF(NOT(ISNUMBER(VLOOKUP($C$4,Chem_Table,COLUMN(Dust_MIE_C),FALSE))),"",VLOOKUP($C$4,Chem_Table,COLUMN(Dust_MIE_C),FALSE))</f>
        <v/>
      </c>
      <c r="D30" s="622"/>
      <c r="E30" s="664" t="str">
        <f>IF(ISBLANK(D30),IF(NOT(ISNUMBER(VLOOKUP($C$4,Chem_Table,COLUMN(Dust_MIE_C),FALSE))),"",VLOOKUP($C$4,Chem_Table,COLUMN(Dust_MIE_C),FALSE)),D30)</f>
        <v/>
      </c>
      <c r="F30" s="1"/>
      <c r="G30" s="525"/>
      <c r="H30" s="525"/>
      <c r="I30" s="525"/>
      <c r="J30" s="525"/>
      <c r="K30" s="525"/>
    </row>
    <row r="31" spans="1:18" ht="13.5" thickBot="1" x14ac:dyDescent="0.3">
      <c r="A31" s="1"/>
      <c r="B31" s="351" t="s">
        <v>1016</v>
      </c>
      <c r="C31" s="659" t="str">
        <f>IF(NOT(ISTEXT(VLOOKUP($C$4,Chem_Table,COLUMN(Dust_Hybrid_C),FALSE))),"",VLOOKUP($C$4,Chem_Table,COLUMN(Dust_Hybrid_C),FALSE))</f>
        <v/>
      </c>
      <c r="D31" s="660"/>
      <c r="E31" s="661" t="str">
        <f>IF(ISBLANK(D31),IF(NOT(ISTEXT(VLOOKUP($C$4,Chem_Table,COLUMN(Dust_Hybrid_C),FALSE))),"",VLOOKUP($C$4,Chem_Table,COLUMN(Dust_Hybrid_C),FALSE)),D31)</f>
        <v/>
      </c>
      <c r="F31" s="1"/>
      <c r="G31" s="525"/>
      <c r="H31" s="525"/>
      <c r="I31" s="525"/>
      <c r="J31" s="525"/>
      <c r="K31" s="525"/>
    </row>
    <row r="32" spans="1:18" ht="13" x14ac:dyDescent="0.25">
      <c r="A32" s="1"/>
      <c r="B32" s="620" t="s">
        <v>682</v>
      </c>
      <c r="C32" s="652" t="str">
        <f>IF(NOT(ISNUMBER(VLOOKUP($C$4,Chem_Table,COLUMN(ERPG1_C),FALSE))),"",VLOOKUP($C$4,Chem_Table,COLUMN(ERPG1_C),FALSE))</f>
        <v/>
      </c>
      <c r="D32" s="653"/>
      <c r="E32" s="654" t="str">
        <f>IF(ISBLANK(D32),IF(NOT(ISNUMBER(VLOOKUP($C$4,Chem_Table,COLUMN(ERPG1_C),FALSE))),"",VLOOKUP($C$4,Chem_Table,COLUMN(ERPG1_C),FALSE)),D32)</f>
        <v/>
      </c>
      <c r="F32" s="1"/>
      <c r="G32" s="525"/>
      <c r="H32" s="525"/>
      <c r="I32" s="525"/>
      <c r="J32" s="525"/>
      <c r="K32" s="525"/>
    </row>
    <row r="33" spans="1:11" ht="13" x14ac:dyDescent="0.25">
      <c r="A33" s="1"/>
      <c r="B33" s="349" t="s">
        <v>834</v>
      </c>
      <c r="C33" s="347" t="str">
        <f>IF(NOT(ISNUMBER(VLOOKUP($C$4,Chem_Table,COLUMN(ERPG2_C),FALSE))),"",VLOOKUP($C$4,Chem_Table,COLUMN(ERPG2_C),FALSE))</f>
        <v/>
      </c>
      <c r="D33" s="622"/>
      <c r="E33" s="625" t="str">
        <f>IF(ISBLANK(D33),IF(NOT(ISNUMBER(VLOOKUP($C$4,Chem_Table,COLUMN(ERPG2_C),FALSE))),"",VLOOKUP($C$4,Chem_Table,COLUMN(ERPG2_C),FALSE)),D33)</f>
        <v/>
      </c>
      <c r="F33" s="1"/>
      <c r="G33" s="525"/>
      <c r="H33" s="525"/>
      <c r="I33" s="525"/>
      <c r="J33" s="525"/>
      <c r="K33" s="525"/>
    </row>
    <row r="34" spans="1:11" ht="13" x14ac:dyDescent="0.25">
      <c r="A34" s="1"/>
      <c r="B34" s="349" t="s">
        <v>1984</v>
      </c>
      <c r="C34" s="347" t="str">
        <f>IF(NOT(ISNUMBER(VLOOKUP($C$4,Chem_Table,COLUMN(ERPG3_C),FALSE))),"",VLOOKUP($C$4,Chem_Table,COLUMN(ERPG3_C),FALSE))</f>
        <v/>
      </c>
      <c r="D34" s="622"/>
      <c r="E34" s="625" t="str">
        <f>IF(ISBLANK(D34),IF(NOT(ISNUMBER(VLOOKUP($C$4,Chem_Table,COLUMN(ERPG3_C),FALSE))),"",VLOOKUP($C$4,Chem_Table,COLUMN(ERPG3_C),FALSE)),D34)</f>
        <v/>
      </c>
      <c r="F34" s="1"/>
      <c r="G34" s="525"/>
      <c r="H34" s="525"/>
      <c r="I34" s="525"/>
      <c r="J34" s="525"/>
      <c r="K34" s="525"/>
    </row>
    <row r="35" spans="1:11" ht="13" x14ac:dyDescent="0.25">
      <c r="A35" s="1"/>
      <c r="B35" s="349" t="s">
        <v>983</v>
      </c>
      <c r="C35" s="347" t="str">
        <f>IF(NOT(ISNUMBER(VLOOKUP($C$4,Chem_Table,COLUMN(NH_C),FALSE))),"",VLOOKUP($C$4,Chem_Table,COLUMN(NH_C),FALSE))</f>
        <v/>
      </c>
      <c r="D35" s="622"/>
      <c r="E35" s="625" t="str">
        <f>IF(ISBLANK(D35),IF(NOT(ISNUMBER(VLOOKUP($C$4,Chem_Table,COLUMN(NH_C),FALSE))),"",VLOOKUP($C$4,Chem_Table,COLUMN(NH_C),FALSE)),D35)</f>
        <v/>
      </c>
      <c r="F35" s="1"/>
      <c r="G35" s="525"/>
      <c r="H35" s="525"/>
      <c r="I35" s="525"/>
      <c r="J35" s="525"/>
      <c r="K35" s="525"/>
    </row>
    <row r="36" spans="1:11" ht="13" x14ac:dyDescent="0.25">
      <c r="A36" s="1"/>
      <c r="B36" s="349" t="s">
        <v>508</v>
      </c>
      <c r="C36" s="347" t="str">
        <f>IF(NOT(ISNUMBER(VLOOKUP($C$4,Chem_Table,COLUMN(NF_C),FALSE))),"",VLOOKUP($C$4,Chem_Table,COLUMN(NF_C),FALSE))</f>
        <v/>
      </c>
      <c r="D36" s="622"/>
      <c r="E36" s="625" t="str">
        <f>IF(ISBLANK(D36),IF(NOT(ISNUMBER(VLOOKUP($C$4,Chem_Table,COLUMN(NF_C),FALSE))),"",VLOOKUP($C$4,Chem_Table,COLUMN(NF_C),FALSE)),D36)</f>
        <v/>
      </c>
      <c r="F36" s="1"/>
      <c r="G36" s="525"/>
      <c r="H36" s="525"/>
      <c r="I36" s="525"/>
      <c r="J36" s="525"/>
      <c r="K36" s="525"/>
    </row>
    <row r="37" spans="1:11" ht="13" x14ac:dyDescent="0.25">
      <c r="A37" s="1"/>
      <c r="B37" s="349" t="s">
        <v>984</v>
      </c>
      <c r="C37" s="347" t="str">
        <f>IF(NOT(ISNUMBER(VLOOKUP($C$4,Chem_Table,COLUMN(NR_C),FALSE))),"",VLOOKUP($C$4,Chem_Table,COLUMN(NR_C),FALSE))</f>
        <v/>
      </c>
      <c r="D37" s="622"/>
      <c r="E37" s="625" t="str">
        <f>IF(ISBLANK(D37),IF(NOT(ISNUMBER(VLOOKUP($C$4,Chem_Table,COLUMN(NR_C),FALSE))),"",VLOOKUP($C$4,Chem_Table,COLUMN(NR_C),FALSE)),D37)</f>
        <v/>
      </c>
      <c r="F37" s="1"/>
      <c r="G37" s="525"/>
      <c r="H37" s="525"/>
      <c r="I37" s="525"/>
      <c r="J37" s="525"/>
      <c r="K37" s="525"/>
    </row>
    <row r="38" spans="1:11" ht="13" x14ac:dyDescent="0.25">
      <c r="A38" s="1"/>
      <c r="B38" s="350" t="s">
        <v>720</v>
      </c>
      <c r="C38" s="347" t="str">
        <f>IF(NOT(ISTEXT(VLOOKUP($C$4,Chem_Table,COLUMN(DTRS_C),FALSE))),"",VLOOKUP($C$4,Chem_Table,COLUMN(DTRS_C),FALSE))</f>
        <v/>
      </c>
      <c r="D38" s="622"/>
      <c r="E38" s="625" t="str">
        <f>IF(ISBLANK(D38),IF(NOT(ISTEXT(VLOOKUP($C$4,Chem_Table,COLUMN(DTRS_C),FALSE))),"",VLOOKUP($C$4,Chem_Table,COLUMN(DTRS_C),FALSE)),D38)</f>
        <v/>
      </c>
      <c r="F38" s="1"/>
      <c r="G38" s="525"/>
      <c r="H38" s="525"/>
      <c r="I38" s="525"/>
      <c r="J38" s="525"/>
      <c r="K38" s="525"/>
    </row>
    <row r="39" spans="1:11" ht="13" x14ac:dyDescent="0.25">
      <c r="A39" s="1"/>
      <c r="B39" s="349" t="s">
        <v>719</v>
      </c>
      <c r="C39" s="347" t="str">
        <f>IF(NOT(ISTEXT(VLOOKUP($C$4,Chem_Table,COLUMN(ATRS_C),FALSE))),"",VLOOKUP($C$4,Chem_Table,COLUMN(ATRS_C),FALSE))</f>
        <v/>
      </c>
      <c r="D39" s="622"/>
      <c r="E39" s="625" t="str">
        <f>IF(ISBLANK(D39),IF(NOT(ISTEXT(VLOOKUP($C$4,Chem_Table,COLUMN(ATRS_C),FALSE))),"",VLOOKUP($C$4,Chem_Table,COLUMN(ATRS_C),FALSE)),D39)</f>
        <v/>
      </c>
      <c r="F39" s="1"/>
      <c r="G39" s="525"/>
      <c r="H39" s="525"/>
      <c r="I39" s="525"/>
      <c r="J39" s="525"/>
      <c r="K39" s="525"/>
    </row>
    <row r="40" spans="1:11" ht="13" x14ac:dyDescent="0.25">
      <c r="A40" s="1"/>
      <c r="B40" s="349" t="s">
        <v>2802</v>
      </c>
      <c r="C40" s="347" t="str">
        <f>IF(NOT(ISTEXT(VLOOKUP($C$4,Chem_Table,COLUMN(RRS_C),FALSE))),"",VLOOKUP($C$4,Chem_Table,COLUMN(RRS_C),FALSE))</f>
        <v/>
      </c>
      <c r="D40" s="622"/>
      <c r="E40" s="625" t="str">
        <f>IF(ISBLANK(D40),IF(NOT(ISTEXT(VLOOKUP($C$4,Chem_Table,COLUMN(RRS_C),FALSE))),"",VLOOKUP($C$4,Chem_Table,COLUMN(RRS_C),FALSE)),D40)</f>
        <v/>
      </c>
      <c r="F40" s="1"/>
      <c r="G40" s="525"/>
      <c r="H40" s="525"/>
      <c r="I40" s="525"/>
      <c r="J40" s="525"/>
      <c r="K40" s="525"/>
    </row>
    <row r="41" spans="1:11" ht="13" x14ac:dyDescent="0.25">
      <c r="A41" s="1"/>
      <c r="B41" s="630" t="s">
        <v>1010</v>
      </c>
      <c r="C41" s="631" t="str">
        <f>IF(NOT(ISTEXT(VLOOKUP($C$4,Chem_Table,COLUMN(Warning_Prop_C),FALSE))),"",VLOOKUP($C$4,Chem_Table,COLUMN(Warning_Prop_C),FALSE))</f>
        <v/>
      </c>
      <c r="D41" s="622"/>
      <c r="E41" s="625" t="str">
        <f>IF(ISBLANK(D41),IF(NOT(ISTEXT(VLOOKUP($C$4,Chem_Table,COLUMN(Warning_Prop_C),FALSE))),"",VLOOKUP($C$4,Chem_Table,COLUMN(Warning_Prop_C),FALSE)),D41)</f>
        <v/>
      </c>
      <c r="F41" s="1"/>
      <c r="G41" s="525"/>
      <c r="H41" s="525"/>
      <c r="I41" s="525"/>
      <c r="J41" s="525"/>
      <c r="K41" s="525"/>
    </row>
    <row r="42" spans="1:11" ht="13" x14ac:dyDescent="0.25">
      <c r="A42" s="1"/>
      <c r="B42" s="1"/>
      <c r="C42" s="1"/>
      <c r="D42" s="1"/>
      <c r="E42" s="1"/>
      <c r="F42" s="1"/>
      <c r="G42" s="525"/>
      <c r="H42" s="525"/>
      <c r="I42" s="525"/>
      <c r="J42" s="525"/>
      <c r="K42" s="525"/>
    </row>
  </sheetData>
  <sheetProtection sheet="1" objects="1" scenarios="1"/>
  <mergeCells count="2">
    <mergeCell ref="A1:K1"/>
    <mergeCell ref="G11:J11"/>
  </mergeCells>
  <conditionalFormatting sqref="I14">
    <cfRule type="expression" dxfId="618" priority="16">
      <formula>IF(AND($I14="",NOT($J14="")),TRUE,FALSE)</formula>
    </cfRule>
  </conditionalFormatting>
  <conditionalFormatting sqref="J14:J17">
    <cfRule type="expression" dxfId="617" priority="15">
      <formula>IF(AND($J14="",NOT($I14="")),TRUE,FALSE)</formula>
    </cfRule>
  </conditionalFormatting>
  <conditionalFormatting sqref="I15:I17">
    <cfRule type="expression" dxfId="616" priority="14">
      <formula>IF(AND($I15="",NOT($J15="")),TRUE,FALSE)</formula>
    </cfRule>
  </conditionalFormatting>
  <conditionalFormatting sqref="I15:I17">
    <cfRule type="expression" dxfId="615" priority="13">
      <formula>IF(AND($I15="",NOT($J15="")),TRUE,FALSE)</formula>
    </cfRule>
  </conditionalFormatting>
  <conditionalFormatting sqref="I13">
    <cfRule type="expression" dxfId="614" priority="10">
      <formula>IF(AND($I$13="",COUNTA($I$14:$J$17)&gt;0),TRUE,FALSE)</formula>
    </cfRule>
    <cfRule type="expression" dxfId="613" priority="12">
      <formula>IF(AND($I13="",NOT($J13="")),TRUE,FALSE)</formula>
    </cfRule>
  </conditionalFormatting>
  <conditionalFormatting sqref="J13">
    <cfRule type="expression" dxfId="612" priority="9">
      <formula>IF(AND($J$13="",COUNTA($I$14:$J$17)&gt;0),TRUE,FALSE)</formula>
    </cfRule>
    <cfRule type="expression" dxfId="611" priority="11">
      <formula>IF(AND($J13="",NOT($I13="")),TRUE,FALSE)</formula>
    </cfRule>
  </conditionalFormatting>
  <conditionalFormatting sqref="D7">
    <cfRule type="expression" dxfId="610" priority="8">
      <formula>IF($E$7="",TRUE,FALSE)</formula>
    </cfRule>
  </conditionalFormatting>
  <conditionalFormatting sqref="D9">
    <cfRule type="expression" dxfId="609" priority="7">
      <formula>IF($E$9="",TRUE,FALSE)</formula>
    </cfRule>
  </conditionalFormatting>
  <conditionalFormatting sqref="D10">
    <cfRule type="expression" dxfId="608" priority="6">
      <formula>IF($E$10="",TRUE,FALSE)</formula>
    </cfRule>
  </conditionalFormatting>
  <conditionalFormatting sqref="D11">
    <cfRule type="expression" dxfId="607" priority="5">
      <formula>IF($E$11="",TRUE,FALSE)</formula>
    </cfRule>
  </conditionalFormatting>
  <conditionalFormatting sqref="D13">
    <cfRule type="expression" dxfId="606" priority="4">
      <formula>IF($E$13="",TRUE,FALSE)</formula>
    </cfRule>
  </conditionalFormatting>
  <conditionalFormatting sqref="D15">
    <cfRule type="expression" dxfId="605" priority="3">
      <formula>IF($E$15="",TRUE,FALSE)</formula>
    </cfRule>
  </conditionalFormatting>
  <conditionalFormatting sqref="D17">
    <cfRule type="expression" dxfId="604" priority="2">
      <formula>IF($E$17="",TRUE,FALSE)</formula>
    </cfRule>
  </conditionalFormatting>
  <conditionalFormatting sqref="E4">
    <cfRule type="expression" dxfId="603" priority="1">
      <formula>IF($E$4="",TRUE,FALSE)</formula>
    </cfRule>
  </conditionalFormatting>
  <dataValidations count="15">
    <dataValidation type="list" allowBlank="1" showInputMessage="1" showErrorMessage="1" sqref="D41 D31" xr:uid="{00000000-0002-0000-0900-000000000000}">
      <formula1>YN_List</formula1>
    </dataValidation>
    <dataValidation type="list" allowBlank="1" showInputMessage="1" showErrorMessage="1" sqref="D26" xr:uid="{00000000-0002-0000-0900-000001000000}">
      <formula1>Conductivity_List</formula1>
    </dataValidation>
    <dataValidation type="list" allowBlank="1" showInputMessage="1" showErrorMessage="1" sqref="D27" xr:uid="{00000000-0002-0000-0900-000002000000}">
      <formula1>DustDefl_List</formula1>
    </dataValidation>
    <dataValidation type="list" allowBlank="1" showInputMessage="1" showErrorMessage="1" sqref="D25" xr:uid="{00000000-0002-0000-0900-000003000000}">
      <formula1>Flame_List</formula1>
    </dataValidation>
    <dataValidation type="list" allowBlank="1" showInputMessage="1" showErrorMessage="1" sqref="D24" xr:uid="{00000000-0002-0000-0900-000004000000}">
      <formula1>Ignition_List</formula1>
    </dataValidation>
    <dataValidation type="list" allowBlank="1" showInputMessage="1" showErrorMessage="1" sqref="D35:D37" xr:uid="{00000000-0002-0000-0900-000005000000}">
      <formula1>NFPA_List</formula1>
    </dataValidation>
    <dataValidation type="list" allowBlank="1" showInputMessage="1" showErrorMessage="1" sqref="D38" xr:uid="{00000000-0002-0000-0900-000006000000}">
      <formula1>DermalTox_List</formula1>
    </dataValidation>
    <dataValidation type="list" allowBlank="1" showInputMessage="1" showErrorMessage="1" sqref="D39" xr:uid="{00000000-0002-0000-0900-000007000000}">
      <formula1>InhalTox_List</formula1>
    </dataValidation>
    <dataValidation type="list" allowBlank="1" showInputMessage="1" showErrorMessage="1" sqref="H13" xr:uid="{00000000-0002-0000-0900-000008000000}">
      <formula1>"C,F"</formula1>
    </dataValidation>
    <dataValidation type="list" allowBlank="1" showInputMessage="1" showErrorMessage="1" sqref="H15" xr:uid="{00000000-0002-0000-0900-000009000000}">
      <formula1>"gm/ml,gm/liter,Kg/liter,Kg/cu m,lb/cu ft,lb/gal"</formula1>
    </dataValidation>
    <dataValidation type="list" allowBlank="1" showInputMessage="1" showErrorMessage="1" sqref="H17" xr:uid="{00000000-0002-0000-0900-00000A000000}">
      <formula1>"cal/gm,J/gm,BTU/lb"</formula1>
    </dataValidation>
    <dataValidation type="list" allowBlank="1" showInputMessage="1" showErrorMessage="1" sqref="H16" xr:uid="{00000000-0002-0000-0900-00000B000000}">
      <formula1>"cal/gm C,J/gm C,BTU/lb F"</formula1>
    </dataValidation>
    <dataValidation type="list" allowBlank="1" showInputMessage="1" showErrorMessage="1" sqref="H14" xr:uid="{00000000-0002-0000-0900-00000C000000}">
      <formula1>"atm,bar,kPa,psi,mmHg"</formula1>
    </dataValidation>
    <dataValidation type="list" allowBlank="1" showInputMessage="1" showErrorMessage="1" sqref="C4" xr:uid="{00000000-0002-0000-0900-00000D000000}">
      <formula1>Chem_Name</formula1>
    </dataValidation>
    <dataValidation type="list" allowBlank="1" showInputMessage="1" showErrorMessage="1" sqref="D40" xr:uid="{00000000-0002-0000-0900-00000E000000}">
      <formula1>ReactiveCategory_List</formula1>
    </dataValidation>
  </dataValidations>
  <pageMargins left="0.25" right="0" top="0.25" bottom="0.25" header="0.25" footer="0.25"/>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Save_Chemical">
                <anchor moveWithCells="1" sizeWithCells="1">
                  <from>
                    <xdr:col>6</xdr:col>
                    <xdr:colOff>952500</xdr:colOff>
                    <xdr:row>0</xdr:row>
                    <xdr:rowOff>146050</xdr:rowOff>
                  </from>
                  <to>
                    <xdr:col>10</xdr:col>
                    <xdr:colOff>38100</xdr:colOff>
                    <xdr:row>1</xdr:row>
                    <xdr:rowOff>76200</xdr:rowOff>
                  </to>
                </anchor>
              </controlPr>
            </control>
          </mc:Choice>
        </mc:AlternateContent>
        <mc:AlternateContent xmlns:mc="http://schemas.openxmlformats.org/markup-compatibility/2006">
          <mc:Choice Requires="x14">
            <control shapeId="838689" r:id="rId5" name="Button 33">
              <controlPr defaultSize="0" print="0" autoFill="0" autoPict="0" macro="[0]!Clear_New_Chemical">
                <anchor moveWithCells="1" sizeWithCells="1">
                  <from>
                    <xdr:col>2</xdr:col>
                    <xdr:colOff>114300</xdr:colOff>
                    <xdr:row>0</xdr:row>
                    <xdr:rowOff>88900</xdr:rowOff>
                  </from>
                  <to>
                    <xdr:col>3</xdr:col>
                    <xdr:colOff>266700</xdr:colOff>
                    <xdr:row>1</xdr:row>
                    <xdr:rowOff>0</xdr:rowOff>
                  </to>
                </anchor>
              </controlPr>
            </control>
          </mc:Choice>
        </mc:AlternateContent>
        <mc:AlternateContent xmlns:mc="http://schemas.openxmlformats.org/markup-compatibility/2006">
          <mc:Choice Requires="x14">
            <control shapeId="838695" r:id="rId6" name="Button 39">
              <controlPr defaultSize="0" print="0" autoFill="0" autoPict="0" macro="[0]!Go_To_Chemical_Data_from_New_Chemical">
                <anchor moveWithCells="1" sizeWithCells="1">
                  <from>
                    <xdr:col>0</xdr:col>
                    <xdr:colOff>190500</xdr:colOff>
                    <xdr:row>0</xdr:row>
                    <xdr:rowOff>76200</xdr:rowOff>
                  </from>
                  <to>
                    <xdr:col>1</xdr:col>
                    <xdr:colOff>1790700</xdr:colOff>
                    <xdr:row>1</xdr:row>
                    <xdr:rowOff>12700</xdr:rowOff>
                  </to>
                </anchor>
              </controlPr>
            </control>
          </mc:Choice>
        </mc:AlternateContent>
        <mc:AlternateContent xmlns:mc="http://schemas.openxmlformats.org/markup-compatibility/2006">
          <mc:Choice Requires="x14">
            <control shapeId="838702" r:id="rId7" name="Button 46">
              <controlPr defaultSize="0" print="0" autoFill="0" autoPict="0" macro="[0]!Go_To_Chemical_Table">
                <anchor moveWithCells="1" sizeWithCells="1">
                  <from>
                    <xdr:col>6</xdr:col>
                    <xdr:colOff>914400</xdr:colOff>
                    <xdr:row>2</xdr:row>
                    <xdr:rowOff>69850</xdr:rowOff>
                  </from>
                  <to>
                    <xdr:col>10</xdr:col>
                    <xdr:colOff>38100</xdr:colOff>
                    <xdr:row>2</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tabColor rgb="FFFFFF00"/>
    <pageSetUpPr autoPageBreaks="0"/>
  </sheetPr>
  <dimension ref="A1:N31"/>
  <sheetViews>
    <sheetView showGridLines="0" showRowColHeaders="0" zoomScale="90" zoomScaleNormal="90" workbookViewId="0">
      <selection activeCell="C11" sqref="C11"/>
    </sheetView>
  </sheetViews>
  <sheetFormatPr defaultColWidth="9.1796875" defaultRowHeight="12.5" x14ac:dyDescent="0.25"/>
  <cols>
    <col min="1" max="1" width="2.453125" style="337" customWidth="1"/>
    <col min="2" max="2" width="28.453125" style="337" bestFit="1" customWidth="1"/>
    <col min="3" max="4" width="9.1796875" style="337"/>
    <col min="5" max="6" width="3.81640625" style="337" customWidth="1"/>
    <col min="7" max="7" width="26.81640625" style="337" customWidth="1"/>
    <col min="8" max="8" width="10.1796875" style="337" customWidth="1"/>
    <col min="9" max="9" width="10.81640625" style="337" customWidth="1"/>
    <col min="10" max="10" width="3" style="337" customWidth="1"/>
    <col min="11" max="16384" width="9.1796875" style="337"/>
  </cols>
  <sheetData>
    <row r="1" spans="1:14" ht="18" x14ac:dyDescent="0.25">
      <c r="A1" s="1"/>
      <c r="B1" s="1"/>
      <c r="C1" s="1"/>
      <c r="D1" s="1"/>
      <c r="E1" s="528" t="s">
        <v>2460</v>
      </c>
      <c r="F1" s="528"/>
      <c r="G1" s="1"/>
      <c r="H1" s="1"/>
      <c r="I1" s="1"/>
      <c r="J1" s="1"/>
    </row>
    <row r="2" spans="1:14" ht="18" customHeight="1" x14ac:dyDescent="0.25">
      <c r="A2" s="1"/>
      <c r="B2" s="1"/>
      <c r="C2" s="1"/>
      <c r="D2" s="1"/>
      <c r="E2" s="525"/>
      <c r="F2" s="525"/>
      <c r="G2" s="1"/>
      <c r="H2" s="1"/>
      <c r="I2" s="1"/>
      <c r="J2" s="1"/>
    </row>
    <row r="3" spans="1:14" ht="18" customHeight="1" x14ac:dyDescent="0.25">
      <c r="A3" s="1"/>
      <c r="B3" s="1"/>
      <c r="C3" s="1"/>
      <c r="D3" s="1"/>
      <c r="E3" s="525"/>
      <c r="F3" s="525"/>
      <c r="G3" s="1"/>
      <c r="H3" s="1"/>
      <c r="I3" s="1"/>
      <c r="J3" s="1"/>
    </row>
    <row r="4" spans="1:14" ht="12.75" customHeight="1" x14ac:dyDescent="0.25">
      <c r="A4" s="1"/>
      <c r="B4" s="525"/>
      <c r="C4" s="1"/>
      <c r="D4" s="1"/>
      <c r="E4" s="529"/>
      <c r="F4" s="529"/>
      <c r="G4" s="1"/>
      <c r="H4" s="1"/>
      <c r="I4" s="1"/>
      <c r="J4" s="1"/>
    </row>
    <row r="5" spans="1:14" ht="12.75" customHeight="1" x14ac:dyDescent="0.3">
      <c r="A5" s="1"/>
      <c r="B5" s="526" t="s">
        <v>2323</v>
      </c>
      <c r="C5" s="3702" t="str">
        <f>IF(Equipment_Tag&lt;&gt;"",Equipment_Tag,"")</f>
        <v/>
      </c>
      <c r="D5" s="3702"/>
      <c r="E5" s="3703"/>
      <c r="F5" s="525"/>
      <c r="G5" s="3706" t="s">
        <v>1954</v>
      </c>
      <c r="H5" s="3707"/>
      <c r="I5" s="3707"/>
      <c r="J5" s="1"/>
    </row>
    <row r="6" spans="1:14" ht="12.75" customHeight="1" x14ac:dyDescent="0.25">
      <c r="A6" s="1"/>
      <c r="B6" s="526" t="s">
        <v>2328</v>
      </c>
      <c r="C6" s="3704" t="str">
        <f>IF(Equipment&lt;&gt;"",Equipment,"")</f>
        <v/>
      </c>
      <c r="D6" s="3705"/>
      <c r="E6" s="3703"/>
      <c r="F6" s="525"/>
      <c r="G6" s="3708"/>
      <c r="H6" s="3709"/>
      <c r="I6" s="3710"/>
      <c r="J6" s="1"/>
    </row>
    <row r="7" spans="1:14" ht="12.75" customHeight="1" x14ac:dyDescent="0.25">
      <c r="A7" s="1"/>
      <c r="B7" s="526" t="s">
        <v>2331</v>
      </c>
      <c r="C7" s="3714" t="str">
        <f>IF(Location&lt;&gt;"",Location,"Outdoor Assumed")</f>
        <v>Outdoor Assumed</v>
      </c>
      <c r="D7" s="3715"/>
      <c r="E7" s="525"/>
      <c r="F7" s="525"/>
      <c r="G7" s="3711"/>
      <c r="H7" s="3712"/>
      <c r="I7" s="3713"/>
      <c r="J7" s="1"/>
    </row>
    <row r="8" spans="1:14" ht="13.5" thickBot="1" x14ac:dyDescent="0.3">
      <c r="A8" s="1"/>
      <c r="B8" s="1"/>
      <c r="C8" s="1"/>
      <c r="D8" s="1"/>
      <c r="E8" s="1"/>
      <c r="F8" s="1"/>
      <c r="G8" s="1"/>
      <c r="H8" s="1"/>
      <c r="I8" s="1"/>
      <c r="J8" s="1"/>
    </row>
    <row r="9" spans="1:14" ht="13.5" thickBot="1" x14ac:dyDescent="0.3">
      <c r="A9" s="1"/>
      <c r="B9" s="3617" t="s">
        <v>994</v>
      </c>
      <c r="C9" s="3618"/>
      <c r="D9" s="3619"/>
      <c r="E9" s="1"/>
      <c r="F9" s="1"/>
      <c r="G9" s="3716" t="str">
        <f>IF(Chemical="","No Chemical Selected","Summary for "&amp;Chemical)</f>
        <v>No Chemical Selected</v>
      </c>
      <c r="H9" s="3717"/>
      <c r="I9" s="3718"/>
      <c r="J9" s="1"/>
    </row>
    <row r="10" spans="1:14" ht="13" x14ac:dyDescent="0.3">
      <c r="A10" s="1"/>
      <c r="B10" s="524" t="s">
        <v>4706</v>
      </c>
      <c r="C10" s="2554"/>
      <c r="D10" s="2556" t="s">
        <v>1836</v>
      </c>
      <c r="E10" s="1"/>
      <c r="F10" s="1"/>
      <c r="G10" s="531" t="s">
        <v>90</v>
      </c>
      <c r="H10" s="522">
        <f>T_Input</f>
        <v>0</v>
      </c>
      <c r="I10" s="535" t="str">
        <f>T_Units</f>
        <v>C</v>
      </c>
      <c r="J10" s="1"/>
    </row>
    <row r="11" spans="1:14" ht="13.5" thickBot="1" x14ac:dyDescent="0.35">
      <c r="A11" s="1"/>
      <c r="B11" s="533" t="s">
        <v>3383</v>
      </c>
      <c r="C11" s="2552"/>
      <c r="D11" s="2556" t="s">
        <v>2822</v>
      </c>
      <c r="E11" s="1"/>
      <c r="F11" s="1"/>
      <c r="G11" s="533" t="s">
        <v>1518</v>
      </c>
      <c r="H11" s="560">
        <f>P_Input</f>
        <v>0</v>
      </c>
      <c r="I11" s="561" t="str">
        <f>P_Units</f>
        <v>bar</v>
      </c>
      <c r="J11" s="1"/>
    </row>
    <row r="12" spans="1:14" ht="13.5" thickBot="1" x14ac:dyDescent="0.35">
      <c r="A12" s="1"/>
      <c r="B12" s="533" t="s">
        <v>2335</v>
      </c>
      <c r="C12" s="2555"/>
      <c r="D12" s="2556" t="s">
        <v>1068</v>
      </c>
      <c r="E12" s="1"/>
      <c r="F12" s="1"/>
      <c r="G12" s="533" t="s">
        <v>1360</v>
      </c>
      <c r="H12" s="3738" t="str">
        <f>State</f>
        <v>Liquid</v>
      </c>
      <c r="I12" s="3739"/>
      <c r="J12" s="1"/>
    </row>
    <row r="13" spans="1:14" ht="13" x14ac:dyDescent="0.25">
      <c r="A13" s="1"/>
      <c r="B13" s="1224" t="s">
        <v>3679</v>
      </c>
      <c r="C13" s="2555"/>
      <c r="D13" s="200"/>
      <c r="E13" s="1"/>
      <c r="F13" s="1"/>
      <c r="G13" s="533" t="s">
        <v>1530</v>
      </c>
      <c r="H13" s="562" t="str">
        <f>IF(Chemical="","",IF(T_Units="F",1.8*Tsat+32,Tsat))</f>
        <v/>
      </c>
      <c r="I13" s="563" t="str">
        <f>T_Units</f>
        <v>C</v>
      </c>
      <c r="J13" s="1"/>
    </row>
    <row r="14" spans="1:14" ht="13" x14ac:dyDescent="0.25">
      <c r="A14" s="1"/>
      <c r="B14" s="1224" t="s">
        <v>3680</v>
      </c>
      <c r="C14" s="2555"/>
      <c r="D14" s="200"/>
      <c r="E14" s="1"/>
      <c r="F14" s="1"/>
      <c r="G14" s="533" t="s">
        <v>127</v>
      </c>
      <c r="H14" s="532">
        <f>IF(ISERROR(ContainedMass_Output),"",ContainedMass_Output)</f>
        <v>0</v>
      </c>
      <c r="I14" s="1172" t="str">
        <f>Inventory_Units</f>
        <v>kg</v>
      </c>
      <c r="J14" s="1"/>
      <c r="N14" s="1369"/>
    </row>
    <row r="15" spans="1:14" ht="13" x14ac:dyDescent="0.25">
      <c r="A15" s="1"/>
      <c r="B15" s="672" t="s">
        <v>1835</v>
      </c>
      <c r="C15" s="2555"/>
      <c r="D15" s="2556" t="s">
        <v>403</v>
      </c>
      <c r="E15" s="1"/>
      <c r="F15" s="1"/>
      <c r="G15" s="533" t="s">
        <v>829</v>
      </c>
      <c r="H15" s="532">
        <f>IF(ISERROR(Max_ContainedMass_Output),"",Max_ContainedMass_Output)</f>
        <v>0</v>
      </c>
      <c r="I15" s="1172" t="str">
        <f>Inventory_Units</f>
        <v>kg</v>
      </c>
      <c r="J15" s="1"/>
    </row>
    <row r="16" spans="1:14" ht="13.5" thickBot="1" x14ac:dyDescent="0.3">
      <c r="A16" s="1"/>
      <c r="B16" s="672" t="s">
        <v>2556</v>
      </c>
      <c r="C16" s="2555"/>
      <c r="D16" s="2556" t="s">
        <v>5317</v>
      </c>
      <c r="E16" s="1"/>
      <c r="F16" s="1"/>
      <c r="G16" s="534" t="s">
        <v>128</v>
      </c>
      <c r="H16" s="530">
        <f>IF(ISERROR(Estimated_Inventory_Output),"",Estimated_Inventory_Output)</f>
        <v>0</v>
      </c>
      <c r="I16" s="76" t="str">
        <f>Inventory_Units</f>
        <v>kg</v>
      </c>
      <c r="J16" s="1"/>
    </row>
    <row r="17" spans="1:11" ht="13.5" thickBot="1" x14ac:dyDescent="0.3">
      <c r="A17" s="1"/>
      <c r="B17" s="672" t="s">
        <v>3657</v>
      </c>
      <c r="C17" s="2553"/>
      <c r="D17" s="2556" t="s">
        <v>1836</v>
      </c>
      <c r="E17" s="1"/>
      <c r="F17" s="1"/>
      <c r="G17" s="3740" t="str">
        <f>IF(AND(Chemical&lt;&gt;"",Inventory&gt;0),IF(Inventory&lt;Max_ContainedMass,"There is not enough Inventory for Overfill",""),"")</f>
        <v/>
      </c>
      <c r="H17" s="3741"/>
      <c r="I17" s="3742"/>
      <c r="J17" s="1"/>
    </row>
    <row r="18" spans="1:11" ht="13" x14ac:dyDescent="0.25">
      <c r="A18" s="1"/>
      <c r="B18" s="1222" t="s">
        <v>1821</v>
      </c>
      <c r="C18" s="3719"/>
      <c r="D18" s="3720"/>
      <c r="E18" s="1"/>
      <c r="F18" s="1"/>
      <c r="G18" s="1"/>
      <c r="H18" s="1"/>
      <c r="I18" s="1"/>
      <c r="J18" s="1"/>
    </row>
    <row r="19" spans="1:11" ht="13.5" thickBot="1" x14ac:dyDescent="0.3">
      <c r="A19" s="1"/>
      <c r="B19" s="533" t="s">
        <v>2336</v>
      </c>
      <c r="C19" s="2555"/>
      <c r="D19" s="200"/>
      <c r="E19" s="1"/>
      <c r="F19" s="1"/>
      <c r="G19" s="1"/>
      <c r="H19" s="1"/>
      <c r="I19" s="1"/>
      <c r="J19" s="1"/>
    </row>
    <row r="20" spans="1:11" ht="13.5" thickBot="1" x14ac:dyDescent="0.3">
      <c r="A20" s="1"/>
      <c r="B20" s="533" t="s">
        <v>2839</v>
      </c>
      <c r="C20" s="2555"/>
      <c r="D20" s="200"/>
      <c r="E20" s="1"/>
      <c r="F20" s="1"/>
      <c r="G20" s="3620" t="s">
        <v>2338</v>
      </c>
      <c r="H20" s="3734"/>
      <c r="I20" s="3735"/>
      <c r="J20" s="1"/>
    </row>
    <row r="21" spans="1:11" ht="13" x14ac:dyDescent="0.25">
      <c r="A21" s="1"/>
      <c r="B21" s="1222" t="s">
        <v>2543</v>
      </c>
      <c r="C21" s="3729"/>
      <c r="D21" s="3730"/>
      <c r="E21" s="1"/>
      <c r="F21" s="1"/>
      <c r="G21" s="531" t="s">
        <v>146</v>
      </c>
      <c r="H21" s="3733"/>
      <c r="I21" s="3692"/>
      <c r="J21" s="1"/>
    </row>
    <row r="22" spans="1:11" ht="13" x14ac:dyDescent="0.25">
      <c r="A22" s="1"/>
      <c r="B22" s="533" t="s">
        <v>1504</v>
      </c>
      <c r="C22" s="2555"/>
      <c r="D22" s="2556" t="s">
        <v>403</v>
      </c>
      <c r="E22" s="1"/>
      <c r="F22" s="1"/>
      <c r="G22" s="3727" t="s">
        <v>1384</v>
      </c>
      <c r="H22" s="3728"/>
      <c r="I22" s="1557"/>
      <c r="J22" s="1"/>
    </row>
    <row r="23" spans="1:11" ht="13" x14ac:dyDescent="0.25">
      <c r="A23" s="1"/>
      <c r="B23" s="533" t="s">
        <v>1505</v>
      </c>
      <c r="C23" s="2555"/>
      <c r="D23" s="2556" t="s">
        <v>5317</v>
      </c>
      <c r="E23" s="1"/>
      <c r="F23" s="1"/>
      <c r="G23" s="3727" t="s">
        <v>3352</v>
      </c>
      <c r="H23" s="3728"/>
      <c r="I23" s="1559"/>
      <c r="J23" s="1"/>
    </row>
    <row r="24" spans="1:11" ht="13.5" thickBot="1" x14ac:dyDescent="0.3">
      <c r="A24" s="1"/>
      <c r="B24" s="533" t="s">
        <v>806</v>
      </c>
      <c r="C24" s="2555"/>
      <c r="D24" s="2556" t="s">
        <v>403</v>
      </c>
      <c r="E24" s="1"/>
      <c r="F24" s="1"/>
      <c r="G24" s="3747" t="s">
        <v>3323</v>
      </c>
      <c r="H24" s="3748"/>
      <c r="I24" s="1558"/>
      <c r="J24" s="1"/>
    </row>
    <row r="25" spans="1:11" ht="13" x14ac:dyDescent="0.25">
      <c r="A25" s="1"/>
      <c r="B25" s="533" t="s">
        <v>2555</v>
      </c>
      <c r="C25" s="2555"/>
      <c r="D25" s="2556" t="s">
        <v>5317</v>
      </c>
      <c r="E25" s="1"/>
      <c r="F25" s="1"/>
      <c r="G25" s="1"/>
      <c r="H25" s="1"/>
      <c r="I25" s="1"/>
      <c r="J25" s="1"/>
      <c r="K25" s="1560" t="str">
        <f>IF(Occ_Bldg2_Input="","",Occ_Bldg2_Input)</f>
        <v/>
      </c>
    </row>
    <row r="26" spans="1:11" ht="13.5" thickBot="1" x14ac:dyDescent="0.3">
      <c r="A26" s="1"/>
      <c r="B26" s="534" t="s">
        <v>2015</v>
      </c>
      <c r="C26" s="3731"/>
      <c r="D26" s="3732"/>
      <c r="E26" s="1"/>
      <c r="F26" s="1"/>
      <c r="G26" s="3745" t="s">
        <v>3315</v>
      </c>
      <c r="H26" s="1377"/>
      <c r="I26" s="1"/>
      <c r="J26" s="1"/>
    </row>
    <row r="27" spans="1:11" ht="13" x14ac:dyDescent="0.25">
      <c r="A27" s="1"/>
      <c r="B27" s="3721" t="str">
        <f>IF(Overflow_Location="Fired Equip (TOX- Flare)","Potential For Tox or Flare as Protective Layer.  BEWARE!!!  POTENTIAL FOR LIQUID FEED TO TOX OR FLARE",IF(Overflow_Location="Scrubber System","Potential Credit of Vent System as a Layer of Protection if Appropriate - Consider both Capability and Reliability",""))</f>
        <v/>
      </c>
      <c r="C27" s="3722"/>
      <c r="D27" s="3723"/>
      <c r="E27" s="1"/>
      <c r="F27" s="1"/>
      <c r="G27" s="3746"/>
      <c r="H27" s="3743" t="s">
        <v>3016</v>
      </c>
      <c r="I27" s="3744"/>
      <c r="J27" s="1"/>
    </row>
    <row r="28" spans="1:11" ht="13.5" thickBot="1" x14ac:dyDescent="0.3">
      <c r="A28" s="1"/>
      <c r="B28" s="3724"/>
      <c r="C28" s="3725"/>
      <c r="D28" s="3726"/>
      <c r="E28" s="1"/>
      <c r="F28" s="1366"/>
      <c r="G28" s="1568"/>
      <c r="H28" s="3736"/>
      <c r="I28" s="3737"/>
      <c r="J28" s="1"/>
    </row>
    <row r="29" spans="1:11" ht="13" x14ac:dyDescent="0.25">
      <c r="A29" s="1"/>
      <c r="B29" s="1571" t="str">
        <f>IF(AND(Max_Feed_P&gt;0,MAWP&gt;0,Max_Feed_P&gt;MAWP),"Maximum Feed Pressure Entered Exceeds MAWP of Equipment","")</f>
        <v/>
      </c>
      <c r="C29" s="1530"/>
      <c r="D29" s="1530"/>
      <c r="E29" s="1"/>
      <c r="F29" s="1366"/>
      <c r="G29" s="1"/>
      <c r="H29" s="1377"/>
      <c r="I29" s="1378" t="str">
        <f>IF(AND(Rupture_10min="Yes",OR(Psat&gt;0.5,DHR&lt;-50,MAWP&gt;1.1)),"Time-based Rupture Model may not be appropriate for Highly Volatile or Reactive Materials, or High Pressure Equipment","")</f>
        <v/>
      </c>
      <c r="J29" s="1"/>
    </row>
    <row r="30" spans="1:11" ht="13" x14ac:dyDescent="0.25">
      <c r="A30" s="1"/>
      <c r="B30" s="1367" t="s">
        <v>3212</v>
      </c>
      <c r="C30" s="1372"/>
      <c r="D30" s="1373"/>
      <c r="E30" s="1368" t="s">
        <v>1760</v>
      </c>
      <c r="F30" s="1366"/>
      <c r="G30" s="1"/>
      <c r="H30" s="1"/>
      <c r="I30" s="1"/>
      <c r="J30" s="1"/>
    </row>
    <row r="31" spans="1:11" ht="13" x14ac:dyDescent="0.25">
      <c r="A31" s="1"/>
      <c r="B31" s="1530"/>
      <c r="C31" s="1530"/>
      <c r="D31" s="1530"/>
      <c r="E31" s="1"/>
      <c r="F31" s="1366"/>
      <c r="G31" s="1"/>
      <c r="H31" s="1"/>
      <c r="I31" s="1"/>
      <c r="J31" s="1"/>
    </row>
  </sheetData>
  <sheetProtection sheet="1" objects="1" scenarios="1"/>
  <mergeCells count="21">
    <mergeCell ref="H12:I12"/>
    <mergeCell ref="G17:I17"/>
    <mergeCell ref="H27:I27"/>
    <mergeCell ref="G26:G27"/>
    <mergeCell ref="G23:H23"/>
    <mergeCell ref="G24:H24"/>
    <mergeCell ref="C18:D18"/>
    <mergeCell ref="B27:D28"/>
    <mergeCell ref="G22:H22"/>
    <mergeCell ref="C21:D21"/>
    <mergeCell ref="C26:D26"/>
    <mergeCell ref="H21:I21"/>
    <mergeCell ref="G20:I20"/>
    <mergeCell ref="H28:I28"/>
    <mergeCell ref="C5:E5"/>
    <mergeCell ref="C6:E6"/>
    <mergeCell ref="G5:I5"/>
    <mergeCell ref="G6:I7"/>
    <mergeCell ref="B9:D9"/>
    <mergeCell ref="C7:D7"/>
    <mergeCell ref="G9:I9"/>
  </mergeCells>
  <conditionalFormatting sqref="C16">
    <cfRule type="expression" dxfId="602" priority="37">
      <formula>IF($C$16="",TRUE,FALSE)</formula>
    </cfRule>
  </conditionalFormatting>
  <conditionalFormatting sqref="C12">
    <cfRule type="expression" dxfId="601" priority="36">
      <formula>IF(AND($C$12="",P&lt;0.5,State="Liquid"),TRUE,FALSE)</formula>
    </cfRule>
  </conditionalFormatting>
  <conditionalFormatting sqref="C19">
    <cfRule type="expression" dxfId="600" priority="34">
      <formula>IF(AND(OR(Flash_Pt_Feed&lt;T+FlashPt_Difference_Limit,Flash_Pt_Feed&lt;=Flammable_FP_Limit),State&lt;&gt;"Vapor",$C$19=""),TRUE,FALSE)</formula>
    </cfRule>
  </conditionalFormatting>
  <conditionalFormatting sqref="D11">
    <cfRule type="expression" dxfId="599" priority="20">
      <formula>IF(AND($C$11&lt;&gt;"",$D$11=""),TRUE,FALSE)</formula>
    </cfRule>
    <cfRule type="expression" dxfId="598" priority="33">
      <formula>IF($D$11="",TRUE,FALSE)</formula>
    </cfRule>
  </conditionalFormatting>
  <conditionalFormatting sqref="D12">
    <cfRule type="expression" dxfId="597" priority="32">
      <formula>IF($D$12="",TRUE,FALSE)</formula>
    </cfRule>
  </conditionalFormatting>
  <conditionalFormatting sqref="D15">
    <cfRule type="expression" dxfId="596" priority="19">
      <formula>IF(AND($C$15&lt;&gt;"",$D$15=""),TRUE,FALSE)</formula>
    </cfRule>
    <cfRule type="expression" dxfId="595" priority="31">
      <formula>IF($D$15="",TRUE,FALSE)</formula>
    </cfRule>
  </conditionalFormatting>
  <conditionalFormatting sqref="D16">
    <cfRule type="expression" dxfId="594" priority="30">
      <formula>IF($D$16="",TRUE,FALSE)</formula>
    </cfRule>
  </conditionalFormatting>
  <conditionalFormatting sqref="D22">
    <cfRule type="expression" dxfId="593" priority="18">
      <formula>IF(AND($C$22&lt;"",$D$22=""),TRUE,FALSE)</formula>
    </cfRule>
    <cfRule type="expression" dxfId="592" priority="29">
      <formula>IF($D$22="",TRUE,FALSE)</formula>
    </cfRule>
  </conditionalFormatting>
  <conditionalFormatting sqref="D23">
    <cfRule type="expression" dxfId="591" priority="17">
      <formula>IF(AND($C$23&lt;&gt;"",$D$23=""),TRUE,FALSE)</formula>
    </cfRule>
    <cfRule type="expression" dxfId="590" priority="28">
      <formula>IF($D$23="",TRUE,FALSE)</formula>
    </cfRule>
  </conditionalFormatting>
  <conditionalFormatting sqref="D24">
    <cfRule type="expression" dxfId="589" priority="16">
      <formula>IF(AND($C$24&lt;&gt;"",$D$24=""),TRUE,FALSE)</formula>
    </cfRule>
    <cfRule type="expression" dxfId="588" priority="27">
      <formula>IF($D$24="",TRUE,FALSE)</formula>
    </cfRule>
  </conditionalFormatting>
  <conditionalFormatting sqref="D25">
    <cfRule type="expression" dxfId="587" priority="15">
      <formula>IF(AND($C$25&lt;&gt;"",$D$25=""),TRUE,FALSE)</formula>
    </cfRule>
    <cfRule type="expression" dxfId="586" priority="26">
      <formula>IF($D$25="",TRUE,FALSE)</formula>
    </cfRule>
  </conditionalFormatting>
  <conditionalFormatting sqref="C11">
    <cfRule type="expression" dxfId="585" priority="25">
      <formula>IF($C$11="",TRUE,FALSE)</formula>
    </cfRule>
  </conditionalFormatting>
  <conditionalFormatting sqref="D30">
    <cfRule type="expression" dxfId="584" priority="24">
      <formula>IF(AND($C$30="Yes",$D$30=""),TRUE,FALSE)</formula>
    </cfRule>
  </conditionalFormatting>
  <conditionalFormatting sqref="I23">
    <cfRule type="expression" dxfId="583" priority="23">
      <formula>IF($I$23="",TRUE,FALSE)</formula>
    </cfRule>
  </conditionalFormatting>
  <conditionalFormatting sqref="I24">
    <cfRule type="expression" dxfId="582" priority="22">
      <formula>IF(AND($K$25&lt;&gt;"",$I$24=""),TRUE,FALSE)</formula>
    </cfRule>
  </conditionalFormatting>
  <conditionalFormatting sqref="C22">
    <cfRule type="expression" dxfId="581" priority="6">
      <formula>IF(State="Vapor",TRUE,FALSE)</formula>
    </cfRule>
    <cfRule type="expression" dxfId="580" priority="21">
      <formula>IF(AND(State&lt;&gt;"Vapor",$C$22=""),TRUE,FALSE)</formula>
    </cfRule>
  </conditionalFormatting>
  <conditionalFormatting sqref="C15">
    <cfRule type="expression" dxfId="579" priority="14">
      <formula>IF($C$15="",TRUE,FALSE)</formula>
    </cfRule>
  </conditionalFormatting>
  <conditionalFormatting sqref="D17">
    <cfRule type="expression" dxfId="578" priority="8">
      <formula>IF(AND($C$17&lt;&gt;"",$D$17=""),TRUE,FALSE)</formula>
    </cfRule>
    <cfRule type="expression" dxfId="577" priority="9">
      <formula>IF($D$17="",TRUE,FALSE)</formula>
    </cfRule>
  </conditionalFormatting>
  <conditionalFormatting sqref="C21:D21">
    <cfRule type="expression" dxfId="576" priority="7">
      <formula>IF(State="Vapor",TRUE,FALSE)</formula>
    </cfRule>
  </conditionalFormatting>
  <conditionalFormatting sqref="C23">
    <cfRule type="expression" dxfId="575" priority="5">
      <formula>IF(State="Vapor",TRUE,FALSE)</formula>
    </cfRule>
  </conditionalFormatting>
  <conditionalFormatting sqref="D10">
    <cfRule type="expression" dxfId="574" priority="1">
      <formula>IF(AND($C$10&lt;&gt;"",$D$10=""),TRUE,FALSE)</formula>
    </cfRule>
    <cfRule type="expression" dxfId="573" priority="2">
      <formula>IF($D$10="",TRUE,FALSE)</formula>
    </cfRule>
  </conditionalFormatting>
  <dataValidations count="15">
    <dataValidation type="list" allowBlank="1" showInputMessage="1" showErrorMessage="1" sqref="C19:C20 I22:I24" xr:uid="{00000000-0002-0000-0A00-000000000000}">
      <formula1>YN_List</formula1>
    </dataValidation>
    <dataValidation type="decimal" operator="greaterThanOrEqual" allowBlank="1" showInputMessage="1" showErrorMessage="1" sqref="C22:C25 C12 C10 C15:C17" xr:uid="{00000000-0002-0000-0A00-000001000000}">
      <formula1>0</formula1>
    </dataValidation>
    <dataValidation type="list" allowBlank="1" showInputMessage="1" showErrorMessage="1" sqref="C26" xr:uid="{00000000-0002-0000-0A00-000002000000}">
      <formula1>Vent_List</formula1>
    </dataValidation>
    <dataValidation type="list" allowBlank="1" showInputMessage="1" showErrorMessage="1" sqref="D23 D25 D16" xr:uid="{00000000-0002-0000-0A00-000003000000}">
      <formula1>Rate_List</formula1>
    </dataValidation>
    <dataValidation type="list" allowBlank="1" showInputMessage="1" showErrorMessage="1" sqref="D22 D24 D15" xr:uid="{00000000-0002-0000-0A00-000004000000}">
      <formula1>Press_List</formula1>
    </dataValidation>
    <dataValidation type="list" allowBlank="1" showInputMessage="1" showErrorMessage="1" sqref="H21" xr:uid="{00000000-0002-0000-0A00-000005000000}">
      <formula1>OpTime_List</formula1>
    </dataValidation>
    <dataValidation type="list" allowBlank="1" showInputMessage="1" showErrorMessage="1" sqref="D11" xr:uid="{00000000-0002-0000-0A00-000006000000}">
      <formula1>Inventory_List</formula1>
    </dataValidation>
    <dataValidation type="decimal" allowBlank="1" showInputMessage="1" showErrorMessage="1" sqref="C13:C14" xr:uid="{00000000-0002-0000-0A00-000007000000}">
      <formula1>0.01</formula1>
      <formula2>0.99</formula2>
    </dataValidation>
    <dataValidation type="list" allowBlank="1" showInputMessage="1" showErrorMessage="1" sqref="C18" xr:uid="{00000000-0002-0000-0A00-000008000000}">
      <formula1>"Batch,Continuous"</formula1>
    </dataValidation>
    <dataValidation type="list" allowBlank="1" showInputMessage="1" showErrorMessage="1" sqref="D12" xr:uid="{00000000-0002-0000-0A00-000009000000}">
      <formula1>Dist_List</formula1>
    </dataValidation>
    <dataValidation type="list" allowBlank="1" showInputMessage="1" showErrorMessage="1" sqref="C21:D21" xr:uid="{00000000-0002-0000-0A00-00000A000000}">
      <formula1>Chem_Name</formula1>
    </dataValidation>
    <dataValidation type="list" allowBlank="1" showInputMessage="1" showErrorMessage="1" sqref="C30" xr:uid="{00000000-0002-0000-0A00-00000B000000}">
      <formula1>"Yes,No"</formula1>
    </dataValidation>
    <dataValidation type="whole" allowBlank="1" showInputMessage="1" showErrorMessage="1" sqref="D30" xr:uid="{00000000-0002-0000-0A00-00000C000000}">
      <formula1>1</formula1>
      <formula2>600</formula2>
    </dataValidation>
    <dataValidation type="decimal" operator="greaterThan" allowBlank="1" showInputMessage="1" showErrorMessage="1" error="Enter a value greater than 0." sqref="C11" xr:uid="{00000000-0002-0000-0A00-00000D000000}">
      <formula1>0</formula1>
    </dataValidation>
    <dataValidation type="list" allowBlank="1" showInputMessage="1" showErrorMessage="1" sqref="D17 D10" xr:uid="{00000000-0002-0000-0A00-00000E000000}">
      <formula1>T_List</formula1>
    </dataValidation>
  </dataValidations>
  <pageMargins left="1" right="0.7" top="1" bottom="0.5" header="0.25" footer="0.25"/>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8178" r:id="rId4" name="Button 18">
              <controlPr defaultSize="0" print="0" autoFill="0" autoPict="0" macro="[0]!Clear_Input_Data">
                <anchor moveWithCells="1" sizeWithCells="1">
                  <from>
                    <xdr:col>6</xdr:col>
                    <xdr:colOff>495300</xdr:colOff>
                    <xdr:row>1</xdr:row>
                    <xdr:rowOff>127000</xdr:rowOff>
                  </from>
                  <to>
                    <xdr:col>6</xdr:col>
                    <xdr:colOff>1289050</xdr:colOff>
                    <xdr:row>2</xdr:row>
                    <xdr:rowOff>88900</xdr:rowOff>
                  </to>
                </anchor>
              </controlPr>
            </control>
          </mc:Choice>
        </mc:AlternateContent>
        <mc:AlternateContent xmlns:mc="http://schemas.openxmlformats.org/markup-compatibility/2006">
          <mc:Choice Requires="x14">
            <control shapeId="988179" r:id="rId5" name="Button 19">
              <controlPr defaultSize="0" print="0" autoFill="0" autoPict="0" macro="[0]!Save_Equipment">
                <anchor moveWithCells="1" sizeWithCells="1">
                  <from>
                    <xdr:col>1</xdr:col>
                    <xdr:colOff>1803400</xdr:colOff>
                    <xdr:row>1</xdr:row>
                    <xdr:rowOff>127000</xdr:rowOff>
                  </from>
                  <to>
                    <xdr:col>6</xdr:col>
                    <xdr:colOff>0</xdr:colOff>
                    <xdr:row>2</xdr:row>
                    <xdr:rowOff>146050</xdr:rowOff>
                  </to>
                </anchor>
              </controlPr>
            </control>
          </mc:Choice>
        </mc:AlternateContent>
        <mc:AlternateContent xmlns:mc="http://schemas.openxmlformats.org/markup-compatibility/2006">
          <mc:Choice Requires="x14">
            <control shapeId="988181" r:id="rId6" name="Button 21">
              <controlPr defaultSize="0" print="0" autoFill="0" autoPict="0" macro="[0]!Go_To_Chemical_Data">
                <anchor moveWithCells="1" sizeWithCells="1">
                  <from>
                    <xdr:col>0</xdr:col>
                    <xdr:colOff>114300</xdr:colOff>
                    <xdr:row>1</xdr:row>
                    <xdr:rowOff>76200</xdr:rowOff>
                  </from>
                  <to>
                    <xdr:col>1</xdr:col>
                    <xdr:colOff>1295400</xdr:colOff>
                    <xdr:row>2</xdr:row>
                    <xdr:rowOff>69850</xdr:rowOff>
                  </to>
                </anchor>
              </controlPr>
            </control>
          </mc:Choice>
        </mc:AlternateContent>
        <mc:AlternateContent xmlns:mc="http://schemas.openxmlformats.org/markup-compatibility/2006">
          <mc:Choice Requires="x14">
            <control shapeId="988200" r:id="rId7" name="Button 40">
              <controlPr defaultSize="0" print="0" autoFill="0" autoPict="0" macro="[0]!Go_To_Plant_Layout">
                <anchor moveWithCells="1" sizeWithCells="1">
                  <from>
                    <xdr:col>7</xdr:col>
                    <xdr:colOff>222250</xdr:colOff>
                    <xdr:row>0</xdr:row>
                    <xdr:rowOff>76200</xdr:rowOff>
                  </from>
                  <to>
                    <xdr:col>9</xdr:col>
                    <xdr:colOff>114300</xdr:colOff>
                    <xdr:row>1</xdr:row>
                    <xdr:rowOff>76200</xdr:rowOff>
                  </to>
                </anchor>
              </controlPr>
            </control>
          </mc:Choice>
        </mc:AlternateContent>
        <mc:AlternateContent xmlns:mc="http://schemas.openxmlformats.org/markup-compatibility/2006">
          <mc:Choice Requires="x14">
            <control shapeId="988205" r:id="rId8" name="Button 45">
              <controlPr defaultSize="0" print="0" autoFill="0" autoPict="0" macro="[0]!Go_To_Main_Menu">
                <anchor moveWithCells="1" sizeWithCells="1">
                  <from>
                    <xdr:col>0</xdr:col>
                    <xdr:colOff>114300</xdr:colOff>
                    <xdr:row>0</xdr:row>
                    <xdr:rowOff>38100</xdr:rowOff>
                  </from>
                  <to>
                    <xdr:col>1</xdr:col>
                    <xdr:colOff>1422400</xdr:colOff>
                    <xdr:row>1</xdr:row>
                    <xdr:rowOff>31750</xdr:rowOff>
                  </to>
                </anchor>
              </controlPr>
            </control>
          </mc:Choice>
        </mc:AlternateContent>
        <mc:AlternateContent xmlns:mc="http://schemas.openxmlformats.org/markup-compatibility/2006">
          <mc:Choice Requires="x14">
            <control shapeId="988208" r:id="rId9" name="Button 48">
              <controlPr defaultSize="0" print="0" autoFill="0" autoPict="0" macro="[0]!Go_To_Input_Data">
                <anchor moveWithCells="1" sizeWithCells="1">
                  <from>
                    <xdr:col>0</xdr:col>
                    <xdr:colOff>114300</xdr:colOff>
                    <xdr:row>2</xdr:row>
                    <xdr:rowOff>127000</xdr:rowOff>
                  </from>
                  <to>
                    <xdr:col>1</xdr:col>
                    <xdr:colOff>1384300</xdr:colOff>
                    <xdr:row>3</xdr:row>
                    <xdr:rowOff>88900</xdr:rowOff>
                  </to>
                </anchor>
              </controlPr>
            </control>
          </mc:Choice>
        </mc:AlternateContent>
        <mc:AlternateContent xmlns:mc="http://schemas.openxmlformats.org/markup-compatibility/2006">
          <mc:Choice Requires="x14">
            <control shapeId="988209" r:id="rId10" name="Button 49">
              <controlPr defaultSize="0" print="0" autoFill="0" autoPict="0" macro="[0]!Go_To_Reaction_Input">
                <anchor moveWithCells="1" sizeWithCells="1">
                  <from>
                    <xdr:col>7</xdr:col>
                    <xdr:colOff>228600</xdr:colOff>
                    <xdr:row>1</xdr:row>
                    <xdr:rowOff>146050</xdr:rowOff>
                  </from>
                  <to>
                    <xdr:col>9</xdr:col>
                    <xdr:colOff>114300</xdr:colOff>
                    <xdr:row>2</xdr:row>
                    <xdr:rowOff>127000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5">
    <tabColor rgb="FFFFFF00"/>
    <pageSetUpPr autoPageBreaks="0"/>
  </sheetPr>
  <dimension ref="A1:K33"/>
  <sheetViews>
    <sheetView showGridLines="0" showRowColHeaders="0" zoomScale="90" zoomScaleNormal="90" workbookViewId="0">
      <selection activeCell="C10" sqref="C10"/>
    </sheetView>
  </sheetViews>
  <sheetFormatPr defaultColWidth="9.1796875" defaultRowHeight="12.5" x14ac:dyDescent="0.25"/>
  <cols>
    <col min="1" max="1" width="2.1796875" style="337" customWidth="1"/>
    <col min="2" max="2" width="33.81640625" style="337" customWidth="1"/>
    <col min="3" max="4" width="9.1796875" style="337"/>
    <col min="5" max="6" width="3.1796875" style="337" customWidth="1"/>
    <col min="7" max="7" width="33.453125" style="337" customWidth="1"/>
    <col min="8" max="8" width="11.1796875" style="337" customWidth="1"/>
    <col min="9" max="9" width="11" style="337" customWidth="1"/>
    <col min="10" max="10" width="4" style="337" customWidth="1"/>
    <col min="11" max="16384" width="9.1796875" style="337"/>
  </cols>
  <sheetData>
    <row r="1" spans="1:11" ht="18" x14ac:dyDescent="0.25">
      <c r="A1" s="1"/>
      <c r="B1" s="1"/>
      <c r="C1" s="1"/>
      <c r="D1" s="1"/>
      <c r="E1" s="528" t="s">
        <v>2312</v>
      </c>
      <c r="F1" s="528"/>
      <c r="G1" s="1"/>
      <c r="H1" s="1"/>
      <c r="I1" s="1"/>
      <c r="J1" s="1"/>
    </row>
    <row r="2" spans="1:11" ht="18" x14ac:dyDescent="0.25">
      <c r="A2" s="1"/>
      <c r="B2" s="1"/>
      <c r="C2" s="1"/>
      <c r="D2" s="1"/>
      <c r="E2" s="528"/>
      <c r="F2" s="528"/>
      <c r="G2" s="1"/>
      <c r="H2" s="1"/>
      <c r="I2" s="1"/>
      <c r="J2" s="1"/>
    </row>
    <row r="3" spans="1:11" ht="15.5" x14ac:dyDescent="0.25">
      <c r="A3" s="1"/>
      <c r="B3" s="148"/>
      <c r="C3" s="1"/>
      <c r="D3" s="1"/>
      <c r="E3" s="525"/>
      <c r="F3" s="525"/>
      <c r="G3" s="1"/>
      <c r="H3" s="1"/>
      <c r="I3" s="1"/>
      <c r="J3" s="1"/>
    </row>
    <row r="4" spans="1:11" ht="13" x14ac:dyDescent="0.25">
      <c r="A4" s="1"/>
      <c r="B4" s="1"/>
      <c r="C4" s="1"/>
      <c r="D4" s="1"/>
      <c r="E4" s="529"/>
      <c r="F4" s="529"/>
      <c r="G4" s="1"/>
      <c r="H4" s="1"/>
      <c r="I4" s="1"/>
      <c r="J4" s="1"/>
    </row>
    <row r="5" spans="1:11" ht="12.75" customHeight="1" x14ac:dyDescent="0.3">
      <c r="A5" s="1"/>
      <c r="B5" s="526" t="s">
        <v>2323</v>
      </c>
      <c r="C5" s="3762" t="str">
        <f>IF(Equipment_Tag&lt;&gt;"",Equipment_Tag,"")</f>
        <v/>
      </c>
      <c r="D5" s="3763"/>
      <c r="E5" s="3764"/>
      <c r="F5" s="525"/>
      <c r="G5" s="3706" t="s">
        <v>2954</v>
      </c>
      <c r="H5" s="3707"/>
      <c r="I5" s="3707"/>
      <c r="J5" s="1"/>
    </row>
    <row r="6" spans="1:11" ht="13.5" customHeight="1" x14ac:dyDescent="0.25">
      <c r="A6" s="1"/>
      <c r="B6" s="526" t="s">
        <v>2328</v>
      </c>
      <c r="C6" s="3765" t="str">
        <f>IF(Equipment&lt;&gt;"",Equipment,"")</f>
        <v/>
      </c>
      <c r="D6" s="3763"/>
      <c r="E6" s="3764"/>
      <c r="F6" s="525"/>
      <c r="G6" s="3708"/>
      <c r="H6" s="3709"/>
      <c r="I6" s="3710"/>
      <c r="J6" s="1"/>
    </row>
    <row r="7" spans="1:11" ht="13.5" customHeight="1" x14ac:dyDescent="0.25">
      <c r="A7" s="1"/>
      <c r="B7" s="526" t="s">
        <v>2331</v>
      </c>
      <c r="C7" s="3765" t="str">
        <f>IF(Location&lt;&gt;"",Location,"Outdoor Assumed")</f>
        <v>Outdoor Assumed</v>
      </c>
      <c r="D7" s="3766"/>
      <c r="E7" s="525"/>
      <c r="F7" s="525"/>
      <c r="G7" s="3711"/>
      <c r="H7" s="3712"/>
      <c r="I7" s="3713"/>
      <c r="J7" s="1"/>
    </row>
    <row r="8" spans="1:11" ht="13.5" thickBot="1" x14ac:dyDescent="0.3">
      <c r="A8" s="1"/>
      <c r="B8" s="3639" t="str">
        <f>IF(OR(Equipment_Tag="",Equipment=""),"Enter Equipment Identification, and Equipment Type, on Study Menu Worksheet","")</f>
        <v>Enter Equipment Identification, and Equipment Type, on Study Menu Worksheet</v>
      </c>
      <c r="C8" s="3639"/>
      <c r="D8" s="3639"/>
      <c r="E8" s="3639"/>
      <c r="F8" s="3639"/>
      <c r="G8" s="3639"/>
      <c r="H8" s="3639"/>
      <c r="I8" s="3639"/>
      <c r="J8" s="1"/>
    </row>
    <row r="9" spans="1:11" ht="13.5" thickBot="1" x14ac:dyDescent="0.3">
      <c r="A9" s="1"/>
      <c r="B9" s="3754" t="s">
        <v>2339</v>
      </c>
      <c r="C9" s="3755"/>
      <c r="D9" s="3756"/>
      <c r="E9" s="1"/>
      <c r="F9" s="1"/>
      <c r="G9" s="3754" t="s">
        <v>2314</v>
      </c>
      <c r="H9" s="3755"/>
      <c r="I9" s="3756"/>
      <c r="J9" s="1"/>
      <c r="K9" s="400"/>
    </row>
    <row r="10" spans="1:11" ht="13.5" thickBot="1" x14ac:dyDescent="0.3">
      <c r="A10" s="1"/>
      <c r="B10" s="531" t="s">
        <v>2330</v>
      </c>
      <c r="C10" s="1533"/>
      <c r="D10" s="545" t="s">
        <v>1068</v>
      </c>
      <c r="E10" s="1"/>
      <c r="F10" s="1"/>
      <c r="G10" s="531" t="s">
        <v>3322</v>
      </c>
      <c r="H10" s="3760"/>
      <c r="I10" s="3761"/>
      <c r="J10" s="1"/>
      <c r="K10" s="400"/>
    </row>
    <row r="11" spans="1:11" ht="13" x14ac:dyDescent="0.25">
      <c r="A11" s="1"/>
      <c r="B11" s="531" t="str">
        <f>"Furthest Distance to Fence Line ( &gt; "&amp;Public&amp;" m ) = "</f>
        <v xml:space="preserve">Furthest Distance to Fence Line ( &gt; 0 m ) = </v>
      </c>
      <c r="C11" s="544"/>
      <c r="D11" s="545" t="s">
        <v>1068</v>
      </c>
      <c r="E11" s="1"/>
      <c r="F11" s="1"/>
      <c r="G11" s="533" t="s">
        <v>3318</v>
      </c>
      <c r="H11" s="557"/>
      <c r="I11" s="538" t="s">
        <v>1068</v>
      </c>
      <c r="J11" s="1"/>
      <c r="K11" s="400"/>
    </row>
    <row r="12" spans="1:11" ht="15" x14ac:dyDescent="0.25">
      <c r="A12" s="1"/>
      <c r="B12" s="590" t="s">
        <v>2794</v>
      </c>
      <c r="C12" s="1687"/>
      <c r="D12" s="540" t="s">
        <v>2420</v>
      </c>
      <c r="E12" s="1"/>
      <c r="F12" s="1"/>
      <c r="G12" s="533" t="s">
        <v>3319</v>
      </c>
      <c r="H12" s="557"/>
      <c r="I12" s="538" t="s">
        <v>1068</v>
      </c>
      <c r="J12" s="1"/>
      <c r="K12" s="400"/>
    </row>
    <row r="13" spans="1:11" ht="13.5" thickBot="1" x14ac:dyDescent="0.3">
      <c r="A13" s="1"/>
      <c r="B13" s="590" t="s">
        <v>1818</v>
      </c>
      <c r="C13" s="1686"/>
      <c r="D13" s="537"/>
      <c r="E13" s="1"/>
      <c r="F13" s="529"/>
      <c r="G13" s="672" t="s">
        <v>3320</v>
      </c>
      <c r="H13" s="670"/>
      <c r="I13" s="538" t="s">
        <v>1068</v>
      </c>
      <c r="J13" s="669"/>
      <c r="K13" s="400"/>
    </row>
    <row r="14" spans="1:11" ht="13" x14ac:dyDescent="0.25">
      <c r="A14" s="1"/>
      <c r="B14" s="672" t="s">
        <v>4206</v>
      </c>
      <c r="C14" s="1686"/>
      <c r="D14" s="545" t="s">
        <v>1068</v>
      </c>
      <c r="E14" s="1"/>
      <c r="F14" s="1"/>
      <c r="G14" s="533" t="s">
        <v>1827</v>
      </c>
      <c r="H14" s="3140"/>
      <c r="I14" s="536"/>
      <c r="J14" s="1"/>
      <c r="K14" s="400"/>
    </row>
    <row r="15" spans="1:11" ht="15" x14ac:dyDescent="0.25">
      <c r="A15" s="1"/>
      <c r="B15" s="672" t="s">
        <v>4207</v>
      </c>
      <c r="C15" s="1687"/>
      <c r="D15" s="540" t="s">
        <v>2420</v>
      </c>
      <c r="E15" s="1"/>
      <c r="F15" s="1"/>
      <c r="G15" s="539" t="s">
        <v>609</v>
      </c>
      <c r="H15" s="557"/>
      <c r="I15" s="536" t="s">
        <v>1139</v>
      </c>
      <c r="J15" s="1"/>
      <c r="K15" s="400"/>
    </row>
    <row r="16" spans="1:11" ht="15" x14ac:dyDescent="0.25">
      <c r="A16" s="1"/>
      <c r="B16" s="672" t="s">
        <v>3660</v>
      </c>
      <c r="C16" s="2037"/>
      <c r="D16" s="540" t="s">
        <v>2420</v>
      </c>
      <c r="E16" s="1"/>
      <c r="F16" s="1"/>
      <c r="G16" s="533" t="s">
        <v>479</v>
      </c>
      <c r="H16" s="559"/>
      <c r="I16" s="536"/>
      <c r="J16" s="1"/>
      <c r="K16" s="400"/>
    </row>
    <row r="17" spans="1:11" ht="13.5" thickBot="1" x14ac:dyDescent="0.3">
      <c r="A17" s="1"/>
      <c r="B17" s="533" t="s">
        <v>2318</v>
      </c>
      <c r="C17" s="1687"/>
      <c r="D17" s="536"/>
      <c r="E17" s="529"/>
      <c r="F17" s="1"/>
      <c r="G17" s="1223" t="s">
        <v>3325</v>
      </c>
      <c r="H17" s="558"/>
      <c r="I17" s="536"/>
      <c r="J17" s="1"/>
      <c r="K17" s="400"/>
    </row>
    <row r="18" spans="1:11" ht="13.5" thickBot="1" x14ac:dyDescent="0.3">
      <c r="A18" s="1"/>
      <c r="B18" s="1667" t="s">
        <v>2040</v>
      </c>
      <c r="C18" s="1534"/>
      <c r="D18" s="547"/>
      <c r="E18" s="1"/>
      <c r="F18" s="1"/>
      <c r="G18" s="1223" t="s">
        <v>3321</v>
      </c>
      <c r="H18" s="3757"/>
      <c r="I18" s="3758"/>
      <c r="J18" s="1"/>
      <c r="K18" s="400"/>
    </row>
    <row r="19" spans="1:11" ht="13" x14ac:dyDescent="0.25">
      <c r="A19" s="1"/>
      <c r="B19" s="531" t="s">
        <v>2666</v>
      </c>
      <c r="C19" s="544"/>
      <c r="D19" s="566"/>
      <c r="E19" s="1"/>
      <c r="F19" s="1"/>
      <c r="G19" s="1223" t="s">
        <v>662</v>
      </c>
      <c r="H19" s="556"/>
      <c r="I19" s="538" t="s">
        <v>1068</v>
      </c>
      <c r="J19" s="1"/>
      <c r="K19" s="400"/>
    </row>
    <row r="20" spans="1:11" ht="13" x14ac:dyDescent="0.25">
      <c r="A20" s="1"/>
      <c r="B20" s="533" t="s">
        <v>2860</v>
      </c>
      <c r="C20" s="1535"/>
      <c r="D20" s="538" t="s">
        <v>1160</v>
      </c>
      <c r="E20" s="1"/>
      <c r="F20" s="1"/>
      <c r="G20" s="1223" t="s">
        <v>3504</v>
      </c>
      <c r="H20" s="690"/>
      <c r="I20" s="538" t="s">
        <v>1068</v>
      </c>
      <c r="J20" s="1"/>
      <c r="K20" s="400"/>
    </row>
    <row r="21" spans="1:11" ht="13" x14ac:dyDescent="0.25">
      <c r="A21" s="1"/>
      <c r="B21" s="998" t="s">
        <v>2784</v>
      </c>
      <c r="C21" s="1531"/>
      <c r="D21" s="536"/>
      <c r="E21" s="1"/>
      <c r="F21" s="1"/>
      <c r="G21" s="1224" t="s">
        <v>2467</v>
      </c>
      <c r="H21" s="690"/>
      <c r="I21" s="538" t="s">
        <v>1068</v>
      </c>
      <c r="J21" s="1"/>
      <c r="K21" s="400"/>
    </row>
    <row r="22" spans="1:11" ht="13" x14ac:dyDescent="0.25">
      <c r="A22" s="1"/>
      <c r="B22" s="539" t="s">
        <v>3053</v>
      </c>
      <c r="C22" s="1531"/>
      <c r="D22" s="537"/>
      <c r="E22" s="1"/>
      <c r="F22" s="1"/>
      <c r="G22" s="1223" t="s">
        <v>896</v>
      </c>
      <c r="H22" s="3140"/>
      <c r="I22" s="540"/>
      <c r="J22" s="1"/>
      <c r="K22" s="400"/>
    </row>
    <row r="23" spans="1:11" ht="13" x14ac:dyDescent="0.25">
      <c r="A23" s="1"/>
      <c r="B23" s="533" t="s">
        <v>2329</v>
      </c>
      <c r="C23" s="3759"/>
      <c r="D23" s="3679"/>
      <c r="E23" s="1"/>
      <c r="F23" s="1"/>
      <c r="G23" s="1223" t="s">
        <v>3324</v>
      </c>
      <c r="H23" s="690"/>
      <c r="I23" s="536" t="s">
        <v>1139</v>
      </c>
      <c r="J23" s="1"/>
      <c r="K23" s="400"/>
    </row>
    <row r="24" spans="1:11" ht="13.5" thickBot="1" x14ac:dyDescent="0.3">
      <c r="A24" s="1"/>
      <c r="B24" s="539" t="s">
        <v>2853</v>
      </c>
      <c r="C24" s="1532"/>
      <c r="D24" s="538" t="s">
        <v>2822</v>
      </c>
      <c r="E24" s="1"/>
      <c r="F24" s="1"/>
      <c r="G24" s="1223" t="s">
        <v>1426</v>
      </c>
      <c r="H24" s="3166"/>
      <c r="I24" s="540"/>
      <c r="J24" s="1"/>
      <c r="K24" s="400"/>
    </row>
    <row r="25" spans="1:11" ht="13" x14ac:dyDescent="0.25">
      <c r="A25" s="1"/>
      <c r="B25" s="539" t="s">
        <v>2863</v>
      </c>
      <c r="C25" s="1532"/>
      <c r="D25" s="538" t="s">
        <v>2822</v>
      </c>
      <c r="E25" s="1"/>
      <c r="F25" s="1"/>
      <c r="G25" s="3164" t="s">
        <v>5204</v>
      </c>
      <c r="H25" s="3168"/>
      <c r="I25" s="3165"/>
      <c r="J25" s="1"/>
      <c r="K25" s="400"/>
    </row>
    <row r="26" spans="1:11" ht="13.5" thickBot="1" x14ac:dyDescent="0.3">
      <c r="A26" s="1"/>
      <c r="B26" s="998" t="s">
        <v>2866</v>
      </c>
      <c r="C26" s="1535"/>
      <c r="D26" s="538" t="s">
        <v>1160</v>
      </c>
      <c r="E26" s="1"/>
      <c r="F26" s="1"/>
      <c r="G26" s="1225" t="s">
        <v>5203</v>
      </c>
      <c r="H26" s="3167"/>
      <c r="I26" s="541"/>
      <c r="J26" s="1"/>
      <c r="K26" s="400"/>
    </row>
    <row r="27" spans="1:11" ht="13.5" thickBot="1" x14ac:dyDescent="0.35">
      <c r="A27" s="1"/>
      <c r="B27" s="1668" t="s">
        <v>2852</v>
      </c>
      <c r="C27" s="1536"/>
      <c r="D27" s="567"/>
      <c r="E27" s="1"/>
      <c r="F27" s="1"/>
      <c r="G27" s="1"/>
      <c r="H27" s="1"/>
      <c r="I27" s="1"/>
      <c r="J27" s="1"/>
      <c r="K27" s="400"/>
    </row>
    <row r="28" spans="1:11" ht="13.5" thickBot="1" x14ac:dyDescent="0.3">
      <c r="A28" s="1"/>
      <c r="B28" s="1"/>
      <c r="C28" s="1"/>
      <c r="D28" s="1"/>
      <c r="E28" s="1"/>
      <c r="F28" s="1"/>
      <c r="G28" s="3625" t="s">
        <v>2315</v>
      </c>
      <c r="H28" s="3673"/>
      <c r="I28" s="3660"/>
      <c r="J28" s="1"/>
      <c r="K28" s="400"/>
    </row>
    <row r="29" spans="1:11" ht="13.5" thickBot="1" x14ac:dyDescent="0.3">
      <c r="A29" s="1"/>
      <c r="B29" s="3625" t="s">
        <v>2313</v>
      </c>
      <c r="C29" s="3752"/>
      <c r="D29" s="3753"/>
      <c r="E29" s="1"/>
      <c r="F29" s="1"/>
      <c r="G29" s="531" t="s">
        <v>284</v>
      </c>
      <c r="H29" s="544"/>
      <c r="I29" s="548"/>
      <c r="J29" s="1"/>
    </row>
    <row r="30" spans="1:11" ht="13" x14ac:dyDescent="0.25">
      <c r="A30" s="1"/>
      <c r="B30" s="531" t="s">
        <v>688</v>
      </c>
      <c r="C30" s="544"/>
      <c r="D30" s="545" t="s">
        <v>1161</v>
      </c>
      <c r="E30" s="1"/>
      <c r="F30" s="1"/>
      <c r="G30" s="533" t="s">
        <v>1969</v>
      </c>
      <c r="H30" s="542"/>
      <c r="I30" s="537"/>
      <c r="J30" s="1"/>
    </row>
    <row r="31" spans="1:11" ht="13.5" thickBot="1" x14ac:dyDescent="0.3">
      <c r="A31" s="1"/>
      <c r="B31" s="533" t="s">
        <v>1766</v>
      </c>
      <c r="C31" s="543"/>
      <c r="D31" s="536" t="s">
        <v>1139</v>
      </c>
      <c r="E31" s="1"/>
      <c r="F31" s="1"/>
      <c r="G31" s="533" t="s">
        <v>3197</v>
      </c>
      <c r="H31" s="542"/>
      <c r="I31" s="537"/>
      <c r="J31" s="1"/>
    </row>
    <row r="32" spans="1:11" ht="13.5" thickBot="1" x14ac:dyDescent="0.3">
      <c r="A32" s="1"/>
      <c r="B32" s="534" t="s">
        <v>480</v>
      </c>
      <c r="C32" s="546"/>
      <c r="D32" s="547"/>
      <c r="E32" s="1"/>
      <c r="F32" s="1"/>
      <c r="G32" s="3749" t="str">
        <f>IF(AND(OR(Soil_Remediation="",Soil_Remediation="No"),OR(Waterway="",Waterway="No")),"Note that Environmental Scenarios are Excluded","")</f>
        <v>Note that Environmental Scenarios are Excluded</v>
      </c>
      <c r="H32" s="3750"/>
      <c r="I32" s="3751"/>
      <c r="J32" s="1"/>
    </row>
    <row r="33" spans="1:10" ht="13" x14ac:dyDescent="0.25">
      <c r="A33" s="1"/>
      <c r="B33" s="1"/>
      <c r="C33" s="1"/>
      <c r="D33" s="1"/>
      <c r="E33" s="1"/>
      <c r="F33" s="1"/>
      <c r="G33" s="1"/>
      <c r="H33" s="1"/>
      <c r="I33" s="1"/>
      <c r="J33" s="1"/>
    </row>
  </sheetData>
  <sheetProtection sheet="1" objects="1" scenarios="1"/>
  <mergeCells count="14">
    <mergeCell ref="B8:I8"/>
    <mergeCell ref="C5:E5"/>
    <mergeCell ref="C6:E6"/>
    <mergeCell ref="C7:D7"/>
    <mergeCell ref="G5:I5"/>
    <mergeCell ref="G6:I7"/>
    <mergeCell ref="G32:I32"/>
    <mergeCell ref="B29:D29"/>
    <mergeCell ref="G9:I9"/>
    <mergeCell ref="B9:D9"/>
    <mergeCell ref="G28:I28"/>
    <mergeCell ref="H18:I18"/>
    <mergeCell ref="C23:D23"/>
    <mergeCell ref="H10:I10"/>
  </mergeCells>
  <conditionalFormatting sqref="B20:B22">
    <cfRule type="expression" dxfId="572" priority="97" stopIfTrue="1">
      <formula>IF(OR(State&lt;&gt;"Liquid",AND(Equipgroup_A&lt;&gt;"Yes",#REF!&lt;&gt;"Piping",#REF!&lt;&gt;"Pump")),TRUE,FALSE)</formula>
    </cfRule>
  </conditionalFormatting>
  <conditionalFormatting sqref="C10">
    <cfRule type="expression" dxfId="571" priority="61">
      <formula>IF($C$10="",TRUE,FALSE)</formula>
    </cfRule>
  </conditionalFormatting>
  <conditionalFormatting sqref="H11">
    <cfRule type="expression" dxfId="570" priority="60">
      <formula>IF($H$11="",TRUE,FALSE)</formula>
    </cfRule>
  </conditionalFormatting>
  <conditionalFormatting sqref="H16">
    <cfRule type="expression" dxfId="569" priority="59">
      <formula>IF($H$16="",TRUE,FALSE)</formula>
    </cfRule>
  </conditionalFormatting>
  <conditionalFormatting sqref="C20">
    <cfRule type="expression" dxfId="568" priority="53">
      <formula>IF(AND(State="Liquid",$C$20=""),TRUE,FALSE)</formula>
    </cfRule>
  </conditionalFormatting>
  <conditionalFormatting sqref="H14">
    <cfRule type="expression" dxfId="567" priority="52">
      <formula>IF(AND(OR(Flash_Pt_Feed&lt;T+5,Flash_Pt_Feed&lt;=60),$H$14=""),TRUE,FALSE)</formula>
    </cfRule>
  </conditionalFormatting>
  <conditionalFormatting sqref="H12">
    <cfRule type="expression" dxfId="566" priority="51">
      <formula>IF(AND(ER3_Mix&lt;=1000,$H$12=""),TRUE,FALSE)</formula>
    </cfRule>
  </conditionalFormatting>
  <conditionalFormatting sqref="C13">
    <cfRule type="expression" dxfId="565" priority="50">
      <formula>IF($C$13="",TRUE,FALSE)</formula>
    </cfRule>
  </conditionalFormatting>
  <conditionalFormatting sqref="C30">
    <cfRule type="expression" dxfId="564" priority="49">
      <formula>IF(AND(OR(Location="Indoors",Relief_Release="Indoors"),$C$30=""),TRUE,FALSE)</formula>
    </cfRule>
  </conditionalFormatting>
  <conditionalFormatting sqref="C32">
    <cfRule type="expression" dxfId="563" priority="48">
      <formula>IF(AND(OR(Location="Indoors",Relief_Release="Indoors"),$C$32=""),TRUE,FALSE)</formula>
    </cfRule>
  </conditionalFormatting>
  <conditionalFormatting sqref="C24">
    <cfRule type="expression" dxfId="562" priority="47">
      <formula>IF($C$24="",TRUE,FALSE)</formula>
    </cfRule>
  </conditionalFormatting>
  <conditionalFormatting sqref="B26">
    <cfRule type="expression" dxfId="561" priority="46" stopIfTrue="1">
      <formula>IF(OR(State&lt;&gt;"Liquid",AND(Equipgroup_A&lt;&gt;"Yes",#REF!&lt;&gt;"Piping",#REF!&lt;&gt;"Pump")),TRUE,FALSE)</formula>
    </cfRule>
  </conditionalFormatting>
  <conditionalFormatting sqref="D10">
    <cfRule type="expression" dxfId="560" priority="44">
      <formula>IF($D$10="",TRUE,FALSE)</formula>
    </cfRule>
  </conditionalFormatting>
  <conditionalFormatting sqref="D20">
    <cfRule type="expression" dxfId="559" priority="18">
      <formula>IF(AND($C$20&lt;&gt;"",$D$20=""),TRUE,FALSE)</formula>
    </cfRule>
    <cfRule type="expression" dxfId="558" priority="43">
      <formula>IF($D$20="",TRUE,FALSE)</formula>
    </cfRule>
  </conditionalFormatting>
  <conditionalFormatting sqref="D24">
    <cfRule type="expression" dxfId="557" priority="17">
      <formula>IF(AND($C$24&lt;&gt;"",$D$24=""),TRUE,FALSE)</formula>
    </cfRule>
    <cfRule type="expression" dxfId="556" priority="41">
      <formula>IF($D$24="",TRUE,FALSE)</formula>
    </cfRule>
  </conditionalFormatting>
  <conditionalFormatting sqref="D25">
    <cfRule type="expression" dxfId="555" priority="16">
      <formula>IF(AND($C$25&lt;&gt;"",$D$25=""),TRUE,FALSE)</formula>
    </cfRule>
    <cfRule type="expression" dxfId="554" priority="40">
      <formula>IF($D$25="",TRUE,FALSE)</formula>
    </cfRule>
  </conditionalFormatting>
  <conditionalFormatting sqref="D26">
    <cfRule type="expression" dxfId="553" priority="15">
      <formula>IF(AND($C$26&lt;&gt;"",$D$26=""),TRUE,FALSE)</formula>
    </cfRule>
    <cfRule type="expression" dxfId="552" priority="39">
      <formula>IF($D$26="",TRUE,FALSE)</formula>
    </cfRule>
  </conditionalFormatting>
  <conditionalFormatting sqref="D30">
    <cfRule type="expression" dxfId="551" priority="14">
      <formula>IF(AND($C$30&lt;&gt;"",$D$30=""),TRUE,FALSE)</formula>
    </cfRule>
    <cfRule type="expression" dxfId="550" priority="38">
      <formula>IF($D$30="",TRUE,FALSE)</formula>
    </cfRule>
  </conditionalFormatting>
  <conditionalFormatting sqref="I11">
    <cfRule type="expression" dxfId="549" priority="37">
      <formula>IF($I$11="",TRUE,FALSE)</formula>
    </cfRule>
  </conditionalFormatting>
  <conditionalFormatting sqref="I12">
    <cfRule type="expression" dxfId="548" priority="13">
      <formula>IF(AND($H$12&lt;&gt;"",$I$12=""),TRUE,FALSE)</formula>
    </cfRule>
    <cfRule type="expression" dxfId="547" priority="36">
      <formula>IF($I$12="",TRUE,FALSE)</formula>
    </cfRule>
  </conditionalFormatting>
  <conditionalFormatting sqref="I13">
    <cfRule type="expression" dxfId="546" priority="35">
      <formula>IF(AND($H$13&lt;&gt;"",$I$13=""),TRUE,FALSE)</formula>
    </cfRule>
  </conditionalFormatting>
  <conditionalFormatting sqref="I19">
    <cfRule type="expression" dxfId="545" priority="12">
      <formula>IF(AND($H$19&lt;&gt;"",$I$19=""),TRUE,FALSE)</formula>
    </cfRule>
    <cfRule type="expression" dxfId="544" priority="34">
      <formula>IF($I$19="",TRUE,FALSE)</formula>
    </cfRule>
  </conditionalFormatting>
  <conditionalFormatting sqref="I20">
    <cfRule type="expression" dxfId="543" priority="33">
      <formula>IF(AND($H$20&lt;&gt;"",$I$20=""),TRUE,FALSE)</formula>
    </cfRule>
  </conditionalFormatting>
  <conditionalFormatting sqref="I21">
    <cfRule type="expression" dxfId="542" priority="32">
      <formula>IF(AND($H$21&lt;&gt;"",$I$21=""),TRUE,FALSE)</formula>
    </cfRule>
  </conditionalFormatting>
  <conditionalFormatting sqref="H24">
    <cfRule type="expression" dxfId="541" priority="24">
      <formula>IF(AND($H$19&lt;&gt;"",$H$24=""),TRUE,FALSE)</formula>
    </cfRule>
  </conditionalFormatting>
  <conditionalFormatting sqref="B30:B32">
    <cfRule type="expression" dxfId="540" priority="52973" stopIfTrue="1">
      <formula>IF($C$18="Outdoors",TRUE,FALSE)</formula>
    </cfRule>
  </conditionalFormatting>
  <conditionalFormatting sqref="H21">
    <cfRule type="expression" dxfId="539" priority="21">
      <formula>IF(AND(Occ_Bldg2_Cntr&gt;0,Occ_Bldg2_Cntr&lt;Occ_Bldg2),TRUE,FALSE)</formula>
    </cfRule>
  </conditionalFormatting>
  <conditionalFormatting sqref="H13">
    <cfRule type="expression" dxfId="538" priority="20">
      <formula>IF(AND(Occ_Bldg_Cntr&gt;0,Occ_Bldg_Cntr&lt;Occ_Bldg),TRUE,FALSE)</formula>
    </cfRule>
  </conditionalFormatting>
  <conditionalFormatting sqref="D11">
    <cfRule type="expression" dxfId="537" priority="9">
      <formula>IF($D$11="",TRUE,FALSE)</formula>
    </cfRule>
  </conditionalFormatting>
  <conditionalFormatting sqref="D14">
    <cfRule type="expression" dxfId="536" priority="8">
      <formula>IF($D$14="",TRUE,FALSE)</formula>
    </cfRule>
  </conditionalFormatting>
  <conditionalFormatting sqref="H17">
    <cfRule type="expression" dxfId="535" priority="7">
      <formula>IF(AND($H$19&lt;&gt;"",$H$17=""),TRUE,FALSE)</formula>
    </cfRule>
  </conditionalFormatting>
  <conditionalFormatting sqref="C14">
    <cfRule type="expression" dxfId="534" priority="6">
      <formula>IF(AND(Use_ChemTable="No",$C14=""),TRUE,FALSE)</formula>
    </cfRule>
  </conditionalFormatting>
  <conditionalFormatting sqref="C16">
    <cfRule type="expression" dxfId="533" priority="4">
      <formula>IF(AND(Use_ChemTable="No",$C16=""),TRUE,FALSE)</formula>
    </cfRule>
  </conditionalFormatting>
  <conditionalFormatting sqref="C12">
    <cfRule type="expression" dxfId="532" priority="3">
      <formula>IF($C$12="",TRUE,FALSE)</formula>
    </cfRule>
  </conditionalFormatting>
  <conditionalFormatting sqref="C15">
    <cfRule type="expression" dxfId="531" priority="2">
      <formula>IF($C$15="",TRUE,FALSE)</formula>
    </cfRule>
  </conditionalFormatting>
  <conditionalFormatting sqref="H26">
    <cfRule type="expression" dxfId="530" priority="1">
      <formula>IF(AND(OR(Flash_Pt_Feed&lt;T+5,Flash_Pt_Feed&lt;=60),$H$14=""),TRUE,FALSE)</formula>
    </cfRule>
  </conditionalFormatting>
  <dataValidations count="14">
    <dataValidation type="list" allowBlank="1" showInputMessage="1" showErrorMessage="1" sqref="H29:H31 H17 C27 C17 C21 C13" xr:uid="{00000000-0002-0000-0B00-000000000000}">
      <formula1>YN_List</formula1>
    </dataValidation>
    <dataValidation type="whole" operator="greaterThanOrEqual" allowBlank="1" showInputMessage="1" showErrorMessage="1" sqref="H16 H24" xr:uid="{00000000-0002-0000-0B00-000001000000}">
      <formula1>0</formula1>
    </dataValidation>
    <dataValidation type="decimal" operator="greaterThanOrEqual" allowBlank="1" showInputMessage="1" showErrorMessage="1" sqref="C30 C24:C26 H23 H15 C20 C14 C10 H11:H12 H20" xr:uid="{00000000-0002-0000-0B00-000002000000}">
      <formula1>0</formula1>
    </dataValidation>
    <dataValidation type="list" allowBlank="1" showInputMessage="1" showErrorMessage="1" sqref="I19:I21 I11:I13 D10:D11 D14" xr:uid="{00000000-0002-0000-0B00-000003000000}">
      <formula1>Dist_List</formula1>
    </dataValidation>
    <dataValidation type="list" allowBlank="1" showInputMessage="1" showErrorMessage="1" sqref="H22 H14 H26" xr:uid="{00000000-0002-0000-0B00-000004000000}">
      <formula1>BldgType_List</formula1>
    </dataValidation>
    <dataValidation type="list" allowBlank="1" showInputMessage="1" showErrorMessage="1" sqref="D24:D25" xr:uid="{00000000-0002-0000-0B00-000005000000}">
      <formula1>Mass_List</formula1>
    </dataValidation>
    <dataValidation type="list" allowBlank="1" showInputMessage="1" showErrorMessage="1" sqref="D30" xr:uid="{00000000-0002-0000-0B00-000006000000}">
      <formula1>Vol_List</formula1>
    </dataValidation>
    <dataValidation type="list" allowBlank="1" showInputMessage="1" showErrorMessage="1" sqref="C23" xr:uid="{00000000-0002-0000-0B00-000007000000}">
      <formula1>FiredEq_List</formula1>
    </dataValidation>
    <dataValidation type="list" allowBlank="1" showInputMessage="1" showErrorMessage="1" sqref="D26 D20" xr:uid="{00000000-0002-0000-0B00-000008000000}">
      <formula1>Area_List</formula1>
    </dataValidation>
    <dataValidation type="list" allowBlank="1" showInputMessage="1" showErrorMessage="1" sqref="C18" xr:uid="{00000000-0002-0000-0B00-000009000000}">
      <formula1>Access_List</formula1>
    </dataValidation>
    <dataValidation type="list" allowBlank="1" showInputMessage="1" showErrorMessage="1" sqref="C19" xr:uid="{00000000-0002-0000-0B00-00000A000000}">
      <formula1>Congestion_List</formula1>
    </dataValidation>
    <dataValidation type="list" allowBlank="1" showInputMessage="1" showErrorMessage="1" sqref="C22" xr:uid="{00000000-0002-0000-0B00-00000B000000}">
      <formula1>Drainage_List</formula1>
    </dataValidation>
    <dataValidation type="decimal" operator="greaterThan" allowBlank="1" showInputMessage="1" showErrorMessage="1" sqref="H13 H19 H21" xr:uid="{00000000-0002-0000-0B00-00000C000000}">
      <formula1>0</formula1>
    </dataValidation>
    <dataValidation type="decimal" allowBlank="1" showInputMessage="1" showErrorMessage="1" sqref="C16" xr:uid="{00000000-0002-0000-0B00-00000D000000}">
      <formula1>0</formula1>
      <formula2>0.01</formula2>
    </dataValidation>
  </dataValidations>
  <pageMargins left="1" right="0.5" top="1" bottom="0.5" header="0.25"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9216" r:id="rId4" name="Button 32">
              <controlPr defaultSize="0" print="0" autoFill="0" autoPict="0" macro="[0]!Clear_Input_Data">
                <anchor moveWithCells="1" sizeWithCells="1">
                  <from>
                    <xdr:col>6</xdr:col>
                    <xdr:colOff>260350</xdr:colOff>
                    <xdr:row>1</xdr:row>
                    <xdr:rowOff>146050</xdr:rowOff>
                  </from>
                  <to>
                    <xdr:col>6</xdr:col>
                    <xdr:colOff>990600</xdr:colOff>
                    <xdr:row>2</xdr:row>
                    <xdr:rowOff>127000</xdr:rowOff>
                  </to>
                </anchor>
              </controlPr>
            </control>
          </mc:Choice>
        </mc:AlternateContent>
        <mc:AlternateContent xmlns:mc="http://schemas.openxmlformats.org/markup-compatibility/2006">
          <mc:Choice Requires="x14">
            <control shapeId="989217" r:id="rId5" name="Button 33">
              <controlPr defaultSize="0" print="0" autoFill="0" autoPict="0" macro="[0]!Save_Equipment">
                <anchor moveWithCells="1" sizeWithCells="1">
                  <from>
                    <xdr:col>1</xdr:col>
                    <xdr:colOff>1917700</xdr:colOff>
                    <xdr:row>1</xdr:row>
                    <xdr:rowOff>152400</xdr:rowOff>
                  </from>
                  <to>
                    <xdr:col>5</xdr:col>
                    <xdr:colOff>88900</xdr:colOff>
                    <xdr:row>2</xdr:row>
                    <xdr:rowOff>184150</xdr:rowOff>
                  </to>
                </anchor>
              </controlPr>
            </control>
          </mc:Choice>
        </mc:AlternateContent>
        <mc:AlternateContent xmlns:mc="http://schemas.openxmlformats.org/markup-compatibility/2006">
          <mc:Choice Requires="x14">
            <control shapeId="989224" r:id="rId6" name="Button 40">
              <controlPr defaultSize="0" print="0" autoFill="0" autoPict="0" macro="[0]!Go_To_Process_Conditions">
                <anchor moveWithCells="1" sizeWithCells="1">
                  <from>
                    <xdr:col>6</xdr:col>
                    <xdr:colOff>1943100</xdr:colOff>
                    <xdr:row>1</xdr:row>
                    <xdr:rowOff>107950</xdr:rowOff>
                  </from>
                  <to>
                    <xdr:col>8</xdr:col>
                    <xdr:colOff>736600</xdr:colOff>
                    <xdr:row>2</xdr:row>
                    <xdr:rowOff>107950</xdr:rowOff>
                  </to>
                </anchor>
              </controlPr>
            </control>
          </mc:Choice>
        </mc:AlternateContent>
        <mc:AlternateContent xmlns:mc="http://schemas.openxmlformats.org/markup-compatibility/2006">
          <mc:Choice Requires="x14">
            <control shapeId="989230" r:id="rId7" name="Button 46">
              <controlPr defaultSize="0" print="0" autoFill="0" autoPict="0" macro="[0]!Go_To_Reaction_Input">
                <anchor moveWithCells="1" sizeWithCells="1">
                  <from>
                    <xdr:col>7</xdr:col>
                    <xdr:colOff>165100</xdr:colOff>
                    <xdr:row>0</xdr:row>
                    <xdr:rowOff>50800</xdr:rowOff>
                  </from>
                  <to>
                    <xdr:col>8</xdr:col>
                    <xdr:colOff>736600</xdr:colOff>
                    <xdr:row>1</xdr:row>
                    <xdr:rowOff>38100</xdr:rowOff>
                  </to>
                </anchor>
              </controlPr>
            </control>
          </mc:Choice>
        </mc:AlternateContent>
        <mc:AlternateContent xmlns:mc="http://schemas.openxmlformats.org/markup-compatibility/2006">
          <mc:Choice Requires="x14">
            <control shapeId="989256" r:id="rId8" name="Button 72">
              <controlPr defaultSize="0" print="0" autoFill="0" autoPict="0" macro="[0]!Go_To_Main_Menu">
                <anchor moveWithCells="1" sizeWithCells="1">
                  <from>
                    <xdr:col>0</xdr:col>
                    <xdr:colOff>76200</xdr:colOff>
                    <xdr:row>0</xdr:row>
                    <xdr:rowOff>50800</xdr:rowOff>
                  </from>
                  <to>
                    <xdr:col>1</xdr:col>
                    <xdr:colOff>1346200</xdr:colOff>
                    <xdr:row>1</xdr:row>
                    <xdr:rowOff>69850</xdr:rowOff>
                  </to>
                </anchor>
              </controlPr>
            </control>
          </mc:Choice>
        </mc:AlternateContent>
        <mc:AlternateContent xmlns:mc="http://schemas.openxmlformats.org/markup-compatibility/2006">
          <mc:Choice Requires="x14">
            <control shapeId="989258" r:id="rId9" name="Button 74">
              <controlPr defaultSize="0" print="0" autoFill="0" autoPict="0" macro="[0]!Go_To_Input_Data">
                <anchor moveWithCells="1" sizeWithCells="1">
                  <from>
                    <xdr:col>0</xdr:col>
                    <xdr:colOff>107950</xdr:colOff>
                    <xdr:row>2</xdr:row>
                    <xdr:rowOff>184150</xdr:rowOff>
                  </from>
                  <to>
                    <xdr:col>1</xdr:col>
                    <xdr:colOff>1327150</xdr:colOff>
                    <xdr:row>4</xdr:row>
                    <xdr:rowOff>31750</xdr:rowOff>
                  </to>
                </anchor>
              </controlPr>
            </control>
          </mc:Choice>
        </mc:AlternateContent>
        <mc:AlternateContent xmlns:mc="http://schemas.openxmlformats.org/markup-compatibility/2006">
          <mc:Choice Requires="x14">
            <control shapeId="989259" r:id="rId10" name="Button 75">
              <controlPr defaultSize="0" print="0" autoFill="0" autoPict="0" macro="[0]!Go_To_Chemical_Data">
                <anchor moveWithCells="1" sizeWithCells="1">
                  <from>
                    <xdr:col>0</xdr:col>
                    <xdr:colOff>107950</xdr:colOff>
                    <xdr:row>1</xdr:row>
                    <xdr:rowOff>107950</xdr:rowOff>
                  </from>
                  <to>
                    <xdr:col>1</xdr:col>
                    <xdr:colOff>1257300</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decimal" operator="greaterThanOrEqual" allowBlank="1" showInputMessage="1" showErrorMessage="1" xr:uid="{00000000-0002-0000-0B00-00000E000000}">
          <x14:formula1>
            <xm:f>C10*'Unit Conversion'!E8/'Unit Conversion'!E9</xm:f>
          </x14:formula1>
          <xm:sqref>C11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FFFF00"/>
    <pageSetUpPr autoPageBreaks="0"/>
  </sheetPr>
  <dimension ref="A1:CR169"/>
  <sheetViews>
    <sheetView showGridLines="0" showRowColHeaders="0" showZeros="0" zoomScale="90" zoomScaleNormal="90" workbookViewId="0">
      <selection activeCell="D12" sqref="D12:E12"/>
    </sheetView>
  </sheetViews>
  <sheetFormatPr defaultColWidth="9.1796875" defaultRowHeight="13" x14ac:dyDescent="0.25"/>
  <cols>
    <col min="1" max="1" width="1.81640625" style="26" customWidth="1"/>
    <col min="2" max="2" width="18.453125" style="26" customWidth="1"/>
    <col min="3" max="3" width="11.453125" style="26" customWidth="1"/>
    <col min="4" max="4" width="12.81640625" style="26" customWidth="1"/>
    <col min="5" max="5" width="13.81640625" style="26" customWidth="1"/>
    <col min="6" max="6" width="2.1796875" style="26" customWidth="1"/>
    <col min="7" max="7" width="20.1796875" style="26" customWidth="1"/>
    <col min="8" max="8" width="9.1796875" style="26"/>
    <col min="9" max="9" width="3.453125" style="26" bestFit="1" customWidth="1"/>
    <col min="10" max="10" width="19.81640625" style="26" customWidth="1"/>
    <col min="11" max="11" width="9.1796875" style="26" customWidth="1"/>
    <col min="12" max="12" width="11.1796875" style="26" customWidth="1"/>
    <col min="13" max="13" width="2.1796875" style="26" customWidth="1"/>
    <col min="14" max="14" width="10.453125" style="714" customWidth="1"/>
    <col min="15" max="15" width="10.81640625" style="714" customWidth="1"/>
    <col min="16" max="16" width="4" style="714" customWidth="1"/>
    <col min="17" max="18" width="11.81640625" style="1357" customWidth="1"/>
    <col min="19" max="41" width="11.81640625" style="714" customWidth="1"/>
    <col min="42" max="42" width="11.81640625" style="1357" customWidth="1"/>
    <col min="43" max="67" width="11.81640625" style="714" customWidth="1"/>
    <col min="68" max="70" width="9.1796875" style="714" customWidth="1"/>
    <col min="71" max="71" width="10.1796875" style="714" customWidth="1"/>
    <col min="72" max="74" width="9.1796875" style="714" customWidth="1"/>
    <col min="75" max="75" width="9.1796875" style="707"/>
    <col min="76" max="76" width="9.1796875" style="714"/>
    <col min="77" max="82" width="9.1796875" style="707"/>
    <col min="83" max="16384" width="9.1796875" style="26"/>
  </cols>
  <sheetData>
    <row r="1" spans="1:96" s="30" customFormat="1" ht="18" x14ac:dyDescent="0.25">
      <c r="A1" s="122"/>
      <c r="B1" s="122"/>
      <c r="C1" s="122"/>
      <c r="D1" s="122"/>
      <c r="E1" s="122"/>
      <c r="F1" s="345"/>
      <c r="G1" s="551" t="s">
        <v>2334</v>
      </c>
      <c r="H1" s="122"/>
      <c r="I1" s="122"/>
      <c r="J1" s="122"/>
      <c r="K1" s="122"/>
      <c r="L1" s="122"/>
      <c r="M1" s="122"/>
      <c r="N1" s="707"/>
      <c r="O1" s="707"/>
      <c r="P1" s="707"/>
      <c r="Q1" s="708"/>
      <c r="R1" s="708"/>
      <c r="S1" s="707"/>
      <c r="T1" s="707"/>
      <c r="U1" s="707"/>
      <c r="V1" s="707"/>
      <c r="W1" s="707"/>
      <c r="X1" s="707"/>
      <c r="Y1" s="707"/>
      <c r="Z1" s="707"/>
      <c r="AA1" s="707"/>
      <c r="AB1" s="707"/>
      <c r="AC1" s="707"/>
      <c r="AD1" s="707"/>
      <c r="AE1" s="707"/>
      <c r="AF1" s="707"/>
      <c r="AG1" s="707"/>
      <c r="AH1" s="707"/>
      <c r="AI1" s="707"/>
      <c r="AJ1" s="707"/>
      <c r="AK1" s="707"/>
      <c r="AL1" s="707"/>
      <c r="AM1" s="707"/>
      <c r="AN1" s="707"/>
      <c r="AO1" s="707"/>
      <c r="AP1" s="708"/>
      <c r="AQ1" s="707"/>
      <c r="AR1" s="707"/>
      <c r="AS1" s="707"/>
      <c r="AT1" s="707"/>
      <c r="AU1" s="707"/>
      <c r="AV1" s="707"/>
      <c r="AW1" s="707"/>
      <c r="AX1" s="707"/>
      <c r="AY1" s="707"/>
      <c r="AZ1" s="707"/>
      <c r="BA1" s="707"/>
      <c r="BB1" s="707"/>
      <c r="BC1" s="707"/>
      <c r="BD1" s="707"/>
      <c r="BE1" s="707"/>
      <c r="BF1" s="707"/>
      <c r="BG1" s="707"/>
      <c r="BH1" s="707"/>
      <c r="BI1" s="707"/>
      <c r="BJ1" s="707"/>
      <c r="BK1" s="707"/>
      <c r="BL1" s="707"/>
      <c r="BM1" s="707"/>
      <c r="BN1" s="707"/>
      <c r="BO1" s="707"/>
      <c r="BP1" s="707"/>
      <c r="BQ1" s="707"/>
      <c r="BR1" s="707"/>
      <c r="BS1" s="707"/>
      <c r="BT1" s="707"/>
      <c r="BU1" s="707"/>
      <c r="BV1" s="707"/>
      <c r="BW1" s="707"/>
      <c r="BX1" s="707"/>
      <c r="BY1" s="707"/>
      <c r="BZ1" s="707"/>
      <c r="CA1" s="707"/>
      <c r="CB1" s="707"/>
      <c r="CC1" s="887"/>
      <c r="CD1" s="887"/>
      <c r="CE1" s="887"/>
      <c r="CF1" s="887"/>
    </row>
    <row r="2" spans="1:96" s="30" customFormat="1" ht="18" x14ac:dyDescent="0.25">
      <c r="A2" s="122"/>
      <c r="B2" s="122"/>
      <c r="C2" s="122"/>
      <c r="D2" s="345"/>
      <c r="E2" s="122"/>
      <c r="F2" s="345"/>
      <c r="G2" s="551"/>
      <c r="H2" s="122"/>
      <c r="I2" s="122"/>
      <c r="J2" s="685"/>
      <c r="K2" s="122"/>
      <c r="L2" s="122"/>
      <c r="M2" s="122"/>
      <c r="N2" s="707"/>
      <c r="O2" s="707"/>
      <c r="P2" s="707"/>
      <c r="Q2" s="708"/>
      <c r="R2" s="708"/>
      <c r="S2" s="707"/>
      <c r="T2" s="707"/>
      <c r="U2" s="707"/>
      <c r="V2" s="707"/>
      <c r="W2" s="707"/>
      <c r="X2" s="707"/>
      <c r="Y2" s="707"/>
      <c r="Z2" s="707"/>
      <c r="AA2" s="707"/>
      <c r="AB2" s="707"/>
      <c r="AC2" s="707"/>
      <c r="AD2" s="707"/>
      <c r="AE2" s="707"/>
      <c r="AF2" s="707"/>
      <c r="AG2" s="707"/>
      <c r="AH2" s="707"/>
      <c r="AI2" s="707"/>
      <c r="AJ2" s="707"/>
      <c r="AK2" s="707"/>
      <c r="AL2" s="707"/>
      <c r="AM2" s="707"/>
      <c r="AN2" s="707"/>
      <c r="AO2" s="707"/>
      <c r="AP2" s="708"/>
      <c r="AQ2" s="707"/>
      <c r="AR2" s="707"/>
      <c r="AS2" s="707"/>
      <c r="AT2" s="707"/>
      <c r="AU2" s="707"/>
      <c r="AV2" s="707"/>
      <c r="AW2" s="707"/>
      <c r="AX2" s="707"/>
      <c r="AY2" s="707"/>
      <c r="AZ2" s="707"/>
      <c r="BA2" s="707"/>
      <c r="BB2" s="707"/>
      <c r="BC2" s="707"/>
      <c r="BD2" s="707"/>
      <c r="BE2" s="707"/>
      <c r="BF2" s="707"/>
      <c r="BG2" s="707"/>
      <c r="BH2" s="707"/>
      <c r="BI2" s="707"/>
      <c r="BJ2" s="707"/>
      <c r="BK2" s="707"/>
      <c r="BL2" s="707"/>
      <c r="BM2" s="707"/>
      <c r="BN2" s="707"/>
      <c r="BO2" s="707"/>
      <c r="BP2" s="707"/>
      <c r="BQ2" s="707"/>
      <c r="BR2" s="707"/>
      <c r="BS2" s="707"/>
      <c r="BT2" s="707"/>
      <c r="BU2" s="707"/>
      <c r="BV2" s="707"/>
      <c r="BW2" s="707"/>
      <c r="BX2" s="707"/>
      <c r="BY2" s="707"/>
      <c r="BZ2" s="707"/>
      <c r="CA2" s="714"/>
      <c r="CB2" s="714"/>
      <c r="CC2" s="887"/>
      <c r="CD2" s="887"/>
      <c r="CE2" s="887"/>
      <c r="CF2" s="887"/>
    </row>
    <row r="3" spans="1:96" s="30" customFormat="1" x14ac:dyDescent="0.25">
      <c r="A3" s="122"/>
      <c r="B3" s="525"/>
      <c r="C3" s="345"/>
      <c r="D3" s="345"/>
      <c r="E3" s="345"/>
      <c r="F3" s="345"/>
      <c r="G3" s="345"/>
      <c r="H3" s="345"/>
      <c r="I3" s="345"/>
      <c r="J3" s="685"/>
      <c r="K3" s="345"/>
      <c r="L3" s="345"/>
      <c r="M3" s="122"/>
      <c r="N3" s="707"/>
      <c r="O3" s="2066"/>
      <c r="P3" s="2066"/>
      <c r="Q3" s="3768" t="s">
        <v>290</v>
      </c>
      <c r="R3" s="3768"/>
      <c r="S3" s="3768"/>
      <c r="T3" s="3768"/>
      <c r="U3" s="3768"/>
      <c r="V3" s="3768"/>
      <c r="W3" s="3768"/>
      <c r="X3" s="3768"/>
      <c r="Y3" s="3768"/>
      <c r="Z3" s="3768"/>
      <c r="AA3" s="3768"/>
      <c r="AB3" s="3768"/>
      <c r="AC3" s="3768"/>
      <c r="AD3" s="3768"/>
      <c r="AE3" s="3768"/>
      <c r="AF3" s="3768"/>
      <c r="AG3" s="3768"/>
      <c r="AH3" s="3768"/>
      <c r="AI3" s="3768"/>
      <c r="AJ3" s="3768"/>
      <c r="AK3" s="3768"/>
      <c r="AL3" s="3768"/>
      <c r="AM3" s="3768"/>
      <c r="AN3" s="3768"/>
      <c r="AO3" s="3768"/>
      <c r="AP3" s="3768"/>
      <c r="AQ3" s="3768"/>
      <c r="AR3" s="3768"/>
      <c r="AS3" s="3768"/>
      <c r="AT3" s="3768"/>
      <c r="AU3" s="3768"/>
      <c r="AV3" s="3768"/>
      <c r="AW3" s="708"/>
      <c r="AX3" s="3768" t="s">
        <v>1098</v>
      </c>
      <c r="AY3" s="3815"/>
      <c r="AZ3" s="3815"/>
      <c r="BA3" s="3815"/>
      <c r="BB3" s="3815"/>
      <c r="BC3" s="3815"/>
      <c r="BD3" s="3815"/>
      <c r="BE3" s="3815"/>
      <c r="BF3" s="3815"/>
      <c r="BG3" s="3815"/>
      <c r="BH3" s="3815"/>
      <c r="BI3" s="3815"/>
      <c r="BJ3" s="3815"/>
      <c r="BK3" s="3815"/>
      <c r="BL3" s="3815"/>
      <c r="BM3" s="3815"/>
      <c r="BN3" s="3815"/>
      <c r="BO3" s="3815"/>
      <c r="BP3" s="3815"/>
      <c r="BQ3" s="3815"/>
      <c r="BR3" s="3815"/>
      <c r="BS3" s="3815"/>
      <c r="BT3" s="3815"/>
      <c r="BU3" s="3815"/>
      <c r="BV3" s="3815"/>
      <c r="BW3" s="708"/>
      <c r="BX3" s="708"/>
      <c r="BY3" s="708"/>
      <c r="BZ3" s="708"/>
      <c r="CA3" s="714"/>
      <c r="CB3" s="714"/>
      <c r="CC3" s="887"/>
      <c r="CD3" s="887"/>
      <c r="CE3" s="887"/>
      <c r="CF3" s="887"/>
    </row>
    <row r="4" spans="1:96" s="30" customFormat="1" x14ac:dyDescent="0.25">
      <c r="A4" s="122"/>
      <c r="B4" s="345"/>
      <c r="C4" s="686"/>
      <c r="D4" s="685"/>
      <c r="E4" s="685"/>
      <c r="F4" s="685"/>
      <c r="G4" s="685"/>
      <c r="H4" s="685"/>
      <c r="I4" s="685"/>
      <c r="J4" s="685"/>
      <c r="K4" s="685"/>
      <c r="L4" s="685"/>
      <c r="M4" s="38"/>
      <c r="N4" s="2066"/>
      <c r="O4" s="707"/>
      <c r="P4" s="707"/>
      <c r="Q4" s="708"/>
      <c r="R4" s="708"/>
      <c r="S4" s="707"/>
      <c r="T4" s="707"/>
      <c r="U4" s="707"/>
      <c r="V4" s="707"/>
      <c r="W4" s="707"/>
      <c r="X4" s="707"/>
      <c r="Y4" s="707"/>
      <c r="Z4" s="707"/>
      <c r="AA4" s="707"/>
      <c r="AB4" s="707"/>
      <c r="AC4" s="707"/>
      <c r="AD4" s="707"/>
      <c r="AE4" s="707"/>
      <c r="AF4" s="707"/>
      <c r="AG4" s="707"/>
      <c r="AH4" s="707"/>
      <c r="AI4" s="707"/>
      <c r="AJ4" s="707"/>
      <c r="AK4" s="707"/>
      <c r="AL4" s="707"/>
      <c r="AM4" s="707"/>
      <c r="AN4" s="707"/>
      <c r="AO4" s="707"/>
      <c r="AP4" s="2067" t="s">
        <v>833</v>
      </c>
      <c r="AQ4" s="707">
        <v>-300</v>
      </c>
      <c r="AR4" s="707">
        <v>16</v>
      </c>
      <c r="AS4" s="707">
        <v>160</v>
      </c>
      <c r="AT4" s="707">
        <v>0.02</v>
      </c>
      <c r="AU4" s="707">
        <v>0.01</v>
      </c>
      <c r="AV4" s="707"/>
      <c r="AW4" s="707"/>
      <c r="AX4" s="707"/>
      <c r="AY4" s="707"/>
      <c r="AZ4" s="707"/>
      <c r="BA4" s="707"/>
      <c r="BB4" s="707"/>
      <c r="BC4" s="707"/>
      <c r="BD4" s="707"/>
      <c r="BE4" s="707"/>
      <c r="BF4" s="707"/>
      <c r="BG4" s="707"/>
      <c r="BH4" s="707"/>
      <c r="BI4" s="707"/>
      <c r="BJ4" s="707"/>
      <c r="BK4" s="707"/>
      <c r="BL4" s="707"/>
      <c r="BM4" s="707"/>
      <c r="BN4" s="707"/>
      <c r="BO4" s="707"/>
      <c r="BP4" s="707"/>
      <c r="BQ4" s="707"/>
      <c r="BR4" s="707"/>
      <c r="BS4" s="707"/>
      <c r="BT4" s="707"/>
      <c r="BU4" s="707"/>
      <c r="BV4" s="707"/>
      <c r="BW4" s="707"/>
      <c r="BX4" s="707"/>
      <c r="BY4" s="707"/>
      <c r="BZ4" s="707"/>
      <c r="CA4" s="714"/>
      <c r="CB4" s="714"/>
      <c r="CC4" s="887"/>
      <c r="CD4" s="887"/>
      <c r="CE4" s="887"/>
      <c r="CF4" s="887"/>
    </row>
    <row r="5" spans="1:96" s="30" customFormat="1" ht="12.75" customHeight="1" x14ac:dyDescent="0.25">
      <c r="A5" s="122"/>
      <c r="B5" s="3826" t="s">
        <v>2341</v>
      </c>
      <c r="C5" s="3826"/>
      <c r="D5" s="3827">
        <f>Equipment_Tag</f>
        <v>0</v>
      </c>
      <c r="E5" s="3827"/>
      <c r="F5" s="122"/>
      <c r="G5" s="122"/>
      <c r="H5" s="122"/>
      <c r="I5" s="122"/>
      <c r="J5" s="122"/>
      <c r="K5" s="122"/>
      <c r="L5" s="122"/>
      <c r="M5" s="122"/>
      <c r="N5" s="707"/>
      <c r="O5" s="707"/>
      <c r="P5" s="707"/>
      <c r="Q5" s="3767" t="s">
        <v>1973</v>
      </c>
      <c r="R5" s="3767" t="s">
        <v>1650</v>
      </c>
      <c r="S5" s="3767" t="s">
        <v>1831</v>
      </c>
      <c r="T5" s="3767" t="s">
        <v>374</v>
      </c>
      <c r="U5" s="3767" t="s">
        <v>1140</v>
      </c>
      <c r="V5" s="3767" t="s">
        <v>1411</v>
      </c>
      <c r="W5" s="3767" t="s">
        <v>1830</v>
      </c>
      <c r="X5" s="3767" t="s">
        <v>1646</v>
      </c>
      <c r="Y5" s="3767" t="s">
        <v>278</v>
      </c>
      <c r="Z5" s="3767" t="s">
        <v>1130</v>
      </c>
      <c r="AA5" s="3767" t="s">
        <v>2035</v>
      </c>
      <c r="AB5" s="3767" t="s">
        <v>1140</v>
      </c>
      <c r="AC5" s="3767" t="s">
        <v>2036</v>
      </c>
      <c r="AD5" s="3767" t="s">
        <v>263</v>
      </c>
      <c r="AE5" s="3767" t="s">
        <v>1131</v>
      </c>
      <c r="AF5" s="3767" t="s">
        <v>2019</v>
      </c>
      <c r="AG5" s="3767" t="s">
        <v>1140</v>
      </c>
      <c r="AH5" s="3767" t="s">
        <v>2037</v>
      </c>
      <c r="AI5" s="3767" t="s">
        <v>1132</v>
      </c>
      <c r="AJ5" s="3767" t="s">
        <v>1133</v>
      </c>
      <c r="AK5" s="3767" t="s">
        <v>1140</v>
      </c>
      <c r="AL5" s="3767" t="s">
        <v>2038</v>
      </c>
      <c r="AM5" s="3767" t="s">
        <v>1134</v>
      </c>
      <c r="AN5" s="3767" t="s">
        <v>1363</v>
      </c>
      <c r="AO5" s="3767" t="s">
        <v>1140</v>
      </c>
      <c r="AP5" s="3767" t="s">
        <v>377</v>
      </c>
      <c r="AQ5" s="3767" t="s">
        <v>1365</v>
      </c>
      <c r="AR5" s="3767" t="s">
        <v>1364</v>
      </c>
      <c r="AS5" s="3767" t="s">
        <v>1140</v>
      </c>
      <c r="AT5" s="3767" t="s">
        <v>1547</v>
      </c>
      <c r="AU5" s="3767" t="s">
        <v>1207</v>
      </c>
      <c r="AV5" s="3767" t="s">
        <v>277</v>
      </c>
      <c r="AW5" s="707"/>
      <c r="AX5" s="3767" t="str">
        <f>S5</f>
        <v>Temperature</v>
      </c>
      <c r="AY5" s="3767" t="str">
        <f>T5</f>
        <v>Adiabatic Reaction Heat Rate</v>
      </c>
      <c r="AZ5" s="3767" t="str">
        <f>V5</f>
        <v>Pressure - Adiabatic Rx</v>
      </c>
      <c r="BA5" s="3767" t="str">
        <f>U5</f>
        <v>Vapor Pressure</v>
      </c>
      <c r="BB5" s="3767" t="str">
        <f>W5</f>
        <v>Convective Heat Loss Rate</v>
      </c>
      <c r="BC5" s="3767" t="str">
        <f>X5</f>
        <v>Maximum Cooling Capacity</v>
      </c>
      <c r="BD5" s="3767" t="str">
        <f>Y5</f>
        <v>External Heat Input</v>
      </c>
      <c r="BE5" s="3767" t="str">
        <f>Z5</f>
        <v>Temp with External Heat</v>
      </c>
      <c r="BF5" s="3767" t="str">
        <f>IF(OR($X$24&gt;0,$AA$24&gt;0),AA5&amp;" plus Heat",AA5)</f>
        <v>Reaction-Thermal Initiated</v>
      </c>
      <c r="BG5" s="3767" t="str">
        <f>IF(OR($X$24&gt;0,$AA$24&gt;0),AC5&amp;" plus Heat",AC5)</f>
        <v>Pressure-Rx Thermal Initiated</v>
      </c>
      <c r="BH5" s="3767" t="str">
        <f>AD5</f>
        <v>Fire Heat Input</v>
      </c>
      <c r="BI5" s="3767" t="str">
        <f>AE5</f>
        <v>Temp with Fire</v>
      </c>
      <c r="BJ5" s="3767" t="str">
        <f>AF5</f>
        <v>Reaction Plus Fire</v>
      </c>
      <c r="BK5" s="3767" t="str">
        <f>AH5</f>
        <v>Pressure-Rx with Fire</v>
      </c>
      <c r="BL5" s="3767" t="str">
        <f>AI5</f>
        <v>Temp with Catalyst</v>
      </c>
      <c r="BM5" s="3767" t="str">
        <f>IF(OR($X$24&gt;0,$AA$24&gt;0),AJ5&amp;" plus Heat",AJ5)</f>
        <v>Reaction with Catalyst</v>
      </c>
      <c r="BN5" s="3767" t="str">
        <f>IF(OR($X$24&gt;0,$AA$24&gt;0),AL5&amp;" plus Heat",AL5)</f>
        <v>Pressure-Rx with Catalyst</v>
      </c>
      <c r="BO5" s="3767" t="str">
        <f>AM5</f>
        <v>Temp with Pooling</v>
      </c>
      <c r="BP5" s="3767" t="str">
        <f>IF(OR($X$24&gt;0,$AA$24&gt;0),AN5&amp;" plus Heat",AN5)</f>
        <v>Reaction with Pooling</v>
      </c>
      <c r="BQ5" s="3767" t="str">
        <f>IF(OR($X$24&gt;0,$AA$24&gt;0),AP5&amp;" plus Heat",AP5)</f>
        <v>Pressure-Rx with Pooling</v>
      </c>
      <c r="BR5" s="3767" t="str">
        <f>AQ5</f>
        <v>Temp with Mis-Loading</v>
      </c>
      <c r="BS5" s="3767" t="str">
        <f>IF(OR($X$24&gt;0,$AA$24&gt;0),AR5&amp;" plus Heat",AR5)</f>
        <v>Reaction with Mis-Loading</v>
      </c>
      <c r="BT5" s="3767" t="str">
        <f>IF(OR($X$24&gt;0,$AA$24&gt;0),AT5&amp;" plus Heat",AT5)</f>
        <v>Pressure-Rx with MisLoading</v>
      </c>
      <c r="BU5" s="3767" t="s">
        <v>1207</v>
      </c>
      <c r="BV5" s="3767" t="s">
        <v>277</v>
      </c>
      <c r="BW5" s="707"/>
      <c r="BX5" s="707"/>
      <c r="BY5" s="707"/>
      <c r="BZ5" s="707"/>
      <c r="CA5" s="714"/>
      <c r="CB5" s="714"/>
      <c r="CC5" s="887"/>
      <c r="CD5" s="887"/>
      <c r="CE5" s="887"/>
      <c r="CF5" s="887"/>
      <c r="CG5" s="887"/>
      <c r="CH5" s="887"/>
    </row>
    <row r="6" spans="1:96" s="30" customFormat="1" ht="12.75" customHeight="1" x14ac:dyDescent="0.25">
      <c r="A6" s="122"/>
      <c r="B6" s="3828" t="s">
        <v>2340</v>
      </c>
      <c r="C6" s="3828"/>
      <c r="D6" s="3829">
        <f>'Chemical Data'!C9</f>
        <v>0</v>
      </c>
      <c r="E6" s="3829"/>
      <c r="F6" s="122"/>
      <c r="G6" s="122"/>
      <c r="H6" s="122"/>
      <c r="I6" s="122"/>
      <c r="J6" s="122"/>
      <c r="K6" s="122"/>
      <c r="L6" s="122"/>
      <c r="M6" s="122"/>
      <c r="N6" s="707"/>
      <c r="O6" s="707"/>
      <c r="P6" s="707"/>
      <c r="Q6" s="3767"/>
      <c r="R6" s="3767"/>
      <c r="S6" s="3767"/>
      <c r="T6" s="3767"/>
      <c r="U6" s="3767"/>
      <c r="V6" s="3767"/>
      <c r="W6" s="3767"/>
      <c r="X6" s="3767"/>
      <c r="Y6" s="3767"/>
      <c r="Z6" s="3767"/>
      <c r="AA6" s="3767"/>
      <c r="AB6" s="3767"/>
      <c r="AC6" s="3767"/>
      <c r="AD6" s="3767"/>
      <c r="AE6" s="3767"/>
      <c r="AF6" s="3767"/>
      <c r="AG6" s="3767"/>
      <c r="AH6" s="3767"/>
      <c r="AI6" s="3767"/>
      <c r="AJ6" s="3767"/>
      <c r="AK6" s="3767"/>
      <c r="AL6" s="3767"/>
      <c r="AM6" s="3767"/>
      <c r="AN6" s="3767"/>
      <c r="AO6" s="3767"/>
      <c r="AP6" s="3767"/>
      <c r="AQ6" s="3767"/>
      <c r="AR6" s="3767"/>
      <c r="AS6" s="3767"/>
      <c r="AT6" s="3767"/>
      <c r="AU6" s="3767"/>
      <c r="AV6" s="3767"/>
      <c r="AW6" s="707"/>
      <c r="AX6" s="3767"/>
      <c r="AY6" s="3767"/>
      <c r="AZ6" s="3767"/>
      <c r="BA6" s="3767"/>
      <c r="BB6" s="3767"/>
      <c r="BC6" s="3767"/>
      <c r="BD6" s="3767"/>
      <c r="BE6" s="3767"/>
      <c r="BF6" s="3767"/>
      <c r="BG6" s="3767"/>
      <c r="BH6" s="3767"/>
      <c r="BI6" s="3767"/>
      <c r="BJ6" s="3767"/>
      <c r="BK6" s="3767"/>
      <c r="BL6" s="3767"/>
      <c r="BM6" s="3767"/>
      <c r="BN6" s="3767"/>
      <c r="BO6" s="3767"/>
      <c r="BP6" s="3767"/>
      <c r="BQ6" s="3767"/>
      <c r="BR6" s="3767"/>
      <c r="BS6" s="3767"/>
      <c r="BT6" s="3767"/>
      <c r="BU6" s="3767"/>
      <c r="BV6" s="3767"/>
      <c r="BW6" s="707"/>
      <c r="BX6" s="707"/>
      <c r="BY6" s="707"/>
      <c r="BZ6" s="707"/>
      <c r="CA6" s="714"/>
      <c r="CB6" s="714"/>
      <c r="CC6" s="887"/>
      <c r="CD6" s="887"/>
      <c r="CE6" s="887"/>
      <c r="CF6" s="887"/>
      <c r="CG6" s="887"/>
      <c r="CH6" s="887"/>
    </row>
    <row r="7" spans="1:96" s="30" customFormat="1" ht="12.75" customHeight="1" x14ac:dyDescent="0.25">
      <c r="A7" s="122"/>
      <c r="B7" s="713"/>
      <c r="C7" s="713" t="s">
        <v>1360</v>
      </c>
      <c r="D7" s="820" t="str">
        <f>State</f>
        <v>Liquid</v>
      </c>
      <c r="E7" s="345"/>
      <c r="F7" s="122"/>
      <c r="G7" s="122"/>
      <c r="H7" s="122"/>
      <c r="I7" s="122"/>
      <c r="J7" s="122"/>
      <c r="K7" s="122"/>
      <c r="L7" s="122"/>
      <c r="M7" s="122"/>
      <c r="N7" s="707"/>
      <c r="O7" s="707"/>
      <c r="P7" s="707"/>
      <c r="Q7" s="3767"/>
      <c r="R7" s="3767"/>
      <c r="S7" s="3767"/>
      <c r="T7" s="3767"/>
      <c r="U7" s="3767"/>
      <c r="V7" s="3767"/>
      <c r="W7" s="3767"/>
      <c r="X7" s="3767"/>
      <c r="Y7" s="3767"/>
      <c r="Z7" s="3767"/>
      <c r="AA7" s="3767"/>
      <c r="AB7" s="3767"/>
      <c r="AC7" s="3767"/>
      <c r="AD7" s="3767"/>
      <c r="AE7" s="3767"/>
      <c r="AF7" s="3767"/>
      <c r="AG7" s="3767"/>
      <c r="AH7" s="3767"/>
      <c r="AI7" s="3767"/>
      <c r="AJ7" s="3767"/>
      <c r="AK7" s="3767"/>
      <c r="AL7" s="3767"/>
      <c r="AM7" s="3767"/>
      <c r="AN7" s="3767"/>
      <c r="AO7" s="3767"/>
      <c r="AP7" s="3767"/>
      <c r="AQ7" s="3767"/>
      <c r="AR7" s="3767"/>
      <c r="AS7" s="3767"/>
      <c r="AT7" s="3767"/>
      <c r="AU7" s="3767"/>
      <c r="AV7" s="3767"/>
      <c r="AW7" s="707"/>
      <c r="AX7" s="3767"/>
      <c r="AY7" s="3767"/>
      <c r="AZ7" s="3767"/>
      <c r="BA7" s="3767"/>
      <c r="BB7" s="3767"/>
      <c r="BC7" s="3767"/>
      <c r="BD7" s="3767"/>
      <c r="BE7" s="3767"/>
      <c r="BF7" s="3767"/>
      <c r="BG7" s="3767"/>
      <c r="BH7" s="3767"/>
      <c r="BI7" s="3767"/>
      <c r="BJ7" s="3767"/>
      <c r="BK7" s="3767"/>
      <c r="BL7" s="3767"/>
      <c r="BM7" s="3767"/>
      <c r="BN7" s="3767"/>
      <c r="BO7" s="3767"/>
      <c r="BP7" s="3767"/>
      <c r="BQ7" s="3767"/>
      <c r="BR7" s="3767"/>
      <c r="BS7" s="3767"/>
      <c r="BT7" s="3767"/>
      <c r="BU7" s="3767"/>
      <c r="BV7" s="3767"/>
      <c r="BW7" s="707"/>
      <c r="BX7" s="707"/>
      <c r="BY7" s="707"/>
      <c r="BZ7" s="707"/>
      <c r="CA7" s="714"/>
      <c r="CB7" s="714"/>
      <c r="CC7" s="887"/>
      <c r="CD7" s="887"/>
      <c r="CE7" s="887"/>
      <c r="CF7" s="887"/>
      <c r="CG7" s="887"/>
      <c r="CH7" s="887"/>
    </row>
    <row r="8" spans="1:96" s="30" customFormat="1" ht="12.75" customHeight="1" x14ac:dyDescent="0.25">
      <c r="A8" s="122"/>
      <c r="B8" s="3819" t="s">
        <v>1913</v>
      </c>
      <c r="C8" s="3819"/>
      <c r="D8" s="3819"/>
      <c r="E8" s="3819"/>
      <c r="F8" s="122"/>
      <c r="G8" s="122"/>
      <c r="H8" s="122"/>
      <c r="I8" s="122"/>
      <c r="J8" s="122"/>
      <c r="K8" s="122"/>
      <c r="L8" s="122"/>
      <c r="M8" s="122"/>
      <c r="N8" s="707"/>
      <c r="O8" s="707"/>
      <c r="P8" s="707"/>
      <c r="Q8" s="708">
        <v>0</v>
      </c>
      <c r="R8" s="708">
        <f t="shared" ref="R8:R22" si="0">IF(WFeed_1="",1,MolFract_Key_Chemical)</f>
        <v>0</v>
      </c>
      <c r="S8" s="708">
        <f>IF(AND(Heating_T&lt;T,Heating_T_Input&lt;&gt;""),Heating_T+1,IF(T&lt;Ambient_Temp+2,T,Ambient_Temp+2))</f>
        <v>0</v>
      </c>
      <c r="T8" s="2068">
        <f t="shared" ref="T8:T22" si="1">IF(ABS(DHR)&gt;0.001,IF(ABS(Limiting_Rate)&gt;0,ABS(Limiting_Rate),(1-$Q8)*r_Tinitial*EXP((-1000*Act_Energy/1.987)*(1/(273+S8)-1/(273+Tinit)))),0.001)</f>
        <v>1E-3</v>
      </c>
      <c r="U8" s="2068">
        <f t="shared" ref="U8:U22" si="2">IF(AND(State="Liquid",y_rel&gt;0),x_rel*Act_rel*EXP(VP_A-VP_B/(S8+273.15-VP_C))/y_rel,0)</f>
        <v>0</v>
      </c>
      <c r="V8" s="2068" t="e">
        <f>IF(AND(Mw_Feed&lt;&gt;"",VP_B&lt;&gt;"",State&lt;&gt;"Vapor"),IF(U8+Pad_Pressure*(273+S8)/(273+T)&lt;Effective_Fill_Fract*Liq_rho*82.06*(273+S8)/Mw_Feed,U8+Pad_Pressure*(273+S8)/(273+T)+$Q8*Gas_Gen*82.06*(273+S8)*Effective_Fill_Fract/(1.1-Effective_Fill_Fract),Effective_Fill_Fract*Liq_rho*($Q8*Gas_Gen*Mw_Feed+1)*82.06*(273+S8)/Mw_Feed+0.001),((P+1)/(273+T)+$Q8*82.1*Gas_Gen)*(S8+273))</f>
        <v>#DIV/0!</v>
      </c>
      <c r="W8" s="2068" t="e">
        <f t="shared" ref="W8:W22" si="3">IF(OR(S8&lt;Ambient_Temp+1,Sur_Area=0),NA(),14.34*(Effective_SurArea*Ht_Loss_Coeff*(S8-Ambient_Temp))/Effective_ContainedMass)</f>
        <v>#N/A</v>
      </c>
      <c r="X8" s="2068" t="e">
        <f t="shared" ref="X8:X22" si="4">IF(OR(Coolant_Area_Input="",Coolant_U_Input="",Coolant_Temp_Input=""),NA(),IF(S8&gt;Coolant_Temp+1,14.34*$R$24*$U$24*(S8-Coolant_Temp)/Effective_ContainedMass,NA()))</f>
        <v>#N/A</v>
      </c>
      <c r="Y8" s="2068">
        <f t="shared" ref="Y8:Y22" si="5">IF(OR(Motor&lt;&gt;0,HT_Area&lt;&gt;0),IF(S8&gt;Heating_T,$X$24*7.17*Motor/Effective_ContainedMass,$X$24*7.17*Motor/Effective_ContainedMass+$AA$24*14.34*(HT_Area*U*(Heating_T-S8))/(Effective_ContainedMass)),0)</f>
        <v>0</v>
      </c>
      <c r="Z8" s="708" t="e">
        <f>IF(ISERROR(T_ExtHeat),NA(),$S8)</f>
        <v>#N/A</v>
      </c>
      <c r="AA8" s="2068" t="e">
        <f t="shared" ref="AA8:AA22" si="6">IF(ABS(DHR)&gt;0.001,IF(ABS(Limiting_Rate)&gt;0,ABS(Limiting_Rate)+Y8,(1-$Q8)*r_Tinitial*EXP((-1000*Act_Energy/1.987)*(1/(273+Z8)-1/(273+Tinit)))+Y8),NA())</f>
        <v>#N/A</v>
      </c>
      <c r="AB8" s="2068">
        <f t="shared" ref="AB8:AB22" si="7">IF(AND(State="Liquid",y_rel&gt;0),x_rel*Act_rel*EXP(VP_A-VP_B/(Z8+273.15-VP_C))/y_rel,0)</f>
        <v>0</v>
      </c>
      <c r="AC8" s="2068" t="e">
        <f t="shared" ref="AC8:AC22" si="8">IF(AND(Mw_Feed&lt;&gt;"",VP_B&lt;&gt;"",State&lt;&gt;"Vapor"),IF(AB8+(273+Z8)/(273+T)&lt;Effective_Fill_Fract*Liq_rho*82.06*(273+Z8)/Mw_Feed,AB8+(273+Z8)/(273+T)+$Q8*Gas_Gen*82.06*(273+Z8)*Effective_Fill_Fract/(1.1-Effective_Fill_Fract),Effective_Fill_Fract*Liq_rho*($Q8*Gas_Gen*Mw_Feed+1)*82.06*(273+Z8)/Mw_Feed+0.001),((P+1)/(273+T)+$Q8*82.1*Gas_Gen)*(Z8+273))</f>
        <v>#N/A</v>
      </c>
      <c r="AD8" s="2068" t="e">
        <f t="shared" ref="AD8:AD22" si="9">IF(Fire_Heat_Rate&gt;0,60*Fire_Heat_Rate/Effective_ContainedMass,NA())</f>
        <v>#N/A</v>
      </c>
      <c r="AE8" s="708" t="e">
        <f>IF(Fire_Heat_Rate&gt;0,$S8,NA())</f>
        <v>#N/A</v>
      </c>
      <c r="AF8" s="2068" t="e">
        <f t="shared" ref="AF8:AF22" si="10">IF(ABS(DHR)&gt;0.001,IF(ABS(Limiting_Rate)&gt;0,ABS(Limiting_Rate)+AD8,(1-$Q8)*r_Tinitial*EXP((-1000*Act_Energy/1.987)*(1/(273+AE8)-1/(273+Tinit)))+AD8),NA())</f>
        <v>#N/A</v>
      </c>
      <c r="AG8" s="2068">
        <f t="shared" ref="AG8:AG22" si="11">IF(AND(State="Liquid",y_rel&gt;0),x_rel*Act_rel*EXP(VP_A-VP_B/(AE8+273.15-VP_C))/y_rel,0)</f>
        <v>0</v>
      </c>
      <c r="AH8" s="2068" t="e">
        <f t="shared" ref="AH8:AH22" si="12">IF(AND(Mw_Feed&lt;&gt;"",VP_B&lt;&gt;"",State&lt;&gt;"Vapor"),IF(AG8+(273+AE8)/(273+T)&lt;Effective_Fill_Fract*Liq_rho*82.06*(273+AE8)/Mw_Feed,AG8+(273+AE8)/(273+T)+$Q8*Gas_Gen*82.06*(273+AE8)*Effective_Fill_Fract/(1.001-Effective_Fill_Fract),Effective_Fill_Fract*Liq_rho*82.06*(273+AE8)/Mw_Feed+0.001),((P+1)/(273+T)+$Q8*82.1*Gas_Gen)*(AE8+273))</f>
        <v>#N/A</v>
      </c>
      <c r="AI8" s="708"/>
      <c r="AJ8" s="2068"/>
      <c r="AK8" s="2068"/>
      <c r="AL8" s="2068"/>
      <c r="AM8" s="2068"/>
      <c r="AN8" s="2068"/>
      <c r="AO8" s="2068"/>
      <c r="AP8" s="2068"/>
      <c r="AQ8" s="708"/>
      <c r="AR8" s="2068"/>
      <c r="AS8" s="2068"/>
      <c r="AT8" s="2068"/>
      <c r="AU8" s="2068">
        <f>IF(Relief_Set_Input="",MAWP+1,Relief_Set+1)</f>
        <v>1</v>
      </c>
      <c r="AV8" s="2068"/>
      <c r="AW8" s="707"/>
      <c r="AX8" s="708" t="e">
        <f>IF(ISERR(S8),NA(),IF(S8=0,NA(),S8))</f>
        <v>#N/A</v>
      </c>
      <c r="AY8" s="2068">
        <f>IF(ISERR(T8),NA(),IF(T8=0,NA(),T8))</f>
        <v>1E-3</v>
      </c>
      <c r="AZ8" s="708" t="e">
        <f>IF(ISERR(V8),NA(),IF(V8=0,NA(),V8))</f>
        <v>#N/A</v>
      </c>
      <c r="BA8" s="708" t="e">
        <f t="shared" ref="BA8:BA22" si="13">IF(ISERR(U8),NA(),IF(U8=0,NA(),U8))</f>
        <v>#N/A</v>
      </c>
      <c r="BB8" s="2068" t="e">
        <f t="shared" ref="BB8:BF22" si="14">IF(ISERR(W8),NA(),IF(W8=0,NA(),W8))</f>
        <v>#N/A</v>
      </c>
      <c r="BC8" s="2068" t="e">
        <f t="shared" si="14"/>
        <v>#N/A</v>
      </c>
      <c r="BD8" s="2068" t="e">
        <f t="shared" si="14"/>
        <v>#N/A</v>
      </c>
      <c r="BE8" s="708" t="e">
        <f t="shared" si="14"/>
        <v>#N/A</v>
      </c>
      <c r="BF8" s="2068" t="e">
        <f t="shared" si="14"/>
        <v>#N/A</v>
      </c>
      <c r="BG8" s="2068" t="e">
        <f t="shared" ref="BG8:BJ22" si="15">IF(ISERR(AC8),NA(),IF(AC8=0,NA(),AC8))</f>
        <v>#N/A</v>
      </c>
      <c r="BH8" s="2068" t="e">
        <f t="shared" si="15"/>
        <v>#N/A</v>
      </c>
      <c r="BI8" s="708" t="e">
        <f t="shared" si="15"/>
        <v>#N/A</v>
      </c>
      <c r="BJ8" s="2068" t="e">
        <f t="shared" si="15"/>
        <v>#N/A</v>
      </c>
      <c r="BK8" s="2068" t="e">
        <f t="shared" ref="BK8:BM22" si="16">IF(ISERR(AH8),NA(),IF(AH8=0,NA(),AH8))</f>
        <v>#N/A</v>
      </c>
      <c r="BL8" s="708" t="e">
        <f t="shared" si="16"/>
        <v>#N/A</v>
      </c>
      <c r="BM8" s="2068" t="e">
        <f t="shared" si="16"/>
        <v>#N/A</v>
      </c>
      <c r="BN8" s="2068" t="e">
        <f t="shared" ref="BN8:BP22" si="17">IF(ISERR(AL8),NA(),IF(AL8=0,NA(),AL8))</f>
        <v>#N/A</v>
      </c>
      <c r="BO8" s="708" t="e">
        <f t="shared" si="17"/>
        <v>#N/A</v>
      </c>
      <c r="BP8" s="2068" t="e">
        <f t="shared" si="17"/>
        <v>#N/A</v>
      </c>
      <c r="BQ8" s="2068" t="e">
        <f t="shared" ref="BQ8:BS22" si="18">IF(ISERR(AP8),NA(),IF(AP8=0,NA(),AP8))</f>
        <v>#N/A</v>
      </c>
      <c r="BR8" s="708" t="e">
        <f t="shared" si="18"/>
        <v>#N/A</v>
      </c>
      <c r="BS8" s="2068" t="e">
        <f t="shared" si="18"/>
        <v>#N/A</v>
      </c>
      <c r="BT8" s="2068" t="e">
        <f>IF(ISERR(AT8),NA(),IF(AT8=0,NA(),AT8))</f>
        <v>#N/A</v>
      </c>
      <c r="BU8" s="2068">
        <f>IF(ISERR(AU8),NA(),IF(AU8=0,NA(),AU8))</f>
        <v>1</v>
      </c>
      <c r="BV8" s="708" t="e">
        <f t="shared" ref="BV8:BV22" si="19">IF(ISERR(AV8),NA(),IF(OR(AV8&lt;0,AV8=0),NA(),AV8))</f>
        <v>#N/A</v>
      </c>
      <c r="BW8" s="707"/>
      <c r="BX8" s="707"/>
      <c r="BY8" s="707"/>
      <c r="BZ8" s="707"/>
      <c r="CA8" s="714"/>
      <c r="CB8" s="714"/>
      <c r="CC8" s="887"/>
      <c r="CD8" s="887"/>
      <c r="CE8" s="887"/>
      <c r="CF8" s="887"/>
      <c r="CG8" s="887"/>
      <c r="CH8" s="887"/>
    </row>
    <row r="9" spans="1:96" s="30" customFormat="1" ht="13.75" customHeight="1" x14ac:dyDescent="0.25">
      <c r="A9" s="122"/>
      <c r="B9" s="3824" t="s">
        <v>1367</v>
      </c>
      <c r="C9" s="3825"/>
      <c r="D9" s="213" t="s">
        <v>1382</v>
      </c>
      <c r="E9" s="166"/>
      <c r="F9" s="122"/>
      <c r="G9" s="122"/>
      <c r="H9" s="122"/>
      <c r="I9" s="122"/>
      <c r="J9" s="122"/>
      <c r="K9" s="122"/>
      <c r="L9" s="122"/>
      <c r="M9" s="122"/>
      <c r="N9" s="707"/>
      <c r="O9" s="707"/>
      <c r="P9" s="707"/>
      <c r="Q9" s="708">
        <v>0</v>
      </c>
      <c r="R9" s="708">
        <f t="shared" si="0"/>
        <v>0</v>
      </c>
      <c r="S9" s="708">
        <f>(S8+S10)/2</f>
        <v>0</v>
      </c>
      <c r="T9" s="2068">
        <f t="shared" si="1"/>
        <v>1E-3</v>
      </c>
      <c r="U9" s="2068">
        <f t="shared" si="2"/>
        <v>0</v>
      </c>
      <c r="V9" s="2068" t="e">
        <f>IF(AND(Mw_Feed&lt;&gt;"",VP_B&lt;&gt;"",State&lt;&gt;"Vapor"),IF(U9+Pad_Pressure*(273+S9)/(273+T)&lt;Effective_Fill_Fract*Liq_rho*82.06*(273+S9)/Mw_Feed,U9+Pad_Pressure*(273+S9)/(273+T)+$Q9*Gas_Gen*82.06*(273+S9)*Effective_Fill_Fract/(1.1-Effective_Fill_Fract),Effective_Fill_Fract*Liq_rho*($Q9*Gas_Gen*Mw_Feed+1)*82.06*(273+S9)/Mw_Feed+0.001),((P+1)/(273+T)+$Q9*82.1*Gas_Gen)*(S9+273))</f>
        <v>#DIV/0!</v>
      </c>
      <c r="W9" s="2068" t="e">
        <f t="shared" si="3"/>
        <v>#N/A</v>
      </c>
      <c r="X9" s="2068" t="e">
        <f t="shared" si="4"/>
        <v>#N/A</v>
      </c>
      <c r="Y9" s="2068">
        <f t="shared" si="5"/>
        <v>0</v>
      </c>
      <c r="Z9" s="708" t="e">
        <f>IF(ISERROR(T_ExtHeat),NA(),(Z8+Z10)/2)</f>
        <v>#N/A</v>
      </c>
      <c r="AA9" s="2068" t="e">
        <f t="shared" si="6"/>
        <v>#N/A</v>
      </c>
      <c r="AB9" s="2068">
        <f t="shared" si="7"/>
        <v>0</v>
      </c>
      <c r="AC9" s="2068" t="e">
        <f t="shared" si="8"/>
        <v>#N/A</v>
      </c>
      <c r="AD9" s="2068" t="e">
        <f t="shared" si="9"/>
        <v>#N/A</v>
      </c>
      <c r="AE9" s="708" t="e">
        <f>IF(Fire_Heat_Rate&gt;0,(AE8+AE10)/2,NA())</f>
        <v>#N/A</v>
      </c>
      <c r="AF9" s="2068" t="e">
        <f t="shared" si="10"/>
        <v>#N/A</v>
      </c>
      <c r="AG9" s="2068">
        <f t="shared" si="11"/>
        <v>0</v>
      </c>
      <c r="AH9" s="2068" t="e">
        <f t="shared" si="12"/>
        <v>#N/A</v>
      </c>
      <c r="AI9" s="708"/>
      <c r="AJ9" s="2068"/>
      <c r="AK9" s="2068"/>
      <c r="AL9" s="2068"/>
      <c r="AM9" s="2068"/>
      <c r="AN9" s="2068"/>
      <c r="AO9" s="2068"/>
      <c r="AP9" s="2068"/>
      <c r="AQ9" s="708"/>
      <c r="AR9" s="2068"/>
      <c r="AS9" s="2068"/>
      <c r="AT9" s="2068"/>
      <c r="AU9" s="2068"/>
      <c r="AV9" s="2068"/>
      <c r="AW9" s="707"/>
      <c r="AX9" s="708" t="e">
        <f>IF(ISERR(S9),NA(),IF(S9=0,NA(),S9))</f>
        <v>#N/A</v>
      </c>
      <c r="AY9" s="2068">
        <f>IF(ISERR(T9),NA(),IF(T9=0,NA(),T9))</f>
        <v>1E-3</v>
      </c>
      <c r="AZ9" s="708" t="e">
        <f>IF(ISERR(V9),NA(),IF(V9=0,NA(),V9))</f>
        <v>#N/A</v>
      </c>
      <c r="BA9" s="708" t="e">
        <f t="shared" si="13"/>
        <v>#N/A</v>
      </c>
      <c r="BB9" s="2068" t="e">
        <f t="shared" si="14"/>
        <v>#N/A</v>
      </c>
      <c r="BC9" s="2068" t="e">
        <f t="shared" si="14"/>
        <v>#N/A</v>
      </c>
      <c r="BD9" s="2068" t="e">
        <f t="shared" si="14"/>
        <v>#N/A</v>
      </c>
      <c r="BE9" s="708" t="e">
        <f t="shared" si="14"/>
        <v>#N/A</v>
      </c>
      <c r="BF9" s="2068" t="e">
        <f t="shared" si="14"/>
        <v>#N/A</v>
      </c>
      <c r="BG9" s="2068" t="e">
        <f t="shared" si="15"/>
        <v>#N/A</v>
      </c>
      <c r="BH9" s="2068" t="e">
        <f t="shared" si="15"/>
        <v>#N/A</v>
      </c>
      <c r="BI9" s="708" t="e">
        <f t="shared" si="15"/>
        <v>#N/A</v>
      </c>
      <c r="BJ9" s="2068" t="e">
        <f t="shared" si="15"/>
        <v>#N/A</v>
      </c>
      <c r="BK9" s="2068" t="e">
        <f t="shared" si="16"/>
        <v>#N/A</v>
      </c>
      <c r="BL9" s="708" t="e">
        <f t="shared" si="16"/>
        <v>#N/A</v>
      </c>
      <c r="BM9" s="2068" t="e">
        <f t="shared" si="16"/>
        <v>#N/A</v>
      </c>
      <c r="BN9" s="2068" t="e">
        <f t="shared" si="17"/>
        <v>#N/A</v>
      </c>
      <c r="BO9" s="708" t="e">
        <f t="shared" si="17"/>
        <v>#N/A</v>
      </c>
      <c r="BP9" s="2068" t="e">
        <f t="shared" si="17"/>
        <v>#N/A</v>
      </c>
      <c r="BQ9" s="2068" t="e">
        <f t="shared" si="18"/>
        <v>#N/A</v>
      </c>
      <c r="BR9" s="708" t="e">
        <f t="shared" si="18"/>
        <v>#N/A</v>
      </c>
      <c r="BS9" s="2068" t="e">
        <f t="shared" si="18"/>
        <v>#N/A</v>
      </c>
      <c r="BT9" s="2068" t="e">
        <f>IF(ISERR(AT9),NA(),IF(AT9=0,NA(),AT9))</f>
        <v>#N/A</v>
      </c>
      <c r="BU9" s="2068" t="e">
        <f>IF(ISERR(AU9),NA(),IF(AU9=0,NA(),AU9))</f>
        <v>#N/A</v>
      </c>
      <c r="BV9" s="708" t="e">
        <f t="shared" si="19"/>
        <v>#N/A</v>
      </c>
      <c r="BW9" s="707"/>
      <c r="BX9" s="707"/>
      <c r="BY9" s="707"/>
      <c r="BZ9" s="707"/>
      <c r="CA9" s="714"/>
      <c r="CB9" s="714"/>
      <c r="CC9" s="887"/>
      <c r="CD9" s="887"/>
      <c r="CE9" s="887"/>
      <c r="CF9" s="887"/>
      <c r="CG9" s="887"/>
      <c r="CH9" s="887"/>
    </row>
    <row r="10" spans="1:96" s="30" customFormat="1" ht="13.75" customHeight="1" x14ac:dyDescent="0.25">
      <c r="A10" s="122"/>
      <c r="B10" s="167"/>
      <c r="C10" s="168"/>
      <c r="D10" s="147" t="s">
        <v>1879</v>
      </c>
      <c r="E10" s="28" t="s">
        <v>1755</v>
      </c>
      <c r="F10" s="122"/>
      <c r="G10" s="122"/>
      <c r="H10" s="122"/>
      <c r="I10" s="122"/>
      <c r="J10" s="122"/>
      <c r="K10" s="122"/>
      <c r="L10" s="122"/>
      <c r="M10" s="122"/>
      <c r="N10" s="707"/>
      <c r="O10" s="707"/>
      <c r="P10" s="707"/>
      <c r="Q10" s="708">
        <v>1E-3</v>
      </c>
      <c r="R10" s="708">
        <f t="shared" si="0"/>
        <v>0</v>
      </c>
      <c r="S10" s="708">
        <f t="shared" ref="S10:S22" si="20">Tinit+$Q10*(Tad_max-Tinit)</f>
        <v>0</v>
      </c>
      <c r="T10" s="2068">
        <f t="shared" si="1"/>
        <v>1E-3</v>
      </c>
      <c r="U10" s="2068">
        <f t="shared" si="2"/>
        <v>0</v>
      </c>
      <c r="V10" s="2068" t="e">
        <f t="shared" ref="V10:V22" si="21">IF(AND(Mw_Feed&lt;&gt;"",VP_B&lt;&gt;"",State&lt;&gt;"Vapor"),IF(U10+Pad_Pressure*(273+S10)/(273+T)&lt;Effective_Fill_Fract*Liq_rho*82.06*(273+S10)/Mw_Feed,U10+Pad_Pressure*(273+S10)/(273+T)+IF(Gas_Exo="Yes",1,$Q10)*Gas_Gen*82.06*(273+S10)*Effective_Fill_Fract/(1.1-Effective_Fill_Fract),Effective_Fill_Fract*Liq_rho*(IF(Gas_Exo="Yes",1,$Q10)*Gas_Gen*Mw_Feed+1)*82.06*(273+S10)/Mw_Feed+0.001),((P+1)/(273+T)+IF(Gas_Exo="Yes",1,$Q10)*82.1*Gas_Gen)*(S10+273))</f>
        <v>#DIV/0!</v>
      </c>
      <c r="W10" s="2068" t="e">
        <f t="shared" si="3"/>
        <v>#N/A</v>
      </c>
      <c r="X10" s="2068" t="e">
        <f t="shared" si="4"/>
        <v>#N/A</v>
      </c>
      <c r="Y10" s="2068">
        <f t="shared" si="5"/>
        <v>0</v>
      </c>
      <c r="Z10" s="708">
        <f t="shared" ref="Z10:Z22" si="22">IF(OR(AND($X$24=0,$AA$24=0),ISERROR(T_ExtHeat)),S10,T_ExtHeat+$Q10*(Tad_max-Tinit))</f>
        <v>0</v>
      </c>
      <c r="AA10" s="2068" t="e">
        <f t="shared" si="6"/>
        <v>#N/A</v>
      </c>
      <c r="AB10" s="2068">
        <f t="shared" si="7"/>
        <v>0</v>
      </c>
      <c r="AC10" s="2068" t="e">
        <f t="shared" si="8"/>
        <v>#DIV/0!</v>
      </c>
      <c r="AD10" s="2068" t="e">
        <f t="shared" si="9"/>
        <v>#N/A</v>
      </c>
      <c r="AE10" s="708" t="e">
        <f>IF(Fire_Heat_Rate&gt;0,IF(T_Fire&gt;Tinit,T_Fire+$Q10*(Tad_max-Tinit),Tinit+$Q10*(Tad_max-Tinit)),NA())</f>
        <v>#N/A</v>
      </c>
      <c r="AF10" s="2068" t="e">
        <f t="shared" si="10"/>
        <v>#N/A</v>
      </c>
      <c r="AG10" s="2068">
        <f t="shared" si="11"/>
        <v>0</v>
      </c>
      <c r="AH10" s="2068" t="e">
        <f t="shared" si="12"/>
        <v>#N/A</v>
      </c>
      <c r="AI10" s="708" t="e">
        <f t="shared" ref="AI10:AI22" si="23">IF(Catalyzed="Yes",T+$Q10*(Tad_max-Tinit),NA())</f>
        <v>#N/A</v>
      </c>
      <c r="AJ10" s="2068" t="e">
        <f t="shared" ref="AJ10:AJ22" si="24">IF(AND(ABS(DHR)&gt;0.001,Catalyzed="Yes"),(1-$Q10)*AU$70*EXP((-1000*Act_Energy/1.987)*(1/(273+AI10)-1/(273+T))+Y10),NA())</f>
        <v>#N/A</v>
      </c>
      <c r="AK10" s="2068">
        <f t="shared" ref="AK10:AK22" si="25">IF(AND(State="Liquid",y_rel&gt;0),x_rel*Act_rel*EXP(VP_A-VP_B/(AI10+273.15-VP_C))/y_rel,0)</f>
        <v>0</v>
      </c>
      <c r="AL10" s="2068" t="e">
        <f t="shared" ref="AL10:AL22" si="26">IF(AND(Mw_Feed&lt;&gt;"",VP_B&lt;&gt;"",State&lt;&gt;"Vapor"),IF(AK10+(273+AI10)/(273+T)&lt;Effective_Fill_Fract*Liq_rho*82.06*(273+AI10)/Mw_Feed,AK10+(273+AI10)/(273+T)+$Q10*Gas_Gen*82.06*(273+AI10)*Effective_Fill_Fract/(1.1-Effective_Fill_Fract),Effective_Fill_Fract*Liq_rho*($Q10*Gas_Gen*Mw_Feed+1)*82.06*(273+AI10)/Mw_Feed+0.001),((P+1)/(273+T)+$Q10*82.1*Gas_Gen)*(AI10+273))</f>
        <v>#N/A</v>
      </c>
      <c r="AM10" s="708" t="e">
        <f t="shared" ref="AM10:AM22" si="27">IF(Rx_Pooling="Yes",IF(AND(Rx_Pooling_Factor&gt;0,Second_Phase="Yes"),IF(T_Pooling&gt;Tinit,T_Pooling+$Q10*(Tad_max-Tinit)/Rx_Pooling_Factor,Tinit+$Q10*(Tad_max-Tinit)/Rx_Pooling_Factor),IF(T_Pooling&gt;Tinit,T_Pooling+$Q10*Rx_Pooling_Factor*(Tad_max-Tinit),Tinit+$Q10*Rx_Pooling_Factor*(Tad_max-Tinit))),NA())</f>
        <v>#N/A</v>
      </c>
      <c r="AN10" s="2068" t="e">
        <f t="shared" ref="AN10:AN22" si="28">IF(AND(ABS(DHR)&gt;0.001,Rx_Pooling="Yes"),(1-$Q10)*r_Tinitial*Rx_Pooling_Factor*EXP((-1000*Act_Energy/1.987)*(1/(273+AM10)-1/(273+Tinit)))+Y10,NA())</f>
        <v>#N/A</v>
      </c>
      <c r="AO10" s="2068">
        <f t="shared" ref="AO10:AO22" si="29">IF(AND(State="Liquid",y_rel&gt;0),x_rel*Act_rel*EXP(VP_A-VP_B/(AM10+273.15-VP_C))/y_rel,0)</f>
        <v>0</v>
      </c>
      <c r="AP10" s="2068" t="e">
        <f t="shared" ref="AP10:AP22" si="30">IF(AND(Mw_Feed&lt;&gt;"",VP_B&lt;&gt;"",State&lt;&gt;"Vapor"),IF(AO10+(273+AM10)/(273+T)&lt;Effective_Fill_Fract*Liq_rho*82.06*(273+AM10)/Mw_Feed,AO10+(273+AM10)/(273+T)+$Q10*Gas_Gen*82.06*(273+AM10)*Effective_Fill_Fract/(1.1-Effective_Fill_Fract),Effective_Fill_Fract*Liq_rho*($Q10*Gas_Gen*Mw_Feed+1)*82.06*(273+AM10)/Mw_Feed+0.001),((P+1)/(273+T)+$Q10*82.1*Gas_Gen)*(AM10+273))</f>
        <v>#N/A</v>
      </c>
      <c r="AQ10" s="708" t="e">
        <f t="shared" ref="AQ10:AQ22" si="31">IF(Rx_MisLoading="Yes",IF(T_MisLoad&gt;Tinit,T_MisLoad+$Q10*Rx_MisLoading_Factor*(Tad_max-Tinit),Tinit+$Q10*Rx_MisLoading_Factor*(Tad_max-Tinit)),NA())</f>
        <v>#N/A</v>
      </c>
      <c r="AR10" s="2068" t="e">
        <f t="shared" ref="AR10:AR22" si="32">IF(AND(ABS(DHR)&gt;0.001,Rx_MisLoading="Yes"),IF(ABS(Limiting_Rate)&gt;0,Rx_MisLoading_Factor*ABS(Limiting_Rate)+Y10,(1-$Q10)*r_Tinitial*Rx_MisLoading_Factor*EXP((-1000*Act_Energy/1.987)*(1/(273+AQ10)-1/(273+Tinit)))+Y10),NA())</f>
        <v>#N/A</v>
      </c>
      <c r="AS10" s="2068">
        <f t="shared" ref="AS10:AS22" si="33">IF(AND(State="Liquid",y_rel&gt;0),x_rel*Act_rel*EXP(VP_A-VP_B/(AQ10+273.15-VP_C))/y_rel,0)</f>
        <v>0</v>
      </c>
      <c r="AT10" s="2068" t="e">
        <f t="shared" ref="AT10:AT22" si="34">IF(AND(Mw_Feed&lt;&gt;"",VP_B&lt;&gt;"",State&lt;&gt;"Vapor"),IF(AS10+(273+AQ10)/(273+T)&lt;Effective_Fill_Fract*Liq_rho*82.06*(273+AQ10)/Mw_Feed,AS10+(273+AQ10)/(273+T)+$Q10*Gas_Gen*82.06*(273+AQ10)*Effective_Fill_Fract/(1.1-Effective_Fill_Fract),Effective_Fill_Fract*Liq_rho*($Q10*Gas_Gen*Mw_Feed+1)*82.06*(273+AQ10)/Mw_Feed+0.001),((P+1)/(273+T)+$Q10*82.1*Gas_Gen)*(AQ10+273))</f>
        <v>#N/A</v>
      </c>
      <c r="AU10" s="2068"/>
      <c r="AV10" s="2068"/>
      <c r="AW10" s="707"/>
      <c r="AX10" s="708" t="e">
        <f t="shared" ref="AX10:AY22" si="35">IF(ISERR(S10),NA(),IF(S10=0,NA(),S10))</f>
        <v>#N/A</v>
      </c>
      <c r="AY10" s="2068">
        <f t="shared" si="35"/>
        <v>1E-3</v>
      </c>
      <c r="AZ10" s="708" t="e">
        <f t="shared" ref="AZ10:AZ22" si="36">IF(ISERR(V10),NA(),IF(V10=0,NA(),V10))</f>
        <v>#N/A</v>
      </c>
      <c r="BA10" s="708" t="e">
        <f t="shared" si="13"/>
        <v>#N/A</v>
      </c>
      <c r="BB10" s="2068" t="e">
        <f t="shared" si="14"/>
        <v>#N/A</v>
      </c>
      <c r="BC10" s="2068" t="e">
        <f t="shared" si="14"/>
        <v>#N/A</v>
      </c>
      <c r="BD10" s="2068" t="e">
        <f t="shared" si="14"/>
        <v>#N/A</v>
      </c>
      <c r="BE10" s="708" t="e">
        <f t="shared" si="14"/>
        <v>#N/A</v>
      </c>
      <c r="BF10" s="2068" t="e">
        <f t="shared" si="14"/>
        <v>#N/A</v>
      </c>
      <c r="BG10" s="2068" t="e">
        <f t="shared" si="15"/>
        <v>#N/A</v>
      </c>
      <c r="BH10" s="2068" t="e">
        <f t="shared" si="15"/>
        <v>#N/A</v>
      </c>
      <c r="BI10" s="708" t="e">
        <f t="shared" si="15"/>
        <v>#N/A</v>
      </c>
      <c r="BJ10" s="2068" t="e">
        <f t="shared" si="15"/>
        <v>#N/A</v>
      </c>
      <c r="BK10" s="2068" t="e">
        <f t="shared" si="16"/>
        <v>#N/A</v>
      </c>
      <c r="BL10" s="708" t="e">
        <f t="shared" si="16"/>
        <v>#N/A</v>
      </c>
      <c r="BM10" s="2068" t="e">
        <f t="shared" si="16"/>
        <v>#N/A</v>
      </c>
      <c r="BN10" s="2068" t="e">
        <f t="shared" si="17"/>
        <v>#N/A</v>
      </c>
      <c r="BO10" s="708" t="e">
        <f t="shared" si="17"/>
        <v>#N/A</v>
      </c>
      <c r="BP10" s="2068" t="e">
        <f t="shared" si="17"/>
        <v>#N/A</v>
      </c>
      <c r="BQ10" s="2068" t="e">
        <f t="shared" si="18"/>
        <v>#N/A</v>
      </c>
      <c r="BR10" s="708" t="e">
        <f t="shared" si="18"/>
        <v>#N/A</v>
      </c>
      <c r="BS10" s="2068" t="e">
        <f t="shared" si="18"/>
        <v>#N/A</v>
      </c>
      <c r="BT10" s="2068" t="e">
        <f>IF(ISERR(AT10),NA(),IF(AT10=0,NA(),AT10))</f>
        <v>#N/A</v>
      </c>
      <c r="BU10" s="2068" t="e">
        <f t="shared" ref="BU10:BU23" si="37">IF(ISERR(AU10),NA(),IF(AU10=0,NA(),AU10))</f>
        <v>#N/A</v>
      </c>
      <c r="BV10" s="708" t="e">
        <f t="shared" si="19"/>
        <v>#N/A</v>
      </c>
      <c r="BW10" s="707"/>
      <c r="BX10" s="707"/>
      <c r="BY10" s="707"/>
      <c r="BZ10" s="707"/>
      <c r="CA10" s="714"/>
      <c r="CB10" s="714"/>
      <c r="CC10" s="887"/>
      <c r="CD10" s="887"/>
      <c r="CE10" s="887"/>
      <c r="CF10" s="887"/>
      <c r="CG10" s="887"/>
      <c r="CH10" s="887"/>
      <c r="CI10" s="996"/>
      <c r="CJ10" s="996"/>
      <c r="CK10" s="996"/>
      <c r="CL10" s="996"/>
      <c r="CM10" s="996"/>
      <c r="CN10" s="996"/>
      <c r="CO10" s="996"/>
      <c r="CP10" s="996"/>
      <c r="CQ10" s="996"/>
      <c r="CR10" s="996"/>
    </row>
    <row r="11" spans="1:96" s="30" customFormat="1" x14ac:dyDescent="0.25">
      <c r="A11" s="122"/>
      <c r="B11" s="3771" t="s">
        <v>283</v>
      </c>
      <c r="C11" s="3771"/>
      <c r="D11" s="3771"/>
      <c r="E11" s="3771"/>
      <c r="F11" s="122"/>
      <c r="G11" s="122"/>
      <c r="H11" s="122"/>
      <c r="I11" s="122"/>
      <c r="J11" s="122"/>
      <c r="K11" s="122"/>
      <c r="L11" s="122"/>
      <c r="M11" s="122"/>
      <c r="N11" s="707"/>
      <c r="O11" s="707"/>
      <c r="P11" s="707"/>
      <c r="Q11" s="708">
        <v>0.05</v>
      </c>
      <c r="R11" s="708">
        <f t="shared" si="0"/>
        <v>0</v>
      </c>
      <c r="S11" s="708">
        <f t="shared" si="20"/>
        <v>0</v>
      </c>
      <c r="T11" s="2068">
        <f t="shared" si="1"/>
        <v>1E-3</v>
      </c>
      <c r="U11" s="2068">
        <f t="shared" si="2"/>
        <v>0</v>
      </c>
      <c r="V11" s="2068" t="e">
        <f t="shared" si="21"/>
        <v>#DIV/0!</v>
      </c>
      <c r="W11" s="2068" t="e">
        <f t="shared" si="3"/>
        <v>#N/A</v>
      </c>
      <c r="X11" s="2068" t="e">
        <f t="shared" si="4"/>
        <v>#N/A</v>
      </c>
      <c r="Y11" s="2068">
        <f t="shared" si="5"/>
        <v>0</v>
      </c>
      <c r="Z11" s="708">
        <f t="shared" si="22"/>
        <v>0</v>
      </c>
      <c r="AA11" s="2068" t="e">
        <f t="shared" si="6"/>
        <v>#N/A</v>
      </c>
      <c r="AB11" s="2068">
        <f t="shared" si="7"/>
        <v>0</v>
      </c>
      <c r="AC11" s="2068" t="e">
        <f t="shared" si="8"/>
        <v>#DIV/0!</v>
      </c>
      <c r="AD11" s="2068" t="e">
        <f t="shared" si="9"/>
        <v>#N/A</v>
      </c>
      <c r="AE11" s="708" t="e">
        <f t="shared" ref="AE11:AE21" si="38">IF(Fire_Heat_Rate&gt;0,IF(T_Fire&gt;Tinit,T_Fire+$Q11*(Tad_max-Tinit),Tinit+$Q11*(Tad_max-Tinit)),NA())</f>
        <v>#N/A</v>
      </c>
      <c r="AF11" s="2068" t="e">
        <f t="shared" si="10"/>
        <v>#N/A</v>
      </c>
      <c r="AG11" s="2068">
        <f t="shared" si="11"/>
        <v>0</v>
      </c>
      <c r="AH11" s="2068" t="e">
        <f t="shared" si="12"/>
        <v>#N/A</v>
      </c>
      <c r="AI11" s="708" t="e">
        <f t="shared" si="23"/>
        <v>#N/A</v>
      </c>
      <c r="AJ11" s="2068" t="e">
        <f t="shared" si="24"/>
        <v>#N/A</v>
      </c>
      <c r="AK11" s="2068">
        <f t="shared" si="25"/>
        <v>0</v>
      </c>
      <c r="AL11" s="2068" t="e">
        <f t="shared" si="26"/>
        <v>#N/A</v>
      </c>
      <c r="AM11" s="708" t="e">
        <f t="shared" si="27"/>
        <v>#N/A</v>
      </c>
      <c r="AN11" s="2068" t="e">
        <f t="shared" si="28"/>
        <v>#N/A</v>
      </c>
      <c r="AO11" s="2068">
        <f t="shared" si="29"/>
        <v>0</v>
      </c>
      <c r="AP11" s="2068" t="e">
        <f t="shared" si="30"/>
        <v>#N/A</v>
      </c>
      <c r="AQ11" s="708" t="e">
        <f t="shared" si="31"/>
        <v>#N/A</v>
      </c>
      <c r="AR11" s="2068" t="e">
        <f t="shared" si="32"/>
        <v>#N/A</v>
      </c>
      <c r="AS11" s="2068">
        <f t="shared" si="33"/>
        <v>0</v>
      </c>
      <c r="AT11" s="2068" t="e">
        <f t="shared" si="34"/>
        <v>#N/A</v>
      </c>
      <c r="AU11" s="2068"/>
      <c r="AV11" s="2068"/>
      <c r="AW11" s="707"/>
      <c r="AX11" s="708" t="e">
        <f>IF(ISERR(S11),NA(),IF(S11=0,NA(),S11))</f>
        <v>#N/A</v>
      </c>
      <c r="AY11" s="2068">
        <f t="shared" si="35"/>
        <v>1E-3</v>
      </c>
      <c r="AZ11" s="708" t="e">
        <f t="shared" si="36"/>
        <v>#N/A</v>
      </c>
      <c r="BA11" s="708" t="e">
        <f t="shared" si="13"/>
        <v>#N/A</v>
      </c>
      <c r="BB11" s="2068" t="e">
        <f t="shared" si="14"/>
        <v>#N/A</v>
      </c>
      <c r="BC11" s="2068" t="e">
        <f t="shared" si="14"/>
        <v>#N/A</v>
      </c>
      <c r="BD11" s="2068" t="e">
        <f t="shared" si="14"/>
        <v>#N/A</v>
      </c>
      <c r="BE11" s="708" t="e">
        <f t="shared" si="14"/>
        <v>#N/A</v>
      </c>
      <c r="BF11" s="2068" t="e">
        <f t="shared" si="14"/>
        <v>#N/A</v>
      </c>
      <c r="BG11" s="2068" t="e">
        <f t="shared" si="15"/>
        <v>#N/A</v>
      </c>
      <c r="BH11" s="2068" t="e">
        <f t="shared" si="15"/>
        <v>#N/A</v>
      </c>
      <c r="BI11" s="708" t="e">
        <f t="shared" si="15"/>
        <v>#N/A</v>
      </c>
      <c r="BJ11" s="2068" t="e">
        <f t="shared" si="15"/>
        <v>#N/A</v>
      </c>
      <c r="BK11" s="2068" t="e">
        <f t="shared" si="16"/>
        <v>#N/A</v>
      </c>
      <c r="BL11" s="708" t="e">
        <f t="shared" si="16"/>
        <v>#N/A</v>
      </c>
      <c r="BM11" s="2068" t="e">
        <f t="shared" si="16"/>
        <v>#N/A</v>
      </c>
      <c r="BN11" s="2068" t="e">
        <f t="shared" si="17"/>
        <v>#N/A</v>
      </c>
      <c r="BO11" s="708" t="e">
        <f t="shared" si="17"/>
        <v>#N/A</v>
      </c>
      <c r="BP11" s="2068" t="e">
        <f t="shared" si="17"/>
        <v>#N/A</v>
      </c>
      <c r="BQ11" s="2068" t="e">
        <f t="shared" si="18"/>
        <v>#N/A</v>
      </c>
      <c r="BR11" s="708" t="e">
        <f t="shared" si="18"/>
        <v>#N/A</v>
      </c>
      <c r="BS11" s="2068" t="e">
        <f t="shared" si="18"/>
        <v>#N/A</v>
      </c>
      <c r="BT11" s="2068" t="e">
        <f t="shared" ref="BT11:BT22" si="39">IF(ISERR(AT11),NA(),IF(AT11=0,NA(),AT11))</f>
        <v>#N/A</v>
      </c>
      <c r="BU11" s="2068" t="e">
        <f t="shared" si="37"/>
        <v>#N/A</v>
      </c>
      <c r="BV11" s="708" t="e">
        <f t="shared" si="19"/>
        <v>#N/A</v>
      </c>
      <c r="BW11" s="707"/>
      <c r="BX11" s="707"/>
      <c r="BY11" s="707"/>
      <c r="BZ11" s="707"/>
      <c r="CA11" s="714"/>
      <c r="CB11" s="714"/>
      <c r="CC11" s="887"/>
      <c r="CD11" s="887"/>
      <c r="CE11" s="887"/>
      <c r="CF11" s="887"/>
      <c r="CG11" s="887"/>
      <c r="CH11" s="887"/>
      <c r="CI11" s="996"/>
      <c r="CJ11" s="996"/>
      <c r="CK11" s="996"/>
      <c r="CL11" s="996"/>
      <c r="CM11" s="996"/>
      <c r="CN11" s="996"/>
      <c r="CO11" s="996"/>
      <c r="CP11" s="996"/>
      <c r="CQ11" s="996"/>
      <c r="CR11" s="996"/>
    </row>
    <row r="12" spans="1:96" s="30" customFormat="1" ht="25.4" customHeight="1" x14ac:dyDescent="0.25">
      <c r="A12" s="122"/>
      <c r="B12" s="3770" t="str">
        <f>IF(ISBLANK(D12),IF(OR(AND(Fract_Key_Chemical&lt;1,NOT('Chemical Data'!$C$21=Fract_Key_Chemical)),ISBLANK(VLOOKUP(Chemical,Chem_Table,COLUMN(Rx_Data_Reference_C),FALSE))),"",IF(ISERROR(VLOOKUP(Chemical,Chem_Table,COLUMN(Rx_Data_Reference_C),FALSE)),"",VLOOKUP(Chemical,Chem_Table,COLUMN(Rx_Data_Reference_C),FALSE))),D12)</f>
        <v/>
      </c>
      <c r="C12" s="3770"/>
      <c r="D12" s="3772"/>
      <c r="E12" s="3772"/>
      <c r="F12" s="122"/>
      <c r="G12" s="122"/>
      <c r="H12" s="122"/>
      <c r="I12" s="122"/>
      <c r="J12" s="122"/>
      <c r="K12" s="122"/>
      <c r="L12" s="122"/>
      <c r="M12" s="122"/>
      <c r="N12" s="707"/>
      <c r="O12" s="707"/>
      <c r="P12" s="707"/>
      <c r="Q12" s="708">
        <v>0.1</v>
      </c>
      <c r="R12" s="708">
        <f t="shared" si="0"/>
        <v>0</v>
      </c>
      <c r="S12" s="708">
        <f t="shared" si="20"/>
        <v>0</v>
      </c>
      <c r="T12" s="2068">
        <f t="shared" si="1"/>
        <v>1E-3</v>
      </c>
      <c r="U12" s="2068">
        <f t="shared" si="2"/>
        <v>0</v>
      </c>
      <c r="V12" s="2068" t="e">
        <f t="shared" si="21"/>
        <v>#DIV/0!</v>
      </c>
      <c r="W12" s="2068" t="e">
        <f t="shared" si="3"/>
        <v>#N/A</v>
      </c>
      <c r="X12" s="2068" t="e">
        <f t="shared" si="4"/>
        <v>#N/A</v>
      </c>
      <c r="Y12" s="2068">
        <f t="shared" si="5"/>
        <v>0</v>
      </c>
      <c r="Z12" s="708">
        <f t="shared" si="22"/>
        <v>0</v>
      </c>
      <c r="AA12" s="2068" t="e">
        <f t="shared" si="6"/>
        <v>#N/A</v>
      </c>
      <c r="AB12" s="2068">
        <f t="shared" si="7"/>
        <v>0</v>
      </c>
      <c r="AC12" s="2068" t="e">
        <f t="shared" si="8"/>
        <v>#DIV/0!</v>
      </c>
      <c r="AD12" s="2068" t="e">
        <f t="shared" si="9"/>
        <v>#N/A</v>
      </c>
      <c r="AE12" s="708" t="e">
        <f t="shared" si="38"/>
        <v>#N/A</v>
      </c>
      <c r="AF12" s="2068" t="e">
        <f t="shared" si="10"/>
        <v>#N/A</v>
      </c>
      <c r="AG12" s="2068">
        <f t="shared" si="11"/>
        <v>0</v>
      </c>
      <c r="AH12" s="2068" t="e">
        <f t="shared" si="12"/>
        <v>#N/A</v>
      </c>
      <c r="AI12" s="708" t="e">
        <f t="shared" si="23"/>
        <v>#N/A</v>
      </c>
      <c r="AJ12" s="2068" t="e">
        <f t="shared" si="24"/>
        <v>#N/A</v>
      </c>
      <c r="AK12" s="2068">
        <f t="shared" si="25"/>
        <v>0</v>
      </c>
      <c r="AL12" s="2068" t="e">
        <f t="shared" si="26"/>
        <v>#N/A</v>
      </c>
      <c r="AM12" s="708" t="e">
        <f t="shared" si="27"/>
        <v>#N/A</v>
      </c>
      <c r="AN12" s="2068" t="e">
        <f t="shared" si="28"/>
        <v>#N/A</v>
      </c>
      <c r="AO12" s="2068">
        <f t="shared" si="29"/>
        <v>0</v>
      </c>
      <c r="AP12" s="2068" t="e">
        <f t="shared" si="30"/>
        <v>#N/A</v>
      </c>
      <c r="AQ12" s="708" t="e">
        <f t="shared" si="31"/>
        <v>#N/A</v>
      </c>
      <c r="AR12" s="2068" t="e">
        <f t="shared" si="32"/>
        <v>#N/A</v>
      </c>
      <c r="AS12" s="2068">
        <f t="shared" si="33"/>
        <v>0</v>
      </c>
      <c r="AT12" s="2068" t="e">
        <f t="shared" si="34"/>
        <v>#N/A</v>
      </c>
      <c r="AU12" s="2068"/>
      <c r="AV12" s="2068"/>
      <c r="AW12" s="707"/>
      <c r="AX12" s="708" t="e">
        <f t="shared" si="35"/>
        <v>#N/A</v>
      </c>
      <c r="AY12" s="2068">
        <f t="shared" si="35"/>
        <v>1E-3</v>
      </c>
      <c r="AZ12" s="708" t="e">
        <f t="shared" si="36"/>
        <v>#N/A</v>
      </c>
      <c r="BA12" s="708" t="e">
        <f t="shared" si="13"/>
        <v>#N/A</v>
      </c>
      <c r="BB12" s="2068" t="e">
        <f t="shared" si="14"/>
        <v>#N/A</v>
      </c>
      <c r="BC12" s="2068" t="e">
        <f t="shared" si="14"/>
        <v>#N/A</v>
      </c>
      <c r="BD12" s="2068" t="e">
        <f t="shared" si="14"/>
        <v>#N/A</v>
      </c>
      <c r="BE12" s="708" t="e">
        <f t="shared" si="14"/>
        <v>#N/A</v>
      </c>
      <c r="BF12" s="2068" t="e">
        <f t="shared" si="14"/>
        <v>#N/A</v>
      </c>
      <c r="BG12" s="2068" t="e">
        <f t="shared" si="15"/>
        <v>#N/A</v>
      </c>
      <c r="BH12" s="2068" t="e">
        <f t="shared" si="15"/>
        <v>#N/A</v>
      </c>
      <c r="BI12" s="708" t="e">
        <f t="shared" si="15"/>
        <v>#N/A</v>
      </c>
      <c r="BJ12" s="2068" t="e">
        <f t="shared" si="15"/>
        <v>#N/A</v>
      </c>
      <c r="BK12" s="2068" t="e">
        <f t="shared" si="16"/>
        <v>#N/A</v>
      </c>
      <c r="BL12" s="708" t="e">
        <f t="shared" si="16"/>
        <v>#N/A</v>
      </c>
      <c r="BM12" s="2068" t="e">
        <f t="shared" si="16"/>
        <v>#N/A</v>
      </c>
      <c r="BN12" s="2068" t="e">
        <f t="shared" si="17"/>
        <v>#N/A</v>
      </c>
      <c r="BO12" s="708" t="e">
        <f t="shared" si="17"/>
        <v>#N/A</v>
      </c>
      <c r="BP12" s="2068" t="e">
        <f t="shared" si="17"/>
        <v>#N/A</v>
      </c>
      <c r="BQ12" s="2068" t="e">
        <f t="shared" si="18"/>
        <v>#N/A</v>
      </c>
      <c r="BR12" s="708" t="e">
        <f t="shared" si="18"/>
        <v>#N/A</v>
      </c>
      <c r="BS12" s="2068" t="e">
        <f t="shared" si="18"/>
        <v>#N/A</v>
      </c>
      <c r="BT12" s="2068" t="e">
        <f t="shared" si="39"/>
        <v>#N/A</v>
      </c>
      <c r="BU12" s="2068" t="e">
        <f t="shared" si="37"/>
        <v>#N/A</v>
      </c>
      <c r="BV12" s="708" t="e">
        <f t="shared" si="19"/>
        <v>#N/A</v>
      </c>
      <c r="BW12" s="707"/>
      <c r="BX12" s="707"/>
      <c r="BY12" s="707"/>
      <c r="BZ12" s="707"/>
      <c r="CA12" s="714"/>
      <c r="CB12" s="714"/>
      <c r="CC12" s="887"/>
      <c r="CD12" s="887"/>
      <c r="CE12" s="887"/>
      <c r="CF12" s="887"/>
      <c r="CG12" s="887"/>
      <c r="CH12" s="887"/>
      <c r="CI12" s="996"/>
      <c r="CJ12" s="996"/>
      <c r="CK12" s="996"/>
      <c r="CL12" s="996"/>
      <c r="CM12" s="996"/>
      <c r="CN12" s="996"/>
      <c r="CO12" s="996"/>
      <c r="CP12" s="996"/>
      <c r="CQ12" s="996"/>
      <c r="CR12" s="996"/>
    </row>
    <row r="13" spans="1:96" s="30" customFormat="1" ht="12.75" customHeight="1" x14ac:dyDescent="0.25">
      <c r="A13" s="122"/>
      <c r="B13" s="3797" t="s">
        <v>2774</v>
      </c>
      <c r="C13" s="3798"/>
      <c r="D13" s="243">
        <f>IF(ISBLANK(E13),IF(OR(AND(Fract_Key_Chemical&lt;1,NOT('Chemical Data'!$C$21=Fract_Key_Chemical)),NOT(ISNUMBER(VLOOKUP(Chemical,Chem_Table,COLUMN(DHR_C),FALSE)))),0,VLOOKUP(Chemical,Chem_Table,COLUMN(DHR_C),FALSE)),E13)</f>
        <v>0</v>
      </c>
      <c r="E13" s="1600"/>
      <c r="F13" s="122"/>
      <c r="G13" s="122"/>
      <c r="H13" s="122"/>
      <c r="I13" s="122"/>
      <c r="J13" s="122"/>
      <c r="K13" s="122"/>
      <c r="L13" s="122"/>
      <c r="M13" s="122"/>
      <c r="N13" s="707"/>
      <c r="O13" s="707"/>
      <c r="P13" s="707"/>
      <c r="Q13" s="708">
        <v>0.2</v>
      </c>
      <c r="R13" s="708">
        <f t="shared" si="0"/>
        <v>0</v>
      </c>
      <c r="S13" s="708">
        <f t="shared" si="20"/>
        <v>0</v>
      </c>
      <c r="T13" s="2068">
        <f t="shared" si="1"/>
        <v>1E-3</v>
      </c>
      <c r="U13" s="2068">
        <f t="shared" si="2"/>
        <v>0</v>
      </c>
      <c r="V13" s="2068" t="e">
        <f t="shared" si="21"/>
        <v>#DIV/0!</v>
      </c>
      <c r="W13" s="2068" t="e">
        <f t="shared" si="3"/>
        <v>#N/A</v>
      </c>
      <c r="X13" s="2068" t="e">
        <f t="shared" si="4"/>
        <v>#N/A</v>
      </c>
      <c r="Y13" s="2068">
        <f t="shared" si="5"/>
        <v>0</v>
      </c>
      <c r="Z13" s="708">
        <f t="shared" si="22"/>
        <v>0</v>
      </c>
      <c r="AA13" s="2068" t="e">
        <f t="shared" si="6"/>
        <v>#N/A</v>
      </c>
      <c r="AB13" s="2068">
        <f t="shared" si="7"/>
        <v>0</v>
      </c>
      <c r="AC13" s="2068" t="e">
        <f t="shared" si="8"/>
        <v>#DIV/0!</v>
      </c>
      <c r="AD13" s="2068" t="e">
        <f t="shared" si="9"/>
        <v>#N/A</v>
      </c>
      <c r="AE13" s="708" t="e">
        <f t="shared" si="38"/>
        <v>#N/A</v>
      </c>
      <c r="AF13" s="2068" t="e">
        <f t="shared" si="10"/>
        <v>#N/A</v>
      </c>
      <c r="AG13" s="2068">
        <f t="shared" si="11"/>
        <v>0</v>
      </c>
      <c r="AH13" s="2068" t="e">
        <f t="shared" si="12"/>
        <v>#N/A</v>
      </c>
      <c r="AI13" s="708" t="e">
        <f t="shared" si="23"/>
        <v>#N/A</v>
      </c>
      <c r="AJ13" s="2068" t="e">
        <f t="shared" si="24"/>
        <v>#N/A</v>
      </c>
      <c r="AK13" s="2068">
        <f t="shared" si="25"/>
        <v>0</v>
      </c>
      <c r="AL13" s="2068" t="e">
        <f t="shared" si="26"/>
        <v>#N/A</v>
      </c>
      <c r="AM13" s="708" t="e">
        <f t="shared" si="27"/>
        <v>#N/A</v>
      </c>
      <c r="AN13" s="2068" t="e">
        <f t="shared" si="28"/>
        <v>#N/A</v>
      </c>
      <c r="AO13" s="2068">
        <f t="shared" si="29"/>
        <v>0</v>
      </c>
      <c r="AP13" s="2068" t="e">
        <f t="shared" si="30"/>
        <v>#N/A</v>
      </c>
      <c r="AQ13" s="708" t="e">
        <f t="shared" si="31"/>
        <v>#N/A</v>
      </c>
      <c r="AR13" s="2068" t="e">
        <f t="shared" si="32"/>
        <v>#N/A</v>
      </c>
      <c r="AS13" s="2068">
        <f t="shared" si="33"/>
        <v>0</v>
      </c>
      <c r="AT13" s="2068" t="e">
        <f t="shared" si="34"/>
        <v>#N/A</v>
      </c>
      <c r="AU13" s="2068"/>
      <c r="AV13" s="2068"/>
      <c r="AW13" s="707"/>
      <c r="AX13" s="708" t="e">
        <f t="shared" si="35"/>
        <v>#N/A</v>
      </c>
      <c r="AY13" s="2068">
        <f t="shared" si="35"/>
        <v>1E-3</v>
      </c>
      <c r="AZ13" s="708" t="e">
        <f t="shared" si="36"/>
        <v>#N/A</v>
      </c>
      <c r="BA13" s="708" t="e">
        <f t="shared" si="13"/>
        <v>#N/A</v>
      </c>
      <c r="BB13" s="2068" t="e">
        <f t="shared" si="14"/>
        <v>#N/A</v>
      </c>
      <c r="BC13" s="2068" t="e">
        <f t="shared" si="14"/>
        <v>#N/A</v>
      </c>
      <c r="BD13" s="2068" t="e">
        <f t="shared" si="14"/>
        <v>#N/A</v>
      </c>
      <c r="BE13" s="708" t="e">
        <f t="shared" si="14"/>
        <v>#N/A</v>
      </c>
      <c r="BF13" s="2068" t="e">
        <f t="shared" si="14"/>
        <v>#N/A</v>
      </c>
      <c r="BG13" s="2068" t="e">
        <f t="shared" si="15"/>
        <v>#N/A</v>
      </c>
      <c r="BH13" s="2068" t="e">
        <f t="shared" si="15"/>
        <v>#N/A</v>
      </c>
      <c r="BI13" s="708" t="e">
        <f t="shared" si="15"/>
        <v>#N/A</v>
      </c>
      <c r="BJ13" s="2068" t="e">
        <f t="shared" si="15"/>
        <v>#N/A</v>
      </c>
      <c r="BK13" s="2068" t="e">
        <f t="shared" si="16"/>
        <v>#N/A</v>
      </c>
      <c r="BL13" s="708" t="e">
        <f t="shared" si="16"/>
        <v>#N/A</v>
      </c>
      <c r="BM13" s="2068" t="e">
        <f t="shared" si="16"/>
        <v>#N/A</v>
      </c>
      <c r="BN13" s="2068" t="e">
        <f t="shared" si="17"/>
        <v>#N/A</v>
      </c>
      <c r="BO13" s="708" t="e">
        <f t="shared" si="17"/>
        <v>#N/A</v>
      </c>
      <c r="BP13" s="2068" t="e">
        <f t="shared" si="17"/>
        <v>#N/A</v>
      </c>
      <c r="BQ13" s="2068" t="e">
        <f t="shared" si="18"/>
        <v>#N/A</v>
      </c>
      <c r="BR13" s="708" t="e">
        <f t="shared" si="18"/>
        <v>#N/A</v>
      </c>
      <c r="BS13" s="2068" t="e">
        <f t="shared" si="18"/>
        <v>#N/A</v>
      </c>
      <c r="BT13" s="2068" t="e">
        <f t="shared" si="39"/>
        <v>#N/A</v>
      </c>
      <c r="BU13" s="2068" t="e">
        <f t="shared" si="37"/>
        <v>#N/A</v>
      </c>
      <c r="BV13" s="708" t="e">
        <f t="shared" si="19"/>
        <v>#N/A</v>
      </c>
      <c r="BW13" s="707"/>
      <c r="BX13" s="707"/>
      <c r="BY13" s="707"/>
      <c r="BZ13" s="707"/>
      <c r="CA13" s="714"/>
      <c r="CB13" s="714"/>
      <c r="CC13" s="887"/>
      <c r="CD13" s="887"/>
      <c r="CE13" s="887"/>
      <c r="CF13" s="887"/>
      <c r="CG13" s="887"/>
      <c r="CH13" s="887"/>
      <c r="CI13" s="996"/>
      <c r="CJ13" s="996"/>
      <c r="CK13" s="996"/>
      <c r="CL13" s="996"/>
      <c r="CM13" s="996"/>
      <c r="CN13" s="996"/>
      <c r="CO13" s="996"/>
      <c r="CP13" s="996"/>
      <c r="CQ13" s="996"/>
      <c r="CR13" s="996"/>
    </row>
    <row r="14" spans="1:96" s="30" customFormat="1" ht="12.75" customHeight="1" x14ac:dyDescent="0.25">
      <c r="A14" s="122"/>
      <c r="B14" s="3802" t="s">
        <v>2775</v>
      </c>
      <c r="C14" s="3780"/>
      <c r="D14" s="243">
        <f>IF(ISBLANK(E14),IF(OR(AND(Fract_Key_Chemical&lt;1,NOT('Chemical Data'!$C$21=Fract_Key_Chemical)),NOT(ISNUMBER(VLOOKUP(Chemical,Chem_Table,COLUMN(Act_Energy_C),FALSE)))),0,VLOOKUP(Chemical,Chem_Table,COLUMN(Act_Energy_C),FALSE)),E14)</f>
        <v>0</v>
      </c>
      <c r="E14" s="1600"/>
      <c r="F14" s="122"/>
      <c r="G14" s="122"/>
      <c r="H14" s="122"/>
      <c r="I14" s="122"/>
      <c r="J14" s="122"/>
      <c r="K14" s="122"/>
      <c r="L14" s="122"/>
      <c r="M14" s="122"/>
      <c r="N14" s="707"/>
      <c r="O14" s="707"/>
      <c r="P14" s="707"/>
      <c r="Q14" s="708">
        <v>0.3</v>
      </c>
      <c r="R14" s="708">
        <f t="shared" si="0"/>
        <v>0</v>
      </c>
      <c r="S14" s="708">
        <f t="shared" si="20"/>
        <v>0</v>
      </c>
      <c r="T14" s="2068">
        <f t="shared" si="1"/>
        <v>1E-3</v>
      </c>
      <c r="U14" s="2068">
        <f t="shared" si="2"/>
        <v>0</v>
      </c>
      <c r="V14" s="2068" t="e">
        <f t="shared" si="21"/>
        <v>#DIV/0!</v>
      </c>
      <c r="W14" s="2068" t="e">
        <f t="shared" si="3"/>
        <v>#N/A</v>
      </c>
      <c r="X14" s="2068" t="e">
        <f t="shared" si="4"/>
        <v>#N/A</v>
      </c>
      <c r="Y14" s="2068">
        <f t="shared" si="5"/>
        <v>0</v>
      </c>
      <c r="Z14" s="708">
        <f t="shared" si="22"/>
        <v>0</v>
      </c>
      <c r="AA14" s="2068" t="e">
        <f t="shared" si="6"/>
        <v>#N/A</v>
      </c>
      <c r="AB14" s="2068">
        <f t="shared" si="7"/>
        <v>0</v>
      </c>
      <c r="AC14" s="2068" t="e">
        <f t="shared" si="8"/>
        <v>#DIV/0!</v>
      </c>
      <c r="AD14" s="2068" t="e">
        <f t="shared" si="9"/>
        <v>#N/A</v>
      </c>
      <c r="AE14" s="708" t="e">
        <f t="shared" si="38"/>
        <v>#N/A</v>
      </c>
      <c r="AF14" s="2068" t="e">
        <f t="shared" si="10"/>
        <v>#N/A</v>
      </c>
      <c r="AG14" s="2068">
        <f t="shared" si="11"/>
        <v>0</v>
      </c>
      <c r="AH14" s="2068" t="e">
        <f t="shared" si="12"/>
        <v>#N/A</v>
      </c>
      <c r="AI14" s="708" t="e">
        <f t="shared" si="23"/>
        <v>#N/A</v>
      </c>
      <c r="AJ14" s="2068" t="e">
        <f t="shared" si="24"/>
        <v>#N/A</v>
      </c>
      <c r="AK14" s="2068">
        <f t="shared" si="25"/>
        <v>0</v>
      </c>
      <c r="AL14" s="2068" t="e">
        <f t="shared" si="26"/>
        <v>#N/A</v>
      </c>
      <c r="AM14" s="708" t="e">
        <f t="shared" si="27"/>
        <v>#N/A</v>
      </c>
      <c r="AN14" s="2068" t="e">
        <f t="shared" si="28"/>
        <v>#N/A</v>
      </c>
      <c r="AO14" s="2068">
        <f t="shared" si="29"/>
        <v>0</v>
      </c>
      <c r="AP14" s="2068" t="e">
        <f t="shared" si="30"/>
        <v>#N/A</v>
      </c>
      <c r="AQ14" s="708" t="e">
        <f t="shared" si="31"/>
        <v>#N/A</v>
      </c>
      <c r="AR14" s="2068" t="e">
        <f t="shared" si="32"/>
        <v>#N/A</v>
      </c>
      <c r="AS14" s="2068">
        <f t="shared" si="33"/>
        <v>0</v>
      </c>
      <c r="AT14" s="2068" t="e">
        <f t="shared" si="34"/>
        <v>#N/A</v>
      </c>
      <c r="AU14" s="2068"/>
      <c r="AV14" s="2068"/>
      <c r="AW14" s="707"/>
      <c r="AX14" s="708" t="e">
        <f t="shared" si="35"/>
        <v>#N/A</v>
      </c>
      <c r="AY14" s="2068">
        <f t="shared" si="35"/>
        <v>1E-3</v>
      </c>
      <c r="AZ14" s="708" t="e">
        <f t="shared" si="36"/>
        <v>#N/A</v>
      </c>
      <c r="BA14" s="708" t="e">
        <f t="shared" si="13"/>
        <v>#N/A</v>
      </c>
      <c r="BB14" s="2068" t="e">
        <f t="shared" si="14"/>
        <v>#N/A</v>
      </c>
      <c r="BC14" s="2068" t="e">
        <f t="shared" si="14"/>
        <v>#N/A</v>
      </c>
      <c r="BD14" s="2068" t="e">
        <f t="shared" si="14"/>
        <v>#N/A</v>
      </c>
      <c r="BE14" s="708" t="e">
        <f t="shared" si="14"/>
        <v>#N/A</v>
      </c>
      <c r="BF14" s="2068" t="e">
        <f t="shared" si="14"/>
        <v>#N/A</v>
      </c>
      <c r="BG14" s="2068" t="e">
        <f t="shared" si="15"/>
        <v>#N/A</v>
      </c>
      <c r="BH14" s="2068" t="e">
        <f t="shared" si="15"/>
        <v>#N/A</v>
      </c>
      <c r="BI14" s="708" t="e">
        <f t="shared" si="15"/>
        <v>#N/A</v>
      </c>
      <c r="BJ14" s="2068" t="e">
        <f t="shared" si="15"/>
        <v>#N/A</v>
      </c>
      <c r="BK14" s="2068" t="e">
        <f t="shared" si="16"/>
        <v>#N/A</v>
      </c>
      <c r="BL14" s="708" t="e">
        <f t="shared" si="16"/>
        <v>#N/A</v>
      </c>
      <c r="BM14" s="2068" t="e">
        <f t="shared" si="16"/>
        <v>#N/A</v>
      </c>
      <c r="BN14" s="2068" t="e">
        <f t="shared" si="17"/>
        <v>#N/A</v>
      </c>
      <c r="BO14" s="708" t="e">
        <f t="shared" si="17"/>
        <v>#N/A</v>
      </c>
      <c r="BP14" s="2068" t="e">
        <f t="shared" si="17"/>
        <v>#N/A</v>
      </c>
      <c r="BQ14" s="2068" t="e">
        <f t="shared" si="18"/>
        <v>#N/A</v>
      </c>
      <c r="BR14" s="708" t="e">
        <f t="shared" si="18"/>
        <v>#N/A</v>
      </c>
      <c r="BS14" s="2068" t="e">
        <f t="shared" si="18"/>
        <v>#N/A</v>
      </c>
      <c r="BT14" s="2068" t="e">
        <f t="shared" si="39"/>
        <v>#N/A</v>
      </c>
      <c r="BU14" s="2068" t="e">
        <f t="shared" si="37"/>
        <v>#N/A</v>
      </c>
      <c r="BV14" s="708" t="e">
        <f t="shared" si="19"/>
        <v>#N/A</v>
      </c>
      <c r="BW14" s="707"/>
      <c r="BX14" s="707"/>
      <c r="BY14" s="707"/>
      <c r="BZ14" s="707"/>
      <c r="CA14" s="714"/>
      <c r="CB14" s="714"/>
      <c r="CC14" s="887"/>
      <c r="CD14" s="887"/>
      <c r="CE14" s="887"/>
      <c r="CF14" s="887"/>
      <c r="CG14" s="887"/>
      <c r="CH14" s="887"/>
      <c r="CI14" s="996"/>
      <c r="CJ14" s="996"/>
      <c r="CK14" s="996"/>
      <c r="CL14" s="996"/>
      <c r="CM14" s="996"/>
      <c r="CN14" s="996"/>
      <c r="CO14" s="996"/>
      <c r="CP14" s="996"/>
      <c r="CQ14" s="996"/>
      <c r="CR14" s="996"/>
    </row>
    <row r="15" spans="1:96" s="30" customFormat="1" ht="12.75" customHeight="1" x14ac:dyDescent="0.25">
      <c r="A15" s="122"/>
      <c r="B15" s="3779" t="s">
        <v>3158</v>
      </c>
      <c r="C15" s="3780"/>
      <c r="D15" s="243">
        <f>IF(ISBLANK(E15),IF(OR(AND(Fract_Key_Chemical&lt;1,NOT('Chemical Data'!$C$21=Fract_Key_Chemical)),NOT(ISNUMBER(VLOOKUP(Chemical,Chem_Table,COLUMN(Tdet_C),FALSE)))),0,VLOOKUP(Chemical,Chem_Table,COLUMN(Tdet_C),FALSE)),E15)</f>
        <v>0</v>
      </c>
      <c r="E15" s="1600"/>
      <c r="F15" s="122"/>
      <c r="G15" s="122"/>
      <c r="H15" s="122"/>
      <c r="I15" s="122"/>
      <c r="J15" s="122"/>
      <c r="K15" s="122"/>
      <c r="L15" s="122"/>
      <c r="M15" s="122"/>
      <c r="N15" s="707"/>
      <c r="O15" s="707"/>
      <c r="P15" s="707"/>
      <c r="Q15" s="708">
        <v>0.4</v>
      </c>
      <c r="R15" s="708">
        <f t="shared" si="0"/>
        <v>0</v>
      </c>
      <c r="S15" s="708">
        <f t="shared" si="20"/>
        <v>0</v>
      </c>
      <c r="T15" s="2068">
        <f t="shared" si="1"/>
        <v>1E-3</v>
      </c>
      <c r="U15" s="2068">
        <f t="shared" si="2"/>
        <v>0</v>
      </c>
      <c r="V15" s="2068" t="e">
        <f t="shared" si="21"/>
        <v>#DIV/0!</v>
      </c>
      <c r="W15" s="2068" t="e">
        <f t="shared" si="3"/>
        <v>#N/A</v>
      </c>
      <c r="X15" s="2068" t="e">
        <f t="shared" si="4"/>
        <v>#N/A</v>
      </c>
      <c r="Y15" s="2068">
        <f t="shared" si="5"/>
        <v>0</v>
      </c>
      <c r="Z15" s="708">
        <f t="shared" si="22"/>
        <v>0</v>
      </c>
      <c r="AA15" s="2068" t="e">
        <f t="shared" si="6"/>
        <v>#N/A</v>
      </c>
      <c r="AB15" s="2068">
        <f t="shared" si="7"/>
        <v>0</v>
      </c>
      <c r="AC15" s="2068" t="e">
        <f t="shared" si="8"/>
        <v>#DIV/0!</v>
      </c>
      <c r="AD15" s="2068" t="e">
        <f t="shared" si="9"/>
        <v>#N/A</v>
      </c>
      <c r="AE15" s="708" t="e">
        <f t="shared" si="38"/>
        <v>#N/A</v>
      </c>
      <c r="AF15" s="2068" t="e">
        <f t="shared" si="10"/>
        <v>#N/A</v>
      </c>
      <c r="AG15" s="2068">
        <f t="shared" si="11"/>
        <v>0</v>
      </c>
      <c r="AH15" s="2068" t="e">
        <f t="shared" si="12"/>
        <v>#N/A</v>
      </c>
      <c r="AI15" s="708" t="e">
        <f t="shared" si="23"/>
        <v>#N/A</v>
      </c>
      <c r="AJ15" s="2068" t="e">
        <f t="shared" si="24"/>
        <v>#N/A</v>
      </c>
      <c r="AK15" s="2068">
        <f t="shared" si="25"/>
        <v>0</v>
      </c>
      <c r="AL15" s="2068" t="e">
        <f t="shared" si="26"/>
        <v>#N/A</v>
      </c>
      <c r="AM15" s="708" t="e">
        <f t="shared" si="27"/>
        <v>#N/A</v>
      </c>
      <c r="AN15" s="2068" t="e">
        <f t="shared" si="28"/>
        <v>#N/A</v>
      </c>
      <c r="AO15" s="2068">
        <f t="shared" si="29"/>
        <v>0</v>
      </c>
      <c r="AP15" s="2068" t="e">
        <f t="shared" si="30"/>
        <v>#N/A</v>
      </c>
      <c r="AQ15" s="708" t="e">
        <f t="shared" si="31"/>
        <v>#N/A</v>
      </c>
      <c r="AR15" s="2068" t="e">
        <f t="shared" si="32"/>
        <v>#N/A</v>
      </c>
      <c r="AS15" s="2068">
        <f t="shared" si="33"/>
        <v>0</v>
      </c>
      <c r="AT15" s="2068" t="e">
        <f t="shared" si="34"/>
        <v>#N/A</v>
      </c>
      <c r="AU15" s="2068"/>
      <c r="AV15" s="2068"/>
      <c r="AW15" s="707"/>
      <c r="AX15" s="708" t="e">
        <f t="shared" si="35"/>
        <v>#N/A</v>
      </c>
      <c r="AY15" s="2068">
        <f t="shared" si="35"/>
        <v>1E-3</v>
      </c>
      <c r="AZ15" s="708" t="e">
        <f t="shared" si="36"/>
        <v>#N/A</v>
      </c>
      <c r="BA15" s="708" t="e">
        <f t="shared" si="13"/>
        <v>#N/A</v>
      </c>
      <c r="BB15" s="2068" t="e">
        <f t="shared" si="14"/>
        <v>#N/A</v>
      </c>
      <c r="BC15" s="2068" t="e">
        <f t="shared" si="14"/>
        <v>#N/A</v>
      </c>
      <c r="BD15" s="2068" t="e">
        <f t="shared" si="14"/>
        <v>#N/A</v>
      </c>
      <c r="BE15" s="708" t="e">
        <f t="shared" si="14"/>
        <v>#N/A</v>
      </c>
      <c r="BF15" s="2068" t="e">
        <f t="shared" si="14"/>
        <v>#N/A</v>
      </c>
      <c r="BG15" s="2068" t="e">
        <f t="shared" si="15"/>
        <v>#N/A</v>
      </c>
      <c r="BH15" s="2068" t="e">
        <f t="shared" si="15"/>
        <v>#N/A</v>
      </c>
      <c r="BI15" s="708" t="e">
        <f t="shared" si="15"/>
        <v>#N/A</v>
      </c>
      <c r="BJ15" s="2068" t="e">
        <f t="shared" si="15"/>
        <v>#N/A</v>
      </c>
      <c r="BK15" s="2068" t="e">
        <f t="shared" si="16"/>
        <v>#N/A</v>
      </c>
      <c r="BL15" s="708" t="e">
        <f t="shared" si="16"/>
        <v>#N/A</v>
      </c>
      <c r="BM15" s="2068" t="e">
        <f t="shared" si="16"/>
        <v>#N/A</v>
      </c>
      <c r="BN15" s="2068" t="e">
        <f t="shared" si="17"/>
        <v>#N/A</v>
      </c>
      <c r="BO15" s="708" t="e">
        <f t="shared" si="17"/>
        <v>#N/A</v>
      </c>
      <c r="BP15" s="2068" t="e">
        <f t="shared" si="17"/>
        <v>#N/A</v>
      </c>
      <c r="BQ15" s="2068" t="e">
        <f t="shared" si="18"/>
        <v>#N/A</v>
      </c>
      <c r="BR15" s="708" t="e">
        <f t="shared" si="18"/>
        <v>#N/A</v>
      </c>
      <c r="BS15" s="2068" t="e">
        <f t="shared" si="18"/>
        <v>#N/A</v>
      </c>
      <c r="BT15" s="2068" t="e">
        <f t="shared" si="39"/>
        <v>#N/A</v>
      </c>
      <c r="BU15" s="2068" t="e">
        <f t="shared" si="37"/>
        <v>#N/A</v>
      </c>
      <c r="BV15" s="708" t="e">
        <f t="shared" si="19"/>
        <v>#N/A</v>
      </c>
      <c r="BW15" s="707"/>
      <c r="BX15" s="707"/>
      <c r="BY15" s="707"/>
      <c r="BZ15" s="707"/>
      <c r="CA15" s="714"/>
      <c r="CB15" s="714"/>
      <c r="CC15" s="887"/>
      <c r="CD15" s="887"/>
      <c r="CE15" s="887"/>
      <c r="CF15" s="887"/>
      <c r="CG15" s="887"/>
      <c r="CH15" s="887"/>
      <c r="CI15" s="996"/>
      <c r="CJ15" s="996"/>
      <c r="CK15" s="996"/>
      <c r="CL15" s="996"/>
      <c r="CM15" s="996"/>
      <c r="CN15" s="996"/>
      <c r="CO15" s="996"/>
      <c r="CP15" s="996"/>
      <c r="CQ15" s="996"/>
      <c r="CR15" s="996"/>
    </row>
    <row r="16" spans="1:96" s="30" customFormat="1" ht="12.75" customHeight="1" x14ac:dyDescent="0.25">
      <c r="A16" s="122"/>
      <c r="B16" s="3779" t="s">
        <v>3159</v>
      </c>
      <c r="C16" s="3780"/>
      <c r="D16" s="243">
        <f>IF(ISBLANK(E16),IF(OR(AND(Fract_Key_Chemical&lt;1,NOT('Chemical Data'!$C$21=Fract_Key_Chemical)),NOT(ISNUMBER(VLOOKUP(Chemical,Chem_Table,COLUMN(Rdet_C),FALSE)))),0,VLOOKUP(Chemical,Chem_Table,COLUMN(Rdet_C),FALSE)),E16)</f>
        <v>0</v>
      </c>
      <c r="E16" s="1600"/>
      <c r="F16" s="122"/>
      <c r="G16" s="122"/>
      <c r="H16" s="122"/>
      <c r="I16" s="122"/>
      <c r="J16" s="122"/>
      <c r="K16" s="122"/>
      <c r="L16" s="122"/>
      <c r="M16" s="122"/>
      <c r="N16" s="707"/>
      <c r="O16" s="707"/>
      <c r="P16" s="707"/>
      <c r="Q16" s="708">
        <v>0.5</v>
      </c>
      <c r="R16" s="708">
        <f t="shared" si="0"/>
        <v>0</v>
      </c>
      <c r="S16" s="708">
        <f t="shared" si="20"/>
        <v>0</v>
      </c>
      <c r="T16" s="2068">
        <f t="shared" si="1"/>
        <v>1E-3</v>
      </c>
      <c r="U16" s="2068">
        <f t="shared" si="2"/>
        <v>0</v>
      </c>
      <c r="V16" s="2068" t="e">
        <f t="shared" si="21"/>
        <v>#DIV/0!</v>
      </c>
      <c r="W16" s="2068" t="e">
        <f t="shared" si="3"/>
        <v>#N/A</v>
      </c>
      <c r="X16" s="2068" t="e">
        <f t="shared" si="4"/>
        <v>#N/A</v>
      </c>
      <c r="Y16" s="2068">
        <f t="shared" si="5"/>
        <v>0</v>
      </c>
      <c r="Z16" s="708">
        <f t="shared" si="22"/>
        <v>0</v>
      </c>
      <c r="AA16" s="2068" t="e">
        <f t="shared" si="6"/>
        <v>#N/A</v>
      </c>
      <c r="AB16" s="2068">
        <f t="shared" si="7"/>
        <v>0</v>
      </c>
      <c r="AC16" s="2068" t="e">
        <f t="shared" si="8"/>
        <v>#DIV/0!</v>
      </c>
      <c r="AD16" s="2068" t="e">
        <f t="shared" si="9"/>
        <v>#N/A</v>
      </c>
      <c r="AE16" s="708" t="e">
        <f t="shared" si="38"/>
        <v>#N/A</v>
      </c>
      <c r="AF16" s="2068" t="e">
        <f t="shared" si="10"/>
        <v>#N/A</v>
      </c>
      <c r="AG16" s="2068">
        <f t="shared" si="11"/>
        <v>0</v>
      </c>
      <c r="AH16" s="2068" t="e">
        <f t="shared" si="12"/>
        <v>#N/A</v>
      </c>
      <c r="AI16" s="708" t="e">
        <f t="shared" si="23"/>
        <v>#N/A</v>
      </c>
      <c r="AJ16" s="2068" t="e">
        <f t="shared" si="24"/>
        <v>#N/A</v>
      </c>
      <c r="AK16" s="2068">
        <f t="shared" si="25"/>
        <v>0</v>
      </c>
      <c r="AL16" s="2068" t="e">
        <f t="shared" si="26"/>
        <v>#N/A</v>
      </c>
      <c r="AM16" s="708" t="e">
        <f t="shared" si="27"/>
        <v>#N/A</v>
      </c>
      <c r="AN16" s="2068" t="e">
        <f t="shared" si="28"/>
        <v>#N/A</v>
      </c>
      <c r="AO16" s="2068">
        <f t="shared" si="29"/>
        <v>0</v>
      </c>
      <c r="AP16" s="2068" t="e">
        <f t="shared" si="30"/>
        <v>#N/A</v>
      </c>
      <c r="AQ16" s="708" t="e">
        <f t="shared" si="31"/>
        <v>#N/A</v>
      </c>
      <c r="AR16" s="2068" t="e">
        <f t="shared" si="32"/>
        <v>#N/A</v>
      </c>
      <c r="AS16" s="2068">
        <f t="shared" si="33"/>
        <v>0</v>
      </c>
      <c r="AT16" s="2068" t="e">
        <f t="shared" si="34"/>
        <v>#N/A</v>
      </c>
      <c r="AU16" s="2068"/>
      <c r="AV16" s="2068"/>
      <c r="AW16" s="707"/>
      <c r="AX16" s="708" t="e">
        <f t="shared" si="35"/>
        <v>#N/A</v>
      </c>
      <c r="AY16" s="2068">
        <f t="shared" si="35"/>
        <v>1E-3</v>
      </c>
      <c r="AZ16" s="708" t="e">
        <f t="shared" si="36"/>
        <v>#N/A</v>
      </c>
      <c r="BA16" s="708" t="e">
        <f t="shared" si="13"/>
        <v>#N/A</v>
      </c>
      <c r="BB16" s="2068" t="e">
        <f t="shared" si="14"/>
        <v>#N/A</v>
      </c>
      <c r="BC16" s="2068" t="e">
        <f t="shared" si="14"/>
        <v>#N/A</v>
      </c>
      <c r="BD16" s="2068" t="e">
        <f t="shared" si="14"/>
        <v>#N/A</v>
      </c>
      <c r="BE16" s="708" t="e">
        <f t="shared" si="14"/>
        <v>#N/A</v>
      </c>
      <c r="BF16" s="2068" t="e">
        <f t="shared" si="14"/>
        <v>#N/A</v>
      </c>
      <c r="BG16" s="2068" t="e">
        <f t="shared" si="15"/>
        <v>#N/A</v>
      </c>
      <c r="BH16" s="2068" t="e">
        <f t="shared" si="15"/>
        <v>#N/A</v>
      </c>
      <c r="BI16" s="708" t="e">
        <f t="shared" si="15"/>
        <v>#N/A</v>
      </c>
      <c r="BJ16" s="2068" t="e">
        <f t="shared" si="15"/>
        <v>#N/A</v>
      </c>
      <c r="BK16" s="2068" t="e">
        <f t="shared" si="16"/>
        <v>#N/A</v>
      </c>
      <c r="BL16" s="708" t="e">
        <f t="shared" si="16"/>
        <v>#N/A</v>
      </c>
      <c r="BM16" s="2068" t="e">
        <f t="shared" si="16"/>
        <v>#N/A</v>
      </c>
      <c r="BN16" s="2068" t="e">
        <f t="shared" si="17"/>
        <v>#N/A</v>
      </c>
      <c r="BO16" s="708" t="e">
        <f t="shared" si="17"/>
        <v>#N/A</v>
      </c>
      <c r="BP16" s="2068" t="e">
        <f t="shared" si="17"/>
        <v>#N/A</v>
      </c>
      <c r="BQ16" s="2068" t="e">
        <f t="shared" si="18"/>
        <v>#N/A</v>
      </c>
      <c r="BR16" s="708" t="e">
        <f t="shared" si="18"/>
        <v>#N/A</v>
      </c>
      <c r="BS16" s="2068" t="e">
        <f t="shared" si="18"/>
        <v>#N/A</v>
      </c>
      <c r="BT16" s="2068" t="e">
        <f t="shared" si="39"/>
        <v>#N/A</v>
      </c>
      <c r="BU16" s="2068" t="e">
        <f t="shared" si="37"/>
        <v>#N/A</v>
      </c>
      <c r="BV16" s="708" t="e">
        <f t="shared" si="19"/>
        <v>#N/A</v>
      </c>
      <c r="BW16" s="707"/>
      <c r="BX16" s="707"/>
      <c r="BY16" s="707"/>
      <c r="BZ16" s="707"/>
      <c r="CA16" s="714"/>
      <c r="CB16" s="714"/>
      <c r="CC16" s="887"/>
      <c r="CD16" s="887"/>
      <c r="CE16" s="887"/>
      <c r="CF16" s="887"/>
      <c r="CG16" s="887"/>
      <c r="CH16" s="887"/>
      <c r="CI16" s="996"/>
      <c r="CJ16" s="996"/>
      <c r="CK16" s="996"/>
      <c r="CL16" s="996"/>
      <c r="CM16" s="996"/>
      <c r="CN16" s="996"/>
      <c r="CO16" s="996"/>
      <c r="CP16" s="996"/>
      <c r="CQ16" s="996"/>
      <c r="CR16" s="996"/>
    </row>
    <row r="17" spans="1:96" s="30" customFormat="1" ht="12.75" customHeight="1" x14ac:dyDescent="0.25">
      <c r="A17" s="122"/>
      <c r="B17" s="3779" t="s">
        <v>2776</v>
      </c>
      <c r="C17" s="3780"/>
      <c r="D17" s="243">
        <f>IF(ISBLANK(E17),IF(OR(AND(Fract_Key_Chemical&lt;1,NOT('Chemical Data'!$C$21=Fract_Key_Chemical)),NOT(ISNUMBER(VLOOKUP(Chemical,Chem_Table,COLUMN(Gas_Gen_C),FALSE)))),0,VLOOKUP(Chemical,Chem_Table,COLUMN(Gas_Gen_C),FALSE)),E17)</f>
        <v>0</v>
      </c>
      <c r="E17" s="2044"/>
      <c r="F17" s="122"/>
      <c r="G17" s="122"/>
      <c r="H17" s="122"/>
      <c r="I17" s="122"/>
      <c r="J17" s="122"/>
      <c r="K17" s="122"/>
      <c r="L17" s="122"/>
      <c r="M17" s="122"/>
      <c r="N17" s="707"/>
      <c r="O17" s="707"/>
      <c r="P17" s="707"/>
      <c r="Q17" s="708">
        <v>0.6</v>
      </c>
      <c r="R17" s="708">
        <f t="shared" si="0"/>
        <v>0</v>
      </c>
      <c r="S17" s="708">
        <f t="shared" si="20"/>
        <v>0</v>
      </c>
      <c r="T17" s="2068">
        <f t="shared" si="1"/>
        <v>1E-3</v>
      </c>
      <c r="U17" s="2068">
        <f t="shared" si="2"/>
        <v>0</v>
      </c>
      <c r="V17" s="2068" t="e">
        <f t="shared" si="21"/>
        <v>#DIV/0!</v>
      </c>
      <c r="W17" s="2068" t="e">
        <f t="shared" si="3"/>
        <v>#N/A</v>
      </c>
      <c r="X17" s="2068" t="e">
        <f t="shared" si="4"/>
        <v>#N/A</v>
      </c>
      <c r="Y17" s="2068">
        <f t="shared" si="5"/>
        <v>0</v>
      </c>
      <c r="Z17" s="708">
        <f t="shared" si="22"/>
        <v>0</v>
      </c>
      <c r="AA17" s="2068" t="e">
        <f t="shared" si="6"/>
        <v>#N/A</v>
      </c>
      <c r="AB17" s="2068">
        <f t="shared" si="7"/>
        <v>0</v>
      </c>
      <c r="AC17" s="2068" t="e">
        <f t="shared" si="8"/>
        <v>#DIV/0!</v>
      </c>
      <c r="AD17" s="2068" t="e">
        <f t="shared" si="9"/>
        <v>#N/A</v>
      </c>
      <c r="AE17" s="708" t="e">
        <f t="shared" si="38"/>
        <v>#N/A</v>
      </c>
      <c r="AF17" s="2068" t="e">
        <f t="shared" si="10"/>
        <v>#N/A</v>
      </c>
      <c r="AG17" s="2068">
        <f t="shared" si="11"/>
        <v>0</v>
      </c>
      <c r="AH17" s="2068" t="e">
        <f t="shared" si="12"/>
        <v>#N/A</v>
      </c>
      <c r="AI17" s="708" t="e">
        <f t="shared" si="23"/>
        <v>#N/A</v>
      </c>
      <c r="AJ17" s="2068" t="e">
        <f t="shared" si="24"/>
        <v>#N/A</v>
      </c>
      <c r="AK17" s="2068">
        <f t="shared" si="25"/>
        <v>0</v>
      </c>
      <c r="AL17" s="2068" t="e">
        <f t="shared" si="26"/>
        <v>#N/A</v>
      </c>
      <c r="AM17" s="708" t="e">
        <f t="shared" si="27"/>
        <v>#N/A</v>
      </c>
      <c r="AN17" s="2068" t="e">
        <f t="shared" si="28"/>
        <v>#N/A</v>
      </c>
      <c r="AO17" s="2068">
        <f t="shared" si="29"/>
        <v>0</v>
      </c>
      <c r="AP17" s="2068" t="e">
        <f t="shared" si="30"/>
        <v>#N/A</v>
      </c>
      <c r="AQ17" s="708" t="e">
        <f t="shared" si="31"/>
        <v>#N/A</v>
      </c>
      <c r="AR17" s="2068" t="e">
        <f t="shared" si="32"/>
        <v>#N/A</v>
      </c>
      <c r="AS17" s="2068">
        <f t="shared" si="33"/>
        <v>0</v>
      </c>
      <c r="AT17" s="2068" t="e">
        <f t="shared" si="34"/>
        <v>#N/A</v>
      </c>
      <c r="AU17" s="2068"/>
      <c r="AV17" s="2068"/>
      <c r="AW17" s="707"/>
      <c r="AX17" s="708" t="e">
        <f t="shared" si="35"/>
        <v>#N/A</v>
      </c>
      <c r="AY17" s="2068">
        <f t="shared" si="35"/>
        <v>1E-3</v>
      </c>
      <c r="AZ17" s="708" t="e">
        <f t="shared" si="36"/>
        <v>#N/A</v>
      </c>
      <c r="BA17" s="708" t="e">
        <f t="shared" si="13"/>
        <v>#N/A</v>
      </c>
      <c r="BB17" s="2068" t="e">
        <f t="shared" si="14"/>
        <v>#N/A</v>
      </c>
      <c r="BC17" s="2068" t="e">
        <f t="shared" si="14"/>
        <v>#N/A</v>
      </c>
      <c r="BD17" s="2068" t="e">
        <f t="shared" si="14"/>
        <v>#N/A</v>
      </c>
      <c r="BE17" s="708" t="e">
        <f t="shared" si="14"/>
        <v>#N/A</v>
      </c>
      <c r="BF17" s="2068" t="e">
        <f t="shared" si="14"/>
        <v>#N/A</v>
      </c>
      <c r="BG17" s="2068" t="e">
        <f t="shared" si="15"/>
        <v>#N/A</v>
      </c>
      <c r="BH17" s="2068" t="e">
        <f t="shared" si="15"/>
        <v>#N/A</v>
      </c>
      <c r="BI17" s="708" t="e">
        <f t="shared" si="15"/>
        <v>#N/A</v>
      </c>
      <c r="BJ17" s="2068" t="e">
        <f t="shared" si="15"/>
        <v>#N/A</v>
      </c>
      <c r="BK17" s="2068" t="e">
        <f t="shared" si="16"/>
        <v>#N/A</v>
      </c>
      <c r="BL17" s="708" t="e">
        <f t="shared" si="16"/>
        <v>#N/A</v>
      </c>
      <c r="BM17" s="2068" t="e">
        <f t="shared" si="16"/>
        <v>#N/A</v>
      </c>
      <c r="BN17" s="2068" t="e">
        <f t="shared" si="17"/>
        <v>#N/A</v>
      </c>
      <c r="BO17" s="708" t="e">
        <f t="shared" si="17"/>
        <v>#N/A</v>
      </c>
      <c r="BP17" s="2068" t="e">
        <f t="shared" si="17"/>
        <v>#N/A</v>
      </c>
      <c r="BQ17" s="2068" t="e">
        <f t="shared" si="18"/>
        <v>#N/A</v>
      </c>
      <c r="BR17" s="708" t="e">
        <f t="shared" si="18"/>
        <v>#N/A</v>
      </c>
      <c r="BS17" s="2068" t="e">
        <f t="shared" si="18"/>
        <v>#N/A</v>
      </c>
      <c r="BT17" s="2068" t="e">
        <f t="shared" si="39"/>
        <v>#N/A</v>
      </c>
      <c r="BU17" s="2068" t="e">
        <f t="shared" si="37"/>
        <v>#N/A</v>
      </c>
      <c r="BV17" s="708" t="e">
        <f t="shared" si="19"/>
        <v>#N/A</v>
      </c>
      <c r="BW17" s="707"/>
      <c r="BX17" s="707"/>
      <c r="BY17" s="707"/>
      <c r="BZ17" s="707"/>
      <c r="CA17" s="714"/>
      <c r="CB17" s="714"/>
      <c r="CC17" s="887"/>
      <c r="CD17" s="887"/>
      <c r="CE17" s="887"/>
      <c r="CF17" s="887"/>
      <c r="CG17" s="887"/>
      <c r="CH17" s="887"/>
      <c r="CI17" s="996"/>
      <c r="CJ17" s="996"/>
      <c r="CK17" s="996"/>
      <c r="CL17" s="996"/>
      <c r="CM17" s="996"/>
      <c r="CN17" s="996"/>
      <c r="CO17" s="996"/>
      <c r="CP17" s="996"/>
      <c r="CQ17" s="996"/>
      <c r="CR17" s="996"/>
    </row>
    <row r="18" spans="1:96" s="30" customFormat="1" ht="12.75" customHeight="1" x14ac:dyDescent="0.25">
      <c r="A18" s="122"/>
      <c r="B18" s="3779" t="s">
        <v>1351</v>
      </c>
      <c r="C18" s="3780"/>
      <c r="D18" s="243" t="str">
        <f>IF(ISBLANK(E18),IF(OR(AND(Fract_Key_Chemical&lt;1,NOT('Chemical Data'!$C$21=Fract_Key_Chemical)),NOT(ISTEXT(VLOOKUP(Chemical,Chem_Table,COLUMN(Gas_Exo_C),FALSE)))),"",VLOOKUP(Chemical,Chem_Table,COLUMN(Gas_Exo_C),FALSE)),E18)</f>
        <v/>
      </c>
      <c r="E18" s="1600"/>
      <c r="F18" s="122"/>
      <c r="G18" s="122"/>
      <c r="H18" s="122"/>
      <c r="I18" s="122"/>
      <c r="J18" s="122"/>
      <c r="K18" s="122"/>
      <c r="L18" s="122"/>
      <c r="M18" s="122"/>
      <c r="N18" s="707"/>
      <c r="O18" s="707"/>
      <c r="P18" s="707"/>
      <c r="Q18" s="708">
        <v>0.7</v>
      </c>
      <c r="R18" s="708">
        <f t="shared" si="0"/>
        <v>0</v>
      </c>
      <c r="S18" s="708">
        <f t="shared" si="20"/>
        <v>0</v>
      </c>
      <c r="T18" s="2068">
        <f t="shared" si="1"/>
        <v>1E-3</v>
      </c>
      <c r="U18" s="2068">
        <f t="shared" si="2"/>
        <v>0</v>
      </c>
      <c r="V18" s="2068" t="e">
        <f t="shared" si="21"/>
        <v>#DIV/0!</v>
      </c>
      <c r="W18" s="2068" t="e">
        <f t="shared" si="3"/>
        <v>#N/A</v>
      </c>
      <c r="X18" s="2068" t="e">
        <f t="shared" si="4"/>
        <v>#N/A</v>
      </c>
      <c r="Y18" s="2068">
        <f t="shared" si="5"/>
        <v>0</v>
      </c>
      <c r="Z18" s="708">
        <f t="shared" si="22"/>
        <v>0</v>
      </c>
      <c r="AA18" s="2068" t="e">
        <f t="shared" si="6"/>
        <v>#N/A</v>
      </c>
      <c r="AB18" s="2068">
        <f t="shared" si="7"/>
        <v>0</v>
      </c>
      <c r="AC18" s="2068" t="e">
        <f t="shared" si="8"/>
        <v>#DIV/0!</v>
      </c>
      <c r="AD18" s="2068" t="e">
        <f t="shared" si="9"/>
        <v>#N/A</v>
      </c>
      <c r="AE18" s="708" t="e">
        <f t="shared" si="38"/>
        <v>#N/A</v>
      </c>
      <c r="AF18" s="2068" t="e">
        <f t="shared" si="10"/>
        <v>#N/A</v>
      </c>
      <c r="AG18" s="2068">
        <f t="shared" si="11"/>
        <v>0</v>
      </c>
      <c r="AH18" s="2068" t="e">
        <f t="shared" si="12"/>
        <v>#N/A</v>
      </c>
      <c r="AI18" s="708" t="e">
        <f t="shared" si="23"/>
        <v>#N/A</v>
      </c>
      <c r="AJ18" s="2068" t="e">
        <f t="shared" si="24"/>
        <v>#N/A</v>
      </c>
      <c r="AK18" s="2068">
        <f t="shared" si="25"/>
        <v>0</v>
      </c>
      <c r="AL18" s="2068" t="e">
        <f t="shared" si="26"/>
        <v>#N/A</v>
      </c>
      <c r="AM18" s="708" t="e">
        <f t="shared" si="27"/>
        <v>#N/A</v>
      </c>
      <c r="AN18" s="2068" t="e">
        <f t="shared" si="28"/>
        <v>#N/A</v>
      </c>
      <c r="AO18" s="2068">
        <f t="shared" si="29"/>
        <v>0</v>
      </c>
      <c r="AP18" s="2068" t="e">
        <f t="shared" si="30"/>
        <v>#N/A</v>
      </c>
      <c r="AQ18" s="708" t="e">
        <f t="shared" si="31"/>
        <v>#N/A</v>
      </c>
      <c r="AR18" s="2068" t="e">
        <f t="shared" si="32"/>
        <v>#N/A</v>
      </c>
      <c r="AS18" s="2068">
        <f t="shared" si="33"/>
        <v>0</v>
      </c>
      <c r="AT18" s="2068" t="e">
        <f t="shared" si="34"/>
        <v>#N/A</v>
      </c>
      <c r="AU18" s="2068"/>
      <c r="AV18" s="2068"/>
      <c r="AW18" s="707"/>
      <c r="AX18" s="708" t="e">
        <f t="shared" si="35"/>
        <v>#N/A</v>
      </c>
      <c r="AY18" s="2068">
        <f t="shared" si="35"/>
        <v>1E-3</v>
      </c>
      <c r="AZ18" s="708" t="e">
        <f t="shared" si="36"/>
        <v>#N/A</v>
      </c>
      <c r="BA18" s="708" t="e">
        <f t="shared" si="13"/>
        <v>#N/A</v>
      </c>
      <c r="BB18" s="2068" t="e">
        <f t="shared" si="14"/>
        <v>#N/A</v>
      </c>
      <c r="BC18" s="2068" t="e">
        <f t="shared" si="14"/>
        <v>#N/A</v>
      </c>
      <c r="BD18" s="2068" t="e">
        <f t="shared" si="14"/>
        <v>#N/A</v>
      </c>
      <c r="BE18" s="708" t="e">
        <f t="shared" si="14"/>
        <v>#N/A</v>
      </c>
      <c r="BF18" s="2068" t="e">
        <f t="shared" si="14"/>
        <v>#N/A</v>
      </c>
      <c r="BG18" s="2068" t="e">
        <f t="shared" si="15"/>
        <v>#N/A</v>
      </c>
      <c r="BH18" s="2068" t="e">
        <f t="shared" si="15"/>
        <v>#N/A</v>
      </c>
      <c r="BI18" s="708" t="e">
        <f t="shared" si="15"/>
        <v>#N/A</v>
      </c>
      <c r="BJ18" s="2068" t="e">
        <f t="shared" si="15"/>
        <v>#N/A</v>
      </c>
      <c r="BK18" s="2068" t="e">
        <f t="shared" si="16"/>
        <v>#N/A</v>
      </c>
      <c r="BL18" s="708" t="e">
        <f t="shared" si="16"/>
        <v>#N/A</v>
      </c>
      <c r="BM18" s="2068" t="e">
        <f t="shared" si="16"/>
        <v>#N/A</v>
      </c>
      <c r="BN18" s="2068" t="e">
        <f t="shared" si="17"/>
        <v>#N/A</v>
      </c>
      <c r="BO18" s="708" t="e">
        <f t="shared" si="17"/>
        <v>#N/A</v>
      </c>
      <c r="BP18" s="2068" t="e">
        <f t="shared" si="17"/>
        <v>#N/A</v>
      </c>
      <c r="BQ18" s="2068" t="e">
        <f t="shared" si="18"/>
        <v>#N/A</v>
      </c>
      <c r="BR18" s="708" t="e">
        <f t="shared" si="18"/>
        <v>#N/A</v>
      </c>
      <c r="BS18" s="2068" t="e">
        <f t="shared" si="18"/>
        <v>#N/A</v>
      </c>
      <c r="BT18" s="2068" t="e">
        <f t="shared" si="39"/>
        <v>#N/A</v>
      </c>
      <c r="BU18" s="2068" t="e">
        <f t="shared" si="37"/>
        <v>#N/A</v>
      </c>
      <c r="BV18" s="708" t="e">
        <f t="shared" si="19"/>
        <v>#N/A</v>
      </c>
      <c r="BW18" s="707"/>
      <c r="BX18" s="707"/>
      <c r="BY18" s="707"/>
      <c r="BZ18" s="707"/>
      <c r="CA18" s="714"/>
      <c r="CB18" s="714"/>
      <c r="CC18" s="887"/>
      <c r="CD18" s="887"/>
      <c r="CE18" s="887"/>
      <c r="CF18" s="887"/>
      <c r="CG18" s="887"/>
      <c r="CH18" s="887"/>
      <c r="CI18" s="996"/>
      <c r="CJ18" s="996"/>
      <c r="CK18" s="996"/>
      <c r="CL18" s="996"/>
      <c r="CM18" s="996"/>
      <c r="CN18" s="996"/>
      <c r="CO18" s="996"/>
      <c r="CP18" s="996"/>
      <c r="CQ18" s="996"/>
      <c r="CR18" s="996"/>
    </row>
    <row r="19" spans="1:96" s="30" customFormat="1" ht="12.75" customHeight="1" x14ac:dyDescent="0.25">
      <c r="A19" s="122"/>
      <c r="B19" s="3779" t="s">
        <v>273</v>
      </c>
      <c r="C19" s="3780"/>
      <c r="D19" s="243" t="str">
        <f>IF(ISBLANK(E19),IF(OR(AND(Fract_Key_Chemical&lt;1,NOT('Chemical Data'!$C$21=Fract_Key_Chemical)),NOT(ISTEXT(VLOOKUP(Chemical,Chem_Table,COLUMN(Monomer_C),FALSE)))),"",VLOOKUP(Chemical,Chem_Table,COLUMN(Monomer_C),FALSE)),E19)</f>
        <v/>
      </c>
      <c r="E19" s="1600"/>
      <c r="F19" s="122"/>
      <c r="G19" s="122"/>
      <c r="H19" s="122"/>
      <c r="I19" s="122"/>
      <c r="J19" s="122"/>
      <c r="K19" s="122"/>
      <c r="L19" s="122"/>
      <c r="M19" s="122"/>
      <c r="N19" s="707"/>
      <c r="O19" s="707"/>
      <c r="P19" s="707"/>
      <c r="Q19" s="708">
        <v>0.8</v>
      </c>
      <c r="R19" s="708">
        <f t="shared" si="0"/>
        <v>0</v>
      </c>
      <c r="S19" s="708">
        <f t="shared" si="20"/>
        <v>0</v>
      </c>
      <c r="T19" s="2068">
        <f t="shared" si="1"/>
        <v>1E-3</v>
      </c>
      <c r="U19" s="2068">
        <f t="shared" si="2"/>
        <v>0</v>
      </c>
      <c r="V19" s="2068" t="e">
        <f t="shared" si="21"/>
        <v>#DIV/0!</v>
      </c>
      <c r="W19" s="2068" t="e">
        <f t="shared" si="3"/>
        <v>#N/A</v>
      </c>
      <c r="X19" s="2068" t="e">
        <f t="shared" si="4"/>
        <v>#N/A</v>
      </c>
      <c r="Y19" s="2068">
        <f t="shared" si="5"/>
        <v>0</v>
      </c>
      <c r="Z19" s="708">
        <f t="shared" si="22"/>
        <v>0</v>
      </c>
      <c r="AA19" s="2068" t="e">
        <f t="shared" si="6"/>
        <v>#N/A</v>
      </c>
      <c r="AB19" s="2068">
        <f t="shared" si="7"/>
        <v>0</v>
      </c>
      <c r="AC19" s="2068" t="e">
        <f t="shared" si="8"/>
        <v>#DIV/0!</v>
      </c>
      <c r="AD19" s="2068" t="e">
        <f t="shared" si="9"/>
        <v>#N/A</v>
      </c>
      <c r="AE19" s="708" t="e">
        <f t="shared" si="38"/>
        <v>#N/A</v>
      </c>
      <c r="AF19" s="2068" t="e">
        <f t="shared" si="10"/>
        <v>#N/A</v>
      </c>
      <c r="AG19" s="2068">
        <f t="shared" si="11"/>
        <v>0</v>
      </c>
      <c r="AH19" s="2068" t="e">
        <f t="shared" si="12"/>
        <v>#N/A</v>
      </c>
      <c r="AI19" s="708" t="e">
        <f t="shared" si="23"/>
        <v>#N/A</v>
      </c>
      <c r="AJ19" s="2068" t="e">
        <f t="shared" si="24"/>
        <v>#N/A</v>
      </c>
      <c r="AK19" s="2068">
        <f t="shared" si="25"/>
        <v>0</v>
      </c>
      <c r="AL19" s="2068" t="e">
        <f t="shared" si="26"/>
        <v>#N/A</v>
      </c>
      <c r="AM19" s="708" t="e">
        <f t="shared" si="27"/>
        <v>#N/A</v>
      </c>
      <c r="AN19" s="2068" t="e">
        <f t="shared" si="28"/>
        <v>#N/A</v>
      </c>
      <c r="AO19" s="2068">
        <f t="shared" si="29"/>
        <v>0</v>
      </c>
      <c r="AP19" s="2068" t="e">
        <f t="shared" si="30"/>
        <v>#N/A</v>
      </c>
      <c r="AQ19" s="708" t="e">
        <f t="shared" si="31"/>
        <v>#N/A</v>
      </c>
      <c r="AR19" s="2068" t="e">
        <f t="shared" si="32"/>
        <v>#N/A</v>
      </c>
      <c r="AS19" s="2068">
        <f t="shared" si="33"/>
        <v>0</v>
      </c>
      <c r="AT19" s="2068" t="e">
        <f t="shared" si="34"/>
        <v>#N/A</v>
      </c>
      <c r="AU19" s="2068"/>
      <c r="AV19" s="2068"/>
      <c r="AW19" s="707"/>
      <c r="AX19" s="708" t="e">
        <f t="shared" si="35"/>
        <v>#N/A</v>
      </c>
      <c r="AY19" s="2068">
        <f t="shared" si="35"/>
        <v>1E-3</v>
      </c>
      <c r="AZ19" s="708" t="e">
        <f t="shared" si="36"/>
        <v>#N/A</v>
      </c>
      <c r="BA19" s="708" t="e">
        <f t="shared" si="13"/>
        <v>#N/A</v>
      </c>
      <c r="BB19" s="2068" t="e">
        <f t="shared" si="14"/>
        <v>#N/A</v>
      </c>
      <c r="BC19" s="2068" t="e">
        <f t="shared" si="14"/>
        <v>#N/A</v>
      </c>
      <c r="BD19" s="2068" t="e">
        <f t="shared" si="14"/>
        <v>#N/A</v>
      </c>
      <c r="BE19" s="708" t="e">
        <f t="shared" si="14"/>
        <v>#N/A</v>
      </c>
      <c r="BF19" s="2068" t="e">
        <f t="shared" si="14"/>
        <v>#N/A</v>
      </c>
      <c r="BG19" s="2068" t="e">
        <f t="shared" si="15"/>
        <v>#N/A</v>
      </c>
      <c r="BH19" s="2068" t="e">
        <f t="shared" si="15"/>
        <v>#N/A</v>
      </c>
      <c r="BI19" s="708" t="e">
        <f t="shared" si="15"/>
        <v>#N/A</v>
      </c>
      <c r="BJ19" s="2068" t="e">
        <f t="shared" si="15"/>
        <v>#N/A</v>
      </c>
      <c r="BK19" s="2068" t="e">
        <f t="shared" si="16"/>
        <v>#N/A</v>
      </c>
      <c r="BL19" s="708" t="e">
        <f t="shared" si="16"/>
        <v>#N/A</v>
      </c>
      <c r="BM19" s="2068" t="e">
        <f t="shared" si="16"/>
        <v>#N/A</v>
      </c>
      <c r="BN19" s="2068" t="e">
        <f t="shared" si="17"/>
        <v>#N/A</v>
      </c>
      <c r="BO19" s="708" t="e">
        <f t="shared" si="17"/>
        <v>#N/A</v>
      </c>
      <c r="BP19" s="2068" t="e">
        <f t="shared" si="17"/>
        <v>#N/A</v>
      </c>
      <c r="BQ19" s="2068" t="e">
        <f t="shared" si="18"/>
        <v>#N/A</v>
      </c>
      <c r="BR19" s="708" t="e">
        <f t="shared" si="18"/>
        <v>#N/A</v>
      </c>
      <c r="BS19" s="2068" t="e">
        <f t="shared" si="18"/>
        <v>#N/A</v>
      </c>
      <c r="BT19" s="2068" t="e">
        <f t="shared" si="39"/>
        <v>#N/A</v>
      </c>
      <c r="BU19" s="2068" t="e">
        <f t="shared" si="37"/>
        <v>#N/A</v>
      </c>
      <c r="BV19" s="708" t="e">
        <f t="shared" si="19"/>
        <v>#N/A</v>
      </c>
      <c r="BW19" s="707"/>
      <c r="BX19" s="707"/>
      <c r="BY19" s="707"/>
      <c r="BZ19" s="707"/>
      <c r="CA19" s="714"/>
      <c r="CB19" s="714"/>
      <c r="CC19" s="887"/>
      <c r="CD19" s="887"/>
      <c r="CE19" s="887"/>
      <c r="CF19" s="887"/>
      <c r="CG19" s="887"/>
      <c r="CH19" s="887"/>
      <c r="CI19" s="996"/>
      <c r="CJ19" s="996"/>
      <c r="CK19" s="996"/>
      <c r="CL19" s="996"/>
      <c r="CM19" s="996"/>
      <c r="CN19" s="996"/>
      <c r="CO19" s="996"/>
      <c r="CP19" s="996"/>
      <c r="CQ19" s="996"/>
      <c r="CR19" s="996"/>
    </row>
    <row r="20" spans="1:96" s="30" customFormat="1" ht="12.75" customHeight="1" x14ac:dyDescent="0.25">
      <c r="A20" s="122"/>
      <c r="B20" s="3779" t="s">
        <v>354</v>
      </c>
      <c r="C20" s="3780"/>
      <c r="D20" s="243" t="str">
        <f>IF(ISBLANK(E20),IF(OR(AND(Fract_Key_Chemical&lt;1,NOT('Chemical Data'!$C$21=Fract_Key_Chemical)),NOT(ISNUMBER(VLOOKUP(Chemical,Chem_Table,COLUMN(phi_C),FALSE)))),"",VLOOKUP(Chemical,Chem_Table,COLUMN(phi_C),FALSE)),E20)</f>
        <v/>
      </c>
      <c r="E20" s="1600"/>
      <c r="F20" s="122"/>
      <c r="G20" s="122"/>
      <c r="H20" s="122"/>
      <c r="I20" s="122"/>
      <c r="J20" s="122"/>
      <c r="K20" s="122"/>
      <c r="L20" s="122"/>
      <c r="M20" s="122"/>
      <c r="N20" s="707"/>
      <c r="O20" s="707"/>
      <c r="P20" s="707"/>
      <c r="Q20" s="708">
        <v>0.9</v>
      </c>
      <c r="R20" s="708">
        <f t="shared" si="0"/>
        <v>0</v>
      </c>
      <c r="S20" s="708">
        <f t="shared" si="20"/>
        <v>0</v>
      </c>
      <c r="T20" s="2068">
        <f t="shared" si="1"/>
        <v>1E-3</v>
      </c>
      <c r="U20" s="2068">
        <f t="shared" si="2"/>
        <v>0</v>
      </c>
      <c r="V20" s="2068" t="e">
        <f t="shared" si="21"/>
        <v>#DIV/0!</v>
      </c>
      <c r="W20" s="2068" t="e">
        <f t="shared" si="3"/>
        <v>#N/A</v>
      </c>
      <c r="X20" s="2068" t="e">
        <f t="shared" si="4"/>
        <v>#N/A</v>
      </c>
      <c r="Y20" s="2068">
        <f t="shared" si="5"/>
        <v>0</v>
      </c>
      <c r="Z20" s="708">
        <f t="shared" si="22"/>
        <v>0</v>
      </c>
      <c r="AA20" s="2068" t="e">
        <f t="shared" si="6"/>
        <v>#N/A</v>
      </c>
      <c r="AB20" s="2068">
        <f t="shared" si="7"/>
        <v>0</v>
      </c>
      <c r="AC20" s="2068" t="e">
        <f t="shared" si="8"/>
        <v>#DIV/0!</v>
      </c>
      <c r="AD20" s="2068" t="e">
        <f t="shared" si="9"/>
        <v>#N/A</v>
      </c>
      <c r="AE20" s="708" t="e">
        <f t="shared" si="38"/>
        <v>#N/A</v>
      </c>
      <c r="AF20" s="2068" t="e">
        <f t="shared" si="10"/>
        <v>#N/A</v>
      </c>
      <c r="AG20" s="2068">
        <f t="shared" si="11"/>
        <v>0</v>
      </c>
      <c r="AH20" s="2068" t="e">
        <f t="shared" si="12"/>
        <v>#N/A</v>
      </c>
      <c r="AI20" s="708" t="e">
        <f t="shared" si="23"/>
        <v>#N/A</v>
      </c>
      <c r="AJ20" s="2068" t="e">
        <f t="shared" si="24"/>
        <v>#N/A</v>
      </c>
      <c r="AK20" s="2068">
        <f t="shared" si="25"/>
        <v>0</v>
      </c>
      <c r="AL20" s="2068" t="e">
        <f t="shared" si="26"/>
        <v>#N/A</v>
      </c>
      <c r="AM20" s="708" t="e">
        <f t="shared" si="27"/>
        <v>#N/A</v>
      </c>
      <c r="AN20" s="2068" t="e">
        <f t="shared" si="28"/>
        <v>#N/A</v>
      </c>
      <c r="AO20" s="2068">
        <f t="shared" si="29"/>
        <v>0</v>
      </c>
      <c r="AP20" s="2068" t="e">
        <f t="shared" si="30"/>
        <v>#N/A</v>
      </c>
      <c r="AQ20" s="708" t="e">
        <f t="shared" si="31"/>
        <v>#N/A</v>
      </c>
      <c r="AR20" s="2068" t="e">
        <f t="shared" si="32"/>
        <v>#N/A</v>
      </c>
      <c r="AS20" s="2068">
        <f t="shared" si="33"/>
        <v>0</v>
      </c>
      <c r="AT20" s="2068" t="e">
        <f t="shared" si="34"/>
        <v>#N/A</v>
      </c>
      <c r="AU20" s="2068"/>
      <c r="AV20" s="2068"/>
      <c r="AW20" s="707"/>
      <c r="AX20" s="708" t="e">
        <f t="shared" si="35"/>
        <v>#N/A</v>
      </c>
      <c r="AY20" s="2068">
        <f t="shared" si="35"/>
        <v>1E-3</v>
      </c>
      <c r="AZ20" s="708" t="e">
        <f t="shared" si="36"/>
        <v>#N/A</v>
      </c>
      <c r="BA20" s="708" t="e">
        <f t="shared" si="13"/>
        <v>#N/A</v>
      </c>
      <c r="BB20" s="2068" t="e">
        <f t="shared" si="14"/>
        <v>#N/A</v>
      </c>
      <c r="BC20" s="2068" t="e">
        <f t="shared" si="14"/>
        <v>#N/A</v>
      </c>
      <c r="BD20" s="2068" t="e">
        <f t="shared" si="14"/>
        <v>#N/A</v>
      </c>
      <c r="BE20" s="708" t="e">
        <f t="shared" si="14"/>
        <v>#N/A</v>
      </c>
      <c r="BF20" s="2068" t="e">
        <f t="shared" si="14"/>
        <v>#N/A</v>
      </c>
      <c r="BG20" s="2068" t="e">
        <f t="shared" si="15"/>
        <v>#N/A</v>
      </c>
      <c r="BH20" s="2068" t="e">
        <f t="shared" si="15"/>
        <v>#N/A</v>
      </c>
      <c r="BI20" s="708" t="e">
        <f t="shared" si="15"/>
        <v>#N/A</v>
      </c>
      <c r="BJ20" s="2068" t="e">
        <f t="shared" si="15"/>
        <v>#N/A</v>
      </c>
      <c r="BK20" s="2068" t="e">
        <f t="shared" si="16"/>
        <v>#N/A</v>
      </c>
      <c r="BL20" s="708" t="e">
        <f t="shared" si="16"/>
        <v>#N/A</v>
      </c>
      <c r="BM20" s="2068" t="e">
        <f t="shared" si="16"/>
        <v>#N/A</v>
      </c>
      <c r="BN20" s="2068" t="e">
        <f t="shared" si="17"/>
        <v>#N/A</v>
      </c>
      <c r="BO20" s="708" t="e">
        <f t="shared" si="17"/>
        <v>#N/A</v>
      </c>
      <c r="BP20" s="2068" t="e">
        <f t="shared" si="17"/>
        <v>#N/A</v>
      </c>
      <c r="BQ20" s="2068" t="e">
        <f t="shared" si="18"/>
        <v>#N/A</v>
      </c>
      <c r="BR20" s="708" t="e">
        <f t="shared" si="18"/>
        <v>#N/A</v>
      </c>
      <c r="BS20" s="2068" t="e">
        <f t="shared" si="18"/>
        <v>#N/A</v>
      </c>
      <c r="BT20" s="2068" t="e">
        <f t="shared" si="39"/>
        <v>#N/A</v>
      </c>
      <c r="BU20" s="2068" t="e">
        <f t="shared" si="37"/>
        <v>#N/A</v>
      </c>
      <c r="BV20" s="708" t="e">
        <f t="shared" si="19"/>
        <v>#N/A</v>
      </c>
      <c r="BW20" s="707"/>
      <c r="BX20" s="707"/>
      <c r="BY20" s="707"/>
      <c r="BZ20" s="707"/>
      <c r="CA20" s="714"/>
      <c r="CB20" s="714"/>
      <c r="CC20" s="887"/>
      <c r="CD20" s="887"/>
      <c r="CE20" s="887"/>
      <c r="CF20" s="887"/>
      <c r="CG20" s="887"/>
      <c r="CH20" s="887"/>
      <c r="CI20" s="996"/>
      <c r="CJ20" s="996"/>
      <c r="CK20" s="996"/>
      <c r="CL20" s="996"/>
      <c r="CM20" s="996"/>
      <c r="CN20" s="996"/>
      <c r="CO20" s="996"/>
      <c r="CP20" s="996"/>
      <c r="CQ20" s="996"/>
      <c r="CR20" s="996"/>
    </row>
    <row r="21" spans="1:96" s="30" customFormat="1" ht="12.75" customHeight="1" x14ac:dyDescent="0.25">
      <c r="A21" s="122"/>
      <c r="B21" s="3801" t="s">
        <v>117</v>
      </c>
      <c r="C21" s="3782"/>
      <c r="D21" s="243" t="str">
        <f>IF(ISBLANK(E21),IF(OR(AND(Fract_Key_Chemical&lt;1,NOT('Chemical Data'!$C$21=Fract_Key_Chemical)),NOT(ISTEXT(VLOOKUP(Chemical,Chem_Table,COLUMN(Test_Method_C),FALSE)))),"",VLOOKUP(Chemical,Chem_Table,COLUMN(Test_Method_C),FALSE)),E21)</f>
        <v/>
      </c>
      <c r="E21" s="1600"/>
      <c r="F21" s="122"/>
      <c r="G21" s="122"/>
      <c r="H21" s="122"/>
      <c r="I21" s="122"/>
      <c r="J21" s="122"/>
      <c r="K21" s="122"/>
      <c r="L21" s="122"/>
      <c r="M21" s="122"/>
      <c r="N21" s="707"/>
      <c r="O21" s="707"/>
      <c r="P21" s="707"/>
      <c r="Q21" s="708">
        <v>0.95</v>
      </c>
      <c r="R21" s="708">
        <f t="shared" si="0"/>
        <v>0</v>
      </c>
      <c r="S21" s="708">
        <f t="shared" si="20"/>
        <v>0</v>
      </c>
      <c r="T21" s="2068">
        <f t="shared" si="1"/>
        <v>1E-3</v>
      </c>
      <c r="U21" s="2068">
        <f t="shared" si="2"/>
        <v>0</v>
      </c>
      <c r="V21" s="2068" t="e">
        <f t="shared" si="21"/>
        <v>#DIV/0!</v>
      </c>
      <c r="W21" s="2068" t="e">
        <f t="shared" si="3"/>
        <v>#N/A</v>
      </c>
      <c r="X21" s="2068" t="e">
        <f t="shared" si="4"/>
        <v>#N/A</v>
      </c>
      <c r="Y21" s="2068">
        <f t="shared" si="5"/>
        <v>0</v>
      </c>
      <c r="Z21" s="708">
        <f t="shared" si="22"/>
        <v>0</v>
      </c>
      <c r="AA21" s="2068" t="e">
        <f t="shared" si="6"/>
        <v>#N/A</v>
      </c>
      <c r="AB21" s="2068">
        <f t="shared" si="7"/>
        <v>0</v>
      </c>
      <c r="AC21" s="2068" t="e">
        <f t="shared" si="8"/>
        <v>#DIV/0!</v>
      </c>
      <c r="AD21" s="2068" t="e">
        <f t="shared" si="9"/>
        <v>#N/A</v>
      </c>
      <c r="AE21" s="708" t="e">
        <f t="shared" si="38"/>
        <v>#N/A</v>
      </c>
      <c r="AF21" s="2068" t="e">
        <f t="shared" si="10"/>
        <v>#N/A</v>
      </c>
      <c r="AG21" s="2068">
        <f t="shared" si="11"/>
        <v>0</v>
      </c>
      <c r="AH21" s="2068" t="e">
        <f t="shared" si="12"/>
        <v>#N/A</v>
      </c>
      <c r="AI21" s="708" t="e">
        <f t="shared" si="23"/>
        <v>#N/A</v>
      </c>
      <c r="AJ21" s="2068" t="e">
        <f t="shared" si="24"/>
        <v>#N/A</v>
      </c>
      <c r="AK21" s="2068">
        <f t="shared" si="25"/>
        <v>0</v>
      </c>
      <c r="AL21" s="2068" t="e">
        <f t="shared" si="26"/>
        <v>#N/A</v>
      </c>
      <c r="AM21" s="708" t="e">
        <f t="shared" si="27"/>
        <v>#N/A</v>
      </c>
      <c r="AN21" s="2068" t="e">
        <f t="shared" si="28"/>
        <v>#N/A</v>
      </c>
      <c r="AO21" s="2068">
        <f t="shared" si="29"/>
        <v>0</v>
      </c>
      <c r="AP21" s="2068" t="e">
        <f t="shared" si="30"/>
        <v>#N/A</v>
      </c>
      <c r="AQ21" s="708" t="e">
        <f t="shared" si="31"/>
        <v>#N/A</v>
      </c>
      <c r="AR21" s="2068" t="e">
        <f t="shared" si="32"/>
        <v>#N/A</v>
      </c>
      <c r="AS21" s="2068">
        <f t="shared" si="33"/>
        <v>0</v>
      </c>
      <c r="AT21" s="2068" t="e">
        <f t="shared" si="34"/>
        <v>#N/A</v>
      </c>
      <c r="AU21" s="2068"/>
      <c r="AV21" s="2068"/>
      <c r="AW21" s="707"/>
      <c r="AX21" s="708" t="e">
        <f>IF(ISERR(S21),NA(),IF(S21=0,NA(),S21))</f>
        <v>#N/A</v>
      </c>
      <c r="AY21" s="2068">
        <f t="shared" si="35"/>
        <v>1E-3</v>
      </c>
      <c r="AZ21" s="708" t="e">
        <f t="shared" si="36"/>
        <v>#N/A</v>
      </c>
      <c r="BA21" s="708" t="e">
        <f t="shared" si="13"/>
        <v>#N/A</v>
      </c>
      <c r="BB21" s="2068" t="e">
        <f t="shared" si="14"/>
        <v>#N/A</v>
      </c>
      <c r="BC21" s="2068" t="e">
        <f t="shared" si="14"/>
        <v>#N/A</v>
      </c>
      <c r="BD21" s="2068" t="e">
        <f t="shared" si="14"/>
        <v>#N/A</v>
      </c>
      <c r="BE21" s="708" t="e">
        <f t="shared" si="14"/>
        <v>#N/A</v>
      </c>
      <c r="BF21" s="2068" t="e">
        <f t="shared" si="14"/>
        <v>#N/A</v>
      </c>
      <c r="BG21" s="2068" t="e">
        <f t="shared" si="15"/>
        <v>#N/A</v>
      </c>
      <c r="BH21" s="2068" t="e">
        <f t="shared" si="15"/>
        <v>#N/A</v>
      </c>
      <c r="BI21" s="708" t="e">
        <f t="shared" si="15"/>
        <v>#N/A</v>
      </c>
      <c r="BJ21" s="2068" t="e">
        <f t="shared" si="15"/>
        <v>#N/A</v>
      </c>
      <c r="BK21" s="2068" t="e">
        <f t="shared" si="16"/>
        <v>#N/A</v>
      </c>
      <c r="BL21" s="708" t="e">
        <f t="shared" si="16"/>
        <v>#N/A</v>
      </c>
      <c r="BM21" s="2068" t="e">
        <f t="shared" si="16"/>
        <v>#N/A</v>
      </c>
      <c r="BN21" s="2068" t="e">
        <f t="shared" si="17"/>
        <v>#N/A</v>
      </c>
      <c r="BO21" s="708" t="e">
        <f t="shared" si="17"/>
        <v>#N/A</v>
      </c>
      <c r="BP21" s="2068" t="e">
        <f t="shared" si="17"/>
        <v>#N/A</v>
      </c>
      <c r="BQ21" s="2068" t="e">
        <f t="shared" si="18"/>
        <v>#N/A</v>
      </c>
      <c r="BR21" s="708" t="e">
        <f t="shared" si="18"/>
        <v>#N/A</v>
      </c>
      <c r="BS21" s="2068" t="e">
        <f t="shared" si="18"/>
        <v>#N/A</v>
      </c>
      <c r="BT21" s="2068" t="e">
        <f t="shared" si="39"/>
        <v>#N/A</v>
      </c>
      <c r="BU21" s="2068" t="e">
        <f t="shared" si="37"/>
        <v>#N/A</v>
      </c>
      <c r="BV21" s="708" t="e">
        <f t="shared" si="19"/>
        <v>#N/A</v>
      </c>
      <c r="BW21" s="707"/>
      <c r="BX21" s="707"/>
      <c r="BY21" s="707"/>
      <c r="BZ21" s="707"/>
      <c r="CA21" s="714"/>
      <c r="CB21" s="714"/>
      <c r="CC21" s="887"/>
      <c r="CD21" s="887"/>
      <c r="CE21" s="887"/>
      <c r="CF21" s="887"/>
      <c r="CG21" s="887"/>
      <c r="CH21" s="887"/>
      <c r="CI21" s="996"/>
      <c r="CJ21" s="996"/>
      <c r="CK21" s="996"/>
      <c r="CL21" s="996"/>
      <c r="CM21" s="996"/>
      <c r="CN21" s="996"/>
      <c r="CO21" s="996"/>
      <c r="CP21" s="996"/>
      <c r="CQ21" s="996"/>
      <c r="CR21" s="996"/>
    </row>
    <row r="22" spans="1:96" s="30" customFormat="1" ht="12.75" customHeight="1" x14ac:dyDescent="0.25">
      <c r="A22" s="122"/>
      <c r="B22" s="3779" t="s">
        <v>1594</v>
      </c>
      <c r="C22" s="3780"/>
      <c r="D22" s="215"/>
      <c r="E22" s="172" t="s">
        <v>2777</v>
      </c>
      <c r="F22" s="122"/>
      <c r="G22" s="122"/>
      <c r="H22" s="122"/>
      <c r="I22" s="122"/>
      <c r="J22" s="122"/>
      <c r="K22" s="122"/>
      <c r="L22" s="122"/>
      <c r="M22" s="122"/>
      <c r="N22" s="707"/>
      <c r="O22" s="707"/>
      <c r="P22" s="707"/>
      <c r="Q22" s="708">
        <v>0.99</v>
      </c>
      <c r="R22" s="708">
        <f t="shared" si="0"/>
        <v>0</v>
      </c>
      <c r="S22" s="708">
        <f t="shared" si="20"/>
        <v>0</v>
      </c>
      <c r="T22" s="2068">
        <f t="shared" si="1"/>
        <v>1E-3</v>
      </c>
      <c r="U22" s="2068">
        <f t="shared" si="2"/>
        <v>0</v>
      </c>
      <c r="V22" s="2068" t="e">
        <f t="shared" si="21"/>
        <v>#DIV/0!</v>
      </c>
      <c r="W22" s="2068" t="e">
        <f t="shared" si="3"/>
        <v>#N/A</v>
      </c>
      <c r="X22" s="2068" t="e">
        <f t="shared" si="4"/>
        <v>#N/A</v>
      </c>
      <c r="Y22" s="2068">
        <f t="shared" si="5"/>
        <v>0</v>
      </c>
      <c r="Z22" s="708">
        <f t="shared" si="22"/>
        <v>0</v>
      </c>
      <c r="AA22" s="2068" t="e">
        <f t="shared" si="6"/>
        <v>#N/A</v>
      </c>
      <c r="AB22" s="2068">
        <f t="shared" si="7"/>
        <v>0</v>
      </c>
      <c r="AC22" s="2068" t="e">
        <f t="shared" si="8"/>
        <v>#DIV/0!</v>
      </c>
      <c r="AD22" s="2068" t="e">
        <f t="shared" si="9"/>
        <v>#N/A</v>
      </c>
      <c r="AE22" s="708" t="e">
        <f>IF(Fire_Heat_Rate&gt;0,IF(T_Fire&gt;Tinit,T_Fire+$Q22*(Tad_max-Tinit),Tinit+$Q22*(Tad_max-Tinit)),NA())</f>
        <v>#N/A</v>
      </c>
      <c r="AF22" s="2068" t="e">
        <f t="shared" si="10"/>
        <v>#N/A</v>
      </c>
      <c r="AG22" s="2068">
        <f t="shared" si="11"/>
        <v>0</v>
      </c>
      <c r="AH22" s="2068" t="e">
        <f t="shared" si="12"/>
        <v>#N/A</v>
      </c>
      <c r="AI22" s="708" t="e">
        <f t="shared" si="23"/>
        <v>#N/A</v>
      </c>
      <c r="AJ22" s="2068" t="e">
        <f t="shared" si="24"/>
        <v>#N/A</v>
      </c>
      <c r="AK22" s="2068">
        <f t="shared" si="25"/>
        <v>0</v>
      </c>
      <c r="AL22" s="2068" t="e">
        <f t="shared" si="26"/>
        <v>#N/A</v>
      </c>
      <c r="AM22" s="708" t="e">
        <f t="shared" si="27"/>
        <v>#N/A</v>
      </c>
      <c r="AN22" s="2068" t="e">
        <f t="shared" si="28"/>
        <v>#N/A</v>
      </c>
      <c r="AO22" s="2068">
        <f t="shared" si="29"/>
        <v>0</v>
      </c>
      <c r="AP22" s="2068" t="e">
        <f t="shared" si="30"/>
        <v>#N/A</v>
      </c>
      <c r="AQ22" s="708" t="e">
        <f t="shared" si="31"/>
        <v>#N/A</v>
      </c>
      <c r="AR22" s="2068" t="e">
        <f t="shared" si="32"/>
        <v>#N/A</v>
      </c>
      <c r="AS22" s="2068">
        <f t="shared" si="33"/>
        <v>0</v>
      </c>
      <c r="AT22" s="2068" t="e">
        <f t="shared" si="34"/>
        <v>#N/A</v>
      </c>
      <c r="AU22" s="2068">
        <f>IF(Relief_Set_Input="",MAWP+1,Relief_Set+1)</f>
        <v>1</v>
      </c>
      <c r="AV22" s="2068"/>
      <c r="AW22" s="707"/>
      <c r="AX22" s="708" t="e">
        <f t="shared" si="35"/>
        <v>#N/A</v>
      </c>
      <c r="AY22" s="2068">
        <f t="shared" si="35"/>
        <v>1E-3</v>
      </c>
      <c r="AZ22" s="708" t="e">
        <f t="shared" si="36"/>
        <v>#N/A</v>
      </c>
      <c r="BA22" s="708" t="e">
        <f t="shared" si="13"/>
        <v>#N/A</v>
      </c>
      <c r="BB22" s="2068" t="e">
        <f t="shared" si="14"/>
        <v>#N/A</v>
      </c>
      <c r="BC22" s="2068" t="e">
        <f t="shared" si="14"/>
        <v>#N/A</v>
      </c>
      <c r="BD22" s="2068" t="e">
        <f t="shared" si="14"/>
        <v>#N/A</v>
      </c>
      <c r="BE22" s="708" t="e">
        <f t="shared" si="14"/>
        <v>#N/A</v>
      </c>
      <c r="BF22" s="2068" t="e">
        <f t="shared" si="14"/>
        <v>#N/A</v>
      </c>
      <c r="BG22" s="2068" t="e">
        <f t="shared" si="15"/>
        <v>#N/A</v>
      </c>
      <c r="BH22" s="2068" t="e">
        <f t="shared" si="15"/>
        <v>#N/A</v>
      </c>
      <c r="BI22" s="708" t="e">
        <f t="shared" si="15"/>
        <v>#N/A</v>
      </c>
      <c r="BJ22" s="2068" t="e">
        <f t="shared" si="15"/>
        <v>#N/A</v>
      </c>
      <c r="BK22" s="2068" t="e">
        <f t="shared" si="16"/>
        <v>#N/A</v>
      </c>
      <c r="BL22" s="708" t="e">
        <f t="shared" si="16"/>
        <v>#N/A</v>
      </c>
      <c r="BM22" s="2068" t="e">
        <f t="shared" si="16"/>
        <v>#N/A</v>
      </c>
      <c r="BN22" s="2068" t="e">
        <f t="shared" si="17"/>
        <v>#N/A</v>
      </c>
      <c r="BO22" s="708" t="e">
        <f t="shared" si="17"/>
        <v>#N/A</v>
      </c>
      <c r="BP22" s="2068" t="e">
        <f t="shared" si="17"/>
        <v>#N/A</v>
      </c>
      <c r="BQ22" s="2068" t="e">
        <f t="shared" si="18"/>
        <v>#N/A</v>
      </c>
      <c r="BR22" s="708" t="e">
        <f t="shared" si="18"/>
        <v>#N/A</v>
      </c>
      <c r="BS22" s="2068" t="e">
        <f t="shared" si="18"/>
        <v>#N/A</v>
      </c>
      <c r="BT22" s="2068" t="e">
        <f t="shared" si="39"/>
        <v>#N/A</v>
      </c>
      <c r="BU22" s="2068">
        <f t="shared" si="37"/>
        <v>1</v>
      </c>
      <c r="BV22" s="708" t="e">
        <f t="shared" si="19"/>
        <v>#N/A</v>
      </c>
      <c r="BW22" s="707"/>
      <c r="BX22" s="707"/>
      <c r="BY22" s="707"/>
      <c r="BZ22" s="707"/>
      <c r="CA22" s="714"/>
      <c r="CB22" s="714"/>
      <c r="CC22" s="887"/>
      <c r="CD22" s="887"/>
      <c r="CE22" s="887"/>
      <c r="CF22" s="887"/>
      <c r="CG22" s="887"/>
      <c r="CH22" s="887"/>
      <c r="CI22" s="996"/>
      <c r="CJ22" s="996"/>
      <c r="CK22" s="996"/>
      <c r="CL22" s="996"/>
      <c r="CM22" s="996"/>
      <c r="CN22" s="996"/>
      <c r="CO22" s="996"/>
      <c r="CP22" s="996"/>
      <c r="CQ22" s="996"/>
      <c r="CR22" s="996"/>
    </row>
    <row r="23" spans="1:96" s="30" customFormat="1" ht="12.75" customHeight="1" x14ac:dyDescent="0.25">
      <c r="A23" s="122"/>
      <c r="B23" s="3809" t="s">
        <v>3064</v>
      </c>
      <c r="C23" s="3810"/>
      <c r="D23" s="215"/>
      <c r="E23" s="172"/>
      <c r="F23" s="122"/>
      <c r="G23" s="122"/>
      <c r="H23" s="122"/>
      <c r="I23" s="122"/>
      <c r="J23" s="122"/>
      <c r="K23" s="122"/>
      <c r="L23" s="122"/>
      <c r="M23" s="122"/>
      <c r="N23" s="707"/>
      <c r="O23" s="707"/>
      <c r="P23" s="2067" t="s">
        <v>634</v>
      </c>
      <c r="Q23" s="708"/>
      <c r="R23" s="708"/>
      <c r="S23" s="708">
        <f>T_atRelief</f>
        <v>0</v>
      </c>
      <c r="T23" s="2068"/>
      <c r="U23" s="2068"/>
      <c r="V23" s="2068"/>
      <c r="W23" s="2068"/>
      <c r="X23" s="2068"/>
      <c r="Y23" s="2068"/>
      <c r="Z23" s="2068"/>
      <c r="AA23" s="2068"/>
      <c r="AB23" s="2068"/>
      <c r="AC23" s="2068"/>
      <c r="AD23" s="2068"/>
      <c r="AE23" s="2068"/>
      <c r="AF23" s="2068"/>
      <c r="AG23" s="2068"/>
      <c r="AH23" s="2068"/>
      <c r="AI23" s="2068"/>
      <c r="AJ23" s="2068"/>
      <c r="AK23" s="2068"/>
      <c r="AL23" s="2068"/>
      <c r="AM23" s="2068"/>
      <c r="AN23" s="2068"/>
      <c r="AO23" s="2068"/>
      <c r="AP23" s="2068"/>
      <c r="AQ23" s="2068"/>
      <c r="AR23" s="2068"/>
      <c r="AS23" s="2068"/>
      <c r="AT23" s="2068"/>
      <c r="AU23" s="2068"/>
      <c r="AV23" s="2068">
        <f>IF(Relief_Set_Input="",MAWP+1,Relief_Set+1)</f>
        <v>1</v>
      </c>
      <c r="AW23" s="707"/>
      <c r="AX23" s="708" t="e">
        <f>IF(ISERR(S23),NA(),IF(S23=0,NA(),S23))</f>
        <v>#N/A</v>
      </c>
      <c r="AY23" s="2068" t="e">
        <f>IF(ISERR(T23),NA(),IF(T23=0,NA(),T23))</f>
        <v>#N/A</v>
      </c>
      <c r="AZ23" s="708" t="e">
        <f>IF(ISERR(V23),NA(),IF(V23=0,NA(),V23))</f>
        <v>#N/A</v>
      </c>
      <c r="BA23" s="708" t="e">
        <f>IF(ISERR(U23),NA(),IF(U23=0,NA(),U23))</f>
        <v>#N/A</v>
      </c>
      <c r="BB23" s="2068" t="e">
        <f>IF(ISERR(W23),NA(),IF(W23=0,NA(),W23))</f>
        <v>#N/A</v>
      </c>
      <c r="BC23" s="2068" t="e">
        <f>IF(ISERR(X23),NA(),IF(X23=0,NA(),X23))</f>
        <v>#N/A</v>
      </c>
      <c r="BD23" s="2068" t="e">
        <f>IF(ISERR(Y23),NA(),IF(Y23=0,NA(),Y23))</f>
        <v>#N/A</v>
      </c>
      <c r="BE23" s="708" t="e">
        <f>IF(ISERR(Z23),NA(),IF(Z23=0,NA(),Z23))</f>
        <v>#N/A</v>
      </c>
      <c r="BF23" s="2068" t="e">
        <f>IF(ISERR(AA23),NA(),IF(AA23=0,NA(),AA23))</f>
        <v>#N/A</v>
      </c>
      <c r="BG23" s="2068" t="e">
        <f>IF(ISERR(AC23),NA(),IF(AC23=0,NA(),AC23))</f>
        <v>#N/A</v>
      </c>
      <c r="BH23" s="2068" t="e">
        <f>IF(ISERR(AD23),NA(),IF(AD23=0,NA(),AD23))</f>
        <v>#N/A</v>
      </c>
      <c r="BI23" s="708" t="e">
        <f>IF(ISERR(AE23),NA(),IF(AE23=0,NA(),AE23))</f>
        <v>#N/A</v>
      </c>
      <c r="BJ23" s="2068" t="e">
        <f>IF(ISERR(AF23),NA(),IF(AF23=0,NA(),AF23))</f>
        <v>#N/A</v>
      </c>
      <c r="BK23" s="2068" t="e">
        <f>IF(ISERR(AH23),NA(),IF(AH23=0,NA(),AH23))</f>
        <v>#N/A</v>
      </c>
      <c r="BL23" s="708" t="e">
        <f>IF(ISERR(AI23),NA(),IF(AI23=0,NA(),AI23))</f>
        <v>#N/A</v>
      </c>
      <c r="BM23" s="2068" t="e">
        <f>IF(ISERR(AJ23),NA(),IF(AJ23=0,NA(),AJ23))</f>
        <v>#N/A</v>
      </c>
      <c r="BN23" s="2068" t="e">
        <f>IF(ISERR(AL23),NA(),IF(AL23=0,NA(),AL23))</f>
        <v>#N/A</v>
      </c>
      <c r="BO23" s="708" t="e">
        <f>IF(ISERR(AM23),NA(),IF(AM23=0,NA(),AM23))</f>
        <v>#N/A</v>
      </c>
      <c r="BP23" s="2068" t="e">
        <f>IF(ISERR(AN23),NA(),IF(AN23=0,NA(),AN23))</f>
        <v>#N/A</v>
      </c>
      <c r="BQ23" s="2068" t="e">
        <f>IF(ISERR(AP23),NA(),IF(AP23=0,NA(),AP23))</f>
        <v>#N/A</v>
      </c>
      <c r="BR23" s="708" t="e">
        <f>IF(ISERR(AQ23),NA(),IF(AQ23=0,NA(),AQ23))</f>
        <v>#N/A</v>
      </c>
      <c r="BS23" s="2068" t="e">
        <f>IF(ISERR(AR23),NA(),IF(AR23=0,NA(),AR23))</f>
        <v>#N/A</v>
      </c>
      <c r="BT23" s="2068" t="e">
        <f>IF(ISERR(AT23),NA(),IF(AT23=0,NA(),AT23))</f>
        <v>#N/A</v>
      </c>
      <c r="BU23" s="2068" t="e">
        <f t="shared" si="37"/>
        <v>#N/A</v>
      </c>
      <c r="BV23" s="708">
        <f>IF(ISERR(AV23),NA(),IF(OR(AV23&lt;0,AV23=0),NA(),AV23))</f>
        <v>1</v>
      </c>
      <c r="BW23" s="707"/>
      <c r="BX23" s="707"/>
      <c r="BY23" s="707"/>
      <c r="BZ23" s="707"/>
      <c r="CA23" s="714"/>
      <c r="CB23" s="714"/>
      <c r="CC23" s="887"/>
      <c r="CD23" s="887"/>
      <c r="CE23" s="887"/>
      <c r="CF23" s="887"/>
      <c r="CG23" s="887"/>
      <c r="CH23" s="887"/>
      <c r="CI23" s="996"/>
      <c r="CJ23" s="996"/>
      <c r="CK23" s="996"/>
      <c r="CL23" s="996"/>
      <c r="CM23" s="996"/>
      <c r="CN23" s="996"/>
      <c r="CO23" s="996"/>
      <c r="CP23" s="996"/>
      <c r="CQ23" s="996"/>
      <c r="CR23" s="996"/>
    </row>
    <row r="24" spans="1:96" s="30" customFormat="1" ht="12.75" customHeight="1" x14ac:dyDescent="0.25">
      <c r="A24" s="122"/>
      <c r="B24" s="3779" t="s">
        <v>2488</v>
      </c>
      <c r="C24" s="3780"/>
      <c r="D24" s="215"/>
      <c r="E24" s="172"/>
      <c r="F24" s="122"/>
      <c r="G24" s="122"/>
      <c r="H24" s="122"/>
      <c r="I24" s="122"/>
      <c r="J24" s="122"/>
      <c r="K24" s="122"/>
      <c r="L24" s="122"/>
      <c r="M24" s="122"/>
      <c r="N24" s="707"/>
      <c r="O24" s="707"/>
      <c r="P24" s="707"/>
      <c r="Q24" s="2067" t="s">
        <v>1845</v>
      </c>
      <c r="R24" s="2069">
        <f>Coolant_Area</f>
        <v>0</v>
      </c>
      <c r="S24" s="707" t="s">
        <v>1160</v>
      </c>
      <c r="T24" s="2067" t="s">
        <v>421</v>
      </c>
      <c r="U24" s="2069">
        <f>Coolant_U</f>
        <v>0</v>
      </c>
      <c r="V24" s="707" t="s">
        <v>1160</v>
      </c>
      <c r="W24" s="2067" t="s">
        <v>839</v>
      </c>
      <c r="X24" s="708">
        <f>IF(Motor&gt;0,1,0)</f>
        <v>0</v>
      </c>
      <c r="Y24" s="708"/>
      <c r="Z24" s="2067" t="s">
        <v>477</v>
      </c>
      <c r="AA24" s="708">
        <f>IF(Heating_T&gt;T,1,0)</f>
        <v>0</v>
      </c>
      <c r="AB24" s="707"/>
      <c r="AC24" s="2067"/>
      <c r="AD24" s="708"/>
      <c r="AE24" s="2067"/>
      <c r="AF24" s="2067"/>
      <c r="AG24" s="707"/>
      <c r="AH24" s="707"/>
      <c r="AI24" s="707"/>
      <c r="AJ24" s="707"/>
      <c r="AK24" s="707"/>
      <c r="AL24" s="707"/>
      <c r="AM24" s="707"/>
      <c r="AN24" s="707"/>
      <c r="AO24" s="707"/>
      <c r="AP24" s="707"/>
      <c r="AQ24" s="707"/>
      <c r="AR24" s="707"/>
      <c r="AS24" s="707"/>
      <c r="AT24" s="707"/>
      <c r="AU24" s="707"/>
      <c r="AV24" s="707"/>
      <c r="AW24" s="707"/>
      <c r="AX24" s="707"/>
      <c r="AY24" s="707"/>
      <c r="AZ24" s="707"/>
      <c r="BA24" s="707"/>
      <c r="BB24" s="707"/>
      <c r="BC24" s="707"/>
      <c r="BD24" s="707"/>
      <c r="BE24" s="707"/>
      <c r="BF24" s="707"/>
      <c r="BG24" s="707"/>
      <c r="BH24" s="707"/>
      <c r="BI24" s="707"/>
      <c r="BJ24" s="707"/>
      <c r="BK24" s="707"/>
      <c r="BL24" s="707"/>
      <c r="BM24" s="707"/>
      <c r="BN24" s="707"/>
      <c r="BO24" s="707"/>
      <c r="BP24" s="707"/>
      <c r="BQ24" s="707"/>
      <c r="BR24" s="707"/>
      <c r="BS24" s="707"/>
      <c r="BT24" s="707"/>
      <c r="BU24" s="707"/>
      <c r="BV24" s="707"/>
      <c r="BW24" s="707"/>
      <c r="BX24" s="707"/>
      <c r="BY24" s="707"/>
      <c r="BZ24" s="707"/>
      <c r="CA24" s="714"/>
      <c r="CB24" s="714"/>
      <c r="CC24" s="887"/>
      <c r="CD24" s="887"/>
      <c r="CE24" s="887"/>
      <c r="CF24" s="887"/>
      <c r="CG24" s="887"/>
      <c r="CH24" s="887"/>
      <c r="CI24" s="996"/>
      <c r="CJ24" s="996"/>
      <c r="CK24" s="996"/>
      <c r="CL24" s="996"/>
      <c r="CM24" s="996"/>
      <c r="CN24" s="996"/>
      <c r="CO24" s="996"/>
      <c r="CP24" s="996"/>
      <c r="CQ24" s="996"/>
      <c r="CR24" s="996"/>
    </row>
    <row r="25" spans="1:96" s="30" customFormat="1" ht="12.75" customHeight="1" x14ac:dyDescent="0.25">
      <c r="A25" s="122"/>
      <c r="B25" s="3779" t="s">
        <v>792</v>
      </c>
      <c r="C25" s="3780"/>
      <c r="D25" s="215"/>
      <c r="E25" s="172"/>
      <c r="F25" s="122"/>
      <c r="G25" s="122"/>
      <c r="H25" s="122"/>
      <c r="I25" s="122"/>
      <c r="J25" s="122"/>
      <c r="K25" s="122"/>
      <c r="L25" s="122"/>
      <c r="M25" s="122"/>
      <c r="N25" s="707"/>
      <c r="O25" s="707"/>
      <c r="P25" s="707"/>
      <c r="Q25" s="2067"/>
      <c r="R25" s="2069"/>
      <c r="S25" s="707"/>
      <c r="T25" s="2067"/>
      <c r="U25" s="2069"/>
      <c r="V25" s="707"/>
      <c r="W25" s="2067"/>
      <c r="X25" s="708"/>
      <c r="Y25" s="708"/>
      <c r="Z25" s="2067"/>
      <c r="AA25" s="2067"/>
      <c r="AB25" s="708"/>
      <c r="AC25" s="707"/>
      <c r="AD25" s="2067"/>
      <c r="AE25" s="2067"/>
      <c r="AF25" s="2067"/>
      <c r="AG25" s="707"/>
      <c r="AH25" s="707"/>
      <c r="AI25" s="707"/>
      <c r="AJ25" s="707"/>
      <c r="AK25" s="707"/>
      <c r="AL25" s="707"/>
      <c r="AM25" s="707"/>
      <c r="AN25" s="707"/>
      <c r="AO25" s="707"/>
      <c r="AP25" s="707"/>
      <c r="AQ25" s="707"/>
      <c r="AR25" s="707"/>
      <c r="AS25" s="707"/>
      <c r="AT25" s="707"/>
      <c r="AU25" s="707"/>
      <c r="AV25" s="707"/>
      <c r="AW25" s="707"/>
      <c r="AX25" s="707"/>
      <c r="AY25" s="707"/>
      <c r="AZ25" s="707"/>
      <c r="BA25" s="707"/>
      <c r="BB25" s="707"/>
      <c r="BC25" s="707"/>
      <c r="BD25" s="707"/>
      <c r="BE25" s="707"/>
      <c r="BF25" s="707"/>
      <c r="BG25" s="707"/>
      <c r="BH25" s="707"/>
      <c r="BI25" s="707"/>
      <c r="BJ25" s="707"/>
      <c r="BK25" s="707"/>
      <c r="BL25" s="707"/>
      <c r="BM25" s="707"/>
      <c r="BN25" s="707"/>
      <c r="BO25" s="707"/>
      <c r="BP25" s="707"/>
      <c r="BQ25" s="707"/>
      <c r="BR25" s="707"/>
      <c r="BS25" s="707"/>
      <c r="BT25" s="707"/>
      <c r="BU25" s="707"/>
      <c r="BV25" s="707"/>
      <c r="BW25" s="707"/>
      <c r="BX25" s="707"/>
      <c r="BY25" s="707"/>
      <c r="BZ25" s="707"/>
      <c r="CA25" s="714"/>
      <c r="CB25" s="714"/>
      <c r="CC25" s="887"/>
      <c r="CD25" s="887"/>
      <c r="CE25" s="887"/>
      <c r="CF25" s="887"/>
      <c r="CG25" s="887"/>
      <c r="CH25" s="887"/>
      <c r="CI25" s="996"/>
      <c r="CJ25" s="996"/>
      <c r="CK25" s="996"/>
      <c r="CL25" s="996"/>
      <c r="CM25" s="996"/>
      <c r="CN25" s="996"/>
      <c r="CO25" s="996"/>
      <c r="CP25" s="996"/>
      <c r="CQ25" s="996"/>
      <c r="CR25" s="996"/>
    </row>
    <row r="26" spans="1:96" s="30" customFormat="1" ht="12.75" customHeight="1" x14ac:dyDescent="0.25">
      <c r="A26" s="122"/>
      <c r="B26" s="3779" t="s">
        <v>1511</v>
      </c>
      <c r="C26" s="3780"/>
      <c r="D26" s="215"/>
      <c r="E26" s="172"/>
      <c r="F26" s="122"/>
      <c r="G26" s="122"/>
      <c r="H26" s="122"/>
      <c r="I26" s="122"/>
      <c r="J26" s="122"/>
      <c r="K26" s="122"/>
      <c r="L26" s="122"/>
      <c r="M26" s="122"/>
      <c r="N26" s="707"/>
      <c r="O26" s="707"/>
      <c r="P26" s="707"/>
      <c r="Q26" s="708"/>
      <c r="R26" s="708"/>
      <c r="S26" s="707"/>
      <c r="T26" s="707"/>
      <c r="U26" s="707"/>
      <c r="V26" s="707"/>
      <c r="W26" s="707"/>
      <c r="X26" s="707"/>
      <c r="Y26" s="707"/>
      <c r="Z26" s="707"/>
      <c r="AA26" s="707"/>
      <c r="AB26" s="707"/>
      <c r="AC26" s="707"/>
      <c r="AD26" s="707"/>
      <c r="AE26" s="707"/>
      <c r="AF26" s="707"/>
      <c r="AG26" s="707"/>
      <c r="AH26" s="707"/>
      <c r="AI26" s="707"/>
      <c r="AJ26" s="707"/>
      <c r="AK26" s="707"/>
      <c r="AL26" s="707"/>
      <c r="AM26" s="707"/>
      <c r="AN26" s="707"/>
      <c r="AO26" s="707"/>
      <c r="AP26" s="707"/>
      <c r="AQ26" s="707"/>
      <c r="AR26" s="707"/>
      <c r="AS26" s="707"/>
      <c r="AT26" s="707"/>
      <c r="AU26" s="707"/>
      <c r="AV26" s="707"/>
      <c r="AW26" s="707"/>
      <c r="AX26" s="707"/>
      <c r="AY26" s="707"/>
      <c r="AZ26" s="707"/>
      <c r="BA26" s="707"/>
      <c r="BB26" s="707"/>
      <c r="BC26" s="707"/>
      <c r="BD26" s="707"/>
      <c r="BE26" s="707"/>
      <c r="BF26" s="707"/>
      <c r="BG26" s="707"/>
      <c r="BH26" s="707"/>
      <c r="BI26" s="707"/>
      <c r="BJ26" s="707"/>
      <c r="BK26" s="707"/>
      <c r="BL26" s="707"/>
      <c r="BM26" s="707"/>
      <c r="BN26" s="707"/>
      <c r="BO26" s="707"/>
      <c r="BP26" s="707"/>
      <c r="BQ26" s="707"/>
      <c r="BR26" s="707"/>
      <c r="BS26" s="707"/>
      <c r="BT26" s="707"/>
      <c r="BU26" s="707"/>
      <c r="BV26" s="707"/>
      <c r="BW26" s="707"/>
      <c r="BX26" s="707"/>
      <c r="BY26" s="707"/>
      <c r="BZ26" s="707"/>
      <c r="CA26" s="714"/>
      <c r="CB26" s="714"/>
      <c r="CC26" s="887"/>
      <c r="CD26" s="887"/>
      <c r="CE26" s="887"/>
      <c r="CF26" s="887"/>
      <c r="CG26" s="887"/>
      <c r="CH26" s="887"/>
      <c r="CI26" s="887"/>
      <c r="CJ26" s="887"/>
      <c r="CK26" s="996"/>
      <c r="CL26" s="996"/>
      <c r="CM26" s="996"/>
      <c r="CN26" s="996"/>
      <c r="CO26" s="996"/>
      <c r="CP26" s="996"/>
      <c r="CQ26" s="996"/>
      <c r="CR26" s="996"/>
    </row>
    <row r="27" spans="1:96" s="30" customFormat="1" ht="12.75" customHeight="1" x14ac:dyDescent="0.25">
      <c r="A27" s="122"/>
      <c r="B27" s="3779" t="s">
        <v>1038</v>
      </c>
      <c r="C27" s="3780"/>
      <c r="D27" s="215"/>
      <c r="E27" s="172" t="s">
        <v>878</v>
      </c>
      <c r="F27" s="122"/>
      <c r="G27" s="122"/>
      <c r="H27" s="122"/>
      <c r="I27" s="122"/>
      <c r="J27" s="122"/>
      <c r="K27" s="122"/>
      <c r="L27" s="122"/>
      <c r="M27" s="122"/>
      <c r="N27" s="707"/>
      <c r="O27" s="707"/>
      <c r="P27" s="707"/>
      <c r="Q27" s="3768" t="s">
        <v>1355</v>
      </c>
      <c r="R27" s="3768"/>
      <c r="S27" s="3768"/>
      <c r="T27" s="708"/>
      <c r="U27" s="3768" t="s">
        <v>1356</v>
      </c>
      <c r="V27" s="3768"/>
      <c r="W27" s="3768"/>
      <c r="X27" s="707"/>
      <c r="Y27" s="3768" t="s">
        <v>129</v>
      </c>
      <c r="Z27" s="3768"/>
      <c r="AA27" s="3768"/>
      <c r="AB27" s="708"/>
      <c r="AC27" s="3768" t="s">
        <v>687</v>
      </c>
      <c r="AD27" s="3768"/>
      <c r="AE27" s="3768"/>
      <c r="AF27" s="707"/>
      <c r="AG27" s="707"/>
      <c r="AH27" s="707"/>
      <c r="AI27" s="707"/>
      <c r="AJ27" s="707"/>
      <c r="AK27" s="3768" t="s">
        <v>1971</v>
      </c>
      <c r="AL27" s="3768"/>
      <c r="AM27" s="3768"/>
      <c r="AN27" s="708"/>
      <c r="AO27" s="707"/>
      <c r="AP27" s="707"/>
      <c r="AQ27" s="707"/>
      <c r="AR27" s="707"/>
      <c r="AS27" s="3768" t="s">
        <v>1972</v>
      </c>
      <c r="AT27" s="3768"/>
      <c r="AU27" s="3768"/>
      <c r="AV27" s="707"/>
      <c r="AW27" s="707"/>
      <c r="AX27" s="707"/>
      <c r="AY27" s="707"/>
      <c r="AZ27" s="707"/>
      <c r="BA27" s="3768" t="s">
        <v>1060</v>
      </c>
      <c r="BB27" s="3768"/>
      <c r="BC27" s="3768"/>
      <c r="BD27" s="707"/>
      <c r="BE27" s="707"/>
      <c r="BF27" s="707"/>
      <c r="BG27" s="707"/>
      <c r="BH27" s="707"/>
      <c r="BI27" s="707"/>
      <c r="BJ27" s="707"/>
      <c r="BK27" s="707"/>
      <c r="BL27" s="707"/>
      <c r="BM27" s="707"/>
      <c r="BN27" s="707"/>
      <c r="BO27" s="707"/>
      <c r="BP27" s="707"/>
      <c r="BQ27" s="707"/>
      <c r="BR27" s="707"/>
      <c r="BS27" s="707"/>
      <c r="BT27" s="707"/>
      <c r="BU27" s="707"/>
      <c r="BV27" s="707"/>
      <c r="BW27" s="707"/>
      <c r="BX27" s="707"/>
      <c r="BY27" s="707"/>
      <c r="BZ27" s="707"/>
      <c r="CA27" s="714"/>
      <c r="CB27" s="714"/>
      <c r="CC27" s="887"/>
      <c r="CD27" s="887"/>
      <c r="CE27" s="887"/>
      <c r="CF27" s="887"/>
      <c r="CG27" s="887"/>
      <c r="CH27" s="887"/>
      <c r="CI27" s="887"/>
      <c r="CJ27" s="887"/>
      <c r="CK27" s="996"/>
      <c r="CL27" s="996"/>
      <c r="CM27" s="996"/>
      <c r="CN27" s="996"/>
      <c r="CO27" s="996"/>
      <c r="CP27" s="996"/>
      <c r="CQ27" s="996"/>
      <c r="CR27" s="996"/>
    </row>
    <row r="28" spans="1:96" s="30" customFormat="1" ht="12.75" customHeight="1" x14ac:dyDescent="0.25">
      <c r="A28" s="122"/>
      <c r="B28" s="3779" t="s">
        <v>1756</v>
      </c>
      <c r="C28" s="3780"/>
      <c r="D28" s="215"/>
      <c r="E28" s="172"/>
      <c r="F28" s="122"/>
      <c r="G28" s="122"/>
      <c r="H28" s="122"/>
      <c r="I28" s="122"/>
      <c r="J28" s="122"/>
      <c r="K28" s="122"/>
      <c r="L28" s="122"/>
      <c r="M28" s="122"/>
      <c r="N28" s="707"/>
      <c r="O28" s="707">
        <f>Effective_SurArea</f>
        <v>8.6113311673405284E-3</v>
      </c>
      <c r="P28" s="707"/>
      <c r="Q28" s="2067" t="s">
        <v>1206</v>
      </c>
      <c r="R28" s="2068">
        <f>IF(Volume*Liq_rho&gt;0,IF(14.34*(Effective_SurArea*Ht_Loss_Coeff*(Tdet-Ambient_Temp))/(Effective_ContainedMass)&gt;0,14.34*(Effective_SurArea*Ht_Loss_Coeff*(Tdet-Ambient_Temp))/(Effective_ContainedMass),0.0000000001),0.0000000001)</f>
        <v>1E-10</v>
      </c>
      <c r="S28" s="708" t="s">
        <v>1381</v>
      </c>
      <c r="T28" s="708"/>
      <c r="U28" s="2067" t="s">
        <v>1206</v>
      </c>
      <c r="V28" s="2068">
        <f>IF(Volume*Liq_rho&gt;0,IF(14.34*($R$24*$U$24*(Tdet-Coolant_Temp))/(Effective_ContainedMass)&gt;0,14.34*($R$24*$U$24*(Tdet-Coolant_Temp))/(Effective_ContainedMass),0.0000000001),0.0000000001)</f>
        <v>1E-10</v>
      </c>
      <c r="W28" s="708" t="s">
        <v>1381</v>
      </c>
      <c r="X28" s="707"/>
      <c r="Y28" s="2067" t="s">
        <v>1357</v>
      </c>
      <c r="Z28" s="2068" t="e">
        <f>IF(Heating_T&lt;Tinit,14.34*(Effective_SurArea*Ht_Loss_Coeff*(Tdet-Ambient_Temp))/(Effective_ContainedMass)+$X$24*7.17*Motor/Effective_ContainedMass,14.34*(Effective_SurArea*Ht_Loss_Coeff*(Tdet-Ambient_Temp))/(Effective_ContainedMass)+$X$24*7.17*Motor/Effective_ContainedMass+$AA$24*14.34*(HT_Area*U*(Heating_T-Tinit))/(Effective_ContainedMass))</f>
        <v>#DIV/0!</v>
      </c>
      <c r="AA28" s="708" t="s">
        <v>1381</v>
      </c>
      <c r="AB28" s="708"/>
      <c r="AC28" s="708" t="s">
        <v>762</v>
      </c>
      <c r="AD28" s="708">
        <f>IF(Fire_Heat_Rate&gt;0,60*Fire_Heat_Rate/Effective_ContainedMass,0)</f>
        <v>0</v>
      </c>
      <c r="AE28" s="708" t="s">
        <v>1381</v>
      </c>
      <c r="AF28" s="707"/>
      <c r="AG28" s="707"/>
      <c r="AH28" s="707"/>
      <c r="AI28" s="707"/>
      <c r="AJ28" s="707"/>
      <c r="AK28" s="2067" t="s">
        <v>763</v>
      </c>
      <c r="AL28" s="2068">
        <f>IF(Volume*Liq_rho&gt;0,IF(14.34*(Effective_SurArea*Ht_Loss_Coeff*(Tdet-Ambient_Temp))/(Effective_ContainedMass)&gt;0,14.34*(Effective_SurArea*Ht_Loss_Coeff*(Tdet-Ambient_Temp))/(Effective_ContainedMass),0.0000000001),0.0000000001)</f>
        <v>1E-10</v>
      </c>
      <c r="AM28" s="708" t="s">
        <v>1381</v>
      </c>
      <c r="AN28" s="707"/>
      <c r="AO28" s="707"/>
      <c r="AP28" s="707"/>
      <c r="AQ28" s="707"/>
      <c r="AR28" s="707"/>
      <c r="AS28" s="2067" t="s">
        <v>764</v>
      </c>
      <c r="AT28" s="2068">
        <f>IF(Volume*Liq_rho&gt;0,IF(14.34*(Effective_SurArea*Ht_Loss_Coeff*(Tdet-Ambient_Temp))/(Effective_ContainedMass)&gt;0,14.34*(Effective_SurArea*Ht_Loss_Coeff*(Tdet-Ambient_Temp))/(Effective_ContainedMass),0.0000000001),0.0000000001)</f>
        <v>1E-10</v>
      </c>
      <c r="AU28" s="708" t="s">
        <v>1381</v>
      </c>
      <c r="AV28" s="707"/>
      <c r="AW28" s="707"/>
      <c r="AX28" s="707"/>
      <c r="AY28" s="707"/>
      <c r="AZ28" s="707"/>
      <c r="BA28" s="2067" t="s">
        <v>765</v>
      </c>
      <c r="BB28" s="2068">
        <f>IF(Volume*Liq_rho&gt;0,IF(14.34*(Effective_SurArea*Ht_Loss_Coeff*(Tdet-Ambient_Temp))/(Effective_ContainedMass)&gt;0,14.34*(Effective_SurArea*Ht_Loss_Coeff*(Tdet-Ambient_Temp))/(Effective_ContainedMass),0.0000000001),0.0000000001)</f>
        <v>1E-10</v>
      </c>
      <c r="BC28" s="708" t="s">
        <v>1381</v>
      </c>
      <c r="BD28" s="707"/>
      <c r="BE28" s="707"/>
      <c r="BF28" s="707"/>
      <c r="BG28" s="707"/>
      <c r="BH28" s="707"/>
      <c r="BI28" s="707"/>
      <c r="BJ28" s="707"/>
      <c r="BK28" s="707"/>
      <c r="BL28" s="707"/>
      <c r="BM28" s="707"/>
      <c r="BN28" s="707"/>
      <c r="BO28" s="707"/>
      <c r="BP28" s="707"/>
      <c r="BQ28" s="707"/>
      <c r="BR28" s="707"/>
      <c r="BS28" s="707"/>
      <c r="BT28" s="707"/>
      <c r="BU28" s="707"/>
      <c r="BV28" s="707"/>
      <c r="BW28" s="707"/>
      <c r="BX28" s="707"/>
      <c r="BY28" s="707"/>
      <c r="BZ28" s="707"/>
      <c r="CA28" s="714"/>
      <c r="CB28" s="714"/>
      <c r="CC28" s="887"/>
      <c r="CD28" s="887"/>
      <c r="CE28" s="887"/>
      <c r="CF28" s="887"/>
      <c r="CG28" s="887"/>
      <c r="CH28" s="887"/>
      <c r="CI28" s="887"/>
      <c r="CJ28" s="887"/>
      <c r="CK28" s="996"/>
      <c r="CL28" s="996"/>
      <c r="CM28" s="996"/>
      <c r="CN28" s="996"/>
      <c r="CO28" s="996"/>
      <c r="CP28" s="996"/>
      <c r="CQ28" s="996"/>
      <c r="CR28" s="996"/>
    </row>
    <row r="29" spans="1:96" s="30" customFormat="1" ht="12.75" customHeight="1" x14ac:dyDescent="0.25">
      <c r="A29" s="122"/>
      <c r="B29" s="3779" t="s">
        <v>1173</v>
      </c>
      <c r="C29" s="3780"/>
      <c r="D29" s="215"/>
      <c r="E29" s="172" t="s">
        <v>1174</v>
      </c>
      <c r="F29" s="122"/>
      <c r="G29" s="122"/>
      <c r="H29" s="122"/>
      <c r="I29" s="122"/>
      <c r="J29" s="122"/>
      <c r="K29" s="122"/>
      <c r="L29" s="122"/>
      <c r="M29" s="122"/>
      <c r="N29" s="707"/>
      <c r="O29" s="707"/>
      <c r="P29" s="707"/>
      <c r="Q29" s="2067" t="s">
        <v>1354</v>
      </c>
      <c r="R29" s="708">
        <f>IF(AND(DHR&lt;-1,1000*Act_Energy&gt;0,OR(Tdet&lt;&gt;0,Tdet&lt;&gt;""),OR(Test_Method="DSC",Rdet&lt;&gt;0)),IF(OR(OR(Test_Method="ARC",Test_Method="VSP"),Test_Method="VSP"),1/(1.987*LN(Rdet*phi*Liq_C/(R28))/(1000*Act_Energy)+1/(273+Tdet))-273,IF(Test_Method="DSC",1/(1.987*LN(1.3*Liq_C/(R28))/(1000*Act_Energy)+1/(273+Tdet))-273,1/(1.987*LN(Rdet*Liq_C/(R28))/(1000*Act_Energy)+1/(273+Tdet))-273)),-273)</f>
        <v>-273</v>
      </c>
      <c r="S29" s="708" t="s">
        <v>1836</v>
      </c>
      <c r="T29" s="708"/>
      <c r="U29" s="2067" t="s">
        <v>1354</v>
      </c>
      <c r="V29" s="708">
        <f>IF(AND(DHR&lt;-1,1000*Act_Energy&gt;0,OR(Tdet&lt;&gt;0,Tdet&lt;&gt;""),OR(Test_Method="DSC",Rdet&lt;&gt;0)),IF(OR(OR(Test_Method="ARC",Test_Method="VSP"),Test_Method="VSP"),1/(1.987*LN(Rdet*phi*Liq_C/(V28))/(1000*Act_Energy)+1/(273+Tdet))-273,IF(Test_Method="DSC",1/(1.987*LN(1.3*Liq_C/(V28))/(1000*Act_Energy)+1/(273+Tdet))-273,1/(1.987*LN(Rdet*Liq_C/(V28))/(1000*Act_Energy)+1/(273+Tdet))-273)),-273)</f>
        <v>-273</v>
      </c>
      <c r="W29" s="708" t="s">
        <v>1836</v>
      </c>
      <c r="X29" s="707"/>
      <c r="Y29" s="2067" t="s">
        <v>766</v>
      </c>
      <c r="Z29" s="708" t="e">
        <f>IF(AND(DHR&lt;-1,1000*Act_Energy&gt;0,OR(Tdet&lt;&gt;0,Tdet&lt;&gt;""),OR(Test_Method="DSC",Rdet&lt;&gt;0),Z28&gt;0),IF(OR(OR(Test_Method="ARC",Test_Method="VSP"),Test_Method="VSP"),1/(1.987*LN(Rdet*phi*Liq_C/(Z28))/(1000*Act_Energy)+1/(273+Tdet))-273,IF(Test_Method="DSC",1/(1.987*LN(1.3*Liq_C/(Z28))/(1000*Act_Energy)+1/(273+Tdet))-273,1/(1.987*LN(Rdet*Liq_C/(Z28))/(1000*Act_Energy)+1/(273+Tdet))-273)),T)</f>
        <v>#DIV/0!</v>
      </c>
      <c r="AA29" s="708" t="s">
        <v>1836</v>
      </c>
      <c r="AB29" s="708"/>
      <c r="AC29" s="708" t="s">
        <v>767</v>
      </c>
      <c r="AD29" s="708">
        <f>IF(AND(DHR&lt;-1,1000*Act_Energy&gt;0,OR(Tdet&lt;&gt;0,Tdet&lt;&gt;""),OR(Test_Method="DSC",Rdet&lt;&gt;0),AD28&gt;0),IF(OR(OR(Test_Method="ARC",Test_Method="VSP"),Test_Method="VSP"),1/(1.987*LN(Rdet*phi*Liq_C/(AD28))/(1000*Act_Energy)+1/(273+Tdet))-273,IF(Test_Method="DSC",1/(1.987*LN(1.3*Liq_C/(AD28))/(1000*Act_Energy)+1/(273+Tdet))-273,1/(1.987*LN(Rdet*Liq_C/(AD28))/(1000*Act_Energy)+1/(273+Tdet))-273)),Tinit)</f>
        <v>0</v>
      </c>
      <c r="AE29" s="708" t="s">
        <v>1836</v>
      </c>
      <c r="AF29" s="707"/>
      <c r="AG29" s="707"/>
      <c r="AH29" s="707"/>
      <c r="AI29" s="707"/>
      <c r="AJ29" s="707"/>
      <c r="AK29" s="2067" t="s">
        <v>768</v>
      </c>
      <c r="AL29" s="708">
        <f>IF(AND(DHR&lt;-1,1000*Act_Energy&gt;0,OR(Tdet&lt;&gt;0,Tdet&lt;&gt;""),OR(Test_Method="DSC",Rdet&lt;&gt;0),AL28&gt;0),IF(OR(OR(Test_Method="ARC",Test_Method="VSP"),Test_Method="VSP"),1/(1.987*LN(Rdet*phi*Liq_C/(AL28))/(1000*Act_Energy)+1/(273+T))-273,IF(Test_Method="DSC",1/(1.987*LN(1.3*Liq_C/(AL28))/(1000*Act_Energy)+1/(273+T))-273,1/(1.987*LN(Rdet*Liq_C/(AL28))/(1000*Act_Energy)+1/(273+T))-273)),T)</f>
        <v>0</v>
      </c>
      <c r="AM29" s="708" t="s">
        <v>1836</v>
      </c>
      <c r="AN29" s="707"/>
      <c r="AO29" s="707"/>
      <c r="AP29" s="707"/>
      <c r="AQ29" s="707"/>
      <c r="AR29" s="707"/>
      <c r="AS29" s="2067" t="s">
        <v>769</v>
      </c>
      <c r="AT29" s="708">
        <f>IF(AND(DHR&lt;-1,1000*Act_Energy&gt;0,OR(Tdet&lt;&gt;0,Tdet&lt;&gt;""),OR(Test_Method="DSC",Rdet&lt;&gt;0),Rx_Pooling_Factor&gt;0,AT28&gt;0),IF(Second_Phase="Yes",IF(OR(OR(Test_Method="ARC",Test_Method="VSP"),Test_Method="VSP"),1/(1.987*LN(Rdet*phi*Liq_C/(Rx_Pooling_Factor*AT28))/(1000*Act_Energy)+1/(273+Tdet))-273,IF(Test_Method="DSC",1/(1.987*LN(1.3*Liq_C/(Rx_Pooling_Factor*AT28))/(1000*Act_Energy)+1/(273+Tdet))-273,1/(1.987*LN(Rdet*Liq_C/(Rx_Pooling_Factor*AT28))/(1000*Act_Energy)+1/(273+Tdet))-273)),IF(OR(OR(Test_Method="ARC",Test_Method="VSP"),Test_Method="VSP"),1/(1.987*LN(Rx_Pooling_Factor*Rdet*phi*Liq_C/(AT28))/(1000*Act_Energy)+1/(273+Tdet))-273,IF(Test_Method="DSC",1/(1.987*LN(Rx_Pooling_Factor*1.3*Liq_C/(AT28))/(1000*Act_Energy)+1/(273+Tdet))-273,1/(1.987*LN(Rx_Pooling_Factor*Rdet*Liq_C/(AT28))/(1000*Act_Energy)+1/(273+Tdet))-273))),Tinit)</f>
        <v>0</v>
      </c>
      <c r="AU29" s="708" t="s">
        <v>1836</v>
      </c>
      <c r="AV29" s="707"/>
      <c r="AW29" s="707"/>
      <c r="AX29" s="707"/>
      <c r="AY29" s="707"/>
      <c r="AZ29" s="707"/>
      <c r="BA29" s="2067" t="s">
        <v>770</v>
      </c>
      <c r="BB29" s="708">
        <f>IF(AND(DHR&lt;-1,1000*Act_Energy&gt;0,OR(Tdet&lt;&gt;0,Tdet&lt;&gt;""),OR(Test_Method="DSC",Rdet&lt;&gt;0),Rx_MisLoading_Factor&gt;0,BB28&gt;0),IF(OR(OR(Test_Method="ARC",Test_Method="VSP"),Test_Method="VSP"),1/(1.987*LN(Rx_MisLoading_Factor*Rdet*phi*Liq_C/(BB28))/(1000*Act_Energy)+1/(273+Tdet))-273,IF(Test_Method="DSC",1/(1.987*LN(Rx_MisLoading_Factor*1.3*Liq_C/(BB28))/(1000*Act_Energy)+1/(273+Tdet))-273,1/(1.987*LN(Rx_MisLoading_Factor*Rdet*Liq_C/(BB28))/(1000*Act_Energy)+1/(273+Tdet))-273)),Tinit)</f>
        <v>0</v>
      </c>
      <c r="BC29" s="708" t="s">
        <v>1836</v>
      </c>
      <c r="BD29" s="707"/>
      <c r="BE29" s="707"/>
      <c r="BF29" s="707"/>
      <c r="BG29" s="707"/>
      <c r="BH29" s="707"/>
      <c r="BI29" s="707"/>
      <c r="BJ29" s="707"/>
      <c r="BK29" s="707"/>
      <c r="BL29" s="707"/>
      <c r="BM29" s="707"/>
      <c r="BN29" s="707"/>
      <c r="BO29" s="707"/>
      <c r="BP29" s="707"/>
      <c r="BQ29" s="707"/>
      <c r="BR29" s="707"/>
      <c r="BS29" s="707"/>
      <c r="BT29" s="707"/>
      <c r="BU29" s="707"/>
      <c r="BV29" s="707"/>
      <c r="BW29" s="707"/>
      <c r="BX29" s="707"/>
      <c r="BY29" s="707"/>
      <c r="BZ29" s="707"/>
      <c r="CA29" s="714"/>
      <c r="CB29" s="714"/>
      <c r="CC29" s="887"/>
      <c r="CD29" s="887"/>
      <c r="CE29" s="887"/>
      <c r="CF29" s="887"/>
      <c r="CG29" s="887"/>
      <c r="CH29" s="887"/>
      <c r="CI29" s="887"/>
      <c r="CJ29" s="887"/>
      <c r="CK29" s="996"/>
      <c r="CL29" s="996"/>
      <c r="CM29" s="996"/>
      <c r="CN29" s="996"/>
      <c r="CO29" s="996"/>
      <c r="CP29" s="996"/>
      <c r="CQ29" s="996"/>
      <c r="CR29" s="996"/>
    </row>
    <row r="30" spans="1:96" s="30" customFormat="1" ht="12.75" customHeight="1" x14ac:dyDescent="0.25">
      <c r="A30" s="122"/>
      <c r="B30" s="3779" t="s">
        <v>2404</v>
      </c>
      <c r="C30" s="3780"/>
      <c r="D30" s="1666"/>
      <c r="E30" s="172"/>
      <c r="F30" s="122"/>
      <c r="G30" s="122"/>
      <c r="H30" s="122"/>
      <c r="I30" s="122"/>
      <c r="J30" s="122"/>
      <c r="K30" s="122"/>
      <c r="L30" s="122"/>
      <c r="M30" s="122"/>
      <c r="N30" s="707"/>
      <c r="O30" s="707"/>
      <c r="P30" s="707"/>
      <c r="Q30" s="2067" t="s">
        <v>771</v>
      </c>
      <c r="R30" s="2068">
        <f>IF(R29&gt;-273,IF(14.34*(Effective_SurArea*Ht_Loss_Coeff*(R29-Ambient_Temp))/(Effective_ContainedMass)&gt;0,14.34*(Effective_SurArea*Ht_Loss_Coeff*(R29-Ambient_Temp))/(Effective_ContainedMass),0.0000000001),0.0000000001)</f>
        <v>1E-10</v>
      </c>
      <c r="S30" s="708" t="s">
        <v>1381</v>
      </c>
      <c r="T30" s="708"/>
      <c r="U30" s="2067" t="s">
        <v>771</v>
      </c>
      <c r="V30" s="2068">
        <f>IF(V29&gt;-273,IF(14.34*($R$24*$U$24*(V29-Coolant_Temp))/(Effective_ContainedMass)&gt;0,14.34*($R$24*$U$24*(V29-Coolant_Temp))/(Effective_ContainedMass),0.0000000001),0.0000000001)</f>
        <v>1E-10</v>
      </c>
      <c r="W30" s="708" t="s">
        <v>1381</v>
      </c>
      <c r="X30" s="707"/>
      <c r="Y30" s="2067" t="s">
        <v>772</v>
      </c>
      <c r="Z30" s="2068" t="e">
        <f>IF(Heating_T&lt;Z29,14.34*(Effective_SurArea*Ht_Loss_Coeff*(Z29-Ambient_Temp))/(Effective_ContainedMass)+$X$24*7.17*Motor/Effective_ContainedMass,14.34*(Effective_SurArea*Ht_Loss_Coeff*(Z29-Ambient_Temp))/(Effective_ContainedMass)+$X$24*7.17*Motor/Effective_ContainedMass+$AA$24*14.34*(HT_Area*U*(Heating_T-Z29))/(Effective_ContainedMass))</f>
        <v>#DIV/0!</v>
      </c>
      <c r="AA30" s="708" t="s">
        <v>1381</v>
      </c>
      <c r="AB30" s="708"/>
      <c r="AC30" s="707"/>
      <c r="AD30" s="707"/>
      <c r="AE30" s="707"/>
      <c r="AF30" s="707"/>
      <c r="AG30" s="707"/>
      <c r="AH30" s="707"/>
      <c r="AI30" s="707"/>
      <c r="AJ30" s="707"/>
      <c r="AK30" s="2067" t="s">
        <v>773</v>
      </c>
      <c r="AL30" s="2068" t="e">
        <f>IF(AL29&gt;-273,IF(14.34*(Effective_SurArea*Ht_Loss_Coeff*(AL29-Ambient_Temp))/(Effective_ContainedMass)&gt;0,14.34*(Effective_SurArea*Ht_Loss_Coeff*(AL29-Ambient_Temp))/(Effective_ContainedMass),0.0000000001),0.0000000001)</f>
        <v>#DIV/0!</v>
      </c>
      <c r="AM30" s="708" t="s">
        <v>1381</v>
      </c>
      <c r="AN30" s="707"/>
      <c r="AO30" s="707"/>
      <c r="AP30" s="2070"/>
      <c r="AQ30" s="707"/>
      <c r="AR30" s="707"/>
      <c r="AS30" s="2067" t="s">
        <v>774</v>
      </c>
      <c r="AT30" s="2068" t="e">
        <f>IF(AT29&gt;-273,IF(14.34*(Effective_SurArea*Ht_Loss_Coeff*(AT29-Ambient_Temp))/(Effective_ContainedMass)&gt;0,14.34*(Effective_SurArea*Ht_Loss_Coeff*(AT29-Ambient_Temp))/(Effective_ContainedMass),0.0000000001),0.0000000001)</f>
        <v>#DIV/0!</v>
      </c>
      <c r="AU30" s="708" t="s">
        <v>1381</v>
      </c>
      <c r="AV30" s="707"/>
      <c r="AW30" s="707"/>
      <c r="AX30" s="707"/>
      <c r="AY30" s="707"/>
      <c r="AZ30" s="707"/>
      <c r="BA30" s="2067" t="s">
        <v>775</v>
      </c>
      <c r="BB30" s="2068" t="e">
        <f>IF(BB29&gt;-273,IF(14.34*(Effective_SurArea*Ht_Loss_Coeff*(BB29-Ambient_Temp))/(Effective_ContainedMass)&gt;0,14.34*(Effective_SurArea*Ht_Loss_Coeff*(BB29-Ambient_Temp))/(Effective_ContainedMass),0.0000000001),0.0000000001)</f>
        <v>#DIV/0!</v>
      </c>
      <c r="BC30" s="708" t="s">
        <v>1381</v>
      </c>
      <c r="BD30" s="707"/>
      <c r="BE30" s="707"/>
      <c r="BF30" s="707"/>
      <c r="BG30" s="707"/>
      <c r="BH30" s="707"/>
      <c r="BI30" s="707"/>
      <c r="BJ30" s="707"/>
      <c r="BK30" s="707"/>
      <c r="BL30" s="707"/>
      <c r="BM30" s="707"/>
      <c r="BN30" s="707"/>
      <c r="BO30" s="707"/>
      <c r="BP30" s="707"/>
      <c r="BQ30" s="707"/>
      <c r="BR30" s="707"/>
      <c r="BS30" s="707"/>
      <c r="BT30" s="707"/>
      <c r="BU30" s="707"/>
      <c r="BV30" s="707"/>
      <c r="BW30" s="707"/>
      <c r="BX30" s="707"/>
      <c r="BY30" s="707"/>
      <c r="BZ30" s="707"/>
      <c r="CA30" s="714"/>
      <c r="CB30" s="714"/>
      <c r="CC30" s="887"/>
      <c r="CD30" s="887"/>
      <c r="CE30" s="887"/>
      <c r="CF30" s="887"/>
      <c r="CG30" s="887"/>
      <c r="CH30" s="887"/>
      <c r="CI30" s="887"/>
      <c r="CJ30" s="887"/>
      <c r="CK30" s="996"/>
      <c r="CL30" s="996"/>
      <c r="CM30" s="996"/>
      <c r="CN30" s="996"/>
      <c r="CO30" s="996"/>
      <c r="CP30" s="996"/>
      <c r="CQ30" s="996"/>
      <c r="CR30" s="996"/>
    </row>
    <row r="31" spans="1:96" s="30" customFormat="1" ht="12.75" customHeight="1" x14ac:dyDescent="0.25">
      <c r="A31" s="122"/>
      <c r="B31" s="3813" t="s">
        <v>3490</v>
      </c>
      <c r="C31" s="3814"/>
      <c r="D31" s="3795"/>
      <c r="E31" s="3796"/>
      <c r="F31" s="122"/>
      <c r="G31" s="122"/>
      <c r="H31" s="122"/>
      <c r="I31" s="122"/>
      <c r="J31" s="122"/>
      <c r="K31" s="122"/>
      <c r="L31" s="122"/>
      <c r="M31" s="122"/>
      <c r="N31" s="707"/>
      <c r="O31" s="707"/>
      <c r="P31" s="707"/>
      <c r="Q31" s="2067" t="s">
        <v>776</v>
      </c>
      <c r="R31" s="708">
        <f>IF(AND(DHR&lt;-1,1000*Act_Energy&gt;0,OR(Tdet&lt;&gt;0,Tdet&lt;&gt;""),OR(Test_Method="DSC",Rdet&lt;&gt;0)),IF(OR(OR(Test_Method="ARC",Test_Method="VSP"),Test_Method="VSP"),1/(1.987*LN(Rdet*phi*Liq_C/(R30))/(1000*Act_Energy)+1/(273+Tdet))-273,IF(Test_Method="DSC",1/(1.987*LN(1.3*Liq_C/(R30))/(1000*Act_Energy)+1/(273+Tdet))-273,1/(1.987*LN(Rdet*Liq_C/(R30))/(1000*Act_Energy)+1/(273+Tdet))-273)),-273)</f>
        <v>-273</v>
      </c>
      <c r="S31" s="708" t="s">
        <v>1836</v>
      </c>
      <c r="T31" s="708"/>
      <c r="U31" s="2067" t="s">
        <v>776</v>
      </c>
      <c r="V31" s="708">
        <f>IF(AND(DHR&lt;-1,1000*Act_Energy&gt;0,OR(Tdet&lt;&gt;0,Tdet&lt;&gt;""),OR(Test_Method="DSC",Rdet&lt;&gt;0)),IF(OR(OR(Test_Method="ARC",Test_Method="VSP"),Test_Method="VSP"),1/(1.987*LN(Rdet*phi*Liq_C/(V30))/(1000*Act_Energy)+1/(273+Tdet))-273,IF(Test_Method="DSC",1/(1.987*LN(1.3*Liq_C/(V30))/(1000*Act_Energy)+1/(273+Tdet))-273,1/(1.987*LN(Rdet*Liq_C/(V30))/(1000*Act_Energy)+1/(273+Tdet))-273)),-273)</f>
        <v>-273</v>
      </c>
      <c r="W31" s="708" t="s">
        <v>1836</v>
      </c>
      <c r="X31" s="707"/>
      <c r="Y31" s="2067" t="s">
        <v>777</v>
      </c>
      <c r="Z31" s="708" t="e">
        <f>IF(AND(DHR&lt;-1,1000*Act_Energy&gt;0,OR(Tdet&lt;&gt;0,Tdet&lt;&gt;""),OR(Test_Method="DSC",Rdet&lt;&gt;0),Z30&gt;0),IF(OR(OR(Test_Method="ARC",Test_Method="VSP"),Test_Method="VSP"),1/(1.987*LN(Rdet*phi*Liq_C/(Z30))/(1000*Act_Energy)+1/(273+Tdet))-273,IF(Test_Method="DSC",1/(1.987*LN(1.3*Liq_C/(Z30))/(1000*Act_Energy)+1/(273+Tdet))-273,1/(1.987*LN(Rdet*Liq_C/(Z30))/(1000*Act_Energy)+1/(273+Tdet))-273)),T)</f>
        <v>#DIV/0!</v>
      </c>
      <c r="AA31" s="708" t="s">
        <v>1836</v>
      </c>
      <c r="AB31" s="708"/>
      <c r="AC31" s="707"/>
      <c r="AD31" s="707"/>
      <c r="AE31" s="707"/>
      <c r="AF31" s="707"/>
      <c r="AG31" s="707"/>
      <c r="AH31" s="707"/>
      <c r="AI31" s="707"/>
      <c r="AJ31" s="707"/>
      <c r="AK31" s="2067" t="s">
        <v>778</v>
      </c>
      <c r="AL31" s="708" t="e">
        <f>IF(AND(DHR&lt;-1,1000*Act_Energy&gt;0,OR(Tdet&lt;&gt;0,Tdet&lt;&gt;""),OR(Test_Method="DSC",Rdet&lt;&gt;0),AL30&gt;0),IF(OR(OR(Test_Method="ARC",Test_Method="VSP"),Test_Method="VSP"),1/(1.987*LN(Rdet*phi*Liq_C/(AL30))/(1000*Act_Energy)+1/(273+T))-273,IF(Test_Method="DSC",1/(1.987*LN(1.3*Liq_C/(AL30))/(1000*Act_Energy)+1/(273+T))-273,1/(1.987*LN(Rdet*Liq_C/(AL30))/(1000*Act_Energy)+1/(273+T))-273)),T)</f>
        <v>#DIV/0!</v>
      </c>
      <c r="AM31" s="708" t="s">
        <v>1836</v>
      </c>
      <c r="AN31" s="707"/>
      <c r="AO31" s="707"/>
      <c r="AP31" s="707"/>
      <c r="AQ31" s="707"/>
      <c r="AR31" s="707"/>
      <c r="AS31" s="2067" t="s">
        <v>779</v>
      </c>
      <c r="AT31" s="708" t="e">
        <f>IF(AND(DHR&lt;-1,1000*Act_Energy&gt;0,OR(Tdet&lt;&gt;0,Tdet&lt;&gt;""),OR(Test_Method="DSC",Rdet&lt;&gt;0),Rx_Pooling_Factor&gt;0,AT30&gt;0),IF(Second_Phase="Yes",IF(OR(OR(Test_Method="ARC",Test_Method="VSP"),Test_Method="VSP"),1/(1.987*LN(Rdet*phi*Liq_C/(Rx_Pooling_Factor*AT30))/(1000*Act_Energy)+1/(273+Tdet))-273,IF(Test_Method="DSC",1/(1.987*LN(1.3*Liq_C/(Rx_Pooling_Factor*AT30))/(1000*Act_Energy)+1/(273+Tdet))-273,1/(1.987*LN(Rdet*Liq_C/(Rx_Pooling_Factor*AT30))/(1000*Act_Energy)+1/(273+Tdet))-273)),IF(OR(OR(Test_Method="ARC",Test_Method="VSP"),Test_Method="VSP"),1/(1.987*LN(Rx_Pooling_Factor*Rdet*phi*Liq_C/(AT30))/(1000*Act_Energy)+1/(273+Tdet))-273,IF(Test_Method="DSC",1/(1.987*LN(Rx_Pooling_Factor*1.3*Liq_C/(AT30))/(1000*Act_Energy)+1/(273+Tdet))-273,1/(1.987*LN(Rx_Pooling_Factor*Rdet*Liq_C/(AT30))/(1000*Act_Energy)+1/(273+Tdet))-273))),Tinit)</f>
        <v>#DIV/0!</v>
      </c>
      <c r="AU31" s="708" t="s">
        <v>1836</v>
      </c>
      <c r="AV31" s="707"/>
      <c r="AW31" s="707"/>
      <c r="AX31" s="707"/>
      <c r="AY31" s="707"/>
      <c r="AZ31" s="707"/>
      <c r="BA31" s="2067" t="s">
        <v>780</v>
      </c>
      <c r="BB31" s="708" t="e">
        <f>IF(AND(DHR&lt;-1,1000*Act_Energy&gt;0,OR(Tdet&lt;&gt;0,Tdet&lt;&gt;""),OR(Test_Method="DSC",Rdet&lt;&gt;0),Rx_MisLoading_Factor&gt;0,BB30&gt;0),IF(OR(OR(Test_Method="ARC",Test_Method="VSP"),Test_Method="VSP"),1/(1.987*LN(Rx_MisLoading_Factor*Rdet*phi*Liq_C/(BB30))/(1000*Act_Energy)+1/(273+Tdet))-273,IF(Test_Method="DSC",1/(1.987*LN(Rx_MisLoading_Factor*1.3*Liq_C/(BB30))/(1000*Act_Energy)+1/(273+Tdet))-273,1/(1.987*LN(Rx_MisLoading_Factor*Rdet*Liq_C/(BB30))/(1000*Act_Energy)+1/(273+Tdet))-273)),Tinit)</f>
        <v>#DIV/0!</v>
      </c>
      <c r="BC31" s="708" t="s">
        <v>1836</v>
      </c>
      <c r="BD31" s="707"/>
      <c r="BE31" s="707"/>
      <c r="BF31" s="707"/>
      <c r="BG31" s="707"/>
      <c r="BH31" s="707"/>
      <c r="BI31" s="707"/>
      <c r="BJ31" s="707"/>
      <c r="BK31" s="707"/>
      <c r="BL31" s="707"/>
      <c r="BM31" s="707"/>
      <c r="BN31" s="707"/>
      <c r="BO31" s="707"/>
      <c r="BP31" s="707"/>
      <c r="BQ31" s="707"/>
      <c r="BR31" s="707"/>
      <c r="BS31" s="707"/>
      <c r="BT31" s="707"/>
      <c r="BU31" s="707"/>
      <c r="BV31" s="707"/>
      <c r="BW31" s="707"/>
      <c r="BX31" s="707"/>
      <c r="BY31" s="707"/>
      <c r="BZ31" s="707"/>
      <c r="CA31" s="714"/>
      <c r="CB31" s="714"/>
      <c r="CC31" s="887"/>
      <c r="CD31" s="887"/>
      <c r="CE31" s="887"/>
      <c r="CF31" s="887"/>
      <c r="CG31" s="887"/>
      <c r="CH31" s="887"/>
      <c r="CI31" s="887"/>
      <c r="CJ31" s="887"/>
      <c r="CK31" s="996"/>
      <c r="CL31" s="996"/>
      <c r="CM31" s="996"/>
      <c r="CN31" s="996"/>
      <c r="CO31" s="996"/>
      <c r="CP31" s="996"/>
      <c r="CQ31" s="996"/>
      <c r="CR31" s="996"/>
    </row>
    <row r="32" spans="1:96" s="30" customFormat="1" ht="12.75" customHeight="1" x14ac:dyDescent="0.25">
      <c r="A32" s="122"/>
      <c r="B32" s="3813" t="s">
        <v>3491</v>
      </c>
      <c r="C32" s="3814"/>
      <c r="D32" s="3795"/>
      <c r="E32" s="3796"/>
      <c r="F32" s="122"/>
      <c r="G32" s="122"/>
      <c r="H32" s="122"/>
      <c r="I32" s="122"/>
      <c r="J32" s="122"/>
      <c r="K32" s="122"/>
      <c r="L32" s="122"/>
      <c r="M32" s="122"/>
      <c r="N32" s="707"/>
      <c r="O32" s="707"/>
      <c r="P32" s="707"/>
      <c r="Q32" s="2067" t="s">
        <v>781</v>
      </c>
      <c r="R32" s="2068">
        <f>IF(R31&gt;-273,IF(14.34*(Effective_SurArea*Ht_Loss_Coeff*(R31-Ambient_Temp))/(Effective_ContainedMass)&gt;0,14.34*(Effective_SurArea*Ht_Loss_Coeff*(R31-Ambient_Temp))/(Effective_ContainedMass),0.0000000001),0.0000000001)</f>
        <v>1E-10</v>
      </c>
      <c r="S32" s="708" t="s">
        <v>1381</v>
      </c>
      <c r="T32" s="708"/>
      <c r="U32" s="2067" t="s">
        <v>781</v>
      </c>
      <c r="V32" s="2068">
        <f>IF(V31&gt;-273,IF(14.34*($R$24*$U$24*(V31-Coolant_Temp))/(Effective_ContainedMass)&gt;0,14.34*($R$24*$U$24*(V31-Coolant_Temp))/(Effective_ContainedMass),0.0000000001),0.0000000001)</f>
        <v>1E-10</v>
      </c>
      <c r="W32" s="708" t="s">
        <v>1381</v>
      </c>
      <c r="X32" s="707"/>
      <c r="Y32" s="2067" t="s">
        <v>782</v>
      </c>
      <c r="Z32" s="2068" t="e">
        <f>IF(Heating_T&lt;Z31,14.34*(Effective_SurArea*Ht_Loss_Coeff*(Z31-Ambient_Temp))/(Effective_ContainedMass)+$X$24*7.17*Motor/Effective_ContainedMass,14.34*(Effective_SurArea*Ht_Loss_Coeff*(Z31-Ambient_Temp))/(Effective_ContainedMass)+$X$24*7.17*Motor/Effective_ContainedMass+$AA$24*14.34*(HT_Area*U*(Heating_T-Z31))/(Effective_ContainedMass))</f>
        <v>#DIV/0!</v>
      </c>
      <c r="AA32" s="708" t="s">
        <v>1381</v>
      </c>
      <c r="AB32" s="708"/>
      <c r="AC32" s="707"/>
      <c r="AD32" s="707"/>
      <c r="AE32" s="707"/>
      <c r="AF32" s="707"/>
      <c r="AG32" s="707"/>
      <c r="AH32" s="707"/>
      <c r="AI32" s="707"/>
      <c r="AJ32" s="707"/>
      <c r="AK32" s="2067" t="s">
        <v>118</v>
      </c>
      <c r="AL32" s="2068" t="e">
        <f>IF(AL31&gt;-273,IF(14.34*(Effective_SurArea*Ht_Loss_Coeff*(AL31-Ambient_Temp))/(Effective_ContainedMass)&gt;0,14.34*(Effective_SurArea*Ht_Loss_Coeff*(AL31-Ambient_Temp))/(Effective_ContainedMass),0.0000000001),0.0000000001)</f>
        <v>#DIV/0!</v>
      </c>
      <c r="AM32" s="708" t="s">
        <v>1381</v>
      </c>
      <c r="AN32" s="707"/>
      <c r="AO32" s="707"/>
      <c r="AP32" s="707"/>
      <c r="AQ32" s="707"/>
      <c r="AR32" s="707"/>
      <c r="AS32" s="2067" t="s">
        <v>119</v>
      </c>
      <c r="AT32" s="2068" t="e">
        <f>IF(AT31&gt;-273,IF(14.34*(Effective_SurArea*Ht_Loss_Coeff*(AT31-Ambient_Temp))/(Effective_ContainedMass)&gt;0,14.34*(Effective_SurArea*Ht_Loss_Coeff*(AT31-Ambient_Temp))/(Effective_ContainedMass),0.0000000001),0.0000000001)</f>
        <v>#DIV/0!</v>
      </c>
      <c r="AU32" s="708" t="s">
        <v>1381</v>
      </c>
      <c r="AV32" s="707"/>
      <c r="AW32" s="707"/>
      <c r="AX32" s="707"/>
      <c r="AY32" s="707"/>
      <c r="AZ32" s="707"/>
      <c r="BA32" s="2067" t="s">
        <v>120</v>
      </c>
      <c r="BB32" s="2068" t="e">
        <f>IF(BB31&gt;-273,IF(14.34*(Effective_SurArea*Ht_Loss_Coeff*(BB31-Ambient_Temp))/(Effective_ContainedMass)&gt;0,14.34*(Effective_SurArea*Ht_Loss_Coeff*(BB31-Ambient_Temp))/(Effective_ContainedMass),0.0000000001),0.0000000001)</f>
        <v>#DIV/0!</v>
      </c>
      <c r="BC32" s="708" t="s">
        <v>1381</v>
      </c>
      <c r="BD32" s="707"/>
      <c r="BE32" s="707"/>
      <c r="BF32" s="707"/>
      <c r="BG32" s="707"/>
      <c r="BH32" s="707"/>
      <c r="BI32" s="707"/>
      <c r="BJ32" s="707"/>
      <c r="BK32" s="707"/>
      <c r="BL32" s="707"/>
      <c r="BM32" s="707"/>
      <c r="BN32" s="707"/>
      <c r="BO32" s="707"/>
      <c r="BP32" s="707"/>
      <c r="BQ32" s="707"/>
      <c r="BR32" s="707"/>
      <c r="BS32" s="707"/>
      <c r="BT32" s="707"/>
      <c r="BU32" s="707"/>
      <c r="BV32" s="707"/>
      <c r="BW32" s="707"/>
      <c r="BX32" s="707"/>
      <c r="BY32" s="707"/>
      <c r="BZ32" s="707"/>
      <c r="CA32" s="714"/>
      <c r="CB32" s="714"/>
      <c r="CC32" s="887"/>
      <c r="CD32" s="887"/>
      <c r="CE32" s="887"/>
      <c r="CF32" s="887"/>
      <c r="CG32" s="887"/>
      <c r="CH32" s="887"/>
      <c r="CI32" s="887"/>
      <c r="CJ32" s="887"/>
      <c r="CK32" s="996"/>
      <c r="CL32" s="996"/>
      <c r="CM32" s="996"/>
      <c r="CN32" s="996"/>
      <c r="CO32" s="996"/>
      <c r="CP32" s="996"/>
      <c r="CQ32" s="996"/>
      <c r="CR32" s="996"/>
    </row>
    <row r="33" spans="1:96" s="30" customFormat="1" ht="12.75" customHeight="1" x14ac:dyDescent="0.25">
      <c r="A33" s="122"/>
      <c r="B33" s="3801" t="s">
        <v>4734</v>
      </c>
      <c r="C33" s="3782"/>
      <c r="D33" s="214"/>
      <c r="E33" s="173"/>
      <c r="F33" s="122"/>
      <c r="G33" s="122"/>
      <c r="H33" s="122"/>
      <c r="I33" s="122"/>
      <c r="J33" s="122"/>
      <c r="K33" s="122"/>
      <c r="L33" s="122"/>
      <c r="M33" s="122"/>
      <c r="N33" s="707"/>
      <c r="O33" s="707"/>
      <c r="P33" s="707"/>
      <c r="Q33" s="2067" t="s">
        <v>41</v>
      </c>
      <c r="R33" s="708">
        <f>IF(AND(DHR&lt;-1,1000*Act_Energy&gt;0,OR(Tdet&lt;&gt;0,Tdet&lt;&gt;""),OR(Test_Method="DSC",Rdet&lt;&gt;0)),IF(OR(OR(Test_Method="ARC",Test_Method="VSP"),Test_Method="VSP"),1/(1.987*LN(Rdet*phi*Liq_C/(R32))/(1000*Act_Energy)+1/(273+Tdet))-273,IF(Test_Method="DSC",1/(1.987*LN(1.3*Liq_C/(R32))/(1000*Act_Energy)+1/(273+Tdet))-273,1/(1.987*LN(Rdet*Liq_C/(R32))/(1000*Act_Energy)+1/(273+Tdet))-273)),-273)</f>
        <v>-273</v>
      </c>
      <c r="S33" s="708" t="s">
        <v>1836</v>
      </c>
      <c r="T33" s="708"/>
      <c r="U33" s="2067" t="s">
        <v>41</v>
      </c>
      <c r="V33" s="708">
        <f>IF(AND(DHR&lt;-1,1000*Act_Energy&gt;0,OR(Tdet&lt;&gt;0,Tdet&lt;&gt;""),OR(Test_Method="DSC",Rdet&lt;&gt;0)),IF(OR(OR(Test_Method="ARC",Test_Method="VSP"),Test_Method="VSP"),1/(1.987*LN(Rdet*phi*Liq_C/(V32))/(1000*Act_Energy)+1/(273+Tdet))-273,IF(Test_Method="DSC",1/(1.987*LN(1.3*Liq_C/(V32))/(1000*Act_Energy)+1/(273+Tdet))-273,1/(1.987*LN(Rdet*Liq_C/(V32))/(1000*Act_Energy)+1/(273+Tdet))-273)),-273)</f>
        <v>-273</v>
      </c>
      <c r="W33" s="708" t="s">
        <v>1836</v>
      </c>
      <c r="X33" s="707"/>
      <c r="Y33" s="2067" t="s">
        <v>42</v>
      </c>
      <c r="Z33" s="708" t="e">
        <f>IF(AND(DHR&lt;-1,1000*Act_Energy&gt;0,OR(Tdet&lt;&gt;0,Tdet&lt;&gt;""),OR(Test_Method="DSC",Rdet&lt;&gt;0),Z32&gt;0),IF(OR(OR(Test_Method="ARC",Test_Method="VSP"),Test_Method="VSP"),1/(1.987*LN(Rdet*phi*Liq_C/(Z32))/(1000*Act_Energy)+1/(273+Tdet))-273,IF(Test_Method="DSC",1/(1.987*LN(1.3*Liq_C/(Z32))/(1000*Act_Energy)+1/(273+Tdet))-273,1/(1.987*LN(Rdet*Liq_C/(Z32))/(1000*Act_Energy)+1/(273+Tdet))-273)),T)</f>
        <v>#DIV/0!</v>
      </c>
      <c r="AA33" s="708" t="s">
        <v>1836</v>
      </c>
      <c r="AB33" s="708"/>
      <c r="AC33" s="707"/>
      <c r="AD33" s="707"/>
      <c r="AE33" s="707"/>
      <c r="AF33" s="707"/>
      <c r="AG33" s="707"/>
      <c r="AH33" s="707"/>
      <c r="AI33" s="707"/>
      <c r="AJ33" s="707"/>
      <c r="AK33" s="2067" t="s">
        <v>1151</v>
      </c>
      <c r="AL33" s="708" t="e">
        <f>IF(AND(DHR&lt;-1,1000*Act_Energy&gt;0,OR(Tdet&lt;&gt;0,Tdet&lt;&gt;""),OR(Test_Method="DSC",Rdet&lt;&gt;0),AL32&gt;0),IF(OR(OR(Test_Method="ARC",Test_Method="VSP"),Test_Method="VSP"),1/(1.987*LN(Rdet*phi*Liq_C/(AL32))/(1000*Act_Energy)+1/(273+T))-273,IF(Test_Method="DSC",1/(1.987*LN(1.3*Liq_C/(AL32))/(1000*Act_Energy)+1/(273+T))-273,1/(1.987*LN(Rdet*Liq_C/(AL32))/(1000*Act_Energy)+1/(273+T))-273)),T)</f>
        <v>#DIV/0!</v>
      </c>
      <c r="AM33" s="708" t="s">
        <v>1836</v>
      </c>
      <c r="AN33" s="707"/>
      <c r="AO33" s="707"/>
      <c r="AP33" s="707"/>
      <c r="AQ33" s="707"/>
      <c r="AR33" s="707"/>
      <c r="AS33" s="2067" t="s">
        <v>1152</v>
      </c>
      <c r="AT33" s="708" t="e">
        <f>IF(AND(DHR&lt;-1,1000*Act_Energy&gt;0,OR(Tdet&lt;&gt;0,Tdet&lt;&gt;""),OR(Test_Method="DSC",Rdet&lt;&gt;0),Rx_Pooling_Factor&gt;0,AT32&gt;0),IF(Second_Phase="Yes",IF(OR(OR(Test_Method="ARC",Test_Method="VSP"),Test_Method="VSP"),1/(1.987*LN(Rdet*phi*Liq_C/(Rx_Pooling_Factor*AT32))/(1000*Act_Energy)+1/(273+Tdet))-273,IF(Test_Method="DSC",1/(1.987*LN(1.3*Liq_C/(Rx_Pooling_Factor*AT32))/(1000*Act_Energy)+1/(273+Tdet))-273,1/(1.987*LN(Rdet*Liq_C/(Rx_Pooling_Factor*AT32))/(1000*Act_Energy)+1/(273+Tdet))-273)),IF(OR(OR(Test_Method="ARC",Test_Method="VSP"),Test_Method="VSP"),1/(1.987*LN(Rx_Pooling_Factor*Rdet*phi*Liq_C/(AT32))/(1000*Act_Energy)+1/(273+Tdet))-273,IF(Test_Method="DSC",1/(1.987*LN(Rx_Pooling_Factor*1.3*Liq_C/(AT32))/(1000*Act_Energy)+1/(273+Tdet))-273,1/(1.987*LN(Rx_Pooling_Factor*Rdet*Liq_C/(AT32))/(1000*Act_Energy)+1/(273+Tdet))-273))),Tinit)</f>
        <v>#DIV/0!</v>
      </c>
      <c r="AU33" s="708" t="s">
        <v>1836</v>
      </c>
      <c r="AV33" s="707"/>
      <c r="AW33" s="707"/>
      <c r="AX33" s="707"/>
      <c r="AY33" s="707"/>
      <c r="AZ33" s="707"/>
      <c r="BA33" s="2067" t="s">
        <v>1153</v>
      </c>
      <c r="BB33" s="708" t="e">
        <f>IF(AND(DHR&lt;-1,1000*Act_Energy&gt;0,OR(Tdet&lt;&gt;0,Tdet&lt;&gt;""),OR(Test_Method="DSC",Rdet&lt;&gt;0),Rx_MisLoading_Factor&gt;0,BB32&gt;0),IF(OR(OR(Test_Method="ARC",Test_Method="VSP"),Test_Method="VSP"),1/(1.987*LN(Rx_MisLoading_Factor*Rdet*phi*Liq_C/(BB32))/(1000*Act_Energy)+1/(273+Tdet))-273,IF(Test_Method="DSC",1/(1.987*LN(Rx_MisLoading_Factor*1.3*Liq_C/(BB32))/(1000*Act_Energy)+1/(273+Tdet))-273,1/(1.987*LN(Rx_MisLoading_Factor*Rdet*Liq_C/(BB32))/(1000*Act_Energy)+1/(273+Tdet))-273)),Tinit)</f>
        <v>#DIV/0!</v>
      </c>
      <c r="BC33" s="708" t="s">
        <v>1836</v>
      </c>
      <c r="BD33" s="707"/>
      <c r="BE33" s="707"/>
      <c r="BF33" s="707"/>
      <c r="BG33" s="707"/>
      <c r="BH33" s="707"/>
      <c r="BI33" s="707"/>
      <c r="BJ33" s="707"/>
      <c r="BK33" s="707"/>
      <c r="BL33" s="707"/>
      <c r="BM33" s="707"/>
      <c r="BN33" s="707"/>
      <c r="BO33" s="707"/>
      <c r="BP33" s="707"/>
      <c r="BQ33" s="707"/>
      <c r="BR33" s="707"/>
      <c r="BS33" s="707"/>
      <c r="BT33" s="707"/>
      <c r="BU33" s="707"/>
      <c r="BV33" s="707"/>
      <c r="BW33" s="707"/>
      <c r="BX33" s="707"/>
      <c r="BY33" s="707"/>
      <c r="BZ33" s="707"/>
      <c r="CA33" s="714"/>
      <c r="CB33" s="714"/>
      <c r="CC33" s="887"/>
      <c r="CD33" s="887"/>
      <c r="CE33" s="887"/>
      <c r="CF33" s="887"/>
      <c r="CG33" s="887"/>
      <c r="CH33" s="887"/>
      <c r="CI33" s="887"/>
      <c r="CJ33" s="887"/>
      <c r="CK33" s="996"/>
      <c r="CL33" s="996"/>
      <c r="CM33" s="996"/>
      <c r="CN33" s="996"/>
      <c r="CO33" s="996"/>
      <c r="CP33" s="996"/>
      <c r="CQ33" s="996"/>
      <c r="CR33" s="996"/>
    </row>
    <row r="34" spans="1:96" s="30" customFormat="1" ht="12.75" customHeight="1" x14ac:dyDescent="0.25">
      <c r="A34" s="122"/>
      <c r="B34" s="3776" t="str">
        <f>IF(DHR&gt;0,"Heat of Reaction is Endothermic - Evaluate if Volatile or Gas Generated",IF(DHR=0,"",IF(DHR&gt;-12,"Heat of Reaction &lt; -12 cal/gm - Evaluate if Volatile or Gas Generated","")))</f>
        <v/>
      </c>
      <c r="C34" s="3777"/>
      <c r="D34" s="3777"/>
      <c r="E34" s="3778"/>
      <c r="F34" s="122"/>
      <c r="G34" s="122"/>
      <c r="H34" s="122"/>
      <c r="I34" s="122"/>
      <c r="J34" s="122"/>
      <c r="K34" s="122"/>
      <c r="L34" s="122"/>
      <c r="M34" s="122"/>
      <c r="N34" s="707"/>
      <c r="O34" s="707"/>
      <c r="P34" s="707"/>
      <c r="Q34" s="2067" t="s">
        <v>2017</v>
      </c>
      <c r="R34" s="2068">
        <f>IF(R33&gt;-273,IF(14.34*(Effective_SurArea*Ht_Loss_Coeff*(R33-Ambient_Temp))/(Effective_ContainedMass)&gt;0,14.34*(Effective_SurArea*Ht_Loss_Coeff*(R33-Ambient_Temp))/(Effective_ContainedMass),0.0000000001),0.0000000001)</f>
        <v>1E-10</v>
      </c>
      <c r="S34" s="708" t="s">
        <v>1381</v>
      </c>
      <c r="T34" s="708"/>
      <c r="U34" s="2067" t="s">
        <v>2017</v>
      </c>
      <c r="V34" s="2068">
        <f>IF(V33&gt;-273,IF(14.34*($R$24*$U$24*(V33-Coolant_Temp))/(Effective_ContainedMass)&gt;0,14.34*($R$24*$U$24*(V33-Coolant_Temp))/(Effective_ContainedMass),0.0000000001),0.0000000001)</f>
        <v>1E-10</v>
      </c>
      <c r="W34" s="708" t="s">
        <v>1381</v>
      </c>
      <c r="X34" s="707"/>
      <c r="Y34" s="2067" t="s">
        <v>962</v>
      </c>
      <c r="Z34" s="2068" t="e">
        <f>IF(Heating_T&lt;Z33,14.34*(Effective_SurArea*Ht_Loss_Coeff*(Z33-Ambient_Temp))/(Effective_ContainedMass)+$X$24*7.17*Motor/Effective_ContainedMass,14.34*(Effective_SurArea*Ht_Loss_Coeff*(Z33-Ambient_Temp))/(Effective_ContainedMass)+$X$24*7.17*Motor/Effective_ContainedMass+$AA$24*14.34*(HT_Area*U*(Heating_T-Z33))/(Effective_ContainedMass))</f>
        <v>#DIV/0!</v>
      </c>
      <c r="AA34" s="708" t="s">
        <v>1381</v>
      </c>
      <c r="AB34" s="708"/>
      <c r="AC34" s="707"/>
      <c r="AD34" s="707"/>
      <c r="AE34" s="707"/>
      <c r="AF34" s="707"/>
      <c r="AG34" s="707"/>
      <c r="AH34" s="707"/>
      <c r="AI34" s="707"/>
      <c r="AJ34" s="707"/>
      <c r="AK34" s="2067" t="s">
        <v>963</v>
      </c>
      <c r="AL34" s="2068" t="e">
        <f>IF(AL33&gt;-273,IF(14.34*(Effective_SurArea*Ht_Loss_Coeff*(AL33-Ambient_Temp))/(Effective_ContainedMass)&gt;0,14.34*(Effective_SurArea*Ht_Loss_Coeff*(AL33-Ambient_Temp))/(Effective_ContainedMass),0.0000000001),0.0000000001)</f>
        <v>#DIV/0!</v>
      </c>
      <c r="AM34" s="708" t="s">
        <v>1381</v>
      </c>
      <c r="AN34" s="707"/>
      <c r="AO34" s="707"/>
      <c r="AP34" s="707"/>
      <c r="AQ34" s="707"/>
      <c r="AR34" s="707"/>
      <c r="AS34" s="2067" t="s">
        <v>1695</v>
      </c>
      <c r="AT34" s="2068" t="e">
        <f>IF(AT33&gt;-273,IF(14.34*(Effective_SurArea*Ht_Loss_Coeff*(AT33-Ambient_Temp))/(Effective_ContainedMass)&gt;0,14.34*(Effective_SurArea*Ht_Loss_Coeff*(AT33-Ambient_Temp))/(Effective_ContainedMass),0.0000000001),0.0000000001)</f>
        <v>#DIV/0!</v>
      </c>
      <c r="AU34" s="708" t="s">
        <v>1381</v>
      </c>
      <c r="AV34" s="707"/>
      <c r="AW34" s="707"/>
      <c r="AX34" s="707"/>
      <c r="AY34" s="707"/>
      <c r="AZ34" s="707"/>
      <c r="BA34" s="2067" t="s">
        <v>1696</v>
      </c>
      <c r="BB34" s="2068" t="e">
        <f>IF(BB33&gt;-273,IF(14.34*(Effective_SurArea*Ht_Loss_Coeff*(BB33-Ambient_Temp))/(Effective_ContainedMass)&gt;0,14.34*(Effective_SurArea*Ht_Loss_Coeff*(BB33-Ambient_Temp))/(Effective_ContainedMass),0.0000000001),0.0000000001)</f>
        <v>#DIV/0!</v>
      </c>
      <c r="BC34" s="708" t="s">
        <v>1381</v>
      </c>
      <c r="BD34" s="707"/>
      <c r="BE34" s="707"/>
      <c r="BF34" s="707"/>
      <c r="BG34" s="707"/>
      <c r="BH34" s="707"/>
      <c r="BI34" s="707"/>
      <c r="BJ34" s="707"/>
      <c r="BK34" s="707"/>
      <c r="BL34" s="707"/>
      <c r="BM34" s="707"/>
      <c r="BN34" s="707"/>
      <c r="BO34" s="707"/>
      <c r="BP34" s="707"/>
      <c r="BQ34" s="707"/>
      <c r="BR34" s="707"/>
      <c r="BS34" s="707"/>
      <c r="BT34" s="707"/>
      <c r="BU34" s="707"/>
      <c r="BV34" s="707"/>
      <c r="BW34" s="707"/>
      <c r="BX34" s="707"/>
      <c r="BY34" s="707"/>
      <c r="BZ34" s="707"/>
      <c r="CA34" s="714"/>
      <c r="CB34" s="714"/>
      <c r="CC34" s="887"/>
      <c r="CD34" s="887"/>
      <c r="CE34" s="887"/>
      <c r="CF34" s="887"/>
      <c r="CG34" s="887"/>
      <c r="CH34" s="887"/>
      <c r="CI34" s="887"/>
      <c r="CJ34" s="887"/>
      <c r="CK34" s="996"/>
      <c r="CL34" s="996"/>
      <c r="CM34" s="996"/>
      <c r="CN34" s="996"/>
      <c r="CO34" s="996"/>
      <c r="CP34" s="996"/>
      <c r="CQ34" s="996"/>
      <c r="CR34" s="996"/>
    </row>
    <row r="35" spans="1:96" s="30" customFormat="1" ht="12.75" customHeight="1" x14ac:dyDescent="0.25">
      <c r="A35" s="122"/>
      <c r="B35" s="3803" t="str">
        <f>IF(Catalyzed="Yes","Note for Catalyzed=Yes, Initial Reaction Temp Set to Operating Temp","")</f>
        <v/>
      </c>
      <c r="C35" s="3804"/>
      <c r="D35" s="3805"/>
      <c r="E35" s="3806"/>
      <c r="F35" s="122"/>
      <c r="G35" s="122"/>
      <c r="H35" s="122"/>
      <c r="I35" s="122"/>
      <c r="J35" s="122"/>
      <c r="K35" s="122"/>
      <c r="L35" s="122"/>
      <c r="M35" s="122"/>
      <c r="N35" s="707"/>
      <c r="O35" s="707"/>
      <c r="P35" s="707"/>
      <c r="Q35" s="2067" t="s">
        <v>1697</v>
      </c>
      <c r="R35" s="708">
        <f>IF(AND(DHR&lt;-1,1000*Act_Energy&gt;0,OR(Tdet&lt;&gt;0,Tdet&lt;&gt;""),OR(Test_Method="DSC",Rdet&lt;&gt;0)),IF(OR(OR(Test_Method="ARC",Test_Method="VSP"),Test_Method="VSP"),1/(1.987*LN(Rdet*phi*Liq_C/(R34))/(1000*Act_Energy)+1/(273+Tdet))-273,IF(Test_Method="DSC",1/(1.987*LN(1.3*Liq_C/(R34))/(1000*Act_Energy)+1/(273+Tdet))-273,1/(1.987*LN(Rdet*Liq_C/(R34))/(1000*Act_Energy)+1/(273+Tdet))-273)),-273)</f>
        <v>-273</v>
      </c>
      <c r="S35" s="708" t="s">
        <v>1836</v>
      </c>
      <c r="T35" s="708"/>
      <c r="U35" s="2067" t="s">
        <v>1697</v>
      </c>
      <c r="V35" s="708">
        <f>IF(AND(DHR&lt;-1,1000*Act_Energy&gt;0,OR(Tdet&lt;&gt;0,Tdet&lt;&gt;""),OR(Test_Method="DSC",Rdet&lt;&gt;0)),IF(OR(OR(Test_Method="ARC",Test_Method="VSP"),Test_Method="VSP"),1/(1.987*LN(Rdet*phi*Liq_C/(V34))/(1000*Act_Energy)+1/(273+Tdet))-273,IF(Test_Method="DSC",1/(1.987*LN(1.3*Liq_C/(V34))/(1000*Act_Energy)+1/(273+Tdet))-273,1/(1.987*LN(Rdet*Liq_C/(V34))/(1000*Act_Energy)+1/(273+Tdet))-273)),-273)</f>
        <v>-273</v>
      </c>
      <c r="W35" s="708" t="s">
        <v>1836</v>
      </c>
      <c r="X35" s="707"/>
      <c r="Y35" s="2067" t="s">
        <v>1698</v>
      </c>
      <c r="Z35" s="708" t="e">
        <f>IF(AND(DHR&lt;-1,1000*Act_Energy&gt;0,OR(Tdet&lt;&gt;0,Tdet&lt;&gt;""),OR(Test_Method="DSC",Rdet&lt;&gt;0),Z34&gt;0),IF(OR(OR(Test_Method="ARC",Test_Method="VSP"),Test_Method="VSP"),1/(1.987*LN(Rdet*phi*Liq_C/(Z34))/(1000*Act_Energy)+1/(273+Tdet))-273,IF(Test_Method="DSC",1/(1.987*LN(1.3*Liq_C/(Z34))/(1000*Act_Energy)+1/(273+Tdet))-273,1/(1.987*LN(Rdet*Liq_C/(Z34))/(1000*Act_Energy)+1/(273+Tdet))-273)),T)</f>
        <v>#DIV/0!</v>
      </c>
      <c r="AA35" s="708" t="s">
        <v>1836</v>
      </c>
      <c r="AB35" s="708"/>
      <c r="AC35" s="707"/>
      <c r="AD35" s="707"/>
      <c r="AE35" s="707"/>
      <c r="AF35" s="707"/>
      <c r="AG35" s="707"/>
      <c r="AH35" s="707"/>
      <c r="AI35" s="707"/>
      <c r="AJ35" s="707"/>
      <c r="AK35" s="2067" t="s">
        <v>1699</v>
      </c>
      <c r="AL35" s="708" t="e">
        <f>IF(AND(DHR&lt;-1,1000*Act_Energy&gt;0,OR(Tdet&lt;&gt;0,Tdet&lt;&gt;""),OR(Test_Method="DSC",Rdet&lt;&gt;0),AL34&gt;0),IF(OR(OR(Test_Method="ARC",Test_Method="VSP"),Test_Method="VSP"),1/(1.987*LN(Rdet*phi*Liq_C/(AL34))/(1000*Act_Energy)+1/(273+T))-273,IF(Test_Method="DSC",1/(1.987*LN(1.3*Liq_C/(AL34))/(1000*Act_Energy)+1/(273+T))-273,1/(1.987*LN(Rdet*Liq_C/(AL34))/(1000*Act_Energy)+1/(273+T))-273)),T)</f>
        <v>#DIV/0!</v>
      </c>
      <c r="AM35" s="708" t="s">
        <v>1836</v>
      </c>
      <c r="AN35" s="707"/>
      <c r="AO35" s="707"/>
      <c r="AP35" s="707"/>
      <c r="AQ35" s="707"/>
      <c r="AR35" s="707"/>
      <c r="AS35" s="2067" t="s">
        <v>1700</v>
      </c>
      <c r="AT35" s="708" t="e">
        <f>IF(AND(DHR&lt;-1,1000*Act_Energy&gt;0,OR(Tdet&lt;&gt;0,Tdet&lt;&gt;""),OR(Test_Method="DSC",Rdet&lt;&gt;0),Rx_Pooling_Factor&gt;0,AT34&gt;0),IF(Second_Phase="Yes",IF(OR(OR(Test_Method="ARC",Test_Method="VSP"),Test_Method="VSP"),1/(1.987*LN(Rdet*phi*Liq_C/(Rx_Pooling_Factor*AT34))/(1000*Act_Energy)+1/(273+Tdet))-273,IF(Test_Method="DSC",1/(1.987*LN(1.3*Liq_C/(Rx_Pooling_Factor*AT34))/(1000*Act_Energy)+1/(273+Tdet))-273,1/(1.987*LN(Rdet*Liq_C/(Rx_Pooling_Factor*AT34))/(1000*Act_Energy)+1/(273+Tdet))-273)),IF(OR(OR(Test_Method="ARC",Test_Method="VSP"),Test_Method="VSP"),1/(1.987*LN(Rx_Pooling_Factor*Rdet*phi*Liq_C/(AT34))/(1000*Act_Energy)+1/(273+Tdet))-273,IF(Test_Method="DSC",1/(1.987*LN(Rx_Pooling_Factor*1.3*Liq_C/(AT34))/(1000*Act_Energy)+1/(273+Tdet))-273,1/(1.987*LN(Rx_Pooling_Factor*Rdet*Liq_C/(AT34))/(1000*Act_Energy)+1/(273+Tdet))-273))),Tinit)</f>
        <v>#DIV/0!</v>
      </c>
      <c r="AU35" s="708" t="s">
        <v>1836</v>
      </c>
      <c r="AV35" s="707"/>
      <c r="AW35" s="707"/>
      <c r="AX35" s="707"/>
      <c r="AY35" s="707"/>
      <c r="AZ35" s="707"/>
      <c r="BA35" s="2067" t="s">
        <v>1701</v>
      </c>
      <c r="BB35" s="708" t="e">
        <f>IF(AND(DHR&lt;-1,1000*Act_Energy&gt;0,OR(Tdet&lt;&gt;0,Tdet&lt;&gt;""),OR(Test_Method="DSC",Rdet&lt;&gt;0),Rx_MisLoading_Factor&gt;0,BB34&gt;0),IF(OR(OR(Test_Method="ARC",Test_Method="VSP"),Test_Method="VSP"),1/(1.987*LN(Rx_MisLoading_Factor*Rdet*phi*Liq_C/(BB34))/(1000*Act_Energy)+1/(273+Tdet))-273,IF(Test_Method="DSC",1/(1.987*LN(Rx_MisLoading_Factor*1.3*Liq_C/(BB34))/(1000*Act_Energy)+1/(273+Tdet))-273,1/(1.987*LN(Rx_MisLoading_Factor*Rdet*Liq_C/(BB34))/(1000*Act_Energy)+1/(273+Tdet))-273)),Tinit)</f>
        <v>#DIV/0!</v>
      </c>
      <c r="BC35" s="708" t="s">
        <v>1836</v>
      </c>
      <c r="BD35" s="707"/>
      <c r="BE35" s="707"/>
      <c r="BF35" s="707"/>
      <c r="BG35" s="707"/>
      <c r="BH35" s="707"/>
      <c r="BI35" s="707"/>
      <c r="BJ35" s="707"/>
      <c r="BK35" s="707"/>
      <c r="BL35" s="707"/>
      <c r="BM35" s="707"/>
      <c r="BN35" s="707"/>
      <c r="BO35" s="707"/>
      <c r="BP35" s="707"/>
      <c r="BQ35" s="707"/>
      <c r="BR35" s="707"/>
      <c r="BS35" s="707"/>
      <c r="BT35" s="707"/>
      <c r="BU35" s="707"/>
      <c r="BV35" s="707"/>
      <c r="BW35" s="707"/>
      <c r="BX35" s="707"/>
      <c r="BY35" s="707"/>
      <c r="BZ35" s="707"/>
      <c r="CA35" s="714"/>
      <c r="CB35" s="714"/>
      <c r="CC35" s="887"/>
      <c r="CD35" s="887"/>
      <c r="CE35" s="887"/>
      <c r="CF35" s="887"/>
      <c r="CG35" s="887"/>
      <c r="CH35" s="887"/>
      <c r="CI35" s="887"/>
      <c r="CJ35" s="887"/>
      <c r="CK35" s="996"/>
      <c r="CL35" s="996"/>
      <c r="CM35" s="996"/>
      <c r="CN35" s="996"/>
      <c r="CO35" s="996"/>
      <c r="CP35" s="996"/>
      <c r="CQ35" s="996"/>
      <c r="CR35" s="996"/>
    </row>
    <row r="36" spans="1:96" s="30" customFormat="1" ht="12.75" customHeight="1" x14ac:dyDescent="0.25">
      <c r="A36" s="122"/>
      <c r="B36" s="3811" t="str">
        <f>IF(OR(Gas_Exo="Yes",Monomer="Yes"),"Potential for Autocatalytic Behaviour, May Require More Complex Analysis","")</f>
        <v/>
      </c>
      <c r="C36" s="3562"/>
      <c r="D36" s="3562"/>
      <c r="E36" s="3812"/>
      <c r="F36" s="122"/>
      <c r="G36" s="122"/>
      <c r="H36" s="122"/>
      <c r="I36" s="122"/>
      <c r="J36" s="122"/>
      <c r="K36" s="122"/>
      <c r="L36" s="122"/>
      <c r="M36" s="122"/>
      <c r="N36" s="707"/>
      <c r="O36" s="707"/>
      <c r="P36" s="707"/>
      <c r="Q36" s="2067" t="s">
        <v>1871</v>
      </c>
      <c r="R36" s="2068">
        <f>IF(R35&gt;-273,IF(14.34*(Effective_SurArea*Ht_Loss_Coeff*(R35-Ambient_Temp))/(Effective_ContainedMass)&gt;0,14.34*(Effective_SurArea*Ht_Loss_Coeff*(R35-Ambient_Temp))/(Effective_ContainedMass),0.0000000001),0.0000000001)</f>
        <v>1E-10</v>
      </c>
      <c r="S36" s="708" t="s">
        <v>1381</v>
      </c>
      <c r="T36" s="708"/>
      <c r="U36" s="2067" t="s">
        <v>1871</v>
      </c>
      <c r="V36" s="2068">
        <f>IF(V35&gt;-273,IF(14.34*($R$24*$U$24*(V35-Coolant_Temp))/(Effective_ContainedMass)&gt;0,14.34*($R$24*$U$24*(V35-Coolant_Temp))/(Effective_ContainedMass),0.0000000001),0.0000000001)</f>
        <v>1E-10</v>
      </c>
      <c r="W36" s="708" t="s">
        <v>1381</v>
      </c>
      <c r="X36" s="707"/>
      <c r="Y36" s="2067" t="s">
        <v>1872</v>
      </c>
      <c r="Z36" s="2068" t="e">
        <f>IF(Heating_T&lt;Z35,14.34*(Effective_SurArea*Ht_Loss_Coeff*(Z35-Ambient_Temp))/(Effective_ContainedMass)+$X$24*7.17*Motor/Effective_ContainedMass,14.34*(Effective_SurArea*Ht_Loss_Coeff*(Z35-Ambient_Temp))/(Effective_ContainedMass)+$X$24*7.17*Motor/Effective_ContainedMass+$AA$24*14.34*(HT_Area*U*(Heating_T-Z35))/(Effective_ContainedMass))</f>
        <v>#DIV/0!</v>
      </c>
      <c r="AA36" s="708" t="s">
        <v>1381</v>
      </c>
      <c r="AB36" s="708"/>
      <c r="AC36" s="707"/>
      <c r="AD36" s="707"/>
      <c r="AE36" s="707"/>
      <c r="AF36" s="707"/>
      <c r="AG36" s="707"/>
      <c r="AH36" s="707"/>
      <c r="AI36" s="707"/>
      <c r="AJ36" s="707"/>
      <c r="AK36" s="2067" t="s">
        <v>1767</v>
      </c>
      <c r="AL36" s="2068" t="e">
        <f>IF(AL35&gt;-273,IF(14.34*(Effective_SurArea*Ht_Loss_Coeff*(AL35-Ambient_Temp))/(Effective_ContainedMass)&gt;0,14.34*(Effective_SurArea*Ht_Loss_Coeff*(AL35-Ambient_Temp))/(Effective_ContainedMass),0.0000000001),0.0000000001)</f>
        <v>#DIV/0!</v>
      </c>
      <c r="AM36" s="708" t="s">
        <v>1381</v>
      </c>
      <c r="AN36" s="707"/>
      <c r="AO36" s="707"/>
      <c r="AP36" s="707"/>
      <c r="AQ36" s="707"/>
      <c r="AR36" s="707"/>
      <c r="AS36" s="2067" t="s">
        <v>1768</v>
      </c>
      <c r="AT36" s="2068" t="e">
        <f>IF(AT35&gt;-273,IF(14.34*(Effective_SurArea*Ht_Loss_Coeff*(AT35-Ambient_Temp))/(Effective_ContainedMass)&gt;0,14.34*(Effective_SurArea*Ht_Loss_Coeff*(AT35-Ambient_Temp))/(Effective_ContainedMass),0.0000000001),0.0000000001)</f>
        <v>#DIV/0!</v>
      </c>
      <c r="AU36" s="708" t="s">
        <v>1381</v>
      </c>
      <c r="AV36" s="707"/>
      <c r="AW36" s="707"/>
      <c r="AX36" s="707"/>
      <c r="AY36" s="707"/>
      <c r="AZ36" s="707"/>
      <c r="BA36" s="2067" t="s">
        <v>1769</v>
      </c>
      <c r="BB36" s="2068" t="e">
        <f>IF(BB35&gt;-273,IF(14.34*(Effective_SurArea*Ht_Loss_Coeff*(BB35-Ambient_Temp))/(Effective_ContainedMass)&gt;0,14.34*(Effective_SurArea*Ht_Loss_Coeff*(BB35-Ambient_Temp))/(Effective_ContainedMass),0.0000000001),0.0000000001)</f>
        <v>#DIV/0!</v>
      </c>
      <c r="BC36" s="708" t="s">
        <v>1381</v>
      </c>
      <c r="BD36" s="707"/>
      <c r="BE36" s="707"/>
      <c r="BF36" s="707"/>
      <c r="BG36" s="707"/>
      <c r="BH36" s="707"/>
      <c r="BI36" s="707"/>
      <c r="BJ36" s="707"/>
      <c r="BK36" s="707"/>
      <c r="BL36" s="707"/>
      <c r="BM36" s="707"/>
      <c r="BN36" s="707"/>
      <c r="BO36" s="707"/>
      <c r="BP36" s="707"/>
      <c r="BQ36" s="707"/>
      <c r="BR36" s="707"/>
      <c r="BS36" s="707"/>
      <c r="BT36" s="707"/>
      <c r="BU36" s="707"/>
      <c r="BV36" s="707"/>
      <c r="BW36" s="707"/>
      <c r="BX36" s="707"/>
      <c r="BY36" s="707"/>
      <c r="BZ36" s="707"/>
      <c r="CA36" s="714"/>
      <c r="CB36" s="714"/>
      <c r="CC36" s="887"/>
      <c r="CD36" s="887"/>
      <c r="CE36" s="887"/>
      <c r="CF36" s="887"/>
      <c r="CG36" s="887"/>
      <c r="CH36" s="887"/>
      <c r="CI36" s="887"/>
      <c r="CJ36" s="887"/>
      <c r="CK36" s="996"/>
      <c r="CL36" s="996"/>
      <c r="CM36" s="996"/>
      <c r="CN36" s="996"/>
      <c r="CO36" s="996"/>
      <c r="CP36" s="996"/>
      <c r="CQ36" s="996"/>
      <c r="CR36" s="996"/>
    </row>
    <row r="37" spans="1:96" s="30" customFormat="1" ht="12.75" customHeight="1" x14ac:dyDescent="0.25">
      <c r="A37" s="122"/>
      <c r="B37" s="3807" t="str">
        <f>IF(OR(AND(Rx_Pooling="Yes",Rx_Pooling_Factor=""),AND(Rx_MisLoading="Yes",Rx_MisLoading_Factor="")),"Enter Reactivity Data to Address Reactant 'Pooling' or Mis-Loading","")</f>
        <v/>
      </c>
      <c r="C37" s="3804"/>
      <c r="D37" s="3804"/>
      <c r="E37" s="3808"/>
      <c r="F37" s="122"/>
      <c r="G37" s="122"/>
      <c r="H37" s="122"/>
      <c r="I37" s="122"/>
      <c r="J37" s="122"/>
      <c r="K37" s="122"/>
      <c r="L37" s="122"/>
      <c r="M37" s="122"/>
      <c r="N37" s="707"/>
      <c r="O37" s="707"/>
      <c r="P37" s="707"/>
      <c r="Q37" s="2067" t="s">
        <v>1770</v>
      </c>
      <c r="R37" s="708">
        <f>IF(AND(DHR&lt;-1,1000*Act_Energy&gt;0,OR(Tdet&lt;&gt;0,Tdet&lt;&gt;""),OR(Test_Method="DSC",Rdet&lt;&gt;0)),IF(OR(OR(Test_Method="ARC",Test_Method="VSP"),Test_Method="VSP"),1/(1.987*LN(Rdet*phi*Liq_C/(R36))/(1000*Act_Energy)+1/(273+Tdet))-273,IF(Test_Method="DSC",1/(1.987*LN(1.3*Liq_C/(R36))/(1000*Act_Energy)+1/(273+Tdet))-273,1/(1.987*LN(Rdet*Liq_C/(R36))/(1000*Act_Energy)+1/(273+Tdet))-273)),-273)</f>
        <v>-273</v>
      </c>
      <c r="S37" s="708" t="s">
        <v>1836</v>
      </c>
      <c r="T37" s="708"/>
      <c r="U37" s="2067" t="s">
        <v>1770</v>
      </c>
      <c r="V37" s="708">
        <f>IF(AND(DHR&lt;-1,1000*Act_Energy&gt;0,OR(Tdet&lt;&gt;0,Tdet&lt;&gt;""),OR(Test_Method="DSC",Rdet&lt;&gt;0)),IF(OR(OR(Test_Method="ARC",Test_Method="VSP"),Test_Method="VSP"),1/(1.987*LN(Rdet*phi*Liq_C/(V36))/(1000*Act_Energy)+1/(273+Tdet))-273,IF(Test_Method="DSC",1/(1.987*LN(1.3*Liq_C/(V36))/(1000*Act_Energy)+1/(273+Tdet))-273,1/(1.987*LN(Rdet*Liq_C/(V36))/(1000*Act_Energy)+1/(273+Tdet))-273)),-273)</f>
        <v>-273</v>
      </c>
      <c r="W37" s="708" t="s">
        <v>1836</v>
      </c>
      <c r="X37" s="707"/>
      <c r="Y37" s="2067" t="s">
        <v>1771</v>
      </c>
      <c r="Z37" s="708" t="e">
        <f>IF(AND(DHR&lt;-1,1000*Act_Energy&gt;0,OR(Tdet&lt;&gt;0,Tdet&lt;&gt;""),OR(Test_Method="DSC",Rdet&lt;&gt;0),Z36&gt;0),IF(OR(OR(Test_Method="ARC",Test_Method="VSP"),Test_Method="VSP"),1/(1.987*LN(Rdet*phi*Liq_C/(Z36))/(1000*Act_Energy)+1/(273+Tdet))-273,IF(Test_Method="DSC",1/(1.987*LN(1.3*Liq_C/(Z36))/(1000*Act_Energy)+1/(273+Tdet))-273,1/(1.987*LN(Rdet*Liq_C/(Z36))/(1000*Act_Energy)+1/(273+Tdet))-273)),T)</f>
        <v>#DIV/0!</v>
      </c>
      <c r="AA37" s="708" t="s">
        <v>1836</v>
      </c>
      <c r="AB37" s="708"/>
      <c r="AC37" s="707"/>
      <c r="AD37" s="707"/>
      <c r="AE37" s="707"/>
      <c r="AF37" s="707"/>
      <c r="AG37" s="707"/>
      <c r="AH37" s="707"/>
      <c r="AI37" s="707"/>
      <c r="AJ37" s="707"/>
      <c r="AK37" s="2067" t="s">
        <v>1772</v>
      </c>
      <c r="AL37" s="708" t="e">
        <f>IF(AND(DHR&lt;-1,1000*Act_Energy&gt;0,OR(Tdet&lt;&gt;0,Tdet&lt;&gt;""),OR(Test_Method="DSC",Rdet&lt;&gt;0),AL36&gt;0),IF(OR(OR(Test_Method="ARC",Test_Method="VSP"),Test_Method="VSP"),1/(1.987*LN(Rdet*phi*Liq_C/(AL36))/(1000*Act_Energy)+1/(273+T))-273,IF(Test_Method="DSC",1/(1.987*LN(1.3*Liq_C/(AL36))/(1000*Act_Energy)+1/(273+T))-273,1/(1.987*LN(Rdet*Liq_C/(AL36))/(1000*Act_Energy)+1/(273+T))-273)),T)</f>
        <v>#DIV/0!</v>
      </c>
      <c r="AM37" s="708" t="s">
        <v>1836</v>
      </c>
      <c r="AN37" s="707"/>
      <c r="AO37" s="707"/>
      <c r="AP37" s="707"/>
      <c r="AQ37" s="707"/>
      <c r="AR37" s="707"/>
      <c r="AS37" s="2067" t="s">
        <v>1773</v>
      </c>
      <c r="AT37" s="708" t="e">
        <f>IF(AND(DHR&lt;-1,1000*Act_Energy&gt;0,OR(Tdet&lt;&gt;0,Tdet&lt;&gt;""),OR(Test_Method="DSC",Rdet&lt;&gt;0),Rx_Pooling_Factor&gt;0,AT36&gt;0),IF(Second_Phase="Yes",IF(OR(OR(Test_Method="ARC",Test_Method="VSP"),Test_Method="VSP"),1/(1.987*LN(Rdet*phi*Liq_C/(Rx_Pooling_Factor*AT36))/(1000*Act_Energy)+1/(273+Tdet))-273,IF(Test_Method="DSC",1/(1.987*LN(1.3*Liq_C/(Rx_Pooling_Factor*AT36))/(1000*Act_Energy)+1/(273+Tdet))-273,1/(1.987*LN(Rdet*Liq_C/(Rx_Pooling_Factor*AT36))/(1000*Act_Energy)+1/(273+Tdet))-273)),IF(OR(OR(Test_Method="ARC",Test_Method="VSP"),Test_Method="VSP"),1/(1.987*LN(Rx_Pooling_Factor*Rdet*phi*Liq_C/(AT36))/(1000*Act_Energy)+1/(273+Tdet))-273,IF(Test_Method="DSC",1/(1.987*LN(Rx_Pooling_Factor*1.3*Liq_C/(AT36))/(1000*Act_Energy)+1/(273+Tdet))-273,1/(1.987*LN(Rx_Pooling_Factor*Rdet*Liq_C/(AT36))/(1000*Act_Energy)+1/(273+Tdet))-273))),Tinit)</f>
        <v>#DIV/0!</v>
      </c>
      <c r="AU37" s="708" t="s">
        <v>1836</v>
      </c>
      <c r="AV37" s="707"/>
      <c r="AW37" s="707"/>
      <c r="AX37" s="707"/>
      <c r="AY37" s="707"/>
      <c r="AZ37" s="707"/>
      <c r="BA37" s="2067" t="s">
        <v>1774</v>
      </c>
      <c r="BB37" s="708" t="e">
        <f>IF(AND(DHR&lt;-1,1000*Act_Energy&gt;0,OR(Tdet&lt;&gt;0,Tdet&lt;&gt;""),OR(Test_Method="DSC",Rdet&lt;&gt;0),Rx_MisLoading_Factor&gt;0,BB36&gt;0),IF(OR(OR(Test_Method="ARC",Test_Method="VSP"),Test_Method="VSP"),1/(1.987*LN(Rx_MisLoading_Factor*Rdet*phi*Liq_C/(BB36))/(1000*Act_Energy)+1/(273+Tdet))-273,IF(Test_Method="DSC",1/(1.987*LN(Rx_MisLoading_Factor*1.3*Liq_C/(BB36))/(1000*Act_Energy)+1/(273+Tdet))-273,1/(1.987*LN(Rx_MisLoading_Factor*Rdet*Liq_C/(BB36))/(1000*Act_Energy)+1/(273+Tdet))-273)),Tinit)</f>
        <v>#DIV/0!</v>
      </c>
      <c r="BC37" s="708" t="s">
        <v>1836</v>
      </c>
      <c r="BD37" s="707"/>
      <c r="BE37" s="707"/>
      <c r="BF37" s="707"/>
      <c r="BG37" s="707"/>
      <c r="BH37" s="707"/>
      <c r="BI37" s="707"/>
      <c r="BJ37" s="707"/>
      <c r="BK37" s="707"/>
      <c r="BL37" s="707"/>
      <c r="BM37" s="707"/>
      <c r="BN37" s="707"/>
      <c r="BO37" s="707"/>
      <c r="BP37" s="707"/>
      <c r="BQ37" s="707"/>
      <c r="BR37" s="707"/>
      <c r="BS37" s="707"/>
      <c r="BT37" s="707"/>
      <c r="BU37" s="707"/>
      <c r="BV37" s="707"/>
      <c r="BW37" s="707"/>
      <c r="BX37" s="707"/>
      <c r="BY37" s="707"/>
      <c r="BZ37" s="707"/>
      <c r="CA37" s="714"/>
      <c r="CB37" s="714"/>
      <c r="CC37" s="887"/>
      <c r="CD37" s="887"/>
      <c r="CE37" s="887"/>
      <c r="CF37" s="887"/>
      <c r="CG37" s="887"/>
      <c r="CH37" s="887"/>
      <c r="CI37" s="887"/>
      <c r="CJ37" s="887"/>
      <c r="CK37" s="996"/>
      <c r="CL37" s="996"/>
      <c r="CM37" s="996"/>
      <c r="CN37" s="996"/>
      <c r="CO37" s="996"/>
      <c r="CP37" s="996"/>
      <c r="CQ37" s="996"/>
      <c r="CR37" s="996"/>
    </row>
    <row r="38" spans="1:96" s="30" customFormat="1" ht="12.75" customHeight="1" x14ac:dyDescent="0.25">
      <c r="A38" s="122"/>
      <c r="B38" s="3807" t="str">
        <f>IF(AND(ABS(Limiting_Rate)&gt;0,Max_Feed_P_Input&lt;&gt;"",Max_Feed_P&lt;MIN(MAWP,IF(Relief_Set&gt;0,Relief_Set,MAWP))),"Overpressure may result is loss of reactant flow causing reaction to stop","")</f>
        <v/>
      </c>
      <c r="C38" s="3576"/>
      <c r="D38" s="3576"/>
      <c r="E38" s="3624"/>
      <c r="F38" s="122"/>
      <c r="G38" s="122"/>
      <c r="H38" s="122"/>
      <c r="I38" s="122"/>
      <c r="J38" s="122"/>
      <c r="K38" s="122"/>
      <c r="L38" s="122"/>
      <c r="M38" s="122"/>
      <c r="N38" s="707"/>
      <c r="O38" s="707"/>
      <c r="P38" s="707"/>
      <c r="Q38" s="708" t="s">
        <v>1249</v>
      </c>
      <c r="R38" s="708" t="str">
        <f>IF(AND(R36&gt;0.0000000002,R37&gt;T),R37,"&gt;TNR")</f>
        <v>&gt;TNR</v>
      </c>
      <c r="S38" s="707"/>
      <c r="T38" s="708"/>
      <c r="U38" s="707"/>
      <c r="V38" s="708"/>
      <c r="W38" s="707"/>
      <c r="X38" s="707"/>
      <c r="Y38" s="2067" t="s">
        <v>1775</v>
      </c>
      <c r="Z38" s="2068" t="e">
        <f>IF(Heating_T&lt;Z37,14.34*(Effective_SurArea*Ht_Loss_Coeff*(Z37-Ambient_Temp))/(Effective_ContainedMass)+$X$24*7.17*Motor/Effective_ContainedMass,14.34*(Effective_SurArea*Ht_Loss_Coeff*(Z37-Ambient_Temp))/(Effective_ContainedMass)+$X$24*7.17*Motor/Effective_ContainedMass+$AA$24*14.34*(HT_Area*U*(Heating_T-Z37))/(Effective_ContainedMass))</f>
        <v>#DIV/0!</v>
      </c>
      <c r="AA38" s="708" t="s">
        <v>1381</v>
      </c>
      <c r="AB38" s="708"/>
      <c r="AC38" s="707"/>
      <c r="AD38" s="707"/>
      <c r="AE38" s="707"/>
      <c r="AF38" s="707"/>
      <c r="AG38" s="707"/>
      <c r="AH38" s="707"/>
      <c r="AI38" s="707"/>
      <c r="AJ38" s="707"/>
      <c r="AK38" s="2067" t="s">
        <v>1776</v>
      </c>
      <c r="AL38" s="2068" t="e">
        <f>IF(AL37&gt;-273,IF(14.34*(Effective_SurArea*Ht_Loss_Coeff*(AL37-Ambient_Temp))/(Effective_ContainedMass)&gt;0,14.34*(Effective_SurArea*Ht_Loss_Coeff*(AL37-Ambient_Temp))/(Effective_ContainedMass),0.0000000001),0.0000000001)</f>
        <v>#DIV/0!</v>
      </c>
      <c r="AM38" s="708" t="s">
        <v>1381</v>
      </c>
      <c r="AN38" s="707"/>
      <c r="AO38" s="707"/>
      <c r="AP38" s="707"/>
      <c r="AQ38" s="707"/>
      <c r="AR38" s="707"/>
      <c r="AS38" s="2067" t="s">
        <v>654</v>
      </c>
      <c r="AT38" s="2068" t="e">
        <f>IF(AT37&gt;-273,IF(14.34*(Effective_SurArea*Ht_Loss_Coeff*(AT37-Ambient_Temp))/(Effective_ContainedMass)&gt;0,14.34*(Effective_SurArea*Ht_Loss_Coeff*(AT37-Ambient_Temp))/(Effective_ContainedMass),0.0000000001),0.0000000001)</f>
        <v>#DIV/0!</v>
      </c>
      <c r="AU38" s="708" t="s">
        <v>1381</v>
      </c>
      <c r="AV38" s="707"/>
      <c r="AW38" s="707"/>
      <c r="AX38" s="707"/>
      <c r="AY38" s="707"/>
      <c r="AZ38" s="707"/>
      <c r="BA38" s="2067" t="s">
        <v>655</v>
      </c>
      <c r="BB38" s="2068" t="e">
        <f>IF(BB37&gt;-273,IF(14.34*(Effective_SurArea*Ht_Loss_Coeff*(BB37-Ambient_Temp))/(Effective_ContainedMass)&gt;0,14.34*(Effective_SurArea*Ht_Loss_Coeff*(BB37-Ambient_Temp))/(Effective_ContainedMass),0.0000000001),0.0000000001)</f>
        <v>#DIV/0!</v>
      </c>
      <c r="BC38" s="708" t="s">
        <v>1381</v>
      </c>
      <c r="BD38" s="707"/>
      <c r="BE38" s="707"/>
      <c r="BF38" s="707"/>
      <c r="BG38" s="707"/>
      <c r="BH38" s="707"/>
      <c r="BI38" s="707"/>
      <c r="BJ38" s="707"/>
      <c r="BK38" s="707"/>
      <c r="BL38" s="707"/>
      <c r="BM38" s="707"/>
      <c r="BN38" s="707"/>
      <c r="BO38" s="707"/>
      <c r="BP38" s="707"/>
      <c r="BQ38" s="707"/>
      <c r="BR38" s="707"/>
      <c r="BS38" s="707"/>
      <c r="BT38" s="707"/>
      <c r="BU38" s="707"/>
      <c r="BV38" s="707"/>
      <c r="BW38" s="707"/>
      <c r="BX38" s="707"/>
      <c r="BY38" s="707"/>
      <c r="BZ38" s="707"/>
      <c r="CA38" s="714"/>
      <c r="CB38" s="714"/>
      <c r="CC38" s="887"/>
      <c r="CD38" s="887"/>
      <c r="CE38" s="887"/>
      <c r="CF38" s="887"/>
      <c r="CG38" s="887"/>
      <c r="CH38" s="887"/>
      <c r="CI38" s="887"/>
      <c r="CJ38" s="887"/>
      <c r="CK38" s="996"/>
      <c r="CL38" s="996"/>
      <c r="CM38" s="996"/>
      <c r="CN38" s="996"/>
      <c r="CO38" s="996"/>
      <c r="CP38" s="996"/>
      <c r="CQ38" s="996"/>
      <c r="CR38" s="996"/>
    </row>
    <row r="39" spans="1:96" s="30" customFormat="1" ht="12.75" customHeight="1" x14ac:dyDescent="0.25">
      <c r="A39" s="122"/>
      <c r="B39" s="3820" t="str">
        <f>IF(Rx_Incompatible="Yes","Enter Separate Equipment Tag with Data for Incompatible Reaction","")</f>
        <v/>
      </c>
      <c r="C39" s="3821"/>
      <c r="D39" s="3821"/>
      <c r="E39" s="3822"/>
      <c r="F39" s="122"/>
      <c r="G39" s="122"/>
      <c r="H39" s="122"/>
      <c r="I39" s="122"/>
      <c r="J39" s="122"/>
      <c r="K39" s="122"/>
      <c r="L39" s="122"/>
      <c r="M39" s="122"/>
      <c r="N39" s="707"/>
      <c r="O39" s="707"/>
      <c r="P39" s="707"/>
      <c r="Q39" s="708"/>
      <c r="R39" s="708"/>
      <c r="S39" s="707"/>
      <c r="T39" s="708"/>
      <c r="U39" s="707"/>
      <c r="V39" s="707"/>
      <c r="W39" s="707"/>
      <c r="X39" s="707"/>
      <c r="Y39" s="2067" t="s">
        <v>656</v>
      </c>
      <c r="Z39" s="707" t="e">
        <f>IF(AND(DHR&lt;-1,1000*Act_Energy&gt;0,OR(Tdet&lt;&gt;0,Tdet&lt;&gt;""),OR(Test_Method="DSC",Rdet&lt;&gt;0),Z38&gt;0),IF(OR(OR(Test_Method="ARC",Test_Method="VSP"),Test_Method="VSP"),1/(1.987*LN(Rdet*phi*Liq_C/(Z38))/(1000*Act_Energy)+1/(273+Tdet))-273,IF(Test_Method="DSC",1/(1.987*LN(1.3*Liq_C/(Z38))/(1000*Act_Energy)+1/(273+Tdet))-273,1/(1.987*LN(Rdet*Liq_C/(Z38))/(1000*Act_Energy)+1/(273+Tdet))-273)),T)</f>
        <v>#DIV/0!</v>
      </c>
      <c r="AA39" s="708" t="s">
        <v>1836</v>
      </c>
      <c r="AB39" s="708"/>
      <c r="AC39" s="707"/>
      <c r="AD39" s="707"/>
      <c r="AE39" s="707"/>
      <c r="AF39" s="707"/>
      <c r="AG39" s="707"/>
      <c r="AH39" s="707"/>
      <c r="AI39" s="707"/>
      <c r="AJ39" s="707"/>
      <c r="AK39" s="2067" t="s">
        <v>657</v>
      </c>
      <c r="AL39" s="708" t="e">
        <f>IF(AND(DHR&lt;-1,1000*Act_Energy&gt;0,OR(Tdet&lt;&gt;0,Tdet&lt;&gt;""),OR(Test_Method="DSC",Rdet&lt;&gt;0),AL38&gt;0),IF(OR(OR(Test_Method="ARC",Test_Method="VSP"),Test_Method="VSP"),1/(1.987*LN(Rdet*phi*Liq_C/(AL38))/(1000*Act_Energy)+1/(273+T))-273,IF(Test_Method="DSC",1/(1.987*LN(1.3*Liq_C/(AL38))/(1000*Act_Energy)+1/(273+T))-273,1/(1.987*LN(Rdet*Liq_C/(AL38))/(1000*Act_Energy)+1/(273+T))-273)),T)</f>
        <v>#DIV/0!</v>
      </c>
      <c r="AM39" s="708" t="s">
        <v>1836</v>
      </c>
      <c r="AN39" s="707"/>
      <c r="AO39" s="707"/>
      <c r="AP39" s="707"/>
      <c r="AQ39" s="707"/>
      <c r="AR39" s="707"/>
      <c r="AS39" s="2067" t="s">
        <v>658</v>
      </c>
      <c r="AT39" s="708" t="e">
        <f>IF(AND(DHR&lt;-1,1000*Act_Energy&gt;0,OR(Tdet&lt;&gt;0,Tdet&lt;&gt;""),OR(Test_Method="DSC",Rdet&lt;&gt;0),Rx_Pooling_Factor&gt;0,AT38&gt;0),IF(Second_Phase="Yes",IF(OR(OR(Test_Method="ARC",Test_Method="VSP"),Test_Method="VSP"),1/(1.987*LN(Rdet*phi*Liq_C/(Rx_Pooling_Factor*AT38))/(1000*Act_Energy)+1/(273+Tdet))-273,IF(Test_Method="DSC",1/(1.987*LN(1.3*Liq_C/(Rx_Pooling_Factor*AT38))/(1000*Act_Energy)+1/(273+Tdet))-273,1/(1.987*LN(Rdet*Liq_C/(Rx_Pooling_Factor*AT38))/(1000*Act_Energy)+1/(273+Tdet))-273)),IF(OR(OR(Test_Method="ARC",Test_Method="VSP"),Test_Method="VSP"),1/(1.987*LN(Rx_Pooling_Factor*Rdet*phi*Liq_C/(AT38))/(1000*Act_Energy)+1/(273+Tdet))-273,IF(Test_Method="DSC",1/(1.987*LN(Rx_Pooling_Factor*1.3*Liq_C/(AT38))/(1000*Act_Energy)+1/(273+Tdet))-273,1/(1.987*LN(Rx_Pooling_Factor*Rdet*Liq_C/(AT38))/(1000*Act_Energy)+1/(273+Tdet))-273))),Tinit)</f>
        <v>#DIV/0!</v>
      </c>
      <c r="AU39" s="708" t="s">
        <v>1836</v>
      </c>
      <c r="AV39" s="707"/>
      <c r="AW39" s="707"/>
      <c r="AX39" s="707"/>
      <c r="AY39" s="707"/>
      <c r="AZ39" s="707"/>
      <c r="BA39" s="2067" t="s">
        <v>659</v>
      </c>
      <c r="BB39" s="887" t="e">
        <f>IF(AND(DHR&lt;-1,1000*Act_Energy&gt;0,OR(Tdet&lt;&gt;0,Tdet&lt;&gt;""),OR(Test_Method="DSC",Rdet&lt;&gt;0),Rx_MisLoading_Factor&gt;0,BB38&gt;0),IF(OR(OR(Test_Method="ARC",Test_Method="VSP"),Test_Method="VSP"),1/(1.987*LN(Rx_MisLoading_Factor*Rdet*phi*Liq_C/(BB38))/(1000*Act_Energy)+1/(273+Tdet))-273,IF(Test_Method="DSC",1/(1.987*LN(Rx_MisLoading_Factor*1.3*Liq_C/(BB38))/(1000*Act_Energy)+1/(273+Tdet))-273,1/(1.987*LN(Rx_MisLoading_Factor*Rdet*Liq_C/(BB38))/(1000*Act_Energy)+1/(273+Tdet))-273)),Tinit)</f>
        <v>#DIV/0!</v>
      </c>
      <c r="BC39" s="708" t="s">
        <v>1836</v>
      </c>
      <c r="BD39" s="707"/>
      <c r="BE39" s="707"/>
      <c r="BF39" s="707"/>
      <c r="BG39" s="707"/>
      <c r="BH39" s="707"/>
      <c r="BI39" s="707"/>
      <c r="BJ39" s="707"/>
      <c r="BK39" s="707"/>
      <c r="BL39" s="707"/>
      <c r="BM39" s="707"/>
      <c r="BN39" s="707"/>
      <c r="BO39" s="707"/>
      <c r="BP39" s="707"/>
      <c r="BQ39" s="707"/>
      <c r="BR39" s="707"/>
      <c r="BS39" s="707"/>
      <c r="BT39" s="707"/>
      <c r="BU39" s="707"/>
      <c r="BV39" s="707"/>
      <c r="BW39" s="707"/>
      <c r="BX39" s="707"/>
      <c r="BY39" s="707"/>
      <c r="BZ39" s="707"/>
      <c r="CA39" s="714"/>
      <c r="CB39" s="714"/>
      <c r="CC39" s="887"/>
      <c r="CD39" s="887"/>
      <c r="CE39" s="887"/>
      <c r="CF39" s="887"/>
      <c r="CG39" s="887"/>
      <c r="CH39" s="887"/>
      <c r="CI39" s="887"/>
      <c r="CJ39" s="887"/>
      <c r="CK39" s="996"/>
      <c r="CL39" s="996"/>
      <c r="CM39" s="996"/>
      <c r="CN39" s="996"/>
      <c r="CO39" s="996"/>
      <c r="CP39" s="996"/>
      <c r="CQ39" s="996"/>
      <c r="CR39" s="996"/>
    </row>
    <row r="40" spans="1:96" s="30" customFormat="1" ht="12.75" customHeight="1" x14ac:dyDescent="0.25">
      <c r="A40" s="122"/>
      <c r="B40" s="122"/>
      <c r="C40" s="122"/>
      <c r="D40" s="122"/>
      <c r="E40" s="122"/>
      <c r="F40" s="122"/>
      <c r="G40" s="122"/>
      <c r="H40" s="122"/>
      <c r="I40" s="122"/>
      <c r="J40" s="122"/>
      <c r="K40" s="122"/>
      <c r="L40" s="122"/>
      <c r="M40" s="122"/>
      <c r="N40" s="707"/>
      <c r="O40" s="707"/>
      <c r="P40" s="707"/>
      <c r="Q40" s="2067"/>
      <c r="R40" s="708"/>
      <c r="S40" s="707"/>
      <c r="T40" s="707"/>
      <c r="U40" s="707"/>
      <c r="V40" s="707"/>
      <c r="W40" s="707"/>
      <c r="X40" s="707"/>
      <c r="Y40" s="708" t="s">
        <v>660</v>
      </c>
      <c r="Z40" s="708" t="e">
        <f>IF(Z39&gt;T,Z39,T)</f>
        <v>#DIV/0!</v>
      </c>
      <c r="AA40" s="708" t="s">
        <v>1836</v>
      </c>
      <c r="AB40" s="707"/>
      <c r="AC40" s="707"/>
      <c r="AD40" s="707"/>
      <c r="AE40" s="707"/>
      <c r="AF40" s="707"/>
      <c r="AG40" s="707"/>
      <c r="AH40" s="707"/>
      <c r="AI40" s="707"/>
      <c r="AJ40" s="707"/>
      <c r="AK40" s="708" t="s">
        <v>660</v>
      </c>
      <c r="AL40" s="708" t="e">
        <f>IF(AL39&gt;T,AL39,T)</f>
        <v>#DIV/0!</v>
      </c>
      <c r="AM40" s="708" t="s">
        <v>1836</v>
      </c>
      <c r="AN40" s="707"/>
      <c r="AO40" s="707"/>
      <c r="AP40" s="707"/>
      <c r="AQ40" s="707"/>
      <c r="AR40" s="707"/>
      <c r="AS40" s="707"/>
      <c r="AT40" s="707"/>
      <c r="AU40" s="707"/>
      <c r="AV40" s="707"/>
      <c r="AW40" s="707"/>
      <c r="AX40" s="707"/>
      <c r="AY40" s="707"/>
      <c r="AZ40" s="707"/>
      <c r="BA40" s="708" t="s">
        <v>660</v>
      </c>
      <c r="BB40" s="708" t="e">
        <f>IF(BB39&gt;T,BB39,T)</f>
        <v>#DIV/0!</v>
      </c>
      <c r="BC40" s="708" t="s">
        <v>1836</v>
      </c>
      <c r="BD40" s="707"/>
      <c r="BE40" s="707"/>
      <c r="BF40" s="707"/>
      <c r="BG40" s="707"/>
      <c r="BH40" s="707"/>
      <c r="BI40" s="707"/>
      <c r="BJ40" s="707"/>
      <c r="BK40" s="707"/>
      <c r="BL40" s="707"/>
      <c r="BM40" s="707"/>
      <c r="BN40" s="707"/>
      <c r="BO40" s="707"/>
      <c r="BP40" s="707"/>
      <c r="BQ40" s="707"/>
      <c r="BR40" s="707"/>
      <c r="BS40" s="707"/>
      <c r="BT40" s="707"/>
      <c r="BU40" s="707"/>
      <c r="BV40" s="707"/>
      <c r="BW40" s="707"/>
      <c r="BX40" s="707"/>
      <c r="BY40" s="707"/>
      <c r="BZ40" s="707"/>
      <c r="CA40" s="714"/>
      <c r="CB40" s="714"/>
      <c r="CC40" s="887"/>
      <c r="CD40" s="887"/>
      <c r="CE40" s="887"/>
      <c r="CF40" s="887"/>
      <c r="CG40" s="887"/>
      <c r="CH40" s="887"/>
      <c r="CI40" s="887"/>
      <c r="CJ40" s="887"/>
      <c r="CK40" s="996"/>
      <c r="CL40" s="996"/>
      <c r="CM40" s="996"/>
      <c r="CN40" s="996"/>
      <c r="CO40" s="996"/>
      <c r="CP40" s="996"/>
      <c r="CQ40" s="996"/>
      <c r="CR40" s="996"/>
    </row>
    <row r="41" spans="1:96" s="30" customFormat="1" ht="12.75" customHeight="1" x14ac:dyDescent="0.25">
      <c r="A41" s="122"/>
      <c r="B41" s="3830" t="s">
        <v>4556</v>
      </c>
      <c r="C41" s="3830"/>
      <c r="D41" s="3830"/>
      <c r="E41" s="3830"/>
      <c r="F41" s="122"/>
      <c r="G41" s="122"/>
      <c r="H41" s="122"/>
      <c r="I41" s="122"/>
      <c r="J41" s="122"/>
      <c r="K41" s="122"/>
      <c r="L41" s="122"/>
      <c r="M41" s="122"/>
      <c r="N41" s="707"/>
      <c r="O41" s="707"/>
      <c r="P41" s="707"/>
      <c r="Q41" s="2067"/>
      <c r="R41" s="708"/>
      <c r="S41" s="707"/>
      <c r="T41" s="707"/>
      <c r="U41" s="707"/>
      <c r="V41" s="707"/>
      <c r="W41" s="707"/>
      <c r="X41" s="707"/>
      <c r="Y41" s="707"/>
      <c r="Z41" s="707"/>
      <c r="AA41" s="707"/>
      <c r="AB41" s="707"/>
      <c r="AC41" s="707"/>
      <c r="AD41" s="707"/>
      <c r="AE41" s="707"/>
      <c r="AF41" s="707"/>
      <c r="AG41" s="707"/>
      <c r="AH41" s="707"/>
      <c r="AI41" s="707"/>
      <c r="AJ41" s="707"/>
      <c r="AK41" s="708"/>
      <c r="AL41" s="707"/>
      <c r="AM41" s="707"/>
      <c r="AN41" s="707"/>
      <c r="AO41" s="707"/>
      <c r="AP41" s="707"/>
      <c r="AQ41" s="707"/>
      <c r="AR41" s="707"/>
      <c r="AS41" s="707"/>
      <c r="AT41" s="707"/>
      <c r="AU41" s="707"/>
      <c r="AV41" s="707"/>
      <c r="AW41" s="707"/>
      <c r="AX41" s="707"/>
      <c r="AY41" s="707"/>
      <c r="AZ41" s="707"/>
      <c r="BA41" s="707"/>
      <c r="BB41" s="707"/>
      <c r="BC41" s="707"/>
      <c r="BD41" s="707"/>
      <c r="BE41" s="707"/>
      <c r="BF41" s="707"/>
      <c r="BG41" s="707"/>
      <c r="BH41" s="707"/>
      <c r="BI41" s="707"/>
      <c r="BJ41" s="707"/>
      <c r="BK41" s="707"/>
      <c r="BL41" s="707"/>
      <c r="BM41" s="707"/>
      <c r="BN41" s="707"/>
      <c r="BO41" s="707"/>
      <c r="BP41" s="707"/>
      <c r="BQ41" s="707"/>
      <c r="BR41" s="707"/>
      <c r="BS41" s="707"/>
      <c r="BT41" s="707"/>
      <c r="BU41" s="707"/>
      <c r="BV41" s="707"/>
      <c r="BW41" s="707"/>
      <c r="BX41" s="707"/>
      <c r="BY41" s="707"/>
      <c r="BZ41" s="707"/>
      <c r="CA41" s="714"/>
      <c r="CB41" s="714"/>
      <c r="CC41" s="887"/>
      <c r="CD41" s="887"/>
      <c r="CE41" s="887"/>
      <c r="CF41" s="887"/>
      <c r="CG41" s="887"/>
      <c r="CH41" s="887"/>
      <c r="CI41" s="887"/>
      <c r="CJ41" s="887"/>
      <c r="CK41" s="996"/>
      <c r="CL41" s="996"/>
      <c r="CM41" s="996"/>
      <c r="CN41" s="996"/>
      <c r="CO41" s="996"/>
      <c r="CP41" s="996"/>
      <c r="CQ41" s="996"/>
      <c r="CR41" s="996"/>
    </row>
    <row r="42" spans="1:96" s="30" customFormat="1" ht="12.75" customHeight="1" x14ac:dyDescent="0.25">
      <c r="A42" s="122"/>
      <c r="B42" s="2324" t="s">
        <v>4558</v>
      </c>
      <c r="C42" s="2327" t="str">
        <f>IF(AND(AIgnite_Feed&lt;&gt;"",Flash_Pt_Feed&lt;&gt;""),AIgnite_Feed/(AIgnite_Feed-Flash_Pt_Feed),"")</f>
        <v/>
      </c>
      <c r="D42" s="2325" t="s">
        <v>4557</v>
      </c>
      <c r="E42" s="2326" t="str">
        <f>IF(C42="","",IF(C42&gt;1.61,"HIGH",IF(C42&lt;1.35,"LOW","MODERATE")))</f>
        <v/>
      </c>
      <c r="F42" s="122"/>
      <c r="G42" s="122"/>
      <c r="H42" s="122"/>
      <c r="I42" s="122"/>
      <c r="J42" s="122"/>
      <c r="K42" s="122"/>
      <c r="L42" s="122"/>
      <c r="M42" s="122"/>
      <c r="N42" s="707"/>
      <c r="O42" s="707"/>
      <c r="P42" s="707"/>
      <c r="Q42" s="2067"/>
      <c r="R42" s="708"/>
      <c r="S42" s="707"/>
      <c r="T42" s="707"/>
      <c r="U42" s="707"/>
      <c r="V42" s="707"/>
      <c r="W42" s="707"/>
      <c r="X42" s="707"/>
      <c r="Y42" s="707"/>
      <c r="Z42" s="707"/>
      <c r="AA42" s="707"/>
      <c r="AB42" s="707"/>
      <c r="AC42" s="707"/>
      <c r="AD42" s="707"/>
      <c r="AE42" s="707"/>
      <c r="AF42" s="707"/>
      <c r="AG42" s="707"/>
      <c r="AH42" s="707"/>
      <c r="AI42" s="707"/>
      <c r="AJ42" s="707"/>
      <c r="AK42" s="708"/>
      <c r="AL42" s="707"/>
      <c r="AM42" s="707"/>
      <c r="AN42" s="707"/>
      <c r="AO42" s="707"/>
      <c r="AP42" s="707"/>
      <c r="AQ42" s="707"/>
      <c r="AR42" s="707"/>
      <c r="AS42" s="707"/>
      <c r="AT42" s="707"/>
      <c r="AU42" s="707"/>
      <c r="AV42" s="707"/>
      <c r="AW42" s="707"/>
      <c r="AX42" s="707"/>
      <c r="AY42" s="707"/>
      <c r="AZ42" s="707"/>
      <c r="BA42" s="707"/>
      <c r="BB42" s="707"/>
      <c r="BC42" s="707"/>
      <c r="BD42" s="707"/>
      <c r="BE42" s="707"/>
      <c r="BF42" s="707"/>
      <c r="BG42" s="707"/>
      <c r="BH42" s="707"/>
      <c r="BI42" s="707"/>
      <c r="BJ42" s="707"/>
      <c r="BK42" s="707"/>
      <c r="BL42" s="707"/>
      <c r="BM42" s="707"/>
      <c r="BN42" s="707"/>
      <c r="BO42" s="707"/>
      <c r="BP42" s="707"/>
      <c r="BQ42" s="707"/>
      <c r="BR42" s="707"/>
      <c r="BS42" s="707"/>
      <c r="BT42" s="707"/>
      <c r="BU42" s="707"/>
      <c r="BV42" s="707"/>
      <c r="BW42" s="707"/>
      <c r="BX42" s="707"/>
      <c r="BY42" s="707"/>
      <c r="BZ42" s="707"/>
      <c r="CA42" s="714"/>
      <c r="CB42" s="714"/>
      <c r="CC42" s="887"/>
      <c r="CD42" s="887"/>
      <c r="CE42" s="887"/>
      <c r="CF42" s="887"/>
      <c r="CG42" s="887"/>
      <c r="CH42" s="887"/>
      <c r="CI42" s="996"/>
      <c r="CJ42" s="996"/>
      <c r="CK42" s="996"/>
      <c r="CL42" s="996"/>
      <c r="CM42" s="996"/>
      <c r="CN42" s="996"/>
      <c r="CO42" s="996"/>
      <c r="CP42" s="996"/>
      <c r="CQ42" s="996"/>
      <c r="CR42" s="996"/>
    </row>
    <row r="43" spans="1:96" s="30" customFormat="1" ht="12.75" customHeight="1" x14ac:dyDescent="0.25">
      <c r="A43" s="122"/>
      <c r="B43" s="122"/>
      <c r="C43" s="122"/>
      <c r="D43" s="122"/>
      <c r="E43" s="122"/>
      <c r="F43" s="122"/>
      <c r="G43" s="122"/>
      <c r="H43" s="122"/>
      <c r="I43" s="122"/>
      <c r="J43" s="122"/>
      <c r="K43" s="122"/>
      <c r="L43" s="122"/>
      <c r="M43" s="122"/>
      <c r="N43" s="707"/>
      <c r="O43" s="707"/>
      <c r="P43" s="707"/>
      <c r="Q43" s="2067"/>
      <c r="R43" s="708"/>
      <c r="S43" s="707"/>
      <c r="T43" s="707"/>
      <c r="U43" s="707"/>
      <c r="V43" s="707"/>
      <c r="W43" s="707"/>
      <c r="X43" s="707"/>
      <c r="Y43" s="707"/>
      <c r="Z43" s="707"/>
      <c r="AA43" s="707"/>
      <c r="AB43" s="707"/>
      <c r="AC43" s="707"/>
      <c r="AD43" s="707"/>
      <c r="AE43" s="707"/>
      <c r="AF43" s="707"/>
      <c r="AG43" s="707"/>
      <c r="AH43" s="707"/>
      <c r="AI43" s="707"/>
      <c r="AJ43" s="707"/>
      <c r="AK43" s="708"/>
      <c r="AL43" s="707"/>
      <c r="AM43" s="707"/>
      <c r="AN43" s="707"/>
      <c r="AO43" s="707"/>
      <c r="AP43" s="707"/>
      <c r="AQ43" s="707"/>
      <c r="AR43" s="707"/>
      <c r="AS43" s="707"/>
      <c r="AT43" s="707"/>
      <c r="AU43" s="707"/>
      <c r="AV43" s="707"/>
      <c r="AW43" s="707"/>
      <c r="AX43" s="707"/>
      <c r="AY43" s="707"/>
      <c r="AZ43" s="707"/>
      <c r="BA43" s="707"/>
      <c r="BB43" s="707"/>
      <c r="BC43" s="707"/>
      <c r="BD43" s="707"/>
      <c r="BE43" s="707"/>
      <c r="BF43" s="707"/>
      <c r="BG43" s="707"/>
      <c r="BH43" s="707"/>
      <c r="BI43" s="707"/>
      <c r="BJ43" s="707"/>
      <c r="BK43" s="707"/>
      <c r="BL43" s="707"/>
      <c r="BM43" s="707"/>
      <c r="BN43" s="707"/>
      <c r="BO43" s="707"/>
      <c r="BP43" s="707"/>
      <c r="BQ43" s="707"/>
      <c r="BR43" s="707"/>
      <c r="BS43" s="707"/>
      <c r="BT43" s="707"/>
      <c r="BU43" s="707"/>
      <c r="BV43" s="707"/>
      <c r="BW43" s="707"/>
      <c r="BX43" s="707"/>
      <c r="BY43" s="707"/>
      <c r="BZ43" s="707"/>
      <c r="CA43" s="714"/>
      <c r="CB43" s="714"/>
      <c r="CC43" s="887"/>
      <c r="CD43" s="887"/>
      <c r="CE43" s="887"/>
      <c r="CF43" s="887"/>
      <c r="CG43" s="887"/>
      <c r="CH43" s="887"/>
      <c r="CI43" s="996"/>
      <c r="CJ43" s="996"/>
      <c r="CK43" s="996"/>
      <c r="CL43" s="996"/>
      <c r="CM43" s="996"/>
      <c r="CN43" s="996"/>
      <c r="CO43" s="996"/>
      <c r="CP43" s="996"/>
      <c r="CQ43" s="996"/>
      <c r="CR43" s="996"/>
    </row>
    <row r="44" spans="1:96" s="30" customFormat="1" ht="12.75" customHeight="1" x14ac:dyDescent="0.25">
      <c r="A44" s="122"/>
      <c r="B44" s="3794" t="s">
        <v>2486</v>
      </c>
      <c r="C44" s="3794"/>
      <c r="D44" s="3794"/>
      <c r="E44" s="3794"/>
      <c r="F44" s="122"/>
      <c r="G44" s="122"/>
      <c r="H44" s="122"/>
      <c r="I44" s="122"/>
      <c r="J44" s="122"/>
      <c r="K44" s="122"/>
      <c r="L44" s="122"/>
      <c r="M44" s="122"/>
      <c r="N44" s="707"/>
      <c r="O44" s="707"/>
      <c r="P44" s="707"/>
      <c r="Q44" s="2067"/>
      <c r="R44" s="708"/>
      <c r="S44" s="707"/>
      <c r="T44" s="707"/>
      <c r="U44" s="707"/>
      <c r="V44" s="707"/>
      <c r="W44" s="707"/>
      <c r="X44" s="707"/>
      <c r="Y44" s="707"/>
      <c r="Z44" s="707"/>
      <c r="AA44" s="707"/>
      <c r="AB44" s="707"/>
      <c r="AC44" s="707"/>
      <c r="AD44" s="707"/>
      <c r="AE44" s="707"/>
      <c r="AF44" s="707"/>
      <c r="AG44" s="707"/>
      <c r="AH44" s="707"/>
      <c r="AI44" s="707"/>
      <c r="AJ44" s="707"/>
      <c r="AK44" s="708"/>
      <c r="AL44" s="707"/>
      <c r="AM44" s="707"/>
      <c r="AN44" s="707"/>
      <c r="AO44" s="707"/>
      <c r="AP44" s="707"/>
      <c r="AQ44" s="707"/>
      <c r="AR44" s="707"/>
      <c r="AS44" s="707"/>
      <c r="AT44" s="707"/>
      <c r="AU44" s="707"/>
      <c r="AV44" s="707"/>
      <c r="AW44" s="707"/>
      <c r="AX44" s="707"/>
      <c r="AY44" s="707"/>
      <c r="AZ44" s="707"/>
      <c r="BA44" s="707"/>
      <c r="BB44" s="707"/>
      <c r="BC44" s="707"/>
      <c r="BD44" s="707"/>
      <c r="BE44" s="707"/>
      <c r="BF44" s="707"/>
      <c r="BG44" s="707"/>
      <c r="BH44" s="707"/>
      <c r="BI44" s="707"/>
      <c r="BJ44" s="707"/>
      <c r="BK44" s="707"/>
      <c r="BL44" s="707"/>
      <c r="BM44" s="707"/>
      <c r="BN44" s="707"/>
      <c r="BO44" s="707"/>
      <c r="BP44" s="707"/>
      <c r="BQ44" s="707"/>
      <c r="BR44" s="707"/>
      <c r="BS44" s="707"/>
      <c r="BT44" s="707"/>
      <c r="BU44" s="707"/>
      <c r="BV44" s="707"/>
      <c r="BW44" s="707"/>
      <c r="BX44" s="707"/>
      <c r="BY44" s="707"/>
      <c r="BZ44" s="707"/>
      <c r="CA44" s="714"/>
      <c r="CB44" s="714"/>
      <c r="CC44" s="707"/>
      <c r="CD44" s="707"/>
      <c r="CE44" s="707"/>
      <c r="CF44" s="707"/>
      <c r="CG44" s="707"/>
      <c r="CH44" s="707"/>
      <c r="CI44" s="714"/>
      <c r="CJ44" s="714"/>
      <c r="CK44" s="996"/>
      <c r="CL44" s="996"/>
      <c r="CM44" s="996"/>
      <c r="CN44" s="996"/>
      <c r="CO44" s="996"/>
      <c r="CP44" s="996"/>
      <c r="CQ44" s="996"/>
      <c r="CR44" s="996"/>
    </row>
    <row r="45" spans="1:96" s="30" customFormat="1" ht="12.75" customHeight="1" x14ac:dyDescent="0.25">
      <c r="A45" s="122"/>
      <c r="B45" s="3799" t="s">
        <v>2481</v>
      </c>
      <c r="C45" s="3800"/>
      <c r="D45" s="704"/>
      <c r="E45" s="702" t="s">
        <v>2483</v>
      </c>
      <c r="F45" s="122"/>
      <c r="G45" s="122"/>
      <c r="H45" s="122"/>
      <c r="I45" s="122"/>
      <c r="J45" s="122"/>
      <c r="K45" s="122"/>
      <c r="L45" s="122"/>
      <c r="M45" s="122"/>
      <c r="N45" s="707"/>
      <c r="O45" s="707"/>
      <c r="P45" s="707"/>
      <c r="Q45" s="2067"/>
      <c r="R45" s="708"/>
      <c r="S45" s="707"/>
      <c r="T45" s="707"/>
      <c r="U45" s="707"/>
      <c r="V45" s="707"/>
      <c r="W45" s="707"/>
      <c r="X45" s="707"/>
      <c r="Y45" s="707"/>
      <c r="Z45" s="707"/>
      <c r="AA45" s="707"/>
      <c r="AB45" s="707"/>
      <c r="AC45" s="707"/>
      <c r="AD45" s="707"/>
      <c r="AE45" s="707"/>
      <c r="AF45" s="707"/>
      <c r="AG45" s="707"/>
      <c r="AH45" s="707"/>
      <c r="AI45" s="707"/>
      <c r="AJ45" s="707"/>
      <c r="AK45" s="708"/>
      <c r="AL45" s="707"/>
      <c r="AM45" s="707"/>
      <c r="AN45" s="707"/>
      <c r="AO45" s="707"/>
      <c r="AP45" s="707"/>
      <c r="AQ45" s="707"/>
      <c r="AR45" s="707"/>
      <c r="AS45" s="707"/>
      <c r="AT45" s="707"/>
      <c r="AU45" s="707"/>
      <c r="AV45" s="707"/>
      <c r="AW45" s="707"/>
      <c r="AX45" s="707"/>
      <c r="AY45" s="707"/>
      <c r="AZ45" s="707"/>
      <c r="BA45" s="707"/>
      <c r="BB45" s="707"/>
      <c r="BC45" s="707"/>
      <c r="BD45" s="707"/>
      <c r="BE45" s="707"/>
      <c r="BF45" s="707"/>
      <c r="BG45" s="707"/>
      <c r="BH45" s="707"/>
      <c r="BI45" s="707"/>
      <c r="BJ45" s="707"/>
      <c r="BK45" s="707"/>
      <c r="BL45" s="707"/>
      <c r="BM45" s="707"/>
      <c r="BN45" s="707"/>
      <c r="BO45" s="707"/>
      <c r="BP45" s="707"/>
      <c r="BQ45" s="707"/>
      <c r="BR45" s="707"/>
      <c r="BS45" s="707"/>
      <c r="BT45" s="707"/>
      <c r="BU45" s="707"/>
      <c r="BV45" s="707"/>
      <c r="BW45" s="707"/>
      <c r="BX45" s="707"/>
      <c r="BY45" s="707"/>
      <c r="BZ45" s="707"/>
      <c r="CA45" s="714"/>
      <c r="CB45" s="714"/>
      <c r="CC45" s="707"/>
      <c r="CD45" s="707"/>
      <c r="CE45" s="707"/>
      <c r="CF45" s="707"/>
      <c r="CG45" s="707"/>
      <c r="CH45" s="707"/>
      <c r="CI45" s="714"/>
      <c r="CJ45" s="714"/>
      <c r="CK45" s="996"/>
      <c r="CL45" s="996"/>
      <c r="CM45" s="996"/>
      <c r="CN45" s="996"/>
      <c r="CO45" s="996"/>
      <c r="CP45" s="996"/>
      <c r="CQ45" s="996"/>
      <c r="CR45" s="996"/>
    </row>
    <row r="46" spans="1:96" s="30" customFormat="1" ht="12.75" customHeight="1" x14ac:dyDescent="0.25">
      <c r="A46" s="122"/>
      <c r="B46" s="3791" t="str">
        <f>"F-K Critical Diameter at "&amp;T&amp;" deg C"</f>
        <v>F-K Critical Diameter at 0 deg C</v>
      </c>
      <c r="C46" s="3792"/>
      <c r="D46" s="702">
        <f>ROUND(BS61,2)</f>
        <v>0</v>
      </c>
      <c r="E46" s="705" t="s">
        <v>512</v>
      </c>
      <c r="F46" s="122"/>
      <c r="G46" s="122"/>
      <c r="H46" s="122"/>
      <c r="I46" s="122"/>
      <c r="J46" s="122"/>
      <c r="K46" s="122"/>
      <c r="L46" s="122"/>
      <c r="M46" s="122"/>
      <c r="N46" s="707"/>
      <c r="O46" s="707"/>
      <c r="P46" s="707"/>
      <c r="Q46" s="2067"/>
      <c r="R46" s="708"/>
      <c r="S46" s="707"/>
      <c r="T46" s="707"/>
      <c r="U46" s="707"/>
      <c r="V46" s="707"/>
      <c r="W46" s="707"/>
      <c r="X46" s="707"/>
      <c r="Y46" s="707"/>
      <c r="Z46" s="707"/>
      <c r="AA46" s="707"/>
      <c r="AB46" s="707"/>
      <c r="AC46" s="707"/>
      <c r="AD46" s="707"/>
      <c r="AE46" s="707"/>
      <c r="AF46" s="707"/>
      <c r="AG46" s="707"/>
      <c r="AH46" s="707"/>
      <c r="AI46" s="707"/>
      <c r="AJ46" s="707"/>
      <c r="AK46" s="708"/>
      <c r="AL46" s="707"/>
      <c r="AM46" s="707"/>
      <c r="AN46" s="707"/>
      <c r="AO46" s="707"/>
      <c r="AP46" s="707"/>
      <c r="AQ46" s="707"/>
      <c r="AR46" s="707"/>
      <c r="AS46" s="707"/>
      <c r="AT46" s="707"/>
      <c r="AU46" s="707"/>
      <c r="AV46" s="707"/>
      <c r="AW46" s="707"/>
      <c r="AX46" s="707"/>
      <c r="AY46" s="707"/>
      <c r="AZ46" s="707"/>
      <c r="BA46" s="707"/>
      <c r="BB46" s="707"/>
      <c r="BC46" s="707"/>
      <c r="BD46" s="707"/>
      <c r="BE46" s="707"/>
      <c r="BF46" s="707"/>
      <c r="BG46" s="707"/>
      <c r="BH46" s="707"/>
      <c r="BI46" s="707"/>
      <c r="BJ46" s="707"/>
      <c r="BK46" s="707"/>
      <c r="BL46" s="707"/>
      <c r="BM46" s="707"/>
      <c r="BN46" s="707"/>
      <c r="BO46" s="707"/>
      <c r="BP46" s="707"/>
      <c r="BQ46" s="707"/>
      <c r="BR46" s="707"/>
      <c r="BS46" s="707"/>
      <c r="BT46" s="707"/>
      <c r="BU46" s="707"/>
      <c r="BV46" s="707"/>
      <c r="BW46" s="707"/>
      <c r="BX46" s="707"/>
      <c r="BY46" s="707"/>
      <c r="BZ46" s="707"/>
      <c r="CA46" s="714"/>
      <c r="CB46" s="714"/>
      <c r="CC46" s="707"/>
      <c r="CD46" s="707"/>
      <c r="CE46" s="707"/>
      <c r="CF46" s="707"/>
      <c r="CG46" s="707"/>
      <c r="CH46" s="707"/>
      <c r="CI46" s="714"/>
      <c r="CJ46" s="714"/>
      <c r="CK46" s="996"/>
      <c r="CL46" s="996"/>
      <c r="CM46" s="996"/>
      <c r="CN46" s="996"/>
      <c r="CO46" s="996"/>
      <c r="CP46" s="996"/>
      <c r="CQ46" s="996"/>
      <c r="CR46" s="996"/>
    </row>
    <row r="47" spans="1:96" s="30" customFormat="1" ht="12.75" customHeight="1" x14ac:dyDescent="0.25">
      <c r="A47" s="122"/>
      <c r="B47" s="703" t="s">
        <v>1897</v>
      </c>
      <c r="C47" s="122"/>
      <c r="D47" s="122"/>
      <c r="E47" s="122"/>
      <c r="F47" s="122"/>
      <c r="G47" s="122"/>
      <c r="H47" s="122"/>
      <c r="I47" s="122"/>
      <c r="J47" s="122"/>
      <c r="K47" s="122"/>
      <c r="L47" s="122"/>
      <c r="M47" s="122"/>
      <c r="N47" s="707"/>
      <c r="O47" s="707"/>
      <c r="P47" s="707"/>
      <c r="Q47" s="2067"/>
      <c r="R47" s="708"/>
      <c r="S47" s="707"/>
      <c r="T47" s="707"/>
      <c r="U47" s="707"/>
      <c r="V47" s="707"/>
      <c r="W47" s="707"/>
      <c r="X47" s="707"/>
      <c r="Y47" s="707"/>
      <c r="Z47" s="707"/>
      <c r="AA47" s="707"/>
      <c r="AB47" s="707"/>
      <c r="AC47" s="707"/>
      <c r="AD47" s="707"/>
      <c r="AE47" s="707"/>
      <c r="AF47" s="707"/>
      <c r="AG47" s="707"/>
      <c r="AH47" s="707"/>
      <c r="AI47" s="707"/>
      <c r="AJ47" s="707"/>
      <c r="AK47" s="708"/>
      <c r="AL47" s="707"/>
      <c r="AM47" s="707"/>
      <c r="AN47" s="707"/>
      <c r="AO47" s="707"/>
      <c r="AP47" s="707"/>
      <c r="AQ47" s="707"/>
      <c r="AR47" s="707"/>
      <c r="AS47" s="707"/>
      <c r="AT47" s="707"/>
      <c r="AU47" s="707"/>
      <c r="AV47" s="707"/>
      <c r="AW47" s="707"/>
      <c r="AX47" s="707"/>
      <c r="AY47" s="707"/>
      <c r="AZ47" s="707"/>
      <c r="BA47" s="707"/>
      <c r="BB47" s="707"/>
      <c r="BC47" s="707"/>
      <c r="BD47" s="707"/>
      <c r="BE47" s="707"/>
      <c r="BF47" s="707"/>
      <c r="BG47" s="707"/>
      <c r="BH47" s="707"/>
      <c r="BI47" s="707"/>
      <c r="BJ47" s="707"/>
      <c r="BK47" s="707"/>
      <c r="BL47" s="707"/>
      <c r="BM47" s="707"/>
      <c r="BN47" s="707"/>
      <c r="BO47" s="707"/>
      <c r="BP47" s="707"/>
      <c r="BQ47" s="707"/>
      <c r="BR47" s="707"/>
      <c r="BS47" s="707"/>
      <c r="BT47" s="707"/>
      <c r="BU47" s="707"/>
      <c r="BV47" s="707"/>
      <c r="BW47" s="707"/>
      <c r="BX47" s="707"/>
      <c r="BY47" s="707"/>
      <c r="BZ47" s="707"/>
      <c r="CA47" s="714"/>
      <c r="CB47" s="714"/>
      <c r="CC47" s="707"/>
      <c r="CD47" s="707"/>
      <c r="CE47" s="707"/>
      <c r="CF47" s="707"/>
      <c r="CG47" s="707"/>
      <c r="CH47" s="707"/>
      <c r="CI47" s="714"/>
      <c r="CJ47" s="714"/>
      <c r="CK47" s="996"/>
      <c r="CL47" s="996"/>
      <c r="CM47" s="996"/>
      <c r="CN47" s="996"/>
      <c r="CO47" s="996"/>
      <c r="CP47" s="996"/>
      <c r="CQ47" s="996"/>
      <c r="CR47" s="996"/>
    </row>
    <row r="48" spans="1:96" s="30" customFormat="1" ht="12.75" customHeight="1" x14ac:dyDescent="0.25">
      <c r="A48" s="122"/>
      <c r="B48" s="3794" t="s">
        <v>1893</v>
      </c>
      <c r="C48" s="3794"/>
      <c r="D48" s="3794"/>
      <c r="E48" s="3794"/>
      <c r="F48" s="122"/>
      <c r="G48" s="122"/>
      <c r="H48" s="122"/>
      <c r="I48" s="122"/>
      <c r="J48" s="122"/>
      <c r="K48" s="122"/>
      <c r="L48" s="122"/>
      <c r="M48" s="122"/>
      <c r="N48" s="707"/>
      <c r="O48" s="707"/>
      <c r="P48" s="707"/>
      <c r="Q48" s="2067"/>
      <c r="R48" s="708"/>
      <c r="S48" s="707"/>
      <c r="T48" s="707"/>
      <c r="U48" s="707"/>
      <c r="V48" s="707"/>
      <c r="W48" s="707"/>
      <c r="X48" s="707"/>
      <c r="Y48" s="707"/>
      <c r="Z48" s="707"/>
      <c r="AA48" s="707"/>
      <c r="AB48" s="707"/>
      <c r="AC48" s="707"/>
      <c r="AD48" s="707"/>
      <c r="AE48" s="707"/>
      <c r="AF48" s="707"/>
      <c r="AG48" s="707"/>
      <c r="AH48" s="707"/>
      <c r="AI48" s="707"/>
      <c r="AJ48" s="707"/>
      <c r="AK48" s="708"/>
      <c r="AL48" s="707"/>
      <c r="AM48" s="707"/>
      <c r="AN48" s="707"/>
      <c r="AO48" s="707"/>
      <c r="AP48" s="707"/>
      <c r="AQ48" s="707"/>
      <c r="AR48" s="707"/>
      <c r="AS48" s="707"/>
      <c r="AT48" s="707"/>
      <c r="AU48" s="707"/>
      <c r="AV48" s="707"/>
      <c r="AW48" s="707"/>
      <c r="AX48" s="707"/>
      <c r="AY48" s="707"/>
      <c r="AZ48" s="707"/>
      <c r="BA48" s="707"/>
      <c r="BB48" s="707"/>
      <c r="BC48" s="707"/>
      <c r="BD48" s="707"/>
      <c r="BE48" s="707"/>
      <c r="BF48" s="707"/>
      <c r="BG48" s="707"/>
      <c r="BH48" s="707"/>
      <c r="BI48" s="707"/>
      <c r="BJ48" s="707"/>
      <c r="BK48" s="707"/>
      <c r="BL48" s="707"/>
      <c r="BM48" s="707"/>
      <c r="BN48" s="707"/>
      <c r="BO48" s="707"/>
      <c r="BP48" s="707"/>
      <c r="BQ48" s="707"/>
      <c r="BR48" s="707"/>
      <c r="BS48" s="707"/>
      <c r="BT48" s="707"/>
      <c r="BU48" s="707"/>
      <c r="BV48" s="707"/>
      <c r="BW48" s="707"/>
      <c r="BX48" s="707"/>
      <c r="BY48" s="707"/>
      <c r="BZ48" s="707"/>
      <c r="CA48" s="714"/>
      <c r="CB48" s="714"/>
      <c r="CC48" s="707"/>
      <c r="CD48" s="707"/>
      <c r="CE48" s="707"/>
      <c r="CF48" s="707"/>
      <c r="CG48" s="707"/>
      <c r="CH48" s="707"/>
      <c r="CI48" s="714"/>
      <c r="CJ48" s="714"/>
      <c r="CK48" s="996"/>
      <c r="CL48" s="996"/>
      <c r="CM48" s="996"/>
      <c r="CN48" s="996"/>
      <c r="CO48" s="996"/>
      <c r="CP48" s="996"/>
      <c r="CQ48" s="996"/>
      <c r="CR48" s="996"/>
    </row>
    <row r="49" spans="1:96" s="30" customFormat="1" ht="12.75" customHeight="1" x14ac:dyDescent="0.25">
      <c r="A49" s="122"/>
      <c r="B49" s="3797" t="s">
        <v>1438</v>
      </c>
      <c r="C49" s="3798"/>
      <c r="D49" s="196"/>
      <c r="E49" s="196"/>
      <c r="F49" s="122"/>
      <c r="G49" s="122"/>
      <c r="H49" s="122"/>
      <c r="I49" s="122"/>
      <c r="J49" s="122"/>
      <c r="K49" s="122"/>
      <c r="L49" s="122"/>
      <c r="M49" s="122"/>
      <c r="N49" s="707"/>
      <c r="O49" s="707"/>
      <c r="P49" s="707"/>
      <c r="Q49" s="708"/>
      <c r="R49" s="707"/>
      <c r="S49" s="2067"/>
      <c r="T49" s="707"/>
      <c r="U49" s="708"/>
      <c r="V49" s="707"/>
      <c r="W49" s="707"/>
      <c r="X49" s="707"/>
      <c r="Y49" s="708"/>
      <c r="Z49" s="708"/>
      <c r="AA49" s="707"/>
      <c r="AB49" s="707"/>
      <c r="AC49" s="707"/>
      <c r="AD49" s="707"/>
      <c r="AE49" s="707"/>
      <c r="AF49" s="707"/>
      <c r="AG49" s="707"/>
      <c r="AH49" s="707"/>
      <c r="AI49" s="707"/>
      <c r="AJ49" s="707"/>
      <c r="AK49" s="708"/>
      <c r="AL49" s="707"/>
      <c r="AM49" s="707"/>
      <c r="AN49" s="707"/>
      <c r="AO49" s="707"/>
      <c r="AP49" s="707"/>
      <c r="AQ49" s="707"/>
      <c r="AR49" s="707"/>
      <c r="AS49" s="707"/>
      <c r="AT49" s="707"/>
      <c r="AU49" s="707"/>
      <c r="AV49" s="707"/>
      <c r="AW49" s="707"/>
      <c r="AX49" s="707"/>
      <c r="AY49" s="707"/>
      <c r="AZ49" s="707"/>
      <c r="BA49" s="707"/>
      <c r="BB49" s="707"/>
      <c r="BC49" s="707"/>
      <c r="BD49" s="707"/>
      <c r="BE49" s="707"/>
      <c r="BF49" s="707"/>
      <c r="BG49" s="707"/>
      <c r="BH49" s="707"/>
      <c r="BI49" s="707"/>
      <c r="BJ49" s="707"/>
      <c r="BK49" s="707"/>
      <c r="BL49" s="707"/>
      <c r="BM49" s="707"/>
      <c r="BN49" s="707"/>
      <c r="BO49" s="707"/>
      <c r="BP49" s="707"/>
      <c r="BQ49" s="707"/>
      <c r="BR49" s="707"/>
      <c r="BS49" s="707"/>
      <c r="BT49" s="707"/>
      <c r="BU49" s="707"/>
      <c r="BV49" s="707"/>
      <c r="BW49" s="707"/>
      <c r="BX49" s="707"/>
      <c r="BY49" s="707"/>
      <c r="BZ49" s="707"/>
      <c r="CA49" s="714"/>
      <c r="CB49" s="714"/>
      <c r="CC49" s="707"/>
      <c r="CD49" s="707"/>
      <c r="CE49" s="707"/>
      <c r="CF49" s="707"/>
      <c r="CG49" s="707"/>
      <c r="CH49" s="707"/>
      <c r="CI49" s="714"/>
      <c r="CJ49" s="714"/>
      <c r="CK49" s="996"/>
      <c r="CL49" s="996"/>
      <c r="CM49" s="996"/>
      <c r="CN49" s="996"/>
      <c r="CO49" s="996"/>
      <c r="CP49" s="996"/>
      <c r="CQ49" s="996"/>
      <c r="CR49" s="996"/>
    </row>
    <row r="50" spans="1:96" s="30" customFormat="1" ht="12.75" customHeight="1" x14ac:dyDescent="0.25">
      <c r="A50" s="122"/>
      <c r="B50" s="3779" t="s">
        <v>355</v>
      </c>
      <c r="C50" s="3780"/>
      <c r="D50" s="196"/>
      <c r="E50" s="196"/>
      <c r="F50" s="122"/>
      <c r="G50" s="122"/>
      <c r="H50" s="122"/>
      <c r="I50" s="122"/>
      <c r="J50" s="122"/>
      <c r="K50" s="122"/>
      <c r="L50" s="122"/>
      <c r="M50" s="122"/>
      <c r="N50" s="707"/>
      <c r="O50" s="707"/>
      <c r="P50" s="707"/>
      <c r="Q50" s="708"/>
      <c r="R50" s="707"/>
      <c r="S50" s="707"/>
      <c r="T50" s="707"/>
      <c r="U50" s="707"/>
      <c r="V50" s="707"/>
      <c r="W50" s="707"/>
      <c r="X50" s="707"/>
      <c r="Y50" s="708"/>
      <c r="Z50" s="708"/>
      <c r="AA50" s="707"/>
      <c r="AB50" s="707"/>
      <c r="AC50" s="707"/>
      <c r="AD50" s="707"/>
      <c r="AE50" s="707"/>
      <c r="AF50" s="707"/>
      <c r="AG50" s="707"/>
      <c r="AH50" s="707"/>
      <c r="AI50" s="707"/>
      <c r="AJ50" s="707"/>
      <c r="AK50" s="708"/>
      <c r="AL50" s="707"/>
      <c r="AM50" s="707"/>
      <c r="AN50" s="707"/>
      <c r="AO50" s="707"/>
      <c r="AP50" s="707"/>
      <c r="AQ50" s="707"/>
      <c r="AR50" s="707"/>
      <c r="AS50" s="707"/>
      <c r="AT50" s="707"/>
      <c r="AU50" s="707"/>
      <c r="AV50" s="707"/>
      <c r="AW50" s="707"/>
      <c r="AX50" s="707"/>
      <c r="AY50" s="707"/>
      <c r="AZ50" s="707"/>
      <c r="BA50" s="707"/>
      <c r="BB50" s="707"/>
      <c r="BC50" s="707"/>
      <c r="BD50" s="707"/>
      <c r="BE50" s="707"/>
      <c r="BF50" s="707"/>
      <c r="BG50" s="707"/>
      <c r="BH50" s="707"/>
      <c r="BI50" s="707"/>
      <c r="BJ50" s="707"/>
      <c r="BK50" s="707"/>
      <c r="BL50" s="707"/>
      <c r="BM50" s="707"/>
      <c r="BN50" s="707"/>
      <c r="BO50" s="707"/>
      <c r="BP50" s="707"/>
      <c r="BQ50" s="707"/>
      <c r="BR50" s="707"/>
      <c r="BS50" s="707"/>
      <c r="BT50" s="707"/>
      <c r="BU50" s="707"/>
      <c r="BV50" s="707"/>
      <c r="BW50" s="707"/>
      <c r="BX50" s="707"/>
      <c r="BY50" s="707"/>
      <c r="BZ50" s="707"/>
      <c r="CA50" s="714"/>
      <c r="CB50" s="714"/>
      <c r="CC50" s="707"/>
      <c r="CD50" s="707"/>
      <c r="CE50" s="707"/>
      <c r="CF50" s="707"/>
      <c r="CG50" s="707"/>
      <c r="CH50" s="707"/>
      <c r="CI50" s="714"/>
      <c r="CJ50" s="714"/>
      <c r="CK50" s="996"/>
      <c r="CL50" s="996"/>
      <c r="CM50" s="996"/>
      <c r="CN50" s="996"/>
      <c r="CO50" s="996"/>
      <c r="CP50" s="996"/>
      <c r="CQ50" s="996"/>
      <c r="CR50" s="996"/>
    </row>
    <row r="51" spans="1:96" s="30" customFormat="1" ht="12.75" customHeight="1" x14ac:dyDescent="0.25">
      <c r="A51" s="122"/>
      <c r="B51" s="3779" t="s">
        <v>1902</v>
      </c>
      <c r="C51" s="3780"/>
      <c r="D51" s="291">
        <f>IF(ActEng_T1="",0,IF(Q52&lt;0.5,Q52,0.5))</f>
        <v>0</v>
      </c>
      <c r="E51" s="291">
        <f>IF(ActEng_T2="",0,IF(Q53&lt;0.5,Q53,0.5))</f>
        <v>0</v>
      </c>
      <c r="F51" s="122"/>
      <c r="G51" s="122"/>
      <c r="H51" s="122"/>
      <c r="I51" s="122"/>
      <c r="J51" s="122"/>
      <c r="K51" s="122"/>
      <c r="L51" s="122"/>
      <c r="M51" s="122"/>
      <c r="N51" s="707"/>
      <c r="O51" s="707"/>
      <c r="P51" s="707"/>
      <c r="Q51" s="708" t="s">
        <v>1973</v>
      </c>
      <c r="R51" s="708"/>
      <c r="S51" s="708"/>
      <c r="T51" s="3768" t="s">
        <v>616</v>
      </c>
      <c r="U51" s="3768"/>
      <c r="V51" s="3768"/>
      <c r="W51" s="3768"/>
      <c r="X51" s="3768"/>
      <c r="Y51" s="3768"/>
      <c r="Z51" s="3768"/>
      <c r="AA51" s="708"/>
      <c r="AB51" s="708"/>
      <c r="AC51" s="3768" t="s">
        <v>2487</v>
      </c>
      <c r="AD51" s="3768"/>
      <c r="AE51" s="3768"/>
      <c r="AF51" s="3768"/>
      <c r="AG51" s="3768"/>
      <c r="AH51" s="3768"/>
      <c r="AI51" s="3768"/>
      <c r="AJ51" s="708"/>
      <c r="AK51" s="3768" t="s">
        <v>636</v>
      </c>
      <c r="AL51" s="3768"/>
      <c r="AM51" s="3768"/>
      <c r="AN51" s="3768"/>
      <c r="AO51" s="3768"/>
      <c r="AP51" s="3768"/>
      <c r="AQ51" s="3768"/>
      <c r="AR51" s="707"/>
      <c r="AS51" s="3768" t="s">
        <v>2485</v>
      </c>
      <c r="AT51" s="3768"/>
      <c r="AU51" s="3768"/>
      <c r="AV51" s="3768"/>
      <c r="AW51" s="3768"/>
      <c r="AX51" s="3768"/>
      <c r="AY51" s="3768"/>
      <c r="AZ51" s="707"/>
      <c r="BA51" s="3768" t="str">
        <f>IF(OR($X$24&gt;0,$AA$24&gt;0),"Reactant Pooling plus External Heat","Reactant Pooling")</f>
        <v>Reactant Pooling</v>
      </c>
      <c r="BB51" s="3768"/>
      <c r="BC51" s="3768"/>
      <c r="BD51" s="3768"/>
      <c r="BE51" s="3768"/>
      <c r="BF51" s="3768"/>
      <c r="BG51" s="3768"/>
      <c r="BH51" s="707"/>
      <c r="BI51" s="3768" t="str">
        <f>IF(OR($X$24&gt;0,$AA$24&gt;0),"Mis-Loading of Reactants plus External Heat","Mis-Loading of Reactants")</f>
        <v>Mis-Loading of Reactants</v>
      </c>
      <c r="BJ51" s="3768"/>
      <c r="BK51" s="3768"/>
      <c r="BL51" s="3768"/>
      <c r="BM51" s="3768"/>
      <c r="BN51" s="3768"/>
      <c r="BO51" s="3768"/>
      <c r="BP51" s="707"/>
      <c r="BQ51" s="3767" t="s">
        <v>637</v>
      </c>
      <c r="BR51" s="3767"/>
      <c r="BS51" s="3769"/>
      <c r="BT51" s="707"/>
      <c r="BU51" s="707"/>
      <c r="BV51" s="707"/>
      <c r="BW51" s="707"/>
      <c r="BX51" s="707"/>
      <c r="BY51" s="707"/>
      <c r="BZ51" s="707"/>
      <c r="CA51" s="714"/>
      <c r="CB51" s="714"/>
      <c r="CC51" s="707"/>
      <c r="CD51" s="707"/>
      <c r="CE51" s="707"/>
      <c r="CF51" s="707"/>
      <c r="CG51" s="707"/>
      <c r="CH51" s="707"/>
      <c r="CI51" s="714"/>
      <c r="CJ51" s="714"/>
      <c r="CK51" s="996"/>
      <c r="CL51" s="996"/>
      <c r="CM51" s="996"/>
      <c r="CN51" s="996"/>
      <c r="CO51" s="996"/>
      <c r="CP51" s="996"/>
      <c r="CQ51" s="996"/>
      <c r="CR51" s="996"/>
    </row>
    <row r="52" spans="1:96" s="30" customFormat="1" ht="12.75" customHeight="1" x14ac:dyDescent="0.25">
      <c r="A52" s="122"/>
      <c r="B52" s="3781" t="s">
        <v>673</v>
      </c>
      <c r="C52" s="3782"/>
      <c r="D52" s="517" t="str">
        <f>IF(Q52&lt;=0,"",0.001987*LN(E50*(1-D51)/(D50*(1-E51)))/(1/(273+D49)-1/(273+E49)))</f>
        <v/>
      </c>
      <c r="E52" s="6" t="s">
        <v>1624</v>
      </c>
      <c r="F52" s="122"/>
      <c r="G52" s="122"/>
      <c r="H52" s="122"/>
      <c r="I52" s="122"/>
      <c r="J52" s="122"/>
      <c r="K52" s="122"/>
      <c r="L52" s="122"/>
      <c r="M52" s="122"/>
      <c r="N52" s="707"/>
      <c r="O52" s="707"/>
      <c r="P52" s="707"/>
      <c r="Q52" s="708">
        <f>IF(Tad_max&gt;Tinit,IF(AND(phi&lt;&gt;"",phi&gt;1),phi*(D49-Tdet)/(Tad_max-Tinit),(D49-Tdet)/(Tad_max-Tinit)),0)</f>
        <v>0</v>
      </c>
      <c r="R52" s="708"/>
      <c r="S52" s="3793" t="s">
        <v>615</v>
      </c>
      <c r="T52" s="3767" t="s">
        <v>616</v>
      </c>
      <c r="U52" s="3767" t="s">
        <v>612</v>
      </c>
      <c r="V52" s="3767" t="s">
        <v>850</v>
      </c>
      <c r="W52" s="3767" t="s">
        <v>1156</v>
      </c>
      <c r="X52" s="3767" t="s">
        <v>614</v>
      </c>
      <c r="Y52" s="3767" t="s">
        <v>613</v>
      </c>
      <c r="Z52" s="3767" t="s">
        <v>617</v>
      </c>
      <c r="AA52" s="707"/>
      <c r="AB52" s="3793" t="s">
        <v>615</v>
      </c>
      <c r="AC52" s="3767" t="s">
        <v>616</v>
      </c>
      <c r="AD52" s="3767" t="s">
        <v>612</v>
      </c>
      <c r="AE52" s="3767" t="s">
        <v>850</v>
      </c>
      <c r="AF52" s="3767" t="s">
        <v>1156</v>
      </c>
      <c r="AG52" s="3767" t="s">
        <v>614</v>
      </c>
      <c r="AH52" s="3767" t="s">
        <v>613</v>
      </c>
      <c r="AI52" s="3767" t="s">
        <v>617</v>
      </c>
      <c r="AJ52" s="707"/>
      <c r="AK52" s="3767" t="s">
        <v>616</v>
      </c>
      <c r="AL52" s="3767" t="s">
        <v>612</v>
      </c>
      <c r="AM52" s="3767" t="s">
        <v>850</v>
      </c>
      <c r="AN52" s="3767" t="s">
        <v>1156</v>
      </c>
      <c r="AO52" s="3767" t="s">
        <v>614</v>
      </c>
      <c r="AP52" s="3767" t="s">
        <v>613</v>
      </c>
      <c r="AQ52" s="3767" t="s">
        <v>617</v>
      </c>
      <c r="AR52" s="707"/>
      <c r="AS52" s="3767" t="s">
        <v>616</v>
      </c>
      <c r="AT52" s="3767" t="s">
        <v>612</v>
      </c>
      <c r="AU52" s="3767" t="s">
        <v>850</v>
      </c>
      <c r="AV52" s="3767" t="s">
        <v>1156</v>
      </c>
      <c r="AW52" s="3767" t="s">
        <v>614</v>
      </c>
      <c r="AX52" s="3767" t="s">
        <v>613</v>
      </c>
      <c r="AY52" s="3767" t="s">
        <v>617</v>
      </c>
      <c r="AZ52" s="707"/>
      <c r="BA52" s="3767" t="s">
        <v>616</v>
      </c>
      <c r="BB52" s="3767" t="s">
        <v>612</v>
      </c>
      <c r="BC52" s="3767" t="s">
        <v>850</v>
      </c>
      <c r="BD52" s="3767" t="s">
        <v>1156</v>
      </c>
      <c r="BE52" s="3767" t="s">
        <v>614</v>
      </c>
      <c r="BF52" s="3767" t="s">
        <v>613</v>
      </c>
      <c r="BG52" s="3767" t="s">
        <v>617</v>
      </c>
      <c r="BH52" s="707"/>
      <c r="BI52" s="3767" t="s">
        <v>616</v>
      </c>
      <c r="BJ52" s="3767" t="s">
        <v>612</v>
      </c>
      <c r="BK52" s="3767" t="s">
        <v>850</v>
      </c>
      <c r="BL52" s="3767" t="s">
        <v>1156</v>
      </c>
      <c r="BM52" s="3767" t="s">
        <v>614</v>
      </c>
      <c r="BN52" s="3767" t="s">
        <v>613</v>
      </c>
      <c r="BO52" s="3767" t="s">
        <v>617</v>
      </c>
      <c r="BP52" s="707"/>
      <c r="BQ52" s="3767" t="s">
        <v>635</v>
      </c>
      <c r="BR52" s="3767" t="s">
        <v>617</v>
      </c>
      <c r="BS52" s="3767" t="s">
        <v>2484</v>
      </c>
      <c r="BT52" s="3767" t="s">
        <v>2482</v>
      </c>
      <c r="BU52" s="707"/>
      <c r="BV52" s="707"/>
      <c r="BW52" s="707"/>
      <c r="BX52" s="707"/>
      <c r="BY52" s="707"/>
      <c r="BZ52" s="707"/>
      <c r="CA52" s="714"/>
      <c r="CB52" s="714"/>
      <c r="CC52" s="707"/>
      <c r="CD52" s="707"/>
      <c r="CE52" s="707"/>
      <c r="CF52" s="707"/>
      <c r="CG52" s="707"/>
      <c r="CH52" s="707"/>
      <c r="CI52" s="714"/>
      <c r="CJ52" s="714"/>
      <c r="CK52" s="996"/>
      <c r="CL52" s="996"/>
      <c r="CM52" s="996"/>
      <c r="CN52" s="996"/>
      <c r="CO52" s="996"/>
      <c r="CP52" s="996"/>
      <c r="CQ52" s="996"/>
      <c r="CR52" s="996"/>
    </row>
    <row r="53" spans="1:96" s="30" customFormat="1" ht="12.75" customHeight="1" x14ac:dyDescent="0.25">
      <c r="A53" s="122"/>
      <c r="B53" s="156"/>
      <c r="C53" s="156"/>
      <c r="D53" s="157"/>
      <c r="E53" s="157"/>
      <c r="F53" s="122"/>
      <c r="G53" s="122"/>
      <c r="H53" s="122"/>
      <c r="I53" s="122"/>
      <c r="J53" s="122"/>
      <c r="K53" s="122"/>
      <c r="L53" s="122"/>
      <c r="M53" s="122"/>
      <c r="N53" s="707"/>
      <c r="O53" s="707"/>
      <c r="P53" s="707"/>
      <c r="Q53" s="708">
        <f>IF(Tad_max&gt;Tinit,IF(AND(phi&lt;&gt;"",phi&gt;1),phi*(E49-Tdet)/(Tad_max-Tinit),(E49-Tdet)/(Tad_max-Tinit)),0)</f>
        <v>0</v>
      </c>
      <c r="R53" s="708"/>
      <c r="S53" s="3793"/>
      <c r="T53" s="3767"/>
      <c r="U53" s="3767"/>
      <c r="V53" s="3767"/>
      <c r="W53" s="3767"/>
      <c r="X53" s="3767"/>
      <c r="Y53" s="3767"/>
      <c r="Z53" s="3767"/>
      <c r="AA53" s="707"/>
      <c r="AB53" s="3793"/>
      <c r="AC53" s="3767"/>
      <c r="AD53" s="3767"/>
      <c r="AE53" s="3767"/>
      <c r="AF53" s="3767"/>
      <c r="AG53" s="3767"/>
      <c r="AH53" s="3767"/>
      <c r="AI53" s="3767"/>
      <c r="AJ53" s="707"/>
      <c r="AK53" s="3767"/>
      <c r="AL53" s="3767"/>
      <c r="AM53" s="3767"/>
      <c r="AN53" s="3767"/>
      <c r="AO53" s="3767"/>
      <c r="AP53" s="3767"/>
      <c r="AQ53" s="3767"/>
      <c r="AR53" s="707"/>
      <c r="AS53" s="3767"/>
      <c r="AT53" s="3767"/>
      <c r="AU53" s="3767"/>
      <c r="AV53" s="3767"/>
      <c r="AW53" s="3767"/>
      <c r="AX53" s="3767"/>
      <c r="AY53" s="3767"/>
      <c r="AZ53" s="707"/>
      <c r="BA53" s="3767"/>
      <c r="BB53" s="3767"/>
      <c r="BC53" s="3767"/>
      <c r="BD53" s="3767"/>
      <c r="BE53" s="3767"/>
      <c r="BF53" s="3767"/>
      <c r="BG53" s="3767"/>
      <c r="BH53" s="707"/>
      <c r="BI53" s="3767"/>
      <c r="BJ53" s="3767"/>
      <c r="BK53" s="3767"/>
      <c r="BL53" s="3767"/>
      <c r="BM53" s="3767"/>
      <c r="BN53" s="3767"/>
      <c r="BO53" s="3767"/>
      <c r="BP53" s="707"/>
      <c r="BQ53" s="3767"/>
      <c r="BR53" s="3823"/>
      <c r="BS53" s="3767"/>
      <c r="BT53" s="3767"/>
      <c r="BU53" s="707"/>
      <c r="BV53" s="707"/>
      <c r="BW53" s="707"/>
      <c r="BX53" s="707"/>
      <c r="BY53" s="707"/>
      <c r="BZ53" s="707"/>
      <c r="CA53" s="714"/>
      <c r="CB53" s="714"/>
      <c r="CC53" s="707"/>
      <c r="CD53" s="707"/>
      <c r="CE53" s="707"/>
      <c r="CF53" s="707"/>
      <c r="CG53" s="707"/>
      <c r="CH53" s="707"/>
      <c r="CI53" s="714"/>
      <c r="CJ53" s="714"/>
      <c r="CK53" s="996"/>
      <c r="CL53" s="996"/>
      <c r="CM53" s="996"/>
      <c r="CN53" s="996"/>
      <c r="CO53" s="996"/>
      <c r="CP53" s="996"/>
      <c r="CQ53" s="996"/>
      <c r="CR53" s="996"/>
    </row>
    <row r="54" spans="1:96" s="30" customFormat="1" ht="12.75" customHeight="1" x14ac:dyDescent="0.25">
      <c r="A54" s="1"/>
      <c r="B54" s="3784" t="s">
        <v>1066</v>
      </c>
      <c r="C54" s="3785"/>
      <c r="D54" s="3785"/>
      <c r="E54" s="3786"/>
      <c r="F54" s="122"/>
      <c r="G54" s="122"/>
      <c r="H54" s="122"/>
      <c r="I54" s="122"/>
      <c r="J54" s="122"/>
      <c r="K54" s="122"/>
      <c r="L54" s="122"/>
      <c r="M54" s="122"/>
      <c r="N54" s="707"/>
      <c r="O54" s="707"/>
      <c r="P54" s="707"/>
      <c r="Q54" s="707"/>
      <c r="R54" s="708"/>
      <c r="S54" s="708">
        <f>B62</f>
        <v>25</v>
      </c>
      <c r="T54" s="708">
        <f t="shared" ref="T54:T59" si="40">S54</f>
        <v>25</v>
      </c>
      <c r="U54" s="708"/>
      <c r="V54" s="708"/>
      <c r="W54" s="708" t="e">
        <f t="shared" ref="W54:W59" si="41">IF(ABS(Limiting_Rate)&gt;0,ABS(Limiting_Rate/Liq_C),(r_Tinitial/Liq_C)*EXP((-1000*Act_Energy/1.987)*(1/(273+T54)-1/(273+Tinit))))</f>
        <v>#DIV/0!</v>
      </c>
      <c r="X54" s="708" t="e">
        <f t="shared" ref="X54:X61" si="42">IF(AND(W54&gt;0,DHR&lt;0),IF(ABS(Limiting_Rate)&gt;0,Liq_C*(Tad_max-Tinit)/ABS(Limiting_Rate),IF(Act_Energy&gt;0,1.987*(273+T54)^2/(W54*1000*Act_Energy),0)),0)</f>
        <v>#DIV/0!</v>
      </c>
      <c r="Y54" s="708" t="e">
        <f>X54</f>
        <v>#DIV/0!</v>
      </c>
      <c r="Z54" s="708" t="str">
        <f t="shared" ref="Z54:Z59" si="43">IF(T$61&gt;S$22,"Max T&lt;Relief T",IF(AND(T54&lt;T$60,ABS(Limiting_Rate)&gt;0),(T$61-T54)/(W54+U54/Liq_C)+Z$63,IF($S54&gt;=T$61,"&gt;Relief Temp",Y54-Y$60+Z$63)))</f>
        <v>&gt;Relief Temp</v>
      </c>
      <c r="AA54" s="707"/>
      <c r="AB54" s="708">
        <f>B62</f>
        <v>25</v>
      </c>
      <c r="AC54" s="708" t="e">
        <f t="shared" ref="AC54:AC59" si="44">IF(AND($Z$38&gt;0,T_ExtHeat&gt;$AB54),T_ExtHeat,$AB54)</f>
        <v>#DIV/0!</v>
      </c>
      <c r="AD54" s="708" t="e">
        <f>IF($AB54&gt;Heating_T,($X$24*7.17*Motor/'Special Calcs'!$G$17+2*Q_ExtHeat)/2,($X$24*7.17*Motor/'Special Calcs'!$G$17+$AA$24*14.34*(HT_Area*U*(Heating_T-$AB54))/('Special Calcs'!$G$17)+2*Q_ExtHeat)/2)</f>
        <v>#DIV/0!</v>
      </c>
      <c r="AE54" s="708" t="e">
        <f t="shared" ref="AE54:AE59" si="45">IF(AD54&gt;0,Liq_C*(AC54-$AB54)/AD54,0)</f>
        <v>#DIV/0!</v>
      </c>
      <c r="AF54" s="708" t="e">
        <f t="shared" ref="AF54:AF59" si="46">IF(ABS(Limiting_Rate)&gt;0,ABS(Limiting_Rate/Liq_C),(r_Tinitial/Liq_C)*EXP((-1000*Act_Energy/1.987)*(1/(273+AC54)-1/(273+Tinit))))</f>
        <v>#DIV/0!</v>
      </c>
      <c r="AG54" s="708" t="e">
        <f t="shared" ref="AG54:AG61" si="47">IF(AND(AF54&gt;0,DHR&lt;0),IF(ABS(Limiting_Rate)&gt;0,Liq_C*(Tad_max-Tinit)/ABS(Limiting_Rate),IF(Act_Energy&gt;0,1.987*(273+AC54)^2/(AF54*1000*Act_Energy),0)),0)</f>
        <v>#DIV/0!</v>
      </c>
      <c r="AH54" s="708" t="e">
        <f t="shared" ref="AH54:AH61" si="48">AE54+AG54</f>
        <v>#DIV/0!</v>
      </c>
      <c r="AI54" s="708" t="e">
        <f t="shared" ref="AI54:AI59" si="49">IF(AC$61&gt;MAX(Z$22,Tmax_ME_Continuous,Heating_T),"Max T&lt;Relief T",IF(AND(AC54&lt;AC$60,ABS(Limiting_Rate)&gt;0),(AC$61-AC54)/(AF54+AD54/Liq_C)+AI$63,IF($AB54&gt;=AC$61,"&gt;Relief Temp",AH54-AH$61+AI$63)))</f>
        <v>#DIV/0!</v>
      </c>
      <c r="AJ54" s="707"/>
      <c r="AK54" s="708">
        <f t="shared" ref="AK54:AK59" si="50">IF(T_Fire&gt;$AB54,T_Fire,$AB54)</f>
        <v>25</v>
      </c>
      <c r="AL54" s="708" t="e">
        <f>IF(AK54&gt;Heating_T,($X$24*7.17*Motor/'Special Calcs'!$G$17+2*Q_Fire)/2,($X$24*7.17*Motor/'Special Calcs'!$G$17+$AA$24*14.34*(HT_Area*U*(Heating_T-$AB54))/('Special Calcs'!$G$17)+2*Q_Fire)/2)</f>
        <v>#DIV/0!</v>
      </c>
      <c r="AM54" s="708" t="e">
        <f t="shared" ref="AM54:AM59" si="51">IF(AL54&gt;0,Liq_C*(AK54-$AB54)/AL54,0)</f>
        <v>#DIV/0!</v>
      </c>
      <c r="AN54" s="708" t="e">
        <f t="shared" ref="AN54:AN59" si="52">IF(ABS(Limiting_Rate)&gt;0,ABS(Limiting_Rate/Liq_C),(r_Tinitial/Liq_C)*EXP((-1000*Act_Energy/1.987)*(1/(273+AK54)-1/(273+Tinit))))</f>
        <v>#DIV/0!</v>
      </c>
      <c r="AO54" s="708" t="e">
        <f t="shared" ref="AO54:AO61" si="53">IF(AND(DHR&lt;0,AN54&gt;0,Fire_Potential="Yes"),IF(ABS(Limiting_Rate)&gt;0,Liq_C*(Tad_max-Tinit)/ABS(Limiting_Rate),IF(Act_Energy&gt;0,1.987*(273+AK54)^2/(AN54*1000*Act_Energy),0)),0)</f>
        <v>#DIV/0!</v>
      </c>
      <c r="AP54" s="708" t="e">
        <f t="shared" ref="AP54:AP61" si="54">AM54+AO54</f>
        <v>#DIV/0!</v>
      </c>
      <c r="AQ54" s="708" t="e">
        <f t="shared" ref="AQ54:AQ59" si="55">IF(AND(AK54&lt;AK$60,ABS(Limiting_Rate)&gt;0),(AK$61-AK54)/(AN54+AL54/Liq_C)+AQ$63,IF($AB54&gt;=AK$61,"&gt;Relief Temp",AP54-AP$61+AQ$63))</f>
        <v>#N/A</v>
      </c>
      <c r="AR54" s="707"/>
      <c r="AS54" s="708" t="e">
        <f>IF(T_Cat&gt;$AB54,T_Cat,$AB54)</f>
        <v>#DIV/0!</v>
      </c>
      <c r="AT54" s="708"/>
      <c r="AU54" s="708"/>
      <c r="AV54" s="708" t="e">
        <f>(AU70/Liq_C)*EXP((-1000*Act_Energy/1.987)*(1/(273+AS54)-1/(273+T_Cat)))</f>
        <v>#DIV/0!</v>
      </c>
      <c r="AW54" s="708" t="e">
        <f t="shared" ref="AW54:AW61" si="56">IF(AND(DHR&lt;0,AV54&gt;0,Catalyzed="Yes"),IF(Act_Energy&gt;0,1.987*(273+AS54)^2/(AV54*1000*Act_Energy),0),0)</f>
        <v>#DIV/0!</v>
      </c>
      <c r="AX54" s="708" t="e">
        <f t="shared" ref="AX54:AX61" si="57">AW54</f>
        <v>#DIV/0!</v>
      </c>
      <c r="AY54" s="708">
        <f t="shared" ref="AY54:AY59" si="58">IF(ISNUMBER(AI$22),IF(AS$61&gt;MAX(AI$22,Tmax_ME_Continuous,Heating_T),"Max T&lt;Relief T",IF(AND(AS54&lt;AS$60,ABS(Limiting_Rate)&gt;0),(AS$61-AS54)/(AV54+AT54/Liq_C)+AY$63,IF($AB54&gt;=AS$61,"&gt;Relief Temp",AX54-AX$61+AY$63))),0)</f>
        <v>0</v>
      </c>
      <c r="AZ54" s="707"/>
      <c r="BA54" s="708" t="e">
        <f t="shared" ref="BA54:BA59" si="59">IF(T_Pooling&gt;$AB54,T_Pooling,$AB54)</f>
        <v>#DIV/0!</v>
      </c>
      <c r="BB54" s="708"/>
      <c r="BC54" s="708"/>
      <c r="BD54" s="708" t="e">
        <f t="shared" ref="BD54:BD61" si="60">IF(Second_Phase="Yes",(r_Tinitial/(Rx_Pooling_Factor*Liq_C))*EXP((-1000*Act_Energy/1.987)*(1/(273+BA54)-1/(273+Tinit))),Rx_Pooling_Factor*(r_Tinitial/Liq_C)*EXP((-1000*Act_Energy/1.987)*(1/(273+BA54)-1/(273+Tinit))))</f>
        <v>#DIV/0!</v>
      </c>
      <c r="BE54" s="708" t="e">
        <f t="shared" ref="BE54:BE61" si="61">IF(AND(DHR&lt;0,BD54&gt;0,Rx_Pooling="Yes"),IF(Act_Energy&gt;0,1.987*(273+BA54)^2/(BD54*1000*Act_Energy),0),0)</f>
        <v>#DIV/0!</v>
      </c>
      <c r="BF54" s="708" t="e">
        <f t="shared" ref="BF54:BF61" si="62">BE54</f>
        <v>#DIV/0!</v>
      </c>
      <c r="BG54" s="708">
        <f t="shared" ref="BG54:BG59" si="63">IF(ISNUMBER(AM$22),IF(BA$61&gt;MAX(AM$22,Tmax_ME_Continuous,Heating_T),"Max T&lt;Relief T",IF(AND(BA54&lt;BA$60,ABS(Limiting_Rate)&gt;0),(BA$61-BA54)/(BD54+BB54/Liq_C)+BG$63,IF($AB54&gt;=BA$61,"&gt;Relief Temp",BF54-BF$61+BG$63))),0)</f>
        <v>0</v>
      </c>
      <c r="BH54" s="707"/>
      <c r="BI54" s="708" t="e">
        <f>IF(T_MisLoad&gt;$AB54,T_MisLoad,$AB54)</f>
        <v>#DIV/0!</v>
      </c>
      <c r="BJ54" s="708"/>
      <c r="BK54" s="708"/>
      <c r="BL54" s="708" t="e">
        <f t="shared" ref="BL54:BL61" si="64">IF(ABS(Limiting_Rate)&gt;0,Rx_MisLoading_Factor*ABS(Limiting_Rate/Liq_C),Rx_MisLoading_Factor*(r_Tinitial/Liq_C)*EXP((-1000*Act_Energy/1.987)*(1/(273+BI54)-1/(273+Tinit))))</f>
        <v>#DIV/0!</v>
      </c>
      <c r="BM54" s="708" t="e">
        <f t="shared" ref="BM54:BM61" si="65">IF(AND(DHR&lt;0,BL54&gt;0,Rx_MisLoading="Yes"),IF(ABS(Limiting_Rate)&gt;0,Liq_C*(Tad_max-Tinit)/(Rx_MisLoading_Factor*ABS(Limiting_Rate)),1.987*(273+BI54)^2/(BL54*1000*Act_Energy)),0)</f>
        <v>#DIV/0!</v>
      </c>
      <c r="BN54" s="708" t="e">
        <f t="shared" ref="BN54:BN61" si="66">BK54+BM54</f>
        <v>#DIV/0!</v>
      </c>
      <c r="BO54" s="708">
        <f t="shared" ref="BO54:BO59" si="67">IF(ISNUMBER(AQ$22),IF(BI$61&gt;MAX(AQ$22,Tmax_ME_Continuous,Heating_T),"Max T&lt;Relief T",IF(AND(BI54&lt;BI$60,ABS(Limiting_Rate)&gt;0),(BI$61-BI54)/(BL54+BJ54/Liq_C)+BO$63,IF($AB54&gt;=BI$61,"&gt;Relief Temp",BN54-BN$61+BO$63))),0)</f>
        <v>0</v>
      </c>
      <c r="BP54" s="707"/>
      <c r="BQ54" s="708" t="e">
        <f t="shared" ref="BQ54:BR59" si="68">IF(Reaction_Type="Reaction with Heat",AH54,IF(Reaction_Type="Reaction with Fire",AP54,IF(Reaction_Type="Catalyzed Reaction",AX54,IF(Reaction_Type="Reactant Pooling",BF54,IF(Reaction_Type="Mis-Loading of Reactants",BN54,Y54)))))</f>
        <v>#DIV/0!</v>
      </c>
      <c r="BR54" s="708" t="str">
        <f t="shared" si="68"/>
        <v>&gt;Relief Temp</v>
      </c>
      <c r="BS54" s="708">
        <f>IF(AND(BT54&gt;0,Act_Energy&gt;0),2*(0.00025*(273+B62)^2*$D$45/(Act_Energy*Liq_rho*BT54))^0.5,0)</f>
        <v>0</v>
      </c>
      <c r="BT54" s="708">
        <f>IF(ABS(Limiting_Rate)&gt;0,ABS(Limiting_Rate),(r_Tinitial)*EXP((-1000*Act_Energy/1.987)*(1/(273+B62)-1/(273+Tinit))))</f>
        <v>0</v>
      </c>
      <c r="BU54" s="707"/>
      <c r="BV54" s="707"/>
      <c r="BW54" s="707"/>
      <c r="BX54" s="707"/>
      <c r="BY54" s="707"/>
      <c r="BZ54" s="707"/>
      <c r="CA54" s="714"/>
      <c r="CB54" s="714"/>
      <c r="CC54" s="707"/>
      <c r="CD54" s="707"/>
      <c r="CE54" s="707"/>
      <c r="CF54" s="707"/>
      <c r="CG54" s="707"/>
      <c r="CH54" s="707"/>
      <c r="CI54" s="714"/>
      <c r="CJ54" s="714"/>
      <c r="CK54" s="714"/>
      <c r="CL54" s="996"/>
      <c r="CM54" s="996"/>
      <c r="CN54" s="996"/>
      <c r="CO54" s="996"/>
      <c r="CP54" s="996"/>
      <c r="CQ54" s="996"/>
      <c r="CR54" s="996"/>
    </row>
    <row r="55" spans="1:96" s="30" customFormat="1" ht="12.75" customHeight="1" x14ac:dyDescent="0.25">
      <c r="A55" s="1"/>
      <c r="B55" s="3779" t="s">
        <v>1437</v>
      </c>
      <c r="C55" s="3780"/>
      <c r="D55" s="197"/>
      <c r="E55" s="197"/>
      <c r="F55" s="122"/>
      <c r="G55" s="122"/>
      <c r="H55" s="122"/>
      <c r="I55" s="122"/>
      <c r="J55" s="122"/>
      <c r="K55" s="122"/>
      <c r="L55" s="122"/>
      <c r="M55" s="122"/>
      <c r="N55" s="708"/>
      <c r="O55" s="707"/>
      <c r="P55" s="707"/>
      <c r="Q55" s="2071" t="s">
        <v>4031</v>
      </c>
      <c r="R55" s="708"/>
      <c r="S55" s="708">
        <f>B63</f>
        <v>50</v>
      </c>
      <c r="T55" s="708">
        <f t="shared" si="40"/>
        <v>50</v>
      </c>
      <c r="U55" s="708"/>
      <c r="V55" s="708"/>
      <c r="W55" s="708" t="e">
        <f t="shared" si="41"/>
        <v>#DIV/0!</v>
      </c>
      <c r="X55" s="708" t="e">
        <f t="shared" si="42"/>
        <v>#DIV/0!</v>
      </c>
      <c r="Y55" s="708" t="e">
        <f t="shared" ref="Y55:Y61" si="69">X55</f>
        <v>#DIV/0!</v>
      </c>
      <c r="Z55" s="708" t="str">
        <f t="shared" si="43"/>
        <v>&gt;Relief Temp</v>
      </c>
      <c r="AA55" s="707"/>
      <c r="AB55" s="708">
        <f>B63</f>
        <v>50</v>
      </c>
      <c r="AC55" s="708" t="e">
        <f t="shared" si="44"/>
        <v>#DIV/0!</v>
      </c>
      <c r="AD55" s="708" t="e">
        <f>IF($AB55&gt;Heating_T,($X$24*7.17*Motor/'Special Calcs'!$G$17+2*Q_ExtHeat)/2,($X$24*7.17*Motor/'Special Calcs'!$G$17+$AA$24*14.34*(HT_Area*U*(Heating_T-$AB55))/('Special Calcs'!$G$17)+2*Q_ExtHeat)/2)</f>
        <v>#DIV/0!</v>
      </c>
      <c r="AE55" s="708" t="e">
        <f t="shared" si="45"/>
        <v>#DIV/0!</v>
      </c>
      <c r="AF55" s="708" t="e">
        <f t="shared" si="46"/>
        <v>#DIV/0!</v>
      </c>
      <c r="AG55" s="708" t="e">
        <f t="shared" si="47"/>
        <v>#DIV/0!</v>
      </c>
      <c r="AH55" s="708" t="e">
        <f t="shared" si="48"/>
        <v>#DIV/0!</v>
      </c>
      <c r="AI55" s="708" t="e">
        <f t="shared" si="49"/>
        <v>#DIV/0!</v>
      </c>
      <c r="AJ55" s="707"/>
      <c r="AK55" s="708">
        <f t="shared" si="50"/>
        <v>50</v>
      </c>
      <c r="AL55" s="708" t="e">
        <f>IF(AK55&gt;Heating_T,($X$24*7.17*Motor/'Special Calcs'!$G$17+2*Q_Fire)/2,($X$24*7.17*Motor/'Special Calcs'!$G$17+$AA$24*14.34*(HT_Area*U*(Heating_T-$AB55))/('Special Calcs'!$G$17)+2*Q_Fire)/2)</f>
        <v>#DIV/0!</v>
      </c>
      <c r="AM55" s="708" t="e">
        <f t="shared" si="51"/>
        <v>#DIV/0!</v>
      </c>
      <c r="AN55" s="708" t="e">
        <f t="shared" si="52"/>
        <v>#DIV/0!</v>
      </c>
      <c r="AO55" s="708" t="e">
        <f t="shared" si="53"/>
        <v>#DIV/0!</v>
      </c>
      <c r="AP55" s="708" t="e">
        <f t="shared" si="54"/>
        <v>#DIV/0!</v>
      </c>
      <c r="AQ55" s="708" t="e">
        <f t="shared" si="55"/>
        <v>#N/A</v>
      </c>
      <c r="AR55" s="707"/>
      <c r="AS55" s="708" t="e">
        <f>IF(T_Cat&gt;$AB55,T_Cat,$AB55)</f>
        <v>#DIV/0!</v>
      </c>
      <c r="AT55" s="708"/>
      <c r="AU55" s="708"/>
      <c r="AV55" s="708" t="e">
        <f>(AU70/Liq_C)*EXP((-1000*Act_Energy/1.987)*(1/(273+AS55)-1/(273+T_Cat)))</f>
        <v>#DIV/0!</v>
      </c>
      <c r="AW55" s="708" t="e">
        <f t="shared" si="56"/>
        <v>#DIV/0!</v>
      </c>
      <c r="AX55" s="708" t="e">
        <f t="shared" si="57"/>
        <v>#DIV/0!</v>
      </c>
      <c r="AY55" s="708">
        <f t="shared" si="58"/>
        <v>0</v>
      </c>
      <c r="AZ55" s="707"/>
      <c r="BA55" s="708" t="e">
        <f t="shared" si="59"/>
        <v>#DIV/0!</v>
      </c>
      <c r="BB55" s="708"/>
      <c r="BC55" s="708"/>
      <c r="BD55" s="708" t="e">
        <f t="shared" si="60"/>
        <v>#DIV/0!</v>
      </c>
      <c r="BE55" s="708" t="e">
        <f t="shared" si="61"/>
        <v>#DIV/0!</v>
      </c>
      <c r="BF55" s="708" t="e">
        <f t="shared" si="62"/>
        <v>#DIV/0!</v>
      </c>
      <c r="BG55" s="708">
        <f t="shared" si="63"/>
        <v>0</v>
      </c>
      <c r="BH55" s="707"/>
      <c r="BI55" s="708" t="e">
        <f>IF(T_MisLoad&gt;$AB55,T_MisLoad,$AB55)</f>
        <v>#DIV/0!</v>
      </c>
      <c r="BJ55" s="708"/>
      <c r="BK55" s="708"/>
      <c r="BL55" s="708" t="e">
        <f t="shared" si="64"/>
        <v>#DIV/0!</v>
      </c>
      <c r="BM55" s="708" t="e">
        <f t="shared" si="65"/>
        <v>#DIV/0!</v>
      </c>
      <c r="BN55" s="708" t="e">
        <f t="shared" si="66"/>
        <v>#DIV/0!</v>
      </c>
      <c r="BO55" s="708">
        <f t="shared" si="67"/>
        <v>0</v>
      </c>
      <c r="BP55" s="707"/>
      <c r="BQ55" s="708" t="e">
        <f t="shared" si="68"/>
        <v>#DIV/0!</v>
      </c>
      <c r="BR55" s="708" t="str">
        <f t="shared" si="68"/>
        <v>&gt;Relief Temp</v>
      </c>
      <c r="BS55" s="708">
        <f>IF(AND(BT55&gt;0,Act_Energy&gt;0),2*(0.00025*(273+B63)^2*$D$45/(Act_Energy*Liq_rho*BT55))^0.5,0)</f>
        <v>0</v>
      </c>
      <c r="BT55" s="708">
        <f>IF(ABS(Limiting_Rate)&gt;0,ABS(Limiting_Rate),(r_Tinitial)*EXP((-1000*Act_Energy/1.987)*(1/(273+B63)-1/(273+Tinit))))</f>
        <v>0</v>
      </c>
      <c r="BU55" s="707"/>
      <c r="BV55" s="707"/>
      <c r="BW55" s="707"/>
      <c r="BX55" s="707"/>
      <c r="BY55" s="707"/>
      <c r="BZ55" s="707"/>
      <c r="CA55" s="714"/>
      <c r="CB55" s="714"/>
      <c r="CC55" s="707"/>
      <c r="CD55" s="707"/>
      <c r="CE55" s="707"/>
      <c r="CF55" s="707"/>
      <c r="CG55" s="707"/>
      <c r="CH55" s="707"/>
      <c r="CI55" s="714"/>
      <c r="CJ55" s="714"/>
      <c r="CK55" s="714"/>
      <c r="CL55" s="996"/>
      <c r="CM55" s="996"/>
      <c r="CN55" s="996"/>
      <c r="CO55" s="996"/>
      <c r="CP55" s="996"/>
      <c r="CQ55" s="996"/>
      <c r="CR55" s="996"/>
    </row>
    <row r="56" spans="1:96" s="30" customFormat="1" ht="12.75" customHeight="1" x14ac:dyDescent="0.25">
      <c r="A56" s="1"/>
      <c r="B56" s="3779" t="s">
        <v>86</v>
      </c>
      <c r="C56" s="3780"/>
      <c r="D56" s="116">
        <f>IF(y_rel&gt;0,x_rel*Act_rel*EXP(VP_A-VP_B/(GasGen_T+273.15-VP_C))/y_rel+(273+GasGen_T)/298,0)</f>
        <v>0</v>
      </c>
      <c r="E56" s="4" t="s">
        <v>1067</v>
      </c>
      <c r="F56" s="122"/>
      <c r="G56" s="122"/>
      <c r="H56" s="122"/>
      <c r="I56" s="122"/>
      <c r="J56" s="122"/>
      <c r="K56" s="122"/>
      <c r="L56" s="122"/>
      <c r="M56" s="122"/>
      <c r="N56" s="708"/>
      <c r="O56" s="707"/>
      <c r="P56" s="707"/>
      <c r="Q56" s="2069" t="e">
        <f>V69</f>
        <v>#DIV/0!</v>
      </c>
      <c r="R56" s="708"/>
      <c r="S56" s="708">
        <f>B64</f>
        <v>100</v>
      </c>
      <c r="T56" s="708">
        <f t="shared" si="40"/>
        <v>100</v>
      </c>
      <c r="U56" s="708"/>
      <c r="V56" s="708"/>
      <c r="W56" s="708" t="e">
        <f t="shared" si="41"/>
        <v>#DIV/0!</v>
      </c>
      <c r="X56" s="708" t="e">
        <f t="shared" si="42"/>
        <v>#DIV/0!</v>
      </c>
      <c r="Y56" s="708" t="e">
        <f t="shared" si="69"/>
        <v>#DIV/0!</v>
      </c>
      <c r="Z56" s="708" t="str">
        <f t="shared" si="43"/>
        <v>&gt;Relief Temp</v>
      </c>
      <c r="AA56" s="707"/>
      <c r="AB56" s="708">
        <f>B64</f>
        <v>100</v>
      </c>
      <c r="AC56" s="708" t="e">
        <f t="shared" si="44"/>
        <v>#DIV/0!</v>
      </c>
      <c r="AD56" s="708" t="e">
        <f>IF($AB56&gt;Heating_T,($X$24*7.17*Motor/'Special Calcs'!$G$17+2*Q_ExtHeat)/2,($X$24*7.17*Motor/'Special Calcs'!$G$17+$AA$24*14.34*(HT_Area*U*(Heating_T-$AB56))/('Special Calcs'!$G$17)+2*Q_ExtHeat)/2)</f>
        <v>#DIV/0!</v>
      </c>
      <c r="AE56" s="708" t="e">
        <f t="shared" si="45"/>
        <v>#DIV/0!</v>
      </c>
      <c r="AF56" s="708" t="e">
        <f t="shared" si="46"/>
        <v>#DIV/0!</v>
      </c>
      <c r="AG56" s="708" t="e">
        <f t="shared" si="47"/>
        <v>#DIV/0!</v>
      </c>
      <c r="AH56" s="708" t="e">
        <f t="shared" si="48"/>
        <v>#DIV/0!</v>
      </c>
      <c r="AI56" s="708" t="e">
        <f t="shared" si="49"/>
        <v>#DIV/0!</v>
      </c>
      <c r="AJ56" s="707"/>
      <c r="AK56" s="708">
        <f t="shared" si="50"/>
        <v>100</v>
      </c>
      <c r="AL56" s="708" t="e">
        <f>IF(AK56&gt;Heating_T,($X$24*7.17*Motor/'Special Calcs'!$G$17+2*Q_Fire)/2,($X$24*7.17*Motor/'Special Calcs'!$G$17+$AA$24*14.34*(HT_Area*U*(Heating_T-$AB56))/('Special Calcs'!$G$17)+2*Q_Fire)/2)</f>
        <v>#DIV/0!</v>
      </c>
      <c r="AM56" s="708" t="e">
        <f t="shared" si="51"/>
        <v>#DIV/0!</v>
      </c>
      <c r="AN56" s="708" t="e">
        <f t="shared" si="52"/>
        <v>#DIV/0!</v>
      </c>
      <c r="AO56" s="708" t="e">
        <f t="shared" si="53"/>
        <v>#DIV/0!</v>
      </c>
      <c r="AP56" s="708" t="e">
        <f t="shared" si="54"/>
        <v>#DIV/0!</v>
      </c>
      <c r="AQ56" s="708" t="e">
        <f t="shared" si="55"/>
        <v>#N/A</v>
      </c>
      <c r="AR56" s="707"/>
      <c r="AS56" s="708" t="e">
        <f>IF(T_Cat&gt;$AB56,T_Cat,$AB56)</f>
        <v>#DIV/0!</v>
      </c>
      <c r="AT56" s="708"/>
      <c r="AU56" s="708"/>
      <c r="AV56" s="708" t="e">
        <f>(AU70/Liq_C)*EXP((-1000*Act_Energy/1.987)*(1/(273+AS56)-1/(273+T_Cat)))</f>
        <v>#DIV/0!</v>
      </c>
      <c r="AW56" s="708" t="e">
        <f t="shared" si="56"/>
        <v>#DIV/0!</v>
      </c>
      <c r="AX56" s="708" t="e">
        <f t="shared" si="57"/>
        <v>#DIV/0!</v>
      </c>
      <c r="AY56" s="708">
        <f t="shared" si="58"/>
        <v>0</v>
      </c>
      <c r="AZ56" s="707"/>
      <c r="BA56" s="708" t="e">
        <f t="shared" si="59"/>
        <v>#DIV/0!</v>
      </c>
      <c r="BB56" s="708"/>
      <c r="BC56" s="708"/>
      <c r="BD56" s="708" t="e">
        <f t="shared" si="60"/>
        <v>#DIV/0!</v>
      </c>
      <c r="BE56" s="708" t="e">
        <f t="shared" si="61"/>
        <v>#DIV/0!</v>
      </c>
      <c r="BF56" s="708" t="e">
        <f t="shared" si="62"/>
        <v>#DIV/0!</v>
      </c>
      <c r="BG56" s="708">
        <f t="shared" si="63"/>
        <v>0</v>
      </c>
      <c r="BH56" s="707"/>
      <c r="BI56" s="708" t="e">
        <f>IF(T_MisLoad&gt;$AB56,T_MisLoad,$AB56)</f>
        <v>#DIV/0!</v>
      </c>
      <c r="BJ56" s="708"/>
      <c r="BK56" s="708"/>
      <c r="BL56" s="708" t="e">
        <f t="shared" si="64"/>
        <v>#DIV/0!</v>
      </c>
      <c r="BM56" s="708" t="e">
        <f t="shared" si="65"/>
        <v>#DIV/0!</v>
      </c>
      <c r="BN56" s="708" t="e">
        <f t="shared" si="66"/>
        <v>#DIV/0!</v>
      </c>
      <c r="BO56" s="708">
        <f t="shared" si="67"/>
        <v>0</v>
      </c>
      <c r="BP56" s="707"/>
      <c r="BQ56" s="708" t="e">
        <f t="shared" si="68"/>
        <v>#DIV/0!</v>
      </c>
      <c r="BR56" s="708" t="str">
        <f t="shared" si="68"/>
        <v>&gt;Relief Temp</v>
      </c>
      <c r="BS56" s="708">
        <f>IF(AND(BT56&gt;0,Act_Energy&gt;0),2*(0.00025*(273+B64)^2*$D$45/(Act_Energy*Liq_rho*BT56))^0.5,0)</f>
        <v>0</v>
      </c>
      <c r="BT56" s="708">
        <f>IF(ABS(Limiting_Rate)&gt;0,ABS(Limiting_Rate),(r_Tinitial)*EXP((-1000*Act_Energy/1.987)*(1/(273+B64)-1/(273+Tinit))))</f>
        <v>0</v>
      </c>
      <c r="BU56" s="707"/>
      <c r="BV56" s="707"/>
      <c r="BW56" s="707"/>
      <c r="BX56" s="707"/>
      <c r="BY56" s="707"/>
      <c r="BZ56" s="707"/>
      <c r="CA56" s="714"/>
      <c r="CB56" s="714"/>
      <c r="CC56" s="707"/>
      <c r="CD56" s="707"/>
      <c r="CE56" s="707"/>
      <c r="CF56" s="707"/>
      <c r="CG56" s="707"/>
      <c r="CH56" s="707"/>
      <c r="CI56" s="714"/>
      <c r="CJ56" s="714"/>
      <c r="CK56" s="714"/>
      <c r="CL56" s="996"/>
      <c r="CM56" s="996"/>
      <c r="CN56" s="996"/>
      <c r="CO56" s="996"/>
      <c r="CP56" s="996"/>
      <c r="CQ56" s="996"/>
      <c r="CR56" s="996"/>
    </row>
    <row r="57" spans="1:96" s="30" customFormat="1" ht="12.75" customHeight="1" x14ac:dyDescent="0.25">
      <c r="A57" s="1"/>
      <c r="B57" s="3781" t="s">
        <v>1782</v>
      </c>
      <c r="C57" s="3782"/>
      <c r="D57" s="715">
        <f>IF(AND(D55&gt;D56,State&lt;&gt;"Vapor"),(D55-D56)*0.8/(82.06*(273+E55)),IF(State="Vapor",GasGen_P*(273+T)/((P+1)*(273+GasGen_T)),0))</f>
        <v>0</v>
      </c>
      <c r="E57" s="716" t="str">
        <f>IF(State="Vapor","mole prod/mole react-1","gm mole/cc mix")</f>
        <v>gm mole/cc mix</v>
      </c>
      <c r="F57" s="122"/>
      <c r="G57" s="3789" t="s">
        <v>661</v>
      </c>
      <c r="H57" s="3790"/>
      <c r="I57" s="3790"/>
      <c r="J57" s="3790"/>
      <c r="K57" s="3790"/>
      <c r="L57" s="3790"/>
      <c r="M57" s="122"/>
      <c r="N57" s="708"/>
      <c r="O57" s="707"/>
      <c r="P57" s="707"/>
      <c r="Q57" s="2069" t="e">
        <f>AE69</f>
        <v>#DIV/0!</v>
      </c>
      <c r="R57" s="708"/>
      <c r="S57" s="708">
        <f>B65</f>
        <v>150</v>
      </c>
      <c r="T57" s="708">
        <f t="shared" si="40"/>
        <v>150</v>
      </c>
      <c r="U57" s="708"/>
      <c r="V57" s="708"/>
      <c r="W57" s="708" t="e">
        <f t="shared" si="41"/>
        <v>#DIV/0!</v>
      </c>
      <c r="X57" s="708" t="e">
        <f t="shared" si="42"/>
        <v>#DIV/0!</v>
      </c>
      <c r="Y57" s="708" t="e">
        <f t="shared" si="69"/>
        <v>#DIV/0!</v>
      </c>
      <c r="Z57" s="708" t="str">
        <f t="shared" si="43"/>
        <v>&gt;Relief Temp</v>
      </c>
      <c r="AA57" s="707"/>
      <c r="AB57" s="708">
        <f>B65</f>
        <v>150</v>
      </c>
      <c r="AC57" s="708" t="e">
        <f t="shared" si="44"/>
        <v>#DIV/0!</v>
      </c>
      <c r="AD57" s="708" t="e">
        <f>IF($AB57&gt;Heating_T,($X$24*7.17*Motor/'Special Calcs'!$G$17+2*Q_ExtHeat)/2,($X$24*7.17*Motor/'Special Calcs'!$G$17+$AA$24*14.34*(HT_Area*U*(Heating_T-$AB57))/('Special Calcs'!$G$17)+2*Q_ExtHeat)/2)</f>
        <v>#DIV/0!</v>
      </c>
      <c r="AE57" s="708" t="e">
        <f t="shared" si="45"/>
        <v>#DIV/0!</v>
      </c>
      <c r="AF57" s="708" t="e">
        <f t="shared" si="46"/>
        <v>#DIV/0!</v>
      </c>
      <c r="AG57" s="708" t="e">
        <f t="shared" si="47"/>
        <v>#DIV/0!</v>
      </c>
      <c r="AH57" s="708" t="e">
        <f t="shared" si="48"/>
        <v>#DIV/0!</v>
      </c>
      <c r="AI57" s="708" t="e">
        <f t="shared" si="49"/>
        <v>#DIV/0!</v>
      </c>
      <c r="AJ57" s="707"/>
      <c r="AK57" s="708">
        <f t="shared" si="50"/>
        <v>150</v>
      </c>
      <c r="AL57" s="708" t="e">
        <f>IF(AK57&gt;Heating_T,($X$24*7.17*Motor/'Special Calcs'!$G$17+2*Q_Fire)/2,($X$24*7.17*Motor/'Special Calcs'!$G$17+$AA$24*14.34*(HT_Area*U*(Heating_T-$AB57))/('Special Calcs'!$G$17)+2*Q_Fire)/2)</f>
        <v>#DIV/0!</v>
      </c>
      <c r="AM57" s="708" t="e">
        <f t="shared" si="51"/>
        <v>#DIV/0!</v>
      </c>
      <c r="AN57" s="708" t="e">
        <f t="shared" si="52"/>
        <v>#DIV/0!</v>
      </c>
      <c r="AO57" s="708" t="e">
        <f t="shared" si="53"/>
        <v>#DIV/0!</v>
      </c>
      <c r="AP57" s="708" t="e">
        <f t="shared" si="54"/>
        <v>#DIV/0!</v>
      </c>
      <c r="AQ57" s="708" t="e">
        <f t="shared" si="55"/>
        <v>#N/A</v>
      </c>
      <c r="AR57" s="707"/>
      <c r="AS57" s="708" t="e">
        <f>IF(T_Cat&gt;$AB57,T_Cat,$AB57)</f>
        <v>#DIV/0!</v>
      </c>
      <c r="AT57" s="708"/>
      <c r="AU57" s="708"/>
      <c r="AV57" s="708" t="e">
        <f>(AU70/Liq_C)*EXP((-1000*Act_Energy/1.987)*(1/(273+AS57)-1/(273+T_Cat)))</f>
        <v>#DIV/0!</v>
      </c>
      <c r="AW57" s="708" t="e">
        <f t="shared" si="56"/>
        <v>#DIV/0!</v>
      </c>
      <c r="AX57" s="708" t="e">
        <f t="shared" si="57"/>
        <v>#DIV/0!</v>
      </c>
      <c r="AY57" s="708">
        <f t="shared" si="58"/>
        <v>0</v>
      </c>
      <c r="AZ57" s="707"/>
      <c r="BA57" s="708" t="e">
        <f t="shared" si="59"/>
        <v>#DIV/0!</v>
      </c>
      <c r="BB57" s="708"/>
      <c r="BC57" s="708"/>
      <c r="BD57" s="708" t="e">
        <f t="shared" si="60"/>
        <v>#DIV/0!</v>
      </c>
      <c r="BE57" s="708" t="e">
        <f t="shared" si="61"/>
        <v>#DIV/0!</v>
      </c>
      <c r="BF57" s="708" t="e">
        <f t="shared" si="62"/>
        <v>#DIV/0!</v>
      </c>
      <c r="BG57" s="708">
        <f t="shared" si="63"/>
        <v>0</v>
      </c>
      <c r="BH57" s="707"/>
      <c r="BI57" s="708" t="e">
        <f>IF(T_MisLoad&gt;$AB57,T_MisLoad,$AB57)</f>
        <v>#DIV/0!</v>
      </c>
      <c r="BJ57" s="708"/>
      <c r="BK57" s="708"/>
      <c r="BL57" s="708" t="e">
        <f t="shared" si="64"/>
        <v>#DIV/0!</v>
      </c>
      <c r="BM57" s="708" t="e">
        <f t="shared" si="65"/>
        <v>#DIV/0!</v>
      </c>
      <c r="BN57" s="708" t="e">
        <f t="shared" si="66"/>
        <v>#DIV/0!</v>
      </c>
      <c r="BO57" s="708">
        <f t="shared" si="67"/>
        <v>0</v>
      </c>
      <c r="BP57" s="707"/>
      <c r="BQ57" s="708" t="e">
        <f t="shared" si="68"/>
        <v>#DIV/0!</v>
      </c>
      <c r="BR57" s="708" t="str">
        <f t="shared" si="68"/>
        <v>&gt;Relief Temp</v>
      </c>
      <c r="BS57" s="708">
        <f>IF(AND(BT57&gt;0,Act_Energy&gt;0),2*(0.00025*(273+B65)^2*$D$45/(Act_Energy*Liq_rho*BT57))^0.5,0)</f>
        <v>0</v>
      </c>
      <c r="BT57" s="708">
        <f>IF(ABS(Limiting_Rate)&gt;0,ABS(Limiting_Rate),(r_Tinitial)*EXP((-1000*Act_Energy/1.987)*(1/(273+B65)-1/(273+Tinit))))</f>
        <v>0</v>
      </c>
      <c r="BU57" s="707"/>
      <c r="BV57" s="707"/>
      <c r="BW57" s="707"/>
      <c r="BX57" s="707"/>
      <c r="BY57" s="707"/>
      <c r="BZ57" s="707"/>
      <c r="CA57" s="714"/>
      <c r="CB57" s="714"/>
      <c r="CC57" s="707"/>
      <c r="CD57" s="707"/>
      <c r="CE57" s="707"/>
      <c r="CF57" s="707"/>
      <c r="CG57" s="707"/>
      <c r="CH57" s="707"/>
      <c r="CI57" s="714"/>
      <c r="CJ57" s="714"/>
      <c r="CK57" s="714"/>
      <c r="CL57" s="996"/>
      <c r="CM57" s="996"/>
      <c r="CN57" s="996"/>
      <c r="CO57" s="996"/>
      <c r="CP57" s="996"/>
      <c r="CQ57" s="996"/>
      <c r="CR57" s="996"/>
    </row>
    <row r="58" spans="1:96" s="30" customFormat="1" ht="12.75" customHeight="1" x14ac:dyDescent="0.25">
      <c r="A58" s="1"/>
      <c r="B58" s="156"/>
      <c r="C58" s="156"/>
      <c r="D58" s="157"/>
      <c r="E58" s="157"/>
      <c r="F58" s="122"/>
      <c r="G58" s="216" t="s">
        <v>929</v>
      </c>
      <c r="H58" s="268">
        <f>IF(Reaction_Type="Reaction with Heat",T_ExtHeat,IF(Reaction_Type="Reaction with Fire",T_Fire,IF(Reaction_Type="Catalyzed Reaction",T,IF(Reaction_Type="Reactant Pooling",MAX(T_Pooling,Tinit),IF(Reaction_Type="Mis-Loading of Reactants",IF(T_MisLoad&lt;T,Tinit,T_MisLoad),Tinit)))))</f>
        <v>0</v>
      </c>
      <c r="I58" s="217" t="s">
        <v>1836</v>
      </c>
      <c r="J58" s="218" t="s">
        <v>930</v>
      </c>
      <c r="K58" s="291">
        <f>IF(Reaction_Type="Reaction with Heat",AE70,IF(Reaction_Type="Reaction with Fire",AM70,IF(Reaction_Type="Catalyzed Reaction",AU70,IF(Reaction_Type="Reactant Pooling",BC70,IF(Reaction_Type="Mis-Loading of Reactants",BK70,V70)))))</f>
        <v>0</v>
      </c>
      <c r="L58" s="219" t="s">
        <v>1381</v>
      </c>
      <c r="M58" s="122"/>
      <c r="N58" s="708"/>
      <c r="O58" s="707"/>
      <c r="P58" s="707"/>
      <c r="Q58" s="2069">
        <f>IF(Fire_Heat_Rate&gt;0,AM69,0)</f>
        <v>0</v>
      </c>
      <c r="R58" s="708"/>
      <c r="S58" s="708">
        <f>MART_SetPt</f>
        <v>0</v>
      </c>
      <c r="T58" s="708">
        <f t="shared" si="40"/>
        <v>0</v>
      </c>
      <c r="U58" s="708"/>
      <c r="V58" s="708"/>
      <c r="W58" s="708" t="e">
        <f t="shared" si="41"/>
        <v>#DIV/0!</v>
      </c>
      <c r="X58" s="708" t="e">
        <f t="shared" si="42"/>
        <v>#DIV/0!</v>
      </c>
      <c r="Y58" s="708" t="e">
        <f>X58</f>
        <v>#DIV/0!</v>
      </c>
      <c r="Z58" s="708" t="str">
        <f t="shared" si="43"/>
        <v>&gt;Relief Temp</v>
      </c>
      <c r="AA58" s="707"/>
      <c r="AB58" s="708">
        <f>MART_SetPt</f>
        <v>0</v>
      </c>
      <c r="AC58" s="708" t="e">
        <f t="shared" si="44"/>
        <v>#DIV/0!</v>
      </c>
      <c r="AD58" s="708" t="e">
        <f>IF($AB58&gt;Heating_T,($X$24*7.17*Motor/'Special Calcs'!$G$17+2*Q_ExtHeat)/2,($X$24*7.17*Motor/'Special Calcs'!$G$17+$AA$24*14.34*(HT_Area*U*(Heating_T-$AB58))/('Special Calcs'!$G$17)+2*Q_ExtHeat)/2)</f>
        <v>#DIV/0!</v>
      </c>
      <c r="AE58" s="708" t="e">
        <f t="shared" si="45"/>
        <v>#DIV/0!</v>
      </c>
      <c r="AF58" s="708" t="e">
        <f t="shared" si="46"/>
        <v>#DIV/0!</v>
      </c>
      <c r="AG58" s="708" t="e">
        <f t="shared" si="47"/>
        <v>#DIV/0!</v>
      </c>
      <c r="AH58" s="708" t="e">
        <f>AE58+AG58</f>
        <v>#DIV/0!</v>
      </c>
      <c r="AI58" s="708" t="e">
        <f t="shared" si="49"/>
        <v>#DIV/0!</v>
      </c>
      <c r="AJ58" s="707"/>
      <c r="AK58" s="708">
        <f t="shared" si="50"/>
        <v>0</v>
      </c>
      <c r="AL58" s="708" t="e">
        <f>IF(AK58&gt;Heating_T,($X$24*7.17*Motor/'Special Calcs'!$G$17+2*Q_Fire)/2,($X$24*7.17*Motor/'Special Calcs'!$G$17+$AA$24*14.34*(HT_Area*U*(Heating_T-$AB58))/('Special Calcs'!$G$17)+2*Q_Fire)/2)</f>
        <v>#DIV/0!</v>
      </c>
      <c r="AM58" s="708" t="e">
        <f t="shared" si="51"/>
        <v>#DIV/0!</v>
      </c>
      <c r="AN58" s="708" t="e">
        <f t="shared" si="52"/>
        <v>#DIV/0!</v>
      </c>
      <c r="AO58" s="708" t="e">
        <f t="shared" si="53"/>
        <v>#DIV/0!</v>
      </c>
      <c r="AP58" s="708" t="e">
        <f>AM58+AO58</f>
        <v>#DIV/0!</v>
      </c>
      <c r="AQ58" s="708" t="e">
        <f t="shared" si="55"/>
        <v>#N/A</v>
      </c>
      <c r="AR58" s="707"/>
      <c r="AS58" s="708">
        <f>MART_SetPt</f>
        <v>0</v>
      </c>
      <c r="AT58" s="708"/>
      <c r="AU58" s="708"/>
      <c r="AV58" s="708" t="e">
        <f>(AU70/Liq_C)*EXP((-1000*Act_Energy/1.987)*(1/(273+AS58)-1/(273+T_Cat)))</f>
        <v>#DIV/0!</v>
      </c>
      <c r="AW58" s="708" t="e">
        <f t="shared" si="56"/>
        <v>#DIV/0!</v>
      </c>
      <c r="AX58" s="708" t="e">
        <f t="shared" si="57"/>
        <v>#DIV/0!</v>
      </c>
      <c r="AY58" s="708">
        <f t="shared" si="58"/>
        <v>0</v>
      </c>
      <c r="AZ58" s="707"/>
      <c r="BA58" s="708" t="e">
        <f t="shared" si="59"/>
        <v>#DIV/0!</v>
      </c>
      <c r="BB58" s="708"/>
      <c r="BC58" s="708"/>
      <c r="BD58" s="708" t="e">
        <f t="shared" si="60"/>
        <v>#DIV/0!</v>
      </c>
      <c r="BE58" s="708" t="e">
        <f t="shared" si="61"/>
        <v>#DIV/0!</v>
      </c>
      <c r="BF58" s="708" t="e">
        <f t="shared" si="62"/>
        <v>#DIV/0!</v>
      </c>
      <c r="BG58" s="708">
        <f t="shared" si="63"/>
        <v>0</v>
      </c>
      <c r="BH58" s="707"/>
      <c r="BI58" s="708">
        <f>MART_SetPt</f>
        <v>0</v>
      </c>
      <c r="BJ58" s="708"/>
      <c r="BK58" s="708"/>
      <c r="BL58" s="708" t="e">
        <f t="shared" si="64"/>
        <v>#DIV/0!</v>
      </c>
      <c r="BM58" s="708" t="e">
        <f t="shared" si="65"/>
        <v>#DIV/0!</v>
      </c>
      <c r="BN58" s="708" t="e">
        <f t="shared" si="66"/>
        <v>#DIV/0!</v>
      </c>
      <c r="BO58" s="708">
        <f t="shared" si="67"/>
        <v>0</v>
      </c>
      <c r="BP58" s="707"/>
      <c r="BQ58" s="708"/>
      <c r="BR58" s="708"/>
      <c r="BS58" s="708"/>
      <c r="BT58" s="708"/>
      <c r="BU58" s="707"/>
      <c r="BV58" s="707"/>
      <c r="BW58" s="707"/>
      <c r="BX58" s="707"/>
      <c r="BY58" s="707"/>
      <c r="BZ58" s="707"/>
      <c r="CA58" s="714"/>
      <c r="CB58" s="714"/>
      <c r="CC58" s="707"/>
      <c r="CD58" s="707"/>
      <c r="CE58" s="707"/>
      <c r="CF58" s="707"/>
      <c r="CG58" s="707"/>
      <c r="CH58" s="707"/>
      <c r="CI58" s="714"/>
      <c r="CJ58" s="714"/>
      <c r="CK58" s="714"/>
      <c r="CL58" s="996"/>
      <c r="CM58" s="996"/>
      <c r="CN58" s="996"/>
      <c r="CO58" s="996"/>
      <c r="CP58" s="996"/>
      <c r="CQ58" s="996"/>
      <c r="CR58" s="996"/>
    </row>
    <row r="59" spans="1:96" s="30" customFormat="1" ht="12.75" customHeight="1" x14ac:dyDescent="0.25">
      <c r="A59" s="1"/>
      <c r="B59" s="3816" t="s">
        <v>1625</v>
      </c>
      <c r="C59" s="3817"/>
      <c r="D59" s="3817"/>
      <c r="E59" s="3818"/>
      <c r="F59" s="122"/>
      <c r="G59" s="184" t="s">
        <v>1453</v>
      </c>
      <c r="H59" s="478" t="str">
        <f>IF(AND(DHR&gt;-12,Gas_Gen&lt;0.00001),"",IF(Reaction_Type="Reaction with Heat",AE68,IF(Reaction_Type="Reaction with Fire",AM68,IF(Reaction_Type="Catalyzed Reaction",AU68,IF(Reaction_Type="Reactant Pooling",BC68,IF(Reaction_Type="Mis-Loading of Reactants",BK68,V68))))))</f>
        <v/>
      </c>
      <c r="I59" s="40" t="s">
        <v>1836</v>
      </c>
      <c r="J59" s="72" t="s">
        <v>1974</v>
      </c>
      <c r="K59" s="478">
        <f>IF(Reaction_Type="Reaction with Heat",Reaction_Index,IF(Reaction_Type="Reaction with Fire",Reaction_Index_Fire,IF(Reaction_Type="Catalyzed Reaction",Reaction_Index_Cat,IF(Reaction_Type="Reactant Pooling",Reaction_Index_Pooling,IF(Reaction_Type="Mis-Loading of Reactants",Reaction_Index_MisLoading,V71)))))</f>
        <v>0</v>
      </c>
      <c r="L59" s="179"/>
      <c r="M59" s="1"/>
      <c r="N59" s="708"/>
      <c r="O59" s="707"/>
      <c r="P59" s="707"/>
      <c r="Q59" s="2069">
        <f>IF(Catalyzed="Yes",AU69,0)</f>
        <v>0</v>
      </c>
      <c r="R59" s="2072"/>
      <c r="S59" s="708">
        <f>T</f>
        <v>0</v>
      </c>
      <c r="T59" s="708">
        <f t="shared" si="40"/>
        <v>0</v>
      </c>
      <c r="U59" s="708"/>
      <c r="V59" s="708"/>
      <c r="W59" s="708" t="e">
        <f t="shared" si="41"/>
        <v>#DIV/0!</v>
      </c>
      <c r="X59" s="708" t="e">
        <f t="shared" si="42"/>
        <v>#DIV/0!</v>
      </c>
      <c r="Y59" s="708" t="e">
        <f t="shared" si="69"/>
        <v>#DIV/0!</v>
      </c>
      <c r="Z59" s="708" t="str">
        <f t="shared" si="43"/>
        <v>&gt;Relief Temp</v>
      </c>
      <c r="AA59" s="707"/>
      <c r="AB59" s="708">
        <f>T</f>
        <v>0</v>
      </c>
      <c r="AC59" s="708" t="e">
        <f t="shared" si="44"/>
        <v>#DIV/0!</v>
      </c>
      <c r="AD59" s="708" t="e">
        <f>IF($AB59&gt;Heating_T,($X$24*7.17*Motor/'Special Calcs'!$G$17+2*Q_ExtHeat)/2,($X$24*7.17*Motor/'Special Calcs'!$G$17+$AA$24*14.34*(HT_Area*U*(Heating_T-$AB59))/('Special Calcs'!$G$17)+2*Q_ExtHeat)/2)</f>
        <v>#DIV/0!</v>
      </c>
      <c r="AE59" s="708" t="e">
        <f t="shared" si="45"/>
        <v>#DIV/0!</v>
      </c>
      <c r="AF59" s="708" t="e">
        <f t="shared" si="46"/>
        <v>#DIV/0!</v>
      </c>
      <c r="AG59" s="708" t="e">
        <f t="shared" si="47"/>
        <v>#DIV/0!</v>
      </c>
      <c r="AH59" s="708" t="e">
        <f t="shared" si="48"/>
        <v>#DIV/0!</v>
      </c>
      <c r="AI59" s="708" t="e">
        <f t="shared" si="49"/>
        <v>#DIV/0!</v>
      </c>
      <c r="AJ59" s="707"/>
      <c r="AK59" s="708">
        <f t="shared" si="50"/>
        <v>0</v>
      </c>
      <c r="AL59" s="708" t="e">
        <f>IF(AK59&gt;Heating_T,($X$24*7.17*Motor/'Special Calcs'!$G$17+2*Q_Fire)/2,($X$24*7.17*Motor/'Special Calcs'!$G$17+$AA$24*14.34*(HT_Area*U*(Heating_T-$AB59))/('Special Calcs'!$G$17)+2*Q_Fire)/2)</f>
        <v>#DIV/0!</v>
      </c>
      <c r="AM59" s="708" t="e">
        <f t="shared" si="51"/>
        <v>#DIV/0!</v>
      </c>
      <c r="AN59" s="708" t="e">
        <f t="shared" si="52"/>
        <v>#DIV/0!</v>
      </c>
      <c r="AO59" s="708" t="e">
        <f t="shared" si="53"/>
        <v>#DIV/0!</v>
      </c>
      <c r="AP59" s="708" t="e">
        <f t="shared" si="54"/>
        <v>#DIV/0!</v>
      </c>
      <c r="AQ59" s="708" t="e">
        <f t="shared" si="55"/>
        <v>#N/A</v>
      </c>
      <c r="AR59" s="707"/>
      <c r="AS59" s="708" t="e">
        <f>IF(T_Cat&gt;$AB59,T_Cat,$AB59)</f>
        <v>#DIV/0!</v>
      </c>
      <c r="AT59" s="708"/>
      <c r="AU59" s="708"/>
      <c r="AV59" s="708" t="e">
        <f>(AU70/Liq_C)*EXP((-1000*Act_Energy/1.987)*(1/(273+AS59)-1/(273+T_Cat)))</f>
        <v>#DIV/0!</v>
      </c>
      <c r="AW59" s="708" t="e">
        <f t="shared" si="56"/>
        <v>#DIV/0!</v>
      </c>
      <c r="AX59" s="708" t="e">
        <f t="shared" si="57"/>
        <v>#DIV/0!</v>
      </c>
      <c r="AY59" s="708">
        <f t="shared" si="58"/>
        <v>0</v>
      </c>
      <c r="AZ59" s="707"/>
      <c r="BA59" s="708" t="e">
        <f t="shared" si="59"/>
        <v>#DIV/0!</v>
      </c>
      <c r="BB59" s="708"/>
      <c r="BC59" s="708"/>
      <c r="BD59" s="708" t="e">
        <f t="shared" si="60"/>
        <v>#DIV/0!</v>
      </c>
      <c r="BE59" s="708" t="e">
        <f t="shared" si="61"/>
        <v>#DIV/0!</v>
      </c>
      <c r="BF59" s="708" t="e">
        <f t="shared" si="62"/>
        <v>#DIV/0!</v>
      </c>
      <c r="BG59" s="708">
        <f t="shared" si="63"/>
        <v>0</v>
      </c>
      <c r="BH59" s="707"/>
      <c r="BI59" s="708" t="e">
        <f>IF(T_MisLoad&gt;$AB59,T_MisLoad,$AB59)</f>
        <v>#DIV/0!</v>
      </c>
      <c r="BJ59" s="708"/>
      <c r="BK59" s="708"/>
      <c r="BL59" s="708" t="e">
        <f t="shared" si="64"/>
        <v>#DIV/0!</v>
      </c>
      <c r="BM59" s="708" t="e">
        <f t="shared" si="65"/>
        <v>#DIV/0!</v>
      </c>
      <c r="BN59" s="708" t="e">
        <f t="shared" si="66"/>
        <v>#DIV/0!</v>
      </c>
      <c r="BO59" s="708">
        <f t="shared" si="67"/>
        <v>0</v>
      </c>
      <c r="BP59" s="707"/>
      <c r="BQ59" s="708" t="e">
        <f>IF(Reaction_Type="Reaction with Heat",AH59,IF(Reaction_Type="Reaction with Fire",AP59,IF(Reaction_Type="Catalyzed Reaction",AX59,IF(Reaction_Type="Reactant Pooling",BF59,IF(Reaction_Type="Mis-Loading of Reactants",BN59,Y59)))))</f>
        <v>#DIV/0!</v>
      </c>
      <c r="BR59" s="708" t="str">
        <f t="shared" si="68"/>
        <v>&gt;Relief Temp</v>
      </c>
      <c r="BS59" s="708"/>
      <c r="BT59" s="708">
        <f>IF(ABS(Limiting_Rate)&gt;0,ABS(Limiting_Rate),(r_Tinitial)*EXP((-1000*Act_Energy/1.987)*(1/(273+AC61)-1/(273+Tinit))))</f>
        <v>0</v>
      </c>
      <c r="BU59" s="707"/>
      <c r="BV59" s="707"/>
      <c r="BW59" s="707"/>
      <c r="BX59" s="707"/>
      <c r="BY59" s="707"/>
      <c r="BZ59" s="707"/>
      <c r="CA59" s="714"/>
      <c r="CB59" s="714"/>
      <c r="CC59" s="707"/>
      <c r="CD59" s="707"/>
      <c r="CE59" s="707"/>
      <c r="CF59" s="707"/>
      <c r="CG59" s="707"/>
      <c r="CH59" s="707"/>
      <c r="CI59" s="714"/>
      <c r="CJ59" s="714"/>
      <c r="CK59" s="714"/>
      <c r="CL59" s="996"/>
      <c r="CM59" s="996"/>
      <c r="CN59" s="996"/>
      <c r="CO59" s="996"/>
      <c r="CP59" s="996"/>
      <c r="CQ59" s="996"/>
      <c r="CR59" s="996"/>
    </row>
    <row r="60" spans="1:96" ht="12.75" customHeight="1" x14ac:dyDescent="0.25">
      <c r="A60" s="1"/>
      <c r="B60" s="3787" t="s">
        <v>1109</v>
      </c>
      <c r="C60" s="3788"/>
      <c r="D60" s="3783" t="s">
        <v>3773</v>
      </c>
      <c r="E60" s="3783"/>
      <c r="F60" s="122"/>
      <c r="G60" s="184" t="s">
        <v>1092</v>
      </c>
      <c r="H60" s="706" t="str">
        <f>IF(AND(DHR&gt;-12,Gas_Gen&lt;0.00001),"",IF(Reaction_Type="Reaction with Heat",AE69,IF(Reaction_Type="Reaction with Fire",AM69,IF(Reaction_Type="Catalyzed Reaction",AU69,IF(Reaction_Type="Reactant Pooling",BC69,IF(Reaction_Type="Mis-Loading of Reactants",BK69,V69))))))</f>
        <v/>
      </c>
      <c r="I60" s="40" t="s">
        <v>1067</v>
      </c>
      <c r="J60" s="72" t="s">
        <v>1008</v>
      </c>
      <c r="K60" s="180" t="str">
        <f>IF(Insulation="","No",Insulation)</f>
        <v>No</v>
      </c>
      <c r="L60" s="220"/>
      <c r="M60" s="1"/>
      <c r="N60" s="708"/>
      <c r="O60" s="707"/>
      <c r="P60" s="707"/>
      <c r="Q60" s="2069">
        <f>IF(Rx_Pooling="Yes",BC69,0)</f>
        <v>0</v>
      </c>
      <c r="R60" s="708"/>
      <c r="S60" s="708" t="s">
        <v>3296</v>
      </c>
      <c r="T60" s="708">
        <f>S$22</f>
        <v>0</v>
      </c>
      <c r="U60" s="708"/>
      <c r="V60" s="708"/>
      <c r="W60" s="708" t="e">
        <f>IF(ABS(Limiting_Rate)&gt;0,ABS(Limiting_Rate/Liq_C),(r_Tinitial/Liq_C)*EXP((-1000*Act_Energy/1.987)*(1/(273+T60)-1/(273+Tinit))))</f>
        <v>#DIV/0!</v>
      </c>
      <c r="X60" s="708" t="e">
        <f>IF(AND(W60&gt;0,DHR&lt;0),IF(ABS(Limiting_Rate)&gt;0,Liq_C*(Tad_max-Tinit)/ABS(Limiting_Rate),IF(Act_Energy&gt;0,1.987*(273+T60)^2/(W60*1000*Act_Energy),0)),0)</f>
        <v>#DIV/0!</v>
      </c>
      <c r="Y60" s="708" t="e">
        <f t="shared" si="69"/>
        <v>#DIV/0!</v>
      </c>
      <c r="Z60" s="708"/>
      <c r="AA60" s="707"/>
      <c r="AB60" s="708" t="s">
        <v>3296</v>
      </c>
      <c r="AC60" s="708">
        <f>Z$22</f>
        <v>0</v>
      </c>
      <c r="AD60" s="708" t="e">
        <f>IF(AC60&gt;Heating_T,($X$24*7.17*Motor/'Special Calcs'!$G$17+2*Q_ExtHeat)/2,($X$24*7.17*Motor/'Special Calcs'!$G$17+$AA$24*14.34*(HT_Area*U*(Heating_T-$AC60))/('Special Calcs'!$G$17)+2*Q_ExtHeat)/2)</f>
        <v>#DIV/0!</v>
      </c>
      <c r="AE60" s="708"/>
      <c r="AF60" s="708" t="e">
        <f>IF(ABS(Limiting_Rate)&gt;0,ABS(Limiting_Rate/Liq_C),(r_Tinitial/Liq_C)*EXP((-1000*Act_Energy/1.987)*(1/(273+AC60)-1/(273+Tinit))))</f>
        <v>#DIV/0!</v>
      </c>
      <c r="AG60" s="708" t="e">
        <f t="shared" si="47"/>
        <v>#DIV/0!</v>
      </c>
      <c r="AH60" s="708" t="e">
        <f>AG60</f>
        <v>#DIV/0!</v>
      </c>
      <c r="AI60" s="708"/>
      <c r="AJ60" s="707" t="s">
        <v>3296</v>
      </c>
      <c r="AK60" s="708" t="e">
        <f>AE$22</f>
        <v>#N/A</v>
      </c>
      <c r="AL60" s="708" t="e">
        <f>IF(AK60&gt;Heating_T,($X$24*7.17*Motor/'Special Calcs'!$G$17+2*Q_Fire)/2,($X$24*7.17*Motor/'Special Calcs'!$G$17+$AA$24*14.34*(HT_Area*U*(Heating_T-$AK60))/('Special Calcs'!$G$17)+2*Q_Fire)/2)</f>
        <v>#N/A</v>
      </c>
      <c r="AM60" s="708"/>
      <c r="AN60" s="708" t="e">
        <f>IF(ABS(Limiting_Rate)&gt;0,ABS(Limiting_Rate/Liq_C),(r_Tinitial/Liq_C)*EXP((-1000*Act_Energy/1.987)*(1/(273+AK60)-1/(273+Tinit))))</f>
        <v>#DIV/0!</v>
      </c>
      <c r="AO60" s="708" t="e">
        <f>IF(AND(AN60&gt;0,DHR&lt;0),IF(ABS(Limiting_Rate)&gt;0,Liq_C*(Tad_max-Tinit)/ABS(Limiting_Rate),IF(Act_Energy&gt;0,1.987*(273+AK60)^2/(AN60*1000*Act_Energy),0)),0)</f>
        <v>#DIV/0!</v>
      </c>
      <c r="AP60" s="708" t="e">
        <f>AO60</f>
        <v>#DIV/0!</v>
      </c>
      <c r="AQ60" s="708"/>
      <c r="AR60" s="707" t="s">
        <v>3296</v>
      </c>
      <c r="AS60" s="708" t="e">
        <f>AI$22</f>
        <v>#N/A</v>
      </c>
      <c r="AT60" s="708"/>
      <c r="AU60" s="708"/>
      <c r="AV60" s="708" t="e">
        <f>IF(ABS(Limiting_Rate)&gt;0,ABS(Limiting_Rate/Liq_C),(r_Tinitial/Liq_C)*EXP((-1000*Act_Energy/1.987)*(1/(273+AS60)-1/(273+Tinit))))</f>
        <v>#DIV/0!</v>
      </c>
      <c r="AW60" s="708" t="e">
        <f>IF(AND(AV60&gt;0,DHR&lt;0),IF(ABS(Limiting_Rate)&gt;0,Liq_C*(Tad_max-Tinit)/ABS(Limiting_Rate),IF(Act_Energy&gt;0,1.987*(273+AS60)^2/(AV60*1000*Act_Energy),0)),0)</f>
        <v>#DIV/0!</v>
      </c>
      <c r="AX60" s="708" t="e">
        <f t="shared" si="57"/>
        <v>#DIV/0!</v>
      </c>
      <c r="AY60" s="708"/>
      <c r="AZ60" s="707" t="s">
        <v>3296</v>
      </c>
      <c r="BA60" s="708" t="e">
        <f>AM$22</f>
        <v>#N/A</v>
      </c>
      <c r="BB60" s="708"/>
      <c r="BC60" s="708"/>
      <c r="BD60" s="708" t="e">
        <f>IF(ABS(Limiting_Rate)&gt;0,ABS(Limiting_Rate/Liq_C),(r_Tinitial/Liq_C)*EXP((-1000*Act_Energy/1.987)*(1/(273+BA60)-1/(273+Tinit))))</f>
        <v>#DIV/0!</v>
      </c>
      <c r="BE60" s="708" t="e">
        <f>IF(AND(BD60&gt;0,DHR&lt;0),IF(ABS(Limiting_Rate)&gt;0,Liq_C*(Tad_max-Tinit)/ABS(Limiting_Rate),IF(Act_Energy&gt;0,1.987*(273+BA60)^2/(BD60*1000*Act_Energy),0)),0)</f>
        <v>#DIV/0!</v>
      </c>
      <c r="BF60" s="708" t="e">
        <f t="shared" si="62"/>
        <v>#DIV/0!</v>
      </c>
      <c r="BG60" s="708"/>
      <c r="BH60" s="707" t="s">
        <v>3296</v>
      </c>
      <c r="BI60" s="708" t="e">
        <f>AQ$22</f>
        <v>#N/A</v>
      </c>
      <c r="BJ60" s="708"/>
      <c r="BK60" s="708"/>
      <c r="BL60" s="708" t="e">
        <f>IF(ABS(Limiting_Rate)&gt;0,ABS(Limiting_Rate/Liq_C),(r_Tinitial/Liq_C)*EXP((-1000*Act_Energy/1.987)*(1/(273+BI60)-1/(273+Tinit))))</f>
        <v>#DIV/0!</v>
      </c>
      <c r="BM60" s="708" t="e">
        <f>IF(AND(BL60&gt;0,DHR&lt;0),IF(ABS(Limiting_Rate)&gt;0,Liq_C*(Tad_max-Tinit)/ABS(Limiting_Rate),IF(Act_Energy&gt;0,1.987*(273+BI60)^2/(BL60*1000*Act_Energy),0)),0)</f>
        <v>#DIV/0!</v>
      </c>
      <c r="BN60" s="708" t="e">
        <f t="shared" si="66"/>
        <v>#DIV/0!</v>
      </c>
      <c r="BO60" s="708"/>
      <c r="BP60" s="707"/>
      <c r="BQ60" s="707"/>
      <c r="BR60" s="707"/>
      <c r="BS60" s="708"/>
      <c r="BT60" s="708"/>
      <c r="BU60" s="707"/>
      <c r="BV60" s="707"/>
      <c r="BX60" s="707"/>
      <c r="CA60" s="714"/>
      <c r="CB60" s="714"/>
      <c r="CE60" s="707"/>
      <c r="CF60" s="707"/>
      <c r="CG60" s="707"/>
      <c r="CH60" s="707"/>
      <c r="CI60" s="714"/>
      <c r="CJ60" s="714"/>
      <c r="CK60" s="714"/>
      <c r="CL60" s="714"/>
      <c r="CM60" s="714"/>
      <c r="CN60" s="714"/>
      <c r="CO60" s="714"/>
      <c r="CP60" s="714"/>
      <c r="CQ60" s="714"/>
      <c r="CR60" s="714"/>
    </row>
    <row r="61" spans="1:96" ht="12.75" customHeight="1" x14ac:dyDescent="0.25">
      <c r="A61" s="1"/>
      <c r="B61" s="34" t="s">
        <v>1619</v>
      </c>
      <c r="C61" s="34" t="str">
        <f>IF(Reaction_Type="F-K Critical Diameter","","TMR")</f>
        <v>TMR</v>
      </c>
      <c r="D61" s="63" t="str">
        <f>IF(Reaction_Type&lt;&gt;"F-K Critical Diameter","Time to Relief at","Crit Diam (cm)")</f>
        <v>Time to Relief at</v>
      </c>
      <c r="E61" s="165" t="str">
        <f>IF(Reaction_Type="F-K Critical Diameter","",ROUND(T_atRelief,1)&amp;" deg C")</f>
        <v>0 deg C</v>
      </c>
      <c r="F61" s="122"/>
      <c r="G61" s="184" t="s">
        <v>1435</v>
      </c>
      <c r="H61" s="268" t="str">
        <f>IF(AND(DHR&gt;-12,Gas_Gen&lt;0.00001),"",IF(R36&gt;0.0000000002,IF(Reaction_Type="Catalyzed Reaction","&gt;TNR",IF(Reaction_Type="Reactant Pooling",IF(T_Pooling&lt;T,"&gt;TNR",T_Pooling),IF(Reaction_Type="Mis-Loading of Reactants",IF(T_MisLoad&lt;T,"&gt;TNR",T_MisLoad),TNR))),"&gt;TNR"))</f>
        <v/>
      </c>
      <c r="I61" s="40" t="s">
        <v>1836</v>
      </c>
      <c r="J61" s="72" t="s">
        <v>1733</v>
      </c>
      <c r="K61" s="39">
        <f>Ht_Loss_Coeff</f>
        <v>0.01</v>
      </c>
      <c r="L61" s="179" t="s">
        <v>206</v>
      </c>
      <c r="M61" s="1"/>
      <c r="N61" s="707"/>
      <c r="O61" s="707"/>
      <c r="P61" s="707"/>
      <c r="Q61" s="2069">
        <f>IF(Rx_MisLoading="Yes",BK69,0)</f>
        <v>0</v>
      </c>
      <c r="R61" s="708"/>
      <c r="S61" s="2067" t="s">
        <v>240</v>
      </c>
      <c r="T61" s="708">
        <f>IF(AND(Gas_Gen&gt;0,T_atRelief&gt;Tinit,OR(Relief_Type="Rupture Disk",Relief_Type="Graphite Disk")),TBp,T_atRelief)</f>
        <v>0</v>
      </c>
      <c r="U61" s="708"/>
      <c r="V61" s="708"/>
      <c r="W61" s="708" t="e">
        <f>IF(ABS(Limiting_Rate)&gt;0,ABS(Limiting_Rate/Liq_C),IF(T61&gt;T_ExtHeat,(r_Tinitial/Liq_C)*EXP((-1000*Act_Energy/1.987)*(1/(273+T61)-1/(273+Tinit))),(r_Tinitial/Liq_C)*EXP((-1000*Act_Energy/1.987)*(1/(273+T_ExtHeat)-1/(273+Tinit)))))</f>
        <v>#DIV/0!</v>
      </c>
      <c r="X61" s="708" t="e">
        <f t="shared" si="42"/>
        <v>#DIV/0!</v>
      </c>
      <c r="Y61" s="708" t="e">
        <f t="shared" si="69"/>
        <v>#DIV/0!</v>
      </c>
      <c r="Z61" s="708"/>
      <c r="AA61" s="707"/>
      <c r="AB61" s="2067" t="s">
        <v>240</v>
      </c>
      <c r="AC61" s="708">
        <f>IF(AND(Gas_Gen&gt;0,T_atRelief&gt;Tinit,OR(Relief_Type="Rupture Disk",Relief_Type="Graphite Disk")),TBp,T_atRelief)</f>
        <v>0</v>
      </c>
      <c r="AD61" s="708" t="e">
        <f>IF(AC61&gt;Heating_T,($X$24*7.17*Motor/'Special Calcs'!$G$17+2*Q_ExtHeat)/2,($X$24*7.17*Motor/'Special Calcs'!$G$17+$AA$24*14.34*(HT_Area*U*(Heating_T-$AC61))/('Special Calcs'!$G$17)+2*Q_ExtHeat)/2)</f>
        <v>#DIV/0!</v>
      </c>
      <c r="AE61" s="708" t="e">
        <f>IF(AND(AD61&gt;0,AC61&lt;T_ExtHeat),Liq_C*(T_ExtHeat-AC61)/AD61,0)</f>
        <v>#DIV/0!</v>
      </c>
      <c r="AF61" s="708" t="e">
        <f>IF(ABS(Limiting_Rate)&gt;0,ABS(Limiting_Rate/Liq_C),IF(AC61&gt;T_ExtHeat,(r_Tinitial/Liq_C)*EXP((-1000*Act_Energy/1.987)*(1/(273+AC61)-1/(273+Tinit))),(r_Tinitial/Liq_C)*EXP((-1000*Act_Energy/1.987)*(1/(273+T_ExtHeat)-1/(273+Tinit)))))</f>
        <v>#DIV/0!</v>
      </c>
      <c r="AG61" s="708" t="e">
        <f t="shared" si="47"/>
        <v>#DIV/0!</v>
      </c>
      <c r="AH61" s="708" t="e">
        <f t="shared" si="48"/>
        <v>#DIV/0!</v>
      </c>
      <c r="AI61" s="708"/>
      <c r="AJ61" s="707" t="s">
        <v>240</v>
      </c>
      <c r="AK61" s="708">
        <f>AC61</f>
        <v>0</v>
      </c>
      <c r="AL61" s="708" t="e">
        <f>IF(AK61&gt;Heating_T,($X$24*7.17*Motor/'Special Calcs'!$G$17+2*Q_Fire)/2,($X$24*7.17*Motor/'Special Calcs'!$G$17+$AA$24*14.34*(HT_Area*U*(Heating_T-$AK61))/('Special Calcs'!$G$17)+2*Q_Fire)/2)</f>
        <v>#DIV/0!</v>
      </c>
      <c r="AM61" s="708" t="e">
        <f>IF(AND(AL61&gt;0,AK61&lt;T_Fire),Liq_C*(T_Fire-AK61)/AL61,0)</f>
        <v>#DIV/0!</v>
      </c>
      <c r="AN61" s="708" t="e">
        <f>IF(ABS(Limiting_Rate)&gt;0,ABS(Limiting_Rate/Liq_C),IF(AK61&gt;T_Fire,(r_Tinitial/Liq_C)*EXP((-1000*Act_Energy/1.987)*(1/(273+AK61)-1/(273+Tinit))),(r_Tinitial/Liq_C)*EXP((-1000*Act_Energy/1.987)*(1/(273+T_Fire)-1/(273+Tinit)))))</f>
        <v>#DIV/0!</v>
      </c>
      <c r="AO61" s="708" t="e">
        <f t="shared" si="53"/>
        <v>#DIV/0!</v>
      </c>
      <c r="AP61" s="708" t="e">
        <f t="shared" si="54"/>
        <v>#DIV/0!</v>
      </c>
      <c r="AQ61" s="708"/>
      <c r="AR61" s="707" t="s">
        <v>240</v>
      </c>
      <c r="AS61" s="708">
        <f>AC61</f>
        <v>0</v>
      </c>
      <c r="AT61" s="708" t="e">
        <f>IF(AS61&gt;Heating_T,$X$24*7.17*Motor/'Special Calcs'!$G$17,($X$24*7.17*Motor/'Special Calcs'!$G$17+$AA$24*14.34*(HT_Area*U*(Heating_T-AS61))/('Special Calcs'!$G$17)+2*Q_ExtHeat)/2)</f>
        <v>#DIV/0!</v>
      </c>
      <c r="AU61" s="708" t="e">
        <f>IF(AND(AT61&gt;0,AS61&lt;T_Cat),Liq_C*(T_Cat-AS61)/AT61,0)</f>
        <v>#DIV/0!</v>
      </c>
      <c r="AV61" s="708" t="e">
        <f>(AU70/Liq_C)*EXP((-1000*Act_Energy/1.987)*(1/(273+AS61)-1/(273+T_Cat)))</f>
        <v>#DIV/0!</v>
      </c>
      <c r="AW61" s="708" t="e">
        <f t="shared" si="56"/>
        <v>#DIV/0!</v>
      </c>
      <c r="AX61" s="708" t="e">
        <f t="shared" si="57"/>
        <v>#DIV/0!</v>
      </c>
      <c r="AY61" s="708"/>
      <c r="AZ61" s="707" t="s">
        <v>240</v>
      </c>
      <c r="BA61" s="708">
        <f>AC61</f>
        <v>0</v>
      </c>
      <c r="BB61" s="708"/>
      <c r="BC61" s="708"/>
      <c r="BD61" s="708" t="e">
        <f t="shared" si="60"/>
        <v>#DIV/0!</v>
      </c>
      <c r="BE61" s="708" t="e">
        <f t="shared" si="61"/>
        <v>#DIV/0!</v>
      </c>
      <c r="BF61" s="708" t="e">
        <f t="shared" si="62"/>
        <v>#DIV/0!</v>
      </c>
      <c r="BG61" s="708"/>
      <c r="BH61" s="707" t="s">
        <v>240</v>
      </c>
      <c r="BI61" s="708">
        <f>AC61</f>
        <v>0</v>
      </c>
      <c r="BJ61" s="708"/>
      <c r="BK61" s="708"/>
      <c r="BL61" s="708" t="e">
        <f t="shared" si="64"/>
        <v>#DIV/0!</v>
      </c>
      <c r="BM61" s="708" t="e">
        <f t="shared" si="65"/>
        <v>#DIV/0!</v>
      </c>
      <c r="BN61" s="708" t="e">
        <f t="shared" si="66"/>
        <v>#DIV/0!</v>
      </c>
      <c r="BO61" s="708"/>
      <c r="BP61" s="707"/>
      <c r="BQ61" s="707"/>
      <c r="BR61" s="707"/>
      <c r="BS61" s="707">
        <f>IF(AND(BT61&gt;0,Act_Energy&gt;0),2*(0.00025*(273+T)^2*$D$45/(Act_Energy*Liq_rho*BT61))^0.5,0)</f>
        <v>0</v>
      </c>
      <c r="BT61" s="707">
        <f>IF(ABS(Limiting_Rate)&gt;0,ABS(Limiting_Rate),(r_Tinitial)*EXP((-1000*Act_Energy/1.987)*(1/(273+T)-1/(273+Tinit))))</f>
        <v>0</v>
      </c>
      <c r="BU61" s="707"/>
      <c r="BV61" s="707"/>
      <c r="BX61" s="707"/>
      <c r="CA61" s="714"/>
      <c r="CB61" s="714"/>
      <c r="CE61" s="707"/>
      <c r="CF61" s="707"/>
      <c r="CG61" s="707"/>
      <c r="CH61" s="707"/>
      <c r="CI61" s="714"/>
      <c r="CJ61" s="714"/>
      <c r="CK61" s="714"/>
      <c r="CL61" s="714"/>
      <c r="CM61" s="714"/>
      <c r="CN61" s="714"/>
      <c r="CO61" s="714"/>
      <c r="CP61" s="714"/>
      <c r="CQ61" s="714"/>
      <c r="CR61" s="714"/>
    </row>
    <row r="62" spans="1:96" ht="12.75" customHeight="1" x14ac:dyDescent="0.25">
      <c r="A62" s="1"/>
      <c r="B62" s="196">
        <v>25</v>
      </c>
      <c r="C62" s="268" t="e">
        <f>IF(Reaction_Type="F-K Critical Diameter","",IF(BQ54&gt;2000,BQ54/1440,IF(BQ54&gt;100,BQ54/60,IF(BQ54&lt;2,BQ54*60,BQ54))))</f>
        <v>#DIV/0!</v>
      </c>
      <c r="D62" s="268" t="str">
        <f>IF(Reaction_Type="F-K Critical Diameter",ROUND(BS54,2),IF(BR54="&gt;Relief Temp","&gt;Relief Temp",IF(BR54="Max T&lt;Relief T","Max&lt;Relief Temp",IF(BQ54&gt;2000,BR54/1440,IF(BQ54&gt;100,BR54/60,IF(BQ54&lt;2,BR54*60,BR54))))))</f>
        <v>&gt;Relief Temp</v>
      </c>
      <c r="E62" s="159" t="e">
        <f>IF(Reaction_Type="F-K Critical Diameter","cm",IF(BQ54&gt;2000,"Days",IF(BQ54&gt;100,"Hours",IF(BQ54&lt;2,"Seconds","Minutes"))))</f>
        <v>#DIV/0!</v>
      </c>
      <c r="F62" s="122"/>
      <c r="G62" s="185" t="s">
        <v>1243</v>
      </c>
      <c r="H62" s="4" t="str">
        <f>IF(AND(DHR&gt;-12,Gas_Gen&lt;0.00001),"",IF(AND(Coolant_Area="",Reaction_Type&lt;&gt;"Catalyzed Reaction"),TNR,IF(V36&gt;0.0000000002,IF(Reaction_Type="Catalyzed Reaction","",V37),"&gt;TNR")))</f>
        <v/>
      </c>
      <c r="I62" s="221" t="s">
        <v>1836</v>
      </c>
      <c r="J62" s="176"/>
      <c r="K62" s="176"/>
      <c r="L62" s="177"/>
      <c r="M62" s="1"/>
      <c r="N62" s="707"/>
      <c r="O62" s="707"/>
      <c r="P62" s="707"/>
      <c r="Q62" s="708"/>
      <c r="R62" s="708"/>
      <c r="S62" s="708"/>
      <c r="T62" s="707"/>
      <c r="U62" s="2067" t="s">
        <v>922</v>
      </c>
      <c r="V62" s="708">
        <f>IF(AND(T61&gt;Tinit,Tad_max&gt;Tinit),(T61-Tinit)/(Tad_max-Tinit),0)</f>
        <v>0</v>
      </c>
      <c r="W62" s="707"/>
      <c r="X62" s="707"/>
      <c r="Y62" s="707"/>
      <c r="Z62" s="707"/>
      <c r="AA62" s="707"/>
      <c r="AB62" s="708"/>
      <c r="AC62" s="707"/>
      <c r="AD62" s="2067" t="s">
        <v>922</v>
      </c>
      <c r="AE62" s="708" t="e">
        <f>IF(AND(AC61&gt;T_ExtHeat,Tad_max&gt;Tinit),(AC61-T_ExtHeat)/(Tad_max-Tinit),0)</f>
        <v>#DIV/0!</v>
      </c>
      <c r="AF62" s="707"/>
      <c r="AG62" s="707"/>
      <c r="AH62" s="707"/>
      <c r="AI62" s="707"/>
      <c r="AJ62" s="707"/>
      <c r="AK62" s="707"/>
      <c r="AL62" s="2067" t="s">
        <v>922</v>
      </c>
      <c r="AM62" s="708">
        <f>IF(AND(AK61&gt;T_Fire,Tad_max&gt;Tinit),(AK61-T_Fire)/(Tad_max-Tinit),0)</f>
        <v>0</v>
      </c>
      <c r="AN62" s="707"/>
      <c r="AO62" s="707"/>
      <c r="AP62" s="707"/>
      <c r="AQ62" s="707"/>
      <c r="AR62" s="707"/>
      <c r="AS62" s="707"/>
      <c r="AT62" s="2067" t="s">
        <v>922</v>
      </c>
      <c r="AU62" s="708" t="e">
        <f>IF(AND(AS61&gt;T_Cat,Tad_max&gt;Tinit),(AS61-T_Cat)/(Tad_max-Tinit),0)</f>
        <v>#DIV/0!</v>
      </c>
      <c r="AV62" s="707"/>
      <c r="AW62" s="707"/>
      <c r="AX62" s="707"/>
      <c r="AY62" s="707"/>
      <c r="AZ62" s="707"/>
      <c r="BA62" s="707"/>
      <c r="BB62" s="2067" t="s">
        <v>922</v>
      </c>
      <c r="BC62" s="708" t="e">
        <f>IF(AND(T_atRelief&gt;T_Pooling,Tad_max&gt;Tinit),(BA61-T_Pooling)/(Tad_max-Tinit),0)</f>
        <v>#DIV/0!</v>
      </c>
      <c r="BD62" s="707"/>
      <c r="BE62" s="708"/>
      <c r="BF62" s="707"/>
      <c r="BG62" s="707"/>
      <c r="BH62" s="707"/>
      <c r="BI62" s="707"/>
      <c r="BJ62" s="2067" t="s">
        <v>922</v>
      </c>
      <c r="BK62" s="708" t="e">
        <f>IF(AND(BI61&gt;T_MisLoad,Tad_max&gt;Tinit),(BI61-T_MisLoad)/(Rx_MisLoading_Factor*(Tad_max-Tinit)),0)</f>
        <v>#DIV/0!</v>
      </c>
      <c r="BL62" s="707"/>
      <c r="BM62" s="707"/>
      <c r="BN62" s="707"/>
      <c r="BO62" s="707"/>
      <c r="BP62" s="707"/>
      <c r="BQ62" s="2067"/>
      <c r="BR62" s="708"/>
      <c r="BS62" s="707"/>
      <c r="BT62" s="707"/>
      <c r="BU62" s="707"/>
      <c r="BV62" s="707"/>
      <c r="BX62" s="707"/>
      <c r="CA62" s="714"/>
      <c r="CB62" s="714"/>
      <c r="CE62" s="707"/>
      <c r="CF62" s="707"/>
      <c r="CG62" s="707"/>
      <c r="CH62" s="707"/>
      <c r="CI62" s="714"/>
      <c r="CJ62" s="714"/>
      <c r="CK62" s="714"/>
      <c r="CL62" s="714"/>
      <c r="CM62" s="714"/>
      <c r="CN62" s="714"/>
      <c r="CO62" s="714"/>
      <c r="CP62" s="714"/>
      <c r="CQ62" s="714"/>
      <c r="CR62" s="714"/>
    </row>
    <row r="63" spans="1:96" ht="12.75" customHeight="1" x14ac:dyDescent="0.25">
      <c r="A63" s="122"/>
      <c r="B63" s="196">
        <v>50</v>
      </c>
      <c r="C63" s="268" t="e">
        <f>IF(Reaction_Type="F-K Critical Diameter","",IF(BQ55&gt;2000,BQ55/1440,IF(BQ55&gt;100,BQ55/60,IF(BQ55&lt;2,BQ55*60,BQ55))))</f>
        <v>#DIV/0!</v>
      </c>
      <c r="D63" s="268" t="str">
        <f>IF(Reaction_Type="F-K Critical Diameter",ROUND(BS55,2),IF(BR55="&gt;Relief Temp","&gt;Relief Temp",IF(BR55="Max T&lt;Relief T","Max&lt;Relief Temp",IF(BQ55&gt;2000,BR55/1440,IF(BQ55&gt;100,BR55/60,IF(BQ55&lt;2,BR55*60,BR55))))))</f>
        <v>&gt;Relief Temp</v>
      </c>
      <c r="E63" s="159" t="e">
        <f>IF(Reaction_Type="F-K Critical Diameter","cm",IF(BQ55&gt;2000,"Days",IF(BQ55&gt;100,"Hours",IF(BQ55&lt;2,"Seconds","Minutes"))))</f>
        <v>#DIV/0!</v>
      </c>
      <c r="F63" s="122"/>
      <c r="G63" s="3773" t="str">
        <f>IF(K59=0,"",IF(OR(CP_Detonable="Yes",AND(DHR&lt;Detonation_Limit,Rx_Parameter&gt;20)),"Potential for Detonation Conditions - Consider Shock Sensitivity in Addition to Other Hazards",IF(K59&gt;20,"Potential for Explosive Conditions",IF(AND(State="Liquid",BR62&gt;10),"Conventional Relief Design may Not be Feasible",""))))</f>
        <v/>
      </c>
      <c r="H63" s="3774"/>
      <c r="I63" s="3774"/>
      <c r="J63" s="3774"/>
      <c r="K63" s="3774"/>
      <c r="L63" s="3775"/>
      <c r="M63" s="1"/>
      <c r="N63" s="707"/>
      <c r="O63" s="707"/>
      <c r="P63" s="707"/>
      <c r="Q63" s="707"/>
      <c r="R63" s="708"/>
      <c r="S63" s="708"/>
      <c r="T63" s="707"/>
      <c r="U63" s="2067" t="s">
        <v>1983</v>
      </c>
      <c r="V63" s="708">
        <f>IF(V62&lt;1,V62,1)</f>
        <v>0</v>
      </c>
      <c r="W63" s="707"/>
      <c r="X63" s="707"/>
      <c r="Y63" s="2067" t="s">
        <v>988</v>
      </c>
      <c r="Z63" s="708">
        <v>0</v>
      </c>
      <c r="AA63" s="707" t="s">
        <v>262</v>
      </c>
      <c r="AB63" s="708"/>
      <c r="AC63" s="707"/>
      <c r="AD63" s="2067" t="s">
        <v>1983</v>
      </c>
      <c r="AE63" s="708" t="e">
        <f>IF(AE62&lt;1,AE62,1)</f>
        <v>#DIV/0!</v>
      </c>
      <c r="AF63" s="707"/>
      <c r="AG63" s="707"/>
      <c r="AH63" s="2067" t="s">
        <v>988</v>
      </c>
      <c r="AI63" s="708" t="e">
        <f>IF(OR(AD60=0,AD61=0,Liq_C=0,(AC61-AC60)&lt;0),0,2*Liq_C*(AC61-AC60)/(AD60+AD61))</f>
        <v>#DIV/0!</v>
      </c>
      <c r="AJ63" s="707" t="s">
        <v>262</v>
      </c>
      <c r="AK63" s="707"/>
      <c r="AL63" s="2067" t="s">
        <v>1983</v>
      </c>
      <c r="AM63" s="708">
        <f>IF(AM62&lt;1,AM62,1)</f>
        <v>0</v>
      </c>
      <c r="AN63" s="707"/>
      <c r="AO63" s="707"/>
      <c r="AP63" s="2067" t="s">
        <v>988</v>
      </c>
      <c r="AQ63" s="708" t="e">
        <f>IF(OR(AL60=0,AL61=0,Liq_C=0,(AK61-AK60)&lt;0),0,2*Liq_C*(AK61-AK60)/(AL60+AL61))</f>
        <v>#N/A</v>
      </c>
      <c r="AR63" s="707" t="s">
        <v>262</v>
      </c>
      <c r="AS63" s="707"/>
      <c r="AT63" s="2067" t="s">
        <v>1983</v>
      </c>
      <c r="AU63" s="708" t="e">
        <f>IF(AU62&lt;1,AU62,1)</f>
        <v>#DIV/0!</v>
      </c>
      <c r="AV63" s="707"/>
      <c r="AW63" s="707"/>
      <c r="AX63" s="2067" t="s">
        <v>988</v>
      </c>
      <c r="AY63" s="708" t="e">
        <f>IF(OR(AT60=0,AT61=0,Liq_C=0,(AS61-AS60)&lt;0),0,2*Liq_C*(AS61-AS60)/(AT60+AT61))</f>
        <v>#DIV/0!</v>
      </c>
      <c r="AZ63" s="707" t="s">
        <v>262</v>
      </c>
      <c r="BA63" s="707"/>
      <c r="BB63" s="2067" t="s">
        <v>1983</v>
      </c>
      <c r="BC63" s="708" t="e">
        <f>IF(BC62&lt;1,BC62,1)</f>
        <v>#DIV/0!</v>
      </c>
      <c r="BD63" s="707"/>
      <c r="BE63" s="707"/>
      <c r="BF63" s="2067" t="s">
        <v>988</v>
      </c>
      <c r="BG63" s="708" t="e">
        <f>IF(OR(BB60=0,BB61=0,Liq_C=0,(BA61-BA60)&lt;0),0,2*Liq_C*(BA61-BA60)/(BB60+BB61))</f>
        <v>#N/A</v>
      </c>
      <c r="BH63" s="707" t="s">
        <v>262</v>
      </c>
      <c r="BI63" s="707"/>
      <c r="BJ63" s="2067" t="s">
        <v>1983</v>
      </c>
      <c r="BK63" s="708" t="e">
        <f>IF(BK62&lt;1,BK62,1)</f>
        <v>#DIV/0!</v>
      </c>
      <c r="BL63" s="707"/>
      <c r="BM63" s="707"/>
      <c r="BN63" s="2067" t="s">
        <v>988</v>
      </c>
      <c r="BO63" s="708" t="e">
        <f>IF(OR(BJ60=0,BJ61=0,Liq_C=0,(BI61-BI60)&lt;0),0,2*Liq_C*(BI61-BI60)/(BJ60+BJ61))</f>
        <v>#N/A</v>
      </c>
      <c r="BP63" s="707" t="s">
        <v>262</v>
      </c>
      <c r="BQ63" s="2067" t="s">
        <v>977</v>
      </c>
      <c r="BR63" s="707">
        <f>IF(ABS(DHR)&lt;1,0,IF(Reaction_Type="Reaction with Fire",Q_Rx_atRelief_Fire+Lat_Ht_atTBp*Gas_Rx_atRelief_Fire,IF(Reaction_Type="Catalyzed Reaction",Q_Rx_atRelief_Catalyst+Lat_Ht_atTBp*Gas_Rx_atRelief_Catalyst,IF(Reaction_Type="Reactant Pooling",Q_Rx_atRelief_Pooling+Lat_Ht_atTBp*Gas_Rx_atRelief_Pooling,IF(Reaction_Type="Mis-Loading of Reactants",Q_Rx_atRelief_MisLoading+Lat_Ht_atTBp*Gas_Rx_atRelief_MisLoading,Q_Rx_atRelief+Lat_Ht_atTBp*Gas_Rx_atRelief)))))</f>
        <v>0</v>
      </c>
      <c r="BS63" s="707" t="s">
        <v>976</v>
      </c>
      <c r="BT63" s="707"/>
      <c r="BU63" s="707"/>
      <c r="BV63" s="707"/>
      <c r="BX63" s="707"/>
      <c r="CA63" s="714"/>
      <c r="CB63" s="714"/>
      <c r="CE63" s="707"/>
      <c r="CF63" s="707"/>
      <c r="CG63" s="707"/>
      <c r="CH63" s="707"/>
      <c r="CI63" s="714"/>
      <c r="CJ63" s="714"/>
      <c r="CK63" s="714"/>
      <c r="CL63" s="714"/>
      <c r="CM63" s="714"/>
      <c r="CN63" s="714"/>
      <c r="CO63" s="714"/>
      <c r="CP63" s="714"/>
      <c r="CQ63" s="714"/>
      <c r="CR63" s="714"/>
    </row>
    <row r="64" spans="1:96" ht="12.75" customHeight="1" x14ac:dyDescent="0.25">
      <c r="A64" s="122"/>
      <c r="B64" s="196">
        <v>100</v>
      </c>
      <c r="C64" s="268" t="e">
        <f>IF(Reaction_Type="F-K Critical Diameter","",IF(BQ56&gt;2000,BQ56/1440,IF(BQ56&gt;100,BQ56/60,IF(BQ56&lt;2,BQ56*60,BQ56))))</f>
        <v>#DIV/0!</v>
      </c>
      <c r="D64" s="268" t="str">
        <f>IF(Reaction_Type="F-K Critical Diameter",ROUND(BS56,2),IF(BR56="&gt;Relief Temp","&gt;Relief Temp",IF(BR56="Max T&lt;Relief T","Max&lt;Relief Temp",IF(BQ56&gt;2000,BR56/1440,IF(BQ56&gt;100,BR56/60,IF(BQ56&lt;2,BR56*60,BR56))))))</f>
        <v>&gt;Relief Temp</v>
      </c>
      <c r="E64" s="159" t="e">
        <f>IF(Reaction_Type="F-K Critical Diameter","cm",IF(BQ56&gt;2000,"Days",IF(BQ56&gt;100,"Hours",IF(BQ56&lt;2,"Seconds","Minutes"))))</f>
        <v>#DIV/0!</v>
      </c>
      <c r="F64" s="122"/>
      <c r="G64" s="122"/>
      <c r="H64" s="122"/>
      <c r="I64" s="122"/>
      <c r="J64" s="122"/>
      <c r="K64" s="122"/>
      <c r="L64" s="122"/>
      <c r="M64" s="1"/>
      <c r="N64" s="707"/>
      <c r="O64" s="707"/>
      <c r="P64" s="707"/>
      <c r="Q64" s="708" t="s">
        <v>1961</v>
      </c>
      <c r="R64" s="708"/>
      <c r="S64" s="708"/>
      <c r="T64" s="707"/>
      <c r="U64" s="2067" t="s">
        <v>923</v>
      </c>
      <c r="V64" s="708">
        <f>IF(ABS(Limiting_Rate)&gt;0,ABS(Limiting_Rate),IF(V62&gt;1,0,(1-V63)*r_Tinitial*EXP((-1000*Act_Energy/1.987)*(1/(273+T61)-1/(273+Tinit)))))</f>
        <v>0</v>
      </c>
      <c r="W64" s="708" t="s">
        <v>1381</v>
      </c>
      <c r="X64" s="707"/>
      <c r="Y64" s="707"/>
      <c r="Z64" s="707"/>
      <c r="AA64" s="707"/>
      <c r="AB64" s="708"/>
      <c r="AC64" s="707"/>
      <c r="AD64" s="2067" t="s">
        <v>923</v>
      </c>
      <c r="AE64" s="708">
        <f>IF(ABS(DHR)&lt;1,0,IF(ABS(Limiting_Rate)&gt;0,ABS(Limiting_Rate),IF(AE62&gt;1,0,(1-AE63)*r_Tinitial*EXP((-1000*Act_Energy/1.987)*(1/(273+AC61)-1/(273+Tinit))))))</f>
        <v>0</v>
      </c>
      <c r="AF64" s="708" t="s">
        <v>1381</v>
      </c>
      <c r="AG64" s="707"/>
      <c r="AH64" s="707"/>
      <c r="AI64" s="707"/>
      <c r="AJ64" s="707"/>
      <c r="AK64" s="707"/>
      <c r="AL64" s="2067" t="s">
        <v>923</v>
      </c>
      <c r="AM64" s="708">
        <f>IF(ABS(Limiting_Rate)&gt;0,ABS(Limiting_Rate),(1-AM63)*r_Tinitial*EXP((-1000*Act_Energy/1.987)*(1/(273+AK61)-1/(273+Tinit))))</f>
        <v>0</v>
      </c>
      <c r="AN64" s="708" t="s">
        <v>1381</v>
      </c>
      <c r="AO64" s="707"/>
      <c r="AP64" s="707"/>
      <c r="AQ64" s="707"/>
      <c r="AR64" s="707"/>
      <c r="AS64" s="707"/>
      <c r="AT64" s="2067" t="s">
        <v>923</v>
      </c>
      <c r="AU64" s="708">
        <f>IF(Catalyzed="Yes",IF(AU62&gt;1,0,(1-AU63)*AU70*EXP((-1000*Act_Energy/1.987)*(1/(273+AS61)-1/(273+T_Cat)))),0)</f>
        <v>0</v>
      </c>
      <c r="AV64" s="708" t="s">
        <v>1381</v>
      </c>
      <c r="AW64" s="707"/>
      <c r="AX64" s="707"/>
      <c r="AY64" s="707"/>
      <c r="AZ64" s="707"/>
      <c r="BA64" s="707"/>
      <c r="BB64" s="2067" t="s">
        <v>923</v>
      </c>
      <c r="BC64" s="708">
        <f>IF(Rx_Pooling="Yes",IF(BC62&gt;1,0,IF(Second_Phase="Yes",(1-BC63)*r_Tinitial*EXP((-1000*Act_Energy/1.987)*(1/(273+BA61)-1/(273+Tinit))),(1-BC63)*Rx_Pooling_Factor*r_Tinitial*EXP((-1000*Act_Energy/1.987)*(1/(273+BA61)-1/(273+Tinit))))),0)</f>
        <v>0</v>
      </c>
      <c r="BD64" s="708" t="s">
        <v>1381</v>
      </c>
      <c r="BE64" s="707"/>
      <c r="BF64" s="707"/>
      <c r="BG64" s="707"/>
      <c r="BH64" s="707"/>
      <c r="BI64" s="707"/>
      <c r="BJ64" s="2067" t="s">
        <v>923</v>
      </c>
      <c r="BK64" s="708">
        <f>IF(Rx_MisLoading="Yes",IF(BK62&gt;1,0,IF(ABS(Limiting_Rate)&gt;0,Rx_MisLoading_Factor*ABS(Limiting_Rate),(1-BK63)*Rx_MisLoading_Factor*r_Tinitial*EXP((-1000*Act_Energy/1.987)*(1/(273+BI61)-1/(273+Tinit))))),0)</f>
        <v>0</v>
      </c>
      <c r="BL64" s="708" t="s">
        <v>1381</v>
      </c>
      <c r="BM64" s="707"/>
      <c r="BN64" s="707"/>
      <c r="BO64" s="707"/>
      <c r="BP64" s="707"/>
      <c r="BQ64" s="2067"/>
      <c r="BR64" s="708"/>
      <c r="BS64" s="707"/>
      <c r="BT64" s="707"/>
      <c r="BU64" s="707"/>
      <c r="BV64" s="707"/>
      <c r="BX64" s="707"/>
      <c r="CA64" s="714"/>
      <c r="CB64" s="714"/>
      <c r="CE64" s="707"/>
      <c r="CF64" s="707"/>
      <c r="CG64" s="707"/>
      <c r="CH64" s="707"/>
      <c r="CI64" s="714"/>
      <c r="CJ64" s="714"/>
      <c r="CK64" s="714"/>
      <c r="CL64" s="714"/>
      <c r="CM64" s="714"/>
      <c r="CN64" s="714"/>
      <c r="CO64" s="714"/>
      <c r="CP64" s="714"/>
      <c r="CQ64" s="714"/>
      <c r="CR64" s="714"/>
    </row>
    <row r="65" spans="1:96" ht="12.75" customHeight="1" x14ac:dyDescent="0.25">
      <c r="A65" s="122"/>
      <c r="B65" s="196">
        <v>150</v>
      </c>
      <c r="C65" s="268" t="e">
        <f>IF(Reaction_Type="F-K Critical Diameter","",IF(BQ57&gt;2000,BQ57/1440,IF(BQ57&gt;100,BQ57/60,IF(BQ57&lt;2,BQ57*60,BQ57))))</f>
        <v>#DIV/0!</v>
      </c>
      <c r="D65" s="268" t="str">
        <f>IF(Reaction_Type="F-K Critical Diameter",ROUND(BS57,2),IF(BR57="&gt;Relief Temp","&gt;Relief Temp",IF(BR57="Max T&lt;Relief T","Max&lt;Relief Temp",IF(BQ57&gt;2000,BR57/1440,IF(BQ57&gt;100,BR57/60,IF(BQ57&lt;2,BR57*60,BR57))))))</f>
        <v>&gt;Relief Temp</v>
      </c>
      <c r="E65" s="159" t="e">
        <f>IF(Reaction_Type="F-K Critical Diameter","cm",IF(BQ57&gt;2000,"Days",IF(BQ57&gt;100,"Hours",IF(BQ57&lt;2,"Seconds","Minutes"))))</f>
        <v>#DIV/0!</v>
      </c>
      <c r="F65" s="1"/>
      <c r="G65" s="122"/>
      <c r="H65" s="122"/>
      <c r="I65" s="122"/>
      <c r="J65" s="122"/>
      <c r="K65" s="122"/>
      <c r="L65" s="122"/>
      <c r="M65" s="122"/>
      <c r="N65" s="707"/>
      <c r="O65" s="707"/>
      <c r="P65" s="707"/>
      <c r="Q65" s="2066">
        <f>IF(OR(State="Vapor",T_Input="",AND(Tdet=0,Tdet&lt;&gt;"")),T,IF(TNR="&gt;TNR",T,TNR))</f>
        <v>0</v>
      </c>
      <c r="R65" s="708" t="s">
        <v>1962</v>
      </c>
      <c r="S65" s="708"/>
      <c r="T65" s="707"/>
      <c r="U65" s="2067" t="s">
        <v>815</v>
      </c>
      <c r="V65" s="708">
        <v>0</v>
      </c>
      <c r="W65" s="708" t="s">
        <v>1381</v>
      </c>
      <c r="X65" s="707"/>
      <c r="Y65" s="707"/>
      <c r="Z65" s="707"/>
      <c r="AA65" s="707"/>
      <c r="AB65" s="708"/>
      <c r="AC65" s="707"/>
      <c r="AD65" s="2067" t="s">
        <v>815</v>
      </c>
      <c r="AE65" s="708">
        <f>IF(Effective_ContainedMass=0,0,IF(AC61&gt;Heating_T,$X$24*7.17*Motor/Effective_ContainedMass,$X$24*7.17*Motor/Effective_ContainedMass+$AA$24*14.34*(HT_Area*U*(Heating_T-AC61))/(Effective_ContainedMass)))</f>
        <v>0</v>
      </c>
      <c r="AF65" s="708" t="s">
        <v>1381</v>
      </c>
      <c r="AG65" s="707"/>
      <c r="AH65" s="707"/>
      <c r="AI65" s="707"/>
      <c r="AJ65" s="707"/>
      <c r="AK65" s="707"/>
      <c r="AL65" s="2067" t="s">
        <v>521</v>
      </c>
      <c r="AM65" s="708">
        <f>Q_Fire</f>
        <v>0</v>
      </c>
      <c r="AN65" s="708" t="s">
        <v>1381</v>
      </c>
      <c r="AO65" s="707"/>
      <c r="AP65" s="707"/>
      <c r="AQ65" s="707"/>
      <c r="AR65" s="707"/>
      <c r="AS65" s="707"/>
      <c r="AT65" s="2067" t="s">
        <v>815</v>
      </c>
      <c r="AU65" s="708" t="e">
        <f>IF(AS61&gt;Heating_T,$X$24*7.17*Motor/Effective_ContainedMass,$X$24*7.17*Motor/Effective_ContainedMass+$AA$24*14.34*(HT_Area*U*(Heating_T-AS61))/(Effective_ContainedMass))</f>
        <v>#DIV/0!</v>
      </c>
      <c r="AV65" s="708" t="s">
        <v>1381</v>
      </c>
      <c r="AW65" s="707"/>
      <c r="AX65" s="707"/>
      <c r="AY65" s="707"/>
      <c r="AZ65" s="707"/>
      <c r="BA65" s="707"/>
      <c r="BB65" s="2067" t="s">
        <v>815</v>
      </c>
      <c r="BC65" s="708" t="e">
        <f>IF(T_atRelief&gt;Heating_T,$X$24*7.17*Motor/Effective_ContainedMass,$X$24*7.17*Motor/Effective_ContainedMass+$AA$24*14.34*(HT_Area*U*(Heating_T-T_atRelief))/(Effective_ContainedMass))</f>
        <v>#DIV/0!</v>
      </c>
      <c r="BD65" s="708" t="s">
        <v>1381</v>
      </c>
      <c r="BE65" s="707"/>
      <c r="BF65" s="707"/>
      <c r="BG65" s="707"/>
      <c r="BH65" s="707"/>
      <c r="BI65" s="707"/>
      <c r="BJ65" s="2067" t="s">
        <v>815</v>
      </c>
      <c r="BK65" s="708" t="e">
        <f>IF(T_atRelief&gt;Heating_T,$X$24*7.17*Motor/Effective_ContainedMass,$X$24*7.17*Motor/Effective_ContainedMass+$AA$24*14.34*(HT_Area*U*(Heating_T-T_atRelief))/(Effective_ContainedMass))</f>
        <v>#DIV/0!</v>
      </c>
      <c r="BL65" s="708" t="s">
        <v>1381</v>
      </c>
      <c r="BM65" s="707"/>
      <c r="BN65" s="707"/>
      <c r="BO65" s="707"/>
      <c r="BP65" s="707"/>
      <c r="BQ65" s="707"/>
      <c r="BR65" s="707"/>
      <c r="BS65" s="707"/>
      <c r="BT65" s="707"/>
      <c r="BU65" s="707"/>
      <c r="BV65" s="707"/>
      <c r="BX65" s="707"/>
      <c r="CA65" s="714"/>
      <c r="CB65" s="714"/>
      <c r="CE65" s="707"/>
      <c r="CF65" s="707"/>
      <c r="CG65" s="707"/>
      <c r="CH65" s="707"/>
      <c r="CI65" s="714"/>
      <c r="CJ65" s="714"/>
      <c r="CK65" s="714"/>
      <c r="CL65" s="714"/>
      <c r="CM65" s="714"/>
      <c r="CN65" s="714"/>
      <c r="CO65" s="714"/>
      <c r="CP65" s="714"/>
      <c r="CQ65" s="714"/>
      <c r="CR65" s="714"/>
    </row>
    <row r="66" spans="1:96" ht="12.75" customHeight="1" x14ac:dyDescent="0.25">
      <c r="A66" s="122"/>
      <c r="B66" s="122"/>
      <c r="C66" s="122"/>
      <c r="D66" s="122"/>
      <c r="E66" s="122"/>
      <c r="F66" s="1"/>
      <c r="G66" s="122"/>
      <c r="H66" s="122"/>
      <c r="I66" s="122"/>
      <c r="J66" s="122"/>
      <c r="K66" s="122"/>
      <c r="L66" s="122"/>
      <c r="M66" s="122"/>
      <c r="N66" s="707"/>
      <c r="O66" s="707"/>
      <c r="P66" s="707"/>
      <c r="Q66" s="708" t="s">
        <v>1221</v>
      </c>
      <c r="R66" s="708"/>
      <c r="S66" s="708"/>
      <c r="T66" s="707"/>
      <c r="U66" s="2067" t="s">
        <v>1520</v>
      </c>
      <c r="V66" s="708">
        <f>V64+V65</f>
        <v>0</v>
      </c>
      <c r="W66" s="708" t="s">
        <v>1381</v>
      </c>
      <c r="X66" s="707"/>
      <c r="Y66" s="707"/>
      <c r="Z66" s="707"/>
      <c r="AA66" s="707"/>
      <c r="AB66" s="708"/>
      <c r="AC66" s="707"/>
      <c r="AD66" s="2067" t="s">
        <v>1520</v>
      </c>
      <c r="AE66" s="708">
        <f>AE64+AE65</f>
        <v>0</v>
      </c>
      <c r="AF66" s="708" t="s">
        <v>1381</v>
      </c>
      <c r="AG66" s="707"/>
      <c r="AH66" s="707"/>
      <c r="AI66" s="707"/>
      <c r="AJ66" s="707"/>
      <c r="AK66" s="707"/>
      <c r="AL66" s="2067" t="s">
        <v>1520</v>
      </c>
      <c r="AM66" s="708">
        <f>AM64+AM65</f>
        <v>0</v>
      </c>
      <c r="AN66" s="708" t="s">
        <v>1381</v>
      </c>
      <c r="AO66" s="707"/>
      <c r="AP66" s="707"/>
      <c r="AQ66" s="707"/>
      <c r="AR66" s="707"/>
      <c r="AS66" s="707"/>
      <c r="AT66" s="2067" t="s">
        <v>1520</v>
      </c>
      <c r="AU66" s="708" t="e">
        <f>AU64+AU65</f>
        <v>#DIV/0!</v>
      </c>
      <c r="AV66" s="708" t="s">
        <v>1381</v>
      </c>
      <c r="AW66" s="707"/>
      <c r="AX66" s="707"/>
      <c r="AY66" s="707"/>
      <c r="AZ66" s="707"/>
      <c r="BA66" s="707"/>
      <c r="BB66" s="2067" t="s">
        <v>1520</v>
      </c>
      <c r="BC66" s="708" t="e">
        <f>BC64+BC65</f>
        <v>#DIV/0!</v>
      </c>
      <c r="BD66" s="708" t="s">
        <v>1381</v>
      </c>
      <c r="BE66" s="707"/>
      <c r="BF66" s="707"/>
      <c r="BG66" s="707"/>
      <c r="BH66" s="707"/>
      <c r="BI66" s="707"/>
      <c r="BJ66" s="2067" t="s">
        <v>1520</v>
      </c>
      <c r="BK66" s="708" t="e">
        <f>BK64+BK65</f>
        <v>#DIV/0!</v>
      </c>
      <c r="BL66" s="708" t="s">
        <v>1381</v>
      </c>
      <c r="BM66" s="707"/>
      <c r="BN66" s="707"/>
      <c r="BO66" s="707"/>
      <c r="BP66" s="707"/>
      <c r="BQ66" s="707"/>
      <c r="BR66" s="707"/>
      <c r="BS66" s="707"/>
      <c r="BT66" s="707"/>
      <c r="BU66" s="707"/>
      <c r="BV66" s="707"/>
      <c r="BX66" s="707"/>
      <c r="CA66" s="714"/>
      <c r="CB66" s="714"/>
      <c r="CE66" s="707"/>
      <c r="CF66" s="707"/>
      <c r="CG66" s="707"/>
      <c r="CH66" s="707"/>
      <c r="CI66" s="714"/>
      <c r="CJ66" s="714"/>
      <c r="CK66" s="714"/>
      <c r="CL66" s="714"/>
      <c r="CM66" s="714"/>
      <c r="CN66" s="714"/>
      <c r="CO66" s="714"/>
      <c r="CP66" s="714"/>
      <c r="CQ66" s="714"/>
      <c r="CR66" s="714"/>
    </row>
    <row r="67" spans="1:96" ht="12.75" customHeight="1" x14ac:dyDescent="0.25">
      <c r="N67" s="707"/>
      <c r="O67" s="707"/>
      <c r="P67" s="707"/>
      <c r="Q67" s="2072">
        <f>IF(DHR&lt;0,IF(AND(State="Vapor",Vap_C&gt;0),Tinit-DHR/Vap_C,IF(Liq_C&gt;0,Tinit-DHR/Liq_C,Tinit)),Tinit)</f>
        <v>0</v>
      </c>
      <c r="R67" s="708" t="s">
        <v>1962</v>
      </c>
      <c r="S67" s="708"/>
      <c r="T67" s="707"/>
      <c r="U67" s="2067" t="s">
        <v>4133</v>
      </c>
      <c r="V67" s="708">
        <f>IF(Gas_Gen&lt;&gt;0,(Gas_Gen/Liq_rho_atTBp)*(V64/IF(V62&lt;1,1-V62,1))/(1+Tad_max-Tinit),0)</f>
        <v>0</v>
      </c>
      <c r="W67" s="2073" t="s">
        <v>3067</v>
      </c>
      <c r="X67" s="707"/>
      <c r="Y67" s="707"/>
      <c r="Z67" s="707"/>
      <c r="AA67" s="707"/>
      <c r="AB67" s="708"/>
      <c r="AC67" s="707"/>
      <c r="AD67" s="2067" t="s">
        <v>4133</v>
      </c>
      <c r="AE67" s="708">
        <f>IF(Gas_Gen&lt;&gt;0,(Gas_Gen/Liq_rho_atTBp)*(AE64/IF(AE62&lt;1,1-AE62,1))/(1+Tad_max-Tinit),0)</f>
        <v>0</v>
      </c>
      <c r="AF67" s="2073" t="s">
        <v>3067</v>
      </c>
      <c r="AG67" s="707"/>
      <c r="AH67" s="707"/>
      <c r="AI67" s="707"/>
      <c r="AJ67" s="707"/>
      <c r="AK67" s="707"/>
      <c r="AL67" s="2067" t="s">
        <v>4133</v>
      </c>
      <c r="AM67" s="708">
        <f>IF(Gas_Gen&lt;&gt;0,(Gas_Gen/Liq_rho_atTBp)*(AM64/IF(AM62&lt;1,1-AM62,1))/(1+Tad_max-Tinit),0)</f>
        <v>0</v>
      </c>
      <c r="AN67" s="2073" t="s">
        <v>3067</v>
      </c>
      <c r="AO67" s="707"/>
      <c r="AP67" s="2070"/>
      <c r="AQ67" s="707"/>
      <c r="AR67" s="707"/>
      <c r="AS67" s="707"/>
      <c r="AT67" s="2067" t="s">
        <v>4133</v>
      </c>
      <c r="AU67" s="708">
        <f>IF(Gas_Gen&lt;&gt;0,(Gas_Gen/Liq_rho_atTBp)*(AU64/IF(AU62&lt;1,1-AU62,1))/(1+Tad_max-Tinit),0)</f>
        <v>0</v>
      </c>
      <c r="AV67" s="2073" t="s">
        <v>3067</v>
      </c>
      <c r="AW67" s="707"/>
      <c r="AX67" s="707"/>
      <c r="AY67" s="707"/>
      <c r="AZ67" s="707"/>
      <c r="BA67" s="707"/>
      <c r="BB67" s="2067" t="s">
        <v>4133</v>
      </c>
      <c r="BC67" s="708">
        <f>IF(Gas_Gen&lt;&gt;0,(Gas_Gen/Liq_rho_atTBp)*(BC64/IF(BC62&lt;1,1-BC62,1))/(1+Tad_max-Tinit),0)</f>
        <v>0</v>
      </c>
      <c r="BD67" s="2073" t="s">
        <v>3067</v>
      </c>
      <c r="BE67" s="707"/>
      <c r="BF67" s="707"/>
      <c r="BG67" s="707"/>
      <c r="BH67" s="707"/>
      <c r="BI67" s="707"/>
      <c r="BJ67" s="2067" t="s">
        <v>4133</v>
      </c>
      <c r="BK67" s="708">
        <f>IF(Gas_Gen&lt;&gt;0,(Gas_Gen/Liq_rho_atTBp)*(BK64/IF(BK62&lt;1,1-BK62,1))/(1+Tad_max-Tinit),0)</f>
        <v>0</v>
      </c>
      <c r="BL67" s="2073" t="s">
        <v>3067</v>
      </c>
      <c r="BM67" s="707"/>
      <c r="BN67" s="707"/>
      <c r="BO67" s="707"/>
      <c r="BP67" s="707"/>
      <c r="BQ67" s="707"/>
      <c r="BR67" s="707"/>
      <c r="BS67" s="707"/>
      <c r="BT67" s="707"/>
      <c r="BU67" s="707"/>
      <c r="BV67" s="707"/>
      <c r="BX67" s="707"/>
      <c r="CA67" s="714"/>
      <c r="CB67" s="714"/>
      <c r="CE67" s="707"/>
      <c r="CF67" s="707"/>
      <c r="CG67" s="707"/>
      <c r="CH67" s="707"/>
      <c r="CI67" s="714"/>
      <c r="CJ67" s="714"/>
      <c r="CK67" s="714"/>
      <c r="CL67" s="714"/>
      <c r="CM67" s="714"/>
      <c r="CN67" s="714"/>
      <c r="CO67" s="714"/>
      <c r="CP67" s="714"/>
      <c r="CQ67" s="714"/>
      <c r="CR67" s="714"/>
    </row>
    <row r="68" spans="1:96" ht="12.75" customHeight="1" x14ac:dyDescent="0.25">
      <c r="N68" s="707"/>
      <c r="O68" s="707"/>
      <c r="P68" s="707"/>
      <c r="Q68" s="708" t="s">
        <v>1963</v>
      </c>
      <c r="R68" s="708"/>
      <c r="S68" s="708"/>
      <c r="T68" s="707"/>
      <c r="U68" s="2067" t="s">
        <v>1413</v>
      </c>
      <c r="V68" s="2069">
        <f>S22</f>
        <v>0</v>
      </c>
      <c r="W68" s="708" t="s">
        <v>1412</v>
      </c>
      <c r="X68" s="707"/>
      <c r="Y68" s="707"/>
      <c r="Z68" s="707"/>
      <c r="AA68" s="707"/>
      <c r="AB68" s="708"/>
      <c r="AC68" s="707"/>
      <c r="AD68" s="2067" t="s">
        <v>1413</v>
      </c>
      <c r="AE68" s="2069">
        <f>Z22</f>
        <v>0</v>
      </c>
      <c r="AF68" s="708" t="s">
        <v>1412</v>
      </c>
      <c r="AG68" s="707"/>
      <c r="AH68" s="707"/>
      <c r="AI68" s="707"/>
      <c r="AJ68" s="707"/>
      <c r="AK68" s="707"/>
      <c r="AL68" s="2067" t="s">
        <v>1413</v>
      </c>
      <c r="AM68" s="2069">
        <f>IF(Fire_Heat_Rate&gt;0,AE22,AE68)</f>
        <v>0</v>
      </c>
      <c r="AN68" s="708" t="s">
        <v>1412</v>
      </c>
      <c r="AO68" s="707"/>
      <c r="AP68" s="707"/>
      <c r="AQ68" s="707"/>
      <c r="AR68" s="707"/>
      <c r="AS68" s="707"/>
      <c r="AT68" s="2067" t="s">
        <v>1413</v>
      </c>
      <c r="AU68" s="2069">
        <f>IF(Catalyzed="Yes",AI22,AE68)</f>
        <v>0</v>
      </c>
      <c r="AV68" s="708" t="s">
        <v>1412</v>
      </c>
      <c r="AW68" s="707"/>
      <c r="AX68" s="707"/>
      <c r="AY68" s="707"/>
      <c r="AZ68" s="707"/>
      <c r="BA68" s="707"/>
      <c r="BB68" s="2067" t="s">
        <v>1413</v>
      </c>
      <c r="BC68" s="2069">
        <f>IF(Rx_Pooling="Yes",AM22,AE68)</f>
        <v>0</v>
      </c>
      <c r="BD68" s="708" t="s">
        <v>1412</v>
      </c>
      <c r="BE68" s="707"/>
      <c r="BF68" s="707"/>
      <c r="BG68" s="707"/>
      <c r="BH68" s="707"/>
      <c r="BI68" s="707"/>
      <c r="BJ68" s="2067" t="s">
        <v>1413</v>
      </c>
      <c r="BK68" s="2069">
        <f>IF(Rx_MisLoading="Yes",AQ22,AE68)</f>
        <v>0</v>
      </c>
      <c r="BL68" s="708" t="s">
        <v>1412</v>
      </c>
      <c r="BM68" s="707"/>
      <c r="BN68" s="707"/>
      <c r="BO68" s="707"/>
      <c r="BP68" s="707"/>
      <c r="BQ68" s="707"/>
      <c r="BR68" s="707"/>
      <c r="BS68" s="707"/>
      <c r="BT68" s="707"/>
      <c r="BU68" s="707"/>
      <c r="BV68" s="707"/>
      <c r="BX68" s="707"/>
      <c r="CA68" s="714"/>
      <c r="CB68" s="714"/>
      <c r="CE68" s="707"/>
      <c r="CF68" s="707"/>
      <c r="CG68" s="707"/>
      <c r="CH68" s="707"/>
      <c r="CI68" s="714"/>
      <c r="CJ68" s="714"/>
      <c r="CK68" s="714"/>
      <c r="CL68" s="714"/>
      <c r="CM68" s="714"/>
      <c r="CN68" s="714"/>
      <c r="CO68" s="714"/>
      <c r="CP68" s="714"/>
      <c r="CQ68" s="714"/>
      <c r="CR68" s="714"/>
    </row>
    <row r="69" spans="1:96" ht="12.75" customHeight="1" x14ac:dyDescent="0.25">
      <c r="B69" s="65"/>
      <c r="C69" s="65"/>
      <c r="N69" s="707"/>
      <c r="O69" s="707"/>
      <c r="P69" s="707"/>
      <c r="Q69" s="708">
        <f>IF(OR(OR(Test_Method="ARC",Test_Method="VSP"),Test_Method="VSP"),phi*Rdet*Liq_C*EXP((-1000*Act_Energy/1.987)*(1/(273+Tinit)-1/(273+Tdet))),IF(Test_Method="DSC",1.3*Liq_C*EXP((-1000*Act_Energy/1.987)*(1/(273+Tinit)-1/(273+Tdet))),Rdet*Liq_C*EXP((-1000*Act_Energy/1.987)*(1/(273+Tinit)-1/(273+Tdet)))))</f>
        <v>0</v>
      </c>
      <c r="R69" s="708" t="s">
        <v>1381</v>
      </c>
      <c r="S69" s="708"/>
      <c r="T69" s="707"/>
      <c r="U69" s="2067" t="s">
        <v>1452</v>
      </c>
      <c r="V69" s="708" t="e">
        <f>MAX(V8:V22)</f>
        <v>#DIV/0!</v>
      </c>
      <c r="W69" s="708" t="s">
        <v>1067</v>
      </c>
      <c r="X69" s="707"/>
      <c r="Y69" s="707"/>
      <c r="Z69" s="707"/>
      <c r="AA69" s="707"/>
      <c r="AB69" s="708"/>
      <c r="AC69" s="707"/>
      <c r="AD69" s="2067" t="s">
        <v>1452</v>
      </c>
      <c r="AE69" s="2068" t="e">
        <f>MAX(AC10:AC22)</f>
        <v>#DIV/0!</v>
      </c>
      <c r="AF69" s="708" t="s">
        <v>1067</v>
      </c>
      <c r="AG69" s="707"/>
      <c r="AH69" s="707"/>
      <c r="AI69" s="707"/>
      <c r="AJ69" s="707"/>
      <c r="AK69" s="707"/>
      <c r="AL69" s="2067" t="s">
        <v>1452</v>
      </c>
      <c r="AM69" s="708" t="e">
        <f>IF(Fire_Heat_Rate&gt;0,MAX(AH8:AH22),AE69)</f>
        <v>#DIV/0!</v>
      </c>
      <c r="AN69" s="708" t="s">
        <v>1067</v>
      </c>
      <c r="AO69" s="707"/>
      <c r="AP69" s="707"/>
      <c r="AQ69" s="707"/>
      <c r="AR69" s="707"/>
      <c r="AS69" s="707"/>
      <c r="AT69" s="2067" t="s">
        <v>1452</v>
      </c>
      <c r="AU69" s="708" t="e">
        <f>IF(Catalyzed="Yes",MAX(AL8:AL22),AE69)</f>
        <v>#DIV/0!</v>
      </c>
      <c r="AV69" s="708" t="s">
        <v>1067</v>
      </c>
      <c r="AW69" s="707"/>
      <c r="AX69" s="707"/>
      <c r="AY69" s="707"/>
      <c r="AZ69" s="707"/>
      <c r="BA69" s="707"/>
      <c r="BB69" s="2067" t="s">
        <v>1452</v>
      </c>
      <c r="BC69" s="708" t="e">
        <f>IF(Rx_Pooling="Yes",MAX(AP10:AP22),AE69)</f>
        <v>#DIV/0!</v>
      </c>
      <c r="BD69" s="708" t="s">
        <v>1067</v>
      </c>
      <c r="BE69" s="707"/>
      <c r="BF69" s="707"/>
      <c r="BG69" s="707"/>
      <c r="BH69" s="707"/>
      <c r="BI69" s="707"/>
      <c r="BJ69" s="2067" t="s">
        <v>1452</v>
      </c>
      <c r="BK69" s="708" t="e">
        <f>IF(Rx_MisLoading="Yes",MAX(AT10:AT22),AE69)</f>
        <v>#DIV/0!</v>
      </c>
      <c r="BL69" s="708" t="s">
        <v>1067</v>
      </c>
      <c r="BM69" s="707"/>
      <c r="BN69" s="707"/>
      <c r="BO69" s="707"/>
      <c r="BP69" s="707"/>
      <c r="BQ69" s="707"/>
      <c r="BR69" s="707"/>
      <c r="BS69" s="707"/>
      <c r="BT69" s="707"/>
      <c r="BU69" s="707"/>
      <c r="BV69" s="707"/>
      <c r="BX69" s="707"/>
      <c r="CA69" s="714"/>
      <c r="CB69" s="714"/>
      <c r="CE69" s="707"/>
      <c r="CF69" s="707"/>
      <c r="CG69" s="707"/>
      <c r="CH69" s="707"/>
      <c r="CI69" s="714"/>
      <c r="CJ69" s="714"/>
      <c r="CK69" s="714"/>
      <c r="CL69" s="714"/>
      <c r="CM69" s="714"/>
      <c r="CN69" s="714"/>
      <c r="CO69" s="714"/>
      <c r="CP69" s="714"/>
      <c r="CQ69" s="714"/>
      <c r="CR69" s="714"/>
    </row>
    <row r="70" spans="1:96" ht="12.75" customHeight="1" x14ac:dyDescent="0.25">
      <c r="N70" s="707"/>
      <c r="O70" s="707"/>
      <c r="P70" s="707"/>
      <c r="Q70" s="708" t="s">
        <v>877</v>
      </c>
      <c r="R70" s="708"/>
      <c r="S70" s="707"/>
      <c r="T70" s="707"/>
      <c r="U70" s="2067" t="s">
        <v>72</v>
      </c>
      <c r="V70" s="708">
        <f>r_Tinitial</f>
        <v>0</v>
      </c>
      <c r="W70" s="708" t="s">
        <v>1381</v>
      </c>
      <c r="X70" s="707"/>
      <c r="Y70" s="707"/>
      <c r="Z70" s="707"/>
      <c r="AA70" s="707"/>
      <c r="AB70" s="707"/>
      <c r="AC70" s="707"/>
      <c r="AD70" s="2067" t="s">
        <v>72</v>
      </c>
      <c r="AE70" s="708" t="e">
        <f>r_Tinitial*EXP((-1000*Act_Energy/1.987)*(1/(273+T_ExtHeat)-1/(273+Tinit)))</f>
        <v>#DIV/0!</v>
      </c>
      <c r="AF70" s="708" t="s">
        <v>1381</v>
      </c>
      <c r="AG70" s="707"/>
      <c r="AH70" s="707"/>
      <c r="AI70" s="707"/>
      <c r="AJ70" s="707"/>
      <c r="AK70" s="707"/>
      <c r="AL70" s="2067" t="s">
        <v>72</v>
      </c>
      <c r="AM70" s="708">
        <f>r_Tinitial*EXP((-1000*Act_Energy/1.987)*(1/(273+T_Fire)-1/(273+Tinit)))</f>
        <v>0</v>
      </c>
      <c r="AN70" s="708" t="s">
        <v>1381</v>
      </c>
      <c r="AO70" s="707"/>
      <c r="AP70" s="707"/>
      <c r="AQ70" s="707"/>
      <c r="AR70" s="707"/>
      <c r="AS70" s="707"/>
      <c r="AT70" s="2067" t="s">
        <v>72</v>
      </c>
      <c r="AU70" s="708" t="e">
        <f>14.34*(Effective_SurArea*Ht_Loss_Coeff*MAX(T-Ambient_Temp,5))/(Effective_ContainedMass)</f>
        <v>#DIV/0!</v>
      </c>
      <c r="AV70" s="708" t="s">
        <v>1381</v>
      </c>
      <c r="AW70" s="707"/>
      <c r="AX70" s="707"/>
      <c r="AY70" s="707"/>
      <c r="AZ70" s="707"/>
      <c r="BA70" s="707"/>
      <c r="BB70" s="2067" t="s">
        <v>72</v>
      </c>
      <c r="BC70" s="708" t="e">
        <f>r_Tinitial*EXP((-1000*Act_Energy/1.987)*(1/(273+T_Pooling)-1/(273+Tinit)))</f>
        <v>#DIV/0!</v>
      </c>
      <c r="BD70" s="708" t="s">
        <v>1381</v>
      </c>
      <c r="BE70" s="707"/>
      <c r="BF70" s="707"/>
      <c r="BG70" s="707"/>
      <c r="BH70" s="707"/>
      <c r="BI70" s="707"/>
      <c r="BJ70" s="2067" t="s">
        <v>72</v>
      </c>
      <c r="BK70" s="708" t="e">
        <f>r_Tinitial*EXP((-1000*Act_Energy/1.987)*(1/(273+T_MisLoad)-1/(273+Tinit)))</f>
        <v>#DIV/0!</v>
      </c>
      <c r="BL70" s="708" t="s">
        <v>1381</v>
      </c>
      <c r="BM70" s="707"/>
      <c r="BN70" s="707"/>
      <c r="BO70" s="707"/>
      <c r="BP70" s="707"/>
      <c r="BQ70" s="707"/>
      <c r="BR70" s="707"/>
      <c r="BS70" s="707"/>
      <c r="BT70" s="707"/>
      <c r="BU70" s="707"/>
      <c r="BV70" s="707"/>
      <c r="BX70" s="707"/>
      <c r="CA70" s="714"/>
      <c r="CB70" s="714"/>
      <c r="CE70" s="707"/>
      <c r="CF70" s="707"/>
      <c r="CG70" s="707"/>
      <c r="CH70" s="707"/>
      <c r="CI70" s="714"/>
      <c r="CJ70" s="714"/>
      <c r="CK70" s="714"/>
      <c r="CL70" s="714"/>
      <c r="CM70" s="714"/>
      <c r="CN70" s="714"/>
      <c r="CO70" s="714"/>
      <c r="CP70" s="714"/>
      <c r="CQ70" s="714"/>
      <c r="CR70" s="714"/>
    </row>
    <row r="71" spans="1:96" ht="12.75" customHeight="1" x14ac:dyDescent="0.25">
      <c r="N71" s="707"/>
      <c r="O71" s="707"/>
      <c r="P71" s="707"/>
      <c r="Q71" s="2074">
        <f>IF(DHR&lt;0,-1*DHR*Effective_ContainedMass,0)</f>
        <v>0</v>
      </c>
      <c r="R71" s="708" t="s">
        <v>1761</v>
      </c>
      <c r="S71" s="708"/>
      <c r="T71" s="707"/>
      <c r="U71" s="2067" t="s">
        <v>953</v>
      </c>
      <c r="V71" s="708">
        <f>IF(V70&gt;0,(V68-Tinit)*1000*Act_Energy/(1.987*(Tinit+273)*(V68+273))+LN(V70),0)</f>
        <v>0</v>
      </c>
      <c r="W71" s="707"/>
      <c r="X71" s="707"/>
      <c r="Y71" s="707"/>
      <c r="Z71" s="707"/>
      <c r="AA71" s="707"/>
      <c r="AB71" s="708"/>
      <c r="AC71" s="707"/>
      <c r="AD71" s="2067" t="s">
        <v>953</v>
      </c>
      <c r="AE71" s="708" t="e">
        <f>IF(AE70&gt;0,(AE68-T_ExtHeat)*1000*Act_Energy/(1.987*(T_ExtHeat+273)*(AE68+273))+LN(AE70),0)</f>
        <v>#DIV/0!</v>
      </c>
      <c r="AF71" s="707"/>
      <c r="AG71" s="707"/>
      <c r="AH71" s="707"/>
      <c r="AI71" s="707"/>
      <c r="AJ71" s="707"/>
      <c r="AK71" s="707"/>
      <c r="AL71" s="2067" t="s">
        <v>953</v>
      </c>
      <c r="AM71" s="708">
        <f>IF(AND(Fire_Heat_Rate&gt;0,AM70&gt;0),(AM68-T_Fire)*1000*Act_Energy/(1.987*(T_Fire+273)*(AM68+273))+LN(AM70),0)</f>
        <v>0</v>
      </c>
      <c r="AN71" s="707"/>
      <c r="AO71" s="707"/>
      <c r="AP71" s="707"/>
      <c r="AQ71" s="707"/>
      <c r="AR71" s="707"/>
      <c r="AS71" s="707"/>
      <c r="AT71" s="2067" t="s">
        <v>953</v>
      </c>
      <c r="AU71" s="708" t="e">
        <f>IF(AND(Catalyzed="Yes",AU70&gt;0),(AU68-T_Cat)*1000*Act_Energy/(1.987*(T_Cat+273)*(AU68+273))+LN(AU70),0)</f>
        <v>#DIV/0!</v>
      </c>
      <c r="AV71" s="707"/>
      <c r="AW71" s="707"/>
      <c r="AX71" s="707"/>
      <c r="AY71" s="707"/>
      <c r="AZ71" s="707"/>
      <c r="BA71" s="707"/>
      <c r="BB71" s="2067" t="s">
        <v>953</v>
      </c>
      <c r="BC71" s="708" t="e">
        <f>IF(BC70&gt;0,(BC68-T_Pooling)*1000*Act_Energy/(1.987*(T_Pooling+273)*(BC68+273))+LN(BC70),0)</f>
        <v>#DIV/0!</v>
      </c>
      <c r="BD71" s="707"/>
      <c r="BE71" s="707"/>
      <c r="BF71" s="707"/>
      <c r="BG71" s="707"/>
      <c r="BH71" s="707"/>
      <c r="BI71" s="707"/>
      <c r="BJ71" s="2067" t="s">
        <v>953</v>
      </c>
      <c r="BK71" s="708" t="e">
        <f>IF(AND(Rx_MisLoading="Yes",BK70&gt;0),(BK68-T_MisLoad)*1000*Act_Energy/(1.987*(T_MisLoad+273)*(BK68+273))+LN(BK70),0)</f>
        <v>#DIV/0!</v>
      </c>
      <c r="BL71" s="707"/>
      <c r="BM71" s="707"/>
      <c r="BN71" s="707"/>
      <c r="BO71" s="707"/>
      <c r="BP71" s="707"/>
      <c r="BQ71" s="707"/>
      <c r="BR71" s="707"/>
      <c r="BS71" s="707"/>
      <c r="BT71" s="707"/>
      <c r="BU71" s="707"/>
      <c r="BV71" s="707"/>
      <c r="BX71" s="707"/>
      <c r="CA71" s="714"/>
      <c r="CB71" s="714"/>
      <c r="CE71" s="707"/>
      <c r="CF71" s="707"/>
      <c r="CG71" s="707"/>
      <c r="CH71" s="707"/>
      <c r="CI71" s="714"/>
      <c r="CJ71" s="714"/>
      <c r="CK71" s="714"/>
      <c r="CL71" s="714"/>
      <c r="CM71" s="714"/>
      <c r="CN71" s="714"/>
      <c r="CO71" s="714"/>
      <c r="CP71" s="714"/>
      <c r="CQ71" s="714"/>
      <c r="CR71" s="714"/>
    </row>
    <row r="72" spans="1:96" ht="12.75" customHeight="1" x14ac:dyDescent="0.25">
      <c r="N72" s="707"/>
      <c r="O72" s="707"/>
      <c r="P72" s="707"/>
      <c r="Q72" s="708" t="s">
        <v>1168</v>
      </c>
      <c r="R72" s="708"/>
      <c r="S72" s="707"/>
      <c r="T72" s="707"/>
      <c r="U72" s="707" t="s">
        <v>818</v>
      </c>
      <c r="V72" s="2069">
        <f>IF(OR(Z59="&gt;Relief Temp",Z59="Max T&lt;Relief T"),0,IF(Z59&gt;2000,Z59/1440,IF(Z59&gt;100,Z59/60,IF(Z59&lt;2,Z59*60,Z59))))</f>
        <v>0</v>
      </c>
      <c r="W72" s="708" t="str">
        <f>IF(Z59&gt;2000,"day",IF(Z59&gt;100,"hour",IF(Z59&lt;2,"sec","min")))</f>
        <v>day</v>
      </c>
      <c r="X72" s="707"/>
      <c r="Y72" s="707"/>
      <c r="Z72" s="707"/>
      <c r="AA72" s="707"/>
      <c r="AB72" s="707"/>
      <c r="AC72" s="707"/>
      <c r="AD72" s="707" t="s">
        <v>818</v>
      </c>
      <c r="AE72" s="2069" t="e">
        <f>IF(OR(AI59="&gt;Relief Temp",AI59="Max T&lt;Relief T"),0,IF(AI59&gt;2000,AI59/1440,IF(AI59&gt;100,AI59/60,IF(AI59&lt;2,AI59*60,AI59))))</f>
        <v>#DIV/0!</v>
      </c>
      <c r="AF72" s="708" t="e">
        <f>IF(AI59&gt;2000,"day",IF(AI59&gt;100,"hour",IF(AI59&lt;2,"sec","min")))</f>
        <v>#DIV/0!</v>
      </c>
      <c r="AG72" s="707"/>
      <c r="AH72" s="707"/>
      <c r="AI72" s="707"/>
      <c r="AJ72" s="707"/>
      <c r="AK72" s="707"/>
      <c r="AL72" s="707" t="s">
        <v>818</v>
      </c>
      <c r="AM72" s="2069" t="e">
        <f>IF(OR(AQ59="&gt;Relief Temp",AQ59="Max T&lt;Relief T"),0,IF(AQ59&gt;2000,AQ59/1440,IF(AQ59&gt;100,AQ59/60,IF(AQ59&lt;2,AQ59*60,AQ59))))</f>
        <v>#N/A</v>
      </c>
      <c r="AN72" s="708" t="e">
        <f>IF(AQ59&gt;2000,"day",IF(AQ59&gt;100,"hour",IF(AQ59&lt;2,"sec","min")))</f>
        <v>#N/A</v>
      </c>
      <c r="AO72" s="707"/>
      <c r="AP72" s="707"/>
      <c r="AQ72" s="707"/>
      <c r="AR72" s="707"/>
      <c r="AS72" s="707"/>
      <c r="AT72" s="707" t="s">
        <v>818</v>
      </c>
      <c r="AU72" s="2069">
        <f>IF(OR(AY59="&gt;Relief Temp",AY59="Max T&lt;Relief T"),0,IF(AY59&gt;2000,AY59/1440,IF(AY59&gt;100,AY59/60,IF(AY59&lt;2,AY59*60,AY59))))</f>
        <v>0</v>
      </c>
      <c r="AV72" s="708" t="str">
        <f>IF(AY59&gt;2000,"day",IF(AY59&gt;100,"hour",IF(AY59&lt;2,"sec","min")))</f>
        <v>sec</v>
      </c>
      <c r="AW72" s="707"/>
      <c r="AX72" s="707"/>
      <c r="AY72" s="707"/>
      <c r="AZ72" s="707"/>
      <c r="BA72" s="707"/>
      <c r="BB72" s="707" t="s">
        <v>818</v>
      </c>
      <c r="BC72" s="2069">
        <f>IF(OR(BG59="&gt;Relief Temp",BG59="Max T&lt;Relief T"),0,IF(BG59&gt;2000,BG59/1440,IF(BG59&gt;100,BG59/60,IF(BG59&lt;2,BG59*60,BG59))))</f>
        <v>0</v>
      </c>
      <c r="BD72" s="708" t="str">
        <f>IF(BG59&gt;2000,"day",IF(BG59&gt;100,"hour",IF(BG59&lt;2,"sec","min")))</f>
        <v>sec</v>
      </c>
      <c r="BE72" s="707"/>
      <c r="BF72" s="707"/>
      <c r="BG72" s="707"/>
      <c r="BH72" s="707"/>
      <c r="BI72" s="707"/>
      <c r="BJ72" s="707" t="s">
        <v>818</v>
      </c>
      <c r="BK72" s="2069">
        <f>IF(OR(BO59="&gt;Relief Temp",BO59="Max T&lt;Relief T"),0,IF(BO59&gt;2000,BO59/1440,IF(BO59&gt;100,BO59/60,IF(BO59&lt;2,BO59*60,BO59))))</f>
        <v>0</v>
      </c>
      <c r="BL72" s="708" t="str">
        <f>IF(BO59&gt;2000,"day",IF(BO59&gt;100,"hour",IF(BO59&lt;2,"sec","min")))</f>
        <v>sec</v>
      </c>
      <c r="BM72" s="707"/>
      <c r="BN72" s="707"/>
      <c r="BO72" s="707"/>
      <c r="BP72" s="707"/>
      <c r="BQ72" s="707"/>
      <c r="BR72" s="707"/>
      <c r="BS72" s="707"/>
      <c r="BT72" s="707"/>
      <c r="BU72" s="707"/>
      <c r="BV72" s="707"/>
      <c r="BX72" s="707"/>
      <c r="CA72" s="714"/>
      <c r="CB72" s="714"/>
      <c r="CE72" s="707"/>
      <c r="CF72" s="707"/>
      <c r="CG72" s="707"/>
      <c r="CH72" s="707"/>
      <c r="CI72" s="714"/>
      <c r="CJ72" s="714"/>
      <c r="CK72" s="714"/>
      <c r="CL72" s="714"/>
      <c r="CM72" s="714"/>
      <c r="CN72" s="714"/>
      <c r="CO72" s="714"/>
      <c r="CP72" s="714"/>
      <c r="CQ72" s="714"/>
      <c r="CR72" s="714"/>
    </row>
    <row r="73" spans="1:96" ht="12.75" customHeight="1" x14ac:dyDescent="0.25">
      <c r="N73" s="707"/>
      <c r="O73" s="707"/>
      <c r="P73" s="707"/>
      <c r="Q73" s="708" t="e">
        <f>r_Tinitial*EXP((-1000*Act_Energy/1.987)*(1/(273+T_ExtHeat)-1/(273+Tinit)))</f>
        <v>#DIV/0!</v>
      </c>
      <c r="R73" s="708" t="s">
        <v>1381</v>
      </c>
      <c r="S73" s="707"/>
      <c r="T73" s="707"/>
      <c r="U73" s="707"/>
      <c r="V73" s="707"/>
      <c r="W73" s="707"/>
      <c r="X73" s="707"/>
      <c r="Y73" s="707"/>
      <c r="Z73" s="707"/>
      <c r="AA73" s="707"/>
      <c r="AB73" s="707"/>
      <c r="AC73" s="707"/>
      <c r="AD73" s="2067"/>
      <c r="AE73" s="707"/>
      <c r="AF73" s="2073"/>
      <c r="AG73" s="707"/>
      <c r="AH73" s="707"/>
      <c r="AI73" s="707"/>
      <c r="AJ73" s="707"/>
      <c r="AK73" s="707"/>
      <c r="AL73" s="2067"/>
      <c r="AM73" s="707"/>
      <c r="AN73" s="2073"/>
      <c r="AO73" s="707"/>
      <c r="AP73" s="707"/>
      <c r="AQ73" s="707"/>
      <c r="AR73" s="707"/>
      <c r="AS73" s="707"/>
      <c r="AT73" s="707"/>
      <c r="AU73" s="707"/>
      <c r="AV73" s="708"/>
      <c r="AW73" s="707"/>
      <c r="AX73" s="707"/>
      <c r="AY73" s="707"/>
      <c r="AZ73" s="707"/>
      <c r="BA73" s="707"/>
      <c r="BB73" s="707"/>
      <c r="BC73" s="707"/>
      <c r="BD73" s="707"/>
      <c r="BE73" s="707"/>
      <c r="BF73" s="707"/>
      <c r="BG73" s="707"/>
      <c r="BH73" s="707"/>
      <c r="BI73" s="707"/>
      <c r="BJ73" s="707"/>
      <c r="BK73" s="707"/>
      <c r="BL73" s="707"/>
      <c r="BM73" s="707"/>
      <c r="BN73" s="707"/>
      <c r="BO73" s="707"/>
      <c r="BP73" s="707"/>
      <c r="BQ73" s="707"/>
      <c r="BR73" s="707"/>
      <c r="BS73" s="707"/>
      <c r="BT73" s="707"/>
      <c r="BU73" s="707"/>
      <c r="BV73" s="707"/>
      <c r="BX73" s="707"/>
      <c r="CA73" s="714"/>
      <c r="CB73" s="714"/>
      <c r="CE73" s="707"/>
      <c r="CF73" s="707"/>
      <c r="CG73" s="707"/>
      <c r="CH73" s="707"/>
      <c r="CI73" s="714"/>
      <c r="CJ73" s="714"/>
      <c r="CK73" s="714"/>
      <c r="CL73" s="714"/>
      <c r="CM73" s="714"/>
      <c r="CN73" s="714"/>
      <c r="CO73" s="714"/>
      <c r="CP73" s="714"/>
      <c r="CQ73" s="714"/>
      <c r="CR73" s="714"/>
    </row>
    <row r="74" spans="1:96" ht="12.75" customHeight="1" x14ac:dyDescent="0.25">
      <c r="N74" s="707"/>
      <c r="O74" s="707"/>
      <c r="P74" s="707"/>
      <c r="Q74" s="708" t="s">
        <v>4591</v>
      </c>
      <c r="R74" s="708"/>
      <c r="S74" s="708"/>
      <c r="T74" s="707"/>
      <c r="U74" s="2067"/>
      <c r="V74" s="707"/>
      <c r="W74" s="708"/>
      <c r="X74" s="707"/>
      <c r="Y74" s="707"/>
      <c r="Z74" s="707"/>
      <c r="AA74" s="707"/>
      <c r="AB74" s="708"/>
      <c r="AC74" s="707"/>
      <c r="AD74" s="2067"/>
      <c r="AE74" s="707"/>
      <c r="AF74" s="708"/>
      <c r="AG74" s="707"/>
      <c r="AH74" s="707"/>
      <c r="AI74" s="707"/>
      <c r="AJ74" s="707"/>
      <c r="AK74" s="707"/>
      <c r="AL74" s="2067"/>
      <c r="AM74" s="707"/>
      <c r="AN74" s="708"/>
      <c r="AO74" s="707"/>
      <c r="AP74" s="707"/>
      <c r="AQ74" s="707"/>
      <c r="AR74" s="707"/>
      <c r="AS74" s="707"/>
      <c r="AT74" s="2067"/>
      <c r="AU74" s="707"/>
      <c r="AV74" s="708"/>
      <c r="AW74" s="707"/>
      <c r="AX74" s="707"/>
      <c r="AY74" s="707"/>
      <c r="AZ74" s="707"/>
      <c r="BA74" s="707"/>
      <c r="BB74" s="2067"/>
      <c r="BC74" s="707"/>
      <c r="BD74" s="708"/>
      <c r="BE74" s="707"/>
      <c r="BF74" s="707"/>
      <c r="BG74" s="707"/>
      <c r="BH74" s="707"/>
      <c r="BI74" s="707"/>
      <c r="BJ74" s="2067"/>
      <c r="BK74" s="707"/>
      <c r="BL74" s="708"/>
      <c r="BM74" s="707"/>
      <c r="BN74" s="707"/>
      <c r="BO74" s="707"/>
      <c r="BP74" s="707"/>
      <c r="BQ74" s="707"/>
      <c r="BR74" s="707"/>
      <c r="BS74" s="707"/>
      <c r="BT74" s="707"/>
      <c r="BU74" s="707"/>
      <c r="BV74" s="707"/>
      <c r="BX74" s="707"/>
      <c r="CA74" s="714"/>
      <c r="CB74" s="714"/>
      <c r="CE74" s="707"/>
      <c r="CF74" s="707"/>
      <c r="CG74" s="707"/>
      <c r="CH74" s="707"/>
      <c r="CI74" s="714"/>
      <c r="CJ74" s="714"/>
      <c r="CK74" s="714"/>
      <c r="CL74" s="714"/>
      <c r="CM74" s="714"/>
      <c r="CN74" s="714"/>
      <c r="CO74" s="714"/>
      <c r="CP74" s="714"/>
      <c r="CQ74" s="714"/>
      <c r="CR74" s="714"/>
    </row>
    <row r="75" spans="1:96" ht="12.75" customHeight="1" x14ac:dyDescent="0.25">
      <c r="N75" s="707"/>
      <c r="O75" s="707"/>
      <c r="P75" s="707"/>
      <c r="Q75" s="708">
        <f>IF(DHR&lt;0,IF(AND(State="Vapor",Vap_C&gt;0),Tinit-Rx_MisLoading_Factor*DHR/Vap_C,IF(Liq_C&gt;0,Tinit-Rx_MisLoading_Factor*DHR/Liq_C,Tinit)),Tinit)</f>
        <v>0</v>
      </c>
      <c r="R75" s="708" t="s">
        <v>1962</v>
      </c>
      <c r="S75" s="707"/>
      <c r="T75" s="707"/>
      <c r="U75" s="2067"/>
      <c r="V75" s="707"/>
      <c r="W75" s="708"/>
      <c r="X75" s="707"/>
      <c r="Y75" s="707"/>
      <c r="Z75" s="707"/>
      <c r="AA75" s="707"/>
      <c r="AB75" s="707"/>
      <c r="AC75" s="2067"/>
      <c r="AD75" s="707"/>
      <c r="AE75" s="708"/>
      <c r="AF75" s="707"/>
      <c r="AG75" s="707"/>
      <c r="AH75" s="707"/>
      <c r="AI75" s="707"/>
      <c r="AJ75" s="707"/>
      <c r="AK75" s="2067"/>
      <c r="AL75" s="707"/>
      <c r="AM75" s="708"/>
      <c r="AN75" s="707"/>
      <c r="AO75" s="708"/>
      <c r="AP75" s="707"/>
      <c r="AQ75" s="707"/>
      <c r="AR75" s="707"/>
      <c r="AS75" s="2067"/>
      <c r="AT75" s="707"/>
      <c r="AU75" s="708"/>
      <c r="AV75" s="707"/>
      <c r="AW75" s="707"/>
      <c r="AX75" s="707"/>
      <c r="AY75" s="707"/>
      <c r="AZ75" s="707"/>
      <c r="BA75" s="2067"/>
      <c r="BB75" s="707"/>
      <c r="BC75" s="708"/>
      <c r="BD75" s="707"/>
      <c r="BE75" s="707"/>
      <c r="BF75" s="707"/>
      <c r="BG75" s="707"/>
      <c r="BH75" s="707"/>
      <c r="BI75" s="707"/>
      <c r="BJ75" s="707"/>
      <c r="BK75" s="707"/>
      <c r="BL75" s="707"/>
      <c r="BM75" s="707"/>
      <c r="BN75" s="707"/>
      <c r="BO75" s="707"/>
      <c r="BP75" s="707"/>
      <c r="BQ75" s="707"/>
      <c r="BR75" s="707"/>
      <c r="BS75" s="707"/>
      <c r="BT75" s="707"/>
      <c r="BU75" s="707"/>
      <c r="BV75" s="707"/>
      <c r="BX75" s="707"/>
      <c r="CA75" s="714"/>
      <c r="CB75" s="714"/>
      <c r="CE75" s="707"/>
      <c r="CF75" s="707"/>
      <c r="CG75" s="707"/>
      <c r="CH75" s="707"/>
      <c r="CI75" s="714"/>
      <c r="CJ75" s="714"/>
      <c r="CK75" s="714"/>
      <c r="CL75" s="714"/>
      <c r="CM75" s="714"/>
      <c r="CN75" s="714"/>
      <c r="CO75" s="714"/>
      <c r="CP75" s="714"/>
      <c r="CQ75" s="714"/>
      <c r="CR75" s="714"/>
    </row>
    <row r="76" spans="1:96" ht="12.75" customHeight="1" x14ac:dyDescent="0.25">
      <c r="N76" s="707"/>
      <c r="O76" s="707"/>
      <c r="P76" s="707"/>
      <c r="Q76" s="708"/>
      <c r="R76" s="708"/>
      <c r="S76" s="707"/>
      <c r="T76" s="707"/>
      <c r="U76" s="707"/>
      <c r="V76" s="707"/>
      <c r="W76" s="707"/>
      <c r="X76" s="707"/>
      <c r="Y76" s="707"/>
      <c r="Z76" s="707"/>
      <c r="AA76" s="707"/>
      <c r="AB76" s="707"/>
      <c r="AC76" s="707"/>
      <c r="AD76" s="707"/>
      <c r="AE76" s="707"/>
      <c r="AF76" s="707"/>
      <c r="AG76" s="707"/>
      <c r="AH76" s="707"/>
      <c r="AI76" s="707"/>
      <c r="AJ76" s="707"/>
      <c r="AK76" s="707"/>
      <c r="AL76" s="707"/>
      <c r="AM76" s="707"/>
      <c r="AN76" s="707"/>
      <c r="AO76" s="707"/>
      <c r="AP76" s="708"/>
      <c r="AQ76" s="707"/>
      <c r="AR76" s="707"/>
      <c r="AS76" s="707"/>
      <c r="AT76" s="707"/>
      <c r="AU76" s="707"/>
      <c r="AV76" s="707"/>
      <c r="AW76" s="707"/>
      <c r="AX76" s="707"/>
      <c r="AY76" s="707"/>
      <c r="AZ76" s="707"/>
      <c r="BA76" s="707"/>
      <c r="BB76" s="707"/>
      <c r="BC76" s="707"/>
      <c r="BD76" s="707"/>
      <c r="BE76" s="707"/>
      <c r="BF76" s="707"/>
      <c r="BG76" s="707"/>
      <c r="BH76" s="707"/>
      <c r="BI76" s="707"/>
      <c r="BJ76" s="707"/>
      <c r="BK76" s="707"/>
      <c r="BL76" s="707"/>
      <c r="BM76" s="707"/>
      <c r="BN76" s="707"/>
      <c r="BO76" s="707"/>
      <c r="BP76" s="707"/>
      <c r="BQ76" s="707"/>
      <c r="BR76" s="707"/>
      <c r="BS76" s="707"/>
      <c r="BT76" s="707"/>
      <c r="BU76" s="707"/>
      <c r="BV76" s="707"/>
      <c r="BX76" s="707"/>
      <c r="CA76" s="714"/>
      <c r="CB76" s="714"/>
      <c r="CE76" s="707"/>
      <c r="CF76" s="707"/>
      <c r="CG76" s="707"/>
      <c r="CH76" s="707"/>
      <c r="CI76" s="714"/>
      <c r="CJ76" s="714"/>
      <c r="CK76" s="714"/>
      <c r="CL76" s="714"/>
      <c r="CM76" s="714"/>
      <c r="CN76" s="714"/>
      <c r="CO76" s="714"/>
      <c r="CP76" s="714"/>
      <c r="CQ76" s="714"/>
      <c r="CR76" s="714"/>
    </row>
    <row r="77" spans="1:96" ht="12.75" customHeight="1" x14ac:dyDescent="0.25">
      <c r="N77" s="707"/>
      <c r="O77" s="707"/>
      <c r="P77" s="707"/>
      <c r="Q77" s="708"/>
      <c r="R77" s="708"/>
      <c r="S77" s="707"/>
      <c r="T77" s="707"/>
      <c r="U77" s="707"/>
      <c r="V77" s="707"/>
      <c r="W77" s="707"/>
      <c r="X77" s="707"/>
      <c r="Y77" s="707"/>
      <c r="Z77" s="707"/>
      <c r="AA77" s="707"/>
      <c r="AB77" s="707"/>
      <c r="AC77" s="707"/>
      <c r="AD77" s="707"/>
      <c r="AE77" s="707"/>
      <c r="AF77" s="707"/>
      <c r="AG77" s="707"/>
      <c r="AH77" s="707"/>
      <c r="AI77" s="707"/>
      <c r="AJ77" s="707"/>
      <c r="AK77" s="707"/>
      <c r="AL77" s="707"/>
      <c r="AM77" s="707"/>
      <c r="AN77" s="707"/>
      <c r="AO77" s="707"/>
      <c r="AP77" s="708"/>
      <c r="AQ77" s="707"/>
      <c r="AR77" s="707"/>
      <c r="AS77" s="707"/>
      <c r="AT77" s="707"/>
      <c r="AU77" s="707"/>
      <c r="AV77" s="707"/>
      <c r="AW77" s="707"/>
      <c r="AX77" s="707"/>
      <c r="AY77" s="707"/>
      <c r="AZ77" s="707"/>
      <c r="BA77" s="707"/>
      <c r="BB77" s="707"/>
      <c r="BC77" s="707"/>
      <c r="BD77" s="707"/>
      <c r="BE77" s="707"/>
      <c r="BF77" s="707"/>
      <c r="BG77" s="707"/>
      <c r="BH77" s="707"/>
      <c r="BI77" s="707"/>
      <c r="BJ77" s="707"/>
      <c r="BK77" s="707"/>
      <c r="BL77" s="707"/>
      <c r="BM77" s="707"/>
      <c r="BN77" s="707"/>
      <c r="BO77" s="707"/>
      <c r="BP77" s="707"/>
      <c r="BQ77" s="707"/>
      <c r="BR77" s="707"/>
      <c r="BS77" s="707"/>
      <c r="BT77" s="707"/>
      <c r="BU77" s="707"/>
      <c r="BV77" s="707"/>
      <c r="BX77" s="707"/>
      <c r="CA77" s="714"/>
      <c r="CB77" s="714"/>
      <c r="CE77" s="707"/>
      <c r="CF77" s="707"/>
      <c r="CG77" s="707"/>
      <c r="CH77" s="707"/>
      <c r="CI77" s="714"/>
      <c r="CJ77" s="714"/>
      <c r="CK77" s="714"/>
      <c r="CL77" s="714"/>
      <c r="CM77" s="714"/>
      <c r="CN77" s="714"/>
      <c r="CO77" s="714"/>
      <c r="CP77" s="714"/>
      <c r="CQ77" s="714"/>
      <c r="CR77" s="714"/>
    </row>
    <row r="78" spans="1:96" ht="12.75" customHeight="1" x14ac:dyDescent="0.25">
      <c r="N78" s="707"/>
      <c r="O78" s="707"/>
      <c r="P78" s="707"/>
      <c r="Q78" s="708"/>
      <c r="R78" s="708"/>
      <c r="S78" s="707"/>
      <c r="T78" s="707"/>
      <c r="U78" s="707"/>
      <c r="V78" s="707"/>
      <c r="W78" s="707"/>
      <c r="X78" s="707"/>
      <c r="Y78" s="707"/>
      <c r="Z78" s="707"/>
      <c r="AA78" s="707"/>
      <c r="AB78" s="707"/>
      <c r="AC78" s="707"/>
      <c r="AD78" s="707"/>
      <c r="AE78" s="707"/>
      <c r="AF78" s="707"/>
      <c r="AG78" s="707"/>
      <c r="AH78" s="707"/>
      <c r="AI78" s="707"/>
      <c r="AJ78" s="707"/>
      <c r="AK78" s="707"/>
      <c r="AL78" s="707"/>
      <c r="AM78" s="707"/>
      <c r="AN78" s="707"/>
      <c r="AO78" s="707"/>
      <c r="AP78" s="708"/>
      <c r="AQ78" s="707"/>
      <c r="AR78" s="707"/>
      <c r="AS78" s="707"/>
      <c r="AT78" s="707"/>
      <c r="AU78" s="707"/>
      <c r="AV78" s="707"/>
      <c r="AW78" s="707"/>
      <c r="AX78" s="707"/>
      <c r="AY78" s="707"/>
      <c r="AZ78" s="707"/>
      <c r="BA78" s="707"/>
      <c r="BB78" s="707"/>
      <c r="BC78" s="707"/>
      <c r="BD78" s="707"/>
      <c r="BE78" s="707"/>
      <c r="BF78" s="707"/>
      <c r="BG78" s="707"/>
      <c r="BH78" s="707"/>
      <c r="BI78" s="707"/>
      <c r="BJ78" s="707"/>
      <c r="BK78" s="707"/>
      <c r="BL78" s="707"/>
      <c r="BM78" s="707"/>
      <c r="BN78" s="707"/>
      <c r="BO78" s="707"/>
      <c r="BP78" s="707"/>
      <c r="BQ78" s="707"/>
      <c r="BR78" s="707"/>
      <c r="BS78" s="707"/>
      <c r="BT78" s="707"/>
      <c r="BU78" s="707"/>
      <c r="BV78" s="707"/>
      <c r="BX78" s="707"/>
      <c r="CA78" s="714"/>
      <c r="CB78" s="714"/>
      <c r="CE78" s="707"/>
      <c r="CF78" s="707"/>
      <c r="CG78" s="707"/>
      <c r="CH78" s="707"/>
      <c r="CI78" s="714"/>
      <c r="CJ78" s="714"/>
      <c r="CK78" s="714"/>
      <c r="CL78" s="714"/>
      <c r="CM78" s="714"/>
      <c r="CN78" s="714"/>
      <c r="CO78" s="714"/>
      <c r="CP78" s="714"/>
      <c r="CQ78" s="714"/>
      <c r="CR78" s="714"/>
    </row>
    <row r="79" spans="1:96" ht="12.75" customHeight="1" x14ac:dyDescent="0.25">
      <c r="N79" s="707"/>
      <c r="O79" s="707"/>
      <c r="P79" s="707"/>
      <c r="Q79" s="708"/>
      <c r="R79" s="708"/>
      <c r="S79" s="707"/>
      <c r="T79" s="707"/>
      <c r="U79" s="707"/>
      <c r="V79" s="707"/>
      <c r="W79" s="707"/>
      <c r="X79" s="707"/>
      <c r="Y79" s="707"/>
      <c r="Z79" s="707"/>
      <c r="AA79" s="707"/>
      <c r="AB79" s="707"/>
      <c r="AC79" s="707"/>
      <c r="AD79" s="707"/>
      <c r="AE79" s="707"/>
      <c r="AF79" s="707"/>
      <c r="AG79" s="707"/>
      <c r="AH79" s="707"/>
      <c r="AI79" s="707"/>
      <c r="AJ79" s="707"/>
      <c r="AK79" s="707"/>
      <c r="AL79" s="707"/>
      <c r="AM79" s="707"/>
      <c r="AN79" s="707"/>
      <c r="AO79" s="707"/>
      <c r="AP79" s="708"/>
      <c r="AQ79" s="707"/>
      <c r="AR79" s="707"/>
      <c r="AS79" s="707"/>
      <c r="AT79" s="707"/>
      <c r="AU79" s="707"/>
      <c r="AV79" s="707"/>
      <c r="AW79" s="707"/>
      <c r="AX79" s="707"/>
      <c r="AY79" s="707"/>
      <c r="AZ79" s="707"/>
      <c r="BA79" s="707"/>
      <c r="BB79" s="707"/>
      <c r="BC79" s="707"/>
      <c r="BD79" s="707"/>
      <c r="BE79" s="707"/>
      <c r="BF79" s="707"/>
      <c r="BG79" s="707"/>
      <c r="BH79" s="707"/>
      <c r="BI79" s="707"/>
      <c r="BJ79" s="707"/>
      <c r="BK79" s="707"/>
      <c r="BL79" s="707"/>
      <c r="BM79" s="707"/>
      <c r="BN79" s="707"/>
      <c r="BO79" s="707"/>
      <c r="BP79" s="707"/>
      <c r="BQ79" s="707"/>
      <c r="BR79" s="707"/>
      <c r="BS79" s="707"/>
      <c r="BT79" s="707"/>
      <c r="BU79" s="707"/>
      <c r="BV79" s="707"/>
      <c r="BX79" s="707"/>
      <c r="CA79" s="714"/>
      <c r="CB79" s="714"/>
      <c r="CE79" s="707"/>
      <c r="CF79" s="707"/>
      <c r="CG79" s="707"/>
      <c r="CH79" s="707"/>
      <c r="CI79" s="714"/>
      <c r="CJ79" s="714"/>
      <c r="CK79" s="714"/>
      <c r="CL79" s="714"/>
      <c r="CM79" s="714"/>
      <c r="CN79" s="714"/>
      <c r="CO79" s="714"/>
      <c r="CP79" s="714"/>
      <c r="CQ79" s="714"/>
      <c r="CR79" s="714"/>
    </row>
    <row r="80" spans="1:96" ht="12.75" customHeight="1" x14ac:dyDescent="0.25">
      <c r="N80" s="707"/>
      <c r="O80" s="707"/>
      <c r="P80" s="707"/>
      <c r="Q80" s="708"/>
      <c r="R80" s="708"/>
      <c r="S80" s="707"/>
      <c r="T80" s="707"/>
      <c r="U80" s="707"/>
      <c r="V80" s="707"/>
      <c r="W80" s="707"/>
      <c r="X80" s="707"/>
      <c r="Y80" s="707"/>
      <c r="Z80" s="707"/>
      <c r="AA80" s="707"/>
      <c r="AB80" s="707"/>
      <c r="AC80" s="707"/>
      <c r="AD80" s="707"/>
      <c r="AE80" s="707"/>
      <c r="AF80" s="707"/>
      <c r="AG80" s="707"/>
      <c r="AH80" s="707"/>
      <c r="AI80" s="707"/>
      <c r="AJ80" s="707"/>
      <c r="AK80" s="707"/>
      <c r="AL80" s="707"/>
      <c r="AM80" s="707"/>
      <c r="AN80" s="707"/>
      <c r="AO80" s="707"/>
      <c r="AP80" s="708"/>
      <c r="AQ80" s="707"/>
      <c r="AR80" s="707"/>
      <c r="AS80" s="707"/>
      <c r="AT80" s="707"/>
      <c r="AU80" s="707"/>
      <c r="AV80" s="707"/>
      <c r="AW80" s="707"/>
      <c r="AX80" s="707"/>
      <c r="AY80" s="707"/>
      <c r="AZ80" s="707"/>
      <c r="BA80" s="707"/>
      <c r="BB80" s="707"/>
      <c r="BC80" s="707"/>
      <c r="BD80" s="707"/>
      <c r="BE80" s="707"/>
      <c r="BF80" s="707"/>
      <c r="BG80" s="707"/>
      <c r="BH80" s="707"/>
      <c r="BI80" s="707"/>
      <c r="BJ80" s="707"/>
      <c r="BK80" s="707"/>
      <c r="BL80" s="707"/>
      <c r="BM80" s="707"/>
      <c r="BN80" s="707"/>
      <c r="BO80" s="707"/>
      <c r="BP80" s="707"/>
      <c r="BQ80" s="707"/>
      <c r="BR80" s="707"/>
      <c r="BS80" s="707"/>
      <c r="BT80" s="707"/>
      <c r="BU80" s="707"/>
      <c r="BV80" s="707"/>
      <c r="BX80" s="707"/>
      <c r="CA80" s="714"/>
      <c r="CB80" s="714"/>
      <c r="CE80" s="707"/>
      <c r="CF80" s="707"/>
      <c r="CG80" s="707"/>
      <c r="CH80" s="707"/>
      <c r="CI80" s="714"/>
      <c r="CJ80" s="714"/>
      <c r="CK80" s="714"/>
      <c r="CL80" s="714"/>
      <c r="CM80" s="714"/>
      <c r="CN80" s="714"/>
      <c r="CO80" s="714"/>
      <c r="CP80" s="714"/>
      <c r="CQ80" s="714"/>
      <c r="CR80" s="714"/>
    </row>
    <row r="81" spans="14:96" ht="12.75" customHeight="1" x14ac:dyDescent="0.25">
      <c r="N81" s="707"/>
      <c r="O81" s="707"/>
      <c r="P81" s="707"/>
      <c r="Q81" s="708"/>
      <c r="R81" s="708"/>
      <c r="S81" s="707"/>
      <c r="T81" s="707"/>
      <c r="U81" s="707"/>
      <c r="V81" s="707"/>
      <c r="W81" s="707"/>
      <c r="X81" s="707"/>
      <c r="Y81" s="707"/>
      <c r="Z81" s="707"/>
      <c r="AA81" s="707"/>
      <c r="AB81" s="707"/>
      <c r="AC81" s="707"/>
      <c r="AD81" s="707"/>
      <c r="AE81" s="707"/>
      <c r="AF81" s="707"/>
      <c r="AG81" s="707"/>
      <c r="AH81" s="707"/>
      <c r="AI81" s="707"/>
      <c r="AJ81" s="707"/>
      <c r="AK81" s="707"/>
      <c r="AL81" s="707"/>
      <c r="AM81" s="707"/>
      <c r="AN81" s="707"/>
      <c r="AO81" s="707"/>
      <c r="AP81" s="708"/>
      <c r="AQ81" s="707"/>
      <c r="AR81" s="707"/>
      <c r="AS81" s="707"/>
      <c r="AT81" s="707"/>
      <c r="AU81" s="707"/>
      <c r="AV81" s="707"/>
      <c r="AW81" s="707"/>
      <c r="AX81" s="707"/>
      <c r="AY81" s="707"/>
      <c r="AZ81" s="707"/>
      <c r="BA81" s="707"/>
      <c r="BB81" s="707"/>
      <c r="BC81" s="707"/>
      <c r="BD81" s="707"/>
      <c r="BE81" s="707"/>
      <c r="BF81" s="707"/>
      <c r="BG81" s="707"/>
      <c r="BH81" s="707"/>
      <c r="BI81" s="707"/>
      <c r="BJ81" s="707"/>
      <c r="BK81" s="707"/>
      <c r="BL81" s="707"/>
      <c r="BM81" s="707"/>
      <c r="BN81" s="707"/>
      <c r="BO81" s="707"/>
      <c r="BP81" s="707"/>
      <c r="BQ81" s="707"/>
      <c r="BR81" s="707"/>
      <c r="BS81" s="707"/>
      <c r="BT81" s="707"/>
      <c r="BU81" s="707"/>
      <c r="BV81" s="707"/>
      <c r="BX81" s="707"/>
      <c r="CA81" s="714"/>
      <c r="CB81" s="714"/>
      <c r="CE81" s="707"/>
      <c r="CF81" s="707"/>
      <c r="CG81" s="707"/>
      <c r="CH81" s="707"/>
      <c r="CI81" s="714"/>
      <c r="CJ81" s="714"/>
      <c r="CK81" s="714"/>
      <c r="CL81" s="714"/>
      <c r="CM81" s="714"/>
      <c r="CN81" s="714"/>
      <c r="CO81" s="714"/>
      <c r="CP81" s="714"/>
      <c r="CQ81" s="714"/>
      <c r="CR81" s="714"/>
    </row>
    <row r="82" spans="14:96" ht="12.75" customHeight="1" x14ac:dyDescent="0.25">
      <c r="N82" s="707"/>
      <c r="O82" s="707"/>
      <c r="P82" s="707"/>
      <c r="Q82" s="708"/>
      <c r="R82" s="708"/>
      <c r="S82" s="707"/>
      <c r="T82" s="707"/>
      <c r="U82" s="707"/>
      <c r="V82" s="707"/>
      <c r="W82" s="707"/>
      <c r="X82" s="707"/>
      <c r="Y82" s="707"/>
      <c r="Z82" s="707"/>
      <c r="AA82" s="707"/>
      <c r="AB82" s="707"/>
      <c r="AC82" s="707"/>
      <c r="AD82" s="707"/>
      <c r="AE82" s="707"/>
      <c r="AF82" s="707"/>
      <c r="AG82" s="707"/>
      <c r="AH82" s="707"/>
      <c r="AI82" s="707"/>
      <c r="AJ82" s="707"/>
      <c r="AK82" s="707"/>
      <c r="AL82" s="707"/>
      <c r="AM82" s="707"/>
      <c r="AN82" s="707"/>
      <c r="AO82" s="707"/>
      <c r="AP82" s="708"/>
      <c r="AQ82" s="707"/>
      <c r="AR82" s="707"/>
      <c r="AS82" s="707"/>
      <c r="AT82" s="707"/>
      <c r="AU82" s="707"/>
      <c r="AV82" s="707"/>
      <c r="AW82" s="707"/>
      <c r="AX82" s="707"/>
      <c r="AY82" s="707"/>
      <c r="AZ82" s="707"/>
      <c r="BA82" s="707"/>
      <c r="BB82" s="707"/>
      <c r="BC82" s="707"/>
      <c r="BD82" s="707"/>
      <c r="BE82" s="707"/>
      <c r="BF82" s="707"/>
      <c r="BG82" s="707"/>
      <c r="BH82" s="707"/>
      <c r="BI82" s="707"/>
      <c r="BJ82" s="707"/>
      <c r="BK82" s="707"/>
      <c r="BL82" s="707"/>
      <c r="BM82" s="707"/>
      <c r="BN82" s="707"/>
      <c r="BO82" s="707"/>
      <c r="BP82" s="707"/>
      <c r="BQ82" s="707"/>
      <c r="BR82" s="707"/>
      <c r="BS82" s="707"/>
      <c r="BT82" s="707"/>
      <c r="BU82" s="707"/>
      <c r="BV82" s="707"/>
      <c r="BX82" s="707"/>
      <c r="CA82" s="714"/>
      <c r="CB82" s="714"/>
      <c r="CE82" s="707"/>
      <c r="CF82" s="707"/>
      <c r="CG82" s="707"/>
      <c r="CH82" s="707"/>
      <c r="CI82" s="714"/>
      <c r="CJ82" s="714"/>
      <c r="CK82" s="714"/>
      <c r="CL82" s="714"/>
      <c r="CM82" s="714"/>
      <c r="CN82" s="714"/>
      <c r="CO82" s="714"/>
      <c r="CP82" s="714"/>
      <c r="CQ82" s="714"/>
      <c r="CR82" s="714"/>
    </row>
    <row r="83" spans="14:96" ht="12.75" customHeight="1" x14ac:dyDescent="0.25">
      <c r="N83" s="707"/>
      <c r="O83" s="707"/>
      <c r="P83" s="707"/>
      <c r="Q83" s="708"/>
      <c r="R83" s="708"/>
      <c r="S83" s="707"/>
      <c r="T83" s="707"/>
      <c r="U83" s="707"/>
      <c r="V83" s="707"/>
      <c r="W83" s="707"/>
      <c r="X83" s="707"/>
      <c r="Y83" s="707"/>
      <c r="Z83" s="707"/>
      <c r="AA83" s="707"/>
      <c r="AB83" s="707"/>
      <c r="AC83" s="707"/>
      <c r="AD83" s="707"/>
      <c r="AE83" s="707"/>
      <c r="AF83" s="707"/>
      <c r="AG83" s="707"/>
      <c r="AH83" s="707"/>
      <c r="AI83" s="707"/>
      <c r="AJ83" s="707"/>
      <c r="AK83" s="707"/>
      <c r="AL83" s="707"/>
      <c r="AM83" s="707"/>
      <c r="AN83" s="707"/>
      <c r="AO83" s="707"/>
      <c r="AP83" s="708"/>
      <c r="AQ83" s="707"/>
      <c r="AR83" s="707"/>
      <c r="AS83" s="707"/>
      <c r="AT83" s="707"/>
      <c r="AU83" s="707"/>
      <c r="AV83" s="707"/>
      <c r="AW83" s="707"/>
      <c r="AX83" s="707"/>
      <c r="AY83" s="707"/>
      <c r="AZ83" s="707"/>
      <c r="BA83" s="707"/>
      <c r="BB83" s="707"/>
      <c r="BC83" s="707"/>
      <c r="BD83" s="707"/>
      <c r="BE83" s="707"/>
      <c r="BF83" s="707"/>
      <c r="BG83" s="707"/>
      <c r="BH83" s="707"/>
      <c r="BI83" s="707"/>
      <c r="BJ83" s="707"/>
      <c r="BK83" s="707"/>
      <c r="BL83" s="707"/>
      <c r="BM83" s="707"/>
      <c r="BN83" s="707"/>
      <c r="BO83" s="707"/>
      <c r="BP83" s="707"/>
      <c r="BQ83" s="707"/>
      <c r="BR83" s="707"/>
      <c r="BS83" s="707"/>
      <c r="BT83" s="707"/>
      <c r="BU83" s="707"/>
      <c r="BV83" s="707"/>
      <c r="BX83" s="707"/>
      <c r="CA83" s="714"/>
      <c r="CB83" s="714"/>
      <c r="CE83" s="707"/>
      <c r="CF83" s="707"/>
      <c r="CG83" s="707"/>
      <c r="CH83" s="707"/>
      <c r="CI83" s="714"/>
      <c r="CJ83" s="714"/>
      <c r="CK83" s="714"/>
      <c r="CL83" s="714"/>
      <c r="CM83" s="714"/>
      <c r="CN83" s="714"/>
      <c r="CO83" s="714"/>
      <c r="CP83" s="714"/>
      <c r="CQ83" s="714"/>
      <c r="CR83" s="714"/>
    </row>
    <row r="84" spans="14:96" ht="12.75" customHeight="1" x14ac:dyDescent="0.25">
      <c r="N84" s="707"/>
      <c r="O84" s="707"/>
      <c r="P84" s="707"/>
      <c r="Q84" s="708"/>
      <c r="R84" s="708"/>
      <c r="S84" s="707"/>
      <c r="T84" s="707"/>
      <c r="U84" s="707"/>
      <c r="V84" s="707"/>
      <c r="W84" s="707"/>
      <c r="X84" s="707"/>
      <c r="Y84" s="707"/>
      <c r="Z84" s="707"/>
      <c r="AA84" s="707"/>
      <c r="AB84" s="707"/>
      <c r="AC84" s="707"/>
      <c r="AD84" s="707"/>
      <c r="AE84" s="707"/>
      <c r="AF84" s="707"/>
      <c r="AG84" s="707"/>
      <c r="AH84" s="707"/>
      <c r="AI84" s="707"/>
      <c r="AJ84" s="707"/>
      <c r="AK84" s="707"/>
      <c r="AL84" s="707"/>
      <c r="AM84" s="707"/>
      <c r="AN84" s="707"/>
      <c r="AO84" s="707"/>
      <c r="AP84" s="708"/>
      <c r="AQ84" s="707"/>
      <c r="AR84" s="707"/>
      <c r="AS84" s="707"/>
      <c r="AT84" s="707"/>
      <c r="AU84" s="707"/>
      <c r="AV84" s="707"/>
      <c r="AW84" s="707"/>
      <c r="AX84" s="707"/>
      <c r="AY84" s="707"/>
      <c r="AZ84" s="707"/>
      <c r="BA84" s="707"/>
      <c r="BB84" s="707"/>
      <c r="BC84" s="707"/>
      <c r="BD84" s="707"/>
      <c r="BE84" s="707"/>
      <c r="BF84" s="707"/>
      <c r="BG84" s="707"/>
      <c r="BH84" s="707"/>
      <c r="BI84" s="707"/>
      <c r="BJ84" s="707"/>
      <c r="BK84" s="707"/>
      <c r="BL84" s="707"/>
      <c r="BM84" s="707"/>
      <c r="BN84" s="707"/>
      <c r="BO84" s="707"/>
      <c r="BP84" s="707"/>
      <c r="BQ84" s="707"/>
      <c r="BR84" s="707"/>
      <c r="BS84" s="707"/>
      <c r="BT84" s="707"/>
      <c r="BU84" s="707"/>
      <c r="BV84" s="707"/>
      <c r="BX84" s="707"/>
      <c r="CA84" s="714"/>
      <c r="CB84" s="714"/>
      <c r="CE84" s="707"/>
      <c r="CF84" s="707"/>
      <c r="CG84" s="707"/>
      <c r="CH84" s="707"/>
      <c r="CI84" s="714"/>
      <c r="CJ84" s="714"/>
      <c r="CK84" s="714"/>
      <c r="CL84" s="714"/>
      <c r="CM84" s="714"/>
      <c r="CN84" s="714"/>
      <c r="CO84" s="714"/>
      <c r="CP84" s="714"/>
      <c r="CQ84" s="714"/>
      <c r="CR84" s="714"/>
    </row>
    <row r="85" spans="14:96" ht="12.75" customHeight="1" x14ac:dyDescent="0.25">
      <c r="N85" s="707"/>
      <c r="O85" s="707"/>
      <c r="P85" s="707"/>
      <c r="Q85" s="708"/>
      <c r="R85" s="708"/>
      <c r="S85" s="707"/>
      <c r="T85" s="707"/>
      <c r="U85" s="707"/>
      <c r="V85" s="707"/>
      <c r="W85" s="707"/>
      <c r="X85" s="707"/>
      <c r="Y85" s="707"/>
      <c r="Z85" s="707"/>
      <c r="AA85" s="707"/>
      <c r="AB85" s="707"/>
      <c r="AC85" s="707"/>
      <c r="AD85" s="707"/>
      <c r="AE85" s="707"/>
      <c r="AF85" s="707"/>
      <c r="AG85" s="707"/>
      <c r="AH85" s="707"/>
      <c r="AI85" s="707"/>
      <c r="AJ85" s="707"/>
      <c r="AK85" s="707"/>
      <c r="AL85" s="707"/>
      <c r="AM85" s="707"/>
      <c r="AN85" s="707"/>
      <c r="AO85" s="707"/>
      <c r="AP85" s="708"/>
      <c r="AQ85" s="707"/>
      <c r="AR85" s="707"/>
      <c r="AS85" s="707"/>
      <c r="AT85" s="707"/>
      <c r="AU85" s="707"/>
      <c r="AV85" s="707"/>
      <c r="AW85" s="707"/>
      <c r="AX85" s="707"/>
      <c r="AY85" s="707"/>
      <c r="AZ85" s="707"/>
      <c r="BA85" s="707"/>
      <c r="BB85" s="707"/>
      <c r="BC85" s="707"/>
      <c r="BD85" s="707"/>
      <c r="BE85" s="707"/>
      <c r="BF85" s="707"/>
      <c r="BG85" s="707"/>
      <c r="BH85" s="707"/>
      <c r="BI85" s="707"/>
      <c r="BJ85" s="707"/>
      <c r="BK85" s="707"/>
      <c r="BL85" s="707"/>
      <c r="BM85" s="707"/>
      <c r="BN85" s="707"/>
      <c r="BO85" s="707"/>
      <c r="BP85" s="707"/>
      <c r="BQ85" s="707"/>
      <c r="BR85" s="707"/>
      <c r="BS85" s="707"/>
      <c r="BT85" s="707"/>
      <c r="BU85" s="707"/>
      <c r="BV85" s="707"/>
      <c r="BX85" s="707"/>
      <c r="CA85" s="714"/>
      <c r="CB85" s="714"/>
      <c r="CE85" s="707"/>
      <c r="CF85" s="707"/>
      <c r="CG85" s="707"/>
      <c r="CH85" s="707"/>
      <c r="CI85" s="714"/>
      <c r="CJ85" s="714"/>
      <c r="CK85" s="714"/>
      <c r="CL85" s="714"/>
      <c r="CM85" s="714"/>
      <c r="CN85" s="714"/>
      <c r="CO85" s="714"/>
      <c r="CP85" s="714"/>
      <c r="CQ85" s="714"/>
      <c r="CR85" s="714"/>
    </row>
    <row r="86" spans="14:96" ht="12.75" customHeight="1" x14ac:dyDescent="0.25">
      <c r="N86" s="707"/>
      <c r="O86" s="707"/>
      <c r="P86" s="707"/>
      <c r="Q86" s="708"/>
      <c r="R86" s="708"/>
      <c r="S86" s="707"/>
      <c r="T86" s="707"/>
      <c r="U86" s="707"/>
      <c r="V86" s="707"/>
      <c r="W86" s="707"/>
      <c r="X86" s="707"/>
      <c r="Y86" s="707"/>
      <c r="Z86" s="707"/>
      <c r="AA86" s="707"/>
      <c r="AB86" s="707"/>
      <c r="AC86" s="707"/>
      <c r="AD86" s="707"/>
      <c r="AE86" s="707"/>
      <c r="AF86" s="707"/>
      <c r="AG86" s="707"/>
      <c r="AH86" s="707"/>
      <c r="AI86" s="707"/>
      <c r="AJ86" s="707"/>
      <c r="AK86" s="707"/>
      <c r="AL86" s="707"/>
      <c r="AM86" s="707"/>
      <c r="AN86" s="707"/>
      <c r="AO86" s="707"/>
      <c r="AP86" s="708"/>
      <c r="AQ86" s="707"/>
      <c r="AR86" s="707"/>
      <c r="AS86" s="707"/>
      <c r="AT86" s="707"/>
      <c r="AU86" s="707"/>
      <c r="AV86" s="707"/>
      <c r="AW86" s="707"/>
      <c r="AX86" s="707"/>
      <c r="AY86" s="707"/>
      <c r="AZ86" s="707"/>
      <c r="BA86" s="707"/>
      <c r="BB86" s="707"/>
      <c r="BC86" s="707"/>
      <c r="BD86" s="707"/>
      <c r="BE86" s="707"/>
      <c r="BF86" s="707"/>
      <c r="BG86" s="707"/>
      <c r="BH86" s="707"/>
      <c r="BI86" s="707"/>
      <c r="BJ86" s="707"/>
      <c r="BK86" s="707"/>
      <c r="BL86" s="707"/>
      <c r="BM86" s="707"/>
      <c r="BN86" s="707"/>
      <c r="BO86" s="707"/>
      <c r="BP86" s="707"/>
      <c r="BQ86" s="707"/>
      <c r="BR86" s="707"/>
      <c r="BS86" s="707"/>
      <c r="BT86" s="707"/>
      <c r="BU86" s="707"/>
      <c r="BV86" s="707"/>
      <c r="BX86" s="707"/>
      <c r="CA86" s="714"/>
      <c r="CB86" s="714"/>
      <c r="CE86" s="707"/>
      <c r="CF86" s="707"/>
      <c r="CG86" s="707"/>
      <c r="CH86" s="707"/>
      <c r="CI86" s="714"/>
      <c r="CJ86" s="714"/>
      <c r="CK86" s="714"/>
      <c r="CL86" s="714"/>
      <c r="CM86" s="714"/>
      <c r="CN86" s="714"/>
      <c r="CO86" s="714"/>
      <c r="CP86" s="714"/>
      <c r="CQ86" s="714"/>
      <c r="CR86" s="714"/>
    </row>
    <row r="87" spans="14:96" ht="12.75" customHeight="1" x14ac:dyDescent="0.25">
      <c r="N87" s="707"/>
      <c r="O87" s="707"/>
      <c r="P87" s="707"/>
      <c r="Q87" s="708"/>
      <c r="R87" s="708"/>
      <c r="S87" s="707"/>
      <c r="T87" s="707"/>
      <c r="U87" s="707"/>
      <c r="V87" s="707"/>
      <c r="W87" s="707"/>
      <c r="X87" s="707"/>
      <c r="Y87" s="707"/>
      <c r="Z87" s="707"/>
      <c r="AA87" s="707"/>
      <c r="AB87" s="707"/>
      <c r="AC87" s="707"/>
      <c r="AD87" s="707"/>
      <c r="AE87" s="707"/>
      <c r="AF87" s="707"/>
      <c r="AG87" s="707"/>
      <c r="AH87" s="707"/>
      <c r="AI87" s="707"/>
      <c r="AJ87" s="707"/>
      <c r="AK87" s="707"/>
      <c r="AL87" s="707"/>
      <c r="AM87" s="707"/>
      <c r="AN87" s="707"/>
      <c r="AO87" s="707"/>
      <c r="AP87" s="708"/>
      <c r="AQ87" s="707"/>
      <c r="AR87" s="707"/>
      <c r="AS87" s="707"/>
      <c r="AT87" s="707"/>
      <c r="AU87" s="707"/>
      <c r="AV87" s="707"/>
      <c r="AW87" s="707"/>
      <c r="AX87" s="707"/>
      <c r="AY87" s="707"/>
      <c r="AZ87" s="707"/>
      <c r="BA87" s="707"/>
      <c r="BB87" s="707"/>
      <c r="BC87" s="707"/>
      <c r="BD87" s="707"/>
      <c r="BE87" s="707"/>
      <c r="BF87" s="707"/>
      <c r="BG87" s="707"/>
      <c r="BH87" s="707"/>
      <c r="BI87" s="707"/>
      <c r="BJ87" s="707"/>
      <c r="BK87" s="707"/>
      <c r="BL87" s="707"/>
      <c r="BM87" s="707"/>
      <c r="BN87" s="707"/>
      <c r="BO87" s="707"/>
      <c r="BP87" s="707"/>
      <c r="BQ87" s="707"/>
      <c r="BR87" s="707"/>
      <c r="BS87" s="707"/>
      <c r="BT87" s="707"/>
      <c r="BU87" s="707"/>
      <c r="BV87" s="707"/>
      <c r="BX87" s="707"/>
      <c r="CA87" s="714"/>
      <c r="CB87" s="714"/>
      <c r="CE87" s="707"/>
      <c r="CF87" s="707"/>
      <c r="CG87" s="707"/>
      <c r="CH87" s="707"/>
      <c r="CI87" s="714"/>
      <c r="CJ87" s="714"/>
      <c r="CK87" s="714"/>
      <c r="CL87" s="714"/>
      <c r="CM87" s="714"/>
      <c r="CN87" s="714"/>
      <c r="CO87" s="714"/>
      <c r="CP87" s="714"/>
      <c r="CQ87" s="714"/>
      <c r="CR87" s="714"/>
    </row>
    <row r="88" spans="14:96" ht="12.75" customHeight="1" x14ac:dyDescent="0.25">
      <c r="N88" s="707"/>
      <c r="O88" s="707"/>
      <c r="P88" s="707"/>
      <c r="Q88" s="708"/>
      <c r="R88" s="708"/>
      <c r="S88" s="707"/>
      <c r="T88" s="707"/>
      <c r="U88" s="707"/>
      <c r="V88" s="707"/>
      <c r="W88" s="707"/>
      <c r="X88" s="707"/>
      <c r="Y88" s="707"/>
      <c r="Z88" s="707"/>
      <c r="AA88" s="707"/>
      <c r="AB88" s="707"/>
      <c r="AC88" s="707"/>
      <c r="AD88" s="707"/>
      <c r="AE88" s="707"/>
      <c r="AF88" s="707"/>
      <c r="AG88" s="707"/>
      <c r="AH88" s="707"/>
      <c r="AI88" s="707"/>
      <c r="AJ88" s="707"/>
      <c r="AK88" s="707"/>
      <c r="AL88" s="707"/>
      <c r="AM88" s="707"/>
      <c r="AN88" s="707"/>
      <c r="AO88" s="707"/>
      <c r="AP88" s="708"/>
      <c r="AQ88" s="707"/>
      <c r="AR88" s="707"/>
      <c r="AS88" s="707"/>
      <c r="AT88" s="707"/>
      <c r="AU88" s="707"/>
      <c r="AV88" s="707"/>
      <c r="AW88" s="707"/>
      <c r="AX88" s="707"/>
      <c r="AY88" s="707"/>
      <c r="AZ88" s="707"/>
      <c r="BA88" s="707"/>
      <c r="BB88" s="707"/>
      <c r="BC88" s="707"/>
      <c r="BD88" s="707"/>
      <c r="BE88" s="707"/>
      <c r="BF88" s="707"/>
      <c r="BG88" s="707"/>
      <c r="BH88" s="707"/>
      <c r="BI88" s="707"/>
      <c r="BJ88" s="707"/>
      <c r="BK88" s="707"/>
      <c r="BL88" s="707"/>
      <c r="BM88" s="707"/>
      <c r="BN88" s="707"/>
      <c r="BO88" s="707"/>
      <c r="BP88" s="707"/>
      <c r="BQ88" s="707"/>
      <c r="BR88" s="707"/>
      <c r="BS88" s="707"/>
      <c r="BT88" s="707"/>
      <c r="BU88" s="707"/>
      <c r="BV88" s="707"/>
      <c r="BX88" s="707"/>
      <c r="CA88" s="714"/>
      <c r="CB88" s="714"/>
      <c r="CE88" s="707"/>
      <c r="CF88" s="707"/>
      <c r="CG88" s="707"/>
      <c r="CH88" s="707"/>
      <c r="CI88" s="714"/>
      <c r="CJ88" s="714"/>
      <c r="CK88" s="714"/>
      <c r="CL88" s="714"/>
      <c r="CM88" s="714"/>
      <c r="CN88" s="714"/>
      <c r="CO88" s="714"/>
      <c r="CP88" s="714"/>
      <c r="CQ88" s="714"/>
      <c r="CR88" s="714"/>
    </row>
    <row r="89" spans="14:96" ht="12.75" customHeight="1" x14ac:dyDescent="0.25">
      <c r="N89" s="707"/>
      <c r="O89" s="707"/>
      <c r="P89" s="707"/>
      <c r="Q89" s="708"/>
      <c r="R89" s="708"/>
      <c r="S89" s="707"/>
      <c r="T89" s="707"/>
      <c r="U89" s="707"/>
      <c r="V89" s="707"/>
      <c r="W89" s="707"/>
      <c r="X89" s="707"/>
      <c r="Y89" s="707"/>
      <c r="Z89" s="707"/>
      <c r="AA89" s="707"/>
      <c r="AB89" s="707"/>
      <c r="AC89" s="707"/>
      <c r="AD89" s="707"/>
      <c r="AE89" s="707"/>
      <c r="AF89" s="707"/>
      <c r="AG89" s="707"/>
      <c r="AH89" s="707"/>
      <c r="AI89" s="707"/>
      <c r="AJ89" s="707"/>
      <c r="AK89" s="707"/>
      <c r="AL89" s="707"/>
      <c r="AM89" s="707"/>
      <c r="AN89" s="707"/>
      <c r="AO89" s="707"/>
      <c r="AP89" s="708"/>
      <c r="AQ89" s="707"/>
      <c r="AR89" s="707"/>
      <c r="AS89" s="707"/>
      <c r="AT89" s="707"/>
      <c r="AU89" s="707"/>
      <c r="AV89" s="707"/>
      <c r="AW89" s="707"/>
      <c r="AX89" s="707"/>
      <c r="AY89" s="707"/>
      <c r="AZ89" s="707"/>
      <c r="BA89" s="707"/>
      <c r="BB89" s="707"/>
      <c r="BC89" s="707"/>
      <c r="BD89" s="707"/>
      <c r="BE89" s="707"/>
      <c r="BF89" s="707"/>
      <c r="BG89" s="707"/>
      <c r="BH89" s="707"/>
      <c r="BI89" s="707"/>
      <c r="BJ89" s="707"/>
      <c r="BK89" s="707"/>
      <c r="BL89" s="707"/>
      <c r="BM89" s="707"/>
      <c r="BN89" s="707"/>
      <c r="BO89" s="707"/>
      <c r="BP89" s="707"/>
      <c r="BQ89" s="707"/>
      <c r="BR89" s="707"/>
      <c r="BS89" s="707"/>
      <c r="BT89" s="707"/>
      <c r="BU89" s="707"/>
      <c r="BV89" s="707"/>
      <c r="BX89" s="707"/>
      <c r="CA89" s="714"/>
      <c r="CB89" s="714"/>
      <c r="CE89" s="707"/>
      <c r="CF89" s="707"/>
      <c r="CG89" s="707"/>
      <c r="CH89" s="707"/>
      <c r="CI89" s="714"/>
      <c r="CJ89" s="714"/>
      <c r="CK89" s="714"/>
      <c r="CL89" s="714"/>
      <c r="CM89" s="714"/>
      <c r="CN89" s="714"/>
      <c r="CO89" s="714"/>
      <c r="CP89" s="714"/>
      <c r="CQ89" s="714"/>
      <c r="CR89" s="714"/>
    </row>
    <row r="90" spans="14:96" ht="12.75" customHeight="1" x14ac:dyDescent="0.25">
      <c r="N90" s="707"/>
      <c r="O90" s="707"/>
      <c r="P90" s="707"/>
      <c r="Q90" s="708"/>
      <c r="R90" s="708"/>
      <c r="S90" s="707"/>
      <c r="T90" s="707"/>
      <c r="U90" s="707"/>
      <c r="V90" s="707"/>
      <c r="W90" s="707"/>
      <c r="X90" s="707"/>
      <c r="Y90" s="707"/>
      <c r="Z90" s="707"/>
      <c r="AA90" s="707"/>
      <c r="AB90" s="707"/>
      <c r="AC90" s="707"/>
      <c r="AD90" s="707"/>
      <c r="AE90" s="707"/>
      <c r="AF90" s="707"/>
      <c r="AG90" s="707"/>
      <c r="AH90" s="707"/>
      <c r="AI90" s="707"/>
      <c r="AJ90" s="707"/>
      <c r="AK90" s="707"/>
      <c r="AL90" s="707"/>
      <c r="AM90" s="707"/>
      <c r="AN90" s="707"/>
      <c r="AO90" s="707"/>
      <c r="AP90" s="708"/>
      <c r="AQ90" s="707"/>
      <c r="AR90" s="707"/>
      <c r="AS90" s="707"/>
      <c r="AT90" s="707"/>
      <c r="AU90" s="707"/>
      <c r="AV90" s="707"/>
      <c r="AW90" s="707"/>
      <c r="AX90" s="707"/>
      <c r="AY90" s="707"/>
      <c r="AZ90" s="707"/>
      <c r="BA90" s="707"/>
      <c r="BB90" s="707"/>
      <c r="BC90" s="707"/>
      <c r="BD90" s="707"/>
      <c r="BE90" s="707"/>
      <c r="BF90" s="707"/>
      <c r="BG90" s="707"/>
      <c r="BH90" s="707"/>
      <c r="BI90" s="707"/>
      <c r="BJ90" s="707"/>
      <c r="BK90" s="707"/>
      <c r="BL90" s="707"/>
      <c r="BM90" s="707"/>
      <c r="BN90" s="707"/>
      <c r="BO90" s="707"/>
      <c r="BP90" s="707"/>
      <c r="BQ90" s="707"/>
      <c r="BR90" s="707"/>
      <c r="BS90" s="707"/>
      <c r="BT90" s="707"/>
      <c r="BU90" s="707"/>
      <c r="BV90" s="707"/>
      <c r="BX90" s="707"/>
      <c r="CA90" s="714"/>
      <c r="CB90" s="714"/>
      <c r="CE90" s="707"/>
      <c r="CF90" s="707"/>
      <c r="CG90" s="707"/>
      <c r="CH90" s="707"/>
      <c r="CI90" s="714"/>
      <c r="CJ90" s="714"/>
      <c r="CK90" s="714"/>
      <c r="CL90" s="714"/>
      <c r="CM90" s="714"/>
      <c r="CN90" s="714"/>
      <c r="CO90" s="714"/>
      <c r="CP90" s="714"/>
      <c r="CQ90" s="714"/>
      <c r="CR90" s="714"/>
    </row>
    <row r="91" spans="14:96" ht="12.75" customHeight="1" x14ac:dyDescent="0.25">
      <c r="N91" s="707"/>
      <c r="O91" s="707"/>
      <c r="P91" s="707"/>
      <c r="Q91" s="708"/>
      <c r="R91" s="708"/>
      <c r="S91" s="707"/>
      <c r="T91" s="707"/>
      <c r="U91" s="707"/>
      <c r="V91" s="707"/>
      <c r="W91" s="707"/>
      <c r="X91" s="707"/>
      <c r="Y91" s="707"/>
      <c r="Z91" s="707"/>
      <c r="AA91" s="707"/>
      <c r="AB91" s="707"/>
      <c r="AC91" s="707"/>
      <c r="AD91" s="707"/>
      <c r="AE91" s="707"/>
      <c r="AF91" s="707"/>
      <c r="AG91" s="707"/>
      <c r="AH91" s="707"/>
      <c r="AI91" s="707"/>
      <c r="AJ91" s="707"/>
      <c r="AK91" s="707"/>
      <c r="AL91" s="707"/>
      <c r="AM91" s="707"/>
      <c r="AN91" s="707"/>
      <c r="AO91" s="707"/>
      <c r="AP91" s="708"/>
      <c r="AQ91" s="707"/>
      <c r="AR91" s="707"/>
      <c r="AS91" s="707"/>
      <c r="AT91" s="707"/>
      <c r="AU91" s="707"/>
      <c r="AV91" s="707"/>
      <c r="AW91" s="707"/>
      <c r="AX91" s="707"/>
      <c r="AY91" s="707"/>
      <c r="AZ91" s="707"/>
      <c r="BA91" s="707"/>
      <c r="BB91" s="707"/>
      <c r="BC91" s="707"/>
      <c r="BD91" s="707"/>
      <c r="BE91" s="707"/>
      <c r="BF91" s="707"/>
      <c r="BG91" s="707"/>
      <c r="BH91" s="707"/>
      <c r="BI91" s="707"/>
      <c r="BJ91" s="707"/>
      <c r="BK91" s="707"/>
      <c r="BL91" s="707"/>
      <c r="BM91" s="707"/>
      <c r="BN91" s="707"/>
      <c r="BO91" s="707"/>
      <c r="BP91" s="707"/>
      <c r="BQ91" s="707"/>
      <c r="BR91" s="707"/>
      <c r="BS91" s="707"/>
      <c r="BT91" s="707"/>
      <c r="BU91" s="707"/>
      <c r="BV91" s="707"/>
      <c r="BX91" s="707"/>
      <c r="CA91" s="714"/>
      <c r="CB91" s="714"/>
      <c r="CE91" s="707"/>
      <c r="CF91" s="707"/>
      <c r="CG91" s="707"/>
      <c r="CH91" s="707"/>
      <c r="CI91" s="714"/>
      <c r="CJ91" s="714"/>
      <c r="CK91" s="714"/>
      <c r="CL91" s="714"/>
      <c r="CM91" s="714"/>
      <c r="CN91" s="714"/>
      <c r="CO91" s="714"/>
      <c r="CP91" s="714"/>
      <c r="CQ91" s="714"/>
      <c r="CR91" s="714"/>
    </row>
    <row r="92" spans="14:96" ht="12.75" customHeight="1" x14ac:dyDescent="0.25">
      <c r="N92" s="707"/>
      <c r="O92" s="707"/>
      <c r="P92" s="707"/>
      <c r="Q92" s="708"/>
      <c r="R92" s="708"/>
      <c r="S92" s="707"/>
      <c r="T92" s="707"/>
      <c r="U92" s="707"/>
      <c r="V92" s="707"/>
      <c r="W92" s="707"/>
      <c r="X92" s="707"/>
      <c r="Y92" s="707"/>
      <c r="Z92" s="707"/>
      <c r="AA92" s="707"/>
      <c r="AB92" s="707"/>
      <c r="AC92" s="707"/>
      <c r="AD92" s="707"/>
      <c r="AE92" s="707"/>
      <c r="AF92" s="707"/>
      <c r="AG92" s="707"/>
      <c r="AH92" s="707"/>
      <c r="AI92" s="707"/>
      <c r="AJ92" s="707"/>
      <c r="AK92" s="707"/>
      <c r="AL92" s="707"/>
      <c r="AM92" s="707"/>
      <c r="AN92" s="707"/>
      <c r="AO92" s="707"/>
      <c r="AP92" s="708"/>
      <c r="AQ92" s="707"/>
      <c r="AR92" s="707"/>
      <c r="AS92" s="707"/>
      <c r="AT92" s="707"/>
      <c r="AU92" s="707"/>
      <c r="AV92" s="707"/>
      <c r="AW92" s="707"/>
      <c r="AX92" s="707"/>
      <c r="AY92" s="707"/>
      <c r="AZ92" s="707"/>
      <c r="BA92" s="707"/>
      <c r="BB92" s="707"/>
      <c r="BC92" s="707"/>
      <c r="BD92" s="707"/>
      <c r="BE92" s="707"/>
      <c r="BF92" s="707"/>
      <c r="BG92" s="707"/>
      <c r="BH92" s="707"/>
      <c r="BI92" s="707"/>
      <c r="BJ92" s="707"/>
      <c r="BK92" s="707"/>
      <c r="BL92" s="707"/>
      <c r="BM92" s="707"/>
      <c r="BN92" s="707"/>
      <c r="BO92" s="707"/>
      <c r="BP92" s="707"/>
      <c r="BQ92" s="707"/>
      <c r="BR92" s="707"/>
      <c r="BS92" s="707"/>
      <c r="BT92" s="707"/>
      <c r="BU92" s="707"/>
      <c r="BV92" s="707"/>
      <c r="BX92" s="707"/>
      <c r="CA92" s="714"/>
      <c r="CB92" s="714"/>
      <c r="CE92" s="707"/>
      <c r="CF92" s="707"/>
      <c r="CG92" s="707"/>
      <c r="CH92" s="707"/>
      <c r="CI92" s="714"/>
      <c r="CJ92" s="714"/>
      <c r="CK92" s="714"/>
      <c r="CL92" s="714"/>
      <c r="CM92" s="714"/>
      <c r="CN92" s="714"/>
      <c r="CO92" s="714"/>
      <c r="CP92" s="714"/>
      <c r="CQ92" s="714"/>
      <c r="CR92" s="714"/>
    </row>
    <row r="93" spans="14:96" ht="12.75" customHeight="1" x14ac:dyDescent="0.25">
      <c r="N93" s="707"/>
      <c r="O93" s="707"/>
      <c r="P93" s="707"/>
      <c r="Q93" s="708"/>
      <c r="R93" s="708"/>
      <c r="S93" s="707"/>
      <c r="T93" s="707"/>
      <c r="U93" s="707"/>
      <c r="V93" s="707"/>
      <c r="W93" s="707"/>
      <c r="X93" s="707"/>
      <c r="Y93" s="707"/>
      <c r="Z93" s="707"/>
      <c r="AA93" s="707"/>
      <c r="AB93" s="707"/>
      <c r="AC93" s="707"/>
      <c r="AD93" s="707"/>
      <c r="AE93" s="707"/>
      <c r="AF93" s="707"/>
      <c r="AG93" s="707"/>
      <c r="AH93" s="707"/>
      <c r="AI93" s="707"/>
      <c r="AJ93" s="707"/>
      <c r="AK93" s="707"/>
      <c r="AL93" s="707"/>
      <c r="AM93" s="707"/>
      <c r="AN93" s="707"/>
      <c r="AO93" s="707"/>
      <c r="AP93" s="708"/>
      <c r="AQ93" s="707"/>
      <c r="AR93" s="707"/>
      <c r="AS93" s="707"/>
      <c r="AT93" s="707"/>
      <c r="AU93" s="707"/>
      <c r="AV93" s="707"/>
      <c r="AW93" s="707"/>
      <c r="AX93" s="707"/>
      <c r="AY93" s="707"/>
      <c r="AZ93" s="707"/>
      <c r="BA93" s="707"/>
      <c r="BB93" s="707"/>
      <c r="BC93" s="707"/>
      <c r="BD93" s="707"/>
      <c r="BE93" s="707"/>
      <c r="BF93" s="707"/>
      <c r="BG93" s="707"/>
      <c r="BH93" s="707"/>
      <c r="BI93" s="707"/>
      <c r="BJ93" s="707"/>
      <c r="BK93" s="707"/>
      <c r="BL93" s="707"/>
      <c r="BM93" s="707"/>
      <c r="BN93" s="707"/>
      <c r="BO93" s="707"/>
      <c r="BP93" s="707"/>
      <c r="BQ93" s="707"/>
      <c r="BR93" s="707"/>
      <c r="BS93" s="707"/>
      <c r="BT93" s="707"/>
      <c r="BU93" s="707"/>
      <c r="BV93" s="707"/>
      <c r="BX93" s="707"/>
      <c r="CA93" s="714"/>
      <c r="CB93" s="714"/>
      <c r="CE93" s="707"/>
      <c r="CF93" s="707"/>
      <c r="CG93" s="707"/>
      <c r="CH93" s="707"/>
      <c r="CI93" s="714"/>
      <c r="CJ93" s="714"/>
      <c r="CK93" s="714"/>
      <c r="CL93" s="714"/>
      <c r="CM93" s="714"/>
      <c r="CN93" s="714"/>
      <c r="CO93" s="714"/>
      <c r="CP93" s="714"/>
      <c r="CQ93" s="714"/>
      <c r="CR93" s="714"/>
    </row>
    <row r="94" spans="14:96" ht="12.75" customHeight="1" x14ac:dyDescent="0.25">
      <c r="N94" s="707"/>
      <c r="O94" s="707"/>
      <c r="P94" s="707"/>
      <c r="Q94" s="708"/>
      <c r="R94" s="708"/>
      <c r="S94" s="707"/>
      <c r="T94" s="707"/>
      <c r="U94" s="707"/>
      <c r="V94" s="707"/>
      <c r="W94" s="707"/>
      <c r="X94" s="707"/>
      <c r="Y94" s="707"/>
      <c r="Z94" s="707"/>
      <c r="AA94" s="707"/>
      <c r="AB94" s="707"/>
      <c r="AC94" s="707"/>
      <c r="AD94" s="707"/>
      <c r="AE94" s="707"/>
      <c r="AF94" s="707"/>
      <c r="AG94" s="707"/>
      <c r="AH94" s="707"/>
      <c r="AI94" s="707"/>
      <c r="AJ94" s="707"/>
      <c r="AK94" s="707"/>
      <c r="AL94" s="707"/>
      <c r="AM94" s="707"/>
      <c r="AN94" s="707"/>
      <c r="AO94" s="707"/>
      <c r="AP94" s="708"/>
      <c r="AQ94" s="707"/>
      <c r="AR94" s="707"/>
      <c r="AS94" s="707"/>
      <c r="AT94" s="707"/>
      <c r="AU94" s="707"/>
      <c r="AV94" s="707"/>
      <c r="AW94" s="707"/>
      <c r="AX94" s="707"/>
      <c r="AY94" s="707"/>
      <c r="AZ94" s="707"/>
      <c r="BA94" s="707"/>
      <c r="BB94" s="707"/>
      <c r="BC94" s="707"/>
      <c r="BD94" s="707"/>
      <c r="BE94" s="707"/>
      <c r="BF94" s="707"/>
      <c r="BG94" s="707"/>
      <c r="BH94" s="707"/>
      <c r="BI94" s="707"/>
      <c r="BJ94" s="707"/>
      <c r="BK94" s="707"/>
      <c r="BL94" s="707"/>
      <c r="BM94" s="707"/>
      <c r="BN94" s="707"/>
      <c r="BO94" s="707"/>
      <c r="BP94" s="707"/>
      <c r="BQ94" s="707"/>
      <c r="BR94" s="707"/>
      <c r="BS94" s="707"/>
      <c r="BT94" s="707"/>
      <c r="BU94" s="707"/>
      <c r="BV94" s="707"/>
      <c r="BX94" s="707"/>
      <c r="CA94" s="714"/>
      <c r="CB94" s="714"/>
      <c r="CE94" s="707"/>
      <c r="CF94" s="707"/>
      <c r="CG94" s="707"/>
      <c r="CH94" s="707"/>
      <c r="CI94" s="714"/>
      <c r="CJ94" s="714"/>
      <c r="CK94" s="714"/>
      <c r="CL94" s="714"/>
      <c r="CM94" s="714"/>
      <c r="CN94" s="714"/>
      <c r="CO94" s="714"/>
      <c r="CP94" s="714"/>
      <c r="CQ94" s="714"/>
      <c r="CR94" s="714"/>
    </row>
    <row r="95" spans="14:96" ht="12.75" customHeight="1" x14ac:dyDescent="0.25">
      <c r="N95" s="707"/>
      <c r="O95" s="707"/>
      <c r="P95" s="707"/>
      <c r="Q95" s="708"/>
      <c r="R95" s="708"/>
      <c r="S95" s="707"/>
      <c r="T95" s="707"/>
      <c r="U95" s="707"/>
      <c r="V95" s="707"/>
      <c r="W95" s="707"/>
      <c r="X95" s="707"/>
      <c r="Y95" s="707"/>
      <c r="Z95" s="707"/>
      <c r="AA95" s="707"/>
      <c r="AB95" s="707"/>
      <c r="AC95" s="707"/>
      <c r="AD95" s="707"/>
      <c r="AE95" s="707"/>
      <c r="AF95" s="707"/>
      <c r="AG95" s="707"/>
      <c r="AH95" s="707"/>
      <c r="AI95" s="707"/>
      <c r="AJ95" s="707"/>
      <c r="AK95" s="707"/>
      <c r="AL95" s="707"/>
      <c r="AM95" s="707"/>
      <c r="AN95" s="707"/>
      <c r="AO95" s="707"/>
      <c r="AP95" s="708"/>
      <c r="AQ95" s="707"/>
      <c r="AR95" s="707"/>
      <c r="AS95" s="707"/>
      <c r="AT95" s="707"/>
      <c r="AU95" s="707"/>
      <c r="AV95" s="707"/>
      <c r="AW95" s="707"/>
      <c r="AX95" s="707"/>
      <c r="AY95" s="707"/>
      <c r="AZ95" s="707"/>
      <c r="BA95" s="707"/>
      <c r="BB95" s="707"/>
      <c r="BC95" s="707"/>
      <c r="BD95" s="707"/>
      <c r="BE95" s="707"/>
      <c r="BF95" s="707"/>
      <c r="BG95" s="707"/>
      <c r="BH95" s="707"/>
      <c r="BI95" s="707"/>
      <c r="BJ95" s="707"/>
      <c r="BK95" s="707"/>
      <c r="BL95" s="707"/>
      <c r="BM95" s="707"/>
      <c r="BN95" s="707"/>
      <c r="BO95" s="707"/>
      <c r="BP95" s="707"/>
      <c r="BQ95" s="707"/>
      <c r="BR95" s="707"/>
      <c r="BS95" s="707"/>
      <c r="BT95" s="707"/>
      <c r="BU95" s="707"/>
      <c r="BV95" s="707"/>
      <c r="BX95" s="707"/>
      <c r="CA95" s="714"/>
      <c r="CB95" s="714"/>
      <c r="CE95" s="707"/>
      <c r="CF95" s="707"/>
      <c r="CG95" s="707"/>
      <c r="CH95" s="707"/>
      <c r="CI95" s="714"/>
      <c r="CJ95" s="714"/>
      <c r="CK95" s="714"/>
      <c r="CL95" s="714"/>
      <c r="CM95" s="714"/>
      <c r="CN95" s="714"/>
      <c r="CO95" s="714"/>
      <c r="CP95" s="714"/>
      <c r="CQ95" s="714"/>
      <c r="CR95" s="714"/>
    </row>
    <row r="96" spans="14:96" ht="12.75" customHeight="1" x14ac:dyDescent="0.25">
      <c r="N96" s="707"/>
      <c r="O96" s="707"/>
      <c r="P96" s="707"/>
      <c r="Q96" s="708"/>
      <c r="R96" s="708"/>
      <c r="S96" s="707"/>
      <c r="T96" s="707"/>
      <c r="U96" s="707"/>
      <c r="V96" s="707"/>
      <c r="W96" s="707"/>
      <c r="X96" s="707"/>
      <c r="Y96" s="707"/>
      <c r="Z96" s="707"/>
      <c r="AA96" s="707"/>
      <c r="AB96" s="707"/>
      <c r="AC96" s="707"/>
      <c r="AD96" s="707"/>
      <c r="AE96" s="707"/>
      <c r="AF96" s="707"/>
      <c r="AG96" s="707"/>
      <c r="AH96" s="707"/>
      <c r="AI96" s="707"/>
      <c r="AJ96" s="707"/>
      <c r="AK96" s="707"/>
      <c r="AL96" s="707"/>
      <c r="AM96" s="707"/>
      <c r="AN96" s="707"/>
      <c r="AO96" s="707"/>
      <c r="AP96" s="708"/>
      <c r="AQ96" s="707"/>
      <c r="AR96" s="707"/>
      <c r="AS96" s="707"/>
      <c r="AT96" s="707"/>
      <c r="AU96" s="707"/>
      <c r="AV96" s="707"/>
      <c r="AW96" s="707"/>
      <c r="AX96" s="707"/>
      <c r="AY96" s="707"/>
      <c r="AZ96" s="707"/>
      <c r="BA96" s="707"/>
      <c r="BB96" s="707"/>
      <c r="BC96" s="707"/>
      <c r="BD96" s="707"/>
      <c r="BE96" s="707"/>
      <c r="BF96" s="707"/>
      <c r="BG96" s="707"/>
      <c r="BH96" s="707"/>
      <c r="BI96" s="707"/>
      <c r="BJ96" s="707"/>
      <c r="BK96" s="707"/>
      <c r="BL96" s="707"/>
      <c r="BM96" s="707"/>
      <c r="BN96" s="707"/>
      <c r="BO96" s="707"/>
      <c r="BP96" s="707"/>
      <c r="BQ96" s="707"/>
      <c r="BR96" s="707"/>
      <c r="BS96" s="707"/>
      <c r="BT96" s="707"/>
      <c r="BU96" s="707"/>
      <c r="BV96" s="707"/>
      <c r="BX96" s="707"/>
      <c r="CA96" s="714"/>
      <c r="CB96" s="714"/>
      <c r="CE96" s="707"/>
      <c r="CF96" s="707"/>
      <c r="CG96" s="707"/>
      <c r="CH96" s="707"/>
      <c r="CI96" s="714"/>
      <c r="CJ96" s="714"/>
      <c r="CK96" s="714"/>
      <c r="CL96" s="714"/>
      <c r="CM96" s="714"/>
      <c r="CN96" s="714"/>
      <c r="CO96" s="714"/>
      <c r="CP96" s="714"/>
      <c r="CQ96" s="714"/>
      <c r="CR96" s="714"/>
    </row>
    <row r="97" spans="14:96" ht="12.75" customHeight="1" x14ac:dyDescent="0.25">
      <c r="N97" s="707"/>
      <c r="O97" s="707"/>
      <c r="P97" s="707"/>
      <c r="Q97" s="708"/>
      <c r="R97" s="708"/>
      <c r="S97" s="707"/>
      <c r="T97" s="707"/>
      <c r="U97" s="707"/>
      <c r="V97" s="707"/>
      <c r="W97" s="707"/>
      <c r="X97" s="707"/>
      <c r="Y97" s="707"/>
      <c r="Z97" s="707"/>
      <c r="AA97" s="707"/>
      <c r="AB97" s="707"/>
      <c r="AC97" s="707"/>
      <c r="AD97" s="707"/>
      <c r="AE97" s="707"/>
      <c r="AF97" s="707"/>
      <c r="AG97" s="707"/>
      <c r="AH97" s="707"/>
      <c r="AI97" s="707"/>
      <c r="AJ97" s="707"/>
      <c r="AK97" s="707"/>
      <c r="AL97" s="707"/>
      <c r="AM97" s="707"/>
      <c r="AN97" s="707"/>
      <c r="AO97" s="707"/>
      <c r="AP97" s="708"/>
      <c r="AQ97" s="707"/>
      <c r="AR97" s="707"/>
      <c r="AS97" s="707"/>
      <c r="AT97" s="707"/>
      <c r="AU97" s="707"/>
      <c r="AV97" s="707"/>
      <c r="AW97" s="707"/>
      <c r="AX97" s="707"/>
      <c r="AY97" s="707"/>
      <c r="AZ97" s="707"/>
      <c r="BA97" s="707"/>
      <c r="BB97" s="707"/>
      <c r="BC97" s="707"/>
      <c r="BD97" s="707"/>
      <c r="BE97" s="707"/>
      <c r="BF97" s="707"/>
      <c r="BG97" s="707"/>
      <c r="BH97" s="707"/>
      <c r="BI97" s="707"/>
      <c r="BJ97" s="707"/>
      <c r="BK97" s="707"/>
      <c r="BL97" s="707"/>
      <c r="BM97" s="707"/>
      <c r="BN97" s="707"/>
      <c r="BO97" s="707"/>
      <c r="BP97" s="707"/>
      <c r="BQ97" s="707"/>
      <c r="BR97" s="707"/>
      <c r="BS97" s="707"/>
      <c r="BT97" s="707"/>
      <c r="BU97" s="707"/>
      <c r="BV97" s="707"/>
      <c r="BX97" s="707"/>
      <c r="CA97" s="714"/>
      <c r="CB97" s="714"/>
      <c r="CE97" s="707"/>
      <c r="CF97" s="707"/>
      <c r="CG97" s="707"/>
      <c r="CH97" s="707"/>
      <c r="CI97" s="714"/>
      <c r="CJ97" s="714"/>
      <c r="CK97" s="714"/>
      <c r="CL97" s="714"/>
      <c r="CM97" s="714"/>
      <c r="CN97" s="714"/>
      <c r="CO97" s="714"/>
      <c r="CP97" s="714"/>
      <c r="CQ97" s="714"/>
      <c r="CR97" s="714"/>
    </row>
    <row r="98" spans="14:96" ht="12.75" customHeight="1" x14ac:dyDescent="0.25">
      <c r="N98" s="707"/>
      <c r="O98" s="707"/>
      <c r="P98" s="707"/>
      <c r="Q98" s="708"/>
      <c r="R98" s="708"/>
      <c r="S98" s="707"/>
      <c r="T98" s="707"/>
      <c r="U98" s="707"/>
      <c r="V98" s="707"/>
      <c r="W98" s="707"/>
      <c r="X98" s="707"/>
      <c r="Y98" s="707"/>
      <c r="Z98" s="707"/>
      <c r="AA98" s="707"/>
      <c r="AB98" s="707"/>
      <c r="AC98" s="707"/>
      <c r="AD98" s="707"/>
      <c r="AE98" s="707"/>
      <c r="AF98" s="707"/>
      <c r="AG98" s="707"/>
      <c r="AH98" s="707"/>
      <c r="AI98" s="707"/>
      <c r="AJ98" s="707"/>
      <c r="AK98" s="707"/>
      <c r="AL98" s="707"/>
      <c r="AM98" s="707"/>
      <c r="AN98" s="707"/>
      <c r="AO98" s="707"/>
      <c r="AP98" s="708"/>
      <c r="AQ98" s="707"/>
      <c r="AR98" s="707"/>
      <c r="AS98" s="707"/>
      <c r="AT98" s="707"/>
      <c r="AU98" s="707"/>
      <c r="AV98" s="707"/>
      <c r="AW98" s="707"/>
      <c r="AX98" s="707"/>
      <c r="AY98" s="707"/>
      <c r="AZ98" s="707"/>
      <c r="BA98" s="707"/>
      <c r="BB98" s="707"/>
      <c r="BC98" s="707"/>
      <c r="BD98" s="707"/>
      <c r="BE98" s="707"/>
      <c r="BF98" s="707"/>
      <c r="BG98" s="707"/>
      <c r="BH98" s="707"/>
      <c r="BI98" s="707"/>
      <c r="BJ98" s="707"/>
      <c r="BK98" s="707"/>
      <c r="BL98" s="707"/>
      <c r="BM98" s="707"/>
      <c r="BN98" s="707"/>
      <c r="BO98" s="707"/>
      <c r="BP98" s="707"/>
      <c r="BQ98" s="707"/>
      <c r="BR98" s="707"/>
      <c r="BS98" s="707"/>
      <c r="BT98" s="707"/>
      <c r="BU98" s="707"/>
      <c r="BV98" s="707"/>
      <c r="BX98" s="707"/>
      <c r="CA98" s="714"/>
      <c r="CB98" s="714"/>
      <c r="CE98" s="707"/>
      <c r="CF98" s="707"/>
      <c r="CG98" s="707"/>
      <c r="CH98" s="707"/>
      <c r="CI98" s="714"/>
      <c r="CJ98" s="714"/>
      <c r="CK98" s="714"/>
      <c r="CL98" s="714"/>
      <c r="CM98" s="714"/>
      <c r="CN98" s="714"/>
      <c r="CO98" s="714"/>
      <c r="CP98" s="714"/>
      <c r="CQ98" s="714"/>
      <c r="CR98" s="714"/>
    </row>
    <row r="99" spans="14:96" ht="12.75" customHeight="1" x14ac:dyDescent="0.25">
      <c r="N99" s="707"/>
      <c r="O99" s="707"/>
      <c r="P99" s="707"/>
      <c r="Q99" s="708"/>
      <c r="R99" s="708"/>
      <c r="S99" s="707"/>
      <c r="T99" s="707"/>
      <c r="U99" s="707"/>
      <c r="V99" s="707"/>
      <c r="W99" s="707"/>
      <c r="X99" s="707"/>
      <c r="Y99" s="707"/>
      <c r="Z99" s="707"/>
      <c r="AA99" s="707"/>
      <c r="AB99" s="707"/>
      <c r="AC99" s="707"/>
      <c r="AD99" s="707"/>
      <c r="AE99" s="707"/>
      <c r="AF99" s="707"/>
      <c r="AG99" s="707"/>
      <c r="AH99" s="707"/>
      <c r="AI99" s="707"/>
      <c r="AJ99" s="707"/>
      <c r="AK99" s="707"/>
      <c r="AL99" s="707"/>
      <c r="AM99" s="707"/>
      <c r="AN99" s="707"/>
      <c r="AO99" s="707"/>
      <c r="AP99" s="708"/>
      <c r="AQ99" s="707"/>
      <c r="AR99" s="707"/>
      <c r="AS99" s="707"/>
      <c r="AT99" s="707"/>
      <c r="AU99" s="707"/>
      <c r="AV99" s="707"/>
      <c r="AW99" s="707"/>
      <c r="AX99" s="707"/>
      <c r="AY99" s="707"/>
      <c r="AZ99" s="707"/>
      <c r="BA99" s="707"/>
      <c r="BB99" s="707"/>
      <c r="BC99" s="707"/>
      <c r="BD99" s="707"/>
      <c r="BE99" s="707"/>
      <c r="BF99" s="707"/>
      <c r="BG99" s="707"/>
      <c r="BH99" s="707"/>
      <c r="BI99" s="707"/>
      <c r="BJ99" s="707"/>
      <c r="BK99" s="707"/>
      <c r="BL99" s="707"/>
      <c r="BM99" s="707"/>
      <c r="BN99" s="707"/>
      <c r="BO99" s="707"/>
      <c r="BP99" s="707"/>
      <c r="BQ99" s="707"/>
      <c r="BR99" s="707"/>
      <c r="BS99" s="707"/>
      <c r="BT99" s="707"/>
      <c r="BU99" s="707"/>
      <c r="BV99" s="707"/>
      <c r="BX99" s="707"/>
      <c r="CA99" s="714"/>
      <c r="CB99" s="714"/>
      <c r="CE99" s="707"/>
      <c r="CF99" s="707"/>
      <c r="CG99" s="707"/>
      <c r="CH99" s="707"/>
      <c r="CI99" s="714"/>
      <c r="CJ99" s="714"/>
      <c r="CK99" s="714"/>
      <c r="CL99" s="714"/>
      <c r="CM99" s="714"/>
      <c r="CN99" s="714"/>
      <c r="CO99" s="714"/>
      <c r="CP99" s="714"/>
      <c r="CQ99" s="714"/>
      <c r="CR99" s="714"/>
    </row>
    <row r="100" spans="14:96" ht="12.75" customHeight="1" x14ac:dyDescent="0.25">
      <c r="N100" s="707"/>
      <c r="O100" s="707"/>
      <c r="P100" s="707"/>
      <c r="Q100" s="708"/>
      <c r="R100" s="708"/>
      <c r="S100" s="707"/>
      <c r="T100" s="707"/>
      <c r="U100" s="707"/>
      <c r="V100" s="707"/>
      <c r="W100" s="707"/>
      <c r="X100" s="707"/>
      <c r="Y100" s="707"/>
      <c r="Z100" s="707"/>
      <c r="AA100" s="707"/>
      <c r="AB100" s="707"/>
      <c r="AC100" s="707"/>
      <c r="AD100" s="707"/>
      <c r="AE100" s="707"/>
      <c r="AF100" s="707"/>
      <c r="AG100" s="707"/>
      <c r="AH100" s="707"/>
      <c r="AI100" s="707"/>
      <c r="AJ100" s="707"/>
      <c r="AK100" s="707"/>
      <c r="AL100" s="707"/>
      <c r="AM100" s="707"/>
      <c r="AN100" s="707"/>
      <c r="AO100" s="707"/>
      <c r="AP100" s="708"/>
      <c r="AQ100" s="707"/>
      <c r="AR100" s="707"/>
      <c r="AS100" s="707"/>
      <c r="AT100" s="707"/>
      <c r="AU100" s="707"/>
      <c r="AV100" s="707"/>
      <c r="AW100" s="707"/>
      <c r="AX100" s="707"/>
      <c r="AY100" s="707"/>
      <c r="AZ100" s="707"/>
      <c r="BA100" s="707"/>
      <c r="BB100" s="707"/>
      <c r="BC100" s="707"/>
      <c r="BD100" s="707"/>
      <c r="BE100" s="707"/>
      <c r="BF100" s="707"/>
      <c r="BG100" s="707"/>
      <c r="BH100" s="707"/>
      <c r="BI100" s="707"/>
      <c r="BJ100" s="707"/>
      <c r="BK100" s="707"/>
      <c r="BL100" s="707"/>
      <c r="BM100" s="707"/>
      <c r="BN100" s="707"/>
      <c r="BO100" s="707"/>
      <c r="BP100" s="707"/>
      <c r="BQ100" s="707"/>
      <c r="BR100" s="707"/>
      <c r="BS100" s="707"/>
      <c r="BT100" s="707"/>
      <c r="BU100" s="707"/>
      <c r="BV100" s="707"/>
      <c r="BX100" s="707"/>
      <c r="CA100" s="714"/>
      <c r="CB100" s="714"/>
      <c r="CE100" s="707"/>
      <c r="CF100" s="707"/>
      <c r="CG100" s="707"/>
      <c r="CH100" s="707"/>
      <c r="CI100" s="714"/>
      <c r="CJ100" s="714"/>
      <c r="CK100" s="714"/>
      <c r="CL100" s="714"/>
      <c r="CM100" s="714"/>
      <c r="CN100" s="714"/>
      <c r="CO100" s="714"/>
      <c r="CP100" s="714"/>
      <c r="CQ100" s="714"/>
      <c r="CR100" s="714"/>
    </row>
    <row r="101" spans="14:96" ht="12.75" customHeight="1" x14ac:dyDescent="0.25">
      <c r="N101" s="707"/>
      <c r="O101" s="707"/>
      <c r="P101" s="707"/>
      <c r="Q101" s="708"/>
      <c r="R101" s="708"/>
      <c r="S101" s="707"/>
      <c r="T101" s="707"/>
      <c r="U101" s="707"/>
      <c r="V101" s="707"/>
      <c r="W101" s="707"/>
      <c r="X101" s="707"/>
      <c r="Y101" s="707"/>
      <c r="Z101" s="707"/>
      <c r="AA101" s="707"/>
      <c r="AB101" s="707"/>
      <c r="AC101" s="707"/>
      <c r="AD101" s="707"/>
      <c r="AE101" s="707"/>
      <c r="AF101" s="707"/>
      <c r="AG101" s="707"/>
      <c r="AH101" s="707"/>
      <c r="AI101" s="707"/>
      <c r="AJ101" s="707"/>
      <c r="AK101" s="707"/>
      <c r="AL101" s="707"/>
      <c r="AM101" s="707"/>
      <c r="AN101" s="707"/>
      <c r="AO101" s="707"/>
      <c r="AP101" s="708"/>
      <c r="AQ101" s="707"/>
      <c r="AR101" s="707"/>
      <c r="AS101" s="707"/>
      <c r="AT101" s="707"/>
      <c r="AU101" s="707"/>
      <c r="AV101" s="707"/>
      <c r="AW101" s="707"/>
      <c r="AX101" s="707"/>
      <c r="AY101" s="707"/>
      <c r="AZ101" s="707"/>
      <c r="BA101" s="707"/>
      <c r="BB101" s="707"/>
      <c r="BC101" s="707"/>
      <c r="BD101" s="707"/>
      <c r="BE101" s="707"/>
      <c r="BF101" s="707"/>
      <c r="BG101" s="707"/>
      <c r="BH101" s="707"/>
      <c r="BI101" s="707"/>
      <c r="BJ101" s="707"/>
      <c r="BK101" s="707"/>
      <c r="BL101" s="707"/>
      <c r="BM101" s="707"/>
      <c r="BN101" s="707"/>
      <c r="BO101" s="707"/>
      <c r="BP101" s="707"/>
      <c r="BQ101" s="707"/>
      <c r="BR101" s="707"/>
      <c r="BS101" s="707"/>
      <c r="BT101" s="707"/>
      <c r="BU101" s="707"/>
      <c r="BV101" s="707"/>
      <c r="BX101" s="707"/>
      <c r="CA101" s="714"/>
      <c r="CB101" s="714"/>
      <c r="CE101" s="707"/>
      <c r="CF101" s="707"/>
      <c r="CG101" s="707"/>
      <c r="CH101" s="707"/>
      <c r="CI101" s="714"/>
      <c r="CJ101" s="714"/>
      <c r="CK101" s="714"/>
      <c r="CL101" s="714"/>
      <c r="CM101" s="714"/>
      <c r="CN101" s="714"/>
      <c r="CO101" s="714"/>
      <c r="CP101" s="714"/>
      <c r="CQ101" s="714"/>
      <c r="CR101" s="714"/>
    </row>
    <row r="102" spans="14:96" ht="12.75" customHeight="1" x14ac:dyDescent="0.25">
      <c r="N102" s="707"/>
      <c r="O102" s="707"/>
      <c r="P102" s="707"/>
      <c r="Q102" s="708"/>
      <c r="R102" s="708"/>
      <c r="S102" s="707"/>
      <c r="T102" s="707"/>
      <c r="U102" s="707"/>
      <c r="V102" s="707"/>
      <c r="W102" s="707"/>
      <c r="X102" s="707"/>
      <c r="Y102" s="707"/>
      <c r="Z102" s="707"/>
      <c r="AA102" s="707"/>
      <c r="AB102" s="707"/>
      <c r="AC102" s="707"/>
      <c r="AD102" s="707"/>
      <c r="AE102" s="707"/>
      <c r="AF102" s="707"/>
      <c r="AG102" s="707"/>
      <c r="AH102" s="707"/>
      <c r="AI102" s="707"/>
      <c r="AJ102" s="707"/>
      <c r="AK102" s="707"/>
      <c r="AL102" s="707"/>
      <c r="AM102" s="707"/>
      <c r="AN102" s="707"/>
      <c r="AO102" s="707"/>
      <c r="AP102" s="708"/>
      <c r="AQ102" s="707"/>
      <c r="AR102" s="707"/>
      <c r="AS102" s="707"/>
      <c r="AT102" s="707"/>
      <c r="AU102" s="707"/>
      <c r="AV102" s="707"/>
      <c r="AW102" s="707"/>
      <c r="AX102" s="707"/>
      <c r="AY102" s="707"/>
      <c r="AZ102" s="707"/>
      <c r="BA102" s="707"/>
      <c r="BB102" s="707"/>
      <c r="BC102" s="707"/>
      <c r="BD102" s="707"/>
      <c r="BE102" s="707"/>
      <c r="BF102" s="707"/>
      <c r="BG102" s="707"/>
      <c r="BH102" s="707"/>
      <c r="BI102" s="707"/>
      <c r="BJ102" s="707"/>
      <c r="BK102" s="707"/>
      <c r="BL102" s="707"/>
      <c r="BM102" s="707"/>
      <c r="BN102" s="707"/>
      <c r="BO102" s="707"/>
      <c r="BP102" s="707"/>
      <c r="BQ102" s="707"/>
      <c r="BR102" s="707"/>
      <c r="BS102" s="707"/>
      <c r="BT102" s="707"/>
      <c r="BU102" s="707"/>
      <c r="BV102" s="707"/>
      <c r="BX102" s="707"/>
      <c r="CA102" s="714"/>
      <c r="CB102" s="714"/>
      <c r="CE102" s="707"/>
      <c r="CF102" s="707"/>
      <c r="CG102" s="707"/>
      <c r="CH102" s="707"/>
      <c r="CI102" s="714"/>
      <c r="CJ102" s="714"/>
      <c r="CK102" s="714"/>
      <c r="CL102" s="714"/>
      <c r="CM102" s="714"/>
      <c r="CN102" s="714"/>
      <c r="CO102" s="714"/>
      <c r="CP102" s="714"/>
      <c r="CQ102" s="714"/>
      <c r="CR102" s="714"/>
    </row>
    <row r="103" spans="14:96" ht="12.75" customHeight="1" x14ac:dyDescent="0.25">
      <c r="N103" s="707"/>
      <c r="O103" s="707"/>
      <c r="P103" s="707"/>
      <c r="Q103" s="708"/>
      <c r="R103" s="708"/>
      <c r="S103" s="707"/>
      <c r="T103" s="707"/>
      <c r="U103" s="707"/>
      <c r="V103" s="707"/>
      <c r="W103" s="707"/>
      <c r="X103" s="707"/>
      <c r="Y103" s="707"/>
      <c r="Z103" s="707"/>
      <c r="AA103" s="707"/>
      <c r="AB103" s="707"/>
      <c r="AC103" s="707"/>
      <c r="AD103" s="707"/>
      <c r="AE103" s="707"/>
      <c r="AF103" s="707"/>
      <c r="AG103" s="707"/>
      <c r="AH103" s="707"/>
      <c r="AI103" s="707"/>
      <c r="AJ103" s="707"/>
      <c r="AK103" s="707"/>
      <c r="AL103" s="707"/>
      <c r="AM103" s="707"/>
      <c r="AN103" s="707"/>
      <c r="AO103" s="707"/>
      <c r="AP103" s="708"/>
      <c r="AQ103" s="707"/>
      <c r="AR103" s="707"/>
      <c r="AS103" s="707"/>
      <c r="AT103" s="707"/>
      <c r="AU103" s="707"/>
      <c r="AV103" s="707"/>
      <c r="AW103" s="707"/>
      <c r="AX103" s="707"/>
      <c r="AY103" s="707"/>
      <c r="AZ103" s="707"/>
      <c r="BA103" s="707"/>
      <c r="BB103" s="707"/>
      <c r="BC103" s="707"/>
      <c r="BD103" s="707"/>
      <c r="BE103" s="707"/>
      <c r="BF103" s="707"/>
      <c r="BG103" s="707"/>
      <c r="BH103" s="707"/>
      <c r="BI103" s="707"/>
      <c r="BJ103" s="707"/>
      <c r="BK103" s="707"/>
      <c r="BL103" s="707"/>
      <c r="BM103" s="707"/>
      <c r="BN103" s="707"/>
      <c r="BO103" s="707"/>
      <c r="BP103" s="707"/>
      <c r="BQ103" s="707"/>
      <c r="BR103" s="707"/>
      <c r="BS103" s="707"/>
      <c r="BT103" s="707"/>
      <c r="BU103" s="707"/>
      <c r="BV103" s="707"/>
      <c r="BX103" s="707"/>
      <c r="CA103" s="714"/>
      <c r="CB103" s="714"/>
      <c r="CE103" s="707"/>
      <c r="CF103" s="707"/>
      <c r="CG103" s="707"/>
      <c r="CH103" s="707"/>
      <c r="CI103" s="714"/>
      <c r="CJ103" s="714"/>
      <c r="CK103" s="714"/>
      <c r="CL103" s="714"/>
      <c r="CM103" s="714"/>
      <c r="CN103" s="714"/>
      <c r="CO103" s="714"/>
      <c r="CP103" s="714"/>
      <c r="CQ103" s="714"/>
      <c r="CR103" s="714"/>
    </row>
    <row r="104" spans="14:96" ht="12.75" customHeight="1" x14ac:dyDescent="0.25">
      <c r="N104" s="707"/>
      <c r="O104" s="707"/>
      <c r="P104" s="707"/>
      <c r="Q104" s="708"/>
      <c r="R104" s="708"/>
      <c r="S104" s="707"/>
      <c r="T104" s="707"/>
      <c r="U104" s="707"/>
      <c r="V104" s="707"/>
      <c r="W104" s="707"/>
      <c r="X104" s="707"/>
      <c r="Y104" s="707"/>
      <c r="Z104" s="707"/>
      <c r="AA104" s="707"/>
      <c r="AB104" s="707"/>
      <c r="AC104" s="707"/>
      <c r="AD104" s="707"/>
      <c r="AE104" s="707"/>
      <c r="AF104" s="707"/>
      <c r="AG104" s="707"/>
      <c r="AH104" s="707"/>
      <c r="AI104" s="707"/>
      <c r="AJ104" s="707"/>
      <c r="AK104" s="707"/>
      <c r="AL104" s="707"/>
      <c r="AM104" s="707"/>
      <c r="AN104" s="707"/>
      <c r="AO104" s="707"/>
      <c r="AP104" s="708"/>
      <c r="AQ104" s="707"/>
      <c r="AR104" s="707"/>
      <c r="AS104" s="707"/>
      <c r="AT104" s="707"/>
      <c r="AU104" s="707"/>
      <c r="AV104" s="707"/>
      <c r="AW104" s="707"/>
      <c r="AX104" s="707"/>
      <c r="AY104" s="707"/>
      <c r="AZ104" s="707"/>
      <c r="BA104" s="707"/>
      <c r="BB104" s="707"/>
      <c r="BC104" s="707"/>
      <c r="BD104" s="707"/>
      <c r="BE104" s="707"/>
      <c r="BF104" s="707"/>
      <c r="BG104" s="707"/>
      <c r="BH104" s="707"/>
      <c r="BI104" s="707"/>
      <c r="BJ104" s="707"/>
      <c r="BK104" s="707"/>
      <c r="BL104" s="707"/>
      <c r="BM104" s="707"/>
      <c r="BN104" s="707"/>
      <c r="BO104" s="707"/>
      <c r="BP104" s="707"/>
      <c r="BQ104" s="707"/>
      <c r="BR104" s="707"/>
      <c r="BS104" s="707"/>
      <c r="BT104" s="707"/>
      <c r="BU104" s="707"/>
      <c r="BV104" s="707"/>
      <c r="BX104" s="707"/>
      <c r="CA104" s="714"/>
      <c r="CB104" s="714"/>
      <c r="CE104" s="707"/>
      <c r="CF104" s="707"/>
      <c r="CG104" s="707"/>
      <c r="CH104" s="707"/>
      <c r="CI104" s="714"/>
      <c r="CJ104" s="714"/>
      <c r="CK104" s="714"/>
      <c r="CL104" s="714"/>
      <c r="CM104" s="714"/>
      <c r="CN104" s="714"/>
      <c r="CO104" s="714"/>
      <c r="CP104" s="714"/>
      <c r="CQ104" s="714"/>
      <c r="CR104" s="714"/>
    </row>
    <row r="105" spans="14:96" ht="12.75" customHeight="1" x14ac:dyDescent="0.25">
      <c r="N105" s="707"/>
      <c r="O105" s="707"/>
      <c r="P105" s="707"/>
      <c r="Q105" s="708"/>
      <c r="R105" s="708"/>
      <c r="S105" s="707"/>
      <c r="T105" s="707"/>
      <c r="U105" s="707"/>
      <c r="V105" s="707"/>
      <c r="W105" s="707"/>
      <c r="X105" s="707"/>
      <c r="Y105" s="707"/>
      <c r="Z105" s="707"/>
      <c r="AA105" s="707"/>
      <c r="AB105" s="707"/>
      <c r="AC105" s="707"/>
      <c r="AD105" s="707"/>
      <c r="AE105" s="707"/>
      <c r="AF105" s="707"/>
      <c r="AG105" s="707"/>
      <c r="AH105" s="707"/>
      <c r="AI105" s="707"/>
      <c r="AJ105" s="707"/>
      <c r="AK105" s="707"/>
      <c r="AL105" s="707"/>
      <c r="AM105" s="707"/>
      <c r="AN105" s="707"/>
      <c r="AO105" s="707"/>
      <c r="AP105" s="708"/>
      <c r="AQ105" s="707"/>
      <c r="AR105" s="707"/>
      <c r="AS105" s="707"/>
      <c r="AT105" s="707"/>
      <c r="AU105" s="707"/>
      <c r="AV105" s="707"/>
      <c r="AW105" s="707"/>
      <c r="AX105" s="707"/>
      <c r="AY105" s="707"/>
      <c r="AZ105" s="707"/>
      <c r="BA105" s="707"/>
      <c r="BB105" s="707"/>
      <c r="BC105" s="707"/>
      <c r="BD105" s="707"/>
      <c r="BE105" s="707"/>
      <c r="BF105" s="707"/>
      <c r="BG105" s="707"/>
      <c r="BH105" s="707"/>
      <c r="BI105" s="707"/>
      <c r="BJ105" s="707"/>
      <c r="BK105" s="707"/>
      <c r="BL105" s="707"/>
      <c r="BM105" s="707"/>
      <c r="BN105" s="707"/>
      <c r="BO105" s="707"/>
      <c r="BP105" s="707"/>
      <c r="BQ105" s="707"/>
      <c r="BR105" s="707"/>
      <c r="BS105" s="707"/>
      <c r="BT105" s="707"/>
      <c r="BU105" s="707"/>
      <c r="BV105" s="707"/>
      <c r="BX105" s="707"/>
      <c r="CA105" s="714"/>
      <c r="CB105" s="714"/>
      <c r="CE105" s="707"/>
      <c r="CF105" s="707"/>
      <c r="CG105" s="707"/>
      <c r="CH105" s="707"/>
      <c r="CI105" s="714"/>
      <c r="CJ105" s="714"/>
      <c r="CK105" s="714"/>
      <c r="CL105" s="714"/>
      <c r="CM105" s="714"/>
      <c r="CN105" s="714"/>
      <c r="CO105" s="714"/>
      <c r="CP105" s="714"/>
      <c r="CQ105" s="714"/>
      <c r="CR105" s="714"/>
    </row>
    <row r="106" spans="14:96" ht="12.75" customHeight="1" x14ac:dyDescent="0.25">
      <c r="N106" s="707"/>
      <c r="O106" s="707"/>
      <c r="P106" s="707"/>
      <c r="Q106" s="708"/>
      <c r="R106" s="708"/>
      <c r="S106" s="707"/>
      <c r="T106" s="707"/>
      <c r="U106" s="707"/>
      <c r="V106" s="707"/>
      <c r="W106" s="707"/>
      <c r="X106" s="707"/>
      <c r="Y106" s="707"/>
      <c r="Z106" s="707"/>
      <c r="AA106" s="707"/>
      <c r="AB106" s="707"/>
      <c r="AC106" s="707"/>
      <c r="AD106" s="707"/>
      <c r="AE106" s="707"/>
      <c r="AF106" s="707"/>
      <c r="AG106" s="707"/>
      <c r="AH106" s="707"/>
      <c r="AI106" s="707"/>
      <c r="AJ106" s="707"/>
      <c r="AK106" s="707"/>
      <c r="AL106" s="707"/>
      <c r="AM106" s="707"/>
      <c r="AN106" s="707"/>
      <c r="AO106" s="707"/>
      <c r="AP106" s="708"/>
      <c r="AQ106" s="707"/>
      <c r="AR106" s="707"/>
      <c r="AS106" s="707"/>
      <c r="AT106" s="707"/>
      <c r="AU106" s="707"/>
      <c r="AV106" s="707"/>
      <c r="AW106" s="707"/>
      <c r="AX106" s="707"/>
      <c r="AY106" s="707"/>
      <c r="AZ106" s="707"/>
      <c r="BA106" s="707"/>
      <c r="BB106" s="707"/>
      <c r="BC106" s="707"/>
      <c r="BD106" s="707"/>
      <c r="BE106" s="707"/>
      <c r="BF106" s="707"/>
      <c r="BG106" s="707"/>
      <c r="BH106" s="707"/>
      <c r="BI106" s="707"/>
      <c r="BJ106" s="707"/>
      <c r="BK106" s="707"/>
      <c r="BL106" s="707"/>
      <c r="BM106" s="707"/>
      <c r="BN106" s="707"/>
      <c r="BO106" s="707"/>
      <c r="BP106" s="707"/>
      <c r="BQ106" s="707"/>
      <c r="BR106" s="707"/>
      <c r="BS106" s="707"/>
      <c r="BT106" s="707"/>
      <c r="BU106" s="707"/>
      <c r="BV106" s="707"/>
      <c r="BX106" s="707"/>
      <c r="CA106" s="714"/>
      <c r="CB106" s="714"/>
      <c r="CE106" s="707"/>
      <c r="CF106" s="707"/>
      <c r="CG106" s="707"/>
      <c r="CH106" s="707"/>
      <c r="CI106" s="714"/>
      <c r="CJ106" s="714"/>
      <c r="CK106" s="714"/>
      <c r="CL106" s="714"/>
      <c r="CM106" s="714"/>
      <c r="CN106" s="714"/>
      <c r="CO106" s="714"/>
      <c r="CP106" s="714"/>
      <c r="CQ106" s="714"/>
      <c r="CR106" s="714"/>
    </row>
    <row r="107" spans="14:96" ht="12.75" customHeight="1" x14ac:dyDescent="0.25">
      <c r="N107" s="707"/>
      <c r="O107" s="707"/>
      <c r="P107" s="707"/>
      <c r="Q107" s="708"/>
      <c r="R107" s="708"/>
      <c r="S107" s="707"/>
      <c r="T107" s="707"/>
      <c r="U107" s="707"/>
      <c r="V107" s="707"/>
      <c r="W107" s="707"/>
      <c r="X107" s="707"/>
      <c r="Y107" s="707"/>
      <c r="Z107" s="707"/>
      <c r="AA107" s="707"/>
      <c r="AB107" s="707"/>
      <c r="AC107" s="707"/>
      <c r="AD107" s="707"/>
      <c r="AE107" s="707"/>
      <c r="AF107" s="707"/>
      <c r="AG107" s="707"/>
      <c r="AH107" s="707"/>
      <c r="AI107" s="707"/>
      <c r="AJ107" s="707"/>
      <c r="AK107" s="707"/>
      <c r="AL107" s="707"/>
      <c r="AM107" s="707"/>
      <c r="AN107" s="707"/>
      <c r="AO107" s="707"/>
      <c r="AP107" s="708"/>
      <c r="AQ107" s="707"/>
      <c r="AR107" s="707"/>
      <c r="AS107" s="707"/>
      <c r="AT107" s="707"/>
      <c r="AU107" s="707"/>
      <c r="AV107" s="707"/>
      <c r="AW107" s="707"/>
      <c r="AX107" s="707"/>
      <c r="AY107" s="707"/>
      <c r="AZ107" s="707"/>
      <c r="BA107" s="707"/>
      <c r="BB107" s="707"/>
      <c r="BC107" s="707"/>
      <c r="BD107" s="707"/>
      <c r="BE107" s="707"/>
      <c r="BF107" s="707"/>
      <c r="BG107" s="707"/>
      <c r="BH107" s="707"/>
      <c r="BI107" s="707"/>
      <c r="BJ107" s="707"/>
      <c r="BK107" s="707"/>
      <c r="BL107" s="707"/>
      <c r="BM107" s="707"/>
      <c r="BN107" s="707"/>
      <c r="BO107" s="707"/>
      <c r="BP107" s="707"/>
      <c r="BQ107" s="707"/>
      <c r="BR107" s="707"/>
      <c r="BS107" s="707"/>
      <c r="BT107" s="707"/>
      <c r="BU107" s="707"/>
      <c r="BV107" s="707"/>
      <c r="BX107" s="707"/>
      <c r="CA107" s="714"/>
      <c r="CB107" s="714"/>
      <c r="CE107" s="707"/>
      <c r="CF107" s="707"/>
      <c r="CG107" s="707"/>
      <c r="CH107" s="707"/>
      <c r="CI107" s="714"/>
      <c r="CJ107" s="714"/>
      <c r="CK107" s="714"/>
      <c r="CL107" s="714"/>
      <c r="CM107" s="714"/>
      <c r="CN107" s="714"/>
      <c r="CO107" s="714"/>
      <c r="CP107" s="714"/>
      <c r="CQ107" s="714"/>
      <c r="CR107" s="714"/>
    </row>
    <row r="108" spans="14:96" ht="12.75" customHeight="1" x14ac:dyDescent="0.25">
      <c r="N108" s="707"/>
      <c r="O108" s="707"/>
      <c r="P108" s="707"/>
      <c r="Q108" s="708"/>
      <c r="R108" s="708"/>
      <c r="S108" s="707"/>
      <c r="T108" s="707"/>
      <c r="U108" s="707"/>
      <c r="V108" s="707"/>
      <c r="W108" s="707"/>
      <c r="X108" s="707"/>
      <c r="Y108" s="707"/>
      <c r="Z108" s="707"/>
      <c r="AA108" s="707"/>
      <c r="AB108" s="707"/>
      <c r="AC108" s="707"/>
      <c r="AD108" s="707"/>
      <c r="AE108" s="707"/>
      <c r="AF108" s="707"/>
      <c r="AG108" s="707"/>
      <c r="AH108" s="707"/>
      <c r="AI108" s="707"/>
      <c r="AJ108" s="707"/>
      <c r="AK108" s="707"/>
      <c r="AL108" s="707"/>
      <c r="AM108" s="707"/>
      <c r="AN108" s="707"/>
      <c r="AO108" s="707"/>
      <c r="AP108" s="708"/>
      <c r="AQ108" s="707"/>
      <c r="AR108" s="707"/>
      <c r="AS108" s="707"/>
      <c r="AT108" s="707"/>
      <c r="AU108" s="707"/>
      <c r="AV108" s="707"/>
      <c r="AW108" s="707"/>
      <c r="AX108" s="707"/>
      <c r="AY108" s="707"/>
      <c r="AZ108" s="707"/>
      <c r="BA108" s="707"/>
      <c r="BB108" s="707"/>
      <c r="BC108" s="707"/>
      <c r="BD108" s="707"/>
      <c r="BE108" s="707"/>
      <c r="BF108" s="707"/>
      <c r="BG108" s="707"/>
      <c r="BH108" s="707"/>
      <c r="BI108" s="707"/>
      <c r="BJ108" s="707"/>
      <c r="BK108" s="707"/>
      <c r="BL108" s="707"/>
      <c r="BM108" s="707"/>
      <c r="BN108" s="707"/>
      <c r="BO108" s="707"/>
      <c r="BP108" s="707"/>
      <c r="BQ108" s="707"/>
      <c r="BR108" s="707"/>
      <c r="BS108" s="707"/>
      <c r="BT108" s="707"/>
      <c r="BU108" s="707"/>
      <c r="BV108" s="707"/>
      <c r="BX108" s="707"/>
      <c r="CA108" s="714"/>
      <c r="CB108" s="714"/>
      <c r="CE108" s="707"/>
      <c r="CF108" s="707"/>
      <c r="CG108" s="707"/>
      <c r="CH108" s="707"/>
      <c r="CI108" s="714"/>
      <c r="CJ108" s="714"/>
      <c r="CK108" s="714"/>
      <c r="CL108" s="714"/>
      <c r="CM108" s="714"/>
      <c r="CN108" s="714"/>
      <c r="CO108" s="714"/>
      <c r="CP108" s="714"/>
      <c r="CQ108" s="714"/>
      <c r="CR108" s="714"/>
    </row>
    <row r="109" spans="14:96" ht="12.75" customHeight="1" x14ac:dyDescent="0.25">
      <c r="N109" s="707"/>
      <c r="O109" s="707"/>
      <c r="P109" s="707"/>
      <c r="Q109" s="708"/>
      <c r="R109" s="708"/>
      <c r="S109" s="707"/>
      <c r="T109" s="707"/>
      <c r="U109" s="707"/>
      <c r="V109" s="707"/>
      <c r="W109" s="707"/>
      <c r="X109" s="707"/>
      <c r="Y109" s="707"/>
      <c r="Z109" s="707"/>
      <c r="AA109" s="707"/>
      <c r="AB109" s="707"/>
      <c r="AC109" s="707"/>
      <c r="AD109" s="707"/>
      <c r="AE109" s="707"/>
      <c r="AF109" s="707"/>
      <c r="AG109" s="707"/>
      <c r="AH109" s="707"/>
      <c r="AI109" s="707"/>
      <c r="AJ109" s="707"/>
      <c r="AK109" s="707"/>
      <c r="AL109" s="707"/>
      <c r="AM109" s="707"/>
      <c r="AN109" s="707"/>
      <c r="AO109" s="707"/>
      <c r="AP109" s="708"/>
      <c r="AQ109" s="707"/>
      <c r="AR109" s="707"/>
      <c r="AS109" s="707"/>
      <c r="AT109" s="707"/>
      <c r="AU109" s="707"/>
      <c r="AV109" s="707"/>
      <c r="AW109" s="707"/>
      <c r="AX109" s="707"/>
      <c r="AY109" s="707"/>
      <c r="AZ109" s="707"/>
      <c r="BA109" s="707"/>
      <c r="BB109" s="707"/>
      <c r="BC109" s="707"/>
      <c r="BD109" s="707"/>
      <c r="BE109" s="707"/>
      <c r="BF109" s="707"/>
      <c r="BG109" s="707"/>
      <c r="BH109" s="707"/>
      <c r="BI109" s="707"/>
      <c r="BJ109" s="707"/>
      <c r="BK109" s="707"/>
      <c r="BL109" s="707"/>
      <c r="BM109" s="707"/>
      <c r="BN109" s="707"/>
      <c r="BO109" s="707"/>
      <c r="BP109" s="707"/>
      <c r="BQ109" s="707"/>
      <c r="BR109" s="707"/>
      <c r="BS109" s="707"/>
      <c r="BT109" s="707"/>
      <c r="BU109" s="707"/>
      <c r="BV109" s="707"/>
      <c r="BX109" s="707"/>
      <c r="CA109" s="714"/>
      <c r="CB109" s="714"/>
      <c r="CE109" s="707"/>
      <c r="CF109" s="707"/>
      <c r="CG109" s="707"/>
      <c r="CH109" s="707"/>
    </row>
    <row r="110" spans="14:96" ht="12.75" customHeight="1" x14ac:dyDescent="0.25">
      <c r="N110" s="707"/>
      <c r="O110" s="707"/>
      <c r="P110" s="707"/>
      <c r="Q110" s="708"/>
      <c r="R110" s="708"/>
      <c r="S110" s="707"/>
      <c r="T110" s="707"/>
      <c r="U110" s="707"/>
      <c r="V110" s="707"/>
      <c r="W110" s="707"/>
      <c r="X110" s="707"/>
      <c r="Y110" s="707"/>
      <c r="Z110" s="707"/>
      <c r="AA110" s="707"/>
      <c r="AB110" s="707"/>
      <c r="AC110" s="707"/>
      <c r="AD110" s="707"/>
      <c r="AE110" s="707"/>
      <c r="AF110" s="707"/>
      <c r="AG110" s="707"/>
      <c r="AH110" s="707"/>
      <c r="AI110" s="707"/>
      <c r="AJ110" s="707"/>
      <c r="AK110" s="707"/>
      <c r="AL110" s="707"/>
      <c r="AM110" s="707"/>
      <c r="AN110" s="707"/>
      <c r="AO110" s="707"/>
      <c r="AP110" s="708"/>
      <c r="AQ110" s="707"/>
      <c r="AR110" s="707"/>
      <c r="AS110" s="707"/>
      <c r="AT110" s="707"/>
      <c r="AU110" s="707"/>
      <c r="AV110" s="707"/>
      <c r="AW110" s="707"/>
      <c r="AX110" s="707"/>
      <c r="AY110" s="707"/>
      <c r="AZ110" s="707"/>
      <c r="BA110" s="707"/>
      <c r="BB110" s="707"/>
      <c r="BC110" s="707"/>
      <c r="BD110" s="707"/>
      <c r="BE110" s="707"/>
      <c r="BF110" s="707"/>
      <c r="BG110" s="707"/>
      <c r="BH110" s="707"/>
      <c r="BI110" s="707"/>
      <c r="BJ110" s="707"/>
      <c r="BK110" s="707"/>
      <c r="BL110" s="707"/>
      <c r="BM110" s="707"/>
      <c r="BN110" s="707"/>
      <c r="BO110" s="707"/>
      <c r="BP110" s="707"/>
      <c r="BQ110" s="707"/>
      <c r="BR110" s="707"/>
      <c r="BS110" s="707"/>
      <c r="BT110" s="707"/>
      <c r="BU110" s="707"/>
      <c r="BV110" s="707"/>
      <c r="BX110" s="707"/>
      <c r="CA110" s="714"/>
      <c r="CB110" s="714"/>
      <c r="CE110" s="707"/>
      <c r="CF110" s="707"/>
      <c r="CG110" s="707"/>
      <c r="CH110" s="707"/>
    </row>
    <row r="111" spans="14:96" ht="12.75" customHeight="1" x14ac:dyDescent="0.25">
      <c r="N111" s="707"/>
      <c r="O111" s="707"/>
      <c r="P111" s="707"/>
      <c r="Q111" s="708"/>
      <c r="R111" s="708"/>
      <c r="S111" s="707"/>
      <c r="T111" s="707"/>
      <c r="U111" s="707"/>
      <c r="V111" s="707"/>
      <c r="W111" s="707"/>
      <c r="X111" s="707"/>
      <c r="Y111" s="707"/>
      <c r="Z111" s="707"/>
      <c r="AA111" s="707"/>
      <c r="AB111" s="707"/>
      <c r="AC111" s="707"/>
      <c r="AD111" s="707"/>
      <c r="AE111" s="707"/>
      <c r="AF111" s="707"/>
      <c r="AG111" s="707"/>
      <c r="AH111" s="707"/>
      <c r="AI111" s="707"/>
      <c r="AJ111" s="707"/>
      <c r="AK111" s="707"/>
      <c r="AL111" s="707"/>
      <c r="AM111" s="707"/>
      <c r="AN111" s="707"/>
      <c r="AO111" s="707"/>
      <c r="AP111" s="708"/>
      <c r="AQ111" s="707"/>
      <c r="AR111" s="707"/>
      <c r="AS111" s="707"/>
      <c r="AT111" s="707"/>
      <c r="AU111" s="707"/>
      <c r="AV111" s="707"/>
      <c r="AW111" s="707"/>
      <c r="AX111" s="707"/>
      <c r="AY111" s="707"/>
      <c r="AZ111" s="707"/>
      <c r="BA111" s="707"/>
      <c r="BB111" s="707"/>
      <c r="BC111" s="707"/>
      <c r="BD111" s="707"/>
      <c r="BE111" s="707"/>
      <c r="BF111" s="707"/>
      <c r="BG111" s="707"/>
      <c r="BH111" s="707"/>
      <c r="BI111" s="707"/>
      <c r="BJ111" s="707"/>
      <c r="BK111" s="707"/>
      <c r="BL111" s="707"/>
      <c r="BM111" s="707"/>
      <c r="BN111" s="707"/>
      <c r="BO111" s="707"/>
      <c r="BP111" s="707"/>
      <c r="BQ111" s="707"/>
      <c r="BR111" s="707"/>
      <c r="BS111" s="707"/>
      <c r="BT111" s="707"/>
      <c r="BU111" s="707"/>
      <c r="BV111" s="707"/>
      <c r="BX111" s="707"/>
      <c r="CA111" s="714"/>
      <c r="CB111" s="714"/>
      <c r="CE111" s="707"/>
      <c r="CF111" s="707"/>
      <c r="CG111" s="707"/>
      <c r="CH111" s="707"/>
    </row>
    <row r="112" spans="14:96" ht="12.75" customHeight="1" x14ac:dyDescent="0.25">
      <c r="N112" s="707"/>
      <c r="O112" s="707"/>
      <c r="P112" s="707"/>
      <c r="Q112" s="708"/>
      <c r="R112" s="708"/>
      <c r="S112" s="707"/>
      <c r="T112" s="707"/>
      <c r="U112" s="707"/>
      <c r="V112" s="707"/>
      <c r="W112" s="707"/>
      <c r="X112" s="707"/>
      <c r="Y112" s="707"/>
      <c r="Z112" s="707"/>
      <c r="AA112" s="707"/>
      <c r="AB112" s="707"/>
      <c r="AC112" s="707"/>
      <c r="AD112" s="707"/>
      <c r="AE112" s="707"/>
      <c r="AF112" s="707"/>
      <c r="AG112" s="707"/>
      <c r="AH112" s="707"/>
      <c r="AI112" s="707"/>
      <c r="AJ112" s="707"/>
      <c r="AK112" s="707"/>
      <c r="AL112" s="707"/>
      <c r="AM112" s="707"/>
      <c r="AN112" s="707"/>
      <c r="AO112" s="707"/>
      <c r="AP112" s="708"/>
      <c r="AQ112" s="707"/>
      <c r="AR112" s="707"/>
      <c r="AS112" s="707"/>
      <c r="AT112" s="707"/>
      <c r="AU112" s="707"/>
      <c r="AV112" s="707"/>
      <c r="AW112" s="707"/>
      <c r="AX112" s="707"/>
      <c r="AY112" s="707"/>
      <c r="AZ112" s="707"/>
      <c r="BA112" s="707"/>
      <c r="BB112" s="707"/>
      <c r="BC112" s="707"/>
      <c r="BD112" s="707"/>
      <c r="BE112" s="707"/>
      <c r="BF112" s="707"/>
      <c r="BG112" s="707"/>
      <c r="BH112" s="707"/>
      <c r="BI112" s="707"/>
      <c r="BJ112" s="707"/>
      <c r="BK112" s="707"/>
      <c r="BL112" s="707"/>
      <c r="BM112" s="707"/>
      <c r="BN112" s="707"/>
      <c r="BO112" s="707"/>
      <c r="BP112" s="707"/>
      <c r="BQ112" s="707"/>
      <c r="BR112" s="707"/>
      <c r="BS112" s="707"/>
      <c r="BT112" s="707"/>
      <c r="BU112" s="707"/>
      <c r="BV112" s="707"/>
      <c r="BX112" s="707"/>
      <c r="CA112" s="714"/>
      <c r="CB112" s="714"/>
    </row>
    <row r="113" spans="14:80" ht="12.75" customHeight="1" x14ac:dyDescent="0.25">
      <c r="N113" s="707"/>
      <c r="O113" s="707"/>
      <c r="P113" s="707"/>
      <c r="Q113" s="708"/>
      <c r="R113" s="708"/>
      <c r="S113" s="707"/>
      <c r="T113" s="707"/>
      <c r="U113" s="707"/>
      <c r="V113" s="707"/>
      <c r="W113" s="707"/>
      <c r="X113" s="707"/>
      <c r="Y113" s="707"/>
      <c r="Z113" s="707"/>
      <c r="AA113" s="707"/>
      <c r="AB113" s="707"/>
      <c r="AC113" s="707"/>
      <c r="AD113" s="707"/>
      <c r="AE113" s="707"/>
      <c r="AF113" s="707"/>
      <c r="AG113" s="707"/>
      <c r="AH113" s="707"/>
      <c r="AI113" s="707"/>
      <c r="AJ113" s="707"/>
      <c r="AK113" s="707"/>
      <c r="AL113" s="707"/>
      <c r="AM113" s="707"/>
      <c r="AN113" s="707"/>
      <c r="AO113" s="707"/>
      <c r="AP113" s="708"/>
      <c r="AQ113" s="707"/>
      <c r="AR113" s="707"/>
      <c r="AS113" s="707"/>
      <c r="AT113" s="707"/>
      <c r="AU113" s="707"/>
      <c r="AV113" s="707"/>
      <c r="AW113" s="707"/>
      <c r="AX113" s="707"/>
      <c r="AY113" s="707"/>
      <c r="AZ113" s="707"/>
      <c r="BA113" s="707"/>
      <c r="BB113" s="707"/>
      <c r="BC113" s="707"/>
      <c r="BD113" s="707"/>
      <c r="BE113" s="707"/>
      <c r="BF113" s="707"/>
      <c r="BG113" s="707"/>
      <c r="BH113" s="707"/>
      <c r="BI113" s="707"/>
      <c r="BJ113" s="707"/>
      <c r="BK113" s="707"/>
      <c r="BL113" s="707"/>
      <c r="BM113" s="707"/>
      <c r="BN113" s="707"/>
      <c r="BO113" s="707"/>
      <c r="BP113" s="707"/>
      <c r="BQ113" s="707"/>
      <c r="BR113" s="707"/>
      <c r="BS113" s="707"/>
      <c r="BT113" s="707"/>
      <c r="BU113" s="707"/>
      <c r="BV113" s="707"/>
      <c r="BX113" s="707"/>
      <c r="CA113" s="714"/>
      <c r="CB113" s="714"/>
    </row>
    <row r="114" spans="14:80" ht="12.75" customHeight="1" x14ac:dyDescent="0.25">
      <c r="N114" s="707"/>
      <c r="O114" s="707"/>
      <c r="P114" s="707"/>
      <c r="Q114" s="708"/>
      <c r="R114" s="708"/>
      <c r="S114" s="707"/>
      <c r="T114" s="707"/>
      <c r="U114" s="707"/>
      <c r="V114" s="707"/>
      <c r="W114" s="707"/>
      <c r="X114" s="707"/>
      <c r="Y114" s="707"/>
      <c r="Z114" s="707"/>
      <c r="AA114" s="707"/>
      <c r="AB114" s="707"/>
      <c r="AC114" s="707"/>
      <c r="AD114" s="707"/>
      <c r="AE114" s="707"/>
      <c r="AF114" s="707"/>
      <c r="AG114" s="707"/>
      <c r="AH114" s="707"/>
      <c r="AI114" s="707"/>
      <c r="AJ114" s="707"/>
      <c r="AK114" s="707"/>
      <c r="AL114" s="707"/>
      <c r="AM114" s="707"/>
      <c r="AN114" s="707"/>
      <c r="AO114" s="707"/>
      <c r="AP114" s="708"/>
      <c r="AQ114" s="707"/>
      <c r="AR114" s="707"/>
      <c r="AS114" s="707"/>
      <c r="AT114" s="707"/>
      <c r="AU114" s="707"/>
      <c r="AV114" s="707"/>
      <c r="AW114" s="707"/>
      <c r="AX114" s="707"/>
      <c r="AY114" s="707"/>
      <c r="AZ114" s="707"/>
      <c r="BA114" s="707"/>
      <c r="BB114" s="707"/>
      <c r="BC114" s="707"/>
      <c r="BD114" s="707"/>
      <c r="BE114" s="707"/>
      <c r="BF114" s="707"/>
      <c r="BG114" s="707"/>
      <c r="BH114" s="707"/>
      <c r="BI114" s="707"/>
      <c r="BJ114" s="707"/>
      <c r="BK114" s="707"/>
      <c r="BL114" s="707"/>
      <c r="BM114" s="707"/>
      <c r="BN114" s="707"/>
      <c r="BO114" s="707"/>
      <c r="BP114" s="707"/>
      <c r="BQ114" s="707"/>
      <c r="BR114" s="707"/>
      <c r="BS114" s="707"/>
      <c r="BT114" s="707"/>
      <c r="BU114" s="707"/>
      <c r="BV114" s="707"/>
      <c r="BX114" s="707"/>
      <c r="CA114" s="714"/>
      <c r="CB114" s="714"/>
    </row>
    <row r="115" spans="14:80" ht="12.75" customHeight="1" x14ac:dyDescent="0.25">
      <c r="N115" s="707"/>
      <c r="O115" s="707"/>
      <c r="P115" s="707"/>
      <c r="Q115" s="708"/>
      <c r="R115" s="708"/>
      <c r="S115" s="707"/>
      <c r="T115" s="707"/>
      <c r="U115" s="707"/>
      <c r="V115" s="707"/>
      <c r="W115" s="707"/>
      <c r="X115" s="707"/>
      <c r="Y115" s="707"/>
      <c r="Z115" s="707"/>
      <c r="AA115" s="707"/>
      <c r="AB115" s="707"/>
      <c r="AC115" s="707"/>
      <c r="AD115" s="707"/>
      <c r="AE115" s="707"/>
      <c r="AF115" s="707"/>
      <c r="AG115" s="707"/>
      <c r="AH115" s="707"/>
      <c r="AI115" s="707"/>
      <c r="AJ115" s="707"/>
      <c r="AK115" s="707"/>
      <c r="AL115" s="707"/>
      <c r="AM115" s="707"/>
      <c r="AN115" s="707"/>
      <c r="AO115" s="707"/>
      <c r="AP115" s="708"/>
      <c r="AQ115" s="707"/>
      <c r="AR115" s="707"/>
      <c r="AS115" s="707"/>
      <c r="AT115" s="707"/>
      <c r="AU115" s="707"/>
      <c r="AV115" s="707"/>
      <c r="AW115" s="707"/>
      <c r="AX115" s="707"/>
      <c r="AY115" s="707"/>
      <c r="AZ115" s="707"/>
      <c r="BA115" s="707"/>
      <c r="BB115" s="707"/>
      <c r="BC115" s="707"/>
      <c r="BD115" s="707"/>
      <c r="BE115" s="707"/>
      <c r="BF115" s="707"/>
      <c r="BG115" s="707"/>
      <c r="BH115" s="707"/>
      <c r="BI115" s="707"/>
      <c r="BJ115" s="707"/>
      <c r="BK115" s="707"/>
      <c r="BL115" s="707"/>
      <c r="BM115" s="707"/>
      <c r="BN115" s="707"/>
      <c r="BO115" s="707"/>
      <c r="BP115" s="707"/>
      <c r="BQ115" s="707"/>
      <c r="BR115" s="707"/>
      <c r="BS115" s="707"/>
      <c r="BT115" s="707"/>
      <c r="BU115" s="707"/>
      <c r="BV115" s="707"/>
      <c r="BX115" s="707"/>
      <c r="CA115" s="714"/>
      <c r="CB115" s="714"/>
    </row>
    <row r="116" spans="14:80" ht="12.75" customHeight="1" x14ac:dyDescent="0.25">
      <c r="N116" s="707"/>
      <c r="O116" s="707"/>
      <c r="P116" s="707"/>
      <c r="Q116" s="708"/>
      <c r="R116" s="708"/>
      <c r="S116" s="707"/>
      <c r="T116" s="707"/>
      <c r="U116" s="707"/>
      <c r="V116" s="707"/>
      <c r="W116" s="707"/>
      <c r="X116" s="707"/>
      <c r="Y116" s="707"/>
      <c r="Z116" s="707"/>
      <c r="AA116" s="707"/>
      <c r="AB116" s="707"/>
      <c r="AC116" s="707"/>
      <c r="AD116" s="707"/>
      <c r="AE116" s="707"/>
      <c r="AF116" s="707"/>
      <c r="AG116" s="707"/>
      <c r="AH116" s="707"/>
      <c r="AI116" s="707"/>
      <c r="AJ116" s="707"/>
      <c r="AK116" s="707"/>
      <c r="AL116" s="707"/>
      <c r="AM116" s="707"/>
      <c r="AN116" s="707"/>
      <c r="AO116" s="707"/>
      <c r="AP116" s="708"/>
      <c r="AQ116" s="707"/>
      <c r="AR116" s="707"/>
      <c r="AS116" s="707"/>
      <c r="AT116" s="707"/>
      <c r="AU116" s="707"/>
      <c r="AV116" s="707"/>
      <c r="AW116" s="707"/>
      <c r="AX116" s="707"/>
      <c r="AY116" s="707"/>
      <c r="AZ116" s="707"/>
      <c r="BA116" s="707"/>
      <c r="BB116" s="707"/>
      <c r="BC116" s="707"/>
      <c r="BD116" s="707"/>
      <c r="BE116" s="707"/>
      <c r="BF116" s="707"/>
      <c r="BG116" s="707"/>
      <c r="BH116" s="707"/>
      <c r="BI116" s="707"/>
      <c r="BJ116" s="707"/>
      <c r="BK116" s="707"/>
      <c r="BL116" s="707"/>
      <c r="BM116" s="707"/>
      <c r="BN116" s="707"/>
      <c r="BO116" s="707"/>
      <c r="BP116" s="707"/>
      <c r="BQ116" s="707"/>
      <c r="BR116" s="707"/>
      <c r="BS116" s="707"/>
      <c r="BT116" s="707"/>
      <c r="BU116" s="707"/>
      <c r="BV116" s="707"/>
      <c r="BX116" s="707"/>
      <c r="CA116" s="714"/>
      <c r="CB116" s="714"/>
    </row>
    <row r="117" spans="14:80" ht="12.75" customHeight="1" x14ac:dyDescent="0.25">
      <c r="N117" s="707"/>
      <c r="O117" s="707"/>
      <c r="P117" s="707"/>
      <c r="Q117" s="708"/>
      <c r="R117" s="708"/>
      <c r="S117" s="707"/>
      <c r="T117" s="707"/>
      <c r="U117" s="707"/>
      <c r="V117" s="707"/>
      <c r="W117" s="707"/>
      <c r="X117" s="707"/>
      <c r="Y117" s="707"/>
      <c r="Z117" s="707"/>
      <c r="AA117" s="707"/>
      <c r="AB117" s="707"/>
      <c r="AC117" s="707"/>
      <c r="AD117" s="707"/>
      <c r="AE117" s="707"/>
      <c r="AF117" s="707"/>
      <c r="AG117" s="707"/>
      <c r="AH117" s="707"/>
      <c r="AI117" s="707"/>
      <c r="AJ117" s="707"/>
      <c r="AK117" s="707"/>
      <c r="AL117" s="707"/>
      <c r="AM117" s="707"/>
      <c r="AN117" s="707"/>
      <c r="AO117" s="707"/>
      <c r="AP117" s="708"/>
      <c r="AQ117" s="707"/>
      <c r="AR117" s="707"/>
      <c r="AS117" s="707"/>
      <c r="AT117" s="707"/>
      <c r="AU117" s="707"/>
      <c r="AV117" s="707"/>
      <c r="AW117" s="707"/>
      <c r="AX117" s="707"/>
      <c r="AY117" s="707"/>
      <c r="AZ117" s="707"/>
      <c r="BA117" s="707"/>
      <c r="BB117" s="707"/>
      <c r="BC117" s="707"/>
      <c r="BD117" s="707"/>
      <c r="BE117" s="707"/>
      <c r="BF117" s="707"/>
      <c r="BG117" s="707"/>
      <c r="BH117" s="707"/>
      <c r="BI117" s="707"/>
      <c r="BJ117" s="707"/>
      <c r="BK117" s="707"/>
      <c r="BL117" s="707"/>
      <c r="BM117" s="707"/>
      <c r="BN117" s="707"/>
      <c r="BO117" s="707"/>
      <c r="BP117" s="707"/>
      <c r="BQ117" s="707"/>
      <c r="BR117" s="707"/>
      <c r="BS117" s="707"/>
      <c r="BT117" s="707"/>
      <c r="BU117" s="707"/>
      <c r="BV117" s="707"/>
      <c r="BX117" s="707"/>
      <c r="CA117" s="714"/>
      <c r="CB117" s="714"/>
    </row>
    <row r="118" spans="14:80" ht="12.75" customHeight="1" x14ac:dyDescent="0.25">
      <c r="N118" s="707"/>
      <c r="O118" s="707"/>
      <c r="P118" s="707"/>
      <c r="Q118" s="708"/>
      <c r="R118" s="708"/>
      <c r="S118" s="707"/>
      <c r="T118" s="707"/>
      <c r="U118" s="707"/>
      <c r="V118" s="707"/>
      <c r="W118" s="707"/>
      <c r="X118" s="707"/>
      <c r="Y118" s="707"/>
      <c r="Z118" s="707"/>
      <c r="AA118" s="707"/>
      <c r="AB118" s="707"/>
      <c r="AC118" s="707"/>
      <c r="AD118" s="707"/>
      <c r="AE118" s="707"/>
      <c r="AF118" s="707"/>
      <c r="AG118" s="707"/>
      <c r="AH118" s="707"/>
      <c r="AI118" s="707"/>
      <c r="AJ118" s="707"/>
      <c r="AK118" s="707"/>
      <c r="AL118" s="707"/>
      <c r="AM118" s="707"/>
      <c r="AN118" s="707"/>
      <c r="AO118" s="707"/>
      <c r="AP118" s="708"/>
      <c r="AQ118" s="707"/>
      <c r="AR118" s="707"/>
      <c r="AS118" s="707"/>
      <c r="AT118" s="707"/>
      <c r="AU118" s="707"/>
      <c r="AV118" s="707"/>
      <c r="AW118" s="707"/>
      <c r="AX118" s="707"/>
      <c r="AY118" s="707"/>
      <c r="AZ118" s="707"/>
      <c r="BA118" s="707"/>
      <c r="BB118" s="707"/>
      <c r="BC118" s="707"/>
      <c r="BD118" s="707"/>
      <c r="BE118" s="707"/>
      <c r="BF118" s="707"/>
      <c r="BG118" s="707"/>
      <c r="BH118" s="707"/>
      <c r="BI118" s="707"/>
      <c r="BJ118" s="707"/>
      <c r="BK118" s="707"/>
      <c r="BL118" s="707"/>
      <c r="BM118" s="707"/>
      <c r="BN118" s="707"/>
      <c r="BO118" s="707"/>
      <c r="BP118" s="707"/>
      <c r="BQ118" s="707"/>
      <c r="BR118" s="707"/>
      <c r="BS118" s="707"/>
      <c r="BT118" s="707"/>
      <c r="BU118" s="707"/>
      <c r="BV118" s="707"/>
      <c r="BX118" s="707"/>
      <c r="CA118" s="714"/>
      <c r="CB118" s="714"/>
    </row>
    <row r="119" spans="14:80" ht="12.75" customHeight="1" x14ac:dyDescent="0.25">
      <c r="N119" s="707"/>
      <c r="O119" s="707"/>
      <c r="P119" s="707"/>
      <c r="Q119" s="708"/>
      <c r="R119" s="708"/>
      <c r="S119" s="707"/>
      <c r="T119" s="707"/>
      <c r="U119" s="707"/>
      <c r="V119" s="707"/>
      <c r="W119" s="707"/>
      <c r="X119" s="707"/>
      <c r="Y119" s="707"/>
      <c r="Z119" s="707"/>
      <c r="AA119" s="707"/>
      <c r="AB119" s="707"/>
      <c r="AC119" s="707"/>
      <c r="AD119" s="707"/>
      <c r="AE119" s="707"/>
      <c r="AF119" s="707"/>
      <c r="AG119" s="707"/>
      <c r="AH119" s="707"/>
      <c r="AI119" s="707"/>
      <c r="AJ119" s="707"/>
      <c r="AK119" s="707"/>
      <c r="AL119" s="707"/>
      <c r="AM119" s="707"/>
      <c r="AN119" s="707"/>
      <c r="AO119" s="707"/>
      <c r="AP119" s="708"/>
      <c r="AQ119" s="707"/>
      <c r="AR119" s="707"/>
      <c r="AS119" s="707"/>
      <c r="AT119" s="707"/>
      <c r="AU119" s="707"/>
      <c r="AV119" s="707"/>
      <c r="AW119" s="707"/>
      <c r="AX119" s="707"/>
      <c r="AY119" s="707"/>
      <c r="AZ119" s="707"/>
      <c r="BA119" s="707"/>
      <c r="BB119" s="707"/>
      <c r="BC119" s="707"/>
      <c r="BD119" s="707"/>
      <c r="BE119" s="707"/>
      <c r="BF119" s="707"/>
      <c r="BG119" s="707"/>
      <c r="BH119" s="707"/>
      <c r="BI119" s="707"/>
      <c r="BJ119" s="707"/>
      <c r="BK119" s="707"/>
      <c r="BL119" s="707"/>
      <c r="BM119" s="707"/>
      <c r="BN119" s="707"/>
      <c r="BO119" s="707"/>
      <c r="BP119" s="707"/>
      <c r="BQ119" s="707"/>
      <c r="BR119" s="707"/>
      <c r="BS119" s="707"/>
      <c r="BT119" s="707"/>
      <c r="BU119" s="707"/>
      <c r="BV119" s="707"/>
      <c r="BX119" s="707"/>
      <c r="CA119" s="714"/>
      <c r="CB119" s="714"/>
    </row>
    <row r="120" spans="14:80" ht="12.75" customHeight="1" x14ac:dyDescent="0.25">
      <c r="N120" s="2399"/>
      <c r="O120" s="2399"/>
      <c r="P120" s="2399"/>
      <c r="Q120" s="2400"/>
      <c r="R120" s="2400"/>
      <c r="S120" s="2399"/>
      <c r="T120" s="2399"/>
      <c r="U120" s="2399"/>
      <c r="V120" s="2399"/>
      <c r="W120" s="2399"/>
      <c r="X120" s="2399"/>
      <c r="Y120" s="2399"/>
      <c r="Z120" s="2399"/>
      <c r="AA120" s="2399"/>
      <c r="AB120" s="2399"/>
      <c r="AC120" s="2399"/>
      <c r="AD120" s="2399"/>
      <c r="AE120" s="2399"/>
      <c r="AF120" s="2399"/>
      <c r="AG120" s="2399"/>
      <c r="AH120" s="2399"/>
      <c r="AI120" s="2399"/>
      <c r="AJ120" s="2399"/>
      <c r="AK120" s="2399"/>
      <c r="AL120" s="2399"/>
      <c r="AM120" s="2399"/>
      <c r="AN120" s="2399"/>
      <c r="AO120" s="2399"/>
      <c r="AP120" s="2400"/>
      <c r="AQ120" s="2399"/>
      <c r="AR120" s="2399"/>
      <c r="AS120" s="2399"/>
      <c r="AT120" s="2399"/>
      <c r="AU120" s="2399"/>
      <c r="AV120" s="2399"/>
      <c r="AW120" s="2399"/>
      <c r="AX120" s="2399"/>
      <c r="AY120" s="2399"/>
      <c r="AZ120" s="2399"/>
      <c r="BA120" s="2399"/>
      <c r="BB120" s="2399"/>
      <c r="BC120" s="2399"/>
      <c r="BD120" s="2399"/>
      <c r="BE120" s="2399"/>
      <c r="BF120" s="2399"/>
      <c r="BG120" s="2399"/>
      <c r="BH120" s="2399"/>
      <c r="BI120" s="2399"/>
      <c r="BJ120" s="2399"/>
      <c r="BK120" s="2399"/>
      <c r="BL120" s="2399"/>
      <c r="BM120" s="2399"/>
      <c r="BN120" s="2399"/>
      <c r="BO120" s="2399"/>
      <c r="BP120" s="2399"/>
      <c r="BQ120" s="2399"/>
      <c r="BR120" s="2399"/>
      <c r="BS120" s="2399"/>
      <c r="BT120" s="2399"/>
      <c r="BU120" s="2399"/>
      <c r="BV120" s="2399"/>
      <c r="BY120" s="714"/>
      <c r="BZ120" s="714"/>
      <c r="CA120" s="714"/>
      <c r="CB120" s="714"/>
    </row>
    <row r="121" spans="14:80" ht="12.75" customHeight="1" x14ac:dyDescent="0.25">
      <c r="N121" s="2399"/>
      <c r="O121" s="2399"/>
      <c r="P121" s="2399"/>
      <c r="Q121" s="2400"/>
      <c r="R121" s="2400"/>
      <c r="S121" s="2399"/>
      <c r="T121" s="2399"/>
      <c r="U121" s="2399"/>
      <c r="V121" s="2399"/>
      <c r="W121" s="2399"/>
      <c r="X121" s="2399"/>
      <c r="Y121" s="2399"/>
      <c r="Z121" s="2399"/>
      <c r="AA121" s="2399"/>
      <c r="AB121" s="2399"/>
      <c r="AC121" s="2399"/>
      <c r="AD121" s="2399"/>
      <c r="AE121" s="2399"/>
      <c r="AF121" s="2399"/>
      <c r="AG121" s="2399"/>
      <c r="AH121" s="2399"/>
      <c r="AI121" s="2399"/>
      <c r="AJ121" s="2399"/>
      <c r="AK121" s="2399"/>
      <c r="AL121" s="2399"/>
      <c r="AM121" s="2399"/>
      <c r="AN121" s="2399"/>
      <c r="AO121" s="2399"/>
      <c r="AP121" s="2400"/>
      <c r="AQ121" s="2399"/>
      <c r="AR121" s="2399"/>
      <c r="AS121" s="2399"/>
      <c r="AT121" s="2399"/>
      <c r="AU121" s="2399"/>
      <c r="AV121" s="2399"/>
      <c r="AW121" s="2399"/>
      <c r="AX121" s="2399"/>
      <c r="AY121" s="2399"/>
      <c r="AZ121" s="2399"/>
      <c r="BA121" s="2399"/>
      <c r="BB121" s="2399"/>
      <c r="BC121" s="2399"/>
      <c r="BD121" s="2399"/>
      <c r="BE121" s="2399"/>
      <c r="BF121" s="2399"/>
      <c r="BG121" s="2399"/>
      <c r="BH121" s="2399"/>
      <c r="BI121" s="2399"/>
      <c r="BJ121" s="2399"/>
      <c r="BK121" s="2399"/>
      <c r="BL121" s="2399"/>
      <c r="BM121" s="2399"/>
      <c r="BN121" s="2399"/>
      <c r="BO121" s="2399"/>
      <c r="BP121" s="2399"/>
      <c r="BQ121" s="2399"/>
      <c r="BR121" s="2399"/>
      <c r="BS121" s="2399"/>
      <c r="BT121" s="2399"/>
      <c r="BU121" s="2399"/>
      <c r="BV121" s="2399"/>
      <c r="BY121" s="714"/>
      <c r="BZ121" s="714"/>
      <c r="CA121" s="714"/>
      <c r="CB121" s="714"/>
    </row>
    <row r="122" spans="14:80" ht="12.75" customHeight="1" x14ac:dyDescent="0.25">
      <c r="N122" s="2399"/>
      <c r="O122" s="2399"/>
      <c r="P122" s="2399"/>
      <c r="Q122" s="2400"/>
      <c r="R122" s="2400"/>
      <c r="S122" s="2399"/>
      <c r="T122" s="2399"/>
      <c r="U122" s="2399"/>
      <c r="V122" s="2399"/>
      <c r="W122" s="2399"/>
      <c r="X122" s="2399"/>
      <c r="Y122" s="2399"/>
      <c r="Z122" s="2399"/>
      <c r="AA122" s="2399"/>
      <c r="AB122" s="2399"/>
      <c r="AC122" s="2399"/>
      <c r="AD122" s="2399"/>
      <c r="AE122" s="2399"/>
      <c r="AF122" s="2399"/>
      <c r="AG122" s="2399"/>
      <c r="AH122" s="2399"/>
      <c r="AI122" s="2399"/>
      <c r="AJ122" s="2399"/>
      <c r="AK122" s="2399"/>
      <c r="AL122" s="2399"/>
      <c r="AM122" s="2399"/>
      <c r="AN122" s="2399"/>
      <c r="AO122" s="2399"/>
      <c r="AP122" s="2400"/>
      <c r="AQ122" s="2399"/>
      <c r="AR122" s="2399"/>
      <c r="AS122" s="2399"/>
      <c r="AT122" s="2399"/>
      <c r="AU122" s="2399"/>
      <c r="AV122" s="2399"/>
      <c r="AW122" s="2399"/>
      <c r="AX122" s="2399"/>
      <c r="AY122" s="2399"/>
      <c r="AZ122" s="2399"/>
      <c r="BA122" s="2399"/>
      <c r="BB122" s="2399"/>
      <c r="BC122" s="2399"/>
      <c r="BD122" s="2399"/>
      <c r="BE122" s="2399"/>
      <c r="BF122" s="2399"/>
      <c r="BG122" s="2399"/>
      <c r="BH122" s="2399"/>
      <c r="BI122" s="2399"/>
      <c r="BJ122" s="2399"/>
      <c r="BK122" s="2399"/>
      <c r="BL122" s="2399"/>
      <c r="BM122" s="2399"/>
      <c r="BN122" s="2399"/>
      <c r="BO122" s="2399"/>
      <c r="BP122" s="2399"/>
      <c r="BQ122" s="2399"/>
      <c r="BR122" s="2399"/>
      <c r="BS122" s="2399"/>
      <c r="BT122" s="2399"/>
      <c r="BU122" s="2399"/>
      <c r="BV122" s="2399"/>
      <c r="BY122" s="714"/>
      <c r="BZ122" s="714"/>
      <c r="CA122" s="714"/>
      <c r="CB122" s="714"/>
    </row>
    <row r="123" spans="14:80" ht="12.75" customHeight="1" x14ac:dyDescent="0.25">
      <c r="N123" s="2399"/>
      <c r="O123" s="2399"/>
      <c r="P123" s="2399"/>
      <c r="Q123" s="2400"/>
      <c r="R123" s="2400"/>
      <c r="S123" s="2399"/>
      <c r="T123" s="2399"/>
      <c r="U123" s="2399"/>
      <c r="V123" s="2399"/>
      <c r="W123" s="2399"/>
      <c r="X123" s="2399"/>
      <c r="Y123" s="2399"/>
      <c r="Z123" s="2399"/>
      <c r="AA123" s="2399"/>
      <c r="AB123" s="2399"/>
      <c r="AC123" s="2399"/>
      <c r="AD123" s="2399"/>
      <c r="AE123" s="2399"/>
      <c r="AF123" s="2399"/>
      <c r="AG123" s="2399"/>
      <c r="AH123" s="2399"/>
      <c r="AI123" s="2399"/>
      <c r="AJ123" s="2399"/>
      <c r="AK123" s="2399"/>
      <c r="AL123" s="2399"/>
      <c r="AM123" s="2399"/>
      <c r="AN123" s="2399"/>
      <c r="AO123" s="2399"/>
      <c r="AP123" s="2400"/>
      <c r="AQ123" s="2399"/>
      <c r="AR123" s="2399"/>
      <c r="AS123" s="2399"/>
      <c r="AT123" s="2399"/>
      <c r="AU123" s="2399"/>
      <c r="AV123" s="2399"/>
      <c r="AW123" s="2399"/>
      <c r="AX123" s="2399"/>
      <c r="AY123" s="2399"/>
      <c r="AZ123" s="2399"/>
      <c r="BA123" s="2399"/>
      <c r="BB123" s="2399"/>
      <c r="BC123" s="2399"/>
      <c r="BD123" s="2399"/>
      <c r="BE123" s="2399"/>
      <c r="BF123" s="2399"/>
      <c r="BG123" s="2399"/>
      <c r="BH123" s="2399"/>
      <c r="BI123" s="2399"/>
      <c r="BJ123" s="2399"/>
      <c r="BK123" s="2399"/>
      <c r="BL123" s="2399"/>
      <c r="BM123" s="2399"/>
      <c r="BN123" s="2399"/>
      <c r="BO123" s="2399"/>
      <c r="BP123" s="2399"/>
      <c r="BQ123" s="2399"/>
      <c r="BR123" s="2399"/>
      <c r="BS123" s="2399"/>
      <c r="BT123" s="2399"/>
      <c r="BU123" s="2399"/>
      <c r="BV123" s="2399"/>
      <c r="BY123" s="714"/>
      <c r="BZ123" s="714"/>
      <c r="CA123" s="714"/>
      <c r="CB123" s="714"/>
    </row>
    <row r="124" spans="14:80" ht="12.75" customHeight="1" x14ac:dyDescent="0.25">
      <c r="N124" s="2399"/>
      <c r="O124" s="2399"/>
      <c r="P124" s="2399"/>
      <c r="Q124" s="2400"/>
      <c r="R124" s="2400"/>
      <c r="S124" s="2399"/>
      <c r="T124" s="2399"/>
      <c r="U124" s="2399"/>
      <c r="V124" s="2399"/>
      <c r="W124" s="2399"/>
      <c r="X124" s="2399"/>
      <c r="Y124" s="2399"/>
      <c r="Z124" s="2399"/>
      <c r="AA124" s="2399"/>
      <c r="AB124" s="2399"/>
      <c r="AC124" s="2399"/>
      <c r="AD124" s="2399"/>
      <c r="AE124" s="2399"/>
      <c r="AF124" s="2399"/>
      <c r="AG124" s="2399"/>
      <c r="AH124" s="2399"/>
      <c r="AI124" s="2399"/>
      <c r="AJ124" s="2399"/>
      <c r="AK124" s="2399"/>
      <c r="AL124" s="2399"/>
      <c r="AM124" s="2399"/>
      <c r="AN124" s="2399"/>
      <c r="AO124" s="2399"/>
      <c r="AP124" s="2400"/>
      <c r="AQ124" s="2399"/>
      <c r="AR124" s="2399"/>
      <c r="AS124" s="2399"/>
      <c r="AT124" s="2399"/>
      <c r="AU124" s="2399"/>
      <c r="AV124" s="2399"/>
      <c r="AW124" s="2399"/>
      <c r="AX124" s="2399"/>
      <c r="AY124" s="2399"/>
      <c r="AZ124" s="2399"/>
      <c r="BA124" s="2399"/>
      <c r="BB124" s="2399"/>
      <c r="BC124" s="2399"/>
      <c r="BD124" s="2399"/>
      <c r="BE124" s="2399"/>
      <c r="BF124" s="2399"/>
      <c r="BG124" s="2399"/>
      <c r="BH124" s="2399"/>
      <c r="BI124" s="2399"/>
      <c r="BJ124" s="2399"/>
      <c r="BK124" s="2399"/>
      <c r="BL124" s="2399"/>
      <c r="BM124" s="2399"/>
      <c r="BN124" s="2399"/>
      <c r="BO124" s="2399"/>
      <c r="BP124" s="2399"/>
      <c r="BQ124" s="2399"/>
      <c r="BR124" s="2399"/>
      <c r="BS124" s="2399"/>
      <c r="BT124" s="2399"/>
      <c r="BU124" s="2399"/>
      <c r="BV124" s="2399"/>
      <c r="BY124" s="714"/>
      <c r="BZ124" s="714"/>
      <c r="CA124" s="714"/>
      <c r="CB124" s="714"/>
    </row>
    <row r="125" spans="14:80" ht="12.75" customHeight="1" x14ac:dyDescent="0.25">
      <c r="N125" s="2399"/>
      <c r="O125" s="2399"/>
      <c r="P125" s="2399"/>
      <c r="Q125" s="2400"/>
      <c r="R125" s="2400"/>
      <c r="S125" s="2399"/>
      <c r="T125" s="2399"/>
      <c r="U125" s="2399"/>
      <c r="V125" s="2399"/>
      <c r="W125" s="2399"/>
      <c r="X125" s="2399"/>
      <c r="Y125" s="2399"/>
      <c r="Z125" s="2399"/>
      <c r="AA125" s="2399"/>
      <c r="AB125" s="2399"/>
      <c r="AC125" s="2399"/>
      <c r="AD125" s="2399"/>
      <c r="AE125" s="2399"/>
      <c r="AF125" s="2399"/>
      <c r="AG125" s="2399"/>
      <c r="AH125" s="2399"/>
      <c r="AI125" s="2399"/>
      <c r="AJ125" s="2399"/>
      <c r="AK125" s="2399"/>
      <c r="AL125" s="2399"/>
      <c r="AM125" s="2399"/>
      <c r="AN125" s="2399"/>
      <c r="AO125" s="2399"/>
      <c r="AP125" s="2400"/>
      <c r="AQ125" s="2399"/>
      <c r="AR125" s="2399"/>
      <c r="AS125" s="2399"/>
      <c r="AT125" s="2399"/>
      <c r="AU125" s="2399"/>
      <c r="AV125" s="2399"/>
      <c r="AW125" s="2399"/>
      <c r="AX125" s="2399"/>
      <c r="AY125" s="2399"/>
      <c r="AZ125" s="2399"/>
      <c r="BA125" s="2399"/>
      <c r="BB125" s="2399"/>
      <c r="BC125" s="2399"/>
      <c r="BD125" s="2399"/>
      <c r="BE125" s="2399"/>
      <c r="BF125" s="2399"/>
      <c r="BG125" s="2399"/>
      <c r="BH125" s="2399"/>
      <c r="BI125" s="2399"/>
      <c r="BJ125" s="2399"/>
      <c r="BK125" s="2399"/>
      <c r="BL125" s="2399"/>
      <c r="BM125" s="2399"/>
      <c r="BN125" s="2399"/>
      <c r="BO125" s="2399"/>
      <c r="BP125" s="2399"/>
      <c r="BQ125" s="2399"/>
      <c r="BR125" s="2399"/>
      <c r="BS125" s="2399"/>
      <c r="BT125" s="2399"/>
      <c r="BU125" s="2399"/>
      <c r="BV125" s="2399"/>
      <c r="BY125" s="714"/>
      <c r="BZ125" s="714"/>
      <c r="CA125" s="714"/>
      <c r="CB125" s="714"/>
    </row>
    <row r="126" spans="14:80" ht="12.75" customHeight="1" x14ac:dyDescent="0.25">
      <c r="N126" s="2399"/>
      <c r="O126" s="2399"/>
      <c r="P126" s="2399"/>
      <c r="Q126" s="2400"/>
      <c r="R126" s="2400"/>
      <c r="S126" s="2399"/>
      <c r="T126" s="2399"/>
      <c r="U126" s="2399"/>
      <c r="V126" s="2399"/>
      <c r="W126" s="2399"/>
      <c r="X126" s="2399"/>
      <c r="Y126" s="2399"/>
      <c r="Z126" s="2399"/>
      <c r="AA126" s="2399"/>
      <c r="AB126" s="2399"/>
      <c r="AC126" s="2399"/>
      <c r="AD126" s="2399"/>
      <c r="AE126" s="2399"/>
      <c r="AF126" s="2399"/>
      <c r="AG126" s="2399"/>
      <c r="AH126" s="2399"/>
      <c r="AI126" s="2399"/>
      <c r="AJ126" s="2399"/>
      <c r="AK126" s="2399"/>
      <c r="AL126" s="2399"/>
      <c r="AM126" s="2399"/>
      <c r="AN126" s="2399"/>
      <c r="AO126" s="2399"/>
      <c r="AP126" s="2400"/>
      <c r="AQ126" s="2399"/>
      <c r="AR126" s="2399"/>
      <c r="AS126" s="2399"/>
      <c r="AT126" s="2399"/>
      <c r="AU126" s="2399"/>
      <c r="AV126" s="2399"/>
      <c r="AW126" s="2399"/>
      <c r="AX126" s="2399"/>
      <c r="AY126" s="2399"/>
      <c r="AZ126" s="2399"/>
      <c r="BA126" s="2399"/>
      <c r="BB126" s="2399"/>
      <c r="BC126" s="2399"/>
      <c r="BD126" s="2399"/>
      <c r="BE126" s="2399"/>
      <c r="BF126" s="2399"/>
      <c r="BG126" s="2399"/>
      <c r="BH126" s="2399"/>
      <c r="BI126" s="2399"/>
      <c r="BJ126" s="2399"/>
      <c r="BK126" s="2399"/>
      <c r="BL126" s="2399"/>
      <c r="BM126" s="2399"/>
      <c r="BN126" s="2399"/>
      <c r="BO126" s="2399"/>
      <c r="BP126" s="2399"/>
      <c r="BQ126" s="2399"/>
      <c r="BR126" s="2399"/>
      <c r="BS126" s="2399"/>
      <c r="BT126" s="2399"/>
      <c r="BU126" s="2399"/>
      <c r="BV126" s="2399"/>
      <c r="BY126" s="714"/>
      <c r="BZ126" s="714"/>
      <c r="CA126" s="714"/>
      <c r="CB126" s="714"/>
    </row>
    <row r="127" spans="14:80" ht="12.75" customHeight="1" x14ac:dyDescent="0.25">
      <c r="N127" s="2399"/>
      <c r="O127" s="2399"/>
      <c r="P127" s="2399"/>
      <c r="Q127" s="2400"/>
      <c r="R127" s="2400"/>
      <c r="S127" s="2399"/>
      <c r="T127" s="2399"/>
      <c r="U127" s="2399"/>
      <c r="V127" s="2399"/>
      <c r="W127" s="2399"/>
      <c r="X127" s="2399"/>
      <c r="Y127" s="2399"/>
      <c r="Z127" s="2399"/>
      <c r="AA127" s="2399"/>
      <c r="AB127" s="2399"/>
      <c r="AC127" s="2399"/>
      <c r="AD127" s="2399"/>
      <c r="AE127" s="2399"/>
      <c r="AF127" s="2399"/>
      <c r="AG127" s="2399"/>
      <c r="AH127" s="2399"/>
      <c r="AI127" s="2399"/>
      <c r="AJ127" s="2399"/>
      <c r="AK127" s="2399"/>
      <c r="AL127" s="2399"/>
      <c r="AM127" s="2399"/>
      <c r="AN127" s="2399"/>
      <c r="AO127" s="2399"/>
      <c r="AP127" s="2400"/>
      <c r="AQ127" s="2399"/>
      <c r="AR127" s="2399"/>
      <c r="AS127" s="2399"/>
      <c r="AT127" s="2399"/>
      <c r="AU127" s="2399"/>
      <c r="AV127" s="2399"/>
      <c r="AW127" s="2399"/>
      <c r="AX127" s="2399"/>
      <c r="AY127" s="2399"/>
      <c r="AZ127" s="2399"/>
      <c r="BA127" s="2399"/>
      <c r="BB127" s="2399"/>
      <c r="BC127" s="2399"/>
      <c r="BD127" s="2399"/>
      <c r="BE127" s="2399"/>
      <c r="BF127" s="2399"/>
      <c r="BG127" s="2399"/>
      <c r="BH127" s="2399"/>
      <c r="BI127" s="2399"/>
      <c r="BJ127" s="2399"/>
      <c r="BK127" s="2399"/>
      <c r="BL127" s="2399"/>
      <c r="BM127" s="2399"/>
      <c r="BN127" s="2399"/>
      <c r="BO127" s="2399"/>
      <c r="BP127" s="2399"/>
      <c r="BQ127" s="2399"/>
      <c r="BR127" s="2399"/>
      <c r="BS127" s="2399"/>
      <c r="BT127" s="2399"/>
      <c r="BU127" s="2399"/>
      <c r="BV127" s="2399"/>
      <c r="BY127" s="714"/>
      <c r="BZ127" s="714"/>
      <c r="CA127" s="714"/>
      <c r="CB127" s="714"/>
    </row>
    <row r="128" spans="14:80" ht="12.75" customHeight="1" x14ac:dyDescent="0.25">
      <c r="N128" s="2399"/>
      <c r="O128" s="2399"/>
      <c r="P128" s="2399"/>
      <c r="Q128" s="2400"/>
      <c r="R128" s="2400"/>
      <c r="S128" s="2399"/>
      <c r="T128" s="2399"/>
      <c r="U128" s="2399"/>
      <c r="V128" s="2399"/>
      <c r="W128" s="2399"/>
      <c r="X128" s="2399"/>
      <c r="Y128" s="2399"/>
      <c r="Z128" s="2399"/>
      <c r="AA128" s="2399"/>
      <c r="AB128" s="2399"/>
      <c r="AC128" s="2399"/>
      <c r="AD128" s="2399"/>
      <c r="AE128" s="2399"/>
      <c r="AF128" s="2399"/>
      <c r="AG128" s="2399"/>
      <c r="AH128" s="2399"/>
      <c r="AI128" s="2399"/>
      <c r="AJ128" s="2399"/>
      <c r="AK128" s="2399"/>
      <c r="AL128" s="2399"/>
      <c r="AM128" s="2399"/>
      <c r="AN128" s="2399"/>
      <c r="AO128" s="2399"/>
      <c r="AP128" s="2400"/>
      <c r="AQ128" s="2399"/>
      <c r="AR128" s="2399"/>
      <c r="AS128" s="2399"/>
      <c r="AT128" s="2399"/>
      <c r="AU128" s="2399"/>
      <c r="AV128" s="2399"/>
      <c r="AW128" s="2399"/>
      <c r="AX128" s="2399"/>
      <c r="AY128" s="2399"/>
      <c r="AZ128" s="2399"/>
      <c r="BA128" s="2399"/>
      <c r="BB128" s="2399"/>
      <c r="BC128" s="2399"/>
      <c r="BD128" s="2399"/>
      <c r="BE128" s="2399"/>
      <c r="BF128" s="2399"/>
      <c r="BG128" s="2399"/>
      <c r="BH128" s="2399"/>
      <c r="BI128" s="2399"/>
      <c r="BJ128" s="2399"/>
      <c r="BK128" s="2399"/>
      <c r="BL128" s="2399"/>
      <c r="BM128" s="2399"/>
      <c r="BN128" s="2399"/>
      <c r="BO128" s="2399"/>
      <c r="BP128" s="2399"/>
      <c r="BQ128" s="2399"/>
      <c r="BR128" s="2399"/>
      <c r="BS128" s="2399"/>
      <c r="BT128" s="2399"/>
      <c r="BU128" s="2399"/>
      <c r="BV128" s="2399"/>
      <c r="BY128" s="714"/>
      <c r="BZ128" s="714"/>
      <c r="CA128" s="714"/>
      <c r="CB128" s="714"/>
    </row>
    <row r="129" spans="14:80" ht="12.75" customHeight="1" x14ac:dyDescent="0.25">
      <c r="N129" s="2399"/>
      <c r="O129" s="2399"/>
      <c r="P129" s="2399"/>
      <c r="Q129" s="2400"/>
      <c r="R129" s="2400"/>
      <c r="S129" s="2399"/>
      <c r="T129" s="2399"/>
      <c r="U129" s="2399"/>
      <c r="V129" s="2399"/>
      <c r="W129" s="2399"/>
      <c r="X129" s="2399"/>
      <c r="Y129" s="2399"/>
      <c r="Z129" s="2399"/>
      <c r="AA129" s="2399"/>
      <c r="AB129" s="2399"/>
      <c r="AC129" s="2399"/>
      <c r="AD129" s="2399"/>
      <c r="AE129" s="2399"/>
      <c r="AF129" s="2399"/>
      <c r="AG129" s="2399"/>
      <c r="AH129" s="2399"/>
      <c r="AI129" s="2399"/>
      <c r="AJ129" s="2399"/>
      <c r="AK129" s="2399"/>
      <c r="AL129" s="2399"/>
      <c r="AM129" s="2399"/>
      <c r="AN129" s="2399"/>
      <c r="AO129" s="2399"/>
      <c r="AP129" s="2400"/>
      <c r="AQ129" s="2399"/>
      <c r="AR129" s="2399"/>
      <c r="AS129" s="2399"/>
      <c r="AT129" s="2399"/>
      <c r="AU129" s="2399"/>
      <c r="AV129" s="2399"/>
      <c r="AW129" s="2399"/>
      <c r="AX129" s="2399"/>
      <c r="AY129" s="2399"/>
      <c r="AZ129" s="2399"/>
      <c r="BA129" s="2399"/>
      <c r="BB129" s="2399"/>
      <c r="BC129" s="2399"/>
      <c r="BD129" s="2399"/>
      <c r="BE129" s="2399"/>
      <c r="BF129" s="2399"/>
      <c r="BG129" s="2399"/>
      <c r="BH129" s="2399"/>
      <c r="BI129" s="2399"/>
      <c r="BJ129" s="2399"/>
      <c r="BK129" s="2399"/>
      <c r="BL129" s="2399"/>
      <c r="BM129" s="2399"/>
      <c r="BN129" s="2399"/>
      <c r="BO129" s="2399"/>
      <c r="BP129" s="2399"/>
      <c r="BQ129" s="2399"/>
      <c r="BR129" s="2399"/>
      <c r="BS129" s="2399"/>
      <c r="BT129" s="2399"/>
      <c r="BU129" s="2399"/>
      <c r="BV129" s="2399"/>
      <c r="BY129" s="714"/>
      <c r="BZ129" s="714"/>
      <c r="CA129" s="714"/>
      <c r="CB129" s="714"/>
    </row>
    <row r="130" spans="14:80" ht="12.75" customHeight="1" x14ac:dyDescent="0.25">
      <c r="N130" s="2399"/>
      <c r="O130" s="2399"/>
      <c r="P130" s="2399"/>
      <c r="Q130" s="2400"/>
      <c r="R130" s="2400"/>
      <c r="S130" s="2399"/>
      <c r="T130" s="2399"/>
      <c r="U130" s="2399"/>
      <c r="V130" s="2399"/>
      <c r="W130" s="2399"/>
      <c r="X130" s="2399"/>
      <c r="Y130" s="2399"/>
      <c r="Z130" s="2399"/>
      <c r="AA130" s="2399"/>
      <c r="AB130" s="2399"/>
      <c r="AC130" s="2399"/>
      <c r="AD130" s="2399"/>
      <c r="AE130" s="2399"/>
      <c r="AF130" s="2399"/>
      <c r="AG130" s="2399"/>
      <c r="AH130" s="2399"/>
      <c r="AI130" s="2399"/>
      <c r="AJ130" s="2399"/>
      <c r="AK130" s="2399"/>
      <c r="AL130" s="2399"/>
      <c r="AM130" s="2399"/>
      <c r="AN130" s="2399"/>
      <c r="AO130" s="2399"/>
      <c r="AP130" s="2400"/>
      <c r="AQ130" s="2399"/>
      <c r="AR130" s="2399"/>
      <c r="AS130" s="2399"/>
      <c r="AT130" s="2399"/>
      <c r="AU130" s="2399"/>
      <c r="AV130" s="2399"/>
      <c r="AW130" s="2399"/>
      <c r="AX130" s="2399"/>
      <c r="AY130" s="2399"/>
      <c r="AZ130" s="2399"/>
      <c r="BA130" s="2399"/>
      <c r="BB130" s="2399"/>
      <c r="BC130" s="2399"/>
      <c r="BD130" s="2399"/>
      <c r="BE130" s="2399"/>
      <c r="BF130" s="2399"/>
      <c r="BG130" s="2399"/>
      <c r="BH130" s="2399"/>
      <c r="BI130" s="2399"/>
      <c r="BJ130" s="2399"/>
      <c r="BK130" s="2399"/>
      <c r="BL130" s="2399"/>
      <c r="BM130" s="2399"/>
      <c r="BN130" s="2399"/>
      <c r="BO130" s="2399"/>
      <c r="BP130" s="2399"/>
      <c r="BQ130" s="2399"/>
      <c r="BR130" s="2399"/>
      <c r="BS130" s="2399"/>
      <c r="BT130" s="2399"/>
      <c r="BU130" s="2399"/>
      <c r="BV130" s="2399"/>
      <c r="BY130" s="714"/>
      <c r="BZ130" s="714"/>
      <c r="CA130" s="714"/>
      <c r="CB130" s="714"/>
    </row>
    <row r="131" spans="14:80" ht="12.75" customHeight="1" x14ac:dyDescent="0.25">
      <c r="N131" s="2399"/>
      <c r="O131" s="2399"/>
      <c r="P131" s="2399"/>
      <c r="Q131" s="2400"/>
      <c r="R131" s="2400"/>
      <c r="S131" s="2399"/>
      <c r="T131" s="2399"/>
      <c r="U131" s="2399"/>
      <c r="V131" s="2399"/>
      <c r="W131" s="2399"/>
      <c r="X131" s="2399"/>
      <c r="Y131" s="2399"/>
      <c r="Z131" s="2399"/>
      <c r="AA131" s="2399"/>
      <c r="AB131" s="2399"/>
      <c r="AC131" s="2399"/>
      <c r="AD131" s="2399"/>
      <c r="AE131" s="2399"/>
      <c r="AF131" s="2399"/>
      <c r="AG131" s="2399"/>
      <c r="AH131" s="2399"/>
      <c r="AI131" s="2399"/>
      <c r="AJ131" s="2399"/>
      <c r="AK131" s="2399"/>
      <c r="AL131" s="2399"/>
      <c r="AM131" s="2399"/>
      <c r="AN131" s="2399"/>
      <c r="AO131" s="2399"/>
      <c r="AP131" s="2400"/>
      <c r="AQ131" s="2399"/>
      <c r="AR131" s="2399"/>
      <c r="AS131" s="2399"/>
      <c r="AT131" s="2399"/>
      <c r="AU131" s="2399"/>
      <c r="AV131" s="2399"/>
      <c r="AW131" s="2399"/>
      <c r="AX131" s="2399"/>
      <c r="AY131" s="2399"/>
      <c r="AZ131" s="2399"/>
      <c r="BA131" s="2399"/>
      <c r="BB131" s="2399"/>
      <c r="BC131" s="2399"/>
      <c r="BD131" s="2399"/>
      <c r="BE131" s="2399"/>
      <c r="BF131" s="2399"/>
      <c r="BG131" s="2399"/>
      <c r="BH131" s="2399"/>
      <c r="BI131" s="2399"/>
      <c r="BJ131" s="2399"/>
      <c r="BK131" s="2399"/>
      <c r="BL131" s="2399"/>
      <c r="BM131" s="2399"/>
      <c r="BN131" s="2399"/>
      <c r="BO131" s="2399"/>
      <c r="BP131" s="2399"/>
      <c r="BQ131" s="2399"/>
      <c r="BR131" s="2399"/>
      <c r="BS131" s="2399"/>
      <c r="BT131" s="2399"/>
      <c r="BU131" s="2399"/>
      <c r="BV131" s="2399"/>
      <c r="BY131" s="714"/>
      <c r="BZ131" s="714"/>
      <c r="CA131" s="714"/>
      <c r="CB131" s="714"/>
    </row>
    <row r="132" spans="14:80" ht="12.75" customHeight="1" x14ac:dyDescent="0.25">
      <c r="N132" s="2399"/>
      <c r="O132" s="2399"/>
      <c r="P132" s="2399"/>
      <c r="Q132" s="2400"/>
      <c r="R132" s="2400"/>
      <c r="S132" s="2399"/>
      <c r="T132" s="2399"/>
      <c r="U132" s="2399"/>
      <c r="V132" s="2399"/>
      <c r="W132" s="2399"/>
      <c r="X132" s="2399"/>
      <c r="Y132" s="2399"/>
      <c r="Z132" s="2399"/>
      <c r="AA132" s="2399"/>
      <c r="AB132" s="2399"/>
      <c r="AC132" s="2399"/>
      <c r="AD132" s="2399"/>
      <c r="AE132" s="2399"/>
      <c r="AF132" s="2399"/>
      <c r="AG132" s="2399"/>
      <c r="AH132" s="2399"/>
      <c r="AI132" s="2399"/>
      <c r="AJ132" s="2399"/>
      <c r="AK132" s="2399"/>
      <c r="AL132" s="2399"/>
      <c r="AM132" s="2399"/>
      <c r="AN132" s="2399"/>
      <c r="AO132" s="2399"/>
      <c r="AP132" s="2400"/>
      <c r="AQ132" s="2399"/>
      <c r="AR132" s="2399"/>
      <c r="AS132" s="2399"/>
      <c r="AT132" s="2399"/>
      <c r="AU132" s="2399"/>
      <c r="AV132" s="2399"/>
      <c r="AW132" s="2399"/>
      <c r="AX132" s="2399"/>
      <c r="AY132" s="2399"/>
      <c r="AZ132" s="2399"/>
      <c r="BA132" s="2399"/>
      <c r="BB132" s="2399"/>
      <c r="BC132" s="2399"/>
      <c r="BD132" s="2399"/>
      <c r="BE132" s="2399"/>
      <c r="BF132" s="2399"/>
      <c r="BG132" s="2399"/>
      <c r="BH132" s="2399"/>
      <c r="BI132" s="2399"/>
      <c r="BJ132" s="2399"/>
      <c r="BK132" s="2399"/>
      <c r="BL132" s="2399"/>
      <c r="BM132" s="2399"/>
      <c r="BN132" s="2399"/>
      <c r="BO132" s="2399"/>
      <c r="BP132" s="2399"/>
      <c r="BQ132" s="2399"/>
      <c r="BR132" s="2399"/>
      <c r="BS132" s="2399"/>
      <c r="BT132" s="2399"/>
      <c r="BU132" s="2399"/>
      <c r="BV132" s="2399"/>
      <c r="BY132" s="714"/>
      <c r="BZ132" s="714"/>
      <c r="CA132" s="714"/>
      <c r="CB132" s="714"/>
    </row>
    <row r="133" spans="14:80" ht="12.75" customHeight="1" x14ac:dyDescent="0.25">
      <c r="N133" s="2399"/>
      <c r="O133" s="2399"/>
      <c r="P133" s="2399"/>
      <c r="Q133" s="2400"/>
      <c r="R133" s="2400"/>
      <c r="S133" s="2399"/>
      <c r="T133" s="2399"/>
      <c r="U133" s="2399"/>
      <c r="V133" s="2399"/>
      <c r="W133" s="2399"/>
      <c r="X133" s="2399"/>
      <c r="Y133" s="2399"/>
      <c r="Z133" s="2399"/>
      <c r="AA133" s="2399"/>
      <c r="AB133" s="2399"/>
      <c r="AC133" s="2399"/>
      <c r="AD133" s="2399"/>
      <c r="AE133" s="2399"/>
      <c r="AF133" s="2399"/>
      <c r="AG133" s="2399"/>
      <c r="AH133" s="2399"/>
      <c r="AI133" s="2399"/>
      <c r="AJ133" s="2399"/>
      <c r="AK133" s="2399"/>
      <c r="AL133" s="2399"/>
      <c r="AM133" s="2399"/>
      <c r="AN133" s="2399"/>
      <c r="AO133" s="2399"/>
      <c r="AP133" s="2400"/>
      <c r="AQ133" s="2399"/>
      <c r="AR133" s="2399"/>
      <c r="AS133" s="2399"/>
      <c r="AT133" s="2399"/>
      <c r="AU133" s="2399"/>
      <c r="AV133" s="2399"/>
      <c r="AW133" s="2399"/>
      <c r="AX133" s="2399"/>
      <c r="AY133" s="2399"/>
      <c r="AZ133" s="2399"/>
      <c r="BA133" s="2399"/>
      <c r="BB133" s="2399"/>
      <c r="BC133" s="2399"/>
      <c r="BD133" s="2399"/>
      <c r="BE133" s="2399"/>
      <c r="BF133" s="2399"/>
      <c r="BG133" s="2399"/>
      <c r="BH133" s="2399"/>
      <c r="BI133" s="2399"/>
      <c r="BJ133" s="2399"/>
      <c r="BK133" s="2399"/>
      <c r="BL133" s="2399"/>
      <c r="BM133" s="2399"/>
      <c r="BN133" s="2399"/>
      <c r="BO133" s="2399"/>
      <c r="BP133" s="2399"/>
      <c r="BQ133" s="2399"/>
      <c r="BR133" s="2399"/>
      <c r="BS133" s="2399"/>
      <c r="BT133" s="2399"/>
      <c r="BU133" s="2399"/>
      <c r="BV133" s="2399"/>
      <c r="BY133" s="714"/>
      <c r="BZ133" s="714"/>
      <c r="CA133" s="714"/>
      <c r="CB133" s="714"/>
    </row>
    <row r="134" spans="14:80" ht="12.75" customHeight="1" x14ac:dyDescent="0.25">
      <c r="N134" s="2399"/>
      <c r="O134" s="2399"/>
      <c r="P134" s="2399"/>
      <c r="Q134" s="2400"/>
      <c r="R134" s="2400"/>
      <c r="S134" s="2399"/>
      <c r="T134" s="2399"/>
      <c r="U134" s="2399"/>
      <c r="V134" s="2399"/>
      <c r="W134" s="2399"/>
      <c r="X134" s="2399"/>
      <c r="Y134" s="2399"/>
      <c r="Z134" s="2399"/>
      <c r="AA134" s="2399"/>
      <c r="AB134" s="2399"/>
      <c r="AC134" s="2399"/>
      <c r="AD134" s="2399"/>
      <c r="AE134" s="2399"/>
      <c r="AF134" s="2399"/>
      <c r="AG134" s="2399"/>
      <c r="AH134" s="2399"/>
      <c r="AI134" s="2399"/>
      <c r="AJ134" s="2399"/>
      <c r="AK134" s="2399"/>
      <c r="AL134" s="2399"/>
      <c r="AM134" s="2399"/>
      <c r="AN134" s="2399"/>
      <c r="AO134" s="2399"/>
      <c r="AP134" s="2400"/>
      <c r="AQ134" s="2399"/>
      <c r="AR134" s="2399"/>
      <c r="AS134" s="2399"/>
      <c r="AT134" s="2399"/>
      <c r="AU134" s="2399"/>
      <c r="AV134" s="2399"/>
      <c r="AW134" s="2399"/>
      <c r="AX134" s="2399"/>
      <c r="AY134" s="2399"/>
      <c r="AZ134" s="2399"/>
      <c r="BA134" s="2399"/>
      <c r="BB134" s="2399"/>
      <c r="BC134" s="2399"/>
      <c r="BD134" s="2399"/>
      <c r="BE134" s="2399"/>
      <c r="BF134" s="2399"/>
      <c r="BG134" s="2399"/>
      <c r="BH134" s="2399"/>
      <c r="BI134" s="2399"/>
      <c r="BJ134" s="2399"/>
      <c r="BK134" s="2399"/>
      <c r="BL134" s="2399"/>
      <c r="BM134" s="2399"/>
      <c r="BN134" s="2399"/>
      <c r="BO134" s="2399"/>
      <c r="BP134" s="2399"/>
      <c r="BQ134" s="2399"/>
      <c r="BR134" s="2399"/>
      <c r="BS134" s="2399"/>
      <c r="BT134" s="2399"/>
      <c r="BU134" s="2399"/>
      <c r="BV134" s="2399"/>
      <c r="BY134" s="714"/>
      <c r="BZ134" s="714"/>
      <c r="CA134" s="714"/>
      <c r="CB134" s="714"/>
    </row>
    <row r="135" spans="14:80" ht="12.75" customHeight="1" x14ac:dyDescent="0.25">
      <c r="N135" s="2399"/>
      <c r="O135" s="2399"/>
      <c r="P135" s="2399"/>
      <c r="Q135" s="2400"/>
      <c r="R135" s="2400"/>
      <c r="S135" s="2399"/>
      <c r="T135" s="2399"/>
      <c r="U135" s="2399"/>
      <c r="V135" s="2399"/>
      <c r="W135" s="2399"/>
      <c r="X135" s="2399"/>
      <c r="Y135" s="2399"/>
      <c r="Z135" s="2399"/>
      <c r="AA135" s="2399"/>
      <c r="AB135" s="2399"/>
      <c r="AC135" s="2399"/>
      <c r="AD135" s="2399"/>
      <c r="AE135" s="2399"/>
      <c r="AF135" s="2399"/>
      <c r="AG135" s="2399"/>
      <c r="AH135" s="2399"/>
      <c r="AI135" s="2399"/>
      <c r="AJ135" s="2399"/>
      <c r="AK135" s="2399"/>
      <c r="AL135" s="2399"/>
      <c r="AM135" s="2399"/>
      <c r="AN135" s="2399"/>
      <c r="AO135" s="2399"/>
      <c r="AP135" s="2400"/>
      <c r="AQ135" s="2399"/>
      <c r="AR135" s="2399"/>
      <c r="AS135" s="2399"/>
      <c r="AT135" s="2399"/>
      <c r="AU135" s="2399"/>
      <c r="AV135" s="2399"/>
      <c r="AW135" s="2399"/>
      <c r="AX135" s="2399"/>
      <c r="AY135" s="2399"/>
      <c r="AZ135" s="2399"/>
      <c r="BA135" s="2399"/>
      <c r="BB135" s="2399"/>
      <c r="BC135" s="2399"/>
      <c r="BD135" s="2399"/>
      <c r="BE135" s="2399"/>
      <c r="BF135" s="2399"/>
      <c r="BG135" s="2399"/>
      <c r="BH135" s="2399"/>
      <c r="BI135" s="2399"/>
      <c r="BJ135" s="2399"/>
      <c r="BK135" s="2399"/>
      <c r="BL135" s="2399"/>
      <c r="BM135" s="2399"/>
      <c r="BN135" s="2399"/>
      <c r="BO135" s="2399"/>
      <c r="BP135" s="2399"/>
      <c r="BQ135" s="2399"/>
      <c r="BR135" s="2399"/>
      <c r="BS135" s="2399"/>
      <c r="BT135" s="2399"/>
      <c r="BU135" s="2399"/>
      <c r="BV135" s="2399"/>
      <c r="BY135" s="714"/>
      <c r="BZ135" s="714"/>
      <c r="CA135" s="714"/>
      <c r="CB135" s="714"/>
    </row>
    <row r="136" spans="14:80" ht="12.75" customHeight="1" x14ac:dyDescent="0.25">
      <c r="N136" s="2399"/>
      <c r="O136" s="2399"/>
      <c r="P136" s="2399"/>
      <c r="Q136" s="2400"/>
      <c r="R136" s="2400"/>
      <c r="S136" s="2399"/>
      <c r="T136" s="2399"/>
      <c r="U136" s="2399"/>
      <c r="V136" s="2399"/>
      <c r="W136" s="2399"/>
      <c r="X136" s="2399"/>
      <c r="Y136" s="2399"/>
      <c r="Z136" s="2399"/>
      <c r="AA136" s="2399"/>
      <c r="AB136" s="2399"/>
      <c r="AC136" s="2399"/>
      <c r="AD136" s="2399"/>
      <c r="AE136" s="2399"/>
      <c r="AF136" s="2399"/>
      <c r="AG136" s="2399"/>
      <c r="AH136" s="2399"/>
      <c r="AI136" s="2399"/>
      <c r="AJ136" s="2399"/>
      <c r="AK136" s="2399"/>
      <c r="AL136" s="2399"/>
      <c r="AM136" s="2399"/>
      <c r="AN136" s="2399"/>
      <c r="AO136" s="2399"/>
      <c r="AP136" s="2400"/>
      <c r="AQ136" s="2399"/>
      <c r="AR136" s="2399"/>
      <c r="AS136" s="2399"/>
      <c r="AT136" s="2399"/>
      <c r="AU136" s="2399"/>
      <c r="AV136" s="2399"/>
      <c r="AW136" s="2399"/>
      <c r="AX136" s="2399"/>
      <c r="AY136" s="2399"/>
      <c r="AZ136" s="2399"/>
      <c r="BA136" s="2399"/>
      <c r="BB136" s="2399"/>
      <c r="BC136" s="2399"/>
      <c r="BD136" s="2399"/>
      <c r="BE136" s="2399"/>
      <c r="BF136" s="2399"/>
      <c r="BG136" s="2399"/>
      <c r="BH136" s="2399"/>
      <c r="BI136" s="2399"/>
      <c r="BJ136" s="2399"/>
      <c r="BK136" s="2399"/>
      <c r="BL136" s="2399"/>
      <c r="BM136" s="2399"/>
      <c r="BN136" s="2399"/>
      <c r="BO136" s="2399"/>
      <c r="BP136" s="2399"/>
      <c r="BQ136" s="2399"/>
      <c r="BR136" s="2399"/>
      <c r="BS136" s="2399"/>
      <c r="BT136" s="2399"/>
      <c r="BU136" s="2399"/>
      <c r="BV136" s="2399"/>
      <c r="BY136" s="714"/>
      <c r="BZ136" s="714"/>
      <c r="CA136" s="714"/>
      <c r="CB136" s="714"/>
    </row>
    <row r="137" spans="14:80" ht="12.75" customHeight="1" x14ac:dyDescent="0.25">
      <c r="N137" s="2399"/>
      <c r="O137" s="2399"/>
      <c r="P137" s="2399"/>
      <c r="Q137" s="2400"/>
      <c r="R137" s="2400"/>
      <c r="S137" s="2399"/>
      <c r="T137" s="2399"/>
      <c r="U137" s="2399"/>
      <c r="V137" s="2399"/>
      <c r="W137" s="2399"/>
      <c r="X137" s="2399"/>
      <c r="Y137" s="2399"/>
      <c r="Z137" s="2399"/>
      <c r="AA137" s="2399"/>
      <c r="AB137" s="2399"/>
      <c r="AC137" s="2399"/>
      <c r="AD137" s="2399"/>
      <c r="AE137" s="2399"/>
      <c r="AF137" s="2399"/>
      <c r="AG137" s="2399"/>
      <c r="AH137" s="2399"/>
      <c r="AI137" s="2399"/>
      <c r="AJ137" s="2399"/>
      <c r="AK137" s="2399"/>
      <c r="AL137" s="2399"/>
      <c r="AM137" s="2399"/>
      <c r="AN137" s="2399"/>
      <c r="AO137" s="2399"/>
      <c r="AP137" s="2400"/>
      <c r="AQ137" s="2399"/>
      <c r="AR137" s="2399"/>
      <c r="AS137" s="2399"/>
      <c r="AT137" s="2399"/>
      <c r="AU137" s="2399"/>
      <c r="AV137" s="2399"/>
      <c r="AW137" s="2399"/>
      <c r="AX137" s="2399"/>
      <c r="AY137" s="2399"/>
      <c r="AZ137" s="2399"/>
      <c r="BA137" s="2399"/>
      <c r="BB137" s="2399"/>
      <c r="BC137" s="2399"/>
      <c r="BD137" s="2399"/>
      <c r="BE137" s="2399"/>
      <c r="BF137" s="2399"/>
      <c r="BG137" s="2399"/>
      <c r="BH137" s="2399"/>
      <c r="BI137" s="2399"/>
      <c r="BJ137" s="2399"/>
      <c r="BK137" s="2399"/>
      <c r="BL137" s="2399"/>
      <c r="BM137" s="2399"/>
      <c r="BN137" s="2399"/>
      <c r="BO137" s="2399"/>
      <c r="BP137" s="2399"/>
      <c r="BQ137" s="2399"/>
      <c r="BR137" s="2399"/>
      <c r="BS137" s="2399"/>
      <c r="BT137" s="2399"/>
      <c r="BU137" s="2399"/>
      <c r="BV137" s="2399"/>
      <c r="BY137" s="714"/>
      <c r="BZ137" s="714"/>
      <c r="CA137" s="714"/>
      <c r="CB137" s="714"/>
    </row>
    <row r="138" spans="14:80" ht="12.75" customHeight="1" x14ac:dyDescent="0.25">
      <c r="N138" s="2399"/>
      <c r="O138" s="2399"/>
      <c r="P138" s="2399"/>
      <c r="Q138" s="2400"/>
      <c r="R138" s="2400"/>
      <c r="S138" s="2399"/>
      <c r="T138" s="2399"/>
      <c r="U138" s="2399"/>
      <c r="V138" s="2399"/>
      <c r="W138" s="2399"/>
      <c r="X138" s="2399"/>
      <c r="Y138" s="2399"/>
      <c r="Z138" s="2399"/>
      <c r="AA138" s="2399"/>
      <c r="AB138" s="2399"/>
      <c r="AC138" s="2399"/>
      <c r="AD138" s="2399"/>
      <c r="AE138" s="2399"/>
      <c r="AF138" s="2399"/>
      <c r="AG138" s="2399"/>
      <c r="AH138" s="2399"/>
      <c r="AI138" s="2399"/>
      <c r="AJ138" s="2399"/>
      <c r="AK138" s="2399"/>
      <c r="AL138" s="2399"/>
      <c r="AM138" s="2399"/>
      <c r="AN138" s="2399"/>
      <c r="AO138" s="2399"/>
      <c r="AP138" s="2400"/>
      <c r="AQ138" s="2399"/>
      <c r="AR138" s="2399"/>
      <c r="AS138" s="2399"/>
      <c r="AT138" s="2399"/>
      <c r="AU138" s="2399"/>
      <c r="AV138" s="2399"/>
      <c r="AW138" s="2399"/>
      <c r="AX138" s="2399"/>
      <c r="AY138" s="2399"/>
      <c r="AZ138" s="2399"/>
      <c r="BA138" s="2399"/>
      <c r="BB138" s="2399"/>
      <c r="BC138" s="2399"/>
      <c r="BD138" s="2399"/>
      <c r="BE138" s="2399"/>
      <c r="BF138" s="2399"/>
      <c r="BG138" s="2399"/>
      <c r="BH138" s="2399"/>
      <c r="BI138" s="2399"/>
      <c r="BJ138" s="2399"/>
      <c r="BK138" s="2399"/>
      <c r="BL138" s="2399"/>
      <c r="BM138" s="2399"/>
      <c r="BN138" s="2399"/>
      <c r="BO138" s="2399"/>
      <c r="BP138" s="2399"/>
      <c r="BQ138" s="2399"/>
      <c r="BR138" s="2399"/>
      <c r="BS138" s="2399"/>
      <c r="BT138" s="2399"/>
      <c r="BU138" s="2399"/>
      <c r="BV138" s="2399"/>
      <c r="BY138" s="714"/>
      <c r="BZ138" s="714"/>
    </row>
    <row r="139" spans="14:80" ht="12.75" customHeight="1" x14ac:dyDescent="0.25">
      <c r="N139" s="2399"/>
      <c r="O139" s="2399"/>
      <c r="P139" s="2399"/>
      <c r="Q139" s="2400"/>
      <c r="R139" s="2400"/>
      <c r="S139" s="2399"/>
      <c r="T139" s="2399"/>
      <c r="U139" s="2399"/>
      <c r="V139" s="2399"/>
      <c r="W139" s="2399"/>
      <c r="X139" s="2399"/>
      <c r="Y139" s="2399"/>
      <c r="Z139" s="2399"/>
      <c r="AA139" s="2399"/>
      <c r="AB139" s="2399"/>
      <c r="AC139" s="2399"/>
      <c r="AD139" s="2399"/>
      <c r="AE139" s="2399"/>
      <c r="AF139" s="2399"/>
      <c r="AG139" s="2399"/>
      <c r="AH139" s="2399"/>
      <c r="AI139" s="2399"/>
      <c r="AJ139" s="2399"/>
      <c r="AK139" s="2399"/>
      <c r="AL139" s="2399"/>
      <c r="AM139" s="2399"/>
      <c r="AN139" s="2399"/>
      <c r="AO139" s="2399"/>
      <c r="AP139" s="2400"/>
      <c r="AQ139" s="2399"/>
      <c r="AR139" s="2399"/>
      <c r="AS139" s="2399"/>
      <c r="AT139" s="2399"/>
      <c r="AU139" s="2399"/>
      <c r="AV139" s="2399"/>
      <c r="AW139" s="2399"/>
      <c r="AX139" s="2399"/>
      <c r="AY139" s="2399"/>
      <c r="AZ139" s="2399"/>
      <c r="BA139" s="2399"/>
      <c r="BB139" s="2399"/>
      <c r="BC139" s="2399"/>
      <c r="BD139" s="2399"/>
      <c r="BE139" s="2399"/>
      <c r="BF139" s="2399"/>
      <c r="BG139" s="2399"/>
      <c r="BH139" s="2399"/>
      <c r="BI139" s="2399"/>
      <c r="BJ139" s="2399"/>
      <c r="BK139" s="2399"/>
      <c r="BL139" s="2399"/>
      <c r="BM139" s="2399"/>
      <c r="BN139" s="2399"/>
      <c r="BO139" s="2399"/>
      <c r="BP139" s="2399"/>
      <c r="BQ139" s="2399"/>
      <c r="BR139" s="2399"/>
      <c r="BS139" s="2399"/>
      <c r="BT139" s="2399"/>
      <c r="BU139" s="2399"/>
      <c r="BV139" s="2399"/>
      <c r="BY139" s="714"/>
      <c r="BZ139" s="714"/>
    </row>
    <row r="140" spans="14:80" ht="12.75" customHeight="1" x14ac:dyDescent="0.25">
      <c r="N140" s="2399"/>
      <c r="O140" s="2399"/>
      <c r="P140" s="2399"/>
      <c r="Q140" s="2400"/>
      <c r="R140" s="2400"/>
      <c r="S140" s="2399"/>
      <c r="T140" s="2399"/>
      <c r="U140" s="2399"/>
      <c r="V140" s="2399"/>
      <c r="W140" s="2399"/>
      <c r="X140" s="2399"/>
      <c r="Y140" s="2399"/>
      <c r="Z140" s="2399"/>
      <c r="AA140" s="2399"/>
      <c r="AB140" s="2399"/>
      <c r="AC140" s="2399"/>
      <c r="AD140" s="2399"/>
      <c r="AE140" s="2399"/>
      <c r="AF140" s="2399"/>
      <c r="AG140" s="2399"/>
      <c r="AH140" s="2399"/>
      <c r="AI140" s="2399"/>
      <c r="AJ140" s="2399"/>
      <c r="AK140" s="2399"/>
      <c r="AL140" s="2399"/>
      <c r="AM140" s="2399"/>
      <c r="AN140" s="2399"/>
      <c r="AO140" s="2399"/>
      <c r="AP140" s="2400"/>
      <c r="AQ140" s="2399"/>
      <c r="AR140" s="2399"/>
      <c r="AS140" s="2399"/>
      <c r="AT140" s="2399"/>
      <c r="AU140" s="2399"/>
      <c r="AV140" s="2399"/>
      <c r="AW140" s="2399"/>
      <c r="AX140" s="2399"/>
      <c r="AY140" s="2399"/>
      <c r="AZ140" s="2399"/>
      <c r="BA140" s="2399"/>
      <c r="BB140" s="2399"/>
      <c r="BC140" s="2399"/>
      <c r="BD140" s="2399"/>
      <c r="BE140" s="2399"/>
      <c r="BF140" s="2399"/>
      <c r="BG140" s="2399"/>
      <c r="BH140" s="2399"/>
      <c r="BI140" s="2399"/>
      <c r="BJ140" s="2399"/>
      <c r="BK140" s="2399"/>
      <c r="BL140" s="2399"/>
      <c r="BM140" s="2399"/>
      <c r="BN140" s="2399"/>
      <c r="BO140" s="2399"/>
      <c r="BP140" s="2399"/>
      <c r="BQ140" s="2399"/>
      <c r="BR140" s="2399"/>
      <c r="BS140" s="2399"/>
      <c r="BT140" s="2399"/>
      <c r="BU140" s="2399"/>
      <c r="BV140" s="2399"/>
      <c r="BY140" s="714"/>
      <c r="BZ140" s="714"/>
    </row>
    <row r="141" spans="14:80" ht="12.75" customHeight="1" x14ac:dyDescent="0.25">
      <c r="N141" s="2399"/>
      <c r="O141" s="2399"/>
      <c r="P141" s="2399"/>
      <c r="Q141" s="2400"/>
      <c r="R141" s="2400"/>
      <c r="S141" s="2399"/>
      <c r="T141" s="2399"/>
      <c r="U141" s="2399"/>
      <c r="V141" s="2399"/>
      <c r="W141" s="2399"/>
      <c r="X141" s="2399"/>
      <c r="Y141" s="2399"/>
      <c r="Z141" s="2399"/>
      <c r="AA141" s="2399"/>
      <c r="AB141" s="2399"/>
      <c r="AC141" s="2399"/>
      <c r="AD141" s="2399"/>
      <c r="AE141" s="2399"/>
      <c r="AF141" s="2399"/>
      <c r="AG141" s="2399"/>
      <c r="AH141" s="2399"/>
      <c r="AI141" s="2399"/>
      <c r="AJ141" s="2399"/>
      <c r="AK141" s="2399"/>
      <c r="AL141" s="2399"/>
      <c r="AM141" s="2399"/>
      <c r="AN141" s="2399"/>
      <c r="AO141" s="2399"/>
      <c r="AP141" s="2400"/>
      <c r="AQ141" s="2399"/>
      <c r="AR141" s="2399"/>
      <c r="AS141" s="2399"/>
      <c r="AT141" s="2399"/>
      <c r="AU141" s="2399"/>
      <c r="AV141" s="2399"/>
      <c r="AW141" s="2399"/>
      <c r="AX141" s="2399"/>
      <c r="AY141" s="2399"/>
      <c r="AZ141" s="2399"/>
      <c r="BA141" s="2399"/>
      <c r="BB141" s="2399"/>
      <c r="BC141" s="2399"/>
      <c r="BD141" s="2399"/>
      <c r="BE141" s="2399"/>
      <c r="BF141" s="2399"/>
      <c r="BG141" s="2399"/>
      <c r="BH141" s="2399"/>
      <c r="BI141" s="2399"/>
      <c r="BJ141" s="2399"/>
      <c r="BK141" s="2399"/>
      <c r="BL141" s="2399"/>
      <c r="BM141" s="2399"/>
      <c r="BN141" s="2399"/>
      <c r="BO141" s="2399"/>
      <c r="BP141" s="2399"/>
      <c r="BQ141" s="2399"/>
      <c r="BR141" s="2399"/>
      <c r="BS141" s="2399"/>
      <c r="BT141" s="2399"/>
      <c r="BU141" s="2399"/>
      <c r="BV141" s="2399"/>
      <c r="BY141" s="714"/>
      <c r="BZ141" s="714"/>
    </row>
    <row r="142" spans="14:80" ht="12.75" customHeight="1" x14ac:dyDescent="0.25">
      <c r="N142" s="2399"/>
      <c r="O142" s="2399"/>
      <c r="P142" s="2399"/>
      <c r="Q142" s="2400"/>
      <c r="R142" s="2400"/>
      <c r="S142" s="2399"/>
      <c r="T142" s="2399"/>
      <c r="U142" s="2399"/>
      <c r="V142" s="2399"/>
      <c r="W142" s="2399"/>
      <c r="X142" s="2399"/>
      <c r="Y142" s="2399"/>
      <c r="Z142" s="2399"/>
      <c r="AA142" s="2399"/>
      <c r="AB142" s="2399"/>
      <c r="AC142" s="2399"/>
      <c r="AD142" s="2399"/>
      <c r="AE142" s="2399"/>
      <c r="AF142" s="2399"/>
      <c r="AG142" s="2399"/>
      <c r="AH142" s="2399"/>
      <c r="AI142" s="2399"/>
      <c r="AJ142" s="2399"/>
      <c r="AK142" s="2399"/>
      <c r="AL142" s="2399"/>
      <c r="AM142" s="2399"/>
      <c r="AN142" s="2399"/>
      <c r="AO142" s="2399"/>
      <c r="AP142" s="2400"/>
      <c r="AQ142" s="2399"/>
      <c r="AR142" s="2399"/>
      <c r="AS142" s="2399"/>
      <c r="AT142" s="2399"/>
      <c r="AU142" s="2399"/>
      <c r="AV142" s="2399"/>
      <c r="AW142" s="2399"/>
      <c r="AX142" s="2399"/>
      <c r="AY142" s="2399"/>
      <c r="AZ142" s="2399"/>
      <c r="BA142" s="2399"/>
      <c r="BB142" s="2399"/>
      <c r="BC142" s="2399"/>
      <c r="BD142" s="2399"/>
      <c r="BE142" s="2399"/>
      <c r="BF142" s="2399"/>
      <c r="BG142" s="2399"/>
      <c r="BH142" s="2399"/>
      <c r="BI142" s="2399"/>
      <c r="BJ142" s="2399"/>
      <c r="BK142" s="2399"/>
      <c r="BL142" s="2399"/>
      <c r="BM142" s="2399"/>
      <c r="BN142" s="2399"/>
      <c r="BO142" s="2399"/>
      <c r="BP142" s="2399"/>
      <c r="BQ142" s="2399"/>
      <c r="BR142" s="2399"/>
      <c r="BS142" s="2399"/>
      <c r="BT142" s="2399"/>
      <c r="BU142" s="2399"/>
      <c r="BV142" s="2399"/>
      <c r="BY142" s="714"/>
      <c r="BZ142" s="714"/>
    </row>
    <row r="143" spans="14:80" ht="12.75" customHeight="1" x14ac:dyDescent="0.25">
      <c r="N143" s="2399"/>
      <c r="O143" s="2399"/>
      <c r="P143" s="2399"/>
      <c r="Q143" s="2400"/>
      <c r="R143" s="2400"/>
      <c r="S143" s="2399"/>
      <c r="T143" s="2399"/>
      <c r="U143" s="2399"/>
      <c r="V143" s="2399"/>
      <c r="W143" s="2399"/>
      <c r="X143" s="2399"/>
      <c r="Y143" s="2399"/>
      <c r="Z143" s="2399"/>
      <c r="AA143" s="2399"/>
      <c r="AB143" s="2399"/>
      <c r="AC143" s="2399"/>
      <c r="AD143" s="2399"/>
      <c r="AE143" s="2399"/>
      <c r="AF143" s="2399"/>
      <c r="AG143" s="2399"/>
      <c r="AH143" s="2399"/>
      <c r="AI143" s="2399"/>
      <c r="AJ143" s="2399"/>
      <c r="AK143" s="2399"/>
      <c r="AL143" s="2399"/>
      <c r="AM143" s="2399"/>
      <c r="AN143" s="2399"/>
      <c r="AO143" s="2399"/>
      <c r="AP143" s="2400"/>
      <c r="AQ143" s="2399"/>
      <c r="AR143" s="2399"/>
      <c r="AS143" s="2399"/>
      <c r="AT143" s="2399"/>
      <c r="AU143" s="2399"/>
      <c r="AV143" s="2399"/>
      <c r="AW143" s="2399"/>
      <c r="AX143" s="2399"/>
      <c r="AY143" s="2399"/>
      <c r="AZ143" s="2399"/>
      <c r="BA143" s="2399"/>
      <c r="BB143" s="2399"/>
      <c r="BC143" s="2399"/>
      <c r="BD143" s="2399"/>
      <c r="BE143" s="2399"/>
      <c r="BF143" s="2399"/>
      <c r="BG143" s="2399"/>
      <c r="BH143" s="2399"/>
      <c r="BI143" s="2399"/>
      <c r="BJ143" s="2399"/>
      <c r="BK143" s="2399"/>
      <c r="BL143" s="2399"/>
      <c r="BM143" s="2399"/>
      <c r="BN143" s="2399"/>
      <c r="BO143" s="2399"/>
      <c r="BP143" s="2399"/>
      <c r="BQ143" s="2399"/>
      <c r="BR143" s="2399"/>
      <c r="BS143" s="2399"/>
      <c r="BT143" s="2399"/>
      <c r="BU143" s="2399"/>
      <c r="BV143" s="2399"/>
      <c r="BY143" s="714"/>
      <c r="BZ143" s="714"/>
    </row>
    <row r="144" spans="14:80" ht="12.75" customHeight="1" x14ac:dyDescent="0.25">
      <c r="N144" s="2399"/>
      <c r="O144" s="2399"/>
      <c r="P144" s="2399"/>
      <c r="Q144" s="2400"/>
      <c r="R144" s="2400"/>
      <c r="S144" s="2399"/>
      <c r="T144" s="2399"/>
      <c r="U144" s="2399"/>
      <c r="V144" s="2399"/>
      <c r="W144" s="2399"/>
      <c r="X144" s="2399"/>
      <c r="Y144" s="2399"/>
      <c r="Z144" s="2399"/>
      <c r="AA144" s="2399"/>
      <c r="AB144" s="2399"/>
      <c r="AC144" s="2399"/>
      <c r="AD144" s="2399"/>
      <c r="AE144" s="2399"/>
      <c r="AF144" s="2399"/>
      <c r="AG144" s="2399"/>
      <c r="AH144" s="2399"/>
      <c r="AI144" s="2399"/>
      <c r="AJ144" s="2399"/>
      <c r="AK144" s="2399"/>
      <c r="AL144" s="2399"/>
      <c r="AM144" s="2399"/>
      <c r="AN144" s="2399"/>
      <c r="AO144" s="2399"/>
      <c r="AP144" s="2400"/>
      <c r="AQ144" s="2399"/>
      <c r="AR144" s="2399"/>
      <c r="AS144" s="2399"/>
      <c r="AT144" s="2399"/>
      <c r="AU144" s="2399"/>
      <c r="AV144" s="2399"/>
      <c r="AW144" s="2399"/>
      <c r="AX144" s="2399"/>
      <c r="AY144" s="2399"/>
      <c r="AZ144" s="2399"/>
      <c r="BA144" s="2399"/>
      <c r="BB144" s="2399"/>
      <c r="BC144" s="2399"/>
      <c r="BD144" s="2399"/>
      <c r="BE144" s="2399"/>
      <c r="BF144" s="2399"/>
      <c r="BG144" s="2399"/>
      <c r="BH144" s="2399"/>
      <c r="BI144" s="2399"/>
      <c r="BJ144" s="2399"/>
      <c r="BK144" s="2399"/>
      <c r="BL144" s="2399"/>
      <c r="BM144" s="2399"/>
      <c r="BN144" s="2399"/>
      <c r="BO144" s="2399"/>
      <c r="BP144" s="2399"/>
      <c r="BQ144" s="2399"/>
      <c r="BR144" s="2399"/>
      <c r="BS144" s="2399"/>
      <c r="BT144" s="2399"/>
      <c r="BU144" s="2399"/>
      <c r="BV144" s="2399"/>
      <c r="BY144" s="714"/>
      <c r="BZ144" s="714"/>
    </row>
    <row r="145" spans="14:78" ht="12.75" customHeight="1" x14ac:dyDescent="0.25">
      <c r="N145" s="2399"/>
      <c r="O145" s="2399"/>
      <c r="P145" s="2399"/>
      <c r="Q145" s="2400"/>
      <c r="R145" s="2400"/>
      <c r="S145" s="2399"/>
      <c r="T145" s="2399"/>
      <c r="U145" s="2399"/>
      <c r="V145" s="2399"/>
      <c r="W145" s="2399"/>
      <c r="X145" s="2399"/>
      <c r="Y145" s="2399"/>
      <c r="Z145" s="2399"/>
      <c r="AA145" s="2399"/>
      <c r="AB145" s="2399"/>
      <c r="AC145" s="2399"/>
      <c r="AD145" s="2399"/>
      <c r="AE145" s="2399"/>
      <c r="AF145" s="2399"/>
      <c r="AG145" s="2399"/>
      <c r="AH145" s="2399"/>
      <c r="AI145" s="2399"/>
      <c r="AJ145" s="2399"/>
      <c r="AK145" s="2399"/>
      <c r="AL145" s="2399"/>
      <c r="AM145" s="2399"/>
      <c r="AN145" s="2399"/>
      <c r="AO145" s="2399"/>
      <c r="AP145" s="2400"/>
      <c r="AQ145" s="2399"/>
      <c r="AR145" s="2399"/>
      <c r="AS145" s="2399"/>
      <c r="AT145" s="2399"/>
      <c r="AU145" s="2399"/>
      <c r="AV145" s="2399"/>
      <c r="AW145" s="2399"/>
      <c r="AX145" s="2399"/>
      <c r="AY145" s="2399"/>
      <c r="AZ145" s="2399"/>
      <c r="BA145" s="2399"/>
      <c r="BB145" s="2399"/>
      <c r="BC145" s="2399"/>
      <c r="BD145" s="2399"/>
      <c r="BE145" s="2399"/>
      <c r="BF145" s="2399"/>
      <c r="BG145" s="2399"/>
      <c r="BH145" s="2399"/>
      <c r="BI145" s="2399"/>
      <c r="BJ145" s="2399"/>
      <c r="BK145" s="2399"/>
      <c r="BL145" s="2399"/>
      <c r="BM145" s="2399"/>
      <c r="BN145" s="2399"/>
      <c r="BO145" s="2399"/>
      <c r="BP145" s="2399"/>
      <c r="BQ145" s="2399"/>
      <c r="BR145" s="2399"/>
      <c r="BS145" s="2399"/>
      <c r="BT145" s="2399"/>
      <c r="BU145" s="2399"/>
      <c r="BV145" s="2399"/>
      <c r="BY145" s="714"/>
      <c r="BZ145" s="714"/>
    </row>
    <row r="146" spans="14:78" ht="12.75" customHeight="1" x14ac:dyDescent="0.25">
      <c r="N146" s="2399"/>
      <c r="O146" s="2399"/>
      <c r="P146" s="2399"/>
      <c r="Q146" s="2400"/>
      <c r="R146" s="2400"/>
      <c r="S146" s="2399"/>
      <c r="T146" s="2399"/>
      <c r="U146" s="2399"/>
      <c r="V146" s="2399"/>
      <c r="W146" s="2399"/>
      <c r="X146" s="2399"/>
      <c r="Y146" s="2399"/>
      <c r="Z146" s="2399"/>
      <c r="AA146" s="2399"/>
      <c r="AB146" s="2399"/>
      <c r="AC146" s="2399"/>
      <c r="AD146" s="2399"/>
      <c r="AE146" s="2399"/>
      <c r="AF146" s="2399"/>
      <c r="AG146" s="2399"/>
      <c r="AH146" s="2399"/>
      <c r="AI146" s="2399"/>
      <c r="AJ146" s="2399"/>
      <c r="AK146" s="2399"/>
      <c r="AL146" s="2399"/>
      <c r="AM146" s="2399"/>
      <c r="AN146" s="2399"/>
      <c r="AO146" s="2399"/>
      <c r="AP146" s="2400"/>
      <c r="AQ146" s="2399"/>
      <c r="AR146" s="2399"/>
      <c r="AS146" s="2399"/>
      <c r="AT146" s="2399"/>
      <c r="AU146" s="2399"/>
      <c r="AV146" s="2399"/>
      <c r="AW146" s="2399"/>
      <c r="AX146" s="2399"/>
      <c r="AY146" s="2399"/>
      <c r="AZ146" s="2399"/>
      <c r="BA146" s="2399"/>
      <c r="BB146" s="2399"/>
      <c r="BC146" s="2399"/>
      <c r="BD146" s="2399"/>
      <c r="BE146" s="2399"/>
      <c r="BF146" s="2399"/>
      <c r="BG146" s="2399"/>
      <c r="BH146" s="2399"/>
      <c r="BI146" s="2399"/>
      <c r="BJ146" s="2399"/>
      <c r="BK146" s="2399"/>
      <c r="BL146" s="2399"/>
      <c r="BM146" s="2399"/>
      <c r="BN146" s="2399"/>
      <c r="BO146" s="2399"/>
      <c r="BP146" s="2399"/>
      <c r="BQ146" s="2399"/>
      <c r="BR146" s="2399"/>
      <c r="BS146" s="2399"/>
      <c r="BT146" s="2399"/>
      <c r="BU146" s="2399"/>
      <c r="BV146" s="2399"/>
      <c r="BY146" s="714"/>
      <c r="BZ146" s="714"/>
    </row>
    <row r="147" spans="14:78" ht="12.75" customHeight="1" x14ac:dyDescent="0.25">
      <c r="N147" s="2399"/>
      <c r="O147" s="2399"/>
      <c r="P147" s="2399"/>
      <c r="Q147" s="2400"/>
      <c r="R147" s="2400"/>
      <c r="S147" s="2399"/>
      <c r="T147" s="2399"/>
      <c r="U147" s="2399"/>
      <c r="V147" s="2399"/>
      <c r="W147" s="2399"/>
      <c r="X147" s="2399"/>
      <c r="Y147" s="2399"/>
      <c r="Z147" s="2399"/>
      <c r="AA147" s="2399"/>
      <c r="AB147" s="2399"/>
      <c r="AC147" s="2399"/>
      <c r="AD147" s="2399"/>
      <c r="AE147" s="2399"/>
      <c r="AF147" s="2399"/>
      <c r="AG147" s="2399"/>
      <c r="AH147" s="2399"/>
      <c r="AI147" s="2399"/>
      <c r="AJ147" s="2399"/>
      <c r="AK147" s="2399"/>
      <c r="AL147" s="2399"/>
      <c r="AM147" s="2399"/>
      <c r="AN147" s="2399"/>
      <c r="AO147" s="2399"/>
      <c r="AP147" s="2400"/>
      <c r="AQ147" s="2399"/>
      <c r="AR147" s="2399"/>
      <c r="AS147" s="2399"/>
      <c r="AT147" s="2399"/>
      <c r="AU147" s="2399"/>
      <c r="AV147" s="2399"/>
      <c r="AW147" s="2399"/>
      <c r="AX147" s="2399"/>
      <c r="AY147" s="2399"/>
      <c r="AZ147" s="2399"/>
      <c r="BA147" s="2399"/>
      <c r="BB147" s="2399"/>
      <c r="BC147" s="2399"/>
      <c r="BD147" s="2399"/>
      <c r="BE147" s="2399"/>
      <c r="BF147" s="2399"/>
      <c r="BG147" s="2399"/>
      <c r="BH147" s="2399"/>
      <c r="BI147" s="2399"/>
      <c r="BJ147" s="2399"/>
      <c r="BK147" s="2399"/>
      <c r="BL147" s="2399"/>
      <c r="BM147" s="2399"/>
      <c r="BN147" s="2399"/>
      <c r="BO147" s="2399"/>
      <c r="BP147" s="2399"/>
      <c r="BQ147" s="2399"/>
      <c r="BR147" s="2399"/>
      <c r="BS147" s="2399"/>
      <c r="BT147" s="2399"/>
      <c r="BU147" s="2399"/>
      <c r="BV147" s="2399"/>
      <c r="BY147" s="714"/>
      <c r="BZ147" s="714"/>
    </row>
    <row r="148" spans="14:78" ht="12.75" customHeight="1" x14ac:dyDescent="0.25">
      <c r="N148" s="2399"/>
      <c r="O148" s="2399"/>
      <c r="P148" s="2399"/>
      <c r="Q148" s="2400"/>
      <c r="R148" s="2400"/>
      <c r="S148" s="2399"/>
      <c r="T148" s="2399"/>
      <c r="U148" s="2399"/>
      <c r="V148" s="2399"/>
      <c r="W148" s="2399"/>
      <c r="X148" s="2399"/>
      <c r="Y148" s="2399"/>
      <c r="Z148" s="2399"/>
      <c r="AA148" s="2399"/>
      <c r="AB148" s="2399"/>
      <c r="AC148" s="2399"/>
      <c r="AD148" s="2399"/>
      <c r="AE148" s="2399"/>
      <c r="AF148" s="2399"/>
      <c r="AG148" s="2399"/>
      <c r="AH148" s="2399"/>
      <c r="AI148" s="2399"/>
      <c r="AJ148" s="2399"/>
      <c r="AK148" s="2399"/>
      <c r="AL148" s="2399"/>
      <c r="AM148" s="2399"/>
      <c r="AN148" s="2399"/>
      <c r="AO148" s="2399"/>
      <c r="AP148" s="2400"/>
      <c r="AQ148" s="2399"/>
      <c r="AR148" s="2399"/>
      <c r="AS148" s="2399"/>
      <c r="AT148" s="2399"/>
      <c r="AU148" s="2399"/>
      <c r="AV148" s="2399"/>
      <c r="AW148" s="2399"/>
      <c r="AX148" s="2399"/>
      <c r="AY148" s="2399"/>
      <c r="AZ148" s="2399"/>
      <c r="BA148" s="2399"/>
      <c r="BB148" s="2399"/>
      <c r="BC148" s="2399"/>
      <c r="BD148" s="2399"/>
      <c r="BE148" s="2399"/>
      <c r="BF148" s="2399"/>
      <c r="BG148" s="2399"/>
      <c r="BH148" s="2399"/>
      <c r="BI148" s="2399"/>
      <c r="BJ148" s="2399"/>
      <c r="BK148" s="2399"/>
      <c r="BL148" s="2399"/>
      <c r="BM148" s="2399"/>
      <c r="BN148" s="2399"/>
      <c r="BO148" s="2399"/>
      <c r="BP148" s="2399"/>
      <c r="BQ148" s="2399"/>
      <c r="BR148" s="2399"/>
      <c r="BS148" s="2399"/>
      <c r="BT148" s="2399"/>
      <c r="BU148" s="2399"/>
      <c r="BV148" s="2399"/>
      <c r="BY148" s="714"/>
      <c r="BZ148" s="714"/>
    </row>
    <row r="149" spans="14:78" ht="12.75" customHeight="1" x14ac:dyDescent="0.25">
      <c r="N149" s="2399"/>
      <c r="O149" s="2399"/>
      <c r="P149" s="2399"/>
      <c r="Q149" s="2400"/>
      <c r="R149" s="2400"/>
      <c r="S149" s="2399"/>
      <c r="T149" s="2399"/>
      <c r="U149" s="2399"/>
      <c r="V149" s="2399"/>
      <c r="W149" s="2399"/>
      <c r="X149" s="2399"/>
      <c r="Y149" s="2399"/>
      <c r="Z149" s="2399"/>
      <c r="AA149" s="2399"/>
      <c r="AB149" s="2399"/>
      <c r="AC149" s="2399"/>
      <c r="AD149" s="2399"/>
      <c r="AE149" s="2399"/>
      <c r="AF149" s="2399"/>
      <c r="AG149" s="2399"/>
      <c r="AH149" s="2399"/>
      <c r="AI149" s="2399"/>
      <c r="AJ149" s="2399"/>
      <c r="AK149" s="2399"/>
      <c r="AL149" s="2399"/>
      <c r="AM149" s="2399"/>
      <c r="AN149" s="2399"/>
      <c r="AO149" s="2399"/>
      <c r="AP149" s="2400"/>
      <c r="AQ149" s="2399"/>
      <c r="AR149" s="2399"/>
      <c r="AS149" s="2399"/>
      <c r="AT149" s="2399"/>
      <c r="AU149" s="2399"/>
      <c r="AV149" s="2399"/>
      <c r="AW149" s="2399"/>
      <c r="AX149" s="2399"/>
      <c r="AY149" s="2399"/>
      <c r="AZ149" s="2399"/>
      <c r="BA149" s="2399"/>
      <c r="BB149" s="2399"/>
      <c r="BC149" s="2399"/>
      <c r="BD149" s="2399"/>
      <c r="BE149" s="2399"/>
      <c r="BF149" s="2399"/>
      <c r="BG149" s="2399"/>
      <c r="BH149" s="2399"/>
      <c r="BI149" s="2399"/>
      <c r="BJ149" s="2399"/>
      <c r="BK149" s="2399"/>
      <c r="BL149" s="2399"/>
      <c r="BM149" s="2399"/>
      <c r="BN149" s="2399"/>
      <c r="BO149" s="2399"/>
      <c r="BP149" s="2399"/>
      <c r="BQ149" s="2399"/>
      <c r="BR149" s="2399"/>
      <c r="BS149" s="2399"/>
      <c r="BT149" s="2399"/>
      <c r="BU149" s="2399"/>
      <c r="BV149" s="2399"/>
      <c r="BY149" s="714"/>
      <c r="BZ149" s="714"/>
    </row>
    <row r="150" spans="14:78" ht="12.75" customHeight="1" x14ac:dyDescent="0.25">
      <c r="N150" s="2399"/>
      <c r="O150" s="2399"/>
      <c r="P150" s="2399"/>
      <c r="Q150" s="2400"/>
      <c r="R150" s="2400"/>
      <c r="S150" s="2399"/>
      <c r="T150" s="2399"/>
      <c r="U150" s="2399"/>
      <c r="V150" s="2399"/>
      <c r="W150" s="2399"/>
      <c r="X150" s="2399"/>
      <c r="Y150" s="2399"/>
      <c r="Z150" s="2399"/>
      <c r="AA150" s="2399"/>
      <c r="AB150" s="2399"/>
      <c r="AC150" s="2399"/>
      <c r="AD150" s="2399"/>
      <c r="AE150" s="2399"/>
      <c r="AF150" s="2399"/>
      <c r="AG150" s="2399"/>
      <c r="AH150" s="2399"/>
      <c r="AI150" s="2399"/>
      <c r="AJ150" s="2399"/>
      <c r="AK150" s="2399"/>
      <c r="AL150" s="2399"/>
      <c r="AM150" s="2399"/>
      <c r="AN150" s="2399"/>
      <c r="AO150" s="2399"/>
      <c r="AP150" s="2400"/>
      <c r="AQ150" s="2399"/>
      <c r="AR150" s="2399"/>
      <c r="AS150" s="2399"/>
      <c r="AT150" s="2399"/>
      <c r="AU150" s="2399"/>
      <c r="AV150" s="2399"/>
      <c r="AW150" s="2399"/>
      <c r="AX150" s="2399"/>
      <c r="AY150" s="2399"/>
      <c r="AZ150" s="2399"/>
      <c r="BA150" s="2399"/>
      <c r="BB150" s="2399"/>
      <c r="BC150" s="2399"/>
      <c r="BD150" s="2399"/>
      <c r="BE150" s="2399"/>
      <c r="BF150" s="2399"/>
      <c r="BG150" s="2399"/>
      <c r="BH150" s="2399"/>
      <c r="BI150" s="2399"/>
      <c r="BJ150" s="2399"/>
      <c r="BK150" s="2399"/>
      <c r="BL150" s="2399"/>
      <c r="BM150" s="2399"/>
      <c r="BN150" s="2399"/>
      <c r="BO150" s="2399"/>
      <c r="BP150" s="2399"/>
      <c r="BQ150" s="2399"/>
      <c r="BR150" s="2399"/>
      <c r="BS150" s="2399"/>
      <c r="BT150" s="2399"/>
      <c r="BU150" s="2399"/>
      <c r="BV150" s="2399"/>
      <c r="BY150" s="714"/>
      <c r="BZ150" s="714"/>
    </row>
    <row r="151" spans="14:78" ht="12.75" customHeight="1" x14ac:dyDescent="0.25">
      <c r="N151" s="2399"/>
      <c r="O151" s="2399"/>
      <c r="P151" s="2399"/>
      <c r="Q151" s="2400"/>
      <c r="R151" s="2400"/>
      <c r="S151" s="2399"/>
      <c r="T151" s="2399"/>
      <c r="U151" s="2399"/>
      <c r="V151" s="2399"/>
      <c r="W151" s="2399"/>
      <c r="X151" s="2399"/>
      <c r="Y151" s="2399"/>
      <c r="Z151" s="2399"/>
      <c r="AA151" s="2399"/>
      <c r="AB151" s="2399"/>
      <c r="AC151" s="2399"/>
      <c r="AD151" s="2399"/>
      <c r="AE151" s="2399"/>
      <c r="AF151" s="2399"/>
      <c r="AG151" s="2399"/>
      <c r="AH151" s="2399"/>
      <c r="AI151" s="2399"/>
      <c r="AJ151" s="2399"/>
      <c r="AK151" s="2399"/>
      <c r="AL151" s="2399"/>
      <c r="AM151" s="2399"/>
      <c r="AN151" s="2399"/>
      <c r="AO151" s="2399"/>
      <c r="AP151" s="2400"/>
      <c r="AQ151" s="2399"/>
      <c r="AR151" s="2399"/>
      <c r="AS151" s="2399"/>
      <c r="AT151" s="2399"/>
      <c r="AU151" s="2399"/>
      <c r="AV151" s="2399"/>
      <c r="AW151" s="2399"/>
      <c r="AX151" s="2399"/>
      <c r="AY151" s="2399"/>
      <c r="AZ151" s="2399"/>
      <c r="BA151" s="2399"/>
      <c r="BB151" s="2399"/>
      <c r="BC151" s="2399"/>
      <c r="BD151" s="2399"/>
      <c r="BE151" s="2399"/>
      <c r="BF151" s="2399"/>
      <c r="BG151" s="2399"/>
      <c r="BH151" s="2399"/>
      <c r="BI151" s="2399"/>
      <c r="BJ151" s="2399"/>
      <c r="BK151" s="2399"/>
      <c r="BL151" s="2399"/>
      <c r="BM151" s="2399"/>
      <c r="BN151" s="2399"/>
      <c r="BO151" s="2399"/>
      <c r="BP151" s="2399"/>
      <c r="BQ151" s="2399"/>
      <c r="BR151" s="2399"/>
      <c r="BS151" s="2399"/>
      <c r="BT151" s="2399"/>
      <c r="BU151" s="2399"/>
      <c r="BV151" s="2399"/>
      <c r="BY151" s="714"/>
      <c r="BZ151" s="714"/>
    </row>
    <row r="152" spans="14:78" ht="12.75" customHeight="1" x14ac:dyDescent="0.25">
      <c r="N152" s="2399"/>
      <c r="O152" s="2399"/>
      <c r="P152" s="2399"/>
      <c r="Q152" s="2400"/>
      <c r="R152" s="2400"/>
      <c r="S152" s="2399"/>
      <c r="T152" s="2399"/>
      <c r="U152" s="2399"/>
      <c r="V152" s="2399"/>
      <c r="W152" s="2399"/>
      <c r="X152" s="2399"/>
      <c r="Y152" s="2399"/>
      <c r="Z152" s="2399"/>
      <c r="AA152" s="2399"/>
      <c r="AB152" s="2399"/>
      <c r="AC152" s="2399"/>
      <c r="AD152" s="2399"/>
      <c r="AE152" s="2399"/>
      <c r="AF152" s="2399"/>
      <c r="AG152" s="2399"/>
      <c r="AH152" s="2399"/>
      <c r="AI152" s="2399"/>
      <c r="AJ152" s="2399"/>
      <c r="AK152" s="2399"/>
      <c r="AL152" s="2399"/>
      <c r="AM152" s="2399"/>
      <c r="AN152" s="2399"/>
      <c r="AO152" s="2399"/>
      <c r="AP152" s="2400"/>
      <c r="AQ152" s="2399"/>
      <c r="AR152" s="2399"/>
      <c r="AS152" s="2399"/>
      <c r="AT152" s="2399"/>
      <c r="AU152" s="2399"/>
      <c r="AV152" s="2399"/>
      <c r="AW152" s="2399"/>
      <c r="AX152" s="2399"/>
      <c r="AY152" s="2399"/>
      <c r="AZ152" s="2399"/>
      <c r="BA152" s="2399"/>
      <c r="BB152" s="2399"/>
      <c r="BC152" s="2399"/>
      <c r="BD152" s="2399"/>
      <c r="BE152" s="2399"/>
      <c r="BF152" s="2399"/>
      <c r="BG152" s="2399"/>
      <c r="BH152" s="2399"/>
      <c r="BI152" s="2399"/>
      <c r="BJ152" s="2399"/>
      <c r="BK152" s="2399"/>
      <c r="BL152" s="2399"/>
      <c r="BM152" s="2399"/>
      <c r="BN152" s="2399"/>
      <c r="BO152" s="2399"/>
      <c r="BP152" s="2399"/>
      <c r="BQ152" s="2399"/>
      <c r="BR152" s="2399"/>
      <c r="BS152" s="2399"/>
      <c r="BT152" s="2399"/>
      <c r="BU152" s="2399"/>
      <c r="BV152" s="2399"/>
      <c r="BY152" s="714"/>
      <c r="BZ152" s="714"/>
    </row>
    <row r="153" spans="14:78" ht="12.75" customHeight="1" x14ac:dyDescent="0.25">
      <c r="N153" s="2399"/>
      <c r="O153" s="2399"/>
      <c r="P153" s="2399"/>
      <c r="Q153" s="2400"/>
      <c r="R153" s="2400"/>
      <c r="S153" s="2399"/>
      <c r="T153" s="2399"/>
      <c r="U153" s="2399"/>
      <c r="V153" s="2399"/>
      <c r="W153" s="2399"/>
      <c r="X153" s="2399"/>
      <c r="Y153" s="2399"/>
      <c r="Z153" s="2399"/>
      <c r="AA153" s="2399"/>
      <c r="AB153" s="2399"/>
      <c r="AC153" s="2399"/>
      <c r="AD153" s="2399"/>
      <c r="AE153" s="2399"/>
      <c r="AF153" s="2399"/>
      <c r="AG153" s="2399"/>
      <c r="AH153" s="2399"/>
      <c r="AI153" s="2399"/>
      <c r="AJ153" s="2399"/>
      <c r="AK153" s="2399"/>
      <c r="AL153" s="2399"/>
      <c r="AM153" s="2399"/>
      <c r="AN153" s="2399"/>
      <c r="AO153" s="2399"/>
      <c r="AP153" s="2400"/>
      <c r="AQ153" s="2399"/>
      <c r="AR153" s="2399"/>
      <c r="AS153" s="2399"/>
      <c r="AT153" s="2399"/>
      <c r="AU153" s="2399"/>
      <c r="AV153" s="2399"/>
      <c r="AW153" s="2399"/>
      <c r="AX153" s="2399"/>
      <c r="AY153" s="2399"/>
      <c r="AZ153" s="2399"/>
      <c r="BA153" s="2399"/>
      <c r="BB153" s="2399"/>
      <c r="BC153" s="2399"/>
      <c r="BD153" s="2399"/>
      <c r="BE153" s="2399"/>
      <c r="BF153" s="2399"/>
      <c r="BG153" s="2399"/>
      <c r="BH153" s="2399"/>
      <c r="BI153" s="2399"/>
      <c r="BJ153" s="2399"/>
      <c r="BK153" s="2399"/>
      <c r="BL153" s="2399"/>
      <c r="BM153" s="2399"/>
      <c r="BN153" s="2399"/>
      <c r="BO153" s="2399"/>
      <c r="BP153" s="2399"/>
      <c r="BQ153" s="2399"/>
      <c r="BR153" s="2399"/>
      <c r="BS153" s="2399"/>
      <c r="BT153" s="2399"/>
      <c r="BU153" s="2399"/>
      <c r="BV153" s="2399"/>
      <c r="BY153" s="714"/>
      <c r="BZ153" s="714"/>
    </row>
    <row r="154" spans="14:78" ht="12.75" customHeight="1" x14ac:dyDescent="0.25">
      <c r="N154" s="2399"/>
      <c r="O154" s="2399"/>
      <c r="P154" s="2399"/>
      <c r="Q154" s="2400"/>
      <c r="R154" s="2400"/>
      <c r="S154" s="2399"/>
      <c r="T154" s="2399"/>
      <c r="U154" s="2399"/>
      <c r="V154" s="2399"/>
      <c r="W154" s="2399"/>
      <c r="X154" s="2399"/>
      <c r="Y154" s="2399"/>
      <c r="Z154" s="2399"/>
      <c r="AA154" s="2399"/>
      <c r="AB154" s="2399"/>
      <c r="AC154" s="2399"/>
      <c r="AD154" s="2399"/>
      <c r="AE154" s="2399"/>
      <c r="AF154" s="2399"/>
      <c r="AG154" s="2399"/>
      <c r="AH154" s="2399"/>
      <c r="AI154" s="2399"/>
      <c r="AJ154" s="2399"/>
      <c r="AK154" s="2399"/>
      <c r="AL154" s="2399"/>
      <c r="AM154" s="2399"/>
      <c r="AN154" s="2399"/>
      <c r="AO154" s="2399"/>
      <c r="AP154" s="2400"/>
      <c r="AQ154" s="2399"/>
      <c r="AR154" s="2399"/>
      <c r="AS154" s="2399"/>
      <c r="AT154" s="2399"/>
      <c r="AU154" s="2399"/>
      <c r="AV154" s="2399"/>
      <c r="AW154" s="2399"/>
      <c r="AX154" s="2399"/>
      <c r="AY154" s="2399"/>
      <c r="AZ154" s="2399"/>
      <c r="BA154" s="2399"/>
      <c r="BB154" s="2399"/>
      <c r="BC154" s="2399"/>
      <c r="BD154" s="2399"/>
      <c r="BE154" s="2399"/>
      <c r="BF154" s="2399"/>
      <c r="BG154" s="2399"/>
      <c r="BH154" s="2399"/>
      <c r="BI154" s="2399"/>
      <c r="BJ154" s="2399"/>
      <c r="BK154" s="2399"/>
      <c r="BL154" s="2399"/>
      <c r="BM154" s="2399"/>
      <c r="BN154" s="2399"/>
      <c r="BO154" s="2399"/>
      <c r="BP154" s="2399"/>
      <c r="BQ154" s="2399"/>
      <c r="BR154" s="2399"/>
      <c r="BS154" s="2399"/>
      <c r="BT154" s="2399"/>
      <c r="BU154" s="2399"/>
      <c r="BV154" s="2399"/>
      <c r="BX154" s="707"/>
    </row>
    <row r="155" spans="14:78" ht="12.75" customHeight="1" x14ac:dyDescent="0.25">
      <c r="N155" s="2399"/>
      <c r="O155" s="2399"/>
      <c r="P155" s="2399"/>
      <c r="Q155" s="2400"/>
      <c r="R155" s="2400"/>
      <c r="S155" s="2399"/>
      <c r="T155" s="2399"/>
      <c r="U155" s="2399"/>
      <c r="V155" s="2399"/>
      <c r="W155" s="2399"/>
      <c r="X155" s="2399"/>
      <c r="Y155" s="2399"/>
      <c r="Z155" s="2399"/>
      <c r="AA155" s="2399"/>
      <c r="AB155" s="2399"/>
      <c r="AC155" s="2399"/>
      <c r="AD155" s="2399"/>
      <c r="AE155" s="2399"/>
      <c r="AF155" s="2399"/>
      <c r="AG155" s="2399"/>
      <c r="AH155" s="2399"/>
      <c r="AI155" s="2399"/>
      <c r="AJ155" s="2399"/>
      <c r="AK155" s="2399"/>
      <c r="AL155" s="2399"/>
      <c r="AM155" s="2399"/>
      <c r="AN155" s="2399"/>
      <c r="AO155" s="2399"/>
      <c r="AP155" s="2400"/>
      <c r="AQ155" s="2399"/>
      <c r="AR155" s="2399"/>
      <c r="AS155" s="2399"/>
      <c r="AT155" s="2399"/>
      <c r="AU155" s="2399"/>
      <c r="AV155" s="2399"/>
      <c r="AW155" s="2399"/>
      <c r="AX155" s="2399"/>
      <c r="AY155" s="2399"/>
      <c r="AZ155" s="2399"/>
      <c r="BA155" s="2399"/>
      <c r="BB155" s="2399"/>
      <c r="BC155" s="2399"/>
      <c r="BD155" s="2399"/>
      <c r="BE155" s="2399"/>
      <c r="BF155" s="2399"/>
      <c r="BG155" s="2399"/>
      <c r="BH155" s="2399"/>
      <c r="BI155" s="2399"/>
      <c r="BJ155" s="2399"/>
      <c r="BK155" s="2399"/>
      <c r="BL155" s="2399"/>
      <c r="BM155" s="2399"/>
      <c r="BN155" s="2399"/>
      <c r="BO155" s="2399"/>
      <c r="BP155" s="2399"/>
      <c r="BQ155" s="2399"/>
      <c r="BR155" s="2399"/>
      <c r="BS155" s="2399"/>
      <c r="BT155" s="2399"/>
      <c r="BU155" s="2399"/>
      <c r="BV155" s="2399"/>
      <c r="BX155" s="707"/>
    </row>
    <row r="156" spans="14:78" ht="12.75" customHeight="1" x14ac:dyDescent="0.25">
      <c r="N156" s="2399"/>
      <c r="O156" s="2399"/>
      <c r="P156" s="2399"/>
      <c r="Q156" s="2400"/>
      <c r="R156" s="2400"/>
      <c r="S156" s="2399"/>
      <c r="T156" s="2399"/>
      <c r="U156" s="2399"/>
      <c r="V156" s="2399"/>
      <c r="W156" s="2399"/>
      <c r="X156" s="2399"/>
      <c r="Y156" s="2399"/>
      <c r="Z156" s="2399"/>
      <c r="AA156" s="2399"/>
      <c r="AB156" s="2399"/>
      <c r="AC156" s="2399"/>
      <c r="AD156" s="2399"/>
      <c r="AE156" s="2399"/>
      <c r="AF156" s="2399"/>
      <c r="AG156" s="2399"/>
      <c r="AH156" s="2399"/>
      <c r="AI156" s="2399"/>
      <c r="AJ156" s="2399"/>
      <c r="AK156" s="2399"/>
      <c r="AL156" s="2399"/>
      <c r="AM156" s="2399"/>
      <c r="AN156" s="2399"/>
      <c r="AO156" s="2399"/>
      <c r="AP156" s="2400"/>
      <c r="AQ156" s="2399"/>
      <c r="AR156" s="2399"/>
      <c r="AS156" s="2399"/>
      <c r="AT156" s="2399"/>
      <c r="AU156" s="2399"/>
      <c r="AV156" s="2399"/>
      <c r="AW156" s="2399"/>
      <c r="AX156" s="2399"/>
      <c r="AY156" s="2399"/>
      <c r="AZ156" s="2399"/>
      <c r="BA156" s="2399"/>
      <c r="BB156" s="2399"/>
      <c r="BC156" s="2399"/>
      <c r="BD156" s="2399"/>
      <c r="BE156" s="2399"/>
      <c r="BF156" s="2399"/>
      <c r="BG156" s="2399"/>
      <c r="BH156" s="2399"/>
      <c r="BI156" s="2399"/>
      <c r="BJ156" s="2399"/>
      <c r="BK156" s="2399"/>
      <c r="BL156" s="2399"/>
      <c r="BM156" s="2399"/>
      <c r="BN156" s="2399"/>
      <c r="BO156" s="2399"/>
      <c r="BP156" s="2399"/>
      <c r="BQ156" s="2399"/>
      <c r="BR156" s="2399"/>
      <c r="BS156" s="2399"/>
      <c r="BT156" s="2399"/>
      <c r="BU156" s="2399"/>
      <c r="BV156" s="2399"/>
      <c r="BX156" s="707"/>
    </row>
    <row r="157" spans="14:78" ht="12.75" customHeight="1" x14ac:dyDescent="0.25">
      <c r="N157" s="2399"/>
      <c r="O157" s="2399"/>
      <c r="P157" s="2399"/>
      <c r="Q157" s="2400"/>
      <c r="R157" s="2400"/>
      <c r="S157" s="2399"/>
      <c r="T157" s="2399"/>
      <c r="U157" s="2399"/>
      <c r="V157" s="2399"/>
      <c r="W157" s="2399"/>
      <c r="X157" s="2399"/>
      <c r="Y157" s="2399"/>
      <c r="Z157" s="2399"/>
      <c r="AA157" s="2399"/>
      <c r="AB157" s="2399"/>
      <c r="AC157" s="2399"/>
      <c r="AD157" s="2399"/>
      <c r="AE157" s="2399"/>
      <c r="AF157" s="2399"/>
      <c r="AG157" s="2399"/>
      <c r="AH157" s="2399"/>
      <c r="AI157" s="2399"/>
      <c r="AJ157" s="2399"/>
      <c r="AK157" s="2399"/>
      <c r="AL157" s="2399"/>
      <c r="AM157" s="2399"/>
      <c r="AN157" s="2399"/>
      <c r="AO157" s="2399"/>
      <c r="AP157" s="2400"/>
      <c r="AQ157" s="2399"/>
      <c r="AR157" s="2399"/>
      <c r="AS157" s="2399"/>
      <c r="AT157" s="2399"/>
      <c r="AU157" s="2399"/>
      <c r="AV157" s="2399"/>
      <c r="AW157" s="2399"/>
      <c r="AX157" s="2399"/>
      <c r="AY157" s="2399"/>
      <c r="AZ157" s="2399"/>
      <c r="BA157" s="2399"/>
      <c r="BB157" s="2399"/>
      <c r="BC157" s="2399"/>
      <c r="BD157" s="2399"/>
      <c r="BE157" s="2399"/>
      <c r="BF157" s="2399"/>
      <c r="BG157" s="2399"/>
      <c r="BH157" s="2399"/>
      <c r="BI157" s="2399"/>
      <c r="BJ157" s="2399"/>
      <c r="BK157" s="2399"/>
      <c r="BL157" s="2399"/>
      <c r="BM157" s="2399"/>
      <c r="BN157" s="2399"/>
      <c r="BO157" s="2399"/>
      <c r="BP157" s="2399"/>
      <c r="BQ157" s="2399"/>
      <c r="BR157" s="2399"/>
      <c r="BS157" s="2399"/>
      <c r="BT157" s="2399"/>
      <c r="BU157" s="2399"/>
      <c r="BV157" s="2399"/>
      <c r="BX157" s="707"/>
    </row>
    <row r="158" spans="14:78" ht="12.75" customHeight="1" x14ac:dyDescent="0.25">
      <c r="N158" s="2399"/>
      <c r="O158" s="2399"/>
      <c r="P158" s="2399"/>
      <c r="Q158" s="2400"/>
      <c r="R158" s="2400"/>
      <c r="S158" s="2399"/>
      <c r="T158" s="2399"/>
      <c r="U158" s="2399"/>
      <c r="V158" s="2399"/>
      <c r="W158" s="2399"/>
      <c r="X158" s="2399"/>
      <c r="Y158" s="2399"/>
      <c r="Z158" s="2399"/>
      <c r="AA158" s="2399"/>
      <c r="AB158" s="2399"/>
      <c r="AC158" s="2399"/>
      <c r="AD158" s="2399"/>
      <c r="AE158" s="2399"/>
      <c r="AF158" s="2399"/>
      <c r="AG158" s="2399"/>
      <c r="AH158" s="2399"/>
      <c r="AI158" s="2399"/>
      <c r="AJ158" s="2399"/>
      <c r="AK158" s="2399"/>
      <c r="AL158" s="2399"/>
      <c r="AM158" s="2399"/>
      <c r="AN158" s="2399"/>
      <c r="AO158" s="2399"/>
      <c r="AP158" s="2400"/>
      <c r="AQ158" s="2399"/>
      <c r="AR158" s="2399"/>
      <c r="AS158" s="2399"/>
      <c r="AT158" s="2399"/>
      <c r="AU158" s="2399"/>
      <c r="AV158" s="2399"/>
      <c r="AW158" s="2399"/>
      <c r="AX158" s="2399"/>
      <c r="AY158" s="2399"/>
      <c r="AZ158" s="2399"/>
      <c r="BA158" s="2399"/>
      <c r="BB158" s="2399"/>
      <c r="BC158" s="2399"/>
      <c r="BD158" s="2399"/>
      <c r="BE158" s="2399"/>
      <c r="BF158" s="2399"/>
      <c r="BG158" s="2399"/>
      <c r="BH158" s="2399"/>
      <c r="BI158" s="2399"/>
      <c r="BJ158" s="2399"/>
      <c r="BK158" s="2399"/>
      <c r="BL158" s="2399"/>
      <c r="BM158" s="2399"/>
      <c r="BN158" s="2399"/>
      <c r="BO158" s="2399"/>
      <c r="BP158" s="2399"/>
      <c r="BQ158" s="2399"/>
      <c r="BR158" s="2399"/>
      <c r="BS158" s="2399"/>
      <c r="BT158" s="2399"/>
      <c r="BU158" s="2399"/>
      <c r="BV158" s="2399"/>
      <c r="BX158" s="707"/>
    </row>
    <row r="159" spans="14:78" ht="12.75" customHeight="1" x14ac:dyDescent="0.25">
      <c r="N159" s="2399"/>
      <c r="O159" s="2399"/>
      <c r="P159" s="2399"/>
      <c r="Q159" s="2400"/>
      <c r="R159" s="2400"/>
      <c r="S159" s="2399"/>
      <c r="T159" s="2399"/>
      <c r="U159" s="2399"/>
      <c r="V159" s="2399"/>
      <c r="W159" s="2399"/>
      <c r="X159" s="2399"/>
      <c r="Y159" s="2399"/>
      <c r="Z159" s="2399"/>
      <c r="AA159" s="2399"/>
      <c r="AB159" s="2399"/>
      <c r="AC159" s="2399"/>
      <c r="AD159" s="2399"/>
      <c r="AE159" s="2399"/>
      <c r="AF159" s="2399"/>
      <c r="AG159" s="2399"/>
      <c r="AH159" s="2399"/>
      <c r="AI159" s="2399"/>
      <c r="AJ159" s="2399"/>
      <c r="AK159" s="2399"/>
      <c r="AL159" s="2399"/>
      <c r="AM159" s="2399"/>
      <c r="AN159" s="2399"/>
      <c r="AO159" s="2399"/>
      <c r="AP159" s="2400"/>
      <c r="AQ159" s="2399"/>
      <c r="AR159" s="2399"/>
      <c r="AS159" s="2399"/>
      <c r="AT159" s="2399"/>
      <c r="AU159" s="2399"/>
      <c r="AV159" s="2399"/>
      <c r="AW159" s="2399"/>
      <c r="AX159" s="2399"/>
      <c r="AY159" s="2399"/>
      <c r="AZ159" s="2399"/>
      <c r="BA159" s="2399"/>
      <c r="BB159" s="2399"/>
      <c r="BC159" s="2399"/>
      <c r="BD159" s="2399"/>
      <c r="BE159" s="2399"/>
      <c r="BF159" s="2399"/>
      <c r="BG159" s="2399"/>
      <c r="BH159" s="2399"/>
      <c r="BI159" s="2399"/>
      <c r="BJ159" s="2399"/>
      <c r="BK159" s="2399"/>
      <c r="BL159" s="2399"/>
      <c r="BM159" s="2399"/>
      <c r="BN159" s="2399"/>
      <c r="BO159" s="2399"/>
      <c r="BP159" s="2399"/>
      <c r="BQ159" s="2399"/>
      <c r="BR159" s="2399"/>
      <c r="BS159" s="2399"/>
      <c r="BT159" s="2399"/>
      <c r="BU159" s="2399"/>
      <c r="BV159" s="2399"/>
      <c r="BX159" s="707"/>
    </row>
    <row r="160" spans="14:78" ht="12.75" customHeight="1" x14ac:dyDescent="0.25">
      <c r="N160" s="2399"/>
      <c r="O160" s="2399"/>
      <c r="P160" s="2399"/>
      <c r="Q160" s="2400"/>
      <c r="R160" s="2400"/>
      <c r="S160" s="2399"/>
      <c r="T160" s="2399"/>
      <c r="U160" s="2399"/>
      <c r="V160" s="2399"/>
      <c r="W160" s="2399"/>
      <c r="X160" s="2399"/>
      <c r="Y160" s="2399"/>
      <c r="Z160" s="2399"/>
      <c r="AA160" s="2399"/>
      <c r="AB160" s="2399"/>
      <c r="AC160" s="2399"/>
      <c r="AD160" s="2399"/>
      <c r="AE160" s="2399"/>
      <c r="AF160" s="2399"/>
      <c r="AG160" s="2399"/>
      <c r="AH160" s="2399"/>
      <c r="AI160" s="2399"/>
      <c r="AJ160" s="2399"/>
      <c r="AK160" s="2399"/>
      <c r="AL160" s="2399"/>
      <c r="AM160" s="2399"/>
      <c r="AN160" s="2399"/>
      <c r="AO160" s="2399"/>
      <c r="AP160" s="2400"/>
      <c r="AQ160" s="2399"/>
      <c r="AR160" s="2399"/>
      <c r="AS160" s="2399"/>
      <c r="AT160" s="2399"/>
      <c r="AU160" s="2399"/>
      <c r="AV160" s="2399"/>
      <c r="AW160" s="2399"/>
      <c r="AX160" s="2399"/>
      <c r="AY160" s="2399"/>
      <c r="AZ160" s="2399"/>
      <c r="BA160" s="2399"/>
      <c r="BB160" s="2399"/>
      <c r="BC160" s="2399"/>
      <c r="BD160" s="2399"/>
      <c r="BE160" s="2399"/>
      <c r="BF160" s="2399"/>
      <c r="BG160" s="2399"/>
      <c r="BH160" s="2399"/>
      <c r="BI160" s="2399"/>
      <c r="BJ160" s="2399"/>
      <c r="BK160" s="2399"/>
      <c r="BL160" s="2399"/>
      <c r="BM160" s="2399"/>
      <c r="BN160" s="2399"/>
      <c r="BO160" s="2399"/>
      <c r="BP160" s="2399"/>
      <c r="BQ160" s="2399"/>
      <c r="BR160" s="2399"/>
      <c r="BS160" s="2399"/>
      <c r="BT160" s="2399"/>
      <c r="BU160" s="2399"/>
      <c r="BV160" s="2399"/>
      <c r="BX160" s="707"/>
    </row>
    <row r="161" spans="14:76" ht="12.75" customHeight="1" x14ac:dyDescent="0.25">
      <c r="N161" s="2399"/>
      <c r="O161" s="2399"/>
      <c r="P161" s="2399"/>
      <c r="Q161" s="2400"/>
      <c r="R161" s="2400"/>
      <c r="S161" s="2399"/>
      <c r="T161" s="2399"/>
      <c r="U161" s="2399"/>
      <c r="V161" s="2399"/>
      <c r="W161" s="2399"/>
      <c r="X161" s="2399"/>
      <c r="Y161" s="2399"/>
      <c r="Z161" s="2399"/>
      <c r="AA161" s="2399"/>
      <c r="AB161" s="2399"/>
      <c r="AC161" s="2399"/>
      <c r="AD161" s="2399"/>
      <c r="AE161" s="2399"/>
      <c r="AF161" s="2399"/>
      <c r="AG161" s="2399"/>
      <c r="AH161" s="2399"/>
      <c r="AI161" s="2399"/>
      <c r="AJ161" s="2399"/>
      <c r="AK161" s="2399"/>
      <c r="AL161" s="2399"/>
      <c r="AM161" s="2399"/>
      <c r="AN161" s="2399"/>
      <c r="AO161" s="2399"/>
      <c r="AP161" s="2400"/>
      <c r="AQ161" s="2399"/>
      <c r="AR161" s="2399"/>
      <c r="AS161" s="2399"/>
      <c r="AT161" s="2399"/>
      <c r="AU161" s="2399"/>
      <c r="AV161" s="2399"/>
      <c r="AW161" s="2399"/>
      <c r="AX161" s="2399"/>
      <c r="AY161" s="2399"/>
      <c r="AZ161" s="2399"/>
      <c r="BA161" s="2399"/>
      <c r="BB161" s="2399"/>
      <c r="BC161" s="2399"/>
      <c r="BD161" s="2399"/>
      <c r="BE161" s="2399"/>
      <c r="BF161" s="2399"/>
      <c r="BG161" s="2399"/>
      <c r="BH161" s="2399"/>
      <c r="BI161" s="2399"/>
      <c r="BJ161" s="2399"/>
      <c r="BK161" s="2399"/>
      <c r="BL161" s="2399"/>
      <c r="BM161" s="2399"/>
      <c r="BN161" s="2399"/>
      <c r="BO161" s="2399"/>
      <c r="BP161" s="2399"/>
      <c r="BQ161" s="2399"/>
      <c r="BR161" s="2399"/>
      <c r="BS161" s="2399"/>
      <c r="BT161" s="2399"/>
      <c r="BU161" s="2399"/>
      <c r="BV161" s="2399"/>
      <c r="BX161" s="707"/>
    </row>
    <row r="162" spans="14:76" ht="12.75" customHeight="1" x14ac:dyDescent="0.25">
      <c r="N162" s="2399"/>
      <c r="O162" s="2399"/>
      <c r="P162" s="2399"/>
      <c r="Q162" s="2400"/>
      <c r="R162" s="2400"/>
      <c r="S162" s="2399"/>
      <c r="T162" s="2399"/>
      <c r="U162" s="2399"/>
      <c r="V162" s="2399"/>
      <c r="W162" s="2399"/>
      <c r="X162" s="2399"/>
      <c r="Y162" s="2399"/>
      <c r="Z162" s="2399"/>
      <c r="AA162" s="2399"/>
      <c r="AB162" s="2399"/>
      <c r="AC162" s="2399"/>
      <c r="AD162" s="2399"/>
      <c r="AE162" s="2399"/>
      <c r="AF162" s="2399"/>
      <c r="AG162" s="2399"/>
      <c r="AH162" s="2399"/>
      <c r="AI162" s="2399"/>
      <c r="AJ162" s="2399"/>
      <c r="AK162" s="2399"/>
      <c r="AL162" s="2399"/>
      <c r="AM162" s="2399"/>
      <c r="AN162" s="2399"/>
      <c r="AO162" s="2399"/>
      <c r="AP162" s="2400"/>
      <c r="AQ162" s="2399"/>
      <c r="AR162" s="2399"/>
      <c r="AS162" s="2399"/>
      <c r="AT162" s="2399"/>
      <c r="AU162" s="2399"/>
      <c r="AV162" s="2399"/>
      <c r="AW162" s="2399"/>
      <c r="AX162" s="2399"/>
      <c r="AY162" s="2399"/>
      <c r="AZ162" s="2399"/>
      <c r="BA162" s="2399"/>
      <c r="BB162" s="2399"/>
      <c r="BC162" s="2399"/>
      <c r="BD162" s="2399"/>
      <c r="BE162" s="2399"/>
      <c r="BF162" s="2399"/>
      <c r="BG162" s="2399"/>
      <c r="BH162" s="2399"/>
      <c r="BI162" s="2399"/>
      <c r="BJ162" s="2399"/>
      <c r="BK162" s="2399"/>
      <c r="BL162" s="2399"/>
      <c r="BM162" s="2399"/>
      <c r="BN162" s="2399"/>
      <c r="BO162" s="2399"/>
      <c r="BP162" s="2399"/>
      <c r="BQ162" s="2399"/>
      <c r="BR162" s="2399"/>
      <c r="BS162" s="2399"/>
      <c r="BT162" s="2399"/>
      <c r="BU162" s="2399"/>
      <c r="BV162" s="2399"/>
      <c r="BX162" s="707"/>
    </row>
    <row r="163" spans="14:76" ht="12.75" customHeight="1" x14ac:dyDescent="0.25">
      <c r="N163" s="2399"/>
      <c r="O163" s="2399"/>
      <c r="P163" s="2399"/>
      <c r="Q163" s="2400"/>
      <c r="R163" s="2400"/>
      <c r="S163" s="2399"/>
      <c r="T163" s="2399"/>
      <c r="U163" s="2399"/>
      <c r="V163" s="2399"/>
      <c r="W163" s="2399"/>
      <c r="X163" s="2399"/>
      <c r="Y163" s="2399"/>
      <c r="Z163" s="2399"/>
      <c r="AA163" s="2399"/>
      <c r="AB163" s="2399"/>
      <c r="AC163" s="2399"/>
      <c r="AD163" s="2399"/>
      <c r="AE163" s="2399"/>
      <c r="AF163" s="2399"/>
      <c r="AG163" s="2399"/>
      <c r="AH163" s="2399"/>
      <c r="AI163" s="2399"/>
      <c r="AJ163" s="2399"/>
      <c r="AK163" s="2399"/>
      <c r="AL163" s="2399"/>
      <c r="AM163" s="2399"/>
      <c r="AN163" s="2399"/>
      <c r="AO163" s="2399"/>
      <c r="AP163" s="2400"/>
      <c r="AQ163" s="2399"/>
      <c r="AR163" s="2399"/>
      <c r="AS163" s="2399"/>
      <c r="AT163" s="2399"/>
      <c r="AU163" s="2399"/>
      <c r="AV163" s="2399"/>
      <c r="AW163" s="2399"/>
      <c r="AX163" s="2399"/>
      <c r="AY163" s="2399"/>
      <c r="AZ163" s="2399"/>
      <c r="BA163" s="2399"/>
      <c r="BB163" s="2399"/>
      <c r="BC163" s="2399"/>
      <c r="BD163" s="2399"/>
      <c r="BE163" s="2399"/>
      <c r="BF163" s="2399"/>
      <c r="BG163" s="2399"/>
      <c r="BH163" s="2399"/>
      <c r="BI163" s="2399"/>
      <c r="BJ163" s="2399"/>
      <c r="BK163" s="2399"/>
      <c r="BL163" s="2399"/>
      <c r="BM163" s="2399"/>
      <c r="BN163" s="2399"/>
      <c r="BO163" s="2399"/>
      <c r="BP163" s="2399"/>
      <c r="BQ163" s="2399"/>
      <c r="BR163" s="2399"/>
      <c r="BS163" s="2399"/>
      <c r="BT163" s="2399"/>
      <c r="BU163" s="2399"/>
      <c r="BV163" s="2399"/>
      <c r="BX163" s="707"/>
    </row>
    <row r="164" spans="14:76" ht="12.75" customHeight="1" x14ac:dyDescent="0.25">
      <c r="N164" s="2399"/>
      <c r="O164" s="2399"/>
      <c r="P164" s="2399"/>
      <c r="Q164" s="2400"/>
      <c r="R164" s="2400"/>
      <c r="S164" s="2399"/>
      <c r="T164" s="2399"/>
      <c r="U164" s="2399"/>
      <c r="V164" s="2399"/>
      <c r="W164" s="2399"/>
      <c r="X164" s="2399"/>
      <c r="Y164" s="2399"/>
      <c r="Z164" s="2399"/>
      <c r="AA164" s="2399"/>
      <c r="AB164" s="2399"/>
      <c r="AC164" s="2399"/>
      <c r="AD164" s="2399"/>
      <c r="AE164" s="2399"/>
      <c r="AF164" s="2399"/>
      <c r="AG164" s="2399"/>
      <c r="AH164" s="2399"/>
      <c r="AI164" s="2399"/>
      <c r="AJ164" s="2399"/>
      <c r="AK164" s="2399"/>
      <c r="AL164" s="2399"/>
      <c r="AM164" s="2399"/>
      <c r="AN164" s="2399"/>
      <c r="AO164" s="2399"/>
      <c r="AP164" s="2400"/>
      <c r="AQ164" s="2399"/>
      <c r="AR164" s="2399"/>
      <c r="AS164" s="2399"/>
      <c r="AT164" s="2399"/>
      <c r="AU164" s="2399"/>
      <c r="AV164" s="2399"/>
      <c r="AW164" s="2399"/>
      <c r="AX164" s="2399"/>
      <c r="AY164" s="2399"/>
      <c r="AZ164" s="2399"/>
      <c r="BA164" s="2399"/>
      <c r="BB164" s="2399"/>
      <c r="BC164" s="2399"/>
      <c r="BD164" s="2399"/>
      <c r="BE164" s="2399"/>
      <c r="BF164" s="2399"/>
      <c r="BG164" s="2399"/>
      <c r="BH164" s="2399"/>
      <c r="BI164" s="2399"/>
      <c r="BJ164" s="2399"/>
      <c r="BK164" s="2399"/>
      <c r="BL164" s="2399"/>
      <c r="BM164" s="2399"/>
      <c r="BN164" s="2399"/>
      <c r="BO164" s="2399"/>
      <c r="BP164" s="2399"/>
      <c r="BQ164" s="2399"/>
      <c r="BR164" s="2399"/>
      <c r="BS164" s="2399"/>
      <c r="BT164" s="2399"/>
      <c r="BU164" s="2399"/>
      <c r="BV164" s="2399"/>
      <c r="BX164" s="707"/>
    </row>
    <row r="165" spans="14:76" ht="12.75" customHeight="1" x14ac:dyDescent="0.25">
      <c r="N165" s="2399"/>
      <c r="O165" s="2399"/>
      <c r="P165" s="2399"/>
      <c r="Q165" s="2400"/>
      <c r="R165" s="2400"/>
      <c r="S165" s="2399"/>
      <c r="T165" s="2399"/>
      <c r="U165" s="2399"/>
      <c r="V165" s="2399"/>
      <c r="W165" s="2399"/>
      <c r="X165" s="2399"/>
      <c r="Y165" s="2399"/>
      <c r="Z165" s="2399"/>
      <c r="AA165" s="2399"/>
      <c r="AB165" s="2399"/>
      <c r="AC165" s="2399"/>
      <c r="AD165" s="2399"/>
      <c r="AE165" s="2399"/>
      <c r="AF165" s="2399"/>
      <c r="AG165" s="2399"/>
      <c r="AH165" s="2399"/>
      <c r="AI165" s="2399"/>
      <c r="AJ165" s="2399"/>
      <c r="AK165" s="2399"/>
      <c r="AL165" s="2399"/>
      <c r="AM165" s="2399"/>
      <c r="AN165" s="2399"/>
      <c r="AO165" s="2399"/>
      <c r="AP165" s="2400"/>
      <c r="AQ165" s="2399"/>
      <c r="AR165" s="2399"/>
      <c r="AS165" s="2399"/>
      <c r="AT165" s="2399"/>
      <c r="AU165" s="2399"/>
      <c r="AV165" s="2399"/>
      <c r="AW165" s="2399"/>
      <c r="AX165" s="2399"/>
      <c r="AY165" s="2399"/>
      <c r="AZ165" s="2399"/>
      <c r="BA165" s="2399"/>
      <c r="BB165" s="2399"/>
      <c r="BC165" s="2399"/>
      <c r="BD165" s="2399"/>
      <c r="BE165" s="2399"/>
      <c r="BF165" s="2399"/>
      <c r="BG165" s="2399"/>
      <c r="BH165" s="2399"/>
      <c r="BI165" s="2399"/>
      <c r="BJ165" s="2399"/>
      <c r="BK165" s="2399"/>
      <c r="BL165" s="2399"/>
      <c r="BM165" s="2399"/>
      <c r="BN165" s="2399"/>
      <c r="BO165" s="2399"/>
      <c r="BP165" s="2399"/>
      <c r="BQ165" s="2399"/>
      <c r="BR165" s="2399"/>
      <c r="BS165" s="2399"/>
      <c r="BT165" s="2399"/>
      <c r="BU165" s="2399"/>
      <c r="BV165" s="2399"/>
      <c r="BX165" s="707"/>
    </row>
    <row r="166" spans="14:76" ht="12.75" customHeight="1" x14ac:dyDescent="0.25">
      <c r="N166" s="2399"/>
      <c r="O166" s="2399"/>
      <c r="P166" s="2399"/>
      <c r="Q166" s="2400"/>
      <c r="R166" s="2400"/>
      <c r="S166" s="2399"/>
      <c r="T166" s="2399"/>
      <c r="U166" s="2399"/>
      <c r="V166" s="2399"/>
      <c r="W166" s="2399"/>
      <c r="X166" s="2399"/>
      <c r="Y166" s="2399"/>
      <c r="Z166" s="2399"/>
      <c r="AA166" s="2399"/>
      <c r="AB166" s="2399"/>
      <c r="AC166" s="2399"/>
      <c r="AD166" s="2399"/>
      <c r="AE166" s="2399"/>
      <c r="AF166" s="2399"/>
      <c r="AG166" s="2399"/>
      <c r="AH166" s="2399"/>
      <c r="AI166" s="2399"/>
      <c r="AJ166" s="2399"/>
      <c r="AK166" s="2399"/>
      <c r="AL166" s="2399"/>
      <c r="AM166" s="2399"/>
      <c r="AN166" s="2399"/>
      <c r="AO166" s="2399"/>
      <c r="AP166" s="2400"/>
      <c r="AQ166" s="2399"/>
      <c r="AR166" s="2399"/>
      <c r="AS166" s="2399"/>
      <c r="AT166" s="2399"/>
      <c r="AU166" s="2399"/>
      <c r="AV166" s="2399"/>
      <c r="AW166" s="2399"/>
      <c r="AX166" s="2399"/>
      <c r="AY166" s="2399"/>
      <c r="AZ166" s="2399"/>
      <c r="BA166" s="2399"/>
      <c r="BB166" s="2399"/>
      <c r="BC166" s="2399"/>
      <c r="BD166" s="2399"/>
      <c r="BE166" s="2399"/>
      <c r="BF166" s="2399"/>
      <c r="BG166" s="2399"/>
      <c r="BH166" s="2399"/>
      <c r="BI166" s="2399"/>
      <c r="BJ166" s="2399"/>
      <c r="BK166" s="2399"/>
      <c r="BL166" s="2399"/>
      <c r="BM166" s="2399"/>
      <c r="BN166" s="2399"/>
      <c r="BO166" s="2399"/>
      <c r="BP166" s="2399"/>
      <c r="BQ166" s="2399"/>
      <c r="BR166" s="2399"/>
      <c r="BS166" s="2399"/>
      <c r="BT166" s="2399"/>
      <c r="BU166" s="2399"/>
      <c r="BV166" s="2399"/>
      <c r="BX166" s="707"/>
    </row>
    <row r="167" spans="14:76" ht="12.75" customHeight="1" x14ac:dyDescent="0.25">
      <c r="N167" s="2399"/>
      <c r="O167" s="2399"/>
      <c r="P167" s="2399"/>
      <c r="Q167" s="2400"/>
      <c r="R167" s="2400"/>
      <c r="S167" s="2399"/>
      <c r="T167" s="2399"/>
      <c r="U167" s="2399"/>
      <c r="V167" s="2399"/>
      <c r="W167" s="2399"/>
      <c r="X167" s="2399"/>
      <c r="Y167" s="2399"/>
      <c r="Z167" s="2399"/>
      <c r="AA167" s="2399"/>
      <c r="AB167" s="2399"/>
      <c r="AC167" s="2399"/>
      <c r="AD167" s="2399"/>
      <c r="AE167" s="2399"/>
      <c r="AF167" s="2399"/>
      <c r="AG167" s="2399"/>
      <c r="AH167" s="2399"/>
      <c r="AI167" s="2399"/>
      <c r="AJ167" s="2399"/>
      <c r="AK167" s="2399"/>
      <c r="AL167" s="2399"/>
      <c r="AM167" s="2399"/>
      <c r="AN167" s="2399"/>
      <c r="AO167" s="2399"/>
      <c r="AP167" s="2400"/>
      <c r="AQ167" s="2399"/>
      <c r="AR167" s="2399"/>
      <c r="AS167" s="2399"/>
      <c r="AT167" s="2399"/>
      <c r="AU167" s="2399"/>
      <c r="AV167" s="2399"/>
      <c r="AW167" s="2399"/>
      <c r="AX167" s="2399"/>
      <c r="AY167" s="2399"/>
      <c r="AZ167" s="2399"/>
      <c r="BA167" s="2399"/>
      <c r="BB167" s="2399"/>
      <c r="BC167" s="2399"/>
      <c r="BD167" s="2399"/>
      <c r="BE167" s="2399"/>
      <c r="BF167" s="2399"/>
      <c r="BG167" s="2399"/>
      <c r="BH167" s="2399"/>
      <c r="BI167" s="2399"/>
      <c r="BJ167" s="2399"/>
      <c r="BK167" s="2399"/>
      <c r="BL167" s="2399"/>
      <c r="BM167" s="2399"/>
      <c r="BN167" s="2399"/>
      <c r="BO167" s="2399"/>
      <c r="BP167" s="2399"/>
      <c r="BQ167" s="2399"/>
      <c r="BR167" s="2399"/>
      <c r="BS167" s="2399"/>
      <c r="BT167" s="2399"/>
      <c r="BU167" s="2399"/>
      <c r="BV167" s="2399"/>
      <c r="BX167" s="707"/>
    </row>
    <row r="168" spans="14:76" ht="12.75" customHeight="1" x14ac:dyDescent="0.25">
      <c r="N168" s="2399"/>
      <c r="O168" s="2399"/>
      <c r="P168" s="2399"/>
      <c r="Q168" s="2400"/>
      <c r="R168" s="2400"/>
      <c r="S168" s="2399"/>
      <c r="T168" s="2399"/>
      <c r="U168" s="2399"/>
      <c r="V168" s="2399"/>
      <c r="W168" s="2399"/>
      <c r="X168" s="2399"/>
      <c r="Y168" s="2399"/>
      <c r="Z168" s="2399"/>
      <c r="AA168" s="2399"/>
      <c r="AB168" s="2399"/>
      <c r="AC168" s="2399"/>
      <c r="AD168" s="2399"/>
      <c r="AE168" s="2399"/>
      <c r="AF168" s="2399"/>
      <c r="AG168" s="2399"/>
      <c r="AH168" s="2399"/>
      <c r="AI168" s="2399"/>
      <c r="AJ168" s="2399"/>
      <c r="AK168" s="2399"/>
      <c r="AL168" s="2399"/>
      <c r="AM168" s="2399"/>
      <c r="AN168" s="2399"/>
      <c r="AO168" s="2399"/>
      <c r="AP168" s="2400"/>
      <c r="AQ168" s="2399"/>
      <c r="AR168" s="2399"/>
      <c r="AS168" s="2399"/>
      <c r="AT168" s="2399"/>
      <c r="AU168" s="2399"/>
      <c r="AV168" s="2399"/>
      <c r="AW168" s="2399"/>
      <c r="AX168" s="2399"/>
      <c r="AY168" s="2399"/>
      <c r="AZ168" s="2399"/>
      <c r="BA168" s="2399"/>
      <c r="BB168" s="2399"/>
      <c r="BC168" s="2399"/>
      <c r="BD168" s="2399"/>
      <c r="BE168" s="2399"/>
      <c r="BF168" s="2399"/>
      <c r="BG168" s="2399"/>
      <c r="BH168" s="2399"/>
      <c r="BI168" s="2399"/>
      <c r="BJ168" s="2399"/>
      <c r="BK168" s="2399"/>
      <c r="BL168" s="2399"/>
      <c r="BM168" s="2399"/>
      <c r="BN168" s="2399"/>
      <c r="BO168" s="2399"/>
      <c r="BP168" s="2399"/>
      <c r="BQ168" s="2399"/>
      <c r="BR168" s="2399"/>
      <c r="BS168" s="2399"/>
      <c r="BT168" s="2399"/>
      <c r="BU168" s="2399"/>
      <c r="BV168" s="2399"/>
      <c r="BX168" s="707"/>
    </row>
    <row r="169" spans="14:76" x14ac:dyDescent="0.25">
      <c r="N169" s="707"/>
      <c r="O169" s="707"/>
      <c r="P169" s="707"/>
      <c r="Q169" s="708"/>
      <c r="R169" s="708"/>
      <c r="S169" s="707"/>
      <c r="T169" s="707"/>
      <c r="U169" s="707"/>
      <c r="V169" s="707"/>
      <c r="W169" s="707"/>
      <c r="X169" s="707"/>
      <c r="Y169" s="707"/>
      <c r="Z169" s="707"/>
      <c r="AA169" s="707"/>
      <c r="AB169" s="707"/>
      <c r="AC169" s="707"/>
      <c r="AD169" s="707"/>
      <c r="AE169" s="707"/>
      <c r="AF169" s="707"/>
      <c r="AG169" s="707"/>
      <c r="AH169" s="707"/>
      <c r="AI169" s="707"/>
      <c r="AJ169" s="707"/>
      <c r="AK169" s="707"/>
      <c r="AL169" s="707"/>
      <c r="AM169" s="707"/>
      <c r="AN169" s="707"/>
      <c r="AO169" s="707"/>
      <c r="AP169" s="708"/>
      <c r="AQ169" s="707"/>
      <c r="AR169" s="707"/>
      <c r="AS169" s="707"/>
      <c r="AT169" s="707"/>
      <c r="AU169" s="707"/>
      <c r="AV169" s="707"/>
      <c r="AW169" s="707"/>
      <c r="AX169" s="707"/>
      <c r="AY169" s="707"/>
      <c r="AZ169" s="707"/>
      <c r="BA169" s="707"/>
      <c r="BB169" s="707"/>
      <c r="BC169" s="707"/>
      <c r="BD169" s="707"/>
      <c r="BE169" s="707"/>
      <c r="BF169" s="707"/>
      <c r="BG169" s="707"/>
      <c r="BH169" s="707"/>
      <c r="BI169" s="707"/>
      <c r="BJ169" s="707"/>
      <c r="BK169" s="707"/>
      <c r="BL169" s="707"/>
      <c r="BM169" s="707"/>
      <c r="BN169" s="707"/>
      <c r="BO169" s="707"/>
      <c r="BP169" s="707"/>
      <c r="BQ169" s="707"/>
      <c r="BR169" s="707"/>
      <c r="BS169" s="707"/>
      <c r="BT169" s="707"/>
      <c r="BU169" s="707"/>
      <c r="BV169" s="707"/>
      <c r="BX169" s="707"/>
    </row>
  </sheetData>
  <sheetProtection sheet="1" objects="1" scenarios="1"/>
  <mergeCells count="177">
    <mergeCell ref="B41:E41"/>
    <mergeCell ref="BD52:BD53"/>
    <mergeCell ref="AV52:AV53"/>
    <mergeCell ref="S5:S7"/>
    <mergeCell ref="W52:W53"/>
    <mergeCell ref="X52:X53"/>
    <mergeCell ref="Y52:Y53"/>
    <mergeCell ref="Z52:Z53"/>
    <mergeCell ref="T51:Z51"/>
    <mergeCell ref="T52:T53"/>
    <mergeCell ref="AC5:AC7"/>
    <mergeCell ref="S52:S53"/>
    <mergeCell ref="U52:U53"/>
    <mergeCell ref="V52:V53"/>
    <mergeCell ref="AC51:AI51"/>
    <mergeCell ref="AK52:AK53"/>
    <mergeCell ref="AD52:AD53"/>
    <mergeCell ref="AE52:AE53"/>
    <mergeCell ref="AF52:AF53"/>
    <mergeCell ref="AG52:AG53"/>
    <mergeCell ref="AW52:AW53"/>
    <mergeCell ref="AX52:AX53"/>
    <mergeCell ref="AQ52:AQ53"/>
    <mergeCell ref="AS52:AS53"/>
    <mergeCell ref="AT52:AT53"/>
    <mergeCell ref="AU52:AU53"/>
    <mergeCell ref="Q3:AV3"/>
    <mergeCell ref="B9:C9"/>
    <mergeCell ref="B5:C5"/>
    <mergeCell ref="D5:E5"/>
    <mergeCell ref="AF5:AF7"/>
    <mergeCell ref="AH5:AH7"/>
    <mergeCell ref="AI5:AI7"/>
    <mergeCell ref="W5:W7"/>
    <mergeCell ref="X5:X7"/>
    <mergeCell ref="Y5:Y7"/>
    <mergeCell ref="Z5:Z7"/>
    <mergeCell ref="AD5:AD7"/>
    <mergeCell ref="AE5:AE7"/>
    <mergeCell ref="AJ5:AJ7"/>
    <mergeCell ref="AL5:AL7"/>
    <mergeCell ref="T5:T7"/>
    <mergeCell ref="V5:V7"/>
    <mergeCell ref="U5:U7"/>
    <mergeCell ref="R5:R7"/>
    <mergeCell ref="AN5:AN7"/>
    <mergeCell ref="B6:C6"/>
    <mergeCell ref="D6:E6"/>
    <mergeCell ref="Q5:Q7"/>
    <mergeCell ref="AZ5:AZ7"/>
    <mergeCell ref="AP5:AP7"/>
    <mergeCell ref="AQ5:AQ7"/>
    <mergeCell ref="AR5:AR7"/>
    <mergeCell ref="AT5:AT7"/>
    <mergeCell ref="AS5:AS7"/>
    <mergeCell ref="AX5:AX7"/>
    <mergeCell ref="AA5:AA7"/>
    <mergeCell ref="AY5:AY7"/>
    <mergeCell ref="BL5:BL7"/>
    <mergeCell ref="BO5:BO7"/>
    <mergeCell ref="BF5:BF7"/>
    <mergeCell ref="BV5:BV7"/>
    <mergeCell ref="AB5:AB7"/>
    <mergeCell ref="AG5:AG7"/>
    <mergeCell ref="BQ5:BQ7"/>
    <mergeCell ref="BR5:BR7"/>
    <mergeCell ref="BS5:BS7"/>
    <mergeCell ref="BT5:BT7"/>
    <mergeCell ref="BM5:BM7"/>
    <mergeCell ref="BN5:BN7"/>
    <mergeCell ref="BU5:BU7"/>
    <mergeCell ref="AU5:AU7"/>
    <mergeCell ref="AV5:AV7"/>
    <mergeCell ref="BG5:BG7"/>
    <mergeCell ref="BH5:BH7"/>
    <mergeCell ref="BA5:BA7"/>
    <mergeCell ref="BB5:BB7"/>
    <mergeCell ref="BC5:BC7"/>
    <mergeCell ref="BD5:BD7"/>
    <mergeCell ref="BE5:BE7"/>
    <mergeCell ref="AM5:AM7"/>
    <mergeCell ref="AX3:BV3"/>
    <mergeCell ref="B59:E59"/>
    <mergeCell ref="B8:E8"/>
    <mergeCell ref="B39:E39"/>
    <mergeCell ref="B16:C16"/>
    <mergeCell ref="B20:C20"/>
    <mergeCell ref="AK27:AM27"/>
    <mergeCell ref="B57:C57"/>
    <mergeCell ref="Y27:AA27"/>
    <mergeCell ref="B26:C26"/>
    <mergeCell ref="BR52:BR53"/>
    <mergeCell ref="BF52:BF53"/>
    <mergeCell ref="BQ52:BQ53"/>
    <mergeCell ref="AL52:AL53"/>
    <mergeCell ref="AM52:AM53"/>
    <mergeCell ref="AN52:AN53"/>
    <mergeCell ref="B17:C17"/>
    <mergeCell ref="BP5:BP7"/>
    <mergeCell ref="BI5:BI7"/>
    <mergeCell ref="BJ5:BJ7"/>
    <mergeCell ref="B19:C19"/>
    <mergeCell ref="AO5:AO7"/>
    <mergeCell ref="AK5:AK7"/>
    <mergeCell ref="BK5:BK7"/>
    <mergeCell ref="B49:C49"/>
    <mergeCell ref="B27:C27"/>
    <mergeCell ref="B28:C28"/>
    <mergeCell ref="B29:C29"/>
    <mergeCell ref="B45:C45"/>
    <mergeCell ref="B44:E44"/>
    <mergeCell ref="B22:C22"/>
    <mergeCell ref="B21:C21"/>
    <mergeCell ref="B13:C13"/>
    <mergeCell ref="B14:C14"/>
    <mergeCell ref="B15:C15"/>
    <mergeCell ref="B18:C18"/>
    <mergeCell ref="B30:C30"/>
    <mergeCell ref="B33:C33"/>
    <mergeCell ref="B35:E35"/>
    <mergeCell ref="B37:E37"/>
    <mergeCell ref="B24:C24"/>
    <mergeCell ref="B25:C25"/>
    <mergeCell ref="B23:C23"/>
    <mergeCell ref="B36:E36"/>
    <mergeCell ref="B38:E38"/>
    <mergeCell ref="B31:C31"/>
    <mergeCell ref="B32:C32"/>
    <mergeCell ref="D31:E31"/>
    <mergeCell ref="B12:C12"/>
    <mergeCell ref="B11:E11"/>
    <mergeCell ref="D12:E12"/>
    <mergeCell ref="AH52:AH53"/>
    <mergeCell ref="AC52:AC53"/>
    <mergeCell ref="G63:L63"/>
    <mergeCell ref="B34:E34"/>
    <mergeCell ref="AY52:AY53"/>
    <mergeCell ref="BA52:BA53"/>
    <mergeCell ref="B50:C50"/>
    <mergeCell ref="B51:C51"/>
    <mergeCell ref="B52:C52"/>
    <mergeCell ref="D60:E60"/>
    <mergeCell ref="B54:E54"/>
    <mergeCell ref="B60:C60"/>
    <mergeCell ref="B55:C55"/>
    <mergeCell ref="B56:C56"/>
    <mergeCell ref="G57:L57"/>
    <mergeCell ref="B46:C46"/>
    <mergeCell ref="AB52:AB53"/>
    <mergeCell ref="AI52:AI53"/>
    <mergeCell ref="AP52:AP53"/>
    <mergeCell ref="B48:E48"/>
    <mergeCell ref="D32:E32"/>
    <mergeCell ref="BT52:BT53"/>
    <mergeCell ref="AC27:AE27"/>
    <mergeCell ref="AK51:AQ51"/>
    <mergeCell ref="AS51:AY51"/>
    <mergeCell ref="AS27:AU27"/>
    <mergeCell ref="BA51:BG51"/>
    <mergeCell ref="U27:W27"/>
    <mergeCell ref="Q27:S27"/>
    <mergeCell ref="BL52:BL53"/>
    <mergeCell ref="BM52:BM53"/>
    <mergeCell ref="BN52:BN53"/>
    <mergeCell ref="BO52:BO53"/>
    <mergeCell ref="BG52:BG53"/>
    <mergeCell ref="BI52:BI53"/>
    <mergeCell ref="BJ52:BJ53"/>
    <mergeCell ref="BK52:BK53"/>
    <mergeCell ref="BA27:BC27"/>
    <mergeCell ref="BI51:BO51"/>
    <mergeCell ref="BB52:BB53"/>
    <mergeCell ref="BC52:BC53"/>
    <mergeCell ref="BS52:BS53"/>
    <mergeCell ref="BQ51:BS51"/>
    <mergeCell ref="AO52:AO53"/>
    <mergeCell ref="BE52:BE53"/>
  </mergeCells>
  <phoneticPr fontId="3" type="noConversion"/>
  <conditionalFormatting sqref="D13">
    <cfRule type="expression" dxfId="529" priority="18" stopIfTrue="1">
      <formula>IF($D13=VLOOKUP($D$6,Chem_Table,COLUMN(DHR_C),FALSE),FALSE,TRUE)</formula>
    </cfRule>
  </conditionalFormatting>
  <conditionalFormatting sqref="D14">
    <cfRule type="expression" dxfId="528" priority="19" stopIfTrue="1">
      <formula>IF($D14=VLOOKUP($D$6,Chem_Table,COLUMN(Act_Energy_C),FALSE),FALSE,TRUE)</formula>
    </cfRule>
  </conditionalFormatting>
  <conditionalFormatting sqref="D15">
    <cfRule type="expression" dxfId="527" priority="20" stopIfTrue="1">
      <formula>IF($D15=VLOOKUP($D$6,Chem_Table,COLUMN(Tdet_C),FALSE),FALSE,TRUE)</formula>
    </cfRule>
  </conditionalFormatting>
  <conditionalFormatting sqref="D16">
    <cfRule type="expression" dxfId="526" priority="21" stopIfTrue="1">
      <formula>IF($D16=VLOOKUP($D$6,Chem_Table,COLUMN(Rdet_C),FALSE),FALSE,TRUE)</formula>
    </cfRule>
  </conditionalFormatting>
  <conditionalFormatting sqref="B12:C12">
    <cfRule type="expression" dxfId="525" priority="22" stopIfTrue="1">
      <formula>IF($B12=VLOOKUP($D$6,Chem_Table,COLUMN(Rx_Data_Reference_C),FALSE),FALSE,TRUE)</formula>
    </cfRule>
  </conditionalFormatting>
  <conditionalFormatting sqref="D17">
    <cfRule type="expression" dxfId="524" priority="23" stopIfTrue="1">
      <formula>IF($D17=VLOOKUP($D$6,Chem_Table,COLUMN(Gas_Gen_C),FALSE),FALSE,TRUE)</formula>
    </cfRule>
  </conditionalFormatting>
  <conditionalFormatting sqref="D18">
    <cfRule type="expression" dxfId="523" priority="30" stopIfTrue="1">
      <formula>IF($D18=VLOOKUP($D$6,Chem_Table,COLUMN(Gas_Exo_C),FALSE),FALSE,TRUE)</formula>
    </cfRule>
  </conditionalFormatting>
  <conditionalFormatting sqref="D19">
    <cfRule type="expression" dxfId="522" priority="31" stopIfTrue="1">
      <formula>IF($D19=VLOOKUP($D$6,Chem_Table,COLUMN(Monomer_C),FALSE),FALSE,TRUE)</formula>
    </cfRule>
  </conditionalFormatting>
  <conditionalFormatting sqref="D20">
    <cfRule type="expression" dxfId="521" priority="32" stopIfTrue="1">
      <formula>IF($D20=VLOOKUP($D$6,Chem_Table,COLUMN(phi_C),FALSE),FALSE,TRUE)</formula>
    </cfRule>
  </conditionalFormatting>
  <conditionalFormatting sqref="D21">
    <cfRule type="expression" dxfId="520" priority="33" stopIfTrue="1">
      <formula>IF($D21=VLOOKUP($D$6,Chem_Table,COLUMN(Test_Method_C),FALSE),FALSE,TRUE)</formula>
    </cfRule>
  </conditionalFormatting>
  <conditionalFormatting sqref="B25:C27">
    <cfRule type="expression" dxfId="519" priority="8">
      <formula>IF(OR(State="Vapor",$D$22=0),TRUE,FALSE)</formula>
    </cfRule>
  </conditionalFormatting>
  <conditionalFormatting sqref="E20">
    <cfRule type="expression" dxfId="518" priority="6">
      <formula>IF(AND(OR($E$21="VSP",$E$21="ARC"),$E$20=""),TRUE,FALSE)</formula>
    </cfRule>
  </conditionalFormatting>
  <conditionalFormatting sqref="E14">
    <cfRule type="expression" dxfId="517" priority="5">
      <formula>IF(AND($D$13&lt;&gt;0,$D$22="",$E$14=""),TRUE,FALSE)</formula>
    </cfRule>
  </conditionalFormatting>
  <conditionalFormatting sqref="E15">
    <cfRule type="expression" dxfId="516" priority="4">
      <formula>IF(AND($D$13&lt;&gt;0,$D$22="",$E$15=""),TRUE,FALSE)</formula>
    </cfRule>
  </conditionalFormatting>
  <conditionalFormatting sqref="E16">
    <cfRule type="expression" dxfId="515" priority="2">
      <formula>IF(AND($D$13&lt;&gt;0,$D$22="",$E$21&lt;&gt;"DSC",$E$16=""),TRUE,FALSE)</formula>
    </cfRule>
  </conditionalFormatting>
  <conditionalFormatting sqref="E42">
    <cfRule type="expression" dxfId="514" priority="1">
      <formula>IF($E$42="High",TRUE,FALSE)</formula>
    </cfRule>
  </conditionalFormatting>
  <dataValidations count="14">
    <dataValidation type="list" allowBlank="1" showInputMessage="1" showErrorMessage="1" sqref="D60:E60" xr:uid="{00000000-0002-0000-0C00-000000000000}">
      <formula1>"Reaction,Reaction with Heat,Reaction with Fire,Catalyzed Reaction,Reactant Pooling,Mis-Loading of Reactants,F-K Critical Diameter"</formula1>
    </dataValidation>
    <dataValidation type="list" allowBlank="1" showInputMessage="1" showErrorMessage="1" sqref="E18:E19 D23:D26 D28 D30 D33" xr:uid="{00000000-0002-0000-0C00-000001000000}">
      <formula1>YN_List</formula1>
    </dataValidation>
    <dataValidation type="decimal" allowBlank="1" showInputMessage="1" showErrorMessage="1" sqref="D27" xr:uid="{00000000-0002-0000-0C00-000002000000}">
      <formula1>0</formula1>
      <formula2>1</formula2>
    </dataValidation>
    <dataValidation type="decimal" allowBlank="1" showInputMessage="1" showErrorMessage="1" sqref="D29" xr:uid="{00000000-0002-0000-0C00-000003000000}">
      <formula1>1</formula1>
      <formula2>1000</formula2>
    </dataValidation>
    <dataValidation type="list" allowBlank="1" showInputMessage="1" showErrorMessage="1" sqref="E21" xr:uid="{00000000-0002-0000-0C00-000004000000}">
      <formula1>RCTest_List</formula1>
    </dataValidation>
    <dataValidation type="list" allowBlank="1" showInputMessage="1" showErrorMessage="1" sqref="D9" xr:uid="{00000000-0002-0000-0C00-000005000000}">
      <formula1>"Yes,No"</formula1>
    </dataValidation>
    <dataValidation type="decimal" allowBlank="1" showInputMessage="1" showErrorMessage="1" sqref="E14" xr:uid="{00000000-0002-0000-0C00-000006000000}">
      <formula1>10</formula1>
      <formula2>60</formula2>
    </dataValidation>
    <dataValidation type="decimal" allowBlank="1" showInputMessage="1" showErrorMessage="1" sqref="E13 D22" xr:uid="{00000000-0002-0000-0C00-000007000000}">
      <formula1>-10000</formula1>
      <formula2>10000</formula2>
    </dataValidation>
    <dataValidation type="decimal" allowBlank="1" showInputMessage="1" showErrorMessage="1" sqref="E15" xr:uid="{00000000-0002-0000-0C00-000008000000}">
      <formula1>-273</formula1>
      <formula2>1000</formula2>
    </dataValidation>
    <dataValidation type="decimal" allowBlank="1" showInputMessage="1" showErrorMessage="1" sqref="E20" xr:uid="{00000000-0002-0000-0C00-000009000000}">
      <formula1>1</formula1>
      <formula2>100</formula2>
    </dataValidation>
    <dataValidation type="decimal" allowBlank="1" showInputMessage="1" showErrorMessage="1" sqref="E17" xr:uid="{00000000-0002-0000-0C00-00000A000000}">
      <formula1>0</formula1>
      <formula2>0.1</formula2>
    </dataValidation>
    <dataValidation type="list" allowBlank="1" showInputMessage="1" showErrorMessage="1" sqref="D31:E31" xr:uid="{00000000-0002-0000-0C00-00000B000000}">
      <formula1>Exothermic_Reaction_Type</formula1>
    </dataValidation>
    <dataValidation type="list" allowBlank="1" showInputMessage="1" showErrorMessage="1" sqref="D32:E32" xr:uid="{00000000-0002-0000-0C00-00000C000000}">
      <formula1>Endothermic_Reaction_Type</formula1>
    </dataValidation>
    <dataValidation type="decimal" allowBlank="1" showInputMessage="1" showErrorMessage="1" sqref="E16" xr:uid="{00000000-0002-0000-0C00-00000D000000}">
      <formula1>0</formula1>
      <formula2>10</formula2>
    </dataValidation>
  </dataValidations>
  <pageMargins left="1.5" right="0" top="0.5" bottom="0.25" header="0" footer="0.25"/>
  <pageSetup scale="7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857" r:id="rId4" name="Button 641">
              <controlPr defaultSize="0" print="0" autoFill="0" autoPict="0" macro="[0]!Save_Reactive_Data_to_Chemical_Table">
                <anchor moveWithCells="1" sizeWithCells="1">
                  <from>
                    <xdr:col>6</xdr:col>
                    <xdr:colOff>127000</xdr:colOff>
                    <xdr:row>1</xdr:row>
                    <xdr:rowOff>146050</xdr:rowOff>
                  </from>
                  <to>
                    <xdr:col>8</xdr:col>
                    <xdr:colOff>146050</xdr:colOff>
                    <xdr:row>2</xdr:row>
                    <xdr:rowOff>152400</xdr:rowOff>
                  </to>
                </anchor>
              </controlPr>
            </control>
          </mc:Choice>
        </mc:AlternateContent>
        <mc:AlternateContent xmlns:mc="http://schemas.openxmlformats.org/markup-compatibility/2006">
          <mc:Choice Requires="x14">
            <control shapeId="9858" r:id="rId5" name="Button 642">
              <controlPr defaultSize="0" print="0" autoFill="0" autoPict="0" macro="[0]!Go_To_Plant_Layout">
                <anchor moveWithCells="1" sizeWithCells="1">
                  <from>
                    <xdr:col>10</xdr:col>
                    <xdr:colOff>260350</xdr:colOff>
                    <xdr:row>1</xdr:row>
                    <xdr:rowOff>146050</xdr:rowOff>
                  </from>
                  <to>
                    <xdr:col>11</xdr:col>
                    <xdr:colOff>736600</xdr:colOff>
                    <xdr:row>2</xdr:row>
                    <xdr:rowOff>146050</xdr:rowOff>
                  </to>
                </anchor>
              </controlPr>
            </control>
          </mc:Choice>
        </mc:AlternateContent>
        <mc:AlternateContent xmlns:mc="http://schemas.openxmlformats.org/markup-compatibility/2006">
          <mc:Choice Requires="x14">
            <control shapeId="9884" r:id="rId6" name="Button 668">
              <controlPr defaultSize="0" print="0" autoFill="0" autoPict="0" macro="[0]!Go_To_Main_Menu">
                <anchor moveWithCells="1" sizeWithCells="1">
                  <from>
                    <xdr:col>1</xdr:col>
                    <xdr:colOff>12700</xdr:colOff>
                    <xdr:row>0</xdr:row>
                    <xdr:rowOff>31750</xdr:rowOff>
                  </from>
                  <to>
                    <xdr:col>2</xdr:col>
                    <xdr:colOff>317500</xdr:colOff>
                    <xdr:row>1</xdr:row>
                    <xdr:rowOff>38100</xdr:rowOff>
                  </to>
                </anchor>
              </controlPr>
            </control>
          </mc:Choice>
        </mc:AlternateContent>
        <mc:AlternateContent xmlns:mc="http://schemas.openxmlformats.org/markup-compatibility/2006">
          <mc:Choice Requires="x14">
            <control shapeId="9885" r:id="rId7" name="Button 669">
              <controlPr defaultSize="0" print="0" autoFill="0" autoPict="0" macro="[0]!Save_Equipment">
                <anchor moveWithCells="1" sizeWithCells="1">
                  <from>
                    <xdr:col>2</xdr:col>
                    <xdr:colOff>584200</xdr:colOff>
                    <xdr:row>1</xdr:row>
                    <xdr:rowOff>114300</xdr:rowOff>
                  </from>
                  <to>
                    <xdr:col>5</xdr:col>
                    <xdr:colOff>146050</xdr:colOff>
                    <xdr:row>2</xdr:row>
                    <xdr:rowOff>127000</xdr:rowOff>
                  </to>
                </anchor>
              </controlPr>
            </control>
          </mc:Choice>
        </mc:AlternateContent>
        <mc:AlternateContent xmlns:mc="http://schemas.openxmlformats.org/markup-compatibility/2006">
          <mc:Choice Requires="x14">
            <control shapeId="9886" r:id="rId8" name="Button 670">
              <controlPr defaultSize="0" print="0" autoFill="0" autoPict="0" macro="[0]!Go_To_Chemical_Data">
                <anchor moveWithCells="1" sizeWithCells="1">
                  <from>
                    <xdr:col>1</xdr:col>
                    <xdr:colOff>12700</xdr:colOff>
                    <xdr:row>1</xdr:row>
                    <xdr:rowOff>88900</xdr:rowOff>
                  </from>
                  <to>
                    <xdr:col>2</xdr:col>
                    <xdr:colOff>38100</xdr:colOff>
                    <xdr:row>2</xdr:row>
                    <xdr:rowOff>69850</xdr:rowOff>
                  </to>
                </anchor>
              </controlPr>
            </control>
          </mc:Choice>
        </mc:AlternateContent>
        <mc:AlternateContent xmlns:mc="http://schemas.openxmlformats.org/markup-compatibility/2006">
          <mc:Choice Requires="x14">
            <control shapeId="9887" r:id="rId9" name="Button 671">
              <controlPr defaultSize="0" print="0" autoFill="0" autoPict="0" macro="[0]!Go_To_Input_Data">
                <anchor moveWithCells="1" sizeWithCells="1">
                  <from>
                    <xdr:col>1</xdr:col>
                    <xdr:colOff>12700</xdr:colOff>
                    <xdr:row>2</xdr:row>
                    <xdr:rowOff>127000</xdr:rowOff>
                  </from>
                  <to>
                    <xdr:col>2</xdr:col>
                    <xdr:colOff>241300</xdr:colOff>
                    <xdr:row>4</xdr:row>
                    <xdr:rowOff>0</xdr:rowOff>
                  </to>
                </anchor>
              </controlPr>
            </control>
          </mc:Choice>
        </mc:AlternateContent>
        <mc:AlternateContent xmlns:mc="http://schemas.openxmlformats.org/markup-compatibility/2006">
          <mc:Choice Requires="x14">
            <control shapeId="9888" r:id="rId10" name="Button 672">
              <controlPr defaultSize="0" print="0" autoFill="0" autoPict="0" macro="[0]!Go_To_Process_Conditions">
                <anchor moveWithCells="1" sizeWithCells="1">
                  <from>
                    <xdr:col>9</xdr:col>
                    <xdr:colOff>1295400</xdr:colOff>
                    <xdr:row>0</xdr:row>
                    <xdr:rowOff>76200</xdr:rowOff>
                  </from>
                  <to>
                    <xdr:col>11</xdr:col>
                    <xdr:colOff>755650</xdr:colOff>
                    <xdr:row>1</xdr:row>
                    <xdr:rowOff>69850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theme="0"/>
    <pageSetUpPr autoPageBreaks="0"/>
  </sheetPr>
  <dimension ref="A1:P49"/>
  <sheetViews>
    <sheetView showGridLines="0" showRowColHeaders="0" zoomScale="90" zoomScaleNormal="90" workbookViewId="0">
      <selection activeCell="B20" sqref="B20"/>
    </sheetView>
  </sheetViews>
  <sheetFormatPr defaultColWidth="9.1796875" defaultRowHeight="13" x14ac:dyDescent="0.25"/>
  <cols>
    <col min="1" max="1" width="7" style="5" customWidth="1"/>
    <col min="2" max="2" width="8.81640625" style="5" customWidth="1"/>
    <col min="3" max="3" width="7" style="5" customWidth="1"/>
    <col min="4" max="5" width="10.1796875" style="5" customWidth="1"/>
    <col min="6" max="6" width="9.1796875" style="5"/>
    <col min="7" max="7" width="11" style="5" customWidth="1"/>
    <col min="8" max="8" width="8.81640625" style="5" customWidth="1"/>
    <col min="9" max="9" width="10.1796875" style="5" customWidth="1"/>
    <col min="10" max="10" width="3.1796875" style="5" customWidth="1"/>
    <col min="11" max="11" width="12.81640625" style="5" customWidth="1"/>
    <col min="12" max="12" width="11" style="5" customWidth="1"/>
    <col min="13" max="13" width="10.81640625" style="5" customWidth="1"/>
    <col min="14" max="14" width="11.81640625" style="5" customWidth="1"/>
    <col min="15" max="15" width="11.1796875" style="5" customWidth="1"/>
    <col min="16" max="16" width="2.81640625" style="5" customWidth="1"/>
    <col min="17" max="16384" width="9.1796875" style="5"/>
  </cols>
  <sheetData>
    <row r="1" spans="1:16" ht="3.75" customHeight="1" x14ac:dyDescent="0.25">
      <c r="A1" s="19"/>
      <c r="B1" s="19"/>
      <c r="C1" s="19"/>
      <c r="D1" s="19"/>
      <c r="E1" s="19"/>
      <c r="F1" s="19"/>
      <c r="G1" s="19"/>
      <c r="H1" s="19"/>
      <c r="I1" s="19"/>
      <c r="J1" s="19"/>
      <c r="K1" s="19"/>
      <c r="L1" s="19"/>
      <c r="M1" s="19"/>
      <c r="N1" s="19"/>
      <c r="O1" s="19"/>
      <c r="P1" s="19"/>
    </row>
    <row r="2" spans="1:16" ht="15" customHeight="1" x14ac:dyDescent="0.25">
      <c r="A2" s="3436" t="s">
        <v>4709</v>
      </c>
      <c r="B2" s="3436"/>
      <c r="C2" s="3436"/>
      <c r="D2" s="3436"/>
      <c r="E2" s="3436"/>
      <c r="F2" s="3436"/>
      <c r="G2" s="3436"/>
      <c r="H2" s="3436"/>
      <c r="I2" s="3436"/>
      <c r="J2" s="3436"/>
      <c r="K2" s="3436"/>
      <c r="L2" s="3436"/>
      <c r="M2" s="3436"/>
      <c r="N2" s="3436"/>
      <c r="O2" s="3436"/>
      <c r="P2" s="3436"/>
    </row>
    <row r="3" spans="1:16" ht="3.75" customHeight="1" x14ac:dyDescent="0.25">
      <c r="A3" s="19"/>
      <c r="B3" s="19"/>
      <c r="C3" s="19"/>
      <c r="D3" s="19"/>
      <c r="E3" s="19"/>
      <c r="F3" s="19"/>
      <c r="G3" s="19"/>
      <c r="H3" s="19"/>
      <c r="I3" s="19"/>
      <c r="J3" s="19"/>
      <c r="K3" s="19"/>
      <c r="L3" s="19"/>
      <c r="M3" s="19"/>
      <c r="N3" s="19"/>
      <c r="O3" s="19"/>
      <c r="P3" s="19"/>
    </row>
    <row r="4" spans="1:16" ht="16.5" customHeight="1" x14ac:dyDescent="0.25">
      <c r="A4" s="203"/>
      <c r="B4" s="3832" t="s">
        <v>5248</v>
      </c>
      <c r="C4" s="3832"/>
      <c r="D4" s="3832"/>
      <c r="E4" s="3832"/>
      <c r="F4" s="3832"/>
      <c r="G4" s="3832"/>
      <c r="H4" s="3832"/>
      <c r="I4" s="3832"/>
      <c r="J4" s="136"/>
      <c r="K4" s="203"/>
      <c r="L4" s="3832" t="s">
        <v>891</v>
      </c>
      <c r="M4" s="3835"/>
      <c r="N4" s="3835"/>
      <c r="O4" s="3835"/>
      <c r="P4" s="136"/>
    </row>
    <row r="5" spans="1:16" x14ac:dyDescent="0.25">
      <c r="A5" s="204"/>
      <c r="B5" s="19"/>
      <c r="C5" s="19"/>
      <c r="D5" s="19"/>
      <c r="E5" s="19"/>
      <c r="F5" s="19"/>
      <c r="G5" s="19"/>
      <c r="H5" s="35" t="s">
        <v>887</v>
      </c>
      <c r="I5" s="35" t="s">
        <v>887</v>
      </c>
      <c r="J5" s="172"/>
      <c r="K5" s="204"/>
      <c r="L5" s="35" t="s">
        <v>1823</v>
      </c>
      <c r="M5" s="35" t="s">
        <v>1065</v>
      </c>
      <c r="N5" s="35" t="s">
        <v>1562</v>
      </c>
      <c r="O5" s="35" t="s">
        <v>1141</v>
      </c>
      <c r="P5" s="172"/>
    </row>
    <row r="6" spans="1:16" x14ac:dyDescent="0.25">
      <c r="A6" s="204"/>
      <c r="B6" s="19"/>
      <c r="C6" s="19"/>
      <c r="D6" s="35" t="s">
        <v>1558</v>
      </c>
      <c r="E6" s="35" t="s">
        <v>1557</v>
      </c>
      <c r="F6" s="35" t="s">
        <v>1559</v>
      </c>
      <c r="G6" s="35" t="s">
        <v>1559</v>
      </c>
      <c r="H6" s="35" t="s">
        <v>886</v>
      </c>
      <c r="I6" s="35" t="s">
        <v>886</v>
      </c>
      <c r="J6" s="172"/>
      <c r="K6" s="204" t="s">
        <v>964</v>
      </c>
      <c r="L6" s="171">
        <v>1</v>
      </c>
      <c r="M6" s="171" t="s">
        <v>892</v>
      </c>
      <c r="N6" s="171" t="s">
        <v>1068</v>
      </c>
      <c r="O6" s="4">
        <f>IF(L6&lt;&gt;0,L6*VLOOKUP(M6,'Unit Conversion'!$J$3:$K$59,2,0)/VLOOKUP(N6,'Unit Conversion'!$J$3:$K$59,2,0),"")</f>
        <v>0.30480000000000002</v>
      </c>
      <c r="P6" s="172"/>
    </row>
    <row r="7" spans="1:16" x14ac:dyDescent="0.25">
      <c r="A7" s="204"/>
      <c r="B7" s="19"/>
      <c r="C7" s="19" t="s">
        <v>1560</v>
      </c>
      <c r="D7" s="205" t="s">
        <v>892</v>
      </c>
      <c r="E7" s="205" t="s">
        <v>892</v>
      </c>
      <c r="F7" s="206" t="s">
        <v>1161</v>
      </c>
      <c r="G7" s="205" t="s">
        <v>169</v>
      </c>
      <c r="H7" s="206" t="s">
        <v>1160</v>
      </c>
      <c r="I7" s="205" t="s">
        <v>969</v>
      </c>
      <c r="J7" s="172"/>
      <c r="K7" s="204" t="s">
        <v>965</v>
      </c>
      <c r="L7" s="171">
        <v>1</v>
      </c>
      <c r="M7" s="171" t="s">
        <v>1161</v>
      </c>
      <c r="N7" s="171" t="s">
        <v>169</v>
      </c>
      <c r="O7" s="4">
        <f>IF(L7&lt;&gt;0,L7*VLOOKUP(M7,'Unit Conversion'!$J$3:$K$59,2,0)/VLOOKUP(N7,'Unit Conversion'!$J$3:$K$59,2,0),"")</f>
        <v>264.17203728418463</v>
      </c>
      <c r="P7" s="172"/>
    </row>
    <row r="8" spans="1:16" x14ac:dyDescent="0.25">
      <c r="A8" s="204"/>
      <c r="B8" s="19"/>
      <c r="C8" s="19"/>
      <c r="D8" s="171">
        <v>2</v>
      </c>
      <c r="E8" s="171">
        <v>3</v>
      </c>
      <c r="F8" s="4">
        <f>3.1416*(D8*VLOOKUP($D$7,'Unit Conversion'!$J$3:$K$59,2,0)/2)^2*E8*VLOOKUP($E$7,'Unit Conversion'!$J$3:$K$59,2,0)</f>
        <v>0.26688061576028166</v>
      </c>
      <c r="G8" s="4">
        <f>F8/VLOOKUP($G$7,'Unit Conversion'!$J$3:$K$59,2,0)</f>
        <v>70.502395977051279</v>
      </c>
      <c r="H8" s="4">
        <f>3.1416*2*(D8*VLOOKUP($D$7,'Unit Conversion'!$J$3:$K$59,2,0)/2)^2+3.1416*D8*VLOOKUP($D$7,'Unit Conversion'!$J$3:$K$59,2,0)*E8*VLOOKUP($E$7,'Unit Conversion'!$J$3:$K$59,2,0)</f>
        <v>2.3349135237120002</v>
      </c>
      <c r="I8" s="4">
        <f>H8/VLOOKUP($I$7,'Unit Conversion'!$J$3:$K$59,2,0)</f>
        <v>25.1328</v>
      </c>
      <c r="J8" s="172"/>
      <c r="K8" s="204" t="s">
        <v>1086</v>
      </c>
      <c r="L8" s="171">
        <v>1</v>
      </c>
      <c r="M8" s="171" t="s">
        <v>969</v>
      </c>
      <c r="N8" s="171" t="s">
        <v>1160</v>
      </c>
      <c r="O8" s="4">
        <f>IF(L8&lt;&gt;0,L8*VLOOKUP(M8,'Unit Conversion'!$J$3:$K$59,2,0)/VLOOKUP(N8,'Unit Conversion'!$J$3:$K$59,2,0),"")</f>
        <v>9.2903040000000006E-2</v>
      </c>
      <c r="P8" s="172"/>
    </row>
    <row r="9" spans="1:16" x14ac:dyDescent="0.25">
      <c r="A9" s="204"/>
      <c r="B9" s="19"/>
      <c r="C9" s="19"/>
      <c r="D9" s="171">
        <v>5</v>
      </c>
      <c r="E9" s="171">
        <v>5</v>
      </c>
      <c r="F9" s="4">
        <f>3.1416*(D9*VLOOKUP($D$7,'Unit Conversion'!$J$3:$K$59,2,0)/2)^2*E9*VLOOKUP($E$7,'Unit Conversion'!$J$3:$K$59,2,0)</f>
        <v>2.7800064141696001</v>
      </c>
      <c r="G9" s="4">
        <f>F9/VLOOKUP($G$7,'Unit Conversion'!$J$3:$K$59,2,0)</f>
        <v>734.3999580942841</v>
      </c>
      <c r="H9" s="4">
        <f>3.1416*2*(D9*VLOOKUP($D$7,'Unit Conversion'!$J$3:$K$59,2,0)/2)^2+3.1416*D9*VLOOKUP($D$7,'Unit Conversion'!$J$3:$K$59,2,0)*E9*VLOOKUP($E$7,'Unit Conversion'!$J$3:$K$59,2,0)</f>
        <v>10.944907142400002</v>
      </c>
      <c r="I9" s="4">
        <f>H9/VLOOKUP($I$7,'Unit Conversion'!$J$3:$K$59,2,0)</f>
        <v>117.81000000000002</v>
      </c>
      <c r="J9" s="172"/>
      <c r="K9" s="204" t="s">
        <v>1087</v>
      </c>
      <c r="L9" s="171">
        <v>1</v>
      </c>
      <c r="M9" s="171" t="s">
        <v>1105</v>
      </c>
      <c r="N9" s="171" t="s">
        <v>1497</v>
      </c>
      <c r="O9" s="4">
        <f>IF(L9&lt;&gt;0,L9*VLOOKUP(M9,'Unit Conversion'!$J$3:$K$59,2,0)/VLOOKUP(N9,'Unit Conversion'!$J$3:$K$59,2,0),"")</f>
        <v>0.45359240000000001</v>
      </c>
      <c r="P9" s="172"/>
    </row>
    <row r="10" spans="1:16" x14ac:dyDescent="0.25">
      <c r="A10" s="204"/>
      <c r="B10" s="19"/>
      <c r="C10" s="19"/>
      <c r="D10" s="171">
        <v>8</v>
      </c>
      <c r="E10" s="171">
        <v>10</v>
      </c>
      <c r="F10" s="4">
        <f>3.1416*(D10*VLOOKUP($D$7,'Unit Conversion'!$J$3:$K$59,2,0)/2)^2*E10*VLOOKUP($E$7,'Unit Conversion'!$J$3:$K$59,2,0)</f>
        <v>14.233632840548355</v>
      </c>
      <c r="G10" s="4">
        <f>F10/VLOOKUP($G$7,'Unit Conversion'!$J$3:$K$59,2,0)</f>
        <v>3760.1277854427349</v>
      </c>
      <c r="H10" s="4">
        <f>3.1416*2*(D10*VLOOKUP($D$7,'Unit Conversion'!$J$3:$K$59,2,0)/2)^2+3.1416*D10*VLOOKUP($D$7,'Unit Conversion'!$J$3:$K$59,2,0)*E10*VLOOKUP($E$7,'Unit Conversion'!$J$3:$K$59,2,0)</f>
        <v>32.688789331967996</v>
      </c>
      <c r="I10" s="4">
        <f>H10/VLOOKUP($I$7,'Unit Conversion'!$J$3:$K$59,2,0)</f>
        <v>351.85919999999993</v>
      </c>
      <c r="J10" s="172"/>
      <c r="K10" s="204" t="s">
        <v>1088</v>
      </c>
      <c r="L10" s="171">
        <v>1</v>
      </c>
      <c r="M10" s="171" t="s">
        <v>1069</v>
      </c>
      <c r="N10" s="171" t="s">
        <v>667</v>
      </c>
      <c r="O10" s="4">
        <f>IF(L10&lt;&gt;0,L10*VLOOKUP(M10,'Unit Conversion'!$J$3:$K$59,2,0)/VLOOKUP(N10,'Unit Conversion'!$J$3:$K$59,2,0),"")</f>
        <v>7936.6129181602946</v>
      </c>
      <c r="P10" s="172"/>
    </row>
    <row r="11" spans="1:16" x14ac:dyDescent="0.25">
      <c r="A11" s="204"/>
      <c r="B11" s="19"/>
      <c r="C11" s="19"/>
      <c r="D11" s="171">
        <v>8</v>
      </c>
      <c r="E11" s="171">
        <v>12</v>
      </c>
      <c r="F11" s="4">
        <f>3.1416*(D11*VLOOKUP($D$7,'Unit Conversion'!$J$3:$K$59,2,0)/2)^2*E11*VLOOKUP($E$7,'Unit Conversion'!$J$3:$K$59,2,0)</f>
        <v>17.080359408658026</v>
      </c>
      <c r="G11" s="4">
        <f>F11/VLOOKUP($G$7,'Unit Conversion'!$J$3:$K$59,2,0)</f>
        <v>4512.1533425312819</v>
      </c>
      <c r="H11" s="4">
        <f>3.1416*2*(D11*VLOOKUP($D$7,'Unit Conversion'!$J$3:$K$59,2,0)/2)^2+3.1416*D11*VLOOKUP($D$7,'Unit Conversion'!$J$3:$K$59,2,0)*E11*VLOOKUP($E$7,'Unit Conversion'!$J$3:$K$59,2,0)</f>
        <v>37.358616379392004</v>
      </c>
      <c r="I11" s="4">
        <f>H11/VLOOKUP($I$7,'Unit Conversion'!$J$3:$K$59,2,0)</f>
        <v>402.12479999999999</v>
      </c>
      <c r="J11" s="172"/>
      <c r="K11" s="204" t="s">
        <v>1089</v>
      </c>
      <c r="L11" s="171">
        <v>1</v>
      </c>
      <c r="M11" s="171" t="s">
        <v>1067</v>
      </c>
      <c r="N11" s="171" t="s">
        <v>403</v>
      </c>
      <c r="O11" s="4">
        <f>IF(L11&lt;&gt;0,L11*VLOOKUP(M11,'Unit Conversion'!$J$3:$K$59,2,0)/VLOOKUP(N11,'Unit Conversion'!$J$3:$K$59,2,0),"")</f>
        <v>1.0132499658281449</v>
      </c>
      <c r="P11" s="172"/>
    </row>
    <row r="12" spans="1:16" x14ac:dyDescent="0.25">
      <c r="A12" s="204"/>
      <c r="B12" s="19"/>
      <c r="C12" s="19"/>
      <c r="D12" s="171">
        <v>10</v>
      </c>
      <c r="E12" s="171">
        <v>30</v>
      </c>
      <c r="F12" s="4">
        <f>3.1416*(D12*VLOOKUP($D$7,'Unit Conversion'!$J$3:$K$59,2,0)/2)^2*E12*VLOOKUP($E$7,'Unit Conversion'!$J$3:$K$59,2,0)</f>
        <v>66.720153940070404</v>
      </c>
      <c r="G12" s="4">
        <f>F12/VLOOKUP($G$7,'Unit Conversion'!$J$3:$K$59,2,0)</f>
        <v>17625.598994262818</v>
      </c>
      <c r="H12" s="4">
        <f>3.1416*2*(D12*VLOOKUP($D$7,'Unit Conversion'!$J$3:$K$59,2,0)/2)^2+3.1416*D12*VLOOKUP($D$7,'Unit Conversion'!$J$3:$K$59,2,0)*E12*VLOOKUP($E$7,'Unit Conversion'!$J$3:$K$59,2,0)</f>
        <v>102.15246666240002</v>
      </c>
      <c r="I12" s="4">
        <f>H12/VLOOKUP($I$7,'Unit Conversion'!$J$3:$K$59,2,0)</f>
        <v>1099.5600000000002</v>
      </c>
      <c r="J12" s="172"/>
      <c r="K12" s="204" t="s">
        <v>1930</v>
      </c>
      <c r="L12" s="171">
        <v>1</v>
      </c>
      <c r="M12" s="171" t="s">
        <v>1467</v>
      </c>
      <c r="N12" s="171" t="s">
        <v>1761</v>
      </c>
      <c r="O12" s="4">
        <f>IF(L12&lt;&gt;0,L12*VLOOKUP(M12,'Unit Conversion'!$J$3:$K$59,2,0)/VLOOKUP(N12,'Unit Conversion'!$J$3:$K$59,2,0),"")</f>
        <v>0.25199579999999999</v>
      </c>
      <c r="P12" s="172"/>
    </row>
    <row r="13" spans="1:16" x14ac:dyDescent="0.25">
      <c r="A13" s="204"/>
      <c r="B13" s="19"/>
      <c r="C13" s="19"/>
      <c r="D13" s="19"/>
      <c r="E13" s="19"/>
      <c r="F13" s="19"/>
      <c r="G13" s="19"/>
      <c r="H13" s="19"/>
      <c r="I13" s="19"/>
      <c r="J13" s="172"/>
      <c r="K13" s="204" t="s">
        <v>1931</v>
      </c>
      <c r="L13" s="171">
        <v>1</v>
      </c>
      <c r="M13" s="171" t="s">
        <v>261</v>
      </c>
      <c r="N13" s="171" t="s">
        <v>1892</v>
      </c>
      <c r="O13" s="4">
        <f>IF(L13&lt;&gt;0,L13*VLOOKUP(M13,'Unit Conversion'!$J$3:$K$59,2,0)/VLOOKUP(N13,'Unit Conversion'!$J$3:$K$59,2,0),"")</f>
        <v>0.74569989999999997</v>
      </c>
      <c r="P13" s="172"/>
    </row>
    <row r="14" spans="1:16" x14ac:dyDescent="0.25">
      <c r="A14" s="204"/>
      <c r="B14" s="19"/>
      <c r="C14" s="19"/>
      <c r="D14" s="19"/>
      <c r="E14" s="19"/>
      <c r="F14" s="35" t="s">
        <v>887</v>
      </c>
      <c r="G14" s="35" t="s">
        <v>887</v>
      </c>
      <c r="H14" s="19"/>
      <c r="I14" s="19"/>
      <c r="J14" s="172"/>
      <c r="K14" s="204" t="s">
        <v>1420</v>
      </c>
      <c r="L14" s="171">
        <v>1</v>
      </c>
      <c r="M14" s="171" t="s">
        <v>1454</v>
      </c>
      <c r="N14" s="171" t="s">
        <v>1469</v>
      </c>
      <c r="O14" s="4">
        <f>IF(L14&lt;&gt;0,L14*VLOOKUP(M14,'Unit Conversion'!$J$3:$K$59,2,0)/VLOOKUP(N14,'Unit Conversion'!$J$3:$K$59,2,0),"")</f>
        <v>860.5851979345955</v>
      </c>
      <c r="P14" s="172"/>
    </row>
    <row r="15" spans="1:16" x14ac:dyDescent="0.25">
      <c r="A15" s="204"/>
      <c r="B15" s="19"/>
      <c r="C15" s="19"/>
      <c r="D15" s="35" t="s">
        <v>1559</v>
      </c>
      <c r="E15" s="35" t="s">
        <v>888</v>
      </c>
      <c r="F15" s="35" t="s">
        <v>886</v>
      </c>
      <c r="G15" s="35" t="s">
        <v>886</v>
      </c>
      <c r="H15" s="19"/>
      <c r="I15" s="19"/>
      <c r="J15" s="172"/>
      <c r="K15" s="204" t="s">
        <v>1421</v>
      </c>
      <c r="L15" s="171">
        <v>1</v>
      </c>
      <c r="M15" s="171" t="s">
        <v>668</v>
      </c>
      <c r="N15" s="171" t="s">
        <v>1744</v>
      </c>
      <c r="O15" s="4">
        <f>IF(L15&lt;&gt;0,L15*VLOOKUP(M15,'Unit Conversion'!$J$3:$K$59,2,0)/VLOOKUP(N15,'Unit Conversion'!$J$3:$K$59,2,0),"")</f>
        <v>16.018460000000001</v>
      </c>
      <c r="P15" s="172"/>
    </row>
    <row r="16" spans="1:16" x14ac:dyDescent="0.25">
      <c r="A16" s="204"/>
      <c r="B16" s="19"/>
      <c r="C16" s="19"/>
      <c r="D16" s="205" t="s">
        <v>169</v>
      </c>
      <c r="E16" s="19" t="s">
        <v>889</v>
      </c>
      <c r="F16" s="19" t="s">
        <v>1160</v>
      </c>
      <c r="G16" s="205" t="s">
        <v>969</v>
      </c>
      <c r="H16" s="19"/>
      <c r="I16" s="19"/>
      <c r="J16" s="172"/>
      <c r="K16" s="204" t="s">
        <v>1422</v>
      </c>
      <c r="L16" s="171">
        <v>1</v>
      </c>
      <c r="M16" s="171" t="s">
        <v>1455</v>
      </c>
      <c r="N16" s="171" t="s">
        <v>404</v>
      </c>
      <c r="O16" s="4">
        <f>IF(L16&lt;&gt;0,L16*VLOOKUP(M16,'Unit Conversion'!$J$3:$K$59,2,0)/VLOOKUP(N16,'Unit Conversion'!$J$3:$K$59,2,0),"")</f>
        <v>4.1839988820354987</v>
      </c>
      <c r="P16" s="172"/>
    </row>
    <row r="17" spans="1:16" x14ac:dyDescent="0.25">
      <c r="A17" s="204"/>
      <c r="B17" s="19"/>
      <c r="C17" s="19"/>
      <c r="D17" s="171">
        <v>2500</v>
      </c>
      <c r="E17" s="171">
        <v>1</v>
      </c>
      <c r="F17" s="4">
        <f>(1+2*E17)*2*3.14158*(D17*VLOOKUP($D$16,'Unit Conversion'!$J$3:$K$59,2,0)/(2*3.14158*E17))^(2/3)</f>
        <v>24.767532215771222</v>
      </c>
      <c r="G17" s="4">
        <f>IF(D17&lt;&gt;"",F17/VLOOKUP($G$16,'Unit Conversion'!$J$3:$K$59,2,0),"")</f>
        <v>266.59549801353347</v>
      </c>
      <c r="H17" s="19"/>
      <c r="I17" s="19"/>
      <c r="J17" s="172"/>
      <c r="K17" s="204" t="s">
        <v>1423</v>
      </c>
      <c r="L17" s="171">
        <v>1</v>
      </c>
      <c r="M17" s="171" t="s">
        <v>405</v>
      </c>
      <c r="N17" s="171" t="s">
        <v>1082</v>
      </c>
      <c r="O17" s="4">
        <f>IF(L17&lt;&gt;0,L17*VLOOKUP(M17,'Unit Conversion'!$J$3:$K$59,2,0)/VLOOKUP(N17,'Unit Conversion'!$J$3:$K$59,2,0),"")</f>
        <v>0.23900579999999999</v>
      </c>
      <c r="P17" s="172"/>
    </row>
    <row r="18" spans="1:16" x14ac:dyDescent="0.25">
      <c r="A18" s="204"/>
      <c r="B18" s="19"/>
      <c r="C18" s="19"/>
      <c r="D18" s="171">
        <v>1000</v>
      </c>
      <c r="E18" s="171">
        <v>1</v>
      </c>
      <c r="F18" s="4">
        <f>(1+2*E18)*2*3.14158*(D18*VLOOKUP($D$16,'Unit Conversion'!$J$3:$K$59,2,0)/(2*3.14158*E18))^(2/3)</f>
        <v>13.445885153214256</v>
      </c>
      <c r="G18" s="4">
        <f>IF(D18&lt;&gt;"",F18/VLOOKUP($G$16,'Unit Conversion'!$J$3:$K$59,2,0),"")</f>
        <v>144.73030326256551</v>
      </c>
      <c r="H18" s="19"/>
      <c r="I18" s="19"/>
      <c r="J18" s="172"/>
      <c r="K18" s="207"/>
      <c r="L18" s="163"/>
      <c r="M18" s="163"/>
      <c r="N18" s="208"/>
      <c r="O18" s="208"/>
      <c r="P18" s="173"/>
    </row>
    <row r="19" spans="1:16" x14ac:dyDescent="0.25">
      <c r="A19" s="204"/>
      <c r="B19" s="19"/>
      <c r="C19" s="19"/>
      <c r="D19" s="171">
        <v>10000</v>
      </c>
      <c r="E19" s="171">
        <v>1</v>
      </c>
      <c r="F19" s="4">
        <f>(1+2*E19)*2*3.14158*(D19*VLOOKUP($D$16,'Unit Conversion'!$J$3:$K$59,2,0)/(2*3.14158*E19))^(2/3)</f>
        <v>62.410270385199134</v>
      </c>
      <c r="G19" s="4">
        <f>IF(D19&lt;&gt;"",F19/VLOOKUP($G$16,'Unit Conversion'!$J$3:$K$59,2,0),"")</f>
        <v>671.77855950891524</v>
      </c>
      <c r="H19" s="19"/>
      <c r="I19" s="19"/>
      <c r="J19" s="172"/>
      <c r="K19" s="3832" t="s">
        <v>1575</v>
      </c>
      <c r="L19" s="3835"/>
      <c r="M19" s="3835"/>
      <c r="N19" s="3835"/>
      <c r="O19" s="3835"/>
      <c r="P19" s="3839"/>
    </row>
    <row r="20" spans="1:16" ht="12.75" customHeight="1" x14ac:dyDescent="0.25">
      <c r="A20" s="204"/>
      <c r="B20" s="19"/>
      <c r="C20" s="19"/>
      <c r="D20" s="171">
        <v>10000</v>
      </c>
      <c r="E20" s="171">
        <v>2</v>
      </c>
      <c r="F20" s="4">
        <f>(1+2*E20)*2*3.14158*(D20*VLOOKUP($D$16,'Unit Conversion'!$J$3:$K$59,2,0)/(2*3.14158*E20))^(2/3)</f>
        <v>65.526677823285837</v>
      </c>
      <c r="G20" s="4">
        <f>IF(D20&lt;&gt;"",F20/VLOOKUP($G$16,'Unit Conversion'!$J$3:$K$59,2,0),"")</f>
        <v>705.32328999444837</v>
      </c>
      <c r="H20" s="19"/>
      <c r="I20" s="19"/>
      <c r="J20" s="172"/>
      <c r="K20" s="3840"/>
      <c r="L20" s="3840"/>
      <c r="M20" s="3840"/>
      <c r="N20" s="3840"/>
      <c r="O20" s="3840"/>
      <c r="P20" s="3841"/>
    </row>
    <row r="21" spans="1:16" ht="12.75" customHeight="1" x14ac:dyDescent="0.25">
      <c r="A21" s="204"/>
      <c r="B21" s="19"/>
      <c r="C21" s="19"/>
      <c r="D21" s="171">
        <v>10000</v>
      </c>
      <c r="E21" s="171">
        <v>5</v>
      </c>
      <c r="F21" s="4">
        <f>(1+2*E21)*2*3.14158*(D21*VLOOKUP($D$16,'Unit Conversion'!$J$3:$K$59,2,0)/(2*3.14158*E21))^(2/3)</f>
        <v>78.261378201804987</v>
      </c>
      <c r="G21" s="4">
        <f>IF(D21&lt;&gt;"",F21/VLOOKUP($G$16,'Unit Conversion'!$J$3:$K$59,2,0),"")</f>
        <v>842.39846405246783</v>
      </c>
      <c r="H21" s="19"/>
      <c r="I21" s="19"/>
      <c r="J21" s="172"/>
      <c r="K21" s="3840"/>
      <c r="L21" s="3840"/>
      <c r="M21" s="3840"/>
      <c r="N21" s="3840"/>
      <c r="O21" s="3840"/>
      <c r="P21" s="3841"/>
    </row>
    <row r="22" spans="1:16" x14ac:dyDescent="0.25">
      <c r="A22" s="207"/>
      <c r="B22" s="163"/>
      <c r="C22" s="163"/>
      <c r="D22" s="163"/>
      <c r="E22" s="163"/>
      <c r="F22" s="163"/>
      <c r="G22" s="163"/>
      <c r="H22" s="163"/>
      <c r="I22" s="163"/>
      <c r="J22" s="173"/>
      <c r="K22" s="19"/>
      <c r="L22" s="35" t="s">
        <v>1180</v>
      </c>
      <c r="M22" s="35" t="s">
        <v>1065</v>
      </c>
      <c r="N22" s="35" t="s">
        <v>1562</v>
      </c>
      <c r="O22" s="35" t="s">
        <v>939</v>
      </c>
      <c r="P22" s="172"/>
    </row>
    <row r="23" spans="1:16" x14ac:dyDescent="0.25">
      <c r="A23" s="3837" t="s">
        <v>267</v>
      </c>
      <c r="B23" s="3832"/>
      <c r="C23" s="3832"/>
      <c r="D23" s="3832"/>
      <c r="E23" s="3832"/>
      <c r="F23" s="3832"/>
      <c r="G23" s="3832"/>
      <c r="H23" s="3832"/>
      <c r="I23" s="3832"/>
      <c r="J23" s="3832"/>
      <c r="K23" s="3836" t="s">
        <v>866</v>
      </c>
      <c r="L23" s="209">
        <v>1</v>
      </c>
      <c r="M23" s="171" t="s">
        <v>867</v>
      </c>
      <c r="N23" s="171" t="s">
        <v>1069</v>
      </c>
      <c r="O23" s="4">
        <f>IF(L23&lt;&gt;0,1.185*L23*VLOOKUP(M23,'Unit Conversion'!$J$3:$K$59,2,0)/(60*VLOOKUP(N23,'Unit Conversion'!$J$3:$K$59,2,0)),"")</f>
        <v>0.32917325000000003</v>
      </c>
      <c r="P23" s="172"/>
    </row>
    <row r="24" spans="1:16" x14ac:dyDescent="0.25">
      <c r="A24" s="3838"/>
      <c r="B24" s="3436"/>
      <c r="C24" s="3436"/>
      <c r="D24" s="3436"/>
      <c r="E24" s="3436"/>
      <c r="F24" s="3436"/>
      <c r="G24" s="3436"/>
      <c r="H24" s="3436"/>
      <c r="I24" s="3436"/>
      <c r="J24" s="3436"/>
      <c r="K24" s="3836"/>
      <c r="L24" s="209">
        <v>1</v>
      </c>
      <c r="M24" s="171" t="s">
        <v>867</v>
      </c>
      <c r="N24" s="171" t="s">
        <v>416</v>
      </c>
      <c r="O24" s="4">
        <f>IF(L24&lt;&gt;0,1.185*L24*VLOOKUP(M24,'Unit Conversion'!$J$3:$K$59,2,0)/(60*VLOOKUP(N24,'Unit Conversion'!$J$3:$K$59,2,0)),"")</f>
        <v>19.750395000000001</v>
      </c>
      <c r="P24" s="172"/>
    </row>
    <row r="25" spans="1:16" x14ac:dyDescent="0.25">
      <c r="A25" s="204"/>
      <c r="B25" s="19"/>
      <c r="C25" s="19"/>
      <c r="D25" s="35" t="s">
        <v>934</v>
      </c>
      <c r="E25" s="35" t="s">
        <v>1065</v>
      </c>
      <c r="F25" s="19"/>
      <c r="G25" s="35" t="s">
        <v>1562</v>
      </c>
      <c r="H25" s="19"/>
      <c r="I25" s="35" t="s">
        <v>1141</v>
      </c>
      <c r="J25" s="19"/>
      <c r="K25" s="3836"/>
      <c r="L25" s="209">
        <v>1</v>
      </c>
      <c r="M25" s="171" t="s">
        <v>867</v>
      </c>
      <c r="N25" s="171" t="s">
        <v>417</v>
      </c>
      <c r="O25" s="4">
        <f>IF(L25&lt;&gt;0,1.185*L25*VLOOKUP(M25,'Unit Conversion'!$J$3:$K$59,2,0)/(60*VLOOKUP(N25,'Unit Conversion'!$J$3:$K$59,2,0)),"")</f>
        <v>43.542011137713466</v>
      </c>
      <c r="P25" s="172"/>
    </row>
    <row r="26" spans="1:16" x14ac:dyDescent="0.25">
      <c r="A26" s="204"/>
      <c r="B26" s="19"/>
      <c r="C26" s="72" t="s">
        <v>1470</v>
      </c>
      <c r="D26" s="19">
        <v>2</v>
      </c>
      <c r="E26" s="19" t="s">
        <v>415</v>
      </c>
      <c r="F26" s="19"/>
      <c r="G26" s="171" t="s">
        <v>1454</v>
      </c>
      <c r="H26" s="19"/>
      <c r="I26" s="4">
        <f>D26*VLOOKUP(E26,'Unit Conversion'!$J$3:$K$59,2,0)/VLOOKUP(G26,'Unit Conversion'!$J$3:$K$59,2,0)</f>
        <v>1.135652E-2</v>
      </c>
      <c r="J26" s="19"/>
      <c r="K26" s="3836"/>
      <c r="L26" s="209">
        <v>1</v>
      </c>
      <c r="M26" s="171" t="s">
        <v>1941</v>
      </c>
      <c r="N26" s="171" t="s">
        <v>416</v>
      </c>
      <c r="O26" s="4">
        <f>IF(L26&lt;&gt;0,1.185*L26*VLOOKUP(M26,'Unit Conversion'!$J$3:$K$59,2,0)/(60*VLOOKUP(N26,'Unit Conversion'!$J$3:$K$59,2,0)),"")</f>
        <v>9.3212099999999999E-3</v>
      </c>
      <c r="P26" s="172"/>
    </row>
    <row r="27" spans="1:16" x14ac:dyDescent="0.25">
      <c r="A27" s="204"/>
      <c r="B27" s="19"/>
      <c r="C27" s="72" t="s">
        <v>5244</v>
      </c>
      <c r="D27" s="19">
        <v>0.1</v>
      </c>
      <c r="E27" s="19" t="s">
        <v>415</v>
      </c>
      <c r="F27" s="19"/>
      <c r="G27" s="171" t="s">
        <v>1454</v>
      </c>
      <c r="H27" s="19"/>
      <c r="I27" s="4">
        <f>D27*VLOOKUP(E27,'Unit Conversion'!$J$3:$K$59,2,0)/VLOOKUP(G27,'Unit Conversion'!$J$3:$K$59,2,0)</f>
        <v>5.6782600000000001E-4</v>
      </c>
      <c r="J27" s="19"/>
      <c r="K27" s="3836"/>
      <c r="L27" s="209">
        <v>1</v>
      </c>
      <c r="M27" s="171" t="s">
        <v>1571</v>
      </c>
      <c r="N27" s="171" t="s">
        <v>417</v>
      </c>
      <c r="O27" s="4">
        <f>IF(L27&lt;&gt;0,1.185*L27*VLOOKUP(M27,'Unit Conversion'!$J$3:$K$59,2,0)/(60*VLOOKUP(N27,'Unit Conversion'!$J$3:$K$59,2,0)),"")</f>
        <v>0.72574372676887267</v>
      </c>
      <c r="P27" s="172"/>
    </row>
    <row r="28" spans="1:16" x14ac:dyDescent="0.25">
      <c r="A28" s="204"/>
      <c r="B28" s="19"/>
      <c r="C28" s="72" t="s">
        <v>1266</v>
      </c>
      <c r="D28" s="19">
        <v>80</v>
      </c>
      <c r="E28" s="19" t="s">
        <v>415</v>
      </c>
      <c r="F28" s="19"/>
      <c r="G28" s="171" t="s">
        <v>1454</v>
      </c>
      <c r="H28" s="19"/>
      <c r="I28" s="4">
        <f>D28*VLOOKUP(E28,'Unit Conversion'!$J$3:$K$59,2,0)/VLOOKUP(G28,'Unit Conversion'!$J$3:$K$59,2,0)</f>
        <v>0.45426080000000002</v>
      </c>
      <c r="J28" s="19"/>
      <c r="K28" s="207"/>
      <c r="L28" s="163"/>
      <c r="M28" s="163"/>
      <c r="N28" s="163"/>
      <c r="O28" s="208"/>
      <c r="P28" s="173"/>
    </row>
    <row r="29" spans="1:16" x14ac:dyDescent="0.25">
      <c r="A29" s="204"/>
      <c r="B29" s="19"/>
      <c r="C29" s="72" t="s">
        <v>1267</v>
      </c>
      <c r="D29" s="19">
        <v>20</v>
      </c>
      <c r="E29" s="19" t="s">
        <v>415</v>
      </c>
      <c r="F29" s="19"/>
      <c r="G29" s="171" t="s">
        <v>1454</v>
      </c>
      <c r="H29" s="19"/>
      <c r="I29" s="4">
        <f>D29*VLOOKUP(E29,'Unit Conversion'!$J$3:$K$59,2,0)/VLOOKUP(G29,'Unit Conversion'!$J$3:$K$59,2,0)</f>
        <v>0.11356520000000001</v>
      </c>
      <c r="J29" s="172"/>
      <c r="K29" s="3832" t="s">
        <v>532</v>
      </c>
      <c r="L29" s="3832"/>
      <c r="M29" s="3832"/>
      <c r="N29" s="3832"/>
      <c r="O29" s="3832"/>
      <c r="P29" s="3833"/>
    </row>
    <row r="30" spans="1:16" x14ac:dyDescent="0.25">
      <c r="A30" s="204"/>
      <c r="B30" s="19"/>
      <c r="C30" s="72" t="s">
        <v>1265</v>
      </c>
      <c r="D30" s="19">
        <v>100</v>
      </c>
      <c r="E30" s="19" t="s">
        <v>415</v>
      </c>
      <c r="F30" s="19"/>
      <c r="G30" s="171" t="s">
        <v>1454</v>
      </c>
      <c r="H30" s="19"/>
      <c r="I30" s="4">
        <f>D30*VLOOKUP(E30,'Unit Conversion'!$J$3:$K$59,2,0)/VLOOKUP(G30,'Unit Conversion'!$J$3:$K$59,2,0)</f>
        <v>0.56782600000000005</v>
      </c>
      <c r="J30" s="172"/>
      <c r="K30" s="3436"/>
      <c r="L30" s="3436"/>
      <c r="M30" s="3436"/>
      <c r="N30" s="3436"/>
      <c r="O30" s="3436"/>
      <c r="P30" s="3834"/>
    </row>
    <row r="31" spans="1:16" x14ac:dyDescent="0.25">
      <c r="A31" s="204"/>
      <c r="B31" s="19"/>
      <c r="C31" s="72" t="s">
        <v>266</v>
      </c>
      <c r="D31" s="19">
        <v>35</v>
      </c>
      <c r="E31" s="19" t="s">
        <v>415</v>
      </c>
      <c r="F31" s="19"/>
      <c r="G31" s="171" t="s">
        <v>1454</v>
      </c>
      <c r="H31" s="19"/>
      <c r="I31" s="4">
        <f>D31*VLOOKUP(E31,'Unit Conversion'!$J$3:$K$59,2,0)/VLOOKUP(G31,'Unit Conversion'!$J$3:$K$59,2,0)</f>
        <v>0.1987391</v>
      </c>
      <c r="J31" s="172"/>
      <c r="K31" s="3436" t="s">
        <v>268</v>
      </c>
      <c r="L31" s="3436" t="s">
        <v>5245</v>
      </c>
      <c r="M31" s="35" t="s">
        <v>886</v>
      </c>
      <c r="N31" s="35" t="s">
        <v>269</v>
      </c>
      <c r="O31" s="35" t="s">
        <v>269</v>
      </c>
      <c r="P31" s="172"/>
    </row>
    <row r="32" spans="1:16" x14ac:dyDescent="0.25">
      <c r="A32" s="204"/>
      <c r="B32" s="19"/>
      <c r="C32" s="19"/>
      <c r="D32" s="19"/>
      <c r="E32" s="19"/>
      <c r="F32" s="19"/>
      <c r="G32" s="19"/>
      <c r="H32" s="19"/>
      <c r="I32" s="19"/>
      <c r="J32" s="172"/>
      <c r="K32" s="3436"/>
      <c r="L32" s="3436"/>
      <c r="M32" s="35" t="s">
        <v>755</v>
      </c>
      <c r="N32" s="35" t="s">
        <v>1705</v>
      </c>
      <c r="O32" s="35" t="s">
        <v>1704</v>
      </c>
      <c r="P32" s="172"/>
    </row>
    <row r="33" spans="1:16" x14ac:dyDescent="0.25">
      <c r="A33" s="204"/>
      <c r="B33" s="19"/>
      <c r="C33" s="19"/>
      <c r="D33" s="19"/>
      <c r="E33" s="19"/>
      <c r="F33" s="19"/>
      <c r="G33" s="19"/>
      <c r="H33" s="19"/>
      <c r="I33" s="210" t="s">
        <v>5246</v>
      </c>
      <c r="J33" s="172"/>
      <c r="K33" s="35" t="s">
        <v>1558</v>
      </c>
      <c r="L33" s="4" t="s">
        <v>707</v>
      </c>
      <c r="M33" s="4">
        <v>0.11</v>
      </c>
      <c r="N33" s="4">
        <v>0.375</v>
      </c>
      <c r="O33" s="116">
        <f>N33*2.54</f>
        <v>0.95250000000000001</v>
      </c>
      <c r="P33" s="172"/>
    </row>
    <row r="34" spans="1:16" x14ac:dyDescent="0.25">
      <c r="A34" s="207"/>
      <c r="B34" s="163"/>
      <c r="C34" s="163"/>
      <c r="D34" s="163"/>
      <c r="E34" s="163"/>
      <c r="F34" s="163"/>
      <c r="G34" s="163"/>
      <c r="H34" s="163"/>
      <c r="I34" s="163"/>
      <c r="J34" s="173"/>
      <c r="K34" s="35" t="s">
        <v>1706</v>
      </c>
      <c r="L34" s="4" t="s">
        <v>707</v>
      </c>
      <c r="M34" s="4">
        <v>0.19600000000000001</v>
      </c>
      <c r="N34" s="4">
        <v>0.5</v>
      </c>
      <c r="O34" s="116">
        <f t="shared" ref="O34:O46" si="0">N34*2.54</f>
        <v>1.27</v>
      </c>
      <c r="P34" s="172"/>
    </row>
    <row r="35" spans="1:16" ht="12.75" customHeight="1" x14ac:dyDescent="0.25">
      <c r="A35" s="3837" t="s">
        <v>5247</v>
      </c>
      <c r="B35" s="3832"/>
      <c r="C35" s="3832"/>
      <c r="D35" s="3832"/>
      <c r="E35" s="3832"/>
      <c r="F35" s="3832"/>
      <c r="G35" s="3832"/>
      <c r="H35" s="3832"/>
      <c r="I35" s="3832"/>
      <c r="J35" s="3833"/>
      <c r="K35" s="35" t="s">
        <v>1707</v>
      </c>
      <c r="L35" s="4" t="s">
        <v>707</v>
      </c>
      <c r="M35" s="4">
        <v>0.307</v>
      </c>
      <c r="N35" s="4">
        <v>0.625</v>
      </c>
      <c r="O35" s="116">
        <f t="shared" si="0"/>
        <v>1.5874999999999999</v>
      </c>
      <c r="P35" s="172"/>
    </row>
    <row r="36" spans="1:16" ht="12.75" customHeight="1" x14ac:dyDescent="0.25">
      <c r="A36" s="3838"/>
      <c r="B36" s="3436"/>
      <c r="C36" s="3436"/>
      <c r="D36" s="3436"/>
      <c r="E36" s="3436"/>
      <c r="F36" s="3436"/>
      <c r="G36" s="3436"/>
      <c r="H36" s="3436"/>
      <c r="I36" s="3436"/>
      <c r="J36" s="3834"/>
      <c r="K36" s="35" t="s">
        <v>1708</v>
      </c>
      <c r="L36" s="4" t="s">
        <v>811</v>
      </c>
      <c r="M36" s="4">
        <v>0.503</v>
      </c>
      <c r="N36" s="4">
        <f t="shared" ref="N36:N46" si="1">(M36*4/3.1416)^0.5</f>
        <v>0.80027369904250245</v>
      </c>
      <c r="O36" s="116">
        <f t="shared" si="0"/>
        <v>2.0326951955679564</v>
      </c>
      <c r="P36" s="172"/>
    </row>
    <row r="37" spans="1:16" x14ac:dyDescent="0.25">
      <c r="A37" s="204"/>
      <c r="B37" s="19"/>
      <c r="C37" s="19"/>
      <c r="D37" s="3831" t="s">
        <v>602</v>
      </c>
      <c r="E37" s="3831"/>
      <c r="F37" s="3831"/>
      <c r="G37" s="3831" t="s">
        <v>603</v>
      </c>
      <c r="H37" s="3831"/>
      <c r="I37" s="19"/>
      <c r="J37" s="172"/>
      <c r="K37" s="35" t="s">
        <v>1709</v>
      </c>
      <c r="L37" s="4">
        <v>3</v>
      </c>
      <c r="M37" s="4">
        <v>0.78500000000000003</v>
      </c>
      <c r="N37" s="4">
        <f t="shared" si="1"/>
        <v>0.99974532025564311</v>
      </c>
      <c r="O37" s="116">
        <f t="shared" si="0"/>
        <v>2.5393531134493337</v>
      </c>
      <c r="P37" s="172"/>
    </row>
    <row r="38" spans="1:16" x14ac:dyDescent="0.25">
      <c r="A38" s="204"/>
      <c r="B38" s="19"/>
      <c r="C38" s="19"/>
      <c r="D38" s="39" t="s">
        <v>865</v>
      </c>
      <c r="E38" s="39" t="s">
        <v>1626</v>
      </c>
      <c r="F38" s="39" t="s">
        <v>520</v>
      </c>
      <c r="G38" s="39" t="s">
        <v>893</v>
      </c>
      <c r="H38" s="39" t="s">
        <v>894</v>
      </c>
      <c r="I38" s="19"/>
      <c r="J38" s="172"/>
      <c r="K38" s="35" t="s">
        <v>1710</v>
      </c>
      <c r="L38" s="211" t="s">
        <v>812</v>
      </c>
      <c r="M38" s="4">
        <v>1.2869999999999999</v>
      </c>
      <c r="N38" s="4">
        <f t="shared" si="1"/>
        <v>1.2800997860264152</v>
      </c>
      <c r="O38" s="116">
        <f t="shared" si="0"/>
        <v>3.2514534565070945</v>
      </c>
      <c r="P38" s="172"/>
    </row>
    <row r="39" spans="1:16" x14ac:dyDescent="0.25">
      <c r="A39" s="204"/>
      <c r="B39" s="19"/>
      <c r="C39" s="19"/>
      <c r="D39" s="212" t="s">
        <v>918</v>
      </c>
      <c r="E39" s="212" t="s">
        <v>500</v>
      </c>
      <c r="F39" s="212" t="s">
        <v>914</v>
      </c>
      <c r="G39" s="212">
        <v>4</v>
      </c>
      <c r="H39" s="212">
        <v>0.157</v>
      </c>
      <c r="I39" s="19"/>
      <c r="J39" s="172"/>
      <c r="K39" s="35" t="s">
        <v>902</v>
      </c>
      <c r="L39" s="211" t="s">
        <v>813</v>
      </c>
      <c r="M39" s="4">
        <v>1.8380000000000001</v>
      </c>
      <c r="N39" s="4">
        <f t="shared" si="1"/>
        <v>1.5297741044994342</v>
      </c>
      <c r="O39" s="116">
        <f t="shared" si="0"/>
        <v>3.8856262254285627</v>
      </c>
      <c r="P39" s="172"/>
    </row>
    <row r="40" spans="1:16" x14ac:dyDescent="0.25">
      <c r="A40" s="204"/>
      <c r="B40" s="19"/>
      <c r="C40" s="19"/>
      <c r="D40" s="4" t="s">
        <v>919</v>
      </c>
      <c r="E40" s="4" t="s">
        <v>1715</v>
      </c>
      <c r="F40" s="4" t="s">
        <v>915</v>
      </c>
      <c r="G40" s="4">
        <v>2</v>
      </c>
      <c r="H40" s="4">
        <v>7.9000000000000001E-2</v>
      </c>
      <c r="I40" s="19"/>
      <c r="J40" s="172"/>
      <c r="K40" s="35" t="s">
        <v>1557</v>
      </c>
      <c r="L40" s="211" t="s">
        <v>813</v>
      </c>
      <c r="M40" s="4">
        <v>2.8530000000000002</v>
      </c>
      <c r="N40" s="4">
        <f t="shared" si="1"/>
        <v>1.9059233790112273</v>
      </c>
      <c r="O40" s="116">
        <f t="shared" si="0"/>
        <v>4.8410453826885176</v>
      </c>
      <c r="P40" s="172"/>
    </row>
    <row r="41" spans="1:16" x14ac:dyDescent="0.25">
      <c r="A41" s="204"/>
      <c r="B41" s="19"/>
      <c r="C41" s="19"/>
      <c r="D41" s="4" t="s">
        <v>920</v>
      </c>
      <c r="E41" s="4" t="s">
        <v>804</v>
      </c>
      <c r="F41" s="4" t="s">
        <v>916</v>
      </c>
      <c r="G41" s="4">
        <v>1</v>
      </c>
      <c r="H41" s="4">
        <v>3.9E-2</v>
      </c>
      <c r="I41" s="19"/>
      <c r="J41" s="172"/>
      <c r="K41" s="35" t="s">
        <v>903</v>
      </c>
      <c r="L41" s="4">
        <v>6</v>
      </c>
      <c r="M41" s="4">
        <v>3.6</v>
      </c>
      <c r="N41" s="4">
        <f t="shared" si="1"/>
        <v>2.1409464361527526</v>
      </c>
      <c r="O41" s="116">
        <f t="shared" si="0"/>
        <v>5.4380039478279913</v>
      </c>
      <c r="P41" s="172"/>
    </row>
    <row r="42" spans="1:16" x14ac:dyDescent="0.25">
      <c r="A42" s="204"/>
      <c r="B42" s="19"/>
      <c r="C42" s="19"/>
      <c r="D42" s="4" t="s">
        <v>917</v>
      </c>
      <c r="E42" s="4" t="s">
        <v>805</v>
      </c>
      <c r="F42" s="4" t="s">
        <v>921</v>
      </c>
      <c r="G42" s="4">
        <v>0.84099999999999997</v>
      </c>
      <c r="H42" s="4">
        <v>3.3000000000000002E-2</v>
      </c>
      <c r="I42" s="19"/>
      <c r="J42" s="172"/>
      <c r="K42" s="35" t="s">
        <v>144</v>
      </c>
      <c r="L42" s="4">
        <v>6</v>
      </c>
      <c r="M42" s="4">
        <v>4.34</v>
      </c>
      <c r="N42" s="4">
        <f t="shared" si="1"/>
        <v>2.3507119564755885</v>
      </c>
      <c r="O42" s="116">
        <f t="shared" si="0"/>
        <v>5.9708083694479948</v>
      </c>
      <c r="P42" s="172"/>
    </row>
    <row r="43" spans="1:16" x14ac:dyDescent="0.25">
      <c r="A43" s="204"/>
      <c r="B43" s="19"/>
      <c r="C43" s="19"/>
      <c r="D43" s="4" t="s">
        <v>499</v>
      </c>
      <c r="E43" s="4" t="s">
        <v>1431</v>
      </c>
      <c r="F43" s="4" t="s">
        <v>1432</v>
      </c>
      <c r="G43" s="4">
        <v>0.59499999999999997</v>
      </c>
      <c r="H43" s="4">
        <v>2.3E-2</v>
      </c>
      <c r="I43" s="19"/>
      <c r="J43" s="172"/>
      <c r="K43" s="35" t="s">
        <v>904</v>
      </c>
      <c r="L43" s="4">
        <v>6</v>
      </c>
      <c r="M43" s="4">
        <v>6.38</v>
      </c>
      <c r="N43" s="4">
        <f t="shared" si="1"/>
        <v>2.8501314530596455</v>
      </c>
      <c r="O43" s="116">
        <f t="shared" si="0"/>
        <v>7.2393338907714995</v>
      </c>
      <c r="P43" s="172"/>
    </row>
    <row r="44" spans="1:16" x14ac:dyDescent="0.25">
      <c r="A44" s="204"/>
      <c r="B44" s="19"/>
      <c r="C44" s="19"/>
      <c r="D44" s="4" t="s">
        <v>1261</v>
      </c>
      <c r="E44" s="4" t="s">
        <v>1262</v>
      </c>
      <c r="F44" s="4" t="s">
        <v>586</v>
      </c>
      <c r="G44" s="4">
        <v>0.42</v>
      </c>
      <c r="H44" s="4">
        <v>1.7000000000000001E-2</v>
      </c>
      <c r="I44" s="19"/>
      <c r="J44" s="172"/>
      <c r="K44" s="35" t="s">
        <v>905</v>
      </c>
      <c r="L44" s="4">
        <v>8</v>
      </c>
      <c r="M44" s="4">
        <v>11.05</v>
      </c>
      <c r="N44" s="4">
        <f t="shared" si="1"/>
        <v>3.7509017674772651</v>
      </c>
      <c r="O44" s="116">
        <f t="shared" si="0"/>
        <v>9.5272904893922536</v>
      </c>
      <c r="P44" s="172"/>
    </row>
    <row r="45" spans="1:16" x14ac:dyDescent="0.25">
      <c r="A45" s="204"/>
      <c r="B45" s="19"/>
      <c r="C45" s="19"/>
      <c r="D45" s="4" t="s">
        <v>1894</v>
      </c>
      <c r="E45" s="4" t="s">
        <v>418</v>
      </c>
      <c r="F45" s="4" t="s">
        <v>419</v>
      </c>
      <c r="G45" s="4">
        <v>0.29699999999999999</v>
      </c>
      <c r="H45" s="4">
        <v>1.2E-2</v>
      </c>
      <c r="I45" s="19"/>
      <c r="J45" s="172"/>
      <c r="K45" s="35" t="s">
        <v>906</v>
      </c>
      <c r="L45" s="211" t="s">
        <v>814</v>
      </c>
      <c r="M45" s="116">
        <v>16</v>
      </c>
      <c r="N45" s="4">
        <f t="shared" si="1"/>
        <v>4.5135113911086382</v>
      </c>
      <c r="O45" s="116">
        <f t="shared" si="0"/>
        <v>11.464318933415941</v>
      </c>
      <c r="P45" s="172"/>
    </row>
    <row r="46" spans="1:16" x14ac:dyDescent="0.25">
      <c r="A46" s="204"/>
      <c r="B46" s="19"/>
      <c r="C46" s="19"/>
      <c r="D46" s="4" t="s">
        <v>1526</v>
      </c>
      <c r="E46" s="4" t="s">
        <v>1527</v>
      </c>
      <c r="F46" s="4" t="s">
        <v>1975</v>
      </c>
      <c r="G46" s="4">
        <v>0.14899999999999999</v>
      </c>
      <c r="H46" s="4">
        <v>5.8999999999999999E-3</v>
      </c>
      <c r="I46" s="19"/>
      <c r="J46" s="172"/>
      <c r="K46" s="35" t="s">
        <v>907</v>
      </c>
      <c r="L46" s="4">
        <v>10</v>
      </c>
      <c r="M46" s="116">
        <v>26</v>
      </c>
      <c r="N46" s="4">
        <f t="shared" si="1"/>
        <v>5.7536206645215646</v>
      </c>
      <c r="O46" s="116">
        <f t="shared" si="0"/>
        <v>14.614196487884774</v>
      </c>
      <c r="P46" s="172"/>
    </row>
    <row r="47" spans="1:16" x14ac:dyDescent="0.25">
      <c r="A47" s="204"/>
      <c r="B47" s="19"/>
      <c r="C47" s="19"/>
      <c r="D47" s="4" t="s">
        <v>1976</v>
      </c>
      <c r="E47" s="4" t="s">
        <v>1977</v>
      </c>
      <c r="F47" s="4" t="s">
        <v>457</v>
      </c>
      <c r="G47" s="4">
        <v>7.3999999999999996E-2</v>
      </c>
      <c r="H47" s="4">
        <v>2.8999999999999998E-3</v>
      </c>
      <c r="I47" s="19"/>
      <c r="J47" s="172"/>
      <c r="K47" s="163"/>
      <c r="L47" s="163"/>
      <c r="M47" s="163"/>
      <c r="N47" s="163"/>
      <c r="O47" s="163"/>
      <c r="P47" s="173"/>
    </row>
    <row r="48" spans="1:16" x14ac:dyDescent="0.25">
      <c r="A48" s="204"/>
      <c r="B48" s="19"/>
      <c r="C48" s="19"/>
      <c r="D48" s="4" t="s">
        <v>458</v>
      </c>
      <c r="E48" s="4" t="s">
        <v>459</v>
      </c>
      <c r="F48" s="4" t="s">
        <v>460</v>
      </c>
      <c r="G48" s="4">
        <v>3.6999999999999998E-2</v>
      </c>
      <c r="H48" s="4">
        <v>1.5E-3</v>
      </c>
      <c r="I48" s="19"/>
      <c r="J48" s="172"/>
      <c r="K48" s="19"/>
      <c r="L48" s="19"/>
      <c r="M48" s="19"/>
      <c r="N48" s="19"/>
      <c r="O48" s="19"/>
      <c r="P48" s="19"/>
    </row>
    <row r="49" spans="1:16" x14ac:dyDescent="0.25">
      <c r="A49" s="207"/>
      <c r="B49" s="163"/>
      <c r="C49" s="163"/>
      <c r="D49" s="163"/>
      <c r="E49" s="163"/>
      <c r="F49" s="163"/>
      <c r="G49" s="163"/>
      <c r="H49" s="163"/>
      <c r="I49" s="163"/>
      <c r="J49" s="173"/>
      <c r="K49" s="19"/>
      <c r="L49" s="19"/>
      <c r="M49" s="19"/>
      <c r="N49" s="19"/>
      <c r="O49" s="19"/>
      <c r="P49" s="19"/>
    </row>
  </sheetData>
  <sheetProtection sheet="1" objects="1" scenarios="1"/>
  <mergeCells count="12">
    <mergeCell ref="A2:P2"/>
    <mergeCell ref="K23:K27"/>
    <mergeCell ref="A23:J24"/>
    <mergeCell ref="K19:P21"/>
    <mergeCell ref="A35:J36"/>
    <mergeCell ref="G37:H37"/>
    <mergeCell ref="D37:F37"/>
    <mergeCell ref="B4:I4"/>
    <mergeCell ref="L31:L32"/>
    <mergeCell ref="K29:P30"/>
    <mergeCell ref="K31:K32"/>
    <mergeCell ref="L4:O4"/>
  </mergeCells>
  <phoneticPr fontId="3" type="noConversion"/>
  <dataValidations count="15">
    <dataValidation type="list" allowBlank="1" showInputMessage="1" showErrorMessage="1" sqref="D7:E7" xr:uid="{00000000-0002-0000-0D00-000000000000}">
      <formula1>"ft,in,cm,m"</formula1>
    </dataValidation>
    <dataValidation type="list" allowBlank="1" showInputMessage="1" showErrorMessage="1" sqref="G7 D16" xr:uid="{00000000-0002-0000-0D00-000001000000}">
      <formula1>"gal,liter,cu ft,cu m"</formula1>
    </dataValidation>
    <dataValidation type="list" allowBlank="1" showInputMessage="1" showErrorMessage="1" sqref="I7 M8:N8 G16" xr:uid="{00000000-0002-0000-0D00-000002000000}">
      <formula1>"sq ft,sq m"</formula1>
    </dataValidation>
    <dataValidation type="list" allowBlank="1" showInputMessage="1" showErrorMessage="1" sqref="M6:N6" xr:uid="{00000000-0002-0000-0D00-000003000000}">
      <formula1>"mm,cm,m,in,ft"</formula1>
    </dataValidation>
    <dataValidation type="list" allowBlank="1" showInputMessage="1" showErrorMessage="1" sqref="M7:N7" xr:uid="{00000000-0002-0000-0D00-000004000000}">
      <formula1>"liter,gal,cu ft,cu m"</formula1>
    </dataValidation>
    <dataValidation type="list" allowBlank="1" showInputMessage="1" showErrorMessage="1" sqref="M9:N9" xr:uid="{00000000-0002-0000-0D00-000005000000}">
      <formula1>"Lb,Kg"</formula1>
    </dataValidation>
    <dataValidation type="list" allowBlank="1" showInputMessage="1" showErrorMessage="1" sqref="N23:N27 M10:N10" xr:uid="{00000000-0002-0000-0D00-000006000000}">
      <formula1>"Lb/sec,Lb/min,Lb/hr,Kg/sec,Kg/min"</formula1>
    </dataValidation>
    <dataValidation type="list" allowBlank="1" showInputMessage="1" showErrorMessage="1" sqref="M11:N11" xr:uid="{00000000-0002-0000-0D00-000007000000}">
      <formula1>"atm,bar,kPa,psi,mmHg"</formula1>
    </dataValidation>
    <dataValidation type="list" allowBlank="1" showInputMessage="1" showErrorMessage="1" sqref="M12:N12" xr:uid="{00000000-0002-0000-0D00-000008000000}">
      <formula1>"Kcal,Kjoule,BTU"</formula1>
    </dataValidation>
    <dataValidation type="list" allowBlank="1" showInputMessage="1" showErrorMessage="1" sqref="M13:N13" xr:uid="{00000000-0002-0000-0D00-000009000000}">
      <formula1>"HP,Kwatt,BTU/hr"</formula1>
    </dataValidation>
    <dataValidation type="list" allowBlank="1" showInputMessage="1" showErrorMessage="1" sqref="G26:G31 M14:N14" xr:uid="{00000000-0002-0000-0D00-00000A000000}">
      <formula1>"BTU/hr sq ft F,Kwatt /sq m C,Kcal/hr sq m C"</formula1>
    </dataValidation>
    <dataValidation type="list" allowBlank="1" showInputMessage="1" showErrorMessage="1" sqref="M15:N15" xr:uid="{00000000-0002-0000-0D00-00000B000000}">
      <formula1>"gm/ml,gm/liter,lb/cu ft,lb/gal"</formula1>
    </dataValidation>
    <dataValidation type="list" allowBlank="1" showInputMessage="1" showErrorMessage="1" sqref="M16:N16" xr:uid="{00000000-0002-0000-0D00-00000C000000}">
      <formula1>"cal/gm C,J/gm C,BTU/lb F"</formula1>
    </dataValidation>
    <dataValidation type="list" allowBlank="1" showInputMessage="1" showErrorMessage="1" sqref="M17:N17" xr:uid="{00000000-0002-0000-0D00-00000D000000}">
      <formula1>"cal/gm,J/gm,BTU/lb"</formula1>
    </dataValidation>
    <dataValidation type="list" allowBlank="1" showInputMessage="1" showErrorMessage="1" sqref="M23:M27" xr:uid="{00000000-0002-0000-0D00-00000E000000}">
      <formula1>"liter/min,cu m/min,cu m/hr,cu ft/min,cu ft/hr"</formula1>
    </dataValidation>
  </dataValidations>
  <pageMargins left="0.5" right="0.5" top="0" bottom="0.25" header="0" footer="0"/>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1900" r:id="rId4" name="Button 44">
              <controlPr defaultSize="0" print="0" autoFill="0" autoPict="0" macro="[0]!Go_To_Main_Menu">
                <anchor moveWithCells="1" sizeWithCells="1">
                  <from>
                    <xdr:col>0</xdr:col>
                    <xdr:colOff>152400</xdr:colOff>
                    <xdr:row>1</xdr:row>
                    <xdr:rowOff>0</xdr:rowOff>
                  </from>
                  <to>
                    <xdr:col>2</xdr:col>
                    <xdr:colOff>419100</xdr:colOff>
                    <xdr:row>2</xdr:row>
                    <xdr:rowOff>31750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filterMode="1">
    <tabColor rgb="FFFFCC66"/>
    <pageSetUpPr autoPageBreaks="0"/>
  </sheetPr>
  <dimension ref="A1:E172"/>
  <sheetViews>
    <sheetView showGridLines="0" showRowColHeaders="0" zoomScale="90" zoomScaleNormal="90" workbookViewId="0">
      <selection activeCell="M85" sqref="M85"/>
    </sheetView>
  </sheetViews>
  <sheetFormatPr defaultColWidth="9.1796875" defaultRowHeight="13" x14ac:dyDescent="0.25"/>
  <cols>
    <col min="1" max="1" width="2" style="31" customWidth="1"/>
    <col min="2" max="2" width="96.1796875" style="160" customWidth="1"/>
    <col min="3" max="3" width="9.81640625" style="5" customWidth="1"/>
    <col min="4" max="4" width="3.1796875" style="5" customWidth="1"/>
    <col min="5" max="5" width="24.81640625" style="887" bestFit="1" customWidth="1"/>
    <col min="6" max="16384" width="9.1796875" style="30"/>
  </cols>
  <sheetData>
    <row r="1" spans="1:5" ht="18" x14ac:dyDescent="0.25">
      <c r="A1" s="687"/>
      <c r="B1" s="3698" t="str">
        <f>"Input Data Error Checking For "&amp;Equipment_Tag</f>
        <v xml:space="preserve">Input Data Error Checking For </v>
      </c>
      <c r="C1" s="3698"/>
      <c r="D1" s="529"/>
    </row>
    <row r="2" spans="1:5" x14ac:dyDescent="0.25">
      <c r="A2" s="687"/>
      <c r="B2" s="688"/>
      <c r="C2" s="529"/>
      <c r="D2" s="529"/>
    </row>
    <row r="3" spans="1:5" ht="28" customHeight="1" x14ac:dyDescent="0.25">
      <c r="A3" s="687"/>
      <c r="B3" s="223" t="s">
        <v>1964</v>
      </c>
      <c r="C3" s="224" t="s">
        <v>1210</v>
      </c>
      <c r="D3" s="529"/>
      <c r="E3" s="887" t="s">
        <v>3969</v>
      </c>
    </row>
    <row r="4" spans="1:5" ht="12.75" customHeight="1" x14ac:dyDescent="0.25">
      <c r="A4" s="687"/>
      <c r="B4" s="162" t="s">
        <v>1494</v>
      </c>
      <c r="C4" s="161"/>
      <c r="D4" s="345"/>
    </row>
    <row r="5" spans="1:5" ht="12.75" hidden="1" customHeight="1" x14ac:dyDescent="0.25">
      <c r="A5" s="687"/>
      <c r="B5" s="2505" t="str">
        <f>IF(Equipment_Tag="","Equipment Tag Not Entered - Input Data Can Not be Saved","")</f>
        <v>Equipment Tag Not Entered - Input Data Can Not be Saved</v>
      </c>
      <c r="C5" s="19" t="str">
        <f>IF(B5="","","Critical")</f>
        <v>Critical</v>
      </c>
      <c r="D5" s="345"/>
      <c r="E5" s="887" t="s">
        <v>3930</v>
      </c>
    </row>
    <row r="6" spans="1:5" ht="12.75" hidden="1" customHeight="1" x14ac:dyDescent="0.25">
      <c r="A6" s="687"/>
      <c r="B6" s="2505" t="str">
        <f>IF(ISERROR(MATCH(Equipment,Equipment_Type,0)),"Equipment Type Input Error","")</f>
        <v>Equipment Type Input Error</v>
      </c>
      <c r="C6" s="19" t="str">
        <f>IF(B6="","","Critical")</f>
        <v>Critical</v>
      </c>
      <c r="D6" s="345"/>
      <c r="E6" s="887" t="s">
        <v>3931</v>
      </c>
    </row>
    <row r="7" spans="1:5" ht="12.75" customHeight="1" x14ac:dyDescent="0.25">
      <c r="A7" s="687"/>
      <c r="B7" s="2505" t="str">
        <f>IF(Date="","Session Date Not Entered - Documentation is not Complete","")</f>
        <v>Session Date Not Entered - Documentation is not Complete</v>
      </c>
      <c r="C7" s="19" t="str">
        <f>IF(B7="","","Warning")</f>
        <v>Warning</v>
      </c>
      <c r="D7" s="345"/>
      <c r="E7" s="887" t="s">
        <v>3932</v>
      </c>
    </row>
    <row r="8" spans="1:5" ht="12.75" customHeight="1" x14ac:dyDescent="0.25">
      <c r="A8" s="687"/>
      <c r="B8" t="str">
        <f>IF(Partipants="","Session Participants not Entered - Documentation not Complete","")</f>
        <v>Session Participants not Entered - Documentation not Complete</v>
      </c>
      <c r="C8" s="19" t="str">
        <f>IF(B8="","","Warning")</f>
        <v>Warning</v>
      </c>
      <c r="D8" s="345"/>
    </row>
    <row r="9" spans="1:5" ht="12.75" hidden="1" customHeight="1" x14ac:dyDescent="0.25">
      <c r="A9" s="687"/>
      <c r="B9" t="str">
        <f>IF(Exclude_MI="","No Input for Excluding Mechanical Integrity Scenarios - MI Scenarios are Included",IF(ISERROR(MATCH(Exclude_MI,ExcludeMI_List,0)),"Excluding Mechanical Integrity Input Error",""))</f>
        <v/>
      </c>
      <c r="C9" s="19" t="str">
        <f>IF(B9="","",IF(Exclude_MI="","Warning","Critical"))</f>
        <v/>
      </c>
      <c r="D9" s="345"/>
    </row>
    <row r="10" spans="1:5" ht="12.75" hidden="1" customHeight="1" x14ac:dyDescent="0.25">
      <c r="A10" s="687"/>
      <c r="B10" s="2505" t="str">
        <f>IF(NOT(ISNUMBER(Equipment_Volume)),"No Input for Equipment Volume",IF(AND(Equipment_Volume&lt;&gt;"",ISERROR(MATCH(Volume_Units,EquipVol_List,0))),"Units for Equipment Volume Input Error",""))</f>
        <v>No Input for Equipment Volume</v>
      </c>
      <c r="C10" s="19" t="str">
        <f>IF(B10="","","Critical")</f>
        <v>Critical</v>
      </c>
      <c r="D10" s="529"/>
      <c r="E10" s="887" t="s">
        <v>3933</v>
      </c>
    </row>
    <row r="11" spans="1:5" ht="12.75" hidden="1" customHeight="1" x14ac:dyDescent="0.25">
      <c r="A11" s="687"/>
      <c r="B11" s="2505" t="str">
        <f>IF(NOT(ISNUMBER(Equipment_Volume)),"",IF(Volume&lt;0,"Equipment Volume Outside of Normal Range (negative value)",""))</f>
        <v/>
      </c>
      <c r="C11" s="19" t="str">
        <f>IF(B11="","","Critical")</f>
        <v/>
      </c>
      <c r="D11" s="529"/>
      <c r="E11" s="887" t="s">
        <v>3933</v>
      </c>
    </row>
    <row r="12" spans="1:5" ht="12.75" hidden="1" customHeight="1" x14ac:dyDescent="0.25">
      <c r="A12" s="687"/>
      <c r="B12" s="2505" t="str">
        <f>IF(Equipment="Bag/Pak Dumping (Solids)","",IF(NOT(ISNUMBER(MAWP_Input)),"No Input for Maximum Allowable Working Pressure (MAWP)",IF(AND(ISNUMBER(MAWP_Input),ISERROR(MATCH(MAWP_Units,Press_List,0))),"Units for MAWP Input Error","")))</f>
        <v>No Input for Maximum Allowable Working Pressure (MAWP)</v>
      </c>
      <c r="C12" s="19" t="str">
        <f>IF(B12="","",IF(ISERR(State),"Critical",IF(State="Solid","Warning","Critical")))</f>
        <v>Critical</v>
      </c>
      <c r="D12" s="529"/>
      <c r="E12" s="887" t="s">
        <v>3934</v>
      </c>
    </row>
    <row r="13" spans="1:5" ht="12.75" hidden="1" customHeight="1" x14ac:dyDescent="0.25">
      <c r="A13" s="687"/>
      <c r="B13" s="2505" t="str">
        <f>IF(AND(ISNUMBER(P_Input),ISNUMBER(MAWP_Input)),IF(MAWP&lt;P,"MAWP Less than Operating Pressure",""),"")</f>
        <v/>
      </c>
      <c r="C13" s="19" t="str">
        <f>IF(B13="","","Warning")</f>
        <v/>
      </c>
      <c r="D13" s="529"/>
      <c r="E13" s="887" t="s">
        <v>3934</v>
      </c>
    </row>
    <row r="14" spans="1:5" ht="12.75" hidden="1" customHeight="1" x14ac:dyDescent="0.25">
      <c r="A14" s="687"/>
      <c r="B14" s="2505" t="str">
        <f>IF(NOT(ISNUMBER(MAWP_Input)),"",IF(OR(MAWP&lt;-1,MAWP&gt;100),"MAWP Outside of Normal Range (-1 to 100 atm)",""))</f>
        <v/>
      </c>
      <c r="C14" s="19" t="str">
        <f>IF(B14="","","Warning")</f>
        <v/>
      </c>
      <c r="D14" s="529"/>
      <c r="E14" s="887" t="s">
        <v>3934</v>
      </c>
    </row>
    <row r="15" spans="1:5" ht="12.75" hidden="1" customHeight="1" x14ac:dyDescent="0.25">
      <c r="A15" s="687"/>
      <c r="B15" s="2505" t="str">
        <f>IF(AND(Vibration="",Rotating_Equip="Yes",Motor&gt;Motor_Vibration),"No Input for Vibration Check of High Speed Rotating Equipment ","")</f>
        <v/>
      </c>
      <c r="C15" s="19" t="str">
        <f>IF(B15="","","Warning")</f>
        <v/>
      </c>
      <c r="D15" s="529"/>
      <c r="E15" s="887" t="s">
        <v>3867</v>
      </c>
    </row>
    <row r="16" spans="1:5" ht="12.75" hidden="1" customHeight="1" x14ac:dyDescent="0.25">
      <c r="A16" s="687"/>
      <c r="B16" s="2505" t="str">
        <f>IF(AND(Heating_T_Input&lt;&gt;"",Heating_T&lt;=T),"Heating Fluid Temperature Less Than or Equal to Operating Temperature of "&amp;T&amp;" C","")</f>
        <v/>
      </c>
      <c r="C16" s="19" t="str">
        <f>IF(B16="","","Critical")</f>
        <v/>
      </c>
      <c r="D16" s="529"/>
      <c r="E16" s="887" t="s">
        <v>3964</v>
      </c>
    </row>
    <row r="17" spans="1:5" ht="12.75" hidden="1" customHeight="1" x14ac:dyDescent="0.25">
      <c r="A17" s="687"/>
      <c r="B17" s="2505" t="str">
        <f>IF(AND(Coolant_Temp_Input&lt;&gt;"",Coolant_Temp&gt;=T),"Coolant Temperature Greater Than or Equal to Operating Temperature of "&amp;T&amp;" C","")</f>
        <v/>
      </c>
      <c r="C17" s="19" t="str">
        <f>IF(B17="","","Critical")</f>
        <v/>
      </c>
      <c r="D17" s="529"/>
      <c r="E17" s="887" t="s">
        <v>4048</v>
      </c>
    </row>
    <row r="18" spans="1:5" ht="12.75" customHeight="1" x14ac:dyDescent="0.25">
      <c r="A18" s="687"/>
      <c r="B18" s="2505" t="str">
        <f>IF(NOT(ISNUMBER(Relief_Set_Input)),"No Input for Relief Device Set Pressure - No Relief Device Assumed",IF(OR(Relief_Set&lt;0,Relief_Set&gt;1000,Relief_Set&gt;MAWP,ISERROR(MATCH(Relief_Set_Units,Press_List,0))),"Units for Relief Set Press Error, Input greater than MAWP, or Input Outside of Normal Range",""))</f>
        <v>No Input for Relief Device Set Pressure - No Relief Device Assumed</v>
      </c>
      <c r="C18" s="19" t="str">
        <f>IF(B18="","",IF(Relief_Set_Input="","Comment","Critical"))</f>
        <v>Comment</v>
      </c>
      <c r="D18" s="345"/>
      <c r="E18" s="887" t="s">
        <v>3935</v>
      </c>
    </row>
    <row r="19" spans="1:5" ht="12.75" hidden="1" customHeight="1" x14ac:dyDescent="0.25">
      <c r="A19" s="687"/>
      <c r="B19" s="2505" t="str">
        <f>IF(AND(ISNUMBER(Relief_Set_Input),ISNUMBER(P_Input)),IF(P&gt;Relief_Set,"Relief Set Less Than Operating Pressure",""),"")</f>
        <v/>
      </c>
      <c r="C19" s="19" t="str">
        <f>IF(B19="","","Warning")</f>
        <v/>
      </c>
      <c r="D19" s="345"/>
      <c r="E19" s="887" t="s">
        <v>3936</v>
      </c>
    </row>
    <row r="20" spans="1:5" ht="12.75" hidden="1" customHeight="1" x14ac:dyDescent="0.25">
      <c r="A20" s="687"/>
      <c r="B20" s="2505" t="str">
        <f>IF(AND(ISNUMBER(Relief_Set_Input),ISNUMBER(MAWP_Input)),IF(MAWP&lt;Relief_Set,"Relief Set Greater Than Max Allowable Working Pressure",""),"")</f>
        <v/>
      </c>
      <c r="C20" s="19" t="str">
        <f>IF(B20="","","Warning")</f>
        <v/>
      </c>
      <c r="D20" s="345"/>
      <c r="E20" s="887" t="s">
        <v>3936</v>
      </c>
    </row>
    <row r="21" spans="1:5" ht="12.75" hidden="1" customHeight="1" x14ac:dyDescent="0.25">
      <c r="A21" s="687"/>
      <c r="B21" s="2505" t="str">
        <f>IF(AND(ISNUMBER(Relief_Set_Input),NOT(ISNUMBER(Relief_Size_Input))),IF(Relief_Type="Safety Valve","No Input for Safety Valve Orifice Size - Relief Effluent Can NOT Be Estimated and Scenarios NOT Included","No Input for Relief Size - Estimated Relief Capacity not Calculated"),IF(AND(ISNUMBER(Relief_Size_Input),ISERROR(MATCH(Relief_Size_Units,Size_List,0))),"Units for Relief Size Input Error",""))</f>
        <v/>
      </c>
      <c r="C21" s="19" t="str">
        <f>IF(B21="","",IF(AND(Relief_Type="Safety Valve",Relief_Size_Units=""),"Critical","Warning"))</f>
        <v/>
      </c>
      <c r="D21" s="345"/>
      <c r="E21" s="887" t="s">
        <v>3937</v>
      </c>
    </row>
    <row r="22" spans="1:5" ht="12.75" hidden="1" customHeight="1" x14ac:dyDescent="0.25">
      <c r="A22" s="687"/>
      <c r="B22" s="2505" t="str">
        <f>IF(Relief_Set_Input="","",IF(Relief_Type="","No Input for Type of Relief Device - High Reliability Assumed",IF(ISERROR(MATCH(Relief_Type,Relief_List,0)),"Description for Relief Type Input Error","")))</f>
        <v/>
      </c>
      <c r="C22" s="19" t="str">
        <f>IF(B22="","",IF(Relief_Type="","Comment","Warning"))</f>
        <v/>
      </c>
      <c r="D22" s="345"/>
      <c r="E22" s="887" t="s">
        <v>3938</v>
      </c>
    </row>
    <row r="23" spans="1:5" ht="12.75" customHeight="1" x14ac:dyDescent="0.25">
      <c r="A23" s="687"/>
      <c r="B23" s="2505" t="str">
        <f>IF(NOT(ISNUMBER(Relief_Discharge_Size_Input)),"No Input for Relief Discharge Pipe Size",IF(ISERROR(MATCH(Relief_Discharge_Units,Size_List,0)),"Units for Relief Discharge Pipe Size Error",""))</f>
        <v>No Input for Relief Discharge Pipe Size</v>
      </c>
      <c r="C23" s="19" t="str">
        <f>IF(B23="","","Comment")</f>
        <v>Comment</v>
      </c>
      <c r="D23" s="345"/>
      <c r="E23" s="887" t="s">
        <v>3939</v>
      </c>
    </row>
    <row r="24" spans="1:5" ht="12.75" customHeight="1" x14ac:dyDescent="0.25">
      <c r="A24" s="687"/>
      <c r="B24" s="2505" t="str">
        <f>IF(NOT(ISNUMBER(Relief_Elevation_Input)),"No Input for Relief Discharge Elevation",IF(ISERROR(MATCH(Relief_Elevation_Units,Dist_List,0)),"Units for Relief Elevation Error",""))</f>
        <v>No Input for Relief Discharge Elevation</v>
      </c>
      <c r="C24" s="19" t="str">
        <f>IF(B24="","","Comment")</f>
        <v>Comment</v>
      </c>
      <c r="D24" s="345"/>
      <c r="E24" s="887" t="s">
        <v>3940</v>
      </c>
    </row>
    <row r="25" spans="1:5" ht="12.75" hidden="1" customHeight="1" x14ac:dyDescent="0.25">
      <c r="A25" s="687"/>
      <c r="B25" s="2505" t="str">
        <f>IF(Relief_Set_Input="","",IF(Relief_Discharge_Location="","No Input for Relief Discharge Location - Release Consequences may be Conservative",IF(ISERROR(MATCH(Relief_Discharge_Location,Discharge_List,0)),"Description for Relief Discharge Location Input Error","")))</f>
        <v/>
      </c>
      <c r="C25" s="19" t="str">
        <f>IF(B25="","",IF(Relief_Discharge_Location="","Comment","Warning"))</f>
        <v/>
      </c>
      <c r="D25" s="345"/>
      <c r="E25" s="887" t="s">
        <v>3941</v>
      </c>
    </row>
    <row r="26" spans="1:5" ht="12.75" customHeight="1" x14ac:dyDescent="0.25">
      <c r="A26" s="687"/>
      <c r="B26" s="2505" t="str">
        <f>IF(Public_Relief_Input="","No Input for Relief Distance to Fenceline - Equipment Distance to Fenceline will be Used",IF(ISERROR(MATCH(Public_Relief_Units,Size_List,0)),"Units for Relief Distance to Fenceline Error",""))</f>
        <v>No Input for Relief Distance to Fenceline - Equipment Distance to Fenceline will be Used</v>
      </c>
      <c r="C26" s="19" t="str">
        <f t="shared" ref="C26:C31" si="0">IF(B26="","","Comment")</f>
        <v>Comment</v>
      </c>
      <c r="D26" s="345"/>
      <c r="E26" s="887" t="s">
        <v>3942</v>
      </c>
    </row>
    <row r="27" spans="1:5" ht="12.75" customHeight="1" x14ac:dyDescent="0.25">
      <c r="A27" s="687"/>
      <c r="B27" s="2505" t="str">
        <f>IF(Occ_Bldg_Relief_Input="","No Input for Relief Distance to Occupied Building - Equipment Distance to Occupied Building will be Used",IF(ISERROR(MATCH(Occ_Bldg_Relief_Units,Size_List,0)),"Units for Relief Distance to Occupied Building error",""))</f>
        <v>No Input for Relief Distance to Occupied Building - Equipment Distance to Occupied Building will be Used</v>
      </c>
      <c r="C27" s="19" t="str">
        <f t="shared" si="0"/>
        <v>Comment</v>
      </c>
      <c r="D27" s="345"/>
      <c r="E27" s="887" t="s">
        <v>3943</v>
      </c>
    </row>
    <row r="28" spans="1:5" ht="12.75" customHeight="1" x14ac:dyDescent="0.25">
      <c r="A28" s="687"/>
      <c r="B28" s="2505" t="str">
        <f>IF(Occ_Bldg_Cntr_Relief_Input="","No Input for Relief Distance to Center of Occ Building - Equipment Distance to Center of Occ Building will be Used",IF(ISERROR(MATCH(Occ_Bldg_Cntr_Relief_Units,Size_List,0)),"Units for Relief Distance to Center of Occ Building Error",""))</f>
        <v>No Input for Relief Distance to Center of Occ Building - Equipment Distance to Center of Occ Building will be Used</v>
      </c>
      <c r="C28" s="19" t="str">
        <f t="shared" si="0"/>
        <v>Comment</v>
      </c>
      <c r="D28" s="345"/>
      <c r="E28" s="887" t="s">
        <v>3944</v>
      </c>
    </row>
    <row r="29" spans="1:5" x14ac:dyDescent="0.25">
      <c r="A29" s="687"/>
      <c r="B29" s="2505" t="str">
        <f>IF(Occ_Bldg2_Relief_Input="","No Input for Relief Distance to Occ Building 2 - Equipment Distance to Occ Building 2 will be Used",IF(ISERROR(MATCH(Occ_Bldg2_Relief_Units,Size_List,0)),"Units for Relief Distance to Occ Building 2 error",""))</f>
        <v>No Input for Relief Distance to Occ Building 2 - Equipment Distance to Occ Building 2 will be Used</v>
      </c>
      <c r="C29" s="19" t="str">
        <f t="shared" si="0"/>
        <v>Comment</v>
      </c>
      <c r="D29" s="345"/>
      <c r="E29" s="887" t="s">
        <v>3945</v>
      </c>
    </row>
    <row r="30" spans="1:5" x14ac:dyDescent="0.25">
      <c r="A30" s="687"/>
      <c r="B30" s="2505" t="str">
        <f>IF(Occ_Bldg2_Cntr_Relief_Input="","No Input for Relief Distance to Center of Occ Build 2 - Equipment Distance to Center of Occ Build 2 will be Used",IF(ISERROR(MATCH(Occ_Bldg2_Cntr_Relief_Units,Size_List,0)),"Units for Relief Distance to Center of Occ Build 2 Error",""))</f>
        <v>No Input for Relief Distance to Center of Occ Build 2 - Equipment Distance to Center of Occ Build 2 will be Used</v>
      </c>
      <c r="C30" s="19" t="str">
        <f t="shared" si="0"/>
        <v>Comment</v>
      </c>
      <c r="D30" s="345"/>
      <c r="E30" s="887" t="s">
        <v>3946</v>
      </c>
    </row>
    <row r="31" spans="1:5" x14ac:dyDescent="0.25">
      <c r="A31" s="687"/>
      <c r="B31" s="2505" t="str">
        <f>IF(Occ_Bldg2_Relief_Direction="","No Input for Occ Build 2 in Same Wind Direction for Relief - Occ Build 2 in Same Wind Direction for Equipment will be Used",IF(ISERROR(MATCH(Occ_Bldg2_Relief_Direction,YN_List,0)),"Units for Relief Discharge Pipe Size Error",""))</f>
        <v>No Input for Occ Build 2 in Same Wind Direction for Relief - Occ Build 2 in Same Wind Direction for Equipment will be Used</v>
      </c>
      <c r="C31" s="19" t="str">
        <f t="shared" si="0"/>
        <v>Comment</v>
      </c>
      <c r="D31" s="345"/>
      <c r="E31" s="887" t="s">
        <v>3947</v>
      </c>
    </row>
    <row r="32" spans="1:5" x14ac:dyDescent="0.25">
      <c r="A32" s="687"/>
      <c r="B32" s="2505" t="str">
        <f>IF(OR(MAWP&gt;1,Equipment="Bag/Pak Dumping (Solids)"),"",IF(Vacuum_Rated="","No Input for Vacuum Rated - Full Vacuum Capability is Assumed",IF(ISERROR(MATCH(Vacuum_Rated,YN_List,0)),"Vacuum Rated Input Error","")))</f>
        <v>No Input for Vacuum Rated - Full Vacuum Capability is Assumed</v>
      </c>
      <c r="C32" s="19" t="str">
        <f>IF(B32="","",IF(AND(Vacuum_Rated="",MAWP&gt;3.4,Equipment&lt;&gt;"Bag/Pak Dumping (Solids)"),"Comment","Warning"))</f>
        <v>Warning</v>
      </c>
      <c r="D32" s="345"/>
      <c r="E32" s="887" t="s">
        <v>3948</v>
      </c>
    </row>
    <row r="33" spans="1:5" x14ac:dyDescent="0.25">
      <c r="A33" s="687"/>
      <c r="B33" s="2505" t="str">
        <f>IF(Matl_Construction="","No Input for Material of Construction",IF(ISERROR(MATCH(Matl_Construction,Matl_Construction_List,0)),"Material of Construction Input Error",""))</f>
        <v>No Input for Material of Construction</v>
      </c>
      <c r="C33" s="19" t="str">
        <f>IF(B33="","",IF(Matl_Construction="","Warning","Critical"))</f>
        <v>Warning</v>
      </c>
      <c r="D33" s="345"/>
      <c r="E33" s="887" t="s">
        <v>3949</v>
      </c>
    </row>
    <row r="34" spans="1:5" x14ac:dyDescent="0.25">
      <c r="A34" s="687"/>
      <c r="B34" s="2505" t="str">
        <f>IF(Equipment="Bag/Pak Dumping (Solids)","",IF(Dip_Pipe="","No Input for Feed through Dip Pipe or Bottom Fill - None Assumed",IF(ISERROR(MATCH(Dip_Pipe,YN_List,0)),"Dip Pipe-Bottom Fill Error","")))</f>
        <v>No Input for Feed through Dip Pipe or Bottom Fill - None Assumed</v>
      </c>
      <c r="C34" s="19" t="str">
        <f>IF(B34="","",IF(Dip_Pipe="","Comment","Warning"))</f>
        <v>Comment</v>
      </c>
      <c r="D34" s="345"/>
      <c r="E34" s="887" t="s">
        <v>3950</v>
      </c>
    </row>
    <row r="35" spans="1:5" hidden="1" x14ac:dyDescent="0.25">
      <c r="A35" s="687"/>
      <c r="B35" s="2505" t="str">
        <f>IF(Chemical="","",IF(AND(State&lt;&gt;"Solid",OR(Equipgroup_A="Yes",Equipment="Compressor/Blower/Turbine",Equipment="Piping",Equipment="Pump"),NOT(ISNUMBER(D_Input))),"No Input Pipe or Equipment Nozzle Size",IF(AND(ISNUMBER(D_Input),ISERROR(MATCH(D_Units,Size_List,0))),"Units for Pipe or Nozzle Size Input Error","")))</f>
        <v/>
      </c>
      <c r="C35" s="19" t="str">
        <f>IF(B35="","",IF(AND(State&lt;&gt;"Solid",OR(Equipgroup_A="Yes",Equipment="Compressor/Blower/Turbine",Equipment="Piping",Equipment="Pump")),"Critical",IF(State&lt;&gt;"Solid","Warning","Comment")))</f>
        <v/>
      </c>
      <c r="D35" s="345"/>
      <c r="E35" s="887" t="s">
        <v>3951</v>
      </c>
    </row>
    <row r="36" spans="1:5" x14ac:dyDescent="0.25">
      <c r="A36" s="687"/>
      <c r="B36" s="2505" t="str">
        <f>IF(NOT(ISNUMBER(Flanges)),"No Input for Number of Nozzles or Flanges - 2 above and below Liquid Level is Assumed",IF(OR(Flanges&lt;0,Flanges&gt;100),"Number of Nozzles or Flanges Outside of Normal Range",""))</f>
        <v>No Input for Number of Nozzles or Flanges - 2 above and below Liquid Level is Assumed</v>
      </c>
      <c r="C36" s="19" t="str">
        <f>IF(B36="","","Comment")</f>
        <v>Comment</v>
      </c>
      <c r="D36" s="345"/>
      <c r="E36" s="887" t="s">
        <v>3952</v>
      </c>
    </row>
    <row r="37" spans="1:5" x14ac:dyDescent="0.25">
      <c r="A37" s="687"/>
      <c r="B37" s="2505" t="str">
        <f>IF(NOT(ISNUMBER(Drain_Input)),"No Input for Drain Valve Size - 1/2 inch assumed",IF(ISERROR(MATCH(Drain_Units,Size_List,0)),"Units for Relief Discharge Pipe Size Error",""))</f>
        <v>No Input for Drain Valve Size - 1/2 inch assumed</v>
      </c>
      <c r="C37" s="19" t="str">
        <f>IF(B37="","","Comment")</f>
        <v>Comment</v>
      </c>
      <c r="D37" s="345"/>
      <c r="E37" s="887" t="s">
        <v>3953</v>
      </c>
    </row>
    <row r="38" spans="1:5" hidden="1" x14ac:dyDescent="0.25">
      <c r="A38" s="687"/>
      <c r="B38" s="2505" t="str">
        <f>IF(AND(OR(Equipment&lt;&gt;"Piping",Equipment&lt;&gt;"Pump"),NOT(ISNUMBER(Pipe_Length_Input))),IF(Equipment="Piping","No Input for Piping Length",IF(Equipment="Pump","No Input for Piping Length - Zero Piping Assumed","")),IF(AND(ISNUMBER(Pipe_Length_Input),ISERROR(MATCH(Pipe_Length_Units,Dist_List,0))),"Units for Pipe Length Input Error",""))</f>
        <v/>
      </c>
      <c r="C38" s="19" t="str">
        <f>IF(B38="","",IF(AND(Equipment="Pump",Pipe_Length_Input=""),"Comment","Warning"))</f>
        <v/>
      </c>
      <c r="D38" s="345"/>
      <c r="E38" s="887" t="s">
        <v>3954</v>
      </c>
    </row>
    <row r="39" spans="1:5" hidden="1" x14ac:dyDescent="0.25">
      <c r="A39" s="687"/>
      <c r="B39" s="2505" t="str">
        <f>IF(AND(Equipment&lt;&gt;"Piping",Equipment&lt;&gt;"Pump"),"",IF(Pipe_Vulnerable="","No Input for Pipe Vulnerable to Damage - Potential Credit for Guarding or Elevation",IF(ISERROR(MATCH(Pipe_Vulnerable,YN_List,0)),"Pipe Vulnerable to Damage Input Error","")))</f>
        <v/>
      </c>
      <c r="C39" s="19" t="str">
        <f>IF(B39="","",IF(Pipe_Vulnerable="","Comment","Warning"))</f>
        <v/>
      </c>
      <c r="D39" s="345"/>
      <c r="E39" s="887" t="s">
        <v>3955</v>
      </c>
    </row>
    <row r="40" spans="1:5" x14ac:dyDescent="0.25">
      <c r="A40" s="687"/>
      <c r="B40" s="2505" t="str">
        <f>IF(Equipment="Bag/Pak Dumping (Solids)","",IF(Screwed_Connect="","No Input for Screwed Piping - None is Assumed",IF(ISERROR(MATCH(Screwed_Connect,Screwed_List,0)),"Screwed Connetion Input Error","")))</f>
        <v>No Input for Screwed Piping - None is Assumed</v>
      </c>
      <c r="C40" s="19" t="str">
        <f>IF(B40="","",IF(Screwed_Connect="","Comment","Warning"))</f>
        <v>Comment</v>
      </c>
      <c r="D40" s="345"/>
      <c r="E40" s="887" t="s">
        <v>3956</v>
      </c>
    </row>
    <row r="41" spans="1:5" x14ac:dyDescent="0.25">
      <c r="A41" s="687"/>
      <c r="B41" s="2505" t="str">
        <f>IF(Equipment="Bag/Pak Dumping (Solids)","",IF(Sight_Glass="","No Input for Sight Glass - No Sight Glass is Assumed",IF(ISERROR(MATCH(Sight_Glass,YN_List,0)),"Screwed Connetion Input Error","")))</f>
        <v>No Input for Sight Glass - No Sight Glass is Assumed</v>
      </c>
      <c r="C41" s="19" t="str">
        <f>IF(B41="","",IF(Sight_Glass="","Comment","Warning"))</f>
        <v>Comment</v>
      </c>
      <c r="D41" s="345"/>
      <c r="E41" s="887" t="s">
        <v>3957</v>
      </c>
    </row>
    <row r="42" spans="1:5" hidden="1" x14ac:dyDescent="0.25">
      <c r="A42" s="687"/>
      <c r="B42" s="2505" t="str">
        <f>IF(AND(Connection_Type="",OR(Equipment="Tank Truck/Rail Car/Tote",Equipment="Drum/IBC Handling")),"No Input for Equipment Connection - Hose or Loading Arm Failure Scenarios are Excluded",IF(AND(Connection_Type&lt;&gt;"",ISERROR(MATCH(Connection_Type,Connection_List,0))),"Equipment Connection Input Error",""))</f>
        <v/>
      </c>
      <c r="C42" s="19" t="str">
        <f>IF(B42="","","Warning")</f>
        <v/>
      </c>
      <c r="D42" s="345"/>
      <c r="E42" s="887" t="s">
        <v>3958</v>
      </c>
    </row>
    <row r="43" spans="1:5" x14ac:dyDescent="0.25">
      <c r="A43" s="687"/>
      <c r="B43" s="2505" t="str">
        <f>IF(Bus_Loss="","No Replacement Cost including Business Loss Entered, $50M to $500M will be assumed",IF(AND(Bus_Loss&lt;&gt;"",ISERROR(MATCH(Bus_Loss,Cost_List,0))),"Replace Cost including Business Loss Input Error",""))</f>
        <v>No Replacement Cost including Business Loss Entered, $50M to $500M will be assumed</v>
      </c>
      <c r="C43" s="19" t="str">
        <f>IF(B43="","",IF(Bus_Loss="","Comment","Warning"))</f>
        <v>Comment</v>
      </c>
      <c r="D43" s="345"/>
      <c r="E43" s="887" t="s">
        <v>3959</v>
      </c>
    </row>
    <row r="44" spans="1:5" x14ac:dyDescent="0.25">
      <c r="A44" s="687"/>
      <c r="B44" s="2505" t="str">
        <f>IF(AND(NOT(ISNUMBER(Sur_Area_Input)),OR(Equipment="Adsorber/Scrubber",Equipment="Distillation",Equipment="Extraction",Equipment="Heat Exchanger",Equipment="Stirred Reactor/Crystallizer",Equipment="Tank Truck/Rail Car/Tote",Equipment="Vessel/Tank")),"No Input for Equipment Surface - 5 times Volume^2/3 is Assumed",IF(AND(ISNUMBER(Sur_Area_Input),ISERROR(MATCH(Sur_Area_Units,Area_List,0))),"Units for Equipment Sufrace Area Input Error",""))</f>
        <v/>
      </c>
      <c r="C44" s="19" t="str">
        <f>IF(B44="","",IF(Sur_Area_Input="","Warning","Critical"))</f>
        <v/>
      </c>
      <c r="D44" s="345"/>
      <c r="E44" s="887" t="s">
        <v>3960</v>
      </c>
    </row>
    <row r="45" spans="1:5" x14ac:dyDescent="0.25">
      <c r="A45" s="687"/>
      <c r="B45" s="2505" t="str">
        <f>IF(AND(Insulation="",OR(Equipment="Adsorber/Scrubber",Equipment="Distillation",Equipment="Extraction",Equipment="Heat Exchanger",Equipment="Pump",Equipment="Stirred Reactor/Crystallizer",Equipment="Tank Truck/Rail Car/Tote",Equipment="Vessel/Tank")),"No Input for Insullation - No Insulation is Assumed",IF(AND(Insulation&lt;&gt;"",ISERROR(MATCH(Insulation,Insul_List,0))),"Descriptions for Equipment Insulation Input Error",""))</f>
        <v/>
      </c>
      <c r="C45" s="19" t="str">
        <f>IF(B45="","","Warning")</f>
        <v/>
      </c>
      <c r="D45" s="345"/>
      <c r="E45" s="887" t="s">
        <v>3961</v>
      </c>
    </row>
    <row r="46" spans="1:5" hidden="1" x14ac:dyDescent="0.25">
      <c r="A46" s="687"/>
      <c r="B46" s="2505" t="str">
        <f>IF(AND(NOT(ISNUMBER(HT_Area_Input)),OR(Equipment="Heat Exchanger",Equipment="Stirred Reactor/Crystallizer")),"No Input for Heat Transfer Area - No Heat Transfer is Assumed",IF(AND(ISNUMBER(HT_Area_Input),ISERROR(MATCH(HT_Area_Units,Area_List,0))),"Units for Heat Transfer Area Input Error",""))</f>
        <v/>
      </c>
      <c r="C46" s="19" t="str">
        <f>IF(B46="","","Warning")</f>
        <v/>
      </c>
      <c r="D46" s="345"/>
      <c r="E46" s="887" t="s">
        <v>3962</v>
      </c>
    </row>
    <row r="47" spans="1:5" hidden="1" x14ac:dyDescent="0.25">
      <c r="A47" s="687"/>
      <c r="B47" s="2505" t="str">
        <f>IF(AND(NOT(ISNUMBER(U_Input)),ISNUMBER(HT_Area_Input)),"No Input for Heat Transfer Coefficient - No Heat Transfer is Assumed",IF(AND(ISNUMBER(U_Input),ISERROR(MATCH(U_Units,U_List,0))),"Units for Heat Transfer Coefficient Input Error",""))</f>
        <v/>
      </c>
      <c r="C47" s="19" t="str">
        <f>IF(B47="","","Warning")</f>
        <v/>
      </c>
      <c r="D47" s="345"/>
      <c r="E47" s="887" t="s">
        <v>3963</v>
      </c>
    </row>
    <row r="48" spans="1:5" hidden="1" x14ac:dyDescent="0.25">
      <c r="A48" s="687"/>
      <c r="B48" s="2505" t="str">
        <f>IF(AND(NOT(ISNUMBER(Heating_T_Input)),OR(Equipment="Heat Exchanger",ISNUMBER(HT_Area_Input))),"No Input for Heating Media Temperature - Heat Transfer Calculations will be in Error",IF(AND(ISNUMBER(Heating_T_Input),ISERROR(MATCH(Heating_T_Units,T_List,0))),"Units for Heating Media Temperature Input Error",""))</f>
        <v/>
      </c>
      <c r="C48" s="19" t="str">
        <f>IF(B48="","","Warning")</f>
        <v/>
      </c>
      <c r="D48" s="345"/>
      <c r="E48" s="887" t="s">
        <v>3964</v>
      </c>
    </row>
    <row r="49" spans="1:5" hidden="1" x14ac:dyDescent="0.25">
      <c r="A49" s="687"/>
      <c r="B49" s="2505" t="str">
        <f>IF(AND(NOT(ISNUMBER(Motor_Input)),OR(Equipment="Pump",Equipment="Compressor/Blower/Turbine",Equipment="Milling/Grinding",Equipment="Stirred Reactor/Crystallizer")),"No Input for Mechanical Energy (Power) - No Mechanical Heat Input is Assumed",IF(AND(ISNUMBER(Motor_Input),ISERROR(MATCH(Motor_Units,Motor_List,0))),"Units for Motor Power Input Error",""))</f>
        <v/>
      </c>
      <c r="C49" s="19" t="str">
        <f>IF(B49="","",IF(Motor_Input="","Warning","Critical"))</f>
        <v/>
      </c>
      <c r="D49" s="345"/>
      <c r="E49" s="887" t="s">
        <v>3965</v>
      </c>
    </row>
    <row r="50" spans="1:5" hidden="1" x14ac:dyDescent="0.25">
      <c r="A50" s="687"/>
      <c r="B50" s="2505" t="str">
        <f>IF(Equipment&lt;&gt;"Pump","",IF(Pump_Valves="","No Input for Automated Pump Suction or Discharge Valve - none assumed",IF(ISERROR(MATCH(Pump_Valves,Auto_Valve_List,0)),"Automated Pump Suction or Discharge Valve Input Error","")))</f>
        <v/>
      </c>
      <c r="C50" s="19" t="str">
        <f>IF(B50="","",IF(Remote_Start="","Comment","Warning"))</f>
        <v/>
      </c>
      <c r="D50" s="345"/>
      <c r="E50" s="887" t="s">
        <v>3966</v>
      </c>
    </row>
    <row r="51" spans="1:5" hidden="1" x14ac:dyDescent="0.25">
      <c r="A51" s="687"/>
      <c r="B51" s="2505" t="str">
        <f>IF(Equipment&lt;&gt;"Pump","",IF(Remote_Start="","No Input for Remote Start Pump - Potential for Remote Start Credit",IF(ISERROR(MATCH(Remote_Start,YN_List,0)),"Screwed Connetion Input Error","")))</f>
        <v/>
      </c>
      <c r="C51" s="19" t="str">
        <f>IF(B51="","",IF(Remote_Start="","Comment","Warning"))</f>
        <v/>
      </c>
      <c r="D51" s="345"/>
      <c r="E51" s="887" t="s">
        <v>3967</v>
      </c>
    </row>
    <row r="52" spans="1:5" hidden="1" x14ac:dyDescent="0.25">
      <c r="A52" s="687"/>
      <c r="B52" s="2505" t="str">
        <f>IF(AND(Seal_Type="",Equipment="Pump"),"No Input for Pump Seal Type - Single Mechanical Seal is Assumed",IF(AND(Seal_Type&lt;&gt;"",ISERROR(MATCH(Seal_Type,Seal_List,0))),"Description for Pump Seal Type Input Error",""))</f>
        <v/>
      </c>
      <c r="C52" s="19" t="str">
        <f>IF(B52="","","Warning")</f>
        <v/>
      </c>
      <c r="D52" s="345"/>
      <c r="E52" s="887" t="s">
        <v>3968</v>
      </c>
    </row>
    <row r="53" spans="1:5" hidden="1" x14ac:dyDescent="0.25">
      <c r="A53" s="687"/>
      <c r="B53" s="222"/>
      <c r="C53" s="19"/>
      <c r="D53" s="345"/>
    </row>
    <row r="54" spans="1:5" x14ac:dyDescent="0.25">
      <c r="A54" s="687"/>
      <c r="B54" s="162" t="s">
        <v>1110</v>
      </c>
      <c r="C54" s="161"/>
      <c r="D54" s="345"/>
    </row>
    <row r="55" spans="1:5" x14ac:dyDescent="0.25">
      <c r="A55" s="687"/>
      <c r="B55" s="2580" t="str">
        <f>IF(OR(Zone1_Input="",Offsite_PD1=""),"Missing Inputs for Offsite Population Density and Distance.  Default of 0.0015 people/sq m will be Used","")</f>
        <v>Missing Inputs for Offsite Population Density and Distance.  Default of 0.0015 people/sq m will be Used</v>
      </c>
      <c r="C55" s="19" t="str">
        <f>IF(B55="","","Warning")</f>
        <v>Warning</v>
      </c>
      <c r="D55" s="345"/>
    </row>
    <row r="56" spans="1:5" hidden="1" x14ac:dyDescent="0.25">
      <c r="A56" s="687"/>
      <c r="B56" s="2505" t="str">
        <f>IF(ISERROR(MATCH(Location,Location_List,0)),"Equipment Location Not Entered or Description Input Error- Outdoor is assumed","")</f>
        <v>Equipment Location Not Entered or Description Input Error- Outdoor is assumed</v>
      </c>
      <c r="C56" s="19" t="str">
        <f>IF(B56="","","Warning")</f>
        <v>Warning</v>
      </c>
      <c r="D56" s="345"/>
      <c r="E56" s="887" t="s">
        <v>1686</v>
      </c>
    </row>
    <row r="57" spans="1:5" x14ac:dyDescent="0.25">
      <c r="A57" s="687"/>
      <c r="B57" s="2505" t="str">
        <f>IF(Attended="","No Input for Personnel Routinely in Immediate Area - Assumed as None",IF(ISERROR(MATCH(Attended,YN_List,0)),"Personnel Routinely in Immediate Area Input Error",""))</f>
        <v>No Input for Personnel Routinely in Immediate Area - Assumed as None</v>
      </c>
      <c r="C57" s="19" t="str">
        <f>IF(B57="","","Warning")</f>
        <v>Warning</v>
      </c>
      <c r="D57" s="345"/>
      <c r="E57" s="887" t="s">
        <v>3838</v>
      </c>
    </row>
    <row r="58" spans="1:5" x14ac:dyDescent="0.25">
      <c r="A58" s="687"/>
      <c r="B58" s="2505" t="str">
        <f>IF(Egress="","No Input for Effective Egress from Process Area - Potential Evasive Action Credit",IF(ISERROR(MATCH(Egress,YN_List,0)),"Effective Egress from Process Area Input Error",""))</f>
        <v>No Input for Effective Egress from Process Area - Potential Evasive Action Credit</v>
      </c>
      <c r="C58" s="19" t="str">
        <f>IF(B58="","",IF(Egress="","Comment","Warning"))</f>
        <v>Comment</v>
      </c>
      <c r="D58" s="345"/>
      <c r="E58" s="887" t="s">
        <v>3839</v>
      </c>
    </row>
    <row r="59" spans="1:5" ht="12.75" customHeight="1" x14ac:dyDescent="0.25">
      <c r="A59" s="687"/>
      <c r="B59" s="2505" t="str">
        <f>IF(FiredEq_ProcessArea="","No Input for Distance to Fired Equipment - No Fired Equipment Assumed",IF(ISERROR(MATCH(FiredEq_ProcessArea,FiredEq_List,0)),"Fired Equipment Distance Input Error",""))</f>
        <v>No Input for Distance to Fired Equipment - No Fired Equipment Assumed</v>
      </c>
      <c r="C59" s="19" t="str">
        <f>IF(B59="","",IF(FiredEq_ProcessArea="","Comment","Warning"))</f>
        <v>Comment</v>
      </c>
      <c r="D59" s="345"/>
      <c r="E59" s="887" t="s">
        <v>3840</v>
      </c>
    </row>
    <row r="60" spans="1:5" x14ac:dyDescent="0.25">
      <c r="A60" s="687"/>
      <c r="B60" s="2505" t="str">
        <f>IF(Access="","No Input for Access to Emergency Services - Adequate Access Assumed",IF(ISERROR(MATCH(Access,Access_List,0)),"Access to Emergency Services Input Error",""))</f>
        <v>No Input for Access to Emergency Services - Adequate Access Assumed</v>
      </c>
      <c r="C60" s="19" t="str">
        <f>IF(B60="","",IF(Access="","Comment","Warning"))</f>
        <v>Comment</v>
      </c>
      <c r="D60" s="345"/>
      <c r="E60" s="887" t="s">
        <v>3841</v>
      </c>
    </row>
    <row r="61" spans="1:5" x14ac:dyDescent="0.25">
      <c r="A61" s="687"/>
      <c r="B61" s="2505" t="str">
        <f>IF(Soil_Remediation="","No Input for Remediation of Spills to Soil - No Remediation Requirement Assumed",IF(ISERROR(MATCH(Soil_Remediation,YN_List,0)),"Spills to Soil Remediation Input Error",""))</f>
        <v>No Input for Remediation of Spills to Soil - No Remediation Requirement Assumed</v>
      </c>
      <c r="C61" s="19" t="str">
        <f>IF(B61="","",IF(Soil_Remediation="","Comment","Warning"))</f>
        <v>Comment</v>
      </c>
      <c r="D61" s="345"/>
      <c r="E61" s="887" t="s">
        <v>3842</v>
      </c>
    </row>
    <row r="62" spans="1:5" x14ac:dyDescent="0.25">
      <c r="A62" s="687"/>
      <c r="B62" s="2505" t="str">
        <f>IF(Waterway="","No Input for Waterway Contamination Potential - No Potential for Contamination Assumed",IF(ISERROR(MATCH(Waterway,YN_List,0)),"Potential Waterway Contamination Input Error",""))</f>
        <v>No Input for Waterway Contamination Potential - No Potential for Contamination Assumed</v>
      </c>
      <c r="C62" s="19" t="str">
        <f>IF(B62="","",IF(Waterway="","Comment","Warning"))</f>
        <v>Comment</v>
      </c>
      <c r="D62" s="345"/>
      <c r="E62" s="887" t="s">
        <v>3843</v>
      </c>
    </row>
    <row r="63" spans="1:5" x14ac:dyDescent="0.25">
      <c r="A63" s="687"/>
      <c r="B63" s="2505" t="str">
        <f>IF(NOT(ISNUMBER(Dike_Area_Input)),"No Input for Dike Area - No Dike or Bund Assumed",IF(AND(ISNUMBER(Dike_Area_Input),ISERROR(MATCH(Dike_Area_Units,Area_List,0))),"Units for Dike Area Input Error",""))</f>
        <v>No Input for Dike Area - No Dike or Bund Assumed</v>
      </c>
      <c r="C63" s="19" t="str">
        <f>IF(B63="","",IF(Dike_Area_Input="","Comment","Warning"))</f>
        <v>Comment</v>
      </c>
      <c r="D63" s="345"/>
      <c r="E63" s="887" t="s">
        <v>3844</v>
      </c>
    </row>
    <row r="64" spans="1:5" x14ac:dyDescent="0.25">
      <c r="A64" s="687"/>
      <c r="B64" s="2505" t="str">
        <f>IF(ISERR(State),"",IF(Fire_Potential&lt;&gt;"Yes","",IF(Drainage_Credit="","No Input for Drainage to Remote Area - No Remote Draining Assumed",IF(ISERROR(MATCH(Drainage_Credit,YN_List,0)),"Drainage to Remote Area Input Error",""))))</f>
        <v/>
      </c>
      <c r="C64" s="19" t="str">
        <f>IF(B64="","",IF(Drainage_Credit="","Comment","Warning"))</f>
        <v/>
      </c>
      <c r="D64" s="345"/>
      <c r="E64" s="887" t="s">
        <v>3845</v>
      </c>
    </row>
    <row r="65" spans="1:5" x14ac:dyDescent="0.25">
      <c r="A65" s="687"/>
      <c r="B65" s="2505" t="str">
        <f>IF(NOT(ISNUMBER(Flam_In_Area_Input)),"No Input for Quantity Other Flammables in Area - No Flammables in Area Assumed",IF(AND(ISNUMBER(Flam_In_Area_Input),ISERROR(MATCH(Flam_In_Area_Units,Mass_List,0))),"Units for Quantity of Other Flammables Input Error",""))</f>
        <v>No Input for Quantity Other Flammables in Area - No Flammables in Area Assumed</v>
      </c>
      <c r="C65" s="19" t="str">
        <f>IF(B65="","",IF(Flam_In_Area_Input="","Comment","Warning"))</f>
        <v>Comment</v>
      </c>
      <c r="D65" s="345"/>
      <c r="E65" s="887" t="s">
        <v>3846</v>
      </c>
    </row>
    <row r="66" spans="1:5" hidden="1" x14ac:dyDescent="0.25">
      <c r="A66" s="687"/>
      <c r="B66" s="2505" t="str">
        <f>IF(Location&lt;&gt;"Indoors","",IF(NOT(ISNUMBER(Enclosed_Process_Volume_Input)),"No Input for Enclosed Process Volume - Process Building Scenarios will be Excluded",IF(ISERROR(MATCH(Enclosed_Process_Volume_Units,Vol_List,0)),"Units for Enclosed Process Volume Input Error","")))</f>
        <v/>
      </c>
      <c r="C66" s="19" t="str">
        <f>IF(B66="","","Critical")</f>
        <v/>
      </c>
      <c r="D66" s="345"/>
      <c r="E66" s="887" t="s">
        <v>3847</v>
      </c>
    </row>
    <row r="67" spans="1:5" hidden="1" x14ac:dyDescent="0.25">
      <c r="A67" s="687"/>
      <c r="B67" s="2505" t="str">
        <f>IF(Location&lt;&gt;"Indoors","",IF(NOT(ISNUMBER(Enclosed_Ventilation_Rate)),"No Input for Enclosed Process Ventillation - 1 air change per hour is Assumed",""))</f>
        <v/>
      </c>
      <c r="C67" s="19" t="str">
        <f>IF(B67="","Comment","Warning")</f>
        <v>Comment</v>
      </c>
      <c r="D67" s="345"/>
      <c r="E67" s="887" t="s">
        <v>3848</v>
      </c>
    </row>
    <row r="68" spans="1:5" hidden="1" x14ac:dyDescent="0.25">
      <c r="A68" s="687"/>
      <c r="B68" t="str">
        <f>IF(NOT(ISNUMBER(Public_Input)),"No Input for Distance to Fence Line",IF(ISERROR(MATCH(Public_Units,Dist_List,0)),"Units for Distance to Fence Line Input Error",""))</f>
        <v>No Input for Distance to Fence Line</v>
      </c>
      <c r="C68" s="19" t="str">
        <f>IF(B68="","","Critical")</f>
        <v>Critical</v>
      </c>
      <c r="D68" s="345"/>
      <c r="E68" s="2396"/>
    </row>
    <row r="69" spans="1:5" hidden="1" x14ac:dyDescent="0.25">
      <c r="A69" s="687"/>
      <c r="B69" s="2505" t="str">
        <f>IF(AND(Location="Indoors",NOT(ISNUMBER(Op_Number))),"Number of Indoor Operations Personnel Not Entered - A Default of 2 Will be Used",IF(AND(Location="Indoors",OR(Op_Number&lt;1,Op_Number&gt;100)),"Max. Number of Operations Personnel Outside of Normal Range (1 to 100 people)",""))</f>
        <v/>
      </c>
      <c r="C69" s="19" t="str">
        <f>IF(B69="","",IF(Op_Number="","Warning","Critical"))</f>
        <v/>
      </c>
      <c r="D69" s="529"/>
      <c r="E69" s="887" t="s">
        <v>3849</v>
      </c>
    </row>
    <row r="70" spans="1:5" hidden="1" x14ac:dyDescent="0.25">
      <c r="A70" s="687"/>
      <c r="B70" s="2505" t="str">
        <f>IF(NOT(ISNUMBER(Occ_Bldg_Input)),"No Input for Distance to Occupied Building",IF(ISERROR(MATCH(Occ_Bldg_Units,Dist_List,0)),"Units for Distance to Occupied Building Input Error",""))</f>
        <v>No Input for Distance to Occupied Building</v>
      </c>
      <c r="C70" s="19" t="str">
        <f>IF(B70="","","Critical")</f>
        <v>Critical</v>
      </c>
      <c r="D70" s="345"/>
      <c r="E70" s="887" t="s">
        <v>3850</v>
      </c>
    </row>
    <row r="71" spans="1:5" x14ac:dyDescent="0.25">
      <c r="A71" s="687"/>
      <c r="B71" s="2505" t="str">
        <f>IF(Flash_Pt_Feed="","",IF(Bldg_Type="","No Input for Occupied Building Type - Type I Building is Assumed",IF(ISERROR(MATCH(Bldg_Type,BldgType_List,0)),"Description for Occupied Building Type Input Error","")))</f>
        <v/>
      </c>
      <c r="C71" s="19" t="str">
        <f>IF(B71="","",IF(Bldg_Type="","Comment","Warning"))</f>
        <v/>
      </c>
      <c r="D71" s="345"/>
      <c r="E71" s="887" t="s">
        <v>3851</v>
      </c>
    </row>
    <row r="72" spans="1:5" x14ac:dyDescent="0.25">
      <c r="A72" s="687"/>
      <c r="B72" s="2505" t="str">
        <f>IF(NOT(ISNUMBER(Ventilation_Rate)),"No Input for Occupied Building Ventilation - 3 air changes per hour is Assumed","")</f>
        <v>No Input for Occupied Building Ventilation - 3 air changes per hour is Assumed</v>
      </c>
      <c r="C72" s="19" t="str">
        <f>IF(B72="","","Comment")</f>
        <v>Comment</v>
      </c>
      <c r="D72" s="345"/>
      <c r="E72" s="887" t="s">
        <v>3852</v>
      </c>
    </row>
    <row r="73" spans="1:5" x14ac:dyDescent="0.25">
      <c r="A73" s="687"/>
      <c r="B73" s="2505" t="str">
        <f>IF(Ventilation_ShutOff="","No Input for Centrallized Ventilation Shut-Off - Potential Evasive Action Credit",IF(ISERROR(MATCH(Ventilation_ShutOff,YN_List,0)),"Centrallized Ventilation Shut-Off Input Error",""))</f>
        <v>No Input for Centrallized Ventilation Shut-Off - Potential Evasive Action Credit</v>
      </c>
      <c r="C73" s="19" t="str">
        <f>IF(B73="","",IF(Ventilation_ShutOff="","Comment","Warning"))</f>
        <v>Comment</v>
      </c>
      <c r="D73" s="345"/>
      <c r="E73" s="887" t="s">
        <v>3853</v>
      </c>
    </row>
    <row r="74" spans="1:5" x14ac:dyDescent="0.25">
      <c r="A74" s="687"/>
      <c r="B74" s="2505" t="str">
        <f>IF(NOT(ISNUMBER(Occ_Bldg_Cntr_Input)),"No Input for Distance to Center of Occupied Building",IF(AND(ISNUMBER(Occ_Bldg_Cntr_Input),ISERROR(MATCH(Occ_Bldg_Cntr_Units,Dist_List,0))),"Units for Distance to Center of Occupied Building Input Error",IF(AND(Occ_Bldg_Cntr&gt;0,Occ_Bldg_Cntr&lt;Occ_Bldg),"Distance to Center of Building Must be Greater than Distance to Building","")))</f>
        <v>No Input for Distance to Center of Occupied Building</v>
      </c>
      <c r="C74" s="19" t="str">
        <f>IF(B74="","",IF(B74="No Input for Distance to Center of Occupied Building","Comment","Critical"))</f>
        <v>Comment</v>
      </c>
      <c r="D74" s="345"/>
      <c r="E74" s="887" t="s">
        <v>3854</v>
      </c>
    </row>
    <row r="75" spans="1:5" x14ac:dyDescent="0.25">
      <c r="A75" s="687"/>
      <c r="B75" s="2505" t="str">
        <f>IF(NOT(ISNUMBER(Occ_Bldg2_Input)),"No Input for Distance to Occupied Building 2 - No Second Occupied Building Assumed",IF(ISERROR(MATCH(Occ_Bldg2_Units,Dist_List,0)),"Units for Distance to Occupied Building 2 Input Error",IF(AND(Occ_Bldg2_Cntr&gt;0,Occ_Bldg2_Cntr&lt;Occ_Bldg2),"Distance to Center of Building 2 Must be Greater than Distance to Building 2","")))</f>
        <v>No Input for Distance to Occupied Building 2 - No Second Occupied Building Assumed</v>
      </c>
      <c r="C75" s="19" t="str">
        <f>IF(B75="","",IF(B75="No Input for Distance to Occupied Building 2 - No Second Occupied Building Assumed","Comment","Critical"))</f>
        <v>Comment</v>
      </c>
      <c r="D75" s="345"/>
      <c r="E75" s="887" t="s">
        <v>3855</v>
      </c>
    </row>
    <row r="76" spans="1:5" hidden="1" x14ac:dyDescent="0.25">
      <c r="A76" s="687"/>
      <c r="B76" s="2505" t="str">
        <f>IF(NOT(ISNUMBER(Occupants_atRisk)),"Occupants at Risk Not Entered",IF(OR(Occupants_atRisk&lt;1,Occupants_atRisk&gt;1000),"Occupants Outside of Normal Range (1 to 1000 occupants)",""))</f>
        <v>Occupants at Risk Not Entered</v>
      </c>
      <c r="C76" s="19" t="str">
        <f>IF(B76="","",IF(NOT(ISNUMBER(Occupants_atRisk)),"Critical","Warning"))</f>
        <v>Critical</v>
      </c>
      <c r="D76" s="529"/>
      <c r="E76" s="887" t="s">
        <v>3856</v>
      </c>
    </row>
    <row r="77" spans="1:5" hidden="1" x14ac:dyDescent="0.25">
      <c r="A77" s="687"/>
      <c r="B77" s="222"/>
      <c r="C77" s="19"/>
      <c r="D77" s="529"/>
    </row>
    <row r="78" spans="1:5" x14ac:dyDescent="0.25">
      <c r="A78" s="687"/>
      <c r="B78" s="162" t="s">
        <v>994</v>
      </c>
      <c r="C78" s="161"/>
      <c r="D78" s="345"/>
    </row>
    <row r="79" spans="1:5" x14ac:dyDescent="0.25">
      <c r="A79" s="687"/>
      <c r="B79" s="2505" t="str">
        <f>IF(ISERR(State),"",IF(OR(NOT(ISNUMBER(Inventory_Input)),ISERROR(MATCH(Inventory_Units,Mass_List,0)),Inventory_Input&lt;0.1),"No Input for Inventory or Units for Inventory Input Error",IF(Inventory&lt;Max_ContainedMass,"There is not enough Inventory for Overfill","")))</f>
        <v>No Input for Inventory or Units for Inventory Input Error</v>
      </c>
      <c r="C79" s="19" t="str">
        <f>IF(B79="","",IF(AND(Inventory_Input&lt;&gt;"",ISERROR(MATCH(Inventory_Units,Inventory_List,0))),"Critical","Warning"))</f>
        <v>Warning</v>
      </c>
      <c r="D79" s="345"/>
      <c r="E79" s="887" t="s">
        <v>3857</v>
      </c>
    </row>
    <row r="80" spans="1:5" hidden="1" x14ac:dyDescent="0.25">
      <c r="A80" s="687"/>
      <c r="B80" s="2505" t="str">
        <f>IF(ISERR(State),"",IF(AND(State="Liquid",P&lt;0.5,NOT(ISNUMBER(Dh_Input))),"No Input for Liquid Head with Low Operating Pressure - Liquid Leak Rate may be Underestimated",IF(ISERROR(MATCH(Dh_Units,Dist_List,0)),"Units for Liquid Head Input Error","")))</f>
        <v>No Input for Liquid Head with Low Operating Pressure - Liquid Leak Rate may be Underestimated</v>
      </c>
      <c r="C80" s="19" t="str">
        <f>IF(B80="","",IF(AND(State="Liquid",P&lt;0.5,Equipgroup_A="Yes",Dh_Input=""),"Critical",IF(AND(State="Liquid",Equipgroup_A="Yes",Dh_Input=""),"Warning","Comment")))</f>
        <v>Comment</v>
      </c>
      <c r="D80" s="345"/>
      <c r="E80" s="887" t="s">
        <v>3858</v>
      </c>
    </row>
    <row r="81" spans="1:5" x14ac:dyDescent="0.25">
      <c r="A81" s="687"/>
      <c r="B81" s="2505" t="str">
        <f>IF(NOT(ISNUMBER(Max_Feed_P_Input)),"No Input for Maximum Feed Pressure - No Overpressure from Feed Assumed",IF(AND(ISNUMBER(Max_Feed_P_Input),Max_Feed_P_Input&lt;&gt;0,ISERROR(MATCH(Max_Feed_P_Units,Press_List,0))),"Units for Maximum Feed Pressure Input Error",""))</f>
        <v>No Input for Maximum Feed Pressure - No Overpressure from Feed Assumed</v>
      </c>
      <c r="C81" s="19" t="str">
        <f>IF(B81="","","Warning")</f>
        <v>Warning</v>
      </c>
      <c r="D81" s="345"/>
      <c r="E81" s="887" t="s">
        <v>3859</v>
      </c>
    </row>
    <row r="82" spans="1:5" hidden="1" x14ac:dyDescent="0.25">
      <c r="A82" s="687"/>
      <c r="B82" s="2505" t="str">
        <f>IF(NOT(ISNUMBER(Feedrate_Input)),"No Input for Maximum Feed Rate - Overfill Scenarios are Excluded",IF(AND(ISNUMBER(Max_Feed_P_Input),Max_Feed_P_Input&lt;&gt;0,ISERROR(MATCH(Feedrate_Units,Rate_List,0))),"Units for Maximum Feed Rate Input Error",""))</f>
        <v>No Input for Maximum Feed Rate - Overfill Scenarios are Excluded</v>
      </c>
      <c r="C82" s="19" t="str">
        <f>IF(B82="","","Critical")</f>
        <v>Critical</v>
      </c>
      <c r="D82" s="345"/>
      <c r="E82" s="887" t="s">
        <v>3860</v>
      </c>
    </row>
    <row r="83" spans="1:5" x14ac:dyDescent="0.25">
      <c r="A83" s="687"/>
      <c r="B83" s="2505" t="str">
        <f>IF(Feed_Type="","No Input for Type of Feed - Batch Operation with Varying Fill Level is Assumed",IF(AND(Feed_Type&lt;&gt;"",ISERROR(MATCH(Feed_Type,Feed_List,0))),"Description of Feed Type Input Error",""))</f>
        <v>No Input for Type of Feed - Batch Operation with Varying Fill Level is Assumed</v>
      </c>
      <c r="C83" s="19" t="str">
        <f>IF(B83="","","Comment")</f>
        <v>Comment</v>
      </c>
      <c r="D83" s="345"/>
      <c r="E83" s="887" t="s">
        <v>3861</v>
      </c>
    </row>
    <row r="84" spans="1:5" x14ac:dyDescent="0.25">
      <c r="A84" s="687"/>
      <c r="B84" s="2505" t="str">
        <f>IF(OR(ISERR(State),Flash_Pt_Feed=""),"",IF(AND(Inert_Atm="",OR(Flash_Pt_Feed&lt;&gt;"",AND(State="Liquid",OR(Flash_Pt_Feed&lt;93,T&gt;(Flash_Pt_Feed-5))))),"No Input for Inerting of Equipment - Assumed that Inert Atmosphere is Maintained",IF(AND(Inert_Atm&lt;&gt;"",ISERROR(MATCH(Inert_Atm,YN_List,0))),"Description of Inert Atmosphere Input Error","")))</f>
        <v/>
      </c>
      <c r="C84" s="19" t="str">
        <f>IF(B84="","","Warning")</f>
        <v/>
      </c>
      <c r="D84" s="345"/>
      <c r="E84" s="887" t="s">
        <v>3862</v>
      </c>
    </row>
    <row r="85" spans="1:5" x14ac:dyDescent="0.25">
      <c r="A85" s="687"/>
      <c r="B85" s="2505" t="str">
        <f>IF(NOT(ISNUMBER(Downstr_P_Input)),"No Input for Downstream Equipment Pressure - No Overpressure from Downstream Equipment Assumed",IF(AND(ISNUMBER(Downstr_P_Input),Downstr_P_Input&lt;&gt;0,ISERROR(MATCH(Downstr_P_Units,Press_List,0))),"Units for Maximum Inert Pressure Input Error",""))</f>
        <v>No Input for Downstream Equipment Pressure - No Overpressure from Downstream Equipment Assumed</v>
      </c>
      <c r="C85" s="19" t="str">
        <f>IF(B85="","",IF(Downstr_P_Input="","Comment","Warning"))</f>
        <v>Comment</v>
      </c>
      <c r="D85" s="345"/>
      <c r="E85" s="887" t="s">
        <v>3863</v>
      </c>
    </row>
    <row r="86" spans="1:5" x14ac:dyDescent="0.25">
      <c r="A86" s="687"/>
      <c r="B86" s="2505" t="str">
        <f>IF(NOT(ISNUMBER(Max_Inert_P_Input)),"No Input for Maximum Inert Pressure - No Overpressure from Inerts Assumed",IF(AND(ISNUMBER(Max_Inert_P_Input),Max_Inert_P_Input&lt;&gt;0,ISERROR(MATCH(Max_Inert_P_Units,Press_List,0))),"Units for Maximum Inert Pressure Input Error",""))</f>
        <v>No Input for Maximum Inert Pressure - No Overpressure from Inerts Assumed</v>
      </c>
      <c r="C86" s="19" t="str">
        <f>IF(B86="","",IF(Max_Inert_P_Input="","Comment","Warning"))</f>
        <v>Comment</v>
      </c>
      <c r="D86" s="345"/>
      <c r="E86" s="887" t="s">
        <v>3864</v>
      </c>
    </row>
    <row r="87" spans="1:5" x14ac:dyDescent="0.25">
      <c r="A87" s="687"/>
      <c r="B87" s="2505" t="str">
        <f>IF(NOT(ISNUMBER(Inert_FeedRate_Input)),"No Input for Maximum Inert Rate - Inert Feed Scenarios are Excluded",IF(AND(ISNUMBER(Max_Inert_P_Input),ISERROR(MATCH(Inert_FeedRate_Units,Rate_List,0))),"Units for Maximum Feed Rate Input Error",""))</f>
        <v>No Input for Maximum Inert Rate - Inert Feed Scenarios are Excluded</v>
      </c>
      <c r="C87" s="19" t="str">
        <f>IF(B87="","",IF(Inert_FeedRate_Input="","Comment","Warning"))</f>
        <v>Comment</v>
      </c>
      <c r="D87" s="345"/>
      <c r="E87" s="887" t="s">
        <v>3865</v>
      </c>
    </row>
    <row r="88" spans="1:5" x14ac:dyDescent="0.25">
      <c r="A88" s="687"/>
      <c r="B88" s="2505" t="str">
        <f>IF(Overflow_Location="","No Input for Equipment Vent to.. - Release to Atmosphere thru Vent System is Assumed",IF(AND(Overflow_Location&lt;&gt;"",ISERROR(MATCH(Overflow_Location,Vent_List,0))),"Description for Equipment Vents to.. Input Error",""))</f>
        <v>No Input for Equipment Vent to.. - Release to Atmosphere thru Vent System is Assumed</v>
      </c>
      <c r="C88" s="19" t="str">
        <f>IF(B88="","",IF(Overflow_Location="","Comment","Warning"))</f>
        <v>Comment</v>
      </c>
      <c r="D88" s="345"/>
      <c r="E88" s="887" t="s">
        <v>3866</v>
      </c>
    </row>
    <row r="89" spans="1:5" x14ac:dyDescent="0.25">
      <c r="A89" s="687"/>
      <c r="B89" s="2505" t="str">
        <f>IF(Vibration="","No Input for Potential for Vibration Fatigue - Non Assumed",IF(ISERROR(MATCH(Vibration,YN_List,0)),"Potential for Vibration Fatigue Input Error",""))</f>
        <v>No Input for Potential for Vibration Fatigue - Non Assumed</v>
      </c>
      <c r="C89" s="19" t="str">
        <f>IF(B89="","",IF(Vibration="","Comment","Warning"))</f>
        <v>Comment</v>
      </c>
      <c r="D89" s="345"/>
      <c r="E89" s="887" t="s">
        <v>3867</v>
      </c>
    </row>
    <row r="90" spans="1:5" hidden="1" x14ac:dyDescent="0.25">
      <c r="A90" s="687"/>
      <c r="B90" s="2505" t="str">
        <f>IF(AND(Rupture_10min="Yes",Rupture_Time=""),"Time-based Release for Equipment Rupture Selected but No Release Duration Entered","")</f>
        <v/>
      </c>
      <c r="C90" s="19" t="str">
        <f>IF(B90="","","Warning")</f>
        <v/>
      </c>
      <c r="D90" s="345"/>
      <c r="E90" s="887" t="s">
        <v>3868</v>
      </c>
    </row>
    <row r="91" spans="1:5" hidden="1" x14ac:dyDescent="0.25">
      <c r="A91" s="687"/>
      <c r="D91" s="345"/>
    </row>
    <row r="92" spans="1:5" x14ac:dyDescent="0.25">
      <c r="A92" s="687"/>
      <c r="B92" s="162" t="s">
        <v>1538</v>
      </c>
      <c r="C92" s="161"/>
      <c r="D92" s="345"/>
    </row>
    <row r="93" spans="1:5" x14ac:dyDescent="0.25">
      <c r="A93" s="687"/>
      <c r="B93" s="2505" t="str">
        <f>IF(Operating_Time="","No Input for Percent Time in Operation - Greater than 10% Time in Operation Assumed",IF(ISERROR(MATCH(Operating_Time,OpTime_List,0)),"Percent Time in Operation Input Error",""))</f>
        <v>No Input for Percent Time in Operation - Greater than 10% Time in Operation Assumed</v>
      </c>
      <c r="C93" s="19" t="str">
        <f>IF(B93="","",IF(Operating_Time="","Comment","Warning"))</f>
        <v>Comment</v>
      </c>
      <c r="D93" s="345"/>
      <c r="E93" s="887" t="s">
        <v>3869</v>
      </c>
    </row>
    <row r="94" spans="1:5" x14ac:dyDescent="0.25">
      <c r="A94" s="687"/>
      <c r="B94" s="2505" t="str">
        <f>IF(Frequent_Turnaround="","No Input for Frequent Turnaround or Cleanout - Infrequent Turnaround Assumed",IF(ISERROR(MATCH(Frequent_Turnaround,YN_List,0)),"Frequent Turnaround or Cleanout Input Error",""))</f>
        <v>No Input for Frequent Turnaround or Cleanout - Infrequent Turnaround Assumed</v>
      </c>
      <c r="C94" s="19" t="str">
        <f>IF(B94="","",IF(Frequent_Turnaround="","Comment","Warning"))</f>
        <v>Comment</v>
      </c>
      <c r="D94" s="345"/>
      <c r="E94" s="887" t="s">
        <v>3870</v>
      </c>
    </row>
    <row r="95" spans="1:5" hidden="1" x14ac:dyDescent="0.25">
      <c r="A95" s="687"/>
      <c r="B95" s="222"/>
      <c r="C95" s="19"/>
      <c r="D95" s="345"/>
    </row>
    <row r="96" spans="1:5" x14ac:dyDescent="0.25">
      <c r="A96" s="687"/>
      <c r="B96" s="162" t="s">
        <v>1903</v>
      </c>
      <c r="C96" s="161"/>
      <c r="D96" s="345"/>
    </row>
    <row r="97" spans="1:5" hidden="1" x14ac:dyDescent="0.25">
      <c r="A97" s="687"/>
      <c r="B97" s="2505" t="str">
        <f>IF(NOT(ISNUMBER(T_Input)),"No Input for Operating Temperature",IF(ISERROR(MATCH(T_Units,T_List,0)),"Units for Operating Temperature Input Error",""))</f>
        <v>No Input for Operating Temperature</v>
      </c>
      <c r="C97" s="19" t="str">
        <f>IF(B97="","","Critical")</f>
        <v>Critical</v>
      </c>
      <c r="D97" s="529"/>
      <c r="E97" s="887" t="s">
        <v>3871</v>
      </c>
    </row>
    <row r="98" spans="1:5" hidden="1" x14ac:dyDescent="0.25">
      <c r="A98" s="687"/>
      <c r="B98" s="2505" t="str">
        <f>IF(NOT(ISNUMBER(T_Input)),"",IF(OR(T&lt;-270,T&gt;1000),"Operating Temperature Outside of Normal Range (-270 to 1000 C)",""))</f>
        <v/>
      </c>
      <c r="C98" s="19" t="str">
        <f>IF(B98="","","Warning")</f>
        <v/>
      </c>
      <c r="D98" s="529"/>
      <c r="E98" s="887" t="s">
        <v>3871</v>
      </c>
    </row>
    <row r="99" spans="1:5" hidden="1" x14ac:dyDescent="0.25">
      <c r="A99" s="687"/>
      <c r="B99" s="2505" t="str">
        <f>IF(NOT(ISNUMBER(P_Input)),"No Input for Operating Pressure",IF(ISERROR(MATCH(P_Units,Press_List,0)),"Units for Operating Pressure Input Error",""))</f>
        <v>No Input for Operating Pressure</v>
      </c>
      <c r="C99" s="19" t="str">
        <f>IF(B99="","","Critical")</f>
        <v>Critical</v>
      </c>
      <c r="D99" s="529"/>
      <c r="E99" s="887" t="s">
        <v>3872</v>
      </c>
    </row>
    <row r="100" spans="1:5" ht="13.75" hidden="1" customHeight="1" x14ac:dyDescent="0.25">
      <c r="A100" s="687"/>
      <c r="B100" s="2505" t="str">
        <f>IF(NOT(ISNUMBER(P_Input)),"",IF(OR(P&lt;-1,P&gt;100),"Operating Pressure Outside of Normal Range (-1 to 100 atm)",""))</f>
        <v/>
      </c>
      <c r="C100" s="19" t="str">
        <f>IF(B100="","","Warning")</f>
        <v/>
      </c>
      <c r="D100" s="529"/>
      <c r="E100" s="887" t="s">
        <v>3872</v>
      </c>
    </row>
    <row r="101" spans="1:5" ht="13.75" hidden="1" customHeight="1" x14ac:dyDescent="0.25">
      <c r="A101" s="345"/>
      <c r="B101" s="2505" t="str">
        <f ca="1">IF(ISERROR(MATCH(Chemical,Chem_Name,0)),"Key Chemical Name Not Entered or Does Not Match Chemical List","")</f>
        <v>Key Chemical Name Not Entered or Does Not Match Chemical List</v>
      </c>
      <c r="C101" s="19" t="str">
        <f ca="1">IF(B101="","","Critical")</f>
        <v>Critical</v>
      </c>
      <c r="D101" s="345"/>
      <c r="E101" s="887" t="s">
        <v>849</v>
      </c>
    </row>
    <row r="102" spans="1:5" ht="13.75" hidden="1" customHeight="1" x14ac:dyDescent="0.25">
      <c r="A102" s="345"/>
      <c r="B102" s="2505" t="str">
        <f>IF(ISERR(State),"Insufficient Chemical Property Data to Determine Physical State","")</f>
        <v/>
      </c>
      <c r="C102" s="19" t="str">
        <f>IF(B102="","","Critical")</f>
        <v/>
      </c>
      <c r="D102" s="345"/>
      <c r="E102" s="887" t="s">
        <v>303</v>
      </c>
    </row>
    <row r="103" spans="1:5" ht="13.75" hidden="1" customHeight="1" x14ac:dyDescent="0.25">
      <c r="A103" s="687"/>
      <c r="B103" s="2505" t="str">
        <f>IF(Chemical="","Missing Key Chemical Name",IF(VLOOKUP(Chemical,Chem_Table,COLUMN(Frac_Key_C),FALSE)&lt;1,"",IF(OR(NOT(ISNUMBER(Fract_Key_Chemical)),Fract_Key_Chemical&lt;0.001,Fract_Key_Chemical&gt;1),"Weight Fraction Key Chemical Not Entered or Outside of Normal Range (0.001 to 1)","")))</f>
        <v>Missing Key Chemical Name</v>
      </c>
      <c r="C103" s="19" t="str">
        <f>IF(B103="","","Critical")</f>
        <v>Critical</v>
      </c>
      <c r="D103" s="529"/>
      <c r="E103" s="887" t="s">
        <v>849</v>
      </c>
    </row>
    <row r="104" spans="1:5" hidden="1" x14ac:dyDescent="0.25">
      <c r="A104" s="687"/>
      <c r="B104" s="2505" t="str">
        <f>IF(OR(NOT(ISNUMBER(Mw_Mix)),Mw_Mix&lt;1,Mw_Mix&gt;10000),"Molecular Weight for Key Chemical Not Entered or Outside of Normal Range (1 to 10000)","")</f>
        <v>Molecular Weight for Key Chemical Not Entered or Outside of Normal Range (1 to 10000)</v>
      </c>
      <c r="C104" s="19" t="str">
        <f>IF(B104="","","Critical")</f>
        <v>Critical</v>
      </c>
      <c r="D104" s="529"/>
      <c r="E104" s="887" t="s">
        <v>3873</v>
      </c>
    </row>
    <row r="105" spans="1:5" hidden="1" x14ac:dyDescent="0.25">
      <c r="A105" s="687"/>
      <c r="B105" s="2505" t="str">
        <f>IF(NOT(ISNUMBER(TM_Feed)),"Melting Pt for Key Chemical Not Entered - Value Must be Entered if Material is a Solid","")</f>
        <v>Melting Pt for Key Chemical Not Entered - Value Must be Entered if Material is a Solid</v>
      </c>
      <c r="C105" s="19" t="str">
        <f>IF(B105="","","Warning")</f>
        <v>Warning</v>
      </c>
      <c r="D105" s="529"/>
      <c r="E105" s="887" t="s">
        <v>3874</v>
      </c>
    </row>
    <row r="106" spans="1:5" hidden="1" x14ac:dyDescent="0.25">
      <c r="A106" s="687"/>
      <c r="B106" s="2505" t="str">
        <f>IF(OR(NOT(ISNUMBER(TM_Feed)),TM_Feed&lt;-200,TM_Feed&gt;1000),"Melting Pt for Key Chemical Outside of Normal Range (-200 to 1000 C) - No Freezing Assumed","")</f>
        <v>Melting Pt for Key Chemical Outside of Normal Range (-200 to 1000 C) - No Freezing Assumed</v>
      </c>
      <c r="C106" s="19" t="str">
        <f>IF(B106="","","Warning")</f>
        <v>Warning</v>
      </c>
      <c r="D106" s="529"/>
      <c r="E106" s="887" t="s">
        <v>3874</v>
      </c>
    </row>
    <row r="107" spans="1:5" hidden="1" x14ac:dyDescent="0.25">
      <c r="A107" s="687"/>
      <c r="B107" s="2505" t="str">
        <f>IF(OR(NOT(ISNUMBER(TBp)),TBp&lt;-270,TBp&gt;1000),"Boiling Pt for Key Chemical Not Entered or Outside of Normal Range (-270 to 1000 C) - Hazard Class Error","")</f>
        <v/>
      </c>
      <c r="C107" s="19" t="str">
        <f>IF(B107="","","Warning")</f>
        <v/>
      </c>
      <c r="D107" s="529"/>
      <c r="E107" s="887" t="s">
        <v>3875</v>
      </c>
    </row>
    <row r="108" spans="1:5" hidden="1" x14ac:dyDescent="0.25">
      <c r="A108" s="687"/>
      <c r="B108" s="2505" t="str">
        <f>IF(OR(NOT(ISNUMBER(VP_A)),VP_A&lt;1,VP_A&gt;50),"Vapor Pressure 'A' Coefficient for Key Chemical Not Entered or Outside of Normal Range (1 to 50)","")</f>
        <v>Vapor Pressure 'A' Coefficient for Key Chemical Not Entered or Outside of Normal Range (1 to 50)</v>
      </c>
      <c r="C108" s="19" t="str">
        <f>IF(B108="","","Critical")</f>
        <v>Critical</v>
      </c>
      <c r="D108" s="529"/>
      <c r="E108" s="887" t="s">
        <v>3876</v>
      </c>
    </row>
    <row r="109" spans="1:5" hidden="1" x14ac:dyDescent="0.25">
      <c r="A109" s="687"/>
      <c r="B109" s="2505" t="str">
        <f>IF(OR(NOT(ISNUMBER(VP_B)),VP_B&lt;100,VP_B&gt;20000),"Vapor Pressure 'B' Coefficient for Key Chemical Not Entered or Outside of Normal Range (100 to 20000)","")</f>
        <v>Vapor Pressure 'B' Coefficient for Key Chemical Not Entered or Outside of Normal Range (100 to 20000)</v>
      </c>
      <c r="C109" s="19" t="str">
        <f>IF(B109="","","Critical")</f>
        <v>Critical</v>
      </c>
      <c r="D109" s="529"/>
      <c r="E109" s="887" t="s">
        <v>3877</v>
      </c>
    </row>
    <row r="110" spans="1:5" hidden="1" x14ac:dyDescent="0.25">
      <c r="A110" s="687"/>
      <c r="B110" s="2505" t="str">
        <f>IF(OR(NOT(ISNUMBER(VP_C)),VP_C&lt;0,VP_C&gt;200),"Vapor Pressure 'C' Coefficient for Key Chemical Not Entered or Outside of Normal Range (0 to 200)","")</f>
        <v/>
      </c>
      <c r="C110" s="19" t="str">
        <f>IF(B110="","","Warning")</f>
        <v/>
      </c>
      <c r="D110" s="529"/>
      <c r="E110" s="887" t="s">
        <v>3878</v>
      </c>
    </row>
    <row r="111" spans="1:5" hidden="1" x14ac:dyDescent="0.25">
      <c r="A111" s="687"/>
      <c r="B111" s="2505" t="str">
        <f>IF(OR(NOT(ISNUMBER(LD_A)),LD_A&lt;0.05,LD_A&gt;5),"Liquid Density 'A' Coefficient for Key Chemical Not Entered or Outside of Normal Range (0.05 to 5)","")</f>
        <v>Liquid Density 'A' Coefficient for Key Chemical Not Entered or Outside of Normal Range (0.05 to 5)</v>
      </c>
      <c r="C111" s="19" t="str">
        <f>IF(B111="","","Critical")</f>
        <v>Critical</v>
      </c>
      <c r="D111" s="345"/>
      <c r="E111" s="887" t="s">
        <v>3879</v>
      </c>
    </row>
    <row r="112" spans="1:5" hidden="1" x14ac:dyDescent="0.25">
      <c r="A112" s="687"/>
      <c r="B112" s="2505" t="str">
        <f>IF(OR(NOT(ISNUMBER(LD_B)),LD_B&lt;0,LD_B&gt;0.02),"Liquid Density 'B' Coefficient for Key Chemical Not Entered or Outside of Normal Range (0 to 0.02)","")</f>
        <v/>
      </c>
      <c r="C112" s="19" t="str">
        <f>IF(B112="","","Warning")</f>
        <v/>
      </c>
      <c r="D112" s="529"/>
      <c r="E112" s="887" t="s">
        <v>3880</v>
      </c>
    </row>
    <row r="113" spans="1:5" hidden="1" x14ac:dyDescent="0.25">
      <c r="A113" s="687"/>
      <c r="B113" s="2505" t="str">
        <f>IF(OR(NOT(ISNUMBER(LHC_A)),LHC_A&lt;0.1,LHC_A&gt;3),"Liquid Ht Capacity 'A' Coefficient for Key Chemical Not Entered or Outside of Normal Range (0.1 to 3)","")</f>
        <v>Liquid Ht Capacity 'A' Coefficient for Key Chemical Not Entered or Outside of Normal Range (0.1 to 3)</v>
      </c>
      <c r="C113" s="19" t="str">
        <f>IF(B113="","","Warning")</f>
        <v>Warning</v>
      </c>
      <c r="D113" s="529"/>
      <c r="E113" s="887" t="s">
        <v>3881</v>
      </c>
    </row>
    <row r="114" spans="1:5" hidden="1" x14ac:dyDescent="0.25">
      <c r="A114" s="687"/>
      <c r="B114" s="2505" t="str">
        <f>IF(OR(NOT(ISNUMBER(LHC_B)),LHC_B&lt;0,LHC_B&gt;0.01),"Liquid Ht Capacity 'B' Coefficient for Key Chemical Not Entered or Outside of Normal Range (0 to 0.01)","")</f>
        <v/>
      </c>
      <c r="C114" s="19" t="str">
        <f>IF(B114="","",IF(LHC_B="","Warning","Critical"))</f>
        <v/>
      </c>
      <c r="D114" s="529"/>
      <c r="E114" s="887" t="s">
        <v>3882</v>
      </c>
    </row>
    <row r="115" spans="1:5" hidden="1" x14ac:dyDescent="0.25">
      <c r="A115" s="687"/>
      <c r="B115" s="2505" t="str">
        <f>IF(OR(NOT(ISNUMBER(HVAP_A)),HVAP_A&lt;5,HVAP_A&gt;1000),"Heat of Vaporization 'A' Coefficient for Key Chemical Not Entered or Outside of Normal Range (5 to 1000)","")</f>
        <v>Heat of Vaporization 'A' Coefficient for Key Chemical Not Entered or Outside of Normal Range (5 to 1000)</v>
      </c>
      <c r="C115" s="19" t="str">
        <f>IF(B115="","","Critical")</f>
        <v>Critical</v>
      </c>
      <c r="D115" s="529"/>
      <c r="E115" s="887" t="s">
        <v>3883</v>
      </c>
    </row>
    <row r="116" spans="1:5" hidden="1" x14ac:dyDescent="0.25">
      <c r="A116" s="687"/>
      <c r="B116" s="2505" t="str">
        <f>IF(OR(NOT(ISNUMBER(HVAP_B)),HVAP_B&lt;-0.5,HVAP_B&gt;1),"Heat of Vaporization 'B' Coefficient for Key Chemical Not Entered or Outside of Normal Range (-0.5 to 1)","")</f>
        <v/>
      </c>
      <c r="C116" s="19" t="str">
        <f>IF(B116="","","Warning")</f>
        <v/>
      </c>
      <c r="D116" s="529"/>
      <c r="E116" s="887" t="s">
        <v>3884</v>
      </c>
    </row>
    <row r="117" spans="1:5" hidden="1" x14ac:dyDescent="0.25">
      <c r="A117" s="687"/>
      <c r="B117" s="2505" t="str">
        <f>IF(OR(NOT(ISNUMBER(HVAP_C)),HVAP_C&lt;0,HVAP_C&gt;0.01),"Heat of Vaporization 'C' Coefficient for Key Chemical Not Entered or Outside of Normal Range (0 to 0.01)","")</f>
        <v/>
      </c>
      <c r="C117" s="19" t="str">
        <f>IF(B117="","","Warning")</f>
        <v/>
      </c>
      <c r="D117" s="529"/>
      <c r="E117" s="887" t="s">
        <v>3885</v>
      </c>
    </row>
    <row r="118" spans="1:5" hidden="1" x14ac:dyDescent="0.25">
      <c r="A118" s="687"/>
      <c r="B118" s="2505" t="str">
        <f>IF(NOT(ISNUMBER(Flash_Pt_Feed)),"Flash Point for Key Chemical Not Entered - Flammable Scenarios Excluded","")</f>
        <v>Flash Point for Key Chemical Not Entered - Flammable Scenarios Excluded</v>
      </c>
      <c r="C118" s="19" t="str">
        <f>IF(B118="","","Warning")</f>
        <v>Warning</v>
      </c>
      <c r="D118" s="529"/>
      <c r="E118" s="887" t="s">
        <v>3886</v>
      </c>
    </row>
    <row r="119" spans="1:5" hidden="1" x14ac:dyDescent="0.25">
      <c r="A119" s="687"/>
      <c r="B119" s="2505" t="str">
        <f>IF(OR(NOT(ISNUMBER(LFL_Mix)),LFL_Mix&lt;0.1,LFL_Mix&gt;30),"Lower Flammable Limit for Key Chemical Not Entered or Outside of Normal Range (0.1 to 30 vol %)","")</f>
        <v>Lower Flammable Limit for Key Chemical Not Entered or Outside of Normal Range (0.1 to 30 vol %)</v>
      </c>
      <c r="C119" s="19" t="str">
        <f>IF(B119="","","Warning")</f>
        <v>Warning</v>
      </c>
      <c r="D119" s="345"/>
      <c r="E119" s="887" t="s">
        <v>3887</v>
      </c>
    </row>
    <row r="120" spans="1:5" hidden="1" x14ac:dyDescent="0.25">
      <c r="A120" s="687"/>
      <c r="B120" s="2505" t="str">
        <f>IF(Ease_of_Ignition_Feed="","No Input for Ease of Ignition of Key Chemical - Normal is Assumed",IF(ISERROR(MATCH(Ease_of_Ignition_Feed,Ignition_List,0)),"Description for Ease of Ignition Input Error",""))</f>
        <v>No Input for Ease of Ignition of Key Chemical - Normal is Assumed</v>
      </c>
      <c r="C120" s="19" t="str">
        <f>IF(B120="","",IF(Ease_of_Ignition_Feed="","Comment","Warning"))</f>
        <v>Comment</v>
      </c>
      <c r="D120" s="529"/>
      <c r="E120" s="887" t="s">
        <v>3888</v>
      </c>
    </row>
    <row r="121" spans="1:5" hidden="1" x14ac:dyDescent="0.25">
      <c r="A121" s="687"/>
      <c r="B121" s="2505" t="str">
        <f>IF(Flame_Speed_Feed="","No Input for Fuel Reactivity of Key Chemical - Medium is Assumed",IF(ISERROR(MATCH(Flame_Speed_Feed,Flame_List,0)),"Description for Fuel Reactivity Input Error",""))</f>
        <v>No Input for Fuel Reactivity of Key Chemical - Medium is Assumed</v>
      </c>
      <c r="C121" s="19" t="str">
        <f>IF(B121="","",IF(Flame_Speed_Feed="","Comment","Warning"))</f>
        <v>Comment</v>
      </c>
      <c r="D121" s="345"/>
      <c r="E121" s="887" t="s">
        <v>3889</v>
      </c>
    </row>
    <row r="122" spans="1:5" hidden="1" x14ac:dyDescent="0.25">
      <c r="A122" s="687"/>
      <c r="B122" s="2505" t="str">
        <f>IF(OR(ISERR(State),State&lt;&gt;"Solid"),"",IF(Dust_Class_Feed="","No Input for Dust Deflagration Class of Key Chemical - Class 2 Assumed",IF(ISERROR(MATCH(Dust_Class_Feed,DustDefl_List,0)),"Dust Deflagration Class Input Error","")))</f>
        <v/>
      </c>
      <c r="C122" s="19" t="str">
        <f>IF(B122="","","Warning")</f>
        <v/>
      </c>
      <c r="D122" s="345"/>
      <c r="E122" s="887" t="s">
        <v>3890</v>
      </c>
    </row>
    <row r="123" spans="1:5" hidden="1" x14ac:dyDescent="0.25">
      <c r="A123" s="687"/>
      <c r="B123" s="2505" t="str">
        <f>IF(OR(ISERR(State),State&lt;&gt;"Solid"),"",IF(OR(NOT(ISNUMBER(Dust_Size_Feed)),Dust_Size_Feed&lt;1,Dust_Size_Feed&gt;10000),"Solids Mean Particle Size for Key Chemical Not Entered or Outside of Normal Range",""))</f>
        <v/>
      </c>
      <c r="C123" s="19" t="str">
        <f>IF(B123="","","Warning")</f>
        <v/>
      </c>
      <c r="D123" s="345"/>
      <c r="E123" s="887" t="s">
        <v>3891</v>
      </c>
    </row>
    <row r="124" spans="1:5" hidden="1" x14ac:dyDescent="0.25">
      <c r="A124" s="687"/>
      <c r="B124" s="2505" t="str">
        <f>IF(OR(ISERR(State),State&lt;&gt;"Solid"),"",IF(OR(NOT(ISNUMBER(Fraction_Dust_Feed)),Fraction_Dust_Feed&lt;1,Fraction_Dust_Feed&gt;10000),"Solids 10% Fraction Size for Key Chemical Not Entered or Outside of Normal Range",""))</f>
        <v/>
      </c>
      <c r="C124" s="19" t="str">
        <f>IF(OR(B124="",Dust_Size_Feed&lt;420),"","Warning")</f>
        <v/>
      </c>
      <c r="D124" s="345"/>
      <c r="E124" s="887" t="s">
        <v>3892</v>
      </c>
    </row>
    <row r="125" spans="1:5" hidden="1" x14ac:dyDescent="0.25">
      <c r="A125" s="687"/>
      <c r="B125" s="2505" t="str">
        <f>IF(OR(ISERR(State),State&lt;&gt;"Solid"),"",IF(OR(NOT(ISNUMBER(Dust_MIE_Feed)),Dust_MIE_Feed&lt;1,Dust_MIE_Feed&gt;10000),"Solids Min Ignition Energy (MIE) for Key Chemical Not Entered or Outside of Normal Range",""))</f>
        <v/>
      </c>
      <c r="C125" s="19" t="str">
        <f>IF(B125="","","Warning")</f>
        <v/>
      </c>
      <c r="D125" s="345"/>
      <c r="E125" s="887" t="s">
        <v>3893</v>
      </c>
    </row>
    <row r="126" spans="1:5" hidden="1" x14ac:dyDescent="0.25">
      <c r="A126" s="687"/>
      <c r="B126" s="2505" t="str">
        <f>IF(OR(ISERR(State),State&lt;&gt;"Solid"),"",IF(Dust_Hybrid_Feed="","No Input for Dust-Flammable Vapor Hybrid - No Dust-Flammable Vapor Hybrid Assumed",IF(ISERROR(MATCH(Dust_Hybrid_Feed,YN_List,0)),"Dust-Flammable Vapor Hybrid Input Error","")))</f>
        <v/>
      </c>
      <c r="C126" s="19" t="str">
        <f>IF(B126="","",IF(Dust_Hybrid_Feed="","Comment","Warning"))</f>
        <v/>
      </c>
      <c r="D126" s="345"/>
      <c r="E126" s="887" t="s">
        <v>3894</v>
      </c>
    </row>
    <row r="127" spans="1:5" ht="12.75" hidden="1" customHeight="1" x14ac:dyDescent="0.25">
      <c r="A127" s="687"/>
      <c r="B127" s="2505" t="str">
        <f>IF(ER2_Mix="","No Input for ERPG-2, Assumed as Non Toxic",IF(OR(NOT(ISNUMBER(ER2_Mix)),ER2_Mix&lt;0.1,ER2_Mix&gt;50000),"ERPG-2 for Key Chemical Not Entered or Outside of Normal Range (0.1 to 50000 ppm)",""))</f>
        <v>No Input for ERPG-2, Assumed as Non Toxic</v>
      </c>
      <c r="C127" s="19" t="str">
        <f>IF(B127="","","Warning")</f>
        <v>Warning</v>
      </c>
      <c r="D127" s="345"/>
      <c r="E127" s="887" t="s">
        <v>3895</v>
      </c>
    </row>
    <row r="128" spans="1:5" hidden="1" x14ac:dyDescent="0.25">
      <c r="A128" s="687"/>
      <c r="B128" s="2505" t="str">
        <f>IF(ER3_Mix="","No Input for ERPG-3, Assumed as Non Toxic",IF(OR(NOT(ISNUMBER(ER3_Mix)),ER3_Mix&lt;0.1,ER3_Mix&gt;50000),"ERPG-3 for Key Chemical Not Entered or Outside of Normal Range (0.1 to 50000 ppm) - Hazard Class Error",""))</f>
        <v>No Input for ERPG-3, Assumed as Non Toxic</v>
      </c>
      <c r="C128" s="19" t="str">
        <f>IF(B128="","","Warning")</f>
        <v>Warning</v>
      </c>
      <c r="D128" s="529"/>
      <c r="E128" s="887" t="s">
        <v>3896</v>
      </c>
    </row>
    <row r="129" spans="1:5" hidden="1" x14ac:dyDescent="0.25">
      <c r="A129" s="687"/>
      <c r="B129" s="2505" t="str">
        <f>IF(NOT(ISNUMBER(NFPA_H_Max)),"No Input for NFPA Health Ranking of Key Chemical - Hazard Class Error",IF(ISERROR(MATCH(NFPA_H_Max,NFPA_List,0)),"NFPA Health Ranking Input Error",""))</f>
        <v/>
      </c>
      <c r="C129" s="19" t="str">
        <f>IF(B129="","","Warning")</f>
        <v/>
      </c>
      <c r="D129" s="529"/>
      <c r="E129" s="887" t="s">
        <v>3897</v>
      </c>
    </row>
    <row r="130" spans="1:5" hidden="1" x14ac:dyDescent="0.25">
      <c r="A130" s="687"/>
      <c r="B130" s="2505" t="str">
        <f>IF(NOT(ISNUMBER(NFPA_F_Max)),"No Input for NFPA Flammability Ranking of Key Chemical - Hazard Class Error",IF(ISERROR(MATCH(NFPA_F_Max,NFPA_List,0)),"NFPA Flammability Ranking Input Error",""))</f>
        <v/>
      </c>
      <c r="C130" s="19" t="str">
        <f>IF(B130="","","Warning")</f>
        <v/>
      </c>
      <c r="D130" s="345"/>
      <c r="E130" s="887" t="s">
        <v>3898</v>
      </c>
    </row>
    <row r="131" spans="1:5" hidden="1" x14ac:dyDescent="0.25">
      <c r="A131" s="687"/>
      <c r="B131" s="2505" t="str">
        <f>IF(NOT(ISNUMBER(NFPA_R_Max)),"No Input for NFPA Reactivity Ranking of Key Chemical - Hazard Class Error",IF(ISERROR(MATCH(NFPA_R_Max,NFPA_List,0)),"NFPA Reactivity Ranking Input Error",""))</f>
        <v/>
      </c>
      <c r="C131" s="19" t="str">
        <f>IF(B131="","","Warning")</f>
        <v/>
      </c>
      <c r="D131" s="345"/>
      <c r="E131" s="887" t="s">
        <v>3899</v>
      </c>
    </row>
    <row r="132" spans="1:5" ht="13.75" hidden="1" customHeight="1" x14ac:dyDescent="0.25">
      <c r="A132" s="687"/>
      <c r="B132" s="2505" t="str">
        <f>IF(Dermal_Tox_Feed="","No Input for Dermal Tox European Risk Phrase of Key Chemical - No Dermal Impact Assumed",IF(ISERROR(MATCH(Dermal_Tox_Feed,DermalTox_List,0)),"Dermal Tox European Risk Phrase Input Error",""))</f>
        <v>No Input for Dermal Tox European Risk Phrase of Key Chemical - No Dermal Impact Assumed</v>
      </c>
      <c r="C132" s="19" t="str">
        <f>IF(B132="","",IF(Dermal_Tox_Feed="","Comment","Warning"))</f>
        <v>Comment</v>
      </c>
      <c r="D132" s="345"/>
      <c r="E132" s="887" t="s">
        <v>3900</v>
      </c>
    </row>
    <row r="133" spans="1:5" ht="13.75" hidden="1" customHeight="1" x14ac:dyDescent="0.25">
      <c r="A133" s="689"/>
      <c r="B133" s="2505" t="str">
        <f>IF(AND(Soil_Remediation="No",Waterway="No"),"",IF(Aquatic_Tox_Feed="","No Input for Aquatic Tox European Risk Phrase of Key Chemical - No Aquatic Impact Assumed",IF(ISERROR(MATCH(Aquatic_Tox_Feed,InhalTox_List,0)),"Aquatic Tox European Risk Phrase Input Error","")))</f>
        <v>No Input for Aquatic Tox European Risk Phrase of Key Chemical - No Aquatic Impact Assumed</v>
      </c>
      <c r="C133" s="19" t="str">
        <f>IF(B133="","",IF(Dermal_Tox_Feed="","Comment","Warning"))</f>
        <v>Comment</v>
      </c>
      <c r="D133" s="345"/>
      <c r="E133" s="887" t="s">
        <v>3901</v>
      </c>
    </row>
    <row r="134" spans="1:5" hidden="1" x14ac:dyDescent="0.25">
      <c r="A134" s="687"/>
      <c r="B134" s="2505" t="str">
        <f>IF(Conductive_Feed="","No Input for Conductive Liquid - Used to reduce probability of ignition",IF(ISERROR(MATCH(Conductive_Feed,Conductivity_List,0)),"Conductive Liquid nput Error",""))</f>
        <v>No Input for Conductive Liquid - Used to reduce probability of ignition</v>
      </c>
      <c r="C134" s="19" t="str">
        <f>IF(B134="","",IF(Conductive_Feed="","Comment","Warning"))</f>
        <v>Comment</v>
      </c>
      <c r="D134" s="345"/>
      <c r="E134" s="887" t="s">
        <v>3902</v>
      </c>
    </row>
    <row r="135" spans="1:5" hidden="1" x14ac:dyDescent="0.25">
      <c r="A135" s="687"/>
      <c r="B135" s="2505" t="str">
        <f>IF(OR(Pad_MW&lt;2,Pad_MW&gt;1000),"Pad Gas Properties Error","")</f>
        <v/>
      </c>
      <c r="C135" s="19" t="str">
        <f>IF(B135="","","Warning")</f>
        <v/>
      </c>
      <c r="D135" s="345"/>
      <c r="E135" s="887" t="s">
        <v>3903</v>
      </c>
    </row>
    <row r="136" spans="1:5" hidden="1" x14ac:dyDescent="0.25">
      <c r="A136" s="687"/>
      <c r="B136" s="222"/>
      <c r="C136" s="19"/>
      <c r="D136" s="345"/>
    </row>
    <row r="137" spans="1:5" x14ac:dyDescent="0.25">
      <c r="A137" s="687"/>
      <c r="B137" s="162" t="s">
        <v>2016</v>
      </c>
      <c r="C137" s="161"/>
      <c r="D137" s="345"/>
    </row>
    <row r="138" spans="1:5" hidden="1" x14ac:dyDescent="0.25">
      <c r="A138" s="687"/>
      <c r="B138" s="2505" t="str">
        <f>IF(OR(Sum_WtFract&gt;1,Sum_WtFract&lt;0),"Sum of Mixture Weight Fractions greater than 1 or less than 0","")</f>
        <v>Sum of Mixture Weight Fractions greater than 1 or less than 0</v>
      </c>
      <c r="C138" s="19" t="str">
        <f>IF(B138="","","Critical")</f>
        <v>Critical</v>
      </c>
      <c r="D138" s="345"/>
      <c r="E138" s="887" t="s">
        <v>3904</v>
      </c>
    </row>
    <row r="139" spans="1:5" hidden="1" x14ac:dyDescent="0.25">
      <c r="A139" s="345"/>
      <c r="B139" s="2505" t="str">
        <f>IF('Chemical Data'!W9=1,IF(AND(ISNUMBER(WtFract_2),OR('Chemical Data'!D64="",'Chemical Data'!D67="",'Chemical Data'!D70="",'Chemical Data'!D72="",'Chemical Data'!D74=0)),"No Molecular Weight or Physical Properties Entered for "&amp;Chemical_2,""),"")</f>
        <v/>
      </c>
      <c r="C139" s="19" t="str">
        <f>IF(B139="","","Critical")</f>
        <v/>
      </c>
      <c r="D139" s="345"/>
      <c r="E139" s="887" t="s">
        <v>3905</v>
      </c>
    </row>
    <row r="140" spans="1:5" hidden="1" x14ac:dyDescent="0.25">
      <c r="A140" s="345"/>
      <c r="B140" s="2505" t="str">
        <f>IF('Chemical Data'!W9=1,IF(AND(ISNUMBER(WtFract_3),OR('Chemical Data'!E64="",'Chemical Data'!E67="",'Chemical Data'!E70="",'Chemical Data'!E72="",'Chemical Data'!E74=0)),"No Molecular Weight or Physical Properties Entered for "&amp;Chemical_3,""),"")</f>
        <v/>
      </c>
      <c r="C140" s="19" t="str">
        <f>IF(B140="","","Critical")</f>
        <v/>
      </c>
      <c r="D140" s="345"/>
      <c r="E140" s="887" t="s">
        <v>3906</v>
      </c>
    </row>
    <row r="141" spans="1:5" hidden="1" x14ac:dyDescent="0.25">
      <c r="A141" s="345"/>
      <c r="B141" s="2505" t="str">
        <f>IF('Chemical Data'!W9=1,IF(AND(ISNUMBER(WtFract_4),OR('Chemical Data'!F64="",'Chemical Data'!F67="",'Chemical Data'!F70="",'Chemical Data'!F72="",'Chemical Data'!F74=0)),"No Molecular Weight or Physical Properties Entered for "&amp;Chemical_4,""),"")</f>
        <v/>
      </c>
      <c r="C141" s="19" t="str">
        <f>IF(B141="","","Critical")</f>
        <v/>
      </c>
      <c r="D141" s="345"/>
      <c r="E141" s="887" t="s">
        <v>3907</v>
      </c>
    </row>
    <row r="142" spans="1:5" hidden="1" x14ac:dyDescent="0.25">
      <c r="A142" s="687"/>
      <c r="B142" s="2505" t="str">
        <f>IF('Chemical Data'!W9=1,IF(AND(ISNUMBER(WtFract_5),OR('Chemical Data'!G64="",'Chemical Data'!G67="",'Chemical Data'!G70="",'Chemical Data'!G72="",'Chemical Data'!G74=0)),"No Molecular Weight or Physical Properties Entered for "&amp;Chemical_5,""),"")</f>
        <v/>
      </c>
      <c r="C142" s="19" t="str">
        <f>IF(B142="","","Warning")</f>
        <v/>
      </c>
      <c r="D142" s="345"/>
      <c r="E142" s="887" t="s">
        <v>3908</v>
      </c>
    </row>
    <row r="143" spans="1:5" hidden="1" x14ac:dyDescent="0.25">
      <c r="A143" s="687"/>
      <c r="B143" s="2505" t="str">
        <f>IF(Chemical="","",IF(AND(Fract_Key_Chemical&lt;1,VLOOKUP(Chemical,Chem_Table,COLUMN(Frac_Key_C),FALSE)=0,Chemical_2="",Chemical_3="",Chemical_4=""),"Fraction Key Chemical &lt; 1 but Mixture Chemicals Not Entered",""))</f>
        <v/>
      </c>
      <c r="C143" s="19" t="str">
        <f>IF(B143="","","Critical")</f>
        <v/>
      </c>
      <c r="D143" s="345"/>
      <c r="E143" s="887" t="s">
        <v>3909</v>
      </c>
    </row>
    <row r="144" spans="1:5" hidden="1" x14ac:dyDescent="0.25">
      <c r="A144" s="687"/>
      <c r="B144" s="2505" t="str">
        <f>IF(AND(Fract_Key_Chemical&lt;1,Flash_Pt_Feed=""),IF(LFL_Estimate&gt;90,"",IF(OR(NFPA_F_Max&gt;1,AND(Flash_Pt_Estimate&lt;37)),"Mixture Flash Point May Not Reflect Hazards of Non-Key Components, Update Values or Change Key Chemical","")),"")</f>
        <v/>
      </c>
      <c r="C144" s="19" t="str">
        <f>IF(B144="","","Warning")</f>
        <v/>
      </c>
      <c r="D144" s="345"/>
      <c r="E144" s="887" t="s">
        <v>3886</v>
      </c>
    </row>
    <row r="145" spans="1:5" hidden="1" x14ac:dyDescent="0.25">
      <c r="A145" s="687"/>
      <c r="B145" s="222"/>
      <c r="C145" s="19"/>
      <c r="D145" s="345"/>
    </row>
    <row r="146" spans="1:5" x14ac:dyDescent="0.25">
      <c r="A146" s="687"/>
      <c r="B146" s="162" t="s">
        <v>910</v>
      </c>
      <c r="C146" s="161"/>
      <c r="D146" s="345"/>
    </row>
    <row r="147" spans="1:5" hidden="1" x14ac:dyDescent="0.25">
      <c r="A147" s="687"/>
      <c r="B147" s="2505" t="str">
        <f>IF(AND(ABS(DHR)&gt;1,Test_Method=""),"No Input for RC Test Method - Assumed as Theoretical",IF(AND(Test_Method&lt;&gt;"",ISERROR(MATCH(Test_Method,RCTest_List,0))),"Descriptions for RC Test Method Input Error",""))</f>
        <v/>
      </c>
      <c r="C147" s="19" t="str">
        <f>IF(B147="","",IF(Test_Method="","Comment","Warning"))</f>
        <v/>
      </c>
      <c r="D147" s="345"/>
      <c r="E147" s="887" t="s">
        <v>3910</v>
      </c>
    </row>
    <row r="148" spans="1:5" hidden="1" x14ac:dyDescent="0.25">
      <c r="A148" s="687"/>
      <c r="B148" s="2505" t="str">
        <f>IF(NOT(ISNUMBER(DHR)),"",IF(DHR&gt;0,"Endothermic Reaction Entered - Only Exothermic Reactions Addressed for Now",""))</f>
        <v/>
      </c>
      <c r="C148" s="19" t="str">
        <f>IF(B148="","","Warning")</f>
        <v/>
      </c>
      <c r="D148" s="345"/>
      <c r="E148" s="887" t="s">
        <v>3911</v>
      </c>
    </row>
    <row r="149" spans="1:5" hidden="1" x14ac:dyDescent="0.25">
      <c r="A149" s="687"/>
      <c r="B149" s="2505" t="str">
        <f>IF(OR(ABS(Limiting_Rate)&gt;0.0001,ABS(DHR)&lt;1),"",IF(OR(Act_Energy&lt;10,Act_Energy&gt;60),"Reaction Activation Energy Not Entered or Outside of Normal Range",""))</f>
        <v/>
      </c>
      <c r="C149" s="19" t="str">
        <f>IF(B149="","","Warning")</f>
        <v/>
      </c>
      <c r="D149" s="345"/>
      <c r="E149" s="887" t="s">
        <v>3912</v>
      </c>
    </row>
    <row r="150" spans="1:5" hidden="1" x14ac:dyDescent="0.25">
      <c r="A150" s="687"/>
      <c r="B150" s="2505" t="str">
        <f>IF(OR(ABS(Limiting_Rate)&gt;0.0001,ABS(DHR)&lt;1),"",IF(OR(Tdet&lt;-200,Tdet&gt;500),"Detected On-Set Temperature Not Entered or Outside of Normal Range",""))</f>
        <v/>
      </c>
      <c r="C150" s="19" t="str">
        <f>IF(B150="","","Warning")</f>
        <v/>
      </c>
      <c r="D150" s="345"/>
      <c r="E150" s="887" t="s">
        <v>3913</v>
      </c>
    </row>
    <row r="151" spans="1:5" hidden="1" x14ac:dyDescent="0.25">
      <c r="A151" s="687"/>
      <c r="B151" s="2505" t="str">
        <f>IF(OR(ABS(Limiting_Rate)&gt;0.0001,Test_Method="DSC",ABS(DHR)&lt;10),"",IF(OR(Rdet&lt;0.001,Rdet&gt;1000),"Detected On-Set Temperature Rate Not Entered or Outside of Normal Range",""))</f>
        <v/>
      </c>
      <c r="C151" s="19" t="str">
        <f>IF(B151="","","Warning")</f>
        <v/>
      </c>
      <c r="D151" s="345"/>
      <c r="E151" s="887" t="s">
        <v>3914</v>
      </c>
    </row>
    <row r="152" spans="1:5" hidden="1" x14ac:dyDescent="0.25">
      <c r="A152" s="687"/>
      <c r="B152" s="2505" t="str">
        <f>IF(AND(Test_Method&lt;&gt;"ARC",Test_Method&lt;&gt;"VSP"),"",IF(OR(phi&lt;1,phi&gt;10),"Thermal Inertia (Phi) Not Entered or Outside of Normal Range",""))</f>
        <v/>
      </c>
      <c r="C152" s="19" t="str">
        <f>IF(B152="","","Warning")</f>
        <v/>
      </c>
      <c r="D152" s="345"/>
      <c r="E152" s="887" t="s">
        <v>3915</v>
      </c>
    </row>
    <row r="153" spans="1:5" hidden="1" x14ac:dyDescent="0.25">
      <c r="A153" s="687"/>
      <c r="B153" s="2505" t="str">
        <f>IF(ABS(DHR)&lt;1,"",IF(OR(Gas_Gen&lt;0,Gas_Gen&gt;0.1),"Reaction Gas Generation Not Entered or Outside of Normal Range",""))</f>
        <v/>
      </c>
      <c r="C153" s="19" t="str">
        <f>IF(B153="","",IF(Gas_Gen="","Comment","Warning"))</f>
        <v/>
      </c>
      <c r="D153" s="345"/>
      <c r="E153" s="887" t="s">
        <v>3916</v>
      </c>
    </row>
    <row r="154" spans="1:5" hidden="1" x14ac:dyDescent="0.25">
      <c r="A154" s="687"/>
      <c r="B154" s="2505" t="str">
        <f>IF(OR(NOT(ISNUMBER(Limiting_Rate)),ABS(DHR)&lt;1),"",IF(OR(ABS(Limiting_Rate)&gt;100),"Limiting Reaction Rate Outside of Normal Range",""))</f>
        <v/>
      </c>
      <c r="C154" s="19" t="str">
        <f>IF(B154="","","Comment")</f>
        <v/>
      </c>
      <c r="D154" s="345"/>
      <c r="E154" s="887" t="s">
        <v>3917</v>
      </c>
    </row>
    <row r="155" spans="1:5" hidden="1" x14ac:dyDescent="0.25">
      <c r="A155" s="687"/>
      <c r="B155" s="2505" t="str">
        <f>IF(ABS(DHR)&lt;1,"",IF(NOT(ISNUMBER(Coolant_Area)),"No Input for Cooling Heat Transfer Area - No Heat Transfer is Assumed",IF(AND(ABS(Coolant_Area-HT_Area_Input)&gt;10,OR(Equipment="Heat Exchanger",Equipment="Stirred Reactor/Crystallizer")),"Heat Transfer Area and Cooling Heat Transfer Area Differ by more than 10","")))</f>
        <v/>
      </c>
      <c r="C155" s="19" t="str">
        <f>IF(B155="","","Comment")</f>
        <v/>
      </c>
      <c r="D155" s="345"/>
      <c r="E155" s="887" t="s">
        <v>3918</v>
      </c>
    </row>
    <row r="156" spans="1:5" hidden="1" x14ac:dyDescent="0.25">
      <c r="A156" s="687"/>
      <c r="B156" s="2505" t="str">
        <f>IF(ABS(DHR)&lt;1,"",IF(AND(NOT(ISNUMBER(Coolant_U)),ISNUMBER(Coolant_U)),"No Input for Coolant Heat Transfer Coefficient - No Heat Transfer is Assumed",""))</f>
        <v/>
      </c>
      <c r="C156" s="19" t="str">
        <f>IF(B156="","","Comment")</f>
        <v/>
      </c>
      <c r="D156" s="345"/>
      <c r="E156" s="887" t="s">
        <v>3919</v>
      </c>
    </row>
    <row r="157" spans="1:5" hidden="1" x14ac:dyDescent="0.25">
      <c r="A157" s="687"/>
      <c r="B157" s="2505" t="str">
        <f>IF(ABS(DHR)&lt;1,"",IF(NOT(ISNUMBER(Coolant_Temp)),"No Input for Cooling Media Temperature - Heat Transfer Calculations will be in Error",""))</f>
        <v/>
      </c>
      <c r="C157" s="19" t="str">
        <f>IF(B157="","","Comment")</f>
        <v/>
      </c>
      <c r="D157" s="345"/>
      <c r="E157" s="887" t="s">
        <v>3920</v>
      </c>
    </row>
    <row r="158" spans="1:5" hidden="1" x14ac:dyDescent="0.25">
      <c r="A158" s="687"/>
      <c r="B158" s="2505" t="str">
        <f>IF(ABS(DHR)&lt;1,"",IF(Catalyzed="","No Input for Catalyzed Reaction - Non-Catalyzed Assumed",IF(ISERROR(MATCH(Catalyzed,YN_List,0)),"Description for Catalyzed Reaction Input Error","")))</f>
        <v/>
      </c>
      <c r="C158" s="19" t="str">
        <f>IF(B158="","",IF(Catalyzed="","Comment","Warning"))</f>
        <v/>
      </c>
      <c r="D158" s="345"/>
      <c r="E158" s="887" t="s">
        <v>3921</v>
      </c>
    </row>
    <row r="159" spans="1:5" hidden="1" x14ac:dyDescent="0.25">
      <c r="A159" s="687"/>
      <c r="B159" s="2505" t="str">
        <f>IF(ABS(DHR)&lt;1,"",IF(Rx_Pooling="","No Input for 'Pooling' of Reactants - Non-Pooling is Assumed",IF(ISERROR(MATCH(Rx_Pooling,YN_List,0)),"Description for 'Pooling' of Reactants Input Error","")))</f>
        <v/>
      </c>
      <c r="C159" s="19" t="str">
        <f>IF(B159="","",IF(Rx_Pooling="","Comment","Warning"))</f>
        <v/>
      </c>
      <c r="D159" s="345" t="s">
        <v>3922</v>
      </c>
      <c r="E159" s="887" t="s">
        <v>3923</v>
      </c>
    </row>
    <row r="160" spans="1:5" hidden="1" x14ac:dyDescent="0.25">
      <c r="A160" s="687"/>
      <c r="B160" s="2505" t="str">
        <f>IF(Second_Phase="","",IF(ISERROR(MATCH(Second_Phase,YN_List,0)),"Description for Reactant in Separate Phase Input Error",""))</f>
        <v/>
      </c>
      <c r="C160" s="19" t="str">
        <f>IF(B160="","","Warning")</f>
        <v/>
      </c>
      <c r="D160" s="345"/>
      <c r="E160" s="887" t="s">
        <v>3924</v>
      </c>
    </row>
    <row r="161" spans="1:5" hidden="1" x14ac:dyDescent="0.25">
      <c r="A161" s="687"/>
      <c r="B161" s="2505" t="str">
        <f>IF(Rx_Pooling="","",IF(AND(Rx_Pooling&lt;&gt;"No",OR(Rx_Pooling_Factor&lt;0,Rx_Pooling_Factor&gt;1)),"Fraction of Reaction Heat for 'Pooloing' Outside of Normal Range",""))</f>
        <v/>
      </c>
      <c r="C161" s="19" t="str">
        <f>IF(B161="","","Warning")</f>
        <v/>
      </c>
      <c r="D161" s="345"/>
      <c r="E161" s="887" t="s">
        <v>3925</v>
      </c>
    </row>
    <row r="162" spans="1:5" hidden="1" x14ac:dyDescent="0.25">
      <c r="A162" s="687"/>
      <c r="B162" s="2505" t="str">
        <f>IF(ABS(DHR)&lt;1,"",IF(Rx_MisLoading="","No Input for Mis-Loading of Reactants - No Mis-Loading Assumed",IF(ISERROR(MATCH(Rx_MisLoading,YN_List,0)),"Description for Mis-Loading of Reactants Input Error","")))</f>
        <v/>
      </c>
      <c r="C162" s="19" t="str">
        <f>IF(B162="","",IF(Rx_MisLoading="","Comment","Warning"))</f>
        <v/>
      </c>
      <c r="D162" s="345"/>
      <c r="E162" s="887" t="s">
        <v>3926</v>
      </c>
    </row>
    <row r="163" spans="1:5" hidden="1" x14ac:dyDescent="0.25">
      <c r="A163" s="687"/>
      <c r="B163" s="2505" t="str">
        <f>IF(Rx_MisLoading="","",IF(AND(Rx_MisLoading&lt;&gt;"No",OR(NOT(ISNUMBER(Rx_MisLoading_Factor)),Rx_MisLoading_Factor&lt;1,Rx_MisLoading_Factor&gt;100)),"Fraction of Reaction Heat for 'Mis-Loading' Outside of Normal Range",""))</f>
        <v/>
      </c>
      <c r="C163" s="19" t="str">
        <f>IF(B163="","","Warning")</f>
        <v/>
      </c>
      <c r="D163" s="345"/>
      <c r="E163" s="887" t="s">
        <v>3927</v>
      </c>
    </row>
    <row r="164" spans="1:5" x14ac:dyDescent="0.25">
      <c r="A164" s="687"/>
      <c r="B164" s="2505" t="str">
        <f>IF(OR(NFPA_R_Max="",ABS(DHR)&gt;1,AND(NFPA_R_Max&lt;2,Rx_Incompatible="")),"",IF(ISERROR(MATCH(Rx_Incompatible,YN_List,0)),"Potential for Reaction of Incompatible Materials Input Error",""))</f>
        <v/>
      </c>
      <c r="C164" s="19" t="str">
        <f>IF(B164="","","Warning")</f>
        <v/>
      </c>
      <c r="D164" s="345"/>
      <c r="E164" s="887" t="s">
        <v>3928</v>
      </c>
    </row>
    <row r="165" spans="1:5" hidden="1" x14ac:dyDescent="0.25">
      <c r="A165" s="687"/>
      <c r="B165" s="2505" t="str">
        <f>IF(CP_Detonable="","",IF(ISERROR(MATCH(CP_Detonable,YN_List,0)),"Description for Phase Detonable Material Input Error",""))</f>
        <v/>
      </c>
      <c r="C165" s="19" t="str">
        <f>IF(B165="","","Warning")</f>
        <v/>
      </c>
      <c r="D165" s="345"/>
      <c r="E165" s="887" t="s">
        <v>3929</v>
      </c>
    </row>
    <row r="166" spans="1:5" hidden="1" x14ac:dyDescent="0.25">
      <c r="A166" s="687"/>
      <c r="B166" s="222"/>
      <c r="C166" s="19"/>
      <c r="D166" s="345"/>
    </row>
    <row r="167" spans="1:5" x14ac:dyDescent="0.25">
      <c r="A167" s="687"/>
      <c r="B167" s="688"/>
      <c r="C167" s="529"/>
      <c r="D167" s="529"/>
    </row>
    <row r="168" spans="1:5" x14ac:dyDescent="0.25">
      <c r="C168" s="19"/>
    </row>
    <row r="169" spans="1:5" x14ac:dyDescent="0.25">
      <c r="C169" s="19"/>
    </row>
    <row r="170" spans="1:5" x14ac:dyDescent="0.25">
      <c r="C170" s="19"/>
    </row>
    <row r="171" spans="1:5" x14ac:dyDescent="0.25">
      <c r="C171" s="19"/>
    </row>
    <row r="172" spans="1:5" x14ac:dyDescent="0.25">
      <c r="C172" s="19"/>
    </row>
  </sheetData>
  <sheetProtection sheet="1" objects="1" scenarios="1"/>
  <autoFilter ref="B3:C166" xr:uid="{00000000-0009-0000-0000-00000E000000}">
    <filterColumn colId="0">
      <customFilters>
        <customFilter operator="notEqual" val=" "/>
      </customFilters>
    </filterColumn>
  </autoFilter>
  <mergeCells count="1">
    <mergeCell ref="B1:C1"/>
  </mergeCells>
  <phoneticPr fontId="3" type="noConversion"/>
  <conditionalFormatting sqref="C139:C145 C147:C167 C136 C32:C53 C79:C90 C18:C26 C16 C56:C77 C93:C95 C97:C134 C5:C6 C8:C14">
    <cfRule type="expression" dxfId="513" priority="35">
      <formula>IF($C5="Warning",TRUE,FALSE)</formula>
    </cfRule>
    <cfRule type="expression" dxfId="512" priority="36">
      <formula>IF($C5="Critical",TRUE,FALSE)</formula>
    </cfRule>
  </conditionalFormatting>
  <conditionalFormatting sqref="C138">
    <cfRule type="expression" dxfId="511" priority="33">
      <formula>IF($C138="Warning",TRUE,FALSE)</formula>
    </cfRule>
    <cfRule type="expression" dxfId="510" priority="34">
      <formula>IF($C138="Critical",TRUE,FALSE)</formula>
    </cfRule>
  </conditionalFormatting>
  <conditionalFormatting sqref="C135">
    <cfRule type="expression" dxfId="509" priority="31">
      <formula>IF($C135="Warning",TRUE,FALSE)</formula>
    </cfRule>
    <cfRule type="expression" dxfId="508" priority="32">
      <formula>IF($C135="Critical",TRUE,FALSE)</formula>
    </cfRule>
  </conditionalFormatting>
  <conditionalFormatting sqref="C27">
    <cfRule type="expression" dxfId="507" priority="17">
      <formula>IF($C27="Warning",TRUE,FALSE)</formula>
    </cfRule>
    <cfRule type="expression" dxfId="506" priority="18">
      <formula>IF($C27="Critical",TRUE,FALSE)</formula>
    </cfRule>
  </conditionalFormatting>
  <conditionalFormatting sqref="C28">
    <cfRule type="expression" dxfId="505" priority="15">
      <formula>IF($C28="Warning",TRUE,FALSE)</formula>
    </cfRule>
    <cfRule type="expression" dxfId="504" priority="16">
      <formula>IF($C28="Critical",TRUE,FALSE)</formula>
    </cfRule>
  </conditionalFormatting>
  <conditionalFormatting sqref="C29">
    <cfRule type="expression" dxfId="503" priority="13">
      <formula>IF($C29="Warning",TRUE,FALSE)</formula>
    </cfRule>
    <cfRule type="expression" dxfId="502" priority="14">
      <formula>IF($C29="Critical",TRUE,FALSE)</formula>
    </cfRule>
  </conditionalFormatting>
  <conditionalFormatting sqref="C30">
    <cfRule type="expression" dxfId="501" priority="11">
      <formula>IF($C30="Warning",TRUE,FALSE)</formula>
    </cfRule>
    <cfRule type="expression" dxfId="500" priority="12">
      <formula>IF($C30="Critical",TRUE,FALSE)</formula>
    </cfRule>
  </conditionalFormatting>
  <conditionalFormatting sqref="C31">
    <cfRule type="expression" dxfId="499" priority="9">
      <formula>IF($C31="Warning",TRUE,FALSE)</formula>
    </cfRule>
    <cfRule type="expression" dxfId="498" priority="10">
      <formula>IF($C31="Critical",TRUE,FALSE)</formula>
    </cfRule>
  </conditionalFormatting>
  <conditionalFormatting sqref="C17">
    <cfRule type="expression" dxfId="497" priority="7">
      <formula>IF($C17="Warning",TRUE,FALSE)</formula>
    </cfRule>
    <cfRule type="expression" dxfId="496" priority="8">
      <formula>IF($C17="Critical",TRUE,FALSE)</formula>
    </cfRule>
  </conditionalFormatting>
  <conditionalFormatting sqref="C15">
    <cfRule type="expression" dxfId="495" priority="5">
      <formula>IF($C15="Warning",TRUE,FALSE)</formula>
    </cfRule>
    <cfRule type="expression" dxfId="494" priority="6">
      <formula>IF($C15="Critical",TRUE,FALSE)</formula>
    </cfRule>
  </conditionalFormatting>
  <conditionalFormatting sqref="C55">
    <cfRule type="expression" dxfId="493" priority="3">
      <formula>IF($C55="Warning",TRUE,FALSE)</formula>
    </cfRule>
    <cfRule type="expression" dxfId="492" priority="4">
      <formula>IF($C55="Critical",TRUE,FALSE)</formula>
    </cfRule>
  </conditionalFormatting>
  <conditionalFormatting sqref="C7">
    <cfRule type="expression" dxfId="491" priority="1">
      <formula>IF($C7="Warning",TRUE,FALSE)</formula>
    </cfRule>
    <cfRule type="expression" dxfId="490" priority="2">
      <formula>IF($C7="Critical",TRUE,FALSE)</formula>
    </cfRule>
  </conditionalFormatting>
  <hyperlinks>
    <hyperlink ref="B5" location="Equipment_Tag" display="Equipment_Tag" xr:uid="{E6F22F8A-9BF7-41A2-9288-0CE3A2E8A9FD}"/>
    <hyperlink ref="B6" location="Equipment_Type" display="Equipment_Type" xr:uid="{5C3D0143-C729-4EF4-9F30-4C2AB3F33FB3}"/>
    <hyperlink ref="B7" location="Exclude_MI" display="Exclude_MI" xr:uid="{2257DAA8-4646-44B7-9126-7EEF0F2CBB0F}"/>
    <hyperlink ref="B10" location="Equipment_Volume" display="Equipment_Volume" xr:uid="{4DFB47BB-53A0-4965-9CCD-DFAB4E336456}"/>
    <hyperlink ref="B11" location="Equipment_Volume" display="Equipment_Volume" xr:uid="{41326EE4-1167-4608-9703-14EA2AFCB300}"/>
    <hyperlink ref="B12" location="MAWP_Input" display="MAWP_Input" xr:uid="{7FD99757-FFB5-49EE-A1E2-ADD04ED6B3FC}"/>
    <hyperlink ref="B13" location="MAWP_Input" display="MAWP_Input" xr:uid="{D5C9B740-D491-47D0-B7E4-052C600E3C82}"/>
    <hyperlink ref="B14" location="MAWP_Input" display="MAWP_Input" xr:uid="{84DC6546-DCA9-4A73-8E2F-D1BCD8B88967}"/>
    <hyperlink ref="B15" location="Vibration" display="Vibration" xr:uid="{A4C1703B-BD60-4311-9CBC-770B436C96A1}"/>
    <hyperlink ref="B16" location="Heating_T_Input" display="Heating_T_Input" xr:uid="{99D04F3C-9C6B-4899-9BE0-7FEDB2287711}"/>
    <hyperlink ref="B17" location="Coolant_Temp_Input" display="Coolant_Temp_Input" xr:uid="{2018482C-49EF-4996-9ED3-B6CF9EFE39F4}"/>
    <hyperlink ref="B18" location="Relief_Set_Input" display="Relief_Set_Input" xr:uid="{4EA39865-9C06-4933-BEB2-263C16B4C629}"/>
    <hyperlink ref="B19" location="Relief_Set" display="Relief_Set" xr:uid="{36515889-9B97-4236-9482-B28FF8058A20}"/>
    <hyperlink ref="B20" location="Relief_Set" display="Relief_Set" xr:uid="{3786EAC9-2351-47A3-8BB4-1ABE22E21100}"/>
    <hyperlink ref="B21" location="Relief_Size_Input" display="Relief_Size_Input" xr:uid="{A785364F-D25F-412A-A4F3-9BA3856D30B5}"/>
    <hyperlink ref="B22" location="Relief_Type" display="Relief_Type" xr:uid="{F2171319-D810-44DA-949B-DDB66CE96204}"/>
    <hyperlink ref="B23" location="Relief_Discharge_Size_Input" display="Relief_Discharge_Size_Input" xr:uid="{3976F989-EB2F-4761-8338-BFC4F624A9DF}"/>
    <hyperlink ref="B24" location="Relief_Elevation_Input" display="Relief_Elevation_Input" xr:uid="{66640E25-7F41-4357-80D8-30653248E5B8}"/>
    <hyperlink ref="B25" location="Relief_Discharge_Location" display="Relief_Discharge_Location" xr:uid="{06DFC9AB-D6E5-4901-8ACF-8EDAE8B6B06E}"/>
    <hyperlink ref="B26" location="Public_Relief_Input" display="Public_Relief_Input" xr:uid="{B6247141-D878-4021-B203-C6673519F0AC}"/>
    <hyperlink ref="B27" location="Occ_Bldg_Relief_Input" display="Occ_Bldg_Relief_Input" xr:uid="{AE8351FA-9138-4DF2-851E-4FDA842FC76B}"/>
    <hyperlink ref="B28" location="Occ_Bldg_Cntr_Relief_Input" display="Occ_Bldg_Cntr_Relief_Input" xr:uid="{2FE80CAE-0D8D-40EF-A829-E0B158D26301}"/>
    <hyperlink ref="B29" location="Occ_Bldg2_Relief_Input" display="Occ_Bldg2_Relief_Input" xr:uid="{4EF8D8C6-50EB-4AE7-AEEB-2232B191943C}"/>
    <hyperlink ref="B30" location="Occ_Bldg2_Cntr_Relief_Input" display="Occ_Bldg2_Cntr_Relief_Input" xr:uid="{9A5EAD27-F163-4EA3-95C8-C535E1E3AA8C}"/>
    <hyperlink ref="B31" location="Occ_Bldg2_Relief_Direction" display="Occ_Bldg2_Relief_Direction" xr:uid="{9D7D9377-4D2A-4CFD-B4A2-26C730EA7E9B}"/>
    <hyperlink ref="B32" location="Vacuum_Rated" display="Vacuum_Rated" xr:uid="{5D56496F-C8DB-453C-B1CE-EB7B295861F5}"/>
    <hyperlink ref="B33" location="Matl_Construction" display="Matl_Construction" xr:uid="{21620766-04F9-47F1-85AF-3E2883FBCA61}"/>
    <hyperlink ref="B34" location="Dip_Pipe" display="Dip_Pipe" xr:uid="{E8BE74D4-E3FA-4D27-A81B-2F8E80A7AB12}"/>
    <hyperlink ref="B35" location="D_Input" display="D_Input" xr:uid="{2512EF93-1F2F-408D-BFBA-2CE261209257}"/>
    <hyperlink ref="B36" location="Flanges" display="Flanges" xr:uid="{C0F1ECAE-9BFF-4CCD-AB49-B27FB285BA6B}"/>
    <hyperlink ref="B37" location="Drain_Input" display="Drain_Input" xr:uid="{03265336-DD11-421A-B365-56D06BA8987A}"/>
    <hyperlink ref="B38" location="Pipe_Length_Input" display="Pipe_Length_Input" xr:uid="{12680374-78C3-4053-A0D1-2C5213754BF9}"/>
    <hyperlink ref="B39" location="Pipe_Vulnerable" display="Pipe_Vulnerable" xr:uid="{F69D69BB-193A-4342-85A3-D58A535ACA9E}"/>
    <hyperlink ref="B40" location="Screwed_Connect" display="Screwed_Connect" xr:uid="{09A614C9-BF4C-4AF6-8B0B-5ED13FDEE05C}"/>
    <hyperlink ref="B41" location="Sight_Glass" display="Sight_Glass" xr:uid="{61A88EB5-51C3-4EE0-A08B-57512FE8D133}"/>
    <hyperlink ref="B42" location="Connection_Type" display="Connection_Type" xr:uid="{02735E5B-4C25-473B-92E4-208D94BFF661}"/>
    <hyperlink ref="B43" location="Bus_Loss" display="Bus_Loss" xr:uid="{C1E306AC-516A-459D-BF3B-8FC7B3CC1441}"/>
    <hyperlink ref="B44" location="Sur_Area_Input" display="Sur_Area_Input" xr:uid="{EB04FDD9-6419-4E52-BCD4-0DFC462D6A6A}"/>
    <hyperlink ref="B45" location="Insulation" display="Insulation" xr:uid="{DC931AA1-9066-4C0A-8028-19AE138C29F0}"/>
    <hyperlink ref="B46" location="HT_Area_Input" display="HT_Area_Input" xr:uid="{BC705F43-A80D-4F56-AC8B-E4E19607E777}"/>
    <hyperlink ref="B47" location="U_Input" display="U_Input" xr:uid="{8E58DE5A-FC8F-4CE2-815F-2F382772668C}"/>
    <hyperlink ref="B48" location="Heating_T_Input" display="Heating_T_Input" xr:uid="{6A20CF64-5E96-4CD5-A408-1621A6DB8299}"/>
    <hyperlink ref="B49" location="Motor_Input" display="Motor_Input" xr:uid="{879FA001-A6E9-4B8A-936D-62F1F125C8E3}"/>
    <hyperlink ref="B50" location="Pump_Valves" display="Pump_Valves" xr:uid="{7A90DCF2-8607-412B-978E-4ABA911EE7C5}"/>
    <hyperlink ref="B51" location="Remote_Start" display="Remote_Start" xr:uid="{739A74B6-F283-4C72-AD2B-E385EBC9EB27}"/>
    <hyperlink ref="B52" location="Seal_Type" display="Seal_Type" xr:uid="{266D5728-FE32-4C91-89CE-7757D1B34D59}"/>
    <hyperlink ref="B56" location="Location" display="Location" xr:uid="{8BBCA91B-86FD-4357-88B4-C9092D9FA9B7}"/>
    <hyperlink ref="B57" location="Attended" display="Attended" xr:uid="{90F8579C-4864-4079-B462-965030E760B5}"/>
    <hyperlink ref="B58" location="Egress" display="Egress" xr:uid="{A2A85582-123A-4E50-8DAF-7AA6D4E2B7B0}"/>
    <hyperlink ref="B59" location="FiredEq_ProcessArea" display="FiredEq_ProcessArea" xr:uid="{57C86951-01B7-4A18-9211-0C85FB118932}"/>
    <hyperlink ref="B60" location="Access" display="Access" xr:uid="{FD52D29A-AA55-4991-9459-B9A7529AB08C}"/>
    <hyperlink ref="B61" location="Soil_Remediation" display="Soil_Remediation" xr:uid="{29313125-07C0-4BCE-92DE-CA1B7E3F8CCD}"/>
    <hyperlink ref="B62" location="Waterway" display="Waterway" xr:uid="{D529FE35-08A8-49FA-8519-FAD13E441CF8}"/>
    <hyperlink ref="B63" location="Dike_Area_Input" display="Dike_Area_Input" xr:uid="{EB87B8D9-AB33-4AB5-81A4-EC51513575C1}"/>
    <hyperlink ref="B64" location="Drainage_Credit" display="Drainage_Credit" xr:uid="{410EF464-7A33-43F5-BEBD-E1EBB220990C}"/>
    <hyperlink ref="B65" location="Flam_In_Area_Input" display="Flam_In_Area_Input" xr:uid="{F8F85DF5-CCE2-48D6-AB8B-F86C882F08EC}"/>
    <hyperlink ref="B66" location="Enclosed_Process_Volume_Input" display="Enclosed_Process_Volume_Input" xr:uid="{2B1C22F7-0221-4415-B521-6A2579B9B3EE}"/>
    <hyperlink ref="B67" location="Enclosed_Ventilation_Rate" display="Enclosed_Ventilation_Rate" xr:uid="{22F6355E-0EA7-4CD4-AFB7-84EF84AD3D10}"/>
    <hyperlink ref="B69" location="Op_Number" display="Op_Number" xr:uid="{00C3D8A1-5D96-48D9-B730-37C163B90054}"/>
    <hyperlink ref="B70" location="Occ_Bldg_Input" display="Occ_Bldg_Input" xr:uid="{B97C7D6E-7823-426D-971E-A440B6D6557E}"/>
    <hyperlink ref="B71" location="Bldg_Type" display="Bldg_Type" xr:uid="{97DEFAE1-5709-4991-8F74-CAE9F5A8B6DF}"/>
    <hyperlink ref="B72" location="Ventilation_Rate" display="Ventilation_Rate" xr:uid="{4FE9EE4A-E705-4882-9527-215E155AD45C}"/>
    <hyperlink ref="B73" location="Ventilation_ShutOff" display="Ventilation_ShutOff" xr:uid="{CA422B27-DFC1-4D79-94A1-DBA89BFF2701}"/>
    <hyperlink ref="B74" location="Occ_Bldg_Cntr_Input" display="Occ_Bldg_Cntr_Input" xr:uid="{72710ED9-0FF7-4E51-9665-8A62EF1769C1}"/>
    <hyperlink ref="B75" location="Occ_Bldg2_Input" display="Occ_Bldg2_Input" xr:uid="{82CA6E75-DA65-40EA-A443-B265FB062049}"/>
    <hyperlink ref="B76" location="Occupants_atRisk" display="Occupants_atRisk" xr:uid="{C1C4FE2E-9704-464E-9D35-00269262B7C2}"/>
    <hyperlink ref="B79" location="Inventory_Input" display="Inventory_Input" xr:uid="{711E8669-A218-4631-9C0D-665242211054}"/>
    <hyperlink ref="B80" location="Dh_Input" display="Dh_Input" xr:uid="{C7B0C036-DB8D-41EE-82E0-2892D84DEFEF}"/>
    <hyperlink ref="B81" location="Max_Feed_P_Input" display="Max_Feed_P_Input" xr:uid="{BBDA9CD9-0E24-4DFC-811C-F32E0E101D65}"/>
    <hyperlink ref="B82" location="Feedrate_Input" display="Feedrate_Input" xr:uid="{C31A2739-5D07-4C53-BB5C-1F7AD0FEE805}"/>
    <hyperlink ref="B83" location="Feed_Type" display="Feed_Type" xr:uid="{36BA5950-01C3-4CA3-8871-2A1C5055AE56}"/>
    <hyperlink ref="B84" location="Inert_Atm" display="Inert_Atm" xr:uid="{9B4ECECF-88BA-4211-AC5F-8669C4B09DC9}"/>
    <hyperlink ref="B85" location="Downstr_P_Input" display="Downstr_P_Input" xr:uid="{D6F53859-BFE0-48AE-BE57-D8CFC87158BD}"/>
    <hyperlink ref="B86" location="Max_Inert_P_Input" display="Max_Inert_P_Input" xr:uid="{F97DBA45-34AC-4B74-AACC-452EA856CBE3}"/>
    <hyperlink ref="B87" location="Inert_FeedRate_Input" display="Inert_FeedRate_Input" xr:uid="{3503D639-1A67-4ADD-90FA-8424C530D31C}"/>
    <hyperlink ref="B88" location="Overflow_Location" display="Overflow_Location" xr:uid="{CA1A0084-2E5C-4ECC-8A90-9FDB704898B3}"/>
    <hyperlink ref="B89" location="Vibration" display="Vibration" xr:uid="{CEC0B097-3E0A-45F4-9CAC-A1A301BA2385}"/>
    <hyperlink ref="B90" location="Rupture_10min" display="Rupture_10min" xr:uid="{DF7E1FA8-3EF7-4551-BCCA-693913588A7A}"/>
    <hyperlink ref="B93" location="Operating_Time" display="Operating_Time" xr:uid="{55E9F0D5-E686-45F9-A2C0-CAD85980D678}"/>
    <hyperlink ref="B94" location="Frequent_Turnaround" display="Frequent_Turnaround" xr:uid="{B58F33BD-D780-48E2-9FED-CA8E1238AB96}"/>
    <hyperlink ref="B97" location="T_Input" display="T_Input" xr:uid="{1E98A6E0-3C58-4DA8-97AD-784142F1267B}"/>
    <hyperlink ref="B98" location="T_Input" display="T_Input" xr:uid="{980A82F3-80B0-4C7D-ABA0-82F958D9B25C}"/>
    <hyperlink ref="B99" location="P_Input" display="P_Input" xr:uid="{B66C51CD-F348-4C9C-80B2-417F996F46F3}"/>
    <hyperlink ref="B100" location="P_Input" display="P_Input" xr:uid="{7807DDD7-460B-4A54-BB00-457D316BE151}"/>
    <hyperlink ref="B101" location="Chemical" display="Chemical" xr:uid="{564E3022-0FBE-48AB-B411-733B68A4F6A6}"/>
    <hyperlink ref="B102" location="State" display="State" xr:uid="{BE56971C-559A-4162-84C4-25EF63A07C06}"/>
    <hyperlink ref="B103" location="Chemical" display="Chemical" xr:uid="{7506320E-2161-428B-8204-D73688B02890}"/>
    <hyperlink ref="B104" location="Mw_Mix" display="Mw_Mix" xr:uid="{E839958F-7791-4B10-A29F-9FFEAED4C516}"/>
    <hyperlink ref="B105" location="TM_Feed" display="TM_Feed" xr:uid="{806BBB39-AB56-4C71-A5F8-8F569C6196FF}"/>
    <hyperlink ref="B106" location="TM_Feed" display="TM_Feed" xr:uid="{BE646BBC-EDD1-4058-9278-52AC93A4D586}"/>
    <hyperlink ref="B107" location="TBp" display="TBp" xr:uid="{40084FB9-D61F-4409-A659-9DBED83F7FAE}"/>
    <hyperlink ref="B108" location="VP_A" display="VP_A" xr:uid="{63591074-A171-4FD1-9580-52A8FEC85A53}"/>
    <hyperlink ref="B109" location="VP_B" display="VP_B" xr:uid="{57D45A2B-CE78-4DED-8325-C6FEF588C5AE}"/>
    <hyperlink ref="B110" location="VP_C" display="VP_C" xr:uid="{D8DED165-5E01-4AA1-BCA8-6048A88C69D1}"/>
    <hyperlink ref="B111" location="LD_A" display="LD_A" xr:uid="{5047E79C-E022-451B-AC02-7E35712CBDE2}"/>
    <hyperlink ref="B112" location="LD_B" display="LD_B" xr:uid="{1E844304-ED18-4AEE-A261-3887418DAAE5}"/>
    <hyperlink ref="B113" location="LHC_A" display="LHC_A" xr:uid="{6A7725C1-F2BD-4806-99E9-DD66E463E842}"/>
    <hyperlink ref="B114" location="LHC_B" display="LHC_B" xr:uid="{933325FC-1D31-46F4-99B5-74712C365B53}"/>
    <hyperlink ref="B115" location="HVAP_A" display="HVAP_A" xr:uid="{FA9E3FFF-C1CB-470C-9A38-A621082AE6F1}"/>
    <hyperlink ref="B116" location="HVAP_B" display="HVAP_B" xr:uid="{4BD230E3-D9D5-4341-B674-26DFB151DA76}"/>
    <hyperlink ref="B117" location="HVAP_C" display="HVAP_C" xr:uid="{EEE61FEA-EF0D-444A-AC1E-EE6D835B2D03}"/>
    <hyperlink ref="B118" location="Flash_Pt_Feed" display="Flash_Pt_Feed" xr:uid="{BC7A2B09-D5E6-40BD-8746-E18893398D6B}"/>
    <hyperlink ref="B119" location="LFL_Mix" display="LFL_Mix" xr:uid="{9E3FA4F7-2023-4ACF-890C-828CD5C6EF97}"/>
    <hyperlink ref="B120" location="Ease_of_Ignition_Feed" display="Ease_of_Ignition_Feed" xr:uid="{9305DCDF-E5A0-45E1-99A5-C4028276076D}"/>
    <hyperlink ref="B121" location="Flame_Speed_Feed" display="Flame_Speed_Feed" xr:uid="{2B5389DD-78F9-4B25-8715-4EA1A95D83F5}"/>
    <hyperlink ref="B122" location="Dust_Class_Feed" display="Dust_Class_Feed" xr:uid="{B6C186C1-E91F-4842-AE35-6165CC31905C}"/>
    <hyperlink ref="B123" location="Dust_Size_Feed" display="Dust_Size_Feed" xr:uid="{E3C8BCDD-C581-4B7A-BBEB-220CF0BE5BF4}"/>
    <hyperlink ref="B124" location="Fraction_Dust_Feed" display="Fraction_Dust_Feed" xr:uid="{E2E7DD0B-75A5-4DCB-AB1F-EE59DD96DF50}"/>
    <hyperlink ref="B125" location="Dust_MIE_Feed" display="Dust_MIE_Feed" xr:uid="{D82CA36A-8583-45E3-B3F3-5D43EFCD1649}"/>
    <hyperlink ref="B126" location="Dust_Hybrid_Feed" display="Dust_Hybrid_Feed" xr:uid="{A5E08DF7-AF74-4DEC-98BC-BFFE2544FCE5}"/>
    <hyperlink ref="B127" location="ER2_Mix" display="ER2_Mix" xr:uid="{BA97DB1C-1F03-4FA2-ADF2-091545C578A8}"/>
    <hyperlink ref="B128" location="ER3_Mix" display="ER3_Mix" xr:uid="{34D7F34D-C418-417F-9221-9F57C981B3B1}"/>
    <hyperlink ref="B129" location="NFPA_H_Max" display="NFPA_H_Max" xr:uid="{5C80D349-69CF-4AFF-BCFD-30B6AB952C2B}"/>
    <hyperlink ref="B130" location="NFPA_F_Max" display="NFPA_F_Max" xr:uid="{BD00444D-190C-42D4-A3E6-FB3EC1D21D90}"/>
    <hyperlink ref="B131" location="NFPA_R_Max" display="NFPA_R_Max" xr:uid="{575629BB-BA3F-4261-8905-E8EDA3E9F27C}"/>
    <hyperlink ref="B132" location="Dermal_Tox_Feed" display="Dermal_Tox_Feed" xr:uid="{49CE7102-42FC-426C-8FAF-74909E76AA95}"/>
    <hyperlink ref="B133" location="Aquatic_Tox_Feed" display="Aquatic_Tox_Feed" xr:uid="{E6D07970-09D5-4B5A-9A99-7DECE1FD5583}"/>
    <hyperlink ref="B134" location="Conductive_Feed" display="Conductive_Feed" xr:uid="{6D1CE5A0-2C77-4FED-A4D9-E0544B305B8B}"/>
    <hyperlink ref="B135" location="Pad_MW" display="Pad_MW" xr:uid="{C0D47180-4350-4C43-B5FD-891A75F4D099}"/>
    <hyperlink ref="B138" location="Sum_WtFract" display="Sum_WtFract" xr:uid="{1386F83D-12CC-46B7-A6BB-38CC1ECE4F7F}"/>
    <hyperlink ref="B139" location="WtFract_2" display="WtFract_2" xr:uid="{EEEF8D83-F92D-4BE0-98B1-4C6717113D30}"/>
    <hyperlink ref="B140" location="WtFract_3" display="WtFract_3" xr:uid="{86F9BF25-A265-4A3D-83F9-9579F2EB8790}"/>
    <hyperlink ref="B141" location="WtFract_4" display="WtFract_4" xr:uid="{33D4AC08-F118-46F7-A488-54D906B146FC}"/>
    <hyperlink ref="B142" location="WtFract_5" display="WtFract_5" xr:uid="{90EF716C-F1CA-4E31-998B-7F88C30B9DE9}"/>
    <hyperlink ref="B143" location="Fract_Key_Chemical" display="Fract_Key_Chemical" xr:uid="{8E3E4341-DA71-45C8-BDA7-9F12EF08888F}"/>
    <hyperlink ref="B144" location="Flash_Pt_Feed" display="Flash_Pt_Feed" xr:uid="{62E445C9-0451-4FCC-9159-5C2CE6D76D57}"/>
    <hyperlink ref="B147" location="Test_Method" display="Test_Method" xr:uid="{138966AC-DCD7-400F-BB80-02EFF38A37B9}"/>
    <hyperlink ref="B148" location="DHR" display="DHR" xr:uid="{A32929B3-5588-42F1-8B9D-1E4D9CA59C01}"/>
    <hyperlink ref="B149" location="Act_Energy" display="Act_Energy" xr:uid="{12EE5B0F-76F4-436D-A3CB-4FFBA25B6C6E}"/>
    <hyperlink ref="B150" location="Tdet" display="Tdet" xr:uid="{D7846BF2-EA78-4E28-8997-BBB83EA269F8}"/>
    <hyperlink ref="B151" location="Rdet" display="Rdet" xr:uid="{13D5AAF8-E19E-469C-BCFB-798D9BF94057}"/>
    <hyperlink ref="B152" location="phi" display="phi" xr:uid="{4B9C1B31-2661-4211-A13C-E0CAEF709CC1}"/>
    <hyperlink ref="B153" location="Gas_Gen" display="Gas_Gen" xr:uid="{7F1A2C2E-F8D5-4EB6-90CD-D4B6941FA5D7}"/>
    <hyperlink ref="B154" location="Limiting_Rate" display="Limiting_Rate" xr:uid="{5C61892B-8E3A-4A9B-AE4D-E6983FB80B24}"/>
    <hyperlink ref="B155" location="Coolant_Area" display="Coolant_Area" xr:uid="{176419E8-DA2F-44D2-B0BB-865DD6CDC169}"/>
    <hyperlink ref="B156" location="Coolant_U" display="Coolant_U" xr:uid="{D7F24CCD-C2A3-4686-8C8B-CF5FD17570BF}"/>
    <hyperlink ref="B157" location="Coolant_Temp" display="Coolant_Temp" xr:uid="{4E600442-F204-42C9-A8BC-560AA0BEBE42}"/>
    <hyperlink ref="B158" location="Catalyzed" display="Catalyzed" xr:uid="{D4F247FD-FB2A-459A-9BF1-E97FA2206473}"/>
    <hyperlink ref="B159" location="Rx_Pooling" display="Rx_Pooling" xr:uid="{00EA2F48-FEFF-4A0D-AA5E-3F39E4A0901B}"/>
    <hyperlink ref="B160" location="Second_Phase" display="Second_Phase" xr:uid="{5FA5CDC5-E6A1-4877-BA97-1227E30A84CC}"/>
    <hyperlink ref="B161" location="Rx_Pooling_Factor" display="Rx_Pooling_Factor" xr:uid="{2ABC4002-1B95-4026-93D3-E1862FD440CD}"/>
    <hyperlink ref="B162" location="Rx_MisLoading" display="Rx_MisLoading" xr:uid="{A492DF12-EB01-4CAE-82B3-E223FC824D80}"/>
    <hyperlink ref="B163" location="Rx_MisLoading_Factor" display="Rx_MisLoading_Factor" xr:uid="{AC91CDA4-BE22-491E-9DA5-B528280D6B4B}"/>
    <hyperlink ref="B164" location="Rx_Incompatible" display="Rx_Incompatible" xr:uid="{24ACEF08-7A48-4346-89F7-C2F6457BCC98}"/>
    <hyperlink ref="B165" location="CP_Detonable" display="CP_Detonable" xr:uid="{DE107B08-CE4B-496A-AEB5-8609A288E1EA}"/>
  </hyperlinks>
  <pageMargins left="0.25" right="0" top="0.25" bottom="0.5" header="0" footer="0.25"/>
  <pageSetup scale="9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073" r:id="rId4" name="Button 1">
              <controlPr defaultSize="0" print="0" autoFill="0" autoPict="0" macro="[0]!Go_To_Main_Menu">
                <anchor moveWithCells="1" sizeWithCells="1">
                  <from>
                    <xdr:col>0</xdr:col>
                    <xdr:colOff>127000</xdr:colOff>
                    <xdr:row>0</xdr:row>
                    <xdr:rowOff>50800</xdr:rowOff>
                  </from>
                  <to>
                    <xdr:col>1</xdr:col>
                    <xdr:colOff>1346200</xdr:colOff>
                    <xdr:row>1</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tabColor rgb="FFFFC000"/>
    <pageSetUpPr autoPageBreaks="0"/>
  </sheetPr>
  <dimension ref="A1:AD73"/>
  <sheetViews>
    <sheetView showGridLines="0" showRowColHeaders="0" zoomScale="80" zoomScaleNormal="80" workbookViewId="0">
      <selection activeCell="B8" sqref="B8"/>
    </sheetView>
  </sheetViews>
  <sheetFormatPr defaultColWidth="9.1796875" defaultRowHeight="13" x14ac:dyDescent="0.25"/>
  <cols>
    <col min="1" max="1" width="2.81640625" style="30" customWidth="1"/>
    <col min="2" max="2" width="60.81640625" style="30" customWidth="1"/>
    <col min="3" max="3" width="12.81640625" style="30" customWidth="1"/>
    <col min="4" max="4" width="12.81640625" style="5" customWidth="1"/>
    <col min="5" max="5" width="3.81640625" style="30" customWidth="1"/>
    <col min="6" max="6" width="2.81640625" style="30" customWidth="1"/>
    <col min="7" max="7" width="3.1796875" style="30" customWidth="1"/>
    <col min="8" max="8" width="33.81640625" style="30" customWidth="1"/>
    <col min="9" max="11" width="10.81640625" style="30" customWidth="1"/>
    <col min="12" max="12" width="11.81640625" style="30" customWidth="1"/>
    <col min="13" max="13" width="12.81640625" style="30" customWidth="1"/>
    <col min="14" max="14" width="3.1796875" style="30" customWidth="1"/>
    <col min="15" max="15" width="2" style="30" hidden="1" customWidth="1"/>
    <col min="16" max="16" width="27.1796875" style="30" hidden="1" customWidth="1"/>
    <col min="17" max="17" width="6.1796875" style="5" hidden="1" customWidth="1"/>
    <col min="18" max="18" width="6.81640625" style="5" hidden="1" customWidth="1"/>
    <col min="19" max="19" width="7.81640625" style="5" hidden="1" customWidth="1"/>
    <col min="20" max="20" width="7.1796875" style="5" hidden="1" customWidth="1"/>
    <col min="21" max="22" width="7.81640625" style="5" hidden="1" customWidth="1"/>
    <col min="23" max="23" width="7.1796875" style="5" hidden="1" customWidth="1"/>
    <col min="24" max="24" width="26" style="30" hidden="1" customWidth="1"/>
    <col min="25" max="25" width="8.81640625" style="30" hidden="1" customWidth="1"/>
    <col min="26" max="26" width="7.81640625" style="30" hidden="1" customWidth="1"/>
    <col min="27" max="28" width="9.1796875" style="30" hidden="1" customWidth="1"/>
    <col min="29" max="16384" width="9.1796875" style="30"/>
  </cols>
  <sheetData>
    <row r="1" spans="1:29" ht="6.75" customHeight="1" x14ac:dyDescent="0.25">
      <c r="A1" s="345"/>
      <c r="B1" s="345"/>
      <c r="C1" s="345"/>
      <c r="D1" s="345"/>
      <c r="E1" s="345"/>
      <c r="G1" s="345"/>
      <c r="H1" s="345"/>
      <c r="I1" s="345"/>
      <c r="J1" s="345"/>
      <c r="K1" s="345"/>
      <c r="L1" s="345"/>
      <c r="M1" s="345"/>
      <c r="N1" s="345"/>
    </row>
    <row r="2" spans="1:29" ht="12.75" customHeight="1" x14ac:dyDescent="0.25">
      <c r="A2" s="345"/>
      <c r="B2" s="529"/>
      <c r="C2" s="529"/>
      <c r="D2" s="529"/>
      <c r="E2" s="345"/>
      <c r="F2" s="26"/>
      <c r="G2" s="345"/>
      <c r="H2" s="345"/>
      <c r="I2" s="345"/>
      <c r="J2" s="345"/>
      <c r="K2" s="345"/>
      <c r="L2" s="345"/>
      <c r="M2" s="345"/>
      <c r="N2" s="345"/>
      <c r="O2" s="26"/>
      <c r="P2" s="26"/>
      <c r="Q2" s="19"/>
      <c r="R2" s="19"/>
      <c r="S2" s="19"/>
      <c r="T2" s="19"/>
      <c r="U2" s="19"/>
      <c r="V2" s="19"/>
      <c r="W2" s="19"/>
    </row>
    <row r="3" spans="1:29" ht="5.25" customHeight="1" x14ac:dyDescent="0.25">
      <c r="A3" s="345"/>
      <c r="B3" s="345"/>
      <c r="C3" s="345"/>
      <c r="D3" s="345"/>
      <c r="E3" s="345"/>
      <c r="F3" s="26"/>
      <c r="G3" s="345"/>
      <c r="H3" s="345"/>
      <c r="I3" s="345"/>
      <c r="J3" s="345"/>
      <c r="K3" s="345"/>
      <c r="L3" s="345"/>
      <c r="M3" s="345"/>
      <c r="N3" s="345"/>
      <c r="O3" s="26"/>
      <c r="P3" s="26"/>
      <c r="Q3" s="19"/>
      <c r="R3" s="19"/>
      <c r="S3" s="19"/>
      <c r="T3" s="19"/>
      <c r="U3" s="19"/>
      <c r="V3" s="19"/>
      <c r="W3" s="19"/>
    </row>
    <row r="4" spans="1:29" ht="18" customHeight="1" x14ac:dyDescent="0.35">
      <c r="A4" s="345"/>
      <c r="B4" s="3863" t="s">
        <v>1102</v>
      </c>
      <c r="C4" s="3864"/>
      <c r="D4" s="3864"/>
      <c r="E4" s="345"/>
      <c r="F4" s="26"/>
      <c r="G4" s="345"/>
      <c r="H4" s="3863" t="s">
        <v>1458</v>
      </c>
      <c r="I4" s="3864"/>
      <c r="J4" s="3864"/>
      <c r="K4" s="3864"/>
      <c r="L4" s="3864"/>
      <c r="M4" s="3864"/>
      <c r="N4" s="345"/>
      <c r="O4" s="26"/>
      <c r="P4" s="3849" t="s">
        <v>2343</v>
      </c>
      <c r="Q4" s="3562"/>
      <c r="R4" s="3562"/>
      <c r="S4" s="3562"/>
      <c r="T4" s="3562"/>
      <c r="U4" s="3562"/>
      <c r="V4" s="280"/>
      <c r="W4" s="3849" t="s">
        <v>2344</v>
      </c>
      <c r="X4" s="3562"/>
      <c r="Y4" s="3562"/>
      <c r="Z4" s="3562"/>
      <c r="AA4" s="3562"/>
      <c r="AB4" s="3562"/>
    </row>
    <row r="5" spans="1:29" ht="13.75" customHeight="1" x14ac:dyDescent="0.25">
      <c r="A5" s="345"/>
      <c r="B5" s="3858" t="str">
        <f>"RAST Version "&amp;Version&amp;" (Does not inlcude Warehouse)"</f>
        <v>RAST Version 4.5 (Does not inlcude Warehouse)</v>
      </c>
      <c r="C5" s="3859"/>
      <c r="D5" s="3859"/>
      <c r="E5" s="345"/>
      <c r="F5" s="26"/>
      <c r="G5" s="345"/>
      <c r="H5" s="3858" t="str">
        <f>"RAST Version "&amp;Version</f>
        <v>RAST Version 4.5</v>
      </c>
      <c r="I5" s="3859"/>
      <c r="J5" s="3859"/>
      <c r="K5" s="3862"/>
      <c r="L5" s="3862"/>
      <c r="M5" s="3862"/>
      <c r="N5" s="345"/>
      <c r="O5" s="19"/>
      <c r="P5" s="19"/>
      <c r="Q5" s="19"/>
      <c r="R5" s="19"/>
      <c r="S5" s="19"/>
      <c r="T5" s="19"/>
      <c r="U5" s="19"/>
      <c r="V5" s="19"/>
      <c r="W5" s="26"/>
      <c r="X5" s="280"/>
      <c r="Y5" s="280"/>
      <c r="Z5" s="280"/>
      <c r="AA5" s="280"/>
      <c r="AB5" s="280"/>
    </row>
    <row r="6" spans="1:29" ht="11.25" customHeight="1" x14ac:dyDescent="0.25">
      <c r="A6" s="345"/>
      <c r="B6" s="26" t="str">
        <f>"Prepared by:  "&amp;Partipants</f>
        <v xml:space="preserve">Prepared by:  </v>
      </c>
      <c r="C6" s="3854" t="str">
        <f>"  Date:  "&amp;Date</f>
        <v xml:space="preserve">  Date:  </v>
      </c>
      <c r="D6" s="3854"/>
      <c r="E6" s="345"/>
      <c r="F6" s="26"/>
      <c r="G6" s="345"/>
      <c r="H6" s="3854" t="str">
        <f>"Prepared by:  "&amp;Partipants</f>
        <v xml:space="preserve">Prepared by:  </v>
      </c>
      <c r="I6" s="3854"/>
      <c r="J6" s="3854"/>
      <c r="L6" s="3854" t="str">
        <f>"Date:  "&amp;Date</f>
        <v xml:space="preserve">Date:  </v>
      </c>
      <c r="M6" s="3562"/>
      <c r="N6" s="345"/>
      <c r="O6" s="19"/>
      <c r="P6" s="3805" t="s">
        <v>845</v>
      </c>
      <c r="Q6" s="3805"/>
      <c r="R6" s="3805"/>
      <c r="S6" s="3805"/>
      <c r="T6" s="3805"/>
      <c r="U6" s="3805"/>
      <c r="V6" s="35"/>
      <c r="W6" s="26"/>
      <c r="X6" s="335" t="s">
        <v>2347</v>
      </c>
      <c r="Y6" s="926">
        <f>IF(Inventory&gt;ContainedMass,Inventory,ContainedMass)</f>
        <v>0</v>
      </c>
      <c r="Z6" s="30" t="s">
        <v>1497</v>
      </c>
      <c r="AA6" s="280"/>
      <c r="AB6" s="280"/>
    </row>
    <row r="7" spans="1:29" ht="11.25" customHeight="1" x14ac:dyDescent="0.25">
      <c r="A7" s="345"/>
      <c r="B7" s="26" t="s">
        <v>2241</v>
      </c>
      <c r="C7" s="30" t="s">
        <v>2243</v>
      </c>
      <c r="D7" s="26"/>
      <c r="E7" s="345"/>
      <c r="F7" s="26"/>
      <c r="G7" s="345"/>
      <c r="H7" s="26" t="s">
        <v>2241</v>
      </c>
      <c r="J7" s="26"/>
      <c r="L7" s="26" t="s">
        <v>2242</v>
      </c>
      <c r="M7" s="26"/>
      <c r="N7" s="345"/>
      <c r="O7" s="19"/>
      <c r="P7" s="19"/>
      <c r="Q7" s="26"/>
      <c r="R7" s="26"/>
      <c r="S7" s="26"/>
      <c r="T7" s="26"/>
      <c r="U7" s="26"/>
      <c r="V7" s="26"/>
      <c r="W7" s="26"/>
      <c r="X7" s="335" t="s">
        <v>2378</v>
      </c>
      <c r="Y7" s="927">
        <f>Y6/300</f>
        <v>0</v>
      </c>
      <c r="Z7" s="30" t="s">
        <v>1069</v>
      </c>
      <c r="AA7" s="280"/>
      <c r="AB7" s="280"/>
    </row>
    <row r="8" spans="1:29" ht="11.25" customHeight="1" x14ac:dyDescent="0.25">
      <c r="A8" s="345"/>
      <c r="B8" s="482"/>
      <c r="C8" s="3860"/>
      <c r="D8" s="3861"/>
      <c r="E8" s="345"/>
      <c r="F8" s="26"/>
      <c r="G8" s="345"/>
      <c r="H8" s="3844"/>
      <c r="I8" s="3845"/>
      <c r="J8" s="3846"/>
      <c r="K8" s="3846"/>
      <c r="L8" s="3842"/>
      <c r="M8" s="3843"/>
      <c r="N8" s="345"/>
      <c r="O8" s="19"/>
      <c r="P8" s="19" t="s">
        <v>1763</v>
      </c>
      <c r="Q8" s="3850" t="s">
        <v>1605</v>
      </c>
      <c r="R8" s="3850"/>
      <c r="S8" s="3850"/>
      <c r="T8" s="3850"/>
      <c r="U8" s="3850"/>
      <c r="V8" s="19"/>
      <c r="W8" s="26"/>
    </row>
    <row r="9" spans="1:29" x14ac:dyDescent="0.25">
      <c r="A9" s="345"/>
      <c r="B9" s="3854"/>
      <c r="C9" s="3854"/>
      <c r="D9" s="19"/>
      <c r="E9" s="345"/>
      <c r="F9" s="26"/>
      <c r="G9" s="345"/>
      <c r="H9" s="26"/>
      <c r="I9" s="26"/>
      <c r="J9" s="26"/>
      <c r="K9" s="26"/>
      <c r="L9" s="26"/>
      <c r="M9" s="26"/>
      <c r="N9" s="345"/>
      <c r="O9" s="26"/>
      <c r="P9" s="19" t="s">
        <v>926</v>
      </c>
      <c r="Q9" s="19">
        <v>0</v>
      </c>
      <c r="R9" s="19">
        <v>1</v>
      </c>
      <c r="S9" s="19">
        <v>2</v>
      </c>
      <c r="T9" s="19">
        <v>3</v>
      </c>
      <c r="U9" s="19">
        <v>4</v>
      </c>
      <c r="V9" s="19"/>
      <c r="W9" s="26"/>
      <c r="X9" s="3847" t="str">
        <f>"Case 1 - Pipe or Nozzle Leak at d = "&amp;CEI_Size&amp;" mm"</f>
        <v>Case 1 - Pipe or Nozzle Leak at d = 0 mm</v>
      </c>
      <c r="Y9" s="3848"/>
      <c r="Z9" s="3848"/>
    </row>
    <row r="10" spans="1:29" x14ac:dyDescent="0.25">
      <c r="A10" s="345"/>
      <c r="B10" s="3854" t="str">
        <f>"PLANT DATA     "&amp;Plant_Section</f>
        <v xml:space="preserve">PLANT DATA     </v>
      </c>
      <c r="C10" s="3854"/>
      <c r="D10" s="3854"/>
      <c r="E10" s="345"/>
      <c r="F10" s="26"/>
      <c r="G10" s="345"/>
      <c r="H10" s="3854" t="str">
        <f>"PLANT DATA     "&amp;Plant_Section</f>
        <v xml:space="preserve">PLANT DATA     </v>
      </c>
      <c r="I10" s="3854"/>
      <c r="J10" s="3854"/>
      <c r="K10" s="3854"/>
      <c r="L10" s="3854"/>
      <c r="M10" s="3854"/>
      <c r="N10" s="345"/>
      <c r="O10" s="26"/>
      <c r="P10" s="19">
        <v>0</v>
      </c>
      <c r="Q10" s="4">
        <v>1</v>
      </c>
      <c r="R10" s="4">
        <v>14</v>
      </c>
      <c r="S10" s="4">
        <v>24</v>
      </c>
      <c r="T10" s="4">
        <v>29</v>
      </c>
      <c r="U10" s="4">
        <v>40</v>
      </c>
      <c r="V10" s="19"/>
      <c r="W10" s="26"/>
    </row>
    <row r="11" spans="1:29" x14ac:dyDescent="0.25">
      <c r="A11" s="345"/>
      <c r="B11" s="26"/>
      <c r="C11" s="26"/>
      <c r="D11" s="19"/>
      <c r="E11" s="345"/>
      <c r="F11" s="26"/>
      <c r="G11" s="345"/>
      <c r="H11" s="26"/>
      <c r="I11" s="26"/>
      <c r="J11" s="26"/>
      <c r="K11" s="26"/>
      <c r="L11" s="26"/>
      <c r="M11" s="26"/>
      <c r="N11" s="345"/>
      <c r="O11" s="26"/>
      <c r="P11" s="19">
        <v>1</v>
      </c>
      <c r="Q11" s="4">
        <v>4</v>
      </c>
      <c r="R11" s="4">
        <v>14</v>
      </c>
      <c r="S11" s="4">
        <v>24</v>
      </c>
      <c r="T11" s="4">
        <v>29</v>
      </c>
      <c r="U11" s="4">
        <v>40</v>
      </c>
      <c r="V11" s="19"/>
      <c r="W11" s="26"/>
      <c r="X11" s="335" t="s">
        <v>2346</v>
      </c>
      <c r="Y11" s="928">
        <f>IF(AND(State="Liquid",Liq_rho&gt;0),IF(0.000944*CEI_Size^2*Liq_rho*(101.3*P/Liq_rho+9.8*Dh)^0.5&lt;Y7,0.000944*CEI_Size^2*Liq_rho*(101.3*P/Liq_rho+9.8*Dh)^0.5,Y7),0)</f>
        <v>0</v>
      </c>
      <c r="Z11" s="30" t="s">
        <v>1069</v>
      </c>
      <c r="AB11" s="72"/>
      <c r="AC11" s="19"/>
    </row>
    <row r="12" spans="1:29" x14ac:dyDescent="0.25">
      <c r="A12" s="345"/>
      <c r="B12" s="3854" t="str">
        <f>"Process Unit:  "&amp;Equipment&amp;"; "&amp;Equipment_Tag</f>
        <v xml:space="preserve">Process Unit:  ; </v>
      </c>
      <c r="C12" s="3854"/>
      <c r="D12" s="3854"/>
      <c r="E12" s="345"/>
      <c r="F12" s="26"/>
      <c r="G12" s="345"/>
      <c r="H12" s="3854" t="str">
        <f>"  Process Unit:  "&amp;Equipment&amp;"; "&amp;Equipment_Tag</f>
        <v xml:space="preserve">  Process Unit:  ; </v>
      </c>
      <c r="I12" s="3854"/>
      <c r="J12" s="3854"/>
      <c r="K12" s="3854"/>
      <c r="L12" s="3854"/>
      <c r="M12" s="3854"/>
      <c r="N12" s="345"/>
      <c r="O12" s="26"/>
      <c r="P12" s="19">
        <v>2</v>
      </c>
      <c r="Q12" s="4">
        <v>10</v>
      </c>
      <c r="R12" s="4">
        <v>14</v>
      </c>
      <c r="S12" s="4">
        <v>24</v>
      </c>
      <c r="T12" s="4">
        <v>29</v>
      </c>
      <c r="U12" s="4">
        <v>40</v>
      </c>
      <c r="V12" s="19"/>
      <c r="W12" s="26"/>
      <c r="X12" s="335" t="s">
        <v>2359</v>
      </c>
      <c r="Y12" s="929">
        <f>IF(State="Vapor",0.000004751*CEI_Size^2*101.3*(P+1)*(Mw_Mix/(T+273))^0.5,0)</f>
        <v>0</v>
      </c>
      <c r="Z12" s="30" t="s">
        <v>1069</v>
      </c>
      <c r="AB12" s="72"/>
      <c r="AC12" s="19"/>
    </row>
    <row r="13" spans="1:29" x14ac:dyDescent="0.25">
      <c r="A13" s="345"/>
      <c r="B13" s="26"/>
      <c r="C13" s="26"/>
      <c r="D13" s="19"/>
      <c r="E13" s="345"/>
      <c r="F13" s="26"/>
      <c r="G13" s="345"/>
      <c r="H13" s="26"/>
      <c r="I13" s="26"/>
      <c r="J13" s="26"/>
      <c r="K13" s="26"/>
      <c r="L13" s="26"/>
      <c r="M13" s="26"/>
      <c r="N13" s="345"/>
      <c r="O13" s="26"/>
      <c r="P13" s="19">
        <v>3</v>
      </c>
      <c r="Q13" s="4">
        <v>16</v>
      </c>
      <c r="R13" s="4">
        <v>16</v>
      </c>
      <c r="S13" s="4">
        <v>24</v>
      </c>
      <c r="T13" s="4">
        <v>29</v>
      </c>
      <c r="U13" s="4">
        <v>40</v>
      </c>
      <c r="V13" s="19"/>
      <c r="W13" s="26"/>
      <c r="X13" s="335" t="s">
        <v>2377</v>
      </c>
      <c r="Y13" s="926">
        <f>IF(900*Y11&lt;Y6,900*Y11,Y6)</f>
        <v>0</v>
      </c>
    </row>
    <row r="14" spans="1:29" ht="15" x14ac:dyDescent="0.25">
      <c r="A14" s="345"/>
      <c r="B14" s="71" t="str">
        <f>"  Key Chemical: "&amp;Chemical&amp;IF(WFeed_1&lt;1," Mix",IF(Pseudo_Chem="Yes"," Pseudo Mix",""))</f>
        <v xml:space="preserve">  Key Chemical:  Mix</v>
      </c>
      <c r="C14" s="26"/>
      <c r="D14" s="19"/>
      <c r="E14" s="345"/>
      <c r="F14" s="26"/>
      <c r="G14" s="345"/>
      <c r="H14" s="71" t="str">
        <f>"  Key Chemical: "&amp;Chemical&amp;IF(WFeed_1&lt;1," Mix",IF(Pseudo_Chem="Yes"," Pseudo Mix",""))</f>
        <v xml:space="preserve">  Key Chemical:  Mix</v>
      </c>
      <c r="I14" s="26"/>
      <c r="J14" s="19"/>
      <c r="K14" s="19"/>
      <c r="L14" s="19"/>
      <c r="M14" s="19"/>
      <c r="N14" s="345"/>
      <c r="O14" s="26"/>
      <c r="P14" s="19">
        <v>4</v>
      </c>
      <c r="Q14" s="4">
        <v>21</v>
      </c>
      <c r="R14" s="4">
        <v>21</v>
      </c>
      <c r="S14" s="4">
        <v>24</v>
      </c>
      <c r="T14" s="4">
        <v>29</v>
      </c>
      <c r="U14" s="4">
        <v>40</v>
      </c>
      <c r="V14" s="19"/>
      <c r="W14" s="26"/>
      <c r="X14" s="335" t="s">
        <v>2165</v>
      </c>
      <c r="Y14" s="930">
        <f>IF(AND(State="Liquid",T&gt;TBp,Lat_Ht&gt;0),(T-TBp)*Liq_C/Lat_Ht,0)</f>
        <v>0</v>
      </c>
    </row>
    <row r="15" spans="1:29" x14ac:dyDescent="0.25">
      <c r="A15" s="345"/>
      <c r="B15" s="26" t="s">
        <v>1650</v>
      </c>
      <c r="C15" s="19">
        <f>WFeed_1</f>
        <v>0</v>
      </c>
      <c r="D15" s="19"/>
      <c r="E15" s="345"/>
      <c r="F15" s="26"/>
      <c r="G15" s="345"/>
      <c r="H15" s="26" t="s">
        <v>885</v>
      </c>
      <c r="I15" s="19">
        <f>WFeed_1</f>
        <v>0</v>
      </c>
      <c r="J15" s="72" t="s">
        <v>2381</v>
      </c>
      <c r="K15" s="40" t="str">
        <f>IF(Public_Units="ft","US/English Units","SI Units")</f>
        <v>SI Units</v>
      </c>
      <c r="L15" s="19"/>
      <c r="M15" s="19"/>
      <c r="N15" s="345"/>
      <c r="O15" s="26"/>
      <c r="P15" s="19"/>
      <c r="Q15" s="19"/>
      <c r="R15" s="19"/>
      <c r="S15" s="19"/>
      <c r="T15" s="19"/>
      <c r="U15" s="19"/>
      <c r="V15" s="19"/>
      <c r="W15" s="26"/>
      <c r="X15" s="335" t="s">
        <v>2351</v>
      </c>
      <c r="Y15" s="930">
        <f>IF(Y14&lt;0.2,5*Y14,1)</f>
        <v>0</v>
      </c>
    </row>
    <row r="16" spans="1:29" x14ac:dyDescent="0.25">
      <c r="A16" s="345"/>
      <c r="B16" s="26" t="s">
        <v>1762</v>
      </c>
      <c r="C16" s="19" t="str">
        <f>State</f>
        <v>Liquid</v>
      </c>
      <c r="D16" s="26"/>
      <c r="E16" s="345"/>
      <c r="F16" s="26"/>
      <c r="G16" s="345"/>
      <c r="H16" s="26" t="s">
        <v>525</v>
      </c>
      <c r="I16" s="19" t="str">
        <f>State</f>
        <v>Liquid</v>
      </c>
      <c r="J16" s="19"/>
      <c r="K16" s="19"/>
      <c r="L16" s="19"/>
      <c r="M16" s="19"/>
      <c r="N16" s="345"/>
      <c r="O16" s="26"/>
      <c r="P16" s="19"/>
      <c r="Q16" s="19"/>
      <c r="R16" s="19"/>
      <c r="S16" s="19"/>
      <c r="T16" s="19"/>
      <c r="U16" s="19"/>
      <c r="V16" s="19"/>
      <c r="W16" s="26"/>
      <c r="X16" s="335" t="s">
        <v>2352</v>
      </c>
      <c r="Y16" s="926">
        <f>IF(State&lt;&gt;"Liquid",0,IF(Liq_rho=0,Dike_Area,IF(Dike_Area=0,Y13*0.1*(1-Y15)/Liq_rho,IF(Y13*0.1*(1-Y15)/Liq_rho&lt;Dike_Area,Y13*0.1*(1-Y15)/Liq_rho,IF(Y13*0.1*(1-Y15)/Liq_rho,Dike_Area)))))</f>
        <v>0</v>
      </c>
      <c r="Z16" s="30" t="s">
        <v>1160</v>
      </c>
    </row>
    <row r="17" spans="1:26" x14ac:dyDescent="0.25">
      <c r="A17" s="345"/>
      <c r="B17" s="26" t="str">
        <f>IF(State&lt;&gt;"Solid","Adjusted NFPA Flammability","Dust Deflagration Class")</f>
        <v>Adjusted NFPA Flammability</v>
      </c>
      <c r="C17" s="19">
        <f>IF(State&lt;&gt;"Solid",S33,Dust_Class_Feed)</f>
        <v>0</v>
      </c>
      <c r="D17" s="26"/>
      <c r="E17" s="345"/>
      <c r="F17" s="26"/>
      <c r="G17" s="345"/>
      <c r="H17" s="26" t="str">
        <f>"  System Inventory,  "&amp;IF(Inventory_Input="",ContainedMass_Units,Inventory_Units)</f>
        <v xml:space="preserve">  System Inventory,  kg</v>
      </c>
      <c r="I17" s="19">
        <f>IF(Inventory_Input="",I18,Inventory_Input)</f>
        <v>0</v>
      </c>
      <c r="L17" s="19"/>
      <c r="M17" s="19"/>
      <c r="N17" s="345"/>
      <c r="O17" s="26"/>
      <c r="P17" s="19" t="s">
        <v>1764</v>
      </c>
      <c r="Q17" s="3850" t="s">
        <v>1605</v>
      </c>
      <c r="R17" s="3850"/>
      <c r="S17" s="3850"/>
      <c r="T17" s="3850"/>
      <c r="U17" s="3850"/>
      <c r="V17" s="19"/>
      <c r="W17" s="26"/>
      <c r="X17" s="335" t="s">
        <v>2353</v>
      </c>
      <c r="Y17" s="928">
        <f>IF(T&lt;TBp,0.0912*Y16^0.95*Mw_Mix*Psat/(T+273),0.0912*Y16^0.95*Mw_Mix/(TBp+273))</f>
        <v>0</v>
      </c>
      <c r="Z17" s="30" t="s">
        <v>1069</v>
      </c>
    </row>
    <row r="18" spans="1:26" ht="12.75" customHeight="1" x14ac:dyDescent="0.25">
      <c r="A18" s="345"/>
      <c r="B18" s="26" t="s">
        <v>716</v>
      </c>
      <c r="C18" s="19">
        <f>U33</f>
        <v>0</v>
      </c>
      <c r="D18" s="26"/>
      <c r="E18" s="345"/>
      <c r="F18" s="26"/>
      <c r="G18" s="345"/>
      <c r="H18" s="26" t="str">
        <f>"  Contained Mass,  "&amp;ContainedMass_Units</f>
        <v xml:space="preserve">  Contained Mass,  kg</v>
      </c>
      <c r="I18" s="228">
        <f>'Process Conditions'!H14</f>
        <v>0</v>
      </c>
      <c r="J18" s="19"/>
      <c r="K18" s="19"/>
      <c r="L18" s="19"/>
      <c r="M18" s="19"/>
      <c r="N18" s="345"/>
      <c r="O18" s="26"/>
      <c r="P18" s="19" t="s">
        <v>3487</v>
      </c>
      <c r="Q18" s="19">
        <v>0</v>
      </c>
      <c r="R18" s="19">
        <v>1</v>
      </c>
      <c r="S18" s="19">
        <v>2</v>
      </c>
      <c r="T18" s="19">
        <v>3</v>
      </c>
      <c r="U18" s="19">
        <v>4</v>
      </c>
      <c r="V18" s="19"/>
      <c r="W18" s="26"/>
      <c r="X18" s="335" t="s">
        <v>2354</v>
      </c>
      <c r="Y18" s="928">
        <f>IF(State="Vapor",Y12,IF(Y11*Y15+Y17&lt;Y11,Y11*Y15+Y17,Y11))</f>
        <v>0</v>
      </c>
      <c r="Z18" s="30" t="s">
        <v>1069</v>
      </c>
    </row>
    <row r="19" spans="1:26" ht="14.25" customHeight="1" thickBot="1" x14ac:dyDescent="0.3">
      <c r="A19" s="345"/>
      <c r="B19" s="26" t="str">
        <f>"Quantity Handled,  "&amp;ContainedMass_Units</f>
        <v>Quantity Handled,  kg</v>
      </c>
      <c r="C19" s="388">
        <f>ContainedMass_Output</f>
        <v>0</v>
      </c>
      <c r="D19" s="26"/>
      <c r="E19" s="345"/>
      <c r="F19" s="26"/>
      <c r="G19" s="345"/>
      <c r="H19" s="26" t="str">
        <f>"  Maximum Feedrate,  "&amp;Feedrate_Units</f>
        <v xml:space="preserve">  Maximum Feedrate,  kg/min</v>
      </c>
      <c r="I19" s="19">
        <f>Feedrate_Input</f>
        <v>0</v>
      </c>
      <c r="J19" s="19"/>
      <c r="K19" s="19"/>
      <c r="L19" s="19"/>
      <c r="M19" s="19"/>
      <c r="N19" s="345"/>
      <c r="O19" s="26"/>
      <c r="P19" s="19" t="s">
        <v>1765</v>
      </c>
      <c r="Q19" s="4">
        <v>16</v>
      </c>
      <c r="R19" s="4">
        <v>16</v>
      </c>
      <c r="S19" s="4">
        <v>24</v>
      </c>
      <c r="T19" s="4">
        <v>29</v>
      </c>
      <c r="U19" s="4">
        <v>40</v>
      </c>
      <c r="V19" s="19"/>
      <c r="W19" s="26"/>
      <c r="X19" s="335" t="s">
        <v>2355</v>
      </c>
      <c r="Y19" s="931">
        <f>IF(AND(OR(Regulatory_Tox="Yes",ER3_Min&lt;=1000),ER2_Mix&lt;&gt;"",Mw_Mix&gt;0),IF(655.1*(Y18*24.45/(Mw_Mix*ER2_Mix))^0.5&lt;1000,655.1*(Y18*24.45/(Mw_Mix*ER2_Mix))^0.5,1000),0)</f>
        <v>0</v>
      </c>
    </row>
    <row r="20" spans="1:26" ht="13.5" thickBot="1" x14ac:dyDescent="0.3">
      <c r="A20" s="345"/>
      <c r="B20" s="26" t="s">
        <v>1171</v>
      </c>
      <c r="C20" s="26"/>
      <c r="D20" s="113">
        <f>IF(AND(State="Solid",Dust_Class_Feed=""),1,IF(State&lt;&gt;"Solid",VLOOKUP(S33,P9:U14,U33+2,FALSE),VLOOKUP(Dust_Class_Feed,P18:U24,U33+2,FALSE)))</f>
        <v>1</v>
      </c>
      <c r="E20" s="345"/>
      <c r="F20" s="26"/>
      <c r="G20" s="345"/>
      <c r="H20" s="26" t="str">
        <f>"  Containment Dike Area, "&amp;Dike_Area_Units</f>
        <v xml:space="preserve">  Containment Dike Area, sq m</v>
      </c>
      <c r="I20" s="19" t="str">
        <f>IF(Dike_Area_Input="","",Dike_Area_Input)</f>
        <v/>
      </c>
      <c r="L20" s="19"/>
      <c r="M20" s="19"/>
      <c r="N20" s="345"/>
      <c r="O20" s="26"/>
      <c r="P20" s="19" t="s">
        <v>1009</v>
      </c>
      <c r="Q20" s="4">
        <v>21</v>
      </c>
      <c r="R20" s="4">
        <v>21</v>
      </c>
      <c r="S20" s="4">
        <v>24</v>
      </c>
      <c r="T20" s="4">
        <v>29</v>
      </c>
      <c r="U20" s="4">
        <v>40</v>
      </c>
      <c r="V20" s="19"/>
      <c r="W20" s="26"/>
      <c r="X20" s="335" t="s">
        <v>2356</v>
      </c>
      <c r="Y20" s="932">
        <f>IF(AND(OR(Regulatory_Tox="Yes",ER3_Min&lt;=1000),ER2_Mix&lt;&gt;"",Mw_Mix&gt;0),6551*(Y18*24.45/(Mw_Mix*ER2_Mix))^0.5,0)</f>
        <v>0</v>
      </c>
      <c r="Z20" s="30" t="s">
        <v>1068</v>
      </c>
    </row>
    <row r="21" spans="1:26" ht="12.75" customHeight="1" x14ac:dyDescent="0.25">
      <c r="A21" s="345"/>
      <c r="B21" s="26"/>
      <c r="C21" s="26"/>
      <c r="D21" s="19"/>
      <c r="E21" s="345"/>
      <c r="F21" s="26"/>
      <c r="G21" s="345"/>
      <c r="H21" s="26"/>
      <c r="I21" s="26"/>
      <c r="J21" s="26"/>
      <c r="K21" s="19"/>
      <c r="L21" s="19"/>
      <c r="M21" s="19"/>
      <c r="N21" s="345"/>
      <c r="O21" s="26"/>
      <c r="P21" s="19" t="s">
        <v>1615</v>
      </c>
      <c r="Q21" s="4">
        <v>24</v>
      </c>
      <c r="R21" s="4">
        <v>24</v>
      </c>
      <c r="S21" s="4">
        <v>24</v>
      </c>
      <c r="T21" s="4">
        <v>29</v>
      </c>
      <c r="U21" s="4">
        <v>40</v>
      </c>
      <c r="V21" s="19"/>
      <c r="W21" s="26"/>
      <c r="X21" s="335" t="s">
        <v>2357</v>
      </c>
      <c r="Y21" s="932">
        <f>IF(AND(OR(Regulatory_Tox="Yes",ER3_Min&lt;=1000),ER3_Mix&lt;&gt;"",Mw_Mix&gt;0),6551*(Y18*24.45/(Mw_Mix*ER3_Mix))^0.5,0)</f>
        <v>0</v>
      </c>
      <c r="Z21" s="30" t="s">
        <v>1068</v>
      </c>
    </row>
    <row r="22" spans="1:26" ht="25.5" customHeight="1" x14ac:dyDescent="0.25">
      <c r="A22" s="345"/>
      <c r="B22" s="933" t="s">
        <v>4952</v>
      </c>
      <c r="C22" s="13" t="s">
        <v>503</v>
      </c>
      <c r="D22" s="13" t="s">
        <v>1172</v>
      </c>
      <c r="E22" s="345"/>
      <c r="F22" s="26"/>
      <c r="G22" s="345"/>
      <c r="H22" s="26" t="s">
        <v>1933</v>
      </c>
      <c r="I22" s="19"/>
      <c r="J22" s="26" t="s">
        <v>1978</v>
      </c>
      <c r="K22" s="26"/>
      <c r="L22" s="26"/>
      <c r="M22" s="26"/>
      <c r="N22" s="345"/>
      <c r="O22" s="26"/>
      <c r="P22" s="19" t="s">
        <v>3485</v>
      </c>
      <c r="Q22" s="1674">
        <v>4</v>
      </c>
      <c r="R22" s="4">
        <v>14</v>
      </c>
      <c r="S22" s="4">
        <v>24</v>
      </c>
      <c r="T22" s="4">
        <v>29</v>
      </c>
      <c r="U22" s="4">
        <v>40</v>
      </c>
      <c r="V22" s="19"/>
      <c r="W22" s="26"/>
      <c r="X22" s="335"/>
      <c r="Y22" s="390"/>
    </row>
    <row r="23" spans="1:26" x14ac:dyDescent="0.3">
      <c r="A23" s="345"/>
      <c r="B23" s="174" t="s">
        <v>1400</v>
      </c>
      <c r="C23" s="934">
        <v>1</v>
      </c>
      <c r="D23" s="116">
        <v>1</v>
      </c>
      <c r="E23" s="345"/>
      <c r="F23" s="26"/>
      <c r="G23" s="345"/>
      <c r="H23" s="26" t="s">
        <v>1934</v>
      </c>
      <c r="I23" s="19">
        <f>NFPA_H_Max</f>
        <v>0</v>
      </c>
      <c r="J23" s="26" t="str">
        <f>"  Public, "&amp;Public_Units</f>
        <v xml:space="preserve">  Public, m</v>
      </c>
      <c r="K23" s="26"/>
      <c r="L23" s="26"/>
      <c r="M23" s="19">
        <f>Public_Input</f>
        <v>0</v>
      </c>
      <c r="N23" s="345"/>
      <c r="O23" s="26"/>
      <c r="P23" s="19" t="s">
        <v>3486</v>
      </c>
      <c r="Q23" s="1674">
        <v>10</v>
      </c>
      <c r="R23" s="4">
        <v>14</v>
      </c>
      <c r="S23" s="4">
        <v>24</v>
      </c>
      <c r="T23" s="4">
        <v>29</v>
      </c>
      <c r="U23" s="4">
        <v>40</v>
      </c>
      <c r="V23" s="19"/>
      <c r="W23" s="26"/>
      <c r="X23" s="3856" t="s">
        <v>2358</v>
      </c>
      <c r="Y23" s="3857"/>
      <c r="Z23" s="3857"/>
    </row>
    <row r="24" spans="1:26" x14ac:dyDescent="0.25">
      <c r="A24" s="345"/>
      <c r="B24" s="174" t="str">
        <f>"A.  Exothermic Chemical Reaction - "&amp;Exo_Reaction</f>
        <v xml:space="preserve">A.  Exothermic Chemical Reaction - </v>
      </c>
      <c r="C24" s="935" t="s">
        <v>1738</v>
      </c>
      <c r="D24" s="116" t="e">
        <f>IF(Exo_Reaction&lt;&gt;"",VLOOKUP(Exo_Reaction,Exotherm_Table,2,FALSE),IF(OR(Reactive_Potential="No",ABS(DHR)&lt;1,Intended_Reaction&lt;&gt;"Yes"),0,IF(OR(CP_Detonable="Yes",AND(Reaction_Index&gt;20,DHR&lt;-240)),1.25,IF(DHR&lt;-240,1,IF(DHR&lt;-120,0.75,IF(DHR&lt;-48,0.5,IF(DHR&lt;-12,0.3,0)))))))</f>
        <v>#DIV/0!</v>
      </c>
      <c r="E24" s="345"/>
      <c r="F24" s="26"/>
      <c r="G24" s="345"/>
      <c r="H24" s="26" t="str">
        <f>IF(WFeed_1&lt;1,"  Mixture ERPG-2 (ppm)","  ERPG-2 (ppm)")</f>
        <v xml:space="preserve">  Mixture ERPG-2 (ppm)</v>
      </c>
      <c r="I24" s="388" t="str">
        <f>ER2_Mix</f>
        <v/>
      </c>
      <c r="J24" s="26" t="str">
        <f>"  Nearest Occupied Building, "&amp;Occ_Bldg_Units</f>
        <v xml:space="preserve">  Nearest Occupied Building, m</v>
      </c>
      <c r="K24" s="26"/>
      <c r="L24" s="26"/>
      <c r="M24" s="19" t="str">
        <f>IF(Occ_Bldg_Input&gt;0,Occ_Bldg_Input,"")</f>
        <v/>
      </c>
      <c r="N24" s="345"/>
      <c r="O24" s="26"/>
      <c r="P24" s="19" t="s">
        <v>3484</v>
      </c>
      <c r="Q24" s="1674">
        <v>16</v>
      </c>
      <c r="R24" s="4">
        <v>16</v>
      </c>
      <c r="S24" s="4">
        <v>24</v>
      </c>
      <c r="T24" s="4">
        <v>29</v>
      </c>
      <c r="U24" s="4">
        <v>40</v>
      </c>
      <c r="V24" s="19"/>
      <c r="W24" s="26"/>
    </row>
    <row r="25" spans="1:26" x14ac:dyDescent="0.25">
      <c r="A25" s="345"/>
      <c r="B25" s="174" t="str">
        <f>"B.  Endothermic Chemical Reaction - "&amp;Endo_Reaction</f>
        <v xml:space="preserve">B.  Endothermic Chemical Reaction - </v>
      </c>
      <c r="C25" s="936" t="s">
        <v>1404</v>
      </c>
      <c r="D25" s="116">
        <f>IF(Endo_Reaction&lt;&gt;"",VLOOKUP(Endo_Reaction,Endotherm_Table,2,FALSE),IF(AND(Intended_Reaction="Yes",DHR&gt;1),IF(Equipment="Fired Equipment - Process Heater",0.4,0.2),0))</f>
        <v>0</v>
      </c>
      <c r="E25" s="345"/>
      <c r="F25" s="26"/>
      <c r="G25" s="345"/>
      <c r="H25" s="26" t="str">
        <f>IF(WFeed_1&lt;1,"  Mixture ERPG-3 (ppm)","  ERPG-3 (ppm)")</f>
        <v xml:space="preserve">  Mixture ERPG-3 (ppm)</v>
      </c>
      <c r="I25" s="388" t="str">
        <f>ER3_Mix</f>
        <v/>
      </c>
      <c r="J25" s="26"/>
      <c r="K25" s="26"/>
      <c r="L25" s="26"/>
      <c r="M25" s="26"/>
      <c r="N25" s="345"/>
      <c r="O25" s="26"/>
      <c r="P25" s="19"/>
      <c r="Q25" s="19"/>
      <c r="R25" s="19"/>
      <c r="S25" s="19"/>
      <c r="T25" s="19"/>
      <c r="U25" s="19"/>
      <c r="V25" s="19"/>
      <c r="W25" s="26"/>
      <c r="X25" s="335" t="s">
        <v>2384</v>
      </c>
      <c r="Y25" s="928">
        <f>IF(State="Solid",0,IF(Feedrate&lt;Y7,Feedrate,Y7))</f>
        <v>0</v>
      </c>
      <c r="Z25" s="30" t="s">
        <v>1069</v>
      </c>
    </row>
    <row r="26" spans="1:26" x14ac:dyDescent="0.25">
      <c r="A26" s="345"/>
      <c r="B26" s="174" t="s">
        <v>369</v>
      </c>
      <c r="C26" s="936" t="s">
        <v>1405</v>
      </c>
      <c r="D26" s="116">
        <f>IF(AND(OR(Equipment="Bag/Pak Dumping (Solids)",Equipment="Drum/IBC Handling",Equipment="Tank Truck/Rail Car/Tote"),OR(Dust_Hybrid_Feed="yes",NFPA_F_Max&gt;2)),0.5,0)</f>
        <v>0</v>
      </c>
      <c r="E26" s="345"/>
      <c r="F26" s="26"/>
      <c r="G26" s="345"/>
      <c r="H26" s="26"/>
      <c r="I26" s="26"/>
      <c r="J26" s="26"/>
      <c r="K26" s="26"/>
      <c r="L26" s="26"/>
      <c r="M26" s="26"/>
      <c r="N26" s="345"/>
      <c r="O26" s="26"/>
      <c r="P26" s="19"/>
      <c r="Q26" s="19"/>
      <c r="R26" s="19"/>
      <c r="S26" s="19"/>
      <c r="T26" s="19"/>
      <c r="U26" s="19"/>
      <c r="V26" s="19"/>
      <c r="W26" s="26"/>
      <c r="X26" s="335" t="s">
        <v>2377</v>
      </c>
      <c r="Y26" s="926">
        <f>IF(900*Y25&lt;Y6,900*Y25,Y6)</f>
        <v>0</v>
      </c>
    </row>
    <row r="27" spans="1:26" ht="15" x14ac:dyDescent="0.25">
      <c r="A27" s="345"/>
      <c r="B27" s="174" t="s">
        <v>370</v>
      </c>
      <c r="C27" s="936" t="s">
        <v>1406</v>
      </c>
      <c r="D27" s="116">
        <f>IF(Location&lt;&gt;"Indoors",0,IF(Equipment="Dust Filter or Baghouse (Solids)",IF(Enclosed_Ventilation_Rate&gt;4,0.25,0.5),IF(AND(State&lt;&gt;"Solid",T&gt;Flash_Pt_Feed,T&gt;TBp),IF(Inventory&gt;5000,IF(Enclosed_Ventilation_Rate&gt;4,0.45,0.9),IF(Enclosed_Ventilation_Rate&gt;4,0.3,0.6)),IF(AND(State&lt;&gt;"Solid",T&gt;Flash_Pt_Feed),IF(Inventory&gt;5000,0.45,0.3),0))))</f>
        <v>0</v>
      </c>
      <c r="E27" s="345"/>
      <c r="F27" s="26"/>
      <c r="G27" s="345"/>
      <c r="H27" s="26" t="s">
        <v>1232</v>
      </c>
      <c r="I27" s="26"/>
      <c r="J27" s="937" t="s">
        <v>1429</v>
      </c>
      <c r="K27" s="937"/>
      <c r="L27" s="937"/>
      <c r="M27" s="937"/>
      <c r="N27" s="345"/>
      <c r="O27" s="26"/>
      <c r="P27" s="19"/>
      <c r="Q27" s="19"/>
      <c r="R27" s="19"/>
      <c r="S27" s="19"/>
      <c r="T27" s="19"/>
      <c r="U27" s="19"/>
      <c r="V27" s="19"/>
      <c r="W27" s="26"/>
      <c r="X27" s="335" t="s">
        <v>2165</v>
      </c>
      <c r="Y27" s="930">
        <f>IF(AND(State="Liquid",T&gt;TBp,Lat_Ht&gt;0),(T-TBp)*Liq_C/Lat_Ht,0)</f>
        <v>0</v>
      </c>
    </row>
    <row r="28" spans="1:26" x14ac:dyDescent="0.25">
      <c r="A28" s="345"/>
      <c r="B28" s="174" t="s">
        <v>371</v>
      </c>
      <c r="C28" s="936" t="s">
        <v>840</v>
      </c>
      <c r="D28" s="116">
        <f>IF(Access="Partially Adequate",0.2,IF(Access="Inadequate",0.35,0))</f>
        <v>0</v>
      </c>
      <c r="E28" s="345"/>
      <c r="F28" s="26"/>
      <c r="G28" s="345"/>
      <c r="H28" s="26" t="str">
        <f>"  Operating Temperature, T, "&amp;T_Units</f>
        <v xml:space="preserve">  Operating Temperature, T, C</v>
      </c>
      <c r="I28" s="19">
        <f>T_Input</f>
        <v>0</v>
      </c>
      <c r="J28" s="937" t="str">
        <f>"  Equipment Volume, "&amp;Volume_Units</f>
        <v xml:space="preserve">  Equipment Volume, liter</v>
      </c>
      <c r="K28" s="937"/>
      <c r="L28" s="937"/>
      <c r="M28" s="19">
        <f>Equipment_Volume</f>
        <v>0</v>
      </c>
      <c r="N28" s="345"/>
      <c r="O28" s="26"/>
      <c r="P28" s="3805" t="s">
        <v>1898</v>
      </c>
      <c r="Q28" s="3805"/>
      <c r="R28" s="3805"/>
      <c r="S28" s="3805"/>
      <c r="T28" s="3805"/>
      <c r="U28" s="3805"/>
      <c r="V28" s="26"/>
      <c r="W28" s="26"/>
      <c r="X28" s="335" t="s">
        <v>2351</v>
      </c>
      <c r="Y28" s="930">
        <f>IF(Y27&lt;0.2,5*Y27,1)</f>
        <v>0</v>
      </c>
    </row>
    <row r="29" spans="1:26" ht="12.75" customHeight="1" x14ac:dyDescent="0.25">
      <c r="A29" s="345"/>
      <c r="B29" s="174" t="s">
        <v>1170</v>
      </c>
      <c r="C29" s="938" t="s">
        <v>1399</v>
      </c>
      <c r="D29" s="116">
        <f>IF(OR(TBp&lt;0,Flash_Pt_Feed=""),0,IF(AND(Flash_Pt_Feed&gt;60,T&lt;Flash_Pt_Feed),0,IF(OR(State&lt;&gt;"Liquid",Drainage_Credit="Yes"),0,IF(Drainage_Credit="Partial",0.25,0.5))))</f>
        <v>0</v>
      </c>
      <c r="E29" s="345"/>
      <c r="F29" s="26"/>
      <c r="G29" s="345"/>
      <c r="H29" s="26" t="str">
        <f>"  Operating Pressure, P (gauge), "&amp;P_Units</f>
        <v xml:space="preserve">  Operating Pressure, P (gauge), bar</v>
      </c>
      <c r="I29" s="19">
        <f>P_Input</f>
        <v>0</v>
      </c>
      <c r="J29" s="26" t="str">
        <f>"  Ht of Liquid within Equipment, "&amp;Dh_Units</f>
        <v xml:space="preserve">  Ht of Liquid within Equipment, m</v>
      </c>
      <c r="K29" s="26"/>
      <c r="L29" s="26"/>
      <c r="M29" s="19">
        <f>Dh_Input</f>
        <v>0</v>
      </c>
      <c r="N29" s="345"/>
      <c r="O29" s="26"/>
      <c r="P29" s="19"/>
      <c r="Q29" s="19"/>
      <c r="R29" s="19"/>
      <c r="S29" s="19" t="s">
        <v>1900</v>
      </c>
      <c r="T29" s="19"/>
      <c r="U29" s="19" t="s">
        <v>1899</v>
      </c>
      <c r="V29" s="19"/>
      <c r="W29" s="26"/>
      <c r="X29" s="335" t="s">
        <v>2352</v>
      </c>
      <c r="Y29" s="926">
        <f>IF(State&lt;&gt;"Liquid",0,IF(Liq_rho=0,Dike_Area,IF(Dike_Area=0,Y26*0.1*(1-Y28)/Liq_rho,IF(Y26*0.1*(1-Y28)/Liq_rho&lt;Dike_Area,Y26*0.1*(1-Y28)/Liq_rho,IF(Y26*0.1*(1-Y28)/Liq_rho,Dike_Area)))))</f>
        <v>0</v>
      </c>
      <c r="Z29" s="30" t="s">
        <v>1160</v>
      </c>
    </row>
    <row r="30" spans="1:26" ht="12.75" customHeight="1" x14ac:dyDescent="0.25">
      <c r="A30" s="345"/>
      <c r="B30" s="939" t="str">
        <f>"Dike Area = "&amp;Dike_Area_Input&amp;" "&amp;Dike_Area_Units</f>
        <v>Dike Area =  sq m</v>
      </c>
      <c r="C30" s="26"/>
      <c r="D30" s="172"/>
      <c r="E30" s="345"/>
      <c r="F30" s="26"/>
      <c r="G30" s="345"/>
      <c r="H30" s="26" t="s">
        <v>1233</v>
      </c>
      <c r="I30" s="388">
        <f>Mw_Feed</f>
        <v>0</v>
      </c>
      <c r="J30" s="26" t="s">
        <v>1754</v>
      </c>
      <c r="K30" s="26"/>
      <c r="L30" s="26"/>
      <c r="M30" s="19">
        <f>IF(OR(Connection_Type="Hose",D&lt;5.08),ROUND(D/2.54,2),IF(D&lt;10.2,2,ROUND((0.2*D^2)^0.5/2.54,2)))</f>
        <v>0</v>
      </c>
      <c r="N30" s="345"/>
      <c r="O30" s="26"/>
      <c r="P30" s="40" t="s">
        <v>1901</v>
      </c>
      <c r="Q30" s="19"/>
      <c r="R30" s="19"/>
      <c r="S30" s="4" t="str">
        <f>IF(State&lt;&gt;"Solid",NFPA_F_Feed,IF(Dust_Class_Feed="Class 3",3,IF(Dust_Class_Feed="Class 2",2,IF(Dust_Class_Feed="Class 1",1,""))))</f>
        <v/>
      </c>
      <c r="T30" s="19"/>
      <c r="U30" s="4" t="str">
        <f>NFPA_R_Feed</f>
        <v/>
      </c>
      <c r="V30" s="19"/>
      <c r="W30" s="26"/>
      <c r="X30" s="335" t="s">
        <v>2353</v>
      </c>
      <c r="Y30" s="928">
        <f>IF(T&lt;TBp,0.0912*Y29^0.95*Mw_Mix*Psat/(T+273),0.0912*Y29^0.95*Mw_Mix/(TBp+273))</f>
        <v>0</v>
      </c>
      <c r="Z30" s="30" t="s">
        <v>1069</v>
      </c>
    </row>
    <row r="31" spans="1:26" ht="14.25" customHeight="1" x14ac:dyDescent="0.25">
      <c r="A31" s="345"/>
      <c r="B31" s="175"/>
      <c r="C31" s="176"/>
      <c r="D31" s="177"/>
      <c r="E31" s="345"/>
      <c r="F31" s="26"/>
      <c r="G31" s="345"/>
      <c r="H31" s="26" t="str">
        <f>IF(T_Units="","  Normal Boiling Point, C","  Normal Boiling Point, "&amp;T_Units)</f>
        <v xml:space="preserve">  Normal Boiling Point, C</v>
      </c>
      <c r="I31" s="19">
        <f>IF(T_Units="F",ROUND(1.8*TBp+32,1),ROUND(TBp,1))</f>
        <v>0</v>
      </c>
      <c r="J31" s="26" t="s">
        <v>2345</v>
      </c>
      <c r="K31" s="26"/>
      <c r="L31" s="26"/>
      <c r="M31" s="19">
        <f>M30*25.4</f>
        <v>0</v>
      </c>
      <c r="N31" s="345"/>
      <c r="O31" s="26"/>
      <c r="P31" s="40" t="s">
        <v>1028</v>
      </c>
      <c r="Q31" s="19"/>
      <c r="R31" s="19"/>
      <c r="S31" s="4" t="str">
        <f>IF(OR(T&lt;60,Flash_Pt_Feed=""),"",IF(AND(T&gt;Flash_Pt_Feed,Flash_Pt_Feed&gt;=60,NFPA_F_Feed&lt;3),1,""))</f>
        <v/>
      </c>
      <c r="T31" s="19"/>
      <c r="U31" s="6"/>
      <c r="V31" s="19"/>
      <c r="W31" s="26"/>
      <c r="X31" s="335" t="s">
        <v>2354</v>
      </c>
      <c r="Y31" s="928">
        <f>IF(AND(State="Liquid",Y25*Y28+Y30&lt;Y25),Y25*Y28+Y30,Y25)</f>
        <v>0</v>
      </c>
      <c r="Z31" s="30" t="s">
        <v>1069</v>
      </c>
    </row>
    <row r="32" spans="1:26" ht="12.75" customHeight="1" thickBot="1" x14ac:dyDescent="0.3">
      <c r="A32" s="345"/>
      <c r="B32" s="940" t="s">
        <v>1401</v>
      </c>
      <c r="C32" s="941"/>
      <c r="D32" s="942" t="e">
        <f>SUM(D23:D31)</f>
        <v>#DIV/0!</v>
      </c>
      <c r="E32" s="345"/>
      <c r="F32" s="26"/>
      <c r="G32" s="345"/>
      <c r="H32" s="26" t="str">
        <f>"  Vapor Press at Operating Temp, "&amp;IF(K15="US/English Units"," psi absolute"," kPa absolute")</f>
        <v xml:space="preserve">  Vapor Press at Operating Temp,  kPa absolute</v>
      </c>
      <c r="I32" s="943">
        <f>IF(K15="US/English Units",14.7*Psat,101.3*Psat)</f>
        <v>0</v>
      </c>
      <c r="J32" s="3851" t="str">
        <f>IF(Connection_Type="Hose","Hose Connection has been Assumed","")</f>
        <v/>
      </c>
      <c r="K32" s="3852"/>
      <c r="L32" s="3852"/>
      <c r="M32" s="3852"/>
      <c r="N32" s="345"/>
      <c r="O32" s="26"/>
      <c r="P32" s="40" t="s">
        <v>1480</v>
      </c>
      <c r="Q32" s="19"/>
      <c r="R32" s="19"/>
      <c r="S32" s="6"/>
      <c r="T32" s="19"/>
      <c r="U32" s="4" t="str">
        <f>IF(AND(DHR&lt;RxHeat_Limit,TNR&lt;&gt;"&gt;TNR"),IF(T&gt;TNR,1,""),"")</f>
        <v/>
      </c>
      <c r="V32" s="26"/>
      <c r="W32" s="26"/>
      <c r="X32" s="335" t="s">
        <v>2364</v>
      </c>
      <c r="Y32" s="931">
        <f>IF(AND(OR(Regulatory_Tox="Yes",ER3_Min&lt;=1000),ER2_Mix&lt;&gt;"",Mw_Mix&gt;0),IF(655.1*(Y31*24.45/(Mw_Mix*ER2_Mix))^0.5&lt;1000,655.1*(Y31*24.45/(Mw_Mix*ER2_Mix))^0.5,1000),0)</f>
        <v>0</v>
      </c>
    </row>
    <row r="33" spans="1:29" ht="12.75" customHeight="1" x14ac:dyDescent="0.25">
      <c r="A33" s="345"/>
      <c r="B33" s="345"/>
      <c r="C33" s="345"/>
      <c r="D33" s="345"/>
      <c r="E33" s="345"/>
      <c r="F33" s="26"/>
      <c r="G33" s="345"/>
      <c r="H33" s="26" t="str">
        <f>"  Liquid Density at Operating Temp, "&amp;IF(K15="US/English Units"," lb/cu ft"," kg/cu m")</f>
        <v xml:space="preserve">  Liquid Density at Operating Temp,  kg/cu m</v>
      </c>
      <c r="I33" s="943">
        <f>IF(K15="US/English Units",62.43*Liq_rho,1000*Liq_rho)</f>
        <v>100</v>
      </c>
      <c r="N33" s="345"/>
      <c r="O33" s="26"/>
      <c r="P33" s="40" t="s">
        <v>1481</v>
      </c>
      <c r="Q33" s="19"/>
      <c r="R33" s="19"/>
      <c r="S33" s="4">
        <f>IF(SUM(S30:S32)&lt;5,SUM(S30:S32),4)</f>
        <v>0</v>
      </c>
      <c r="T33" s="19"/>
      <c r="U33" s="4">
        <f>IF(SUM(U30:U32)&lt;5,SUM(U30:U32),4)</f>
        <v>0</v>
      </c>
      <c r="V33" s="26"/>
      <c r="W33" s="26"/>
      <c r="X33" s="335" t="s">
        <v>2365</v>
      </c>
      <c r="Y33" s="932">
        <f>IF(AND(OR(Regulatory_Tox="Yes",ER3_Min&lt;=1000),ER2_Mix&lt;&gt;"",Mw_Mix&gt;0),6551*(Y31*24.45/(Mw_Mix*ER2_Mix))^0.5,0)</f>
        <v>0</v>
      </c>
      <c r="Z33" s="30" t="s">
        <v>1068</v>
      </c>
    </row>
    <row r="34" spans="1:29" x14ac:dyDescent="0.25">
      <c r="A34" s="345"/>
      <c r="B34" s="944"/>
      <c r="C34" s="945"/>
      <c r="D34" s="136"/>
      <c r="E34" s="345"/>
      <c r="F34" s="26"/>
      <c r="G34" s="345"/>
      <c r="H34" s="26" t="str">
        <f>"  Liquid Heat Capacity at Op Temp, "&amp;IF(K15="US/English Units"," BTU/lb F"," kJ/km C")</f>
        <v xml:space="preserve">  Liquid Heat Capacity at Op Temp,  kJ/km C</v>
      </c>
      <c r="I34" s="943">
        <f>IF(K15="US/English Units",Liq_C,4.187*Liq_C)</f>
        <v>0</v>
      </c>
      <c r="N34" s="345"/>
      <c r="O34" s="26"/>
      <c r="P34" s="19"/>
      <c r="Q34" s="19"/>
      <c r="R34" s="19"/>
      <c r="S34" s="19"/>
      <c r="T34" s="19"/>
      <c r="U34" s="19"/>
      <c r="V34" s="19"/>
      <c r="W34" s="26"/>
      <c r="X34" s="335" t="s">
        <v>2366</v>
      </c>
      <c r="Y34" s="932">
        <f>IF(AND(OR(Regulatory_Tox="Yes",ER3_Min&lt;=1000),ER3_Mix&lt;&gt;"",Mw_Mix&gt;0),6551*(Y31*24.45/(Mw_Mix*ER3_Mix))^0.5,0)</f>
        <v>0</v>
      </c>
      <c r="Z34" s="30" t="s">
        <v>1068</v>
      </c>
    </row>
    <row r="35" spans="1:29" ht="12.75" customHeight="1" x14ac:dyDescent="0.25">
      <c r="A35" s="345"/>
      <c r="B35" s="946" t="s">
        <v>4953</v>
      </c>
      <c r="C35" s="71"/>
      <c r="D35" s="947"/>
      <c r="E35" s="345"/>
      <c r="F35" s="26"/>
      <c r="G35" s="345"/>
      <c r="H35" s="26" t="str">
        <f>"  Heat of Vaporization at Operating Temp, "&amp;IF(K15="US/English Units"," BTU/lb"," kJ/km")</f>
        <v xml:space="preserve">  Heat of Vaporization at Operating Temp,  kJ/km</v>
      </c>
      <c r="I35" s="948">
        <f>IF(K15="US/English Units",1.8*Lat_Ht,4.187*Lat_Ht)</f>
        <v>4.1870000000000003</v>
      </c>
      <c r="J35" s="26"/>
      <c r="K35" s="26"/>
      <c r="L35" s="26"/>
      <c r="M35" s="26"/>
      <c r="N35" s="345"/>
      <c r="O35" s="26"/>
      <c r="P35" s="19"/>
      <c r="Q35" s="19"/>
      <c r="R35" s="19"/>
      <c r="S35" s="19"/>
      <c r="T35" s="19"/>
      <c r="U35" s="26"/>
      <c r="V35" s="19"/>
      <c r="W35" s="26"/>
      <c r="X35" s="335"/>
      <c r="Y35" s="390"/>
    </row>
    <row r="36" spans="1:29" x14ac:dyDescent="0.25">
      <c r="A36" s="345"/>
      <c r="B36" s="174" t="s">
        <v>143</v>
      </c>
      <c r="C36" s="934">
        <v>1</v>
      </c>
      <c r="D36" s="116">
        <v>1</v>
      </c>
      <c r="E36" s="345"/>
      <c r="F36" s="26"/>
      <c r="G36" s="345"/>
      <c r="H36" s="26"/>
      <c r="I36" s="948"/>
      <c r="J36" s="26"/>
      <c r="K36" s="26"/>
      <c r="L36" s="26"/>
      <c r="M36" s="26"/>
      <c r="N36" s="345"/>
      <c r="O36" s="26"/>
      <c r="P36" s="19"/>
      <c r="Q36" s="19"/>
      <c r="R36" s="19"/>
      <c r="S36" s="19"/>
      <c r="T36" s="19"/>
      <c r="U36" s="26"/>
      <c r="V36" s="19"/>
      <c r="W36" s="26"/>
      <c r="X36" s="3847" t="s">
        <v>3149</v>
      </c>
      <c r="Y36" s="3848"/>
      <c r="Z36" s="3848"/>
      <c r="AB36" s="72"/>
    </row>
    <row r="37" spans="1:29" x14ac:dyDescent="0.25">
      <c r="A37" s="949"/>
      <c r="B37" s="174" t="s">
        <v>515</v>
      </c>
      <c r="C37" s="935" t="s">
        <v>1402</v>
      </c>
      <c r="D37" s="116">
        <f>IF(NFPA_H_Max&lt;&gt;"",0.2*NFPA_H_Max,0)</f>
        <v>0</v>
      </c>
      <c r="E37" s="949"/>
      <c r="F37" s="26"/>
      <c r="G37" s="345"/>
      <c r="H37" s="345"/>
      <c r="I37" s="345"/>
      <c r="J37" s="345"/>
      <c r="K37" s="345"/>
      <c r="L37" s="345"/>
      <c r="M37" s="345"/>
      <c r="N37" s="345"/>
      <c r="O37" s="26"/>
      <c r="P37" s="19"/>
      <c r="Q37" s="19"/>
      <c r="R37" s="19"/>
      <c r="S37" s="19"/>
      <c r="T37" s="19"/>
      <c r="U37" s="19"/>
      <c r="V37" s="228"/>
      <c r="W37" s="26"/>
      <c r="AB37" s="72"/>
      <c r="AC37" s="19"/>
    </row>
    <row r="38" spans="1:29" x14ac:dyDescent="0.25">
      <c r="A38" s="345"/>
      <c r="B38" s="174" t="s">
        <v>651</v>
      </c>
      <c r="C38" s="950">
        <v>0.5</v>
      </c>
      <c r="D38" s="116">
        <f>IF(Flash_Pt_Feed="",0,IF(AND(P_Unlimited&lt;0-0.34,T&gt;Flash_Pt_Feed-5),0.5,0))</f>
        <v>0</v>
      </c>
      <c r="E38" s="345"/>
      <c r="F38" s="26"/>
      <c r="G38" s="345"/>
      <c r="N38" s="345"/>
      <c r="O38" s="26"/>
      <c r="P38" s="3805" t="s">
        <v>2031</v>
      </c>
      <c r="Q38" s="3850"/>
      <c r="R38" s="3850"/>
      <c r="S38" s="3850"/>
      <c r="T38" s="3850"/>
      <c r="U38" s="3850"/>
      <c r="V38" s="228"/>
      <c r="W38" s="26"/>
      <c r="X38" s="335" t="s">
        <v>2360</v>
      </c>
      <c r="Y38" s="928">
        <f>10*Relief_Size</f>
        <v>0</v>
      </c>
      <c r="Z38" s="30" t="s">
        <v>893</v>
      </c>
      <c r="AB38" s="72"/>
      <c r="AC38" s="19"/>
    </row>
    <row r="39" spans="1:29" x14ac:dyDescent="0.25">
      <c r="A39" s="345"/>
      <c r="B39" s="174" t="s">
        <v>2014</v>
      </c>
      <c r="C39" s="951" t="s">
        <v>1403</v>
      </c>
      <c r="D39" s="116">
        <f>IF(OR(TBp&lt;0,Flash_Pt_Feed=""),0,IF(OR(State="Solid",AND(T&lt;Flash_Pt_Feed-5,Heating_T&lt;Flash_Pt_Feed-5,Tmax_MechEng&lt;Flash_Pt_Feed-5)),0,IF(OR(AND(T&lt;Flash_Pt_Feed-5,OR(Heating_T&gt;Flash_Pt_Feed-5,Tmax_MechEng&gt;Flash_Pt_Feed-5)),T&gt;TBp,AND(D38=0,T&gt;Flash_Pt_Feed-5,Inert_Atm="Yes")),0.3,IF(AND(Inert_Atm="Yes",D38&gt;0),0,IF(AND(Flash_Pt_Feed&lt;60,OR(Relief_Type="Pressure Relief Line",Relief_Set&lt;0.1)),0.8,0.5)))))</f>
        <v>0</v>
      </c>
      <c r="E39" s="345"/>
      <c r="F39" s="26"/>
      <c r="G39" s="949"/>
      <c r="H39" s="71" t="s">
        <v>2383</v>
      </c>
      <c r="I39" s="12"/>
      <c r="J39" s="12"/>
      <c r="K39" s="12"/>
      <c r="L39" s="12"/>
      <c r="M39" s="12"/>
      <c r="N39" s="949"/>
      <c r="O39" s="19"/>
      <c r="P39" s="19"/>
      <c r="Q39" s="19"/>
      <c r="R39" s="19"/>
      <c r="S39" s="19" t="s">
        <v>1497</v>
      </c>
      <c r="T39" s="19"/>
      <c r="U39" s="19" t="s">
        <v>1105</v>
      </c>
      <c r="V39" s="26"/>
      <c r="W39" s="26"/>
      <c r="X39" s="335" t="s">
        <v>2361</v>
      </c>
      <c r="Y39" s="929">
        <f>IF(Relief_Flowrate&gt;0,Relief_Flowrate,IF(State="Solid",0,0.000004751*Y38^2*101.3*(1.1*Relief_Set+1)*(Mw_Mix/(T+273))^0.5))</f>
        <v>0</v>
      </c>
      <c r="Z39" s="30" t="s">
        <v>1069</v>
      </c>
      <c r="AB39" s="72"/>
      <c r="AC39" s="19"/>
    </row>
    <row r="40" spans="1:29" ht="12.75" customHeight="1" x14ac:dyDescent="0.25">
      <c r="A40" s="345"/>
      <c r="B40" s="939" t="str">
        <f>IF(Inert_Atm="Yes","Inerted","Not Inerted")</f>
        <v>Not Inerted</v>
      </c>
      <c r="C40" s="952"/>
      <c r="D40" s="953"/>
      <c r="E40" s="345"/>
      <c r="F40" s="26"/>
      <c r="G40" s="949"/>
      <c r="H40" s="71"/>
      <c r="I40" s="12"/>
      <c r="J40" s="12"/>
      <c r="K40" s="12"/>
      <c r="L40" s="12"/>
      <c r="M40" s="12"/>
      <c r="N40" s="949"/>
      <c r="O40" s="19"/>
      <c r="P40" s="3853" t="s">
        <v>3215</v>
      </c>
      <c r="Q40" s="3854"/>
      <c r="R40" s="3855"/>
      <c r="S40" s="114">
        <f>ROUND(MAX(ContainedMass,Inventory)*MAX(Fraction_Reactive,Fraction_Flammable)+IF(Automated_EBV="Yes",0,Flam_In_Area),1)</f>
        <v>0</v>
      </c>
      <c r="T40" s="19"/>
      <c r="U40" s="114">
        <f>ROUND(2.20462*S40,0)</f>
        <v>0</v>
      </c>
      <c r="V40" s="26"/>
      <c r="W40" s="26"/>
      <c r="X40" s="335" t="s">
        <v>2379</v>
      </c>
      <c r="Y40" s="929">
        <f>IF(State="Solid",0,IF(OR(Relief_Discharge_Location="Scrubber or Containment",Relief_Discharge_Location="Flare or Incinerator",Relief_Top_HD2&lt;10),0,IF(Y39&lt;Y7,Y39,Y7)))</f>
        <v>0</v>
      </c>
      <c r="Z40" s="30" t="s">
        <v>1069</v>
      </c>
      <c r="AB40" s="72"/>
      <c r="AC40" s="19"/>
    </row>
    <row r="41" spans="1:29" ht="12.75" customHeight="1" x14ac:dyDescent="0.25">
      <c r="A41" s="345"/>
      <c r="B41" s="954" t="str">
        <f>IF(D39=0.5,"Flammable Storage",IF(D39=0.8,"Always in Flammable Range",IF(D39=0.3,"Process Upset or Purge Failure","")))</f>
        <v/>
      </c>
      <c r="C41" s="952"/>
      <c r="D41" s="953"/>
      <c r="E41" s="345"/>
      <c r="F41" s="26"/>
      <c r="G41" s="345"/>
      <c r="H41" s="26" t="s">
        <v>871</v>
      </c>
      <c r="I41" s="26"/>
      <c r="J41" s="955">
        <v>1</v>
      </c>
      <c r="K41" s="955">
        <v>2</v>
      </c>
      <c r="L41" s="955">
        <v>3</v>
      </c>
      <c r="M41" s="955">
        <v>4</v>
      </c>
      <c r="N41" s="345"/>
      <c r="O41" s="19"/>
      <c r="P41" s="3853" t="s">
        <v>3216</v>
      </c>
      <c r="Q41" s="3854"/>
      <c r="R41" s="3855"/>
      <c r="S41" s="114">
        <f>IF(S40=0,0,IF(AND(OR(Equipment="Drum/IBC Handling",Equipment="Tank Truck/Rail Car/Tote",Automated_EBV="Yes"),600*MAX('Release Calculations'!N23,Feedrate)&lt;S40),ROUND(600*MAX(Fraction_Reactive,Fraction_Flammable)*MAX('Release Calculations'!N23,Feedrate),1),S40))</f>
        <v>0</v>
      </c>
      <c r="T41" s="19"/>
      <c r="U41" s="114">
        <f>ROUND(2.20462*S41,0)</f>
        <v>0</v>
      </c>
      <c r="V41" s="26"/>
      <c r="W41" s="26"/>
      <c r="X41" s="335" t="s">
        <v>2367</v>
      </c>
      <c r="Y41" s="931">
        <f>IF(AND(OR(Regulatory_Tox="Yes",ER3_Min&lt;=1000),ER2_Mix&lt;&gt;"",Mw_Mix&gt;0),IF(655.1*(Y40*24.45/(Mw_Mix*ER2_Mix))^0.5&lt;1000,655.1*(Y40*24.45/(Mw_Mix*ER2_Mix))^0.5,1000),0)</f>
        <v>0</v>
      </c>
      <c r="AB41" s="72"/>
      <c r="AC41" s="19"/>
    </row>
    <row r="42" spans="1:29" ht="21" x14ac:dyDescent="0.25">
      <c r="A42" s="345"/>
      <c r="B42" s="174" t="s">
        <v>710</v>
      </c>
      <c r="C42" s="951" t="s">
        <v>974</v>
      </c>
      <c r="D42" s="116">
        <f>IF(Dust_Deflagration="Yes",IF(Fraction_Dust_Feed&lt;75,IF(Inert_Atm="Yes",1,2),IF(Fraction_Dust_Feed&lt;100,IF(Inert_Atm="Yes",0.63,1.25),IF(Fraction_Dust_Feed&lt;150,IF(Inert_Atm="Yes",0.38,0.75),IF(Fraction_Dust_Feed&lt;175,IF(Inert_Atm="Yes",0.25,0.5),IF(Inert_Atm="Yes",0.13,0.25))))),0)</f>
        <v>0</v>
      </c>
      <c r="E42" s="345"/>
      <c r="F42" s="26"/>
      <c r="G42" s="345"/>
      <c r="H42" s="26" t="s">
        <v>1234</v>
      </c>
      <c r="I42" s="26"/>
      <c r="J42" s="956" t="str">
        <f>IF(Connection_Type="Hose","Hose Failure","Pipe or Nozzle Failure")</f>
        <v>Pipe or Nozzle Failure</v>
      </c>
      <c r="K42" s="956" t="s">
        <v>91</v>
      </c>
      <c r="L42" s="956" t="s">
        <v>3150</v>
      </c>
      <c r="M42" s="956" t="s">
        <v>3151</v>
      </c>
      <c r="N42" s="345"/>
      <c r="O42" s="19"/>
      <c r="P42" s="960" t="str">
        <f>"  Actuated EBV to Limit Source Spill Potential? = "&amp;Automated_EBV</f>
        <v xml:space="preserve">  Actuated EBV to Limit Source Spill Potential? = </v>
      </c>
      <c r="Q42" s="19"/>
      <c r="R42" s="19"/>
      <c r="S42" s="19" t="str">
        <f>IF(Automated_EBV="Yes","Yes","")</f>
        <v/>
      </c>
      <c r="T42" s="19"/>
      <c r="U42" s="26"/>
      <c r="V42" s="26"/>
      <c r="W42" s="26"/>
      <c r="X42" s="335" t="s">
        <v>2368</v>
      </c>
      <c r="Y42" s="932">
        <f>IF(AND(OR(Regulatory_Tox="Yes",ER3_Min&lt;=1000),ER2_Mix&lt;&gt;"",Mw_Mix&gt;0),6551*(Y40*24.45/(Mw_Mix*ER2_Mix))^0.5,0)</f>
        <v>0</v>
      </c>
      <c r="Z42" s="30" t="s">
        <v>1068</v>
      </c>
      <c r="AB42" s="72"/>
      <c r="AC42" s="19"/>
    </row>
    <row r="43" spans="1:29" x14ac:dyDescent="0.25">
      <c r="A43" s="345"/>
      <c r="B43" s="174" t="s">
        <v>711</v>
      </c>
      <c r="C43" s="952"/>
      <c r="D43" s="116">
        <f>IF(D39=0.5,0,ROUND(IF(State="Vapor",1.2*((P+1)/(Relief_Set+1))^0.5*(0.32*LN(0.2*P+1)),IF(AND(State="Liquid",T&gt;TBp),1.3*((P+1)/(Relief_Set+1))^0.5*(0.32*LN(0.2*P+1)),IF(Viscous="Yes",0.7*((P+1)/(Relief_Set+1))^0.5*(0.32*LN(0.2*P+1)),((P+1)/(Relief_Set+1))^0.5*(0.32*LN(0.2*P+1))))),2))</f>
        <v>0</v>
      </c>
      <c r="E43" s="345"/>
      <c r="F43" s="26"/>
      <c r="G43" s="345"/>
      <c r="H43" s="26" t="str">
        <f>"  Equivalent Hole Size, "&amp;IF(K15="US/English Units"," in"," mm")</f>
        <v xml:space="preserve">  Equivalent Hole Size,  mm</v>
      </c>
      <c r="I43" s="26"/>
      <c r="J43" s="116">
        <f>IF(K15="US/English Units",M30,CEI_Size)</f>
        <v>0</v>
      </c>
      <c r="K43" s="934"/>
      <c r="L43" s="957"/>
      <c r="M43" s="934"/>
      <c r="N43" s="345"/>
      <c r="O43" s="19"/>
      <c r="P43" s="19"/>
      <c r="Q43" s="19"/>
      <c r="R43" s="19"/>
      <c r="S43" s="19"/>
      <c r="T43" s="19"/>
      <c r="U43" s="26"/>
      <c r="W43" s="26"/>
      <c r="X43" s="335" t="s">
        <v>2369</v>
      </c>
      <c r="Y43" s="932">
        <f>IF(AND(OR(Regulatory_Tox="Yes",ER3_Min&lt;=1000),ER3_Mix&lt;&gt;"",Mw_Mix&gt;0),6551*(Y40*24.45/(Mw_Mix*ER3_Mix))^0.5,0)</f>
        <v>0</v>
      </c>
      <c r="Z43" s="30" t="s">
        <v>1068</v>
      </c>
      <c r="AB43" s="72"/>
      <c r="AC43" s="19"/>
    </row>
    <row r="44" spans="1:29" x14ac:dyDescent="0.25">
      <c r="A44" s="345"/>
      <c r="B44" s="939" t="str">
        <f>"Operating Pressure = "&amp;P_Input&amp;" "&amp;P_Units&amp;"     Relief Set Pressure = "&amp;Relief_Set_Input&amp;" "&amp;Relief_Set_Units</f>
        <v>Operating Pressure =  bar     Relief Set Pressure =  bar</v>
      </c>
      <c r="C44" s="26"/>
      <c r="D44" s="953"/>
      <c r="E44" s="345"/>
      <c r="F44" s="26"/>
      <c r="G44" s="345"/>
      <c r="H44" s="26" t="str">
        <f>"  Liquid Release Rate, "&amp;IF(K15="US/English Units"," lb/min"," kg/sec")</f>
        <v xml:space="preserve">  Liquid Release Rate,  kg/sec</v>
      </c>
      <c r="I44" s="26"/>
      <c r="J44" s="116">
        <f>IF(State&lt;&gt;"Liquid","",IF(K$15="US/English Units",132*Y11,Y11))</f>
        <v>0</v>
      </c>
      <c r="K44" s="116">
        <f>IF(State&lt;&gt;"Liquid","",IF(K$15="US/English Units",132*Y25,Y25))</f>
        <v>0</v>
      </c>
      <c r="L44" s="116"/>
      <c r="M44" s="116"/>
      <c r="N44" s="345"/>
      <c r="O44" s="19"/>
      <c r="P44" s="19"/>
      <c r="Q44" s="19"/>
      <c r="R44" s="19"/>
      <c r="S44" s="19"/>
      <c r="T44" s="19"/>
      <c r="U44" s="26"/>
      <c r="W44" s="26"/>
      <c r="AC44" s="19"/>
    </row>
    <row r="45" spans="1:29" x14ac:dyDescent="0.25">
      <c r="A45" s="345"/>
      <c r="B45" s="174" t="s">
        <v>83</v>
      </c>
      <c r="C45" s="958" t="s">
        <v>975</v>
      </c>
      <c r="D45" s="116">
        <f>IF(AND(T&lt;0,LT_Embrittlement="Yes"),0.2,0)</f>
        <v>0</v>
      </c>
      <c r="E45" s="345"/>
      <c r="F45" s="26"/>
      <c r="G45" s="345"/>
      <c r="H45" s="26" t="str">
        <f>"  Vapor Release Rate, "&amp;IF(K15="US/English Units"," lb/min"," kg/sec")</f>
        <v xml:space="preserve">  Vapor Release Rate,  kg/sec</v>
      </c>
      <c r="I45" s="26"/>
      <c r="J45" s="116" t="str">
        <f>IF(State&lt;&gt;"Vapor","",IF(K$15="US/English Units",132*Y12,Y12))</f>
        <v/>
      </c>
      <c r="K45" s="116" t="str">
        <f>IF(State&lt;&gt;"Vapor","",IF(K$15="US/English Units",132*Y25,Y25))</f>
        <v/>
      </c>
      <c r="L45" s="116" t="str">
        <f>IF(Y40=0,"",IF(K$15="US/English Units",132*Y40,Y40))</f>
        <v/>
      </c>
      <c r="M45" s="116" t="str">
        <f>IF(Y49=0,"",IF(K$15="US/English Units",132*Y49,Y49))</f>
        <v/>
      </c>
      <c r="N45" s="345"/>
      <c r="O45" s="19"/>
      <c r="P45" s="19"/>
      <c r="Q45" s="19"/>
      <c r="R45" s="19"/>
      <c r="S45" s="19"/>
      <c r="T45" s="19"/>
      <c r="U45" s="26"/>
      <c r="W45" s="26"/>
      <c r="X45" s="3847" t="s">
        <v>3148</v>
      </c>
      <c r="Y45" s="3848"/>
      <c r="Z45" s="3848"/>
    </row>
    <row r="46" spans="1:29" x14ac:dyDescent="0.25">
      <c r="A46" s="345"/>
      <c r="B46" s="174" t="s">
        <v>84</v>
      </c>
      <c r="C46" s="959"/>
      <c r="D46" s="953"/>
      <c r="E46" s="345"/>
      <c r="F46" s="26"/>
      <c r="G46" s="345"/>
      <c r="H46" s="26" t="str">
        <f>"  Total Release Quantity in 15 minutes "&amp;IF(K15="US/English Units"," lb"," kg")</f>
        <v xml:space="preserve">  Total Release Quantity in 15 minutes  kg</v>
      </c>
      <c r="I46" s="26"/>
      <c r="J46" s="268">
        <f>IF(K$15="US/English Units",2.2*Y13,Y13)</f>
        <v>0</v>
      </c>
      <c r="K46" s="268">
        <f>IF(K$15="US/English Units",2.2*Y26,Y26)</f>
        <v>0</v>
      </c>
      <c r="L46" s="268"/>
      <c r="M46" s="268"/>
      <c r="N46" s="345"/>
      <c r="O46" s="19"/>
      <c r="W46" s="26"/>
    </row>
    <row r="47" spans="1:29" x14ac:dyDescent="0.25">
      <c r="A47" s="345"/>
      <c r="B47" s="939" t="str">
        <f>IF(ContainedMass_Output=0,"",IF(OR(AND(Max_ContainedMass&gt;10000,Equipment="Vessel/Tank",Storage&lt;&gt;"No"),State="Solid",Storage="Yes"),"Flammable or Reactive Quantity in Process: 0 "&amp;ContainedMass_Units,IF(ContainedMass_Units="Lb","Flammable or Reactive Quantity in Process: "&amp;U41&amp;" Lbs","Flammable or Reactive Quantity in Process: "&amp;S41&amp;" Kg")))</f>
        <v/>
      </c>
      <c r="C47" s="19"/>
      <c r="D47" s="116">
        <f>IF(OR(ISERROR(ContainedMass_Output),S41=0),0,IF(OR(AND(Max_ContainedMass&gt;10000,Equipment="Vessel/Tank",Storage&lt;&gt;"No"),State="Solid",Storage="Yes"),0,IF(OR(Flash_Pt_Feed&lt;60,T&gt;Flash_Pt_Feed,NFPA_R_Max&gt;1),10^(0.172+0.43*LOG(0.00004*S41)-0.372*(LOG(0.00004*S41))^2+0.177*(LOG(0.00004*S41))^3-0.03*(LOG(0.00004*S41))^4),0)))</f>
        <v>0</v>
      </c>
      <c r="E47" s="345"/>
      <c r="F47" s="26"/>
      <c r="G47" s="345"/>
      <c r="H47" s="26" t="s">
        <v>2350</v>
      </c>
      <c r="I47" s="26"/>
      <c r="J47" s="957">
        <f>IF(State&lt;&gt;"Liquid","",Y14)</f>
        <v>0</v>
      </c>
      <c r="K47" s="957">
        <f>IF(State&lt;&gt;"Liquid","",Y27)</f>
        <v>0</v>
      </c>
      <c r="L47" s="957"/>
      <c r="M47" s="957"/>
      <c r="N47" s="345"/>
      <c r="O47" s="19"/>
      <c r="W47" s="26"/>
      <c r="X47" s="417" t="s">
        <v>2362</v>
      </c>
      <c r="Y47" s="961" t="str">
        <f>Fire_Potential</f>
        <v>No</v>
      </c>
    </row>
    <row r="48" spans="1:29" x14ac:dyDescent="0.25">
      <c r="A48" s="345"/>
      <c r="B48" s="939" t="str">
        <f>IF(ISERROR(ContainedMass_Output),"",IF(AND(OR(AND(Max_ContainedMass&gt;10000,Equipment="Vessel/Tank",Storage&lt;&gt;"No"),Storage="Yes"),State&lt;&gt;"Solid"),IF(ContainedMass_Units="Lb","Flammable or Reactive Quantity in Storage: "&amp;U40&amp;" Lbs","Flammable or Reactive Quantity in Storage: "&amp;S40&amp;" Kg"),"Flammable or Reactive Quantity in Storage:  0 "&amp;Inventory_Units))</f>
        <v>Flammable or Reactive Quantity in Storage:  0 kg</v>
      </c>
      <c r="C48" s="19"/>
      <c r="D48" s="116">
        <f>IF(OR(ISERROR(ContainedMass_Output),State="Solid",S41=0),0,IF(OR(AND(Max_ContainedMass&gt;10000,Equipment="Vessel/Tank",Storage&lt;&gt;"No"),Storage="Yes"),IF(AND(Flash_Pt_Feed&lt;22.8,TBp&lt;20),10^(-0.289+0.472*LOG(0.00004*S41)-0.075*(LOG(0.00004*S41))^2-0.019*(LOG(0.00004*S41))^3),IF(Flash_Pt_Feed&lt;37.8,10^(-0.403+0.378*LOG(0.00004*S41)-0.046*(LOG(0.00004*S41))^2-0.015*(LOG(0.00004*S41))^3),IF(OR(Flash_Pt_Feed&lt;60,T&gt;Flash_Pt_Feed),10^(-0.558+0.363*LOG(0.00004*S41)-0.057*(LOG(0.00004*S41))^2-0.011*(LOG(0.00004*S41))^3),0))),0))</f>
        <v>0</v>
      </c>
      <c r="E48" s="345"/>
      <c r="F48" s="26"/>
      <c r="G48" s="345"/>
      <c r="H48" s="26" t="s">
        <v>2349</v>
      </c>
      <c r="I48" s="26"/>
      <c r="J48" s="957">
        <f>IF(State&lt;&gt;"Liquid","",Y15)</f>
        <v>0</v>
      </c>
      <c r="K48" s="957">
        <f>IF(State&lt;&gt;"Liquid","",Y28)</f>
        <v>0</v>
      </c>
      <c r="L48" s="957"/>
      <c r="M48" s="957"/>
      <c r="N48" s="345"/>
      <c r="O48" s="19"/>
      <c r="W48" s="26"/>
      <c r="X48" s="335" t="s">
        <v>2363</v>
      </c>
      <c r="Y48" s="928">
        <f>Fire_Heat_Rate</f>
        <v>0</v>
      </c>
      <c r="Z48" s="30" t="s">
        <v>1498</v>
      </c>
    </row>
    <row r="49" spans="1:30" x14ac:dyDescent="0.25">
      <c r="A49" s="345"/>
      <c r="B49" s="939" t="str">
        <f>IF(ISERROR(ContainedMass_Output),"",IF(State="Solid","Combustable Solids in Process or Storage: "&amp;ROUND(Inventory_Input,0)&amp;" "&amp;Inventory_Units,"Combustable or Reactive Solids in Process or Storage:  0 "&amp;Inventory_Units))</f>
        <v>Combustable or Reactive Solids in Process or Storage:  0 kg</v>
      </c>
      <c r="C49" s="19"/>
      <c r="D49" s="116">
        <f>IF(OR(Dust_Class_Feed="",ISERROR(ContainedMass_Output)),0,IF(State="Solid",IF(Bulk_Density&lt;&gt;"Yes",10^(-0.358+0.46*LOG(0.0000022*Inventory)-0.141*(LOG(0.0000022*Inventory))^2+0.023*(LOG(0.0000022*Inventory))^3),10^(0.28+0.465*LOG(0.0000022*Inventory)-0.283*(LOG(0.0000022*Inventory))^2+0.023*(LOG(0.0000022*Inventory))^3)),0))</f>
        <v>0</v>
      </c>
      <c r="E49" s="345"/>
      <c r="F49" s="26"/>
      <c r="G49" s="345"/>
      <c r="H49" s="26" t="str">
        <f>"  Airborne Rate from Flash+Droplet Evaporation, "&amp;IF(K15="US/English Units"," lb/min"," kg/sec")</f>
        <v xml:space="preserve">  Airborne Rate from Flash+Droplet Evaporation,  kg/sec</v>
      </c>
      <c r="I49" s="26"/>
      <c r="J49" s="116">
        <f>IF(State&lt;&gt;"Liquid","",IF(K$15="US/English Units",132*Y11*Y15,Y11*Y15))</f>
        <v>0</v>
      </c>
      <c r="K49" s="116">
        <f>IF(State&lt;&gt;"Liquid","",IF(K$15="US/English Units",132*Y25*Y28,Y25*Y28))</f>
        <v>0</v>
      </c>
      <c r="L49" s="116"/>
      <c r="M49" s="116"/>
      <c r="N49" s="345"/>
      <c r="O49" s="19"/>
      <c r="W49" s="26"/>
      <c r="X49" s="335" t="s">
        <v>3147</v>
      </c>
      <c r="Y49" s="929">
        <f>IF(OR(State&lt;&gt;"liquid",Lat_Ht_atTBp=0,Relief_Discharge_Location="Scrubber or Containment",Relief_Discharge_Location="Flare or Incinerator"),0,IF(Y48/Lat_Ht_atTBp&lt;Y7,Y48/Lat_Ht_atTBp,Y7))</f>
        <v>0</v>
      </c>
      <c r="Z49" s="30" t="s">
        <v>1069</v>
      </c>
    </row>
    <row r="50" spans="1:30" ht="12.75" customHeight="1" x14ac:dyDescent="0.25">
      <c r="A50" s="345"/>
      <c r="B50" s="174" t="s">
        <v>966</v>
      </c>
      <c r="C50" s="935" t="s">
        <v>1653</v>
      </c>
      <c r="D50" s="962">
        <f>IF(Corrosive="Stress Cracking",0.75,IF(Corrosive="Severe (&gt;1 mil/yr)",0.5,IF(Corrosive="Yes",0.2,IF(AND(Insulation="Yes",Corrosion_Insulation="Yes"),0.1,0))))</f>
        <v>0</v>
      </c>
      <c r="E50" s="345"/>
      <c r="F50" s="26"/>
      <c r="G50" s="345"/>
      <c r="H50" s="26" t="str">
        <f>"  Pool Area, "&amp;IF(K15="US/English Units"," sq ft"," sq m")</f>
        <v xml:space="preserve">  Pool Area,  sq m</v>
      </c>
      <c r="I50" s="26"/>
      <c r="J50" s="114">
        <f>IF(K$15="US/English Units",10.764*Y16,Y16)</f>
        <v>0</v>
      </c>
      <c r="K50" s="114">
        <f>IF(K$15="US/English Units",10.764*Y29,Y29)</f>
        <v>0</v>
      </c>
      <c r="L50" s="114"/>
      <c r="M50" s="114"/>
      <c r="N50" s="345"/>
      <c r="O50" s="19"/>
      <c r="W50" s="26"/>
      <c r="X50" s="335" t="s">
        <v>2370</v>
      </c>
      <c r="Y50" s="931">
        <f>IF(AND(OR(Regulatory_Tox="Yes",ER3_Min&lt;=1000),ER2_Mix&lt;&gt;"",Mw_Mix&gt;0),IF(655.1*(Y49*24.45/(Mw_Mix*ER2_Mix))^0.5&lt;1000,655.1*(Y49*24.45/(Mw_Mix*ER2_Mix))^0.5,1000),0)</f>
        <v>0</v>
      </c>
    </row>
    <row r="51" spans="1:30" ht="14.25" customHeight="1" x14ac:dyDescent="0.25">
      <c r="A51" s="345"/>
      <c r="B51" s="174" t="s">
        <v>1803</v>
      </c>
      <c r="C51" s="935" t="s">
        <v>3500</v>
      </c>
      <c r="D51" s="116">
        <f>IF(OR(Exp_Joint="Joint with Rubber Boot",Sight_Glass="Yes"),1.5,IF(Exp_Joint="Single Bellows or Flex Hose",1,IF(Exp_Joint="Dual Bellows w/o Detection",0.5,IF(OR(AND(Screwed_Connect&lt;&gt;"",Screwed_Connect&lt;&gt;"No Penalty"),Seal_Type="Single Mech"),0.3,IF(OR(Exp_Joint="Dual Bellows w Detection",Seal_Type&lt;&gt;""),0.1,0)))))</f>
        <v>0</v>
      </c>
      <c r="E51" s="345"/>
      <c r="F51" s="26"/>
      <c r="G51" s="345"/>
      <c r="H51" s="26" t="str">
        <f>"  Estimated Pool Temperature, "&amp;T_Units</f>
        <v xml:space="preserve">  Estimated Pool Temperature, C</v>
      </c>
      <c r="I51" s="26"/>
      <c r="J51" s="268">
        <f>IF(I28&lt;I31,I28,I31)</f>
        <v>0</v>
      </c>
      <c r="K51" s="268">
        <f>J51</f>
        <v>0</v>
      </c>
      <c r="L51" s="268"/>
      <c r="M51" s="268"/>
      <c r="N51" s="345"/>
      <c r="O51" s="19"/>
      <c r="W51" s="26"/>
      <c r="X51" s="335" t="s">
        <v>2371</v>
      </c>
      <c r="Y51" s="932">
        <f>IF(AND(OR(Regulatory_Tox="Yes",ER3_Min&lt;=1000),ER2_Mix&lt;&gt;"",Mw_Mix&gt;0),6551*(Y49*24.45/(Mw_Mix*ER2_Mix))^0.5,0)</f>
        <v>0</v>
      </c>
      <c r="Z51" s="30" t="s">
        <v>1068</v>
      </c>
    </row>
    <row r="52" spans="1:30" ht="12.75" customHeight="1" x14ac:dyDescent="0.25">
      <c r="A52" s="345"/>
      <c r="B52" s="174" t="s">
        <v>869</v>
      </c>
      <c r="C52" s="935"/>
      <c r="D52" s="116">
        <f>IF(AND(OR(Equipment="Fired Equipment - Combustion Unit",Equipment="Fired Equipment - Flare",Equipment="Fired Equipment - Process Heater",Equipment="Fired Equipment - Incinerator or TTU"),NFPA_F_Max&gt;0),1,IF(OR(Flash_Pt_Feed="",T&lt;Flash_Pt_Feed,FiredEq_ProcessArea="",FiredEq_ProcessArea="No"),0,IF(T&gt;TBp,IF(FiredEq_ProcessArea="within 10 m (33 ft)",0.8,IF(FiredEq_ProcessArea="within 20 m (65 ft)",0.5,IF(FiredEq_ProcessArea="within 30 m (100 ft)",0.3,0.1))),IF(FiredEq_ProcessArea="within 10 m (33 ft)",0.4,IF(FiredEq_ProcessArea="within 20 m (65 ft)",0.2,IF(FiredEq_ProcessArea="within 30 m (100 ft)",0.15,0.1))))))</f>
        <v>0</v>
      </c>
      <c r="E52" s="345"/>
      <c r="F52" s="26"/>
      <c r="G52" s="345"/>
      <c r="H52" s="26" t="str">
        <f>"  Pool Evaporation Rate, "&amp;IF(K15="US/English Units"," lb/min"," kg/sec")</f>
        <v xml:space="preserve">  Pool Evaporation Rate,  kg/sec</v>
      </c>
      <c r="I52" s="26"/>
      <c r="J52" s="116">
        <f>IF(K$15="US/English Units",132*Y17,Y17)</f>
        <v>0</v>
      </c>
      <c r="K52" s="116">
        <f>IF(K$15="US/English Units",132*Y30,Y30)</f>
        <v>0</v>
      </c>
      <c r="L52" s="116"/>
      <c r="M52" s="116"/>
      <c r="N52" s="345"/>
      <c r="O52" s="19"/>
      <c r="W52" s="26"/>
      <c r="X52" s="335" t="s">
        <v>2372</v>
      </c>
      <c r="Y52" s="932">
        <f>IF(AND(OR(Regulatory_Tox="Yes",ER3_Min&lt;=1000),ER3_Mix&lt;&gt;"",Mw_Mix&gt;0),6551*(Y49*24.45/(Mw_Mix*ER3_Mix))^0.5,0)</f>
        <v>0</v>
      </c>
      <c r="Z52" s="30" t="s">
        <v>1068</v>
      </c>
    </row>
    <row r="53" spans="1:30" ht="12.75" customHeight="1" x14ac:dyDescent="0.25">
      <c r="A53" s="345"/>
      <c r="B53" s="174" t="str">
        <f>"K.  Hot Oil Heat Exchange System - "&amp;Heating_Media_Name</f>
        <v xml:space="preserve">K.  Hot Oil Heat Exchange System - </v>
      </c>
      <c r="C53" s="935" t="s">
        <v>1654</v>
      </c>
      <c r="D53" s="116">
        <f>IF(OR(NFPA_HT_F&lt;1,Heating_T&lt;Flash_Pt_HT),0,IF(Heating_T&gt;HT_BP,IF(HotOil_Quantity="&gt;25000 gal (95 cu m)",1.15,IF(HotOil_Quantity="&lt;25000 gal (95 cu m)",0.75,IF(HotOil_Quantity="&lt;10000 gal (39 cu m)",0.45,0.25))),IF(HotOil_Quantity="&gt;25000 gal (95 cu m)",0.75,IF(HotOil_Quantity="&lt;25000 gal (95 cu m)",0.5,IF(HotOil_Quantity="&lt;10000 gal (39 cu m)",0.3,0.15)))))</f>
        <v>0</v>
      </c>
      <c r="E53" s="345"/>
      <c r="F53" s="26"/>
      <c r="G53" s="345"/>
      <c r="H53" s="26" t="str">
        <f>"  Total Airborne Rate, "&amp;IF(K15="US/English Units"," lb/min"," kg/sec")</f>
        <v xml:space="preserve">  Total Airborne Rate,  kg/sec</v>
      </c>
      <c r="I53" s="26"/>
      <c r="J53" s="116">
        <f>IF(K$15="US/English Units",132*Y18,Y18)</f>
        <v>0</v>
      </c>
      <c r="K53" s="116">
        <f>IF(K$15="US/English Units",132*Y31,Y31)</f>
        <v>0</v>
      </c>
      <c r="L53" s="116" t="str">
        <f>L45</f>
        <v/>
      </c>
      <c r="M53" s="116" t="str">
        <f>M45</f>
        <v/>
      </c>
      <c r="N53" s="345"/>
      <c r="O53" s="19"/>
      <c r="W53" s="26"/>
    </row>
    <row r="54" spans="1:30" ht="12.75" customHeight="1" x14ac:dyDescent="0.25">
      <c r="A54" s="345"/>
      <c r="B54" s="174" t="s">
        <v>142</v>
      </c>
      <c r="C54" s="934">
        <v>0.5</v>
      </c>
      <c r="D54" s="116" t="e">
        <f>IF(OR(AND(Equipment&lt;&gt;"Compressor or Blower",Motor&gt;56),Motor&gt;456,AND(Intended_Reaction="Yes",Prx_Max_Adiabatic&gt;MAWP,TNR="&gt;TNR",Motor&gt;0)),0.5,0)</f>
        <v>#DIV/0!</v>
      </c>
      <c r="E54" s="345"/>
      <c r="F54" s="26"/>
      <c r="G54" s="345"/>
      <c r="H54" s="26"/>
      <c r="I54" s="26"/>
      <c r="J54" s="132"/>
      <c r="K54" s="132"/>
      <c r="L54" s="132"/>
      <c r="M54" s="132"/>
      <c r="N54" s="345"/>
      <c r="O54" s="19"/>
      <c r="W54" s="26"/>
      <c r="AA54" s="69" t="s">
        <v>2380</v>
      </c>
      <c r="AB54" s="40" t="str">
        <f>IF(CEI="","",MATCH(CEI,Y57:Y60,0))</f>
        <v/>
      </c>
    </row>
    <row r="55" spans="1:30" ht="12.75" customHeight="1" thickBot="1" x14ac:dyDescent="0.3">
      <c r="A55" s="345"/>
      <c r="B55" s="174"/>
      <c r="C55" s="26"/>
      <c r="D55" s="220"/>
      <c r="E55" s="345"/>
      <c r="F55" s="26"/>
      <c r="G55" s="345"/>
      <c r="H55" s="26"/>
      <c r="I55" s="26"/>
      <c r="J55" s="132"/>
      <c r="K55" s="132"/>
      <c r="L55" s="72" t="s">
        <v>3377</v>
      </c>
      <c r="M55" s="1584"/>
      <c r="N55" s="345"/>
      <c r="O55" s="19"/>
      <c r="V55" s="19"/>
      <c r="W55" s="26"/>
      <c r="X55" s="19"/>
      <c r="Y55" s="19"/>
      <c r="AB55" s="72"/>
      <c r="AC55" s="19"/>
    </row>
    <row r="56" spans="1:30" ht="12.75" customHeight="1" thickBot="1" x14ac:dyDescent="0.3">
      <c r="A56" s="345"/>
      <c r="B56" s="963" t="s">
        <v>1083</v>
      </c>
      <c r="C56" s="964"/>
      <c r="D56" s="965" t="e">
        <f>SUM(D36:D55)</f>
        <v>#DIV/0!</v>
      </c>
      <c r="E56" s="345"/>
      <c r="F56" s="26"/>
      <c r="G56" s="345"/>
      <c r="H56" s="71" t="s">
        <v>1932</v>
      </c>
      <c r="I56" s="26"/>
      <c r="J56" s="26"/>
      <c r="K56" s="26"/>
      <c r="L56" s="26"/>
      <c r="M56" s="26"/>
      <c r="N56" s="345"/>
      <c r="O56" s="19"/>
      <c r="W56" s="26"/>
      <c r="X56" s="966" t="s">
        <v>1442</v>
      </c>
      <c r="Y56" s="966" t="s">
        <v>872</v>
      </c>
      <c r="Z56" s="966" t="s">
        <v>2939</v>
      </c>
      <c r="AA56" s="966" t="s">
        <v>4190</v>
      </c>
      <c r="AB56" s="967" t="s">
        <v>679</v>
      </c>
      <c r="AC56" s="19"/>
      <c r="AD56" s="26"/>
    </row>
    <row r="57" spans="1:30" ht="13.5" thickBot="1" x14ac:dyDescent="0.3">
      <c r="A57" s="345"/>
      <c r="B57" s="963" t="s">
        <v>1219</v>
      </c>
      <c r="C57" s="964"/>
      <c r="D57" s="371" t="e">
        <f>D32*D56</f>
        <v>#DIV/0!</v>
      </c>
      <c r="E57" s="345"/>
      <c r="F57" s="26"/>
      <c r="G57" s="345"/>
      <c r="H57" s="71" t="str">
        <f>"  Hazard Distance, HD-2, "&amp;Public_Units</f>
        <v xml:space="preserve">  Hazard Distance, HD-2, m</v>
      </c>
      <c r="I57" s="26"/>
      <c r="J57" s="239" t="str">
        <f>IF(Y20=0,"",IF(K$15="US/English Units",3.281*Y20,Y20))</f>
        <v/>
      </c>
      <c r="K57" s="239" t="str">
        <f>IF(Y33=0,"",IF(K$15="US/English Units",3.281*Y33,Y33))</f>
        <v/>
      </c>
      <c r="L57" s="239" t="str">
        <f>IF(Y42=0,"",IF(K$15="US/English Units",3.281*Y42,Y42))</f>
        <v/>
      </c>
      <c r="M57" s="239" t="str">
        <f>IF(Y51=0,"",IF(K$15="US/English Units",3.281*Y51,Y51))</f>
        <v/>
      </c>
      <c r="N57" s="345"/>
      <c r="O57" s="19"/>
      <c r="W57" s="26"/>
      <c r="X57" s="19">
        <v>1</v>
      </c>
      <c r="Y57" s="968">
        <f>ROUND(Y19,0)</f>
        <v>0</v>
      </c>
      <c r="Z57" s="968">
        <f>Y20</f>
        <v>0</v>
      </c>
      <c r="AA57" s="2077">
        <f>Y21</f>
        <v>0</v>
      </c>
      <c r="AB57" s="1188" t="str">
        <f>IF(State="Liquid",TRIM(H44)&amp;" of "&amp;ROUND(J44,2),TRIM(H45)&amp;" of "&amp;ROUND(J45,2))&amp;" from an equivalent hole size of "&amp;IF(K15="US/English Units",M30&amp;" inch",CEI_Size&amp;" mm")</f>
        <v>Liquid Release Rate, kg/sec of 0 from an equivalent hole size of 0 mm</v>
      </c>
      <c r="AC57" s="19"/>
      <c r="AD57" s="26"/>
    </row>
    <row r="58" spans="1:30" ht="13.5" thickBot="1" x14ac:dyDescent="0.3">
      <c r="A58" s="345"/>
      <c r="B58" s="26"/>
      <c r="C58" s="26"/>
      <c r="D58" s="19"/>
      <c r="E58" s="345"/>
      <c r="F58" s="26"/>
      <c r="G58" s="345"/>
      <c r="H58" s="71" t="str">
        <f>"  Hazard Distance, HD-3, "&amp;Public_Units</f>
        <v xml:space="preserve">  Hazard Distance, HD-3, m</v>
      </c>
      <c r="I58" s="26"/>
      <c r="J58" s="239" t="str">
        <f>IF(Y21=0,"",IF(K$15="US/English Units",3.281*Y21,Y21))</f>
        <v/>
      </c>
      <c r="K58" s="239" t="str">
        <f>IF(Y34=0,"",IF(K$15="US/English Units",3.281*Y34,Y34))</f>
        <v/>
      </c>
      <c r="L58" s="239" t="str">
        <f>IF(Y43=0,"",IF(K$15="US/English Units",3.281*Y43,Y43))</f>
        <v/>
      </c>
      <c r="M58" s="239" t="str">
        <f>IF(Y52=0,"",IF(K$15="US/English Units",3.281*Y52,Y52))</f>
        <v/>
      </c>
      <c r="N58" s="345"/>
      <c r="O58" s="19"/>
      <c r="P58" s="26"/>
      <c r="Q58" s="19"/>
      <c r="R58" s="19"/>
      <c r="S58" s="19"/>
      <c r="T58" s="19"/>
      <c r="U58" s="19"/>
      <c r="W58" s="26"/>
      <c r="X58" s="19">
        <v>2</v>
      </c>
      <c r="Y58" s="968">
        <f>ROUND(Y32,0)</f>
        <v>0</v>
      </c>
      <c r="Z58" s="968">
        <f>Y33</f>
        <v>0</v>
      </c>
      <c r="AA58" s="2077">
        <f>Y34</f>
        <v>0</v>
      </c>
      <c r="AB58" s="1188" t="str">
        <f>IF(State="Liquid",TRIM(H44)&amp;" of "&amp;ROUND(K44,2),TRIM(H45)&amp;" of "&amp;ROUND(K45,2))&amp;" from Overfill or Overflow"</f>
        <v>Liquid Release Rate, kg/sec of 0 from Overfill or Overflow</v>
      </c>
      <c r="AC58" s="19"/>
      <c r="AD58" s="26"/>
    </row>
    <row r="59" spans="1:30" ht="16" thickBot="1" x14ac:dyDescent="0.3">
      <c r="A59" s="345"/>
      <c r="B59" s="969" t="s">
        <v>2013</v>
      </c>
      <c r="C59" s="970"/>
      <c r="D59" s="971" t="str">
        <f>IF(OR(AND(State&lt;&gt;"Solid",Flam_In_Area&lt;100,Flash_Pt_Feed="",Ease_of_Ignition_Feed&lt;&gt;"High"),ISERROR(D57),ISERROR(D20)),"",ROUND(D57*D20,0))</f>
        <v/>
      </c>
      <c r="E59" s="345"/>
      <c r="F59" s="26"/>
      <c r="G59" s="345"/>
      <c r="H59" s="26"/>
      <c r="I59" s="26"/>
      <c r="J59" s="26"/>
      <c r="K59" s="26"/>
      <c r="L59" s="26"/>
      <c r="M59" s="26"/>
      <c r="N59" s="345"/>
      <c r="O59" s="19"/>
      <c r="W59" s="26"/>
      <c r="X59" s="19">
        <v>3</v>
      </c>
      <c r="Y59" s="968">
        <f>ROUND(Y41,0)</f>
        <v>0</v>
      </c>
      <c r="Z59" s="968">
        <f>Y42</f>
        <v>0</v>
      </c>
      <c r="AA59" s="2077">
        <f>Y43</f>
        <v>0</v>
      </c>
      <c r="AB59" s="1188" t="str">
        <f>TRIM(H45)&amp;IF(L45=""," - No Relief Device Data Entered"," of "&amp;ROUND(L45,2)&amp;" based on "&amp;IF(Relief_Flowrate&gt;0,"Relief Design Actual Flow Rate entered","Relief Diameter entered of "&amp;Relief_Size_Input&amp;" "&amp;Relief_Size_Units))</f>
        <v>Vapor Release Rate, kg/sec - No Relief Device Data Entered</v>
      </c>
      <c r="AC59" s="19"/>
      <c r="AD59" s="26"/>
    </row>
    <row r="60" spans="1:30" ht="16" thickBot="1" x14ac:dyDescent="0.3">
      <c r="A60" s="345"/>
      <c r="B60" s="963" t="s">
        <v>516</v>
      </c>
      <c r="C60" s="971" t="str">
        <f>IF(FEI="","",ROUNDUP(IF(D60="ft",0.84*D59,0.256*D59),0))</f>
        <v/>
      </c>
      <c r="D60" s="119" t="str">
        <f>Occ_Bldg_Units</f>
        <v>m</v>
      </c>
      <c r="E60" s="345"/>
      <c r="F60" s="26"/>
      <c r="G60" s="345"/>
      <c r="H60" s="972" t="s">
        <v>872</v>
      </c>
      <c r="I60" s="26"/>
      <c r="J60" s="973" t="str">
        <f>IF(Y19&gt;0,ROUND(Y19,0),"")</f>
        <v/>
      </c>
      <c r="K60" s="973" t="str">
        <f>IF(Y32&gt;0,ROUND(Y32,0),"")</f>
        <v/>
      </c>
      <c r="L60" s="973" t="str">
        <f>IF(Y41&gt;0,ROUND(Y41,0),"")</f>
        <v/>
      </c>
      <c r="M60" s="973" t="str">
        <f>IF(Y50&gt;0,ROUND(Y50,0),"")</f>
        <v/>
      </c>
      <c r="N60" s="345"/>
      <c r="O60" s="19"/>
      <c r="W60" s="26"/>
      <c r="X60" s="19">
        <v>4</v>
      </c>
      <c r="Y60" s="968">
        <f>IF(CEI_Pool_Fire&lt;&gt;"No",ROUND(Y50,0),0)</f>
        <v>0</v>
      </c>
      <c r="Z60" s="968">
        <f>IF(CEI_Pool_Fire&lt;&gt;"No",Y51,0)</f>
        <v>0</v>
      </c>
      <c r="AA60" s="2077">
        <f>IF(CEI_Pool_Fire&lt;&gt;"No",Y52,0)</f>
        <v>0</v>
      </c>
      <c r="AB60" s="1189" t="str">
        <f>TRIM(H45)&amp;IF(M45=""," - No Fire Heat Input"," of "&amp;ROUND(M45,2)&amp;" based on Fire Exposure Vapor Relief")</f>
        <v>Vapor Release Rate, kg/sec - No Fire Heat Input</v>
      </c>
      <c r="AC60" s="19"/>
      <c r="AD60" s="26"/>
    </row>
    <row r="61" spans="1:30" x14ac:dyDescent="0.25">
      <c r="A61" s="345"/>
      <c r="B61" s="26"/>
      <c r="C61" s="974" t="s">
        <v>1149</v>
      </c>
      <c r="D61" s="19"/>
      <c r="E61" s="345"/>
      <c r="F61" s="26"/>
      <c r="G61" s="345"/>
      <c r="H61" s="26"/>
      <c r="J61" s="26"/>
      <c r="K61" s="26"/>
      <c r="L61" s="26"/>
      <c r="M61" s="26"/>
      <c r="N61" s="345"/>
      <c r="O61" s="26"/>
      <c r="W61" s="26"/>
      <c r="X61" s="430" t="s">
        <v>2382</v>
      </c>
      <c r="Y61" s="975" t="str">
        <f>IF(MAX(Y57:Y60)&lt;0.1,"",MAX(Y57:Y60))</f>
        <v/>
      </c>
      <c r="Z61" s="976" t="str">
        <f>IF(AB54="","",IF(Public_Units="ft",3.281*ROUNDUP(INDEX(Z57:Z60,AB54),0),ROUNDUP(INDEX(Z57:Z60,AB54),0)))</f>
        <v/>
      </c>
      <c r="AA61" s="2078" t="str">
        <f>IF(AB54="","",IF(Public_Units="ft",3.281*ROUNDUP(INDEX(AA57:AA60,AB54),0),ROUNDUP(INDEX(AA57:AA60,AB54),0)))</f>
        <v/>
      </c>
      <c r="AB61" s="1190" t="str">
        <f>IF(AB54="","",INDEX(AB57:AB60,AB54))</f>
        <v/>
      </c>
      <c r="AC61" s="19"/>
      <c r="AD61" s="26"/>
    </row>
    <row r="62" spans="1:30" ht="8.25" customHeight="1" x14ac:dyDescent="0.25">
      <c r="A62" s="345"/>
      <c r="B62" s="345"/>
      <c r="C62" s="345"/>
      <c r="D62" s="345"/>
      <c r="E62" s="345"/>
      <c r="F62" s="26"/>
      <c r="G62" s="345"/>
      <c r="H62" s="345"/>
      <c r="I62" s="345"/>
      <c r="J62" s="345"/>
      <c r="K62" s="345"/>
      <c r="L62" s="345"/>
      <c r="M62" s="345"/>
      <c r="N62" s="345"/>
      <c r="O62" s="26"/>
      <c r="W62" s="26"/>
      <c r="AB62" s="19"/>
      <c r="AC62" s="26"/>
    </row>
    <row r="63" spans="1:30" x14ac:dyDescent="0.25">
      <c r="W63" s="26"/>
      <c r="AC63" s="26"/>
    </row>
    <row r="64" spans="1:30" x14ac:dyDescent="0.25">
      <c r="W64" s="26"/>
      <c r="AC64" s="19"/>
    </row>
    <row r="65" spans="23:23" x14ac:dyDescent="0.25">
      <c r="W65" s="26"/>
    </row>
    <row r="66" spans="23:23" x14ac:dyDescent="0.25">
      <c r="W66" s="26"/>
    </row>
    <row r="67" spans="23:23" x14ac:dyDescent="0.25">
      <c r="W67" s="26"/>
    </row>
    <row r="68" spans="23:23" x14ac:dyDescent="0.25">
      <c r="W68" s="26"/>
    </row>
    <row r="69" spans="23:23" x14ac:dyDescent="0.25">
      <c r="W69" s="26"/>
    </row>
    <row r="70" spans="23:23" x14ac:dyDescent="0.25">
      <c r="W70" s="26"/>
    </row>
    <row r="71" spans="23:23" x14ac:dyDescent="0.25">
      <c r="W71" s="26"/>
    </row>
    <row r="72" spans="23:23" x14ac:dyDescent="0.25">
      <c r="W72" s="26"/>
    </row>
    <row r="73" spans="23:23" x14ac:dyDescent="0.25">
      <c r="W73" s="26"/>
    </row>
  </sheetData>
  <sheetProtection sheet="1" objects="1" scenarios="1"/>
  <mergeCells count="29">
    <mergeCell ref="B12:D12"/>
    <mergeCell ref="P4:U4"/>
    <mergeCell ref="C6:D6"/>
    <mergeCell ref="H6:J6"/>
    <mergeCell ref="H10:M10"/>
    <mergeCell ref="H12:M12"/>
    <mergeCell ref="B5:D5"/>
    <mergeCell ref="C8:D8"/>
    <mergeCell ref="B9:C9"/>
    <mergeCell ref="H5:M5"/>
    <mergeCell ref="L6:M6"/>
    <mergeCell ref="B4:D4"/>
    <mergeCell ref="H4:M4"/>
    <mergeCell ref="Q8:U8"/>
    <mergeCell ref="P6:U6"/>
    <mergeCell ref="B10:D10"/>
    <mergeCell ref="L8:M8"/>
    <mergeCell ref="H8:K8"/>
    <mergeCell ref="X45:Z45"/>
    <mergeCell ref="W4:AB4"/>
    <mergeCell ref="P38:U38"/>
    <mergeCell ref="J32:M32"/>
    <mergeCell ref="P41:R41"/>
    <mergeCell ref="P40:R40"/>
    <mergeCell ref="Q17:U17"/>
    <mergeCell ref="P28:U28"/>
    <mergeCell ref="X9:Z9"/>
    <mergeCell ref="X23:Z23"/>
    <mergeCell ref="X36:Z36"/>
  </mergeCells>
  <phoneticPr fontId="3" type="noConversion"/>
  <conditionalFormatting sqref="J60">
    <cfRule type="expression" dxfId="489" priority="9" stopIfTrue="1">
      <formula>IF(AND($J$60&lt;&gt;"",$J$60&gt;200),TRUE,FALSE)</formula>
    </cfRule>
  </conditionalFormatting>
  <conditionalFormatting sqref="D59">
    <cfRule type="expression" dxfId="488" priority="10" stopIfTrue="1">
      <formula>IF(AND(ISNUMBER($D$59),$D$59&gt;128),TRUE,FALSE)</formula>
    </cfRule>
  </conditionalFormatting>
  <conditionalFormatting sqref="K60">
    <cfRule type="expression" dxfId="487" priority="8">
      <formula>IF(AND($K$60&lt;&gt;"",$K$60&gt;200),TRUE,FALSE)</formula>
    </cfRule>
  </conditionalFormatting>
  <conditionalFormatting sqref="L60">
    <cfRule type="expression" dxfId="486" priority="7">
      <formula>IF(AND($L$60&lt;&gt;"",$L$60&gt;200),TRUE,FALSE)</formula>
    </cfRule>
  </conditionalFormatting>
  <conditionalFormatting sqref="M60">
    <cfRule type="expression" dxfId="485" priority="6">
      <formula>IF(AND($M$60&lt;&gt;"",$M$60&gt;200),TRUE,FALSE)</formula>
    </cfRule>
  </conditionalFormatting>
  <conditionalFormatting sqref="B8">
    <cfRule type="expression" dxfId="484" priority="5">
      <formula>IF($B$8="",TRUE,FALSE)</formula>
    </cfRule>
  </conditionalFormatting>
  <conditionalFormatting sqref="C8:D8">
    <cfRule type="expression" dxfId="483" priority="4">
      <formula>IF($C$8="",TRUE,FALSE)</formula>
    </cfRule>
  </conditionalFormatting>
  <conditionalFormatting sqref="H8:J8">
    <cfRule type="expression" dxfId="482" priority="3">
      <formula>IF($H$8="",TRUE,FALSE)</formula>
    </cfRule>
  </conditionalFormatting>
  <conditionalFormatting sqref="L8">
    <cfRule type="expression" dxfId="481" priority="2">
      <formula>IF($L$8="",TRUE,FALSE)</formula>
    </cfRule>
  </conditionalFormatting>
  <conditionalFormatting sqref="M55">
    <cfRule type="expression" dxfId="480" priority="1">
      <formula>IF($M$55="",TRUE,FALSE)</formula>
    </cfRule>
  </conditionalFormatting>
  <dataValidations disablePrompts="1" count="2">
    <dataValidation type="list" allowBlank="1" showInputMessage="1" showErrorMessage="1" sqref="D60" xr:uid="{00000000-0002-0000-0F00-000000000000}">
      <formula1>"ft,m"</formula1>
    </dataValidation>
    <dataValidation type="list" allowBlank="1" showInputMessage="1" showErrorMessage="1" sqref="M55" xr:uid="{00000000-0002-0000-0F00-000001000000}">
      <formula1>"Yes,No"</formula1>
    </dataValidation>
  </dataValidations>
  <printOptions horizontalCentered="1" verticalCentered="1"/>
  <pageMargins left="0.25" right="0" top="0.25" bottom="0.25" header="0.25" footer="0.25"/>
  <pageSetup scale="90" orientation="portrait" r:id="rId1"/>
  <headerFooter alignWithMargins="0"/>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73082" r:id="rId4" name="Button 26">
              <controlPr defaultSize="0" print="0" autoFill="0" autoPict="0" macro="[0]!Go_To_Main_Menu">
                <anchor moveWithCells="1" sizeWithCells="1">
                  <from>
                    <xdr:col>1</xdr:col>
                    <xdr:colOff>38100</xdr:colOff>
                    <xdr:row>0</xdr:row>
                    <xdr:rowOff>50800</xdr:rowOff>
                  </from>
                  <to>
                    <xdr:col>1</xdr:col>
                    <xdr:colOff>1562100</xdr:colOff>
                    <xdr:row>3</xdr:row>
                    <xdr:rowOff>0</xdr:rowOff>
                  </to>
                </anchor>
              </controlPr>
            </control>
          </mc:Choice>
        </mc:AlternateContent>
        <mc:AlternateContent xmlns:mc="http://schemas.openxmlformats.org/markup-compatibility/2006">
          <mc:Choice Requires="x14">
            <control shapeId="173084" r:id="rId5" name="Button 28">
              <controlPr defaultSize="0" print="0" autoFill="0" autoPict="0" macro="[0]!Clear_FEI_CEI">
                <anchor moveWithCells="1" sizeWithCells="1">
                  <from>
                    <xdr:col>2</xdr:col>
                    <xdr:colOff>38100</xdr:colOff>
                    <xdr:row>1</xdr:row>
                    <xdr:rowOff>0</xdr:rowOff>
                  </from>
                  <to>
                    <xdr:col>4</xdr:col>
                    <xdr:colOff>184150</xdr:colOff>
                    <xdr:row>3</xdr:row>
                    <xdr:rowOff>0</xdr:rowOff>
                  </to>
                </anchor>
              </controlPr>
            </control>
          </mc:Choice>
        </mc:AlternateContent>
        <mc:AlternateContent xmlns:mc="http://schemas.openxmlformats.org/markup-compatibility/2006">
          <mc:Choice Requires="x14">
            <control shapeId="173085" r:id="rId6" name="Button 29">
              <controlPr defaultSize="0" print="0" autoFill="0" autoPict="0" macro="[0]!Hide_FEIDetails">
                <anchor moveWithCells="1" sizeWithCells="1">
                  <from>
                    <xdr:col>10</xdr:col>
                    <xdr:colOff>508000</xdr:colOff>
                    <xdr:row>0</xdr:row>
                    <xdr:rowOff>69850</xdr:rowOff>
                  </from>
                  <to>
                    <xdr:col>12</xdr:col>
                    <xdr:colOff>717550</xdr:colOff>
                    <xdr:row>2</xdr:row>
                    <xdr:rowOff>38100</xdr:rowOff>
                  </to>
                </anchor>
              </controlPr>
            </control>
          </mc:Choice>
        </mc:AlternateContent>
        <mc:AlternateContent xmlns:mc="http://schemas.openxmlformats.org/markup-compatibility/2006">
          <mc:Choice Requires="x14">
            <control shapeId="173086" r:id="rId7" name="Button 30">
              <controlPr defaultSize="0" print="0" autoFill="0" autoPict="0" macro="[0]!Show_FEIDetails">
                <anchor moveWithCells="1" sizeWithCells="1">
                  <from>
                    <xdr:col>8</xdr:col>
                    <xdr:colOff>0</xdr:colOff>
                    <xdr:row>0</xdr:row>
                    <xdr:rowOff>69850</xdr:rowOff>
                  </from>
                  <to>
                    <xdr:col>10</xdr:col>
                    <xdr:colOff>260350</xdr:colOff>
                    <xdr:row>2</xdr:row>
                    <xdr:rowOff>38100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rgb="FFFFC000"/>
    <pageSetUpPr autoPageBreaks="0"/>
  </sheetPr>
  <dimension ref="A1:V10"/>
  <sheetViews>
    <sheetView showGridLines="0" showRowColHeaders="0" showZeros="0" zoomScale="90" zoomScaleNormal="90" workbookViewId="0">
      <pane ySplit="10" topLeftCell="A11" activePane="bottomLeft" state="frozenSplit"/>
      <selection pane="bottomLeft" activeCell="T11" sqref="T11"/>
    </sheetView>
  </sheetViews>
  <sheetFormatPr defaultColWidth="9.1796875" defaultRowHeight="10.5" x14ac:dyDescent="0.25"/>
  <cols>
    <col min="1" max="1" width="18.1796875" style="13" customWidth="1"/>
    <col min="2" max="2" width="20.54296875" style="13" customWidth="1"/>
    <col min="3" max="3" width="11.81640625" style="13" customWidth="1"/>
    <col min="4" max="4" width="18.54296875" style="13" customWidth="1"/>
    <col min="5" max="5" width="20.54296875" style="13" customWidth="1"/>
    <col min="6" max="6" width="18.54296875" style="13" customWidth="1"/>
    <col min="7" max="7" width="20.54296875" style="1583" customWidth="1"/>
    <col min="8" max="8" width="2.54296875" style="1583" customWidth="1"/>
    <col min="9" max="18" width="2.54296875" style="1512" customWidth="1"/>
    <col min="19" max="19" width="0.1796875" style="13" customWidth="1"/>
    <col min="20" max="21" width="18.54296875" style="3070" customWidth="1"/>
    <col min="22" max="22" width="7.26953125" style="3070" customWidth="1"/>
    <col min="23" max="16384" width="9.1796875" style="32"/>
  </cols>
  <sheetData>
    <row r="1" spans="1:22" ht="18.5" thickBot="1" x14ac:dyDescent="0.3">
      <c r="A1" s="12"/>
      <c r="B1" s="12"/>
      <c r="C1" s="3875" t="s">
        <v>2761</v>
      </c>
      <c r="D1" s="3576"/>
      <c r="E1" s="3576"/>
      <c r="F1" s="279"/>
      <c r="G1" s="279"/>
      <c r="H1" s="12"/>
      <c r="I1" s="12"/>
      <c r="J1" s="12"/>
      <c r="K1" s="12"/>
      <c r="L1" s="12"/>
      <c r="M1" s="12"/>
      <c r="N1" s="12"/>
      <c r="O1" s="12"/>
      <c r="P1" s="12"/>
      <c r="Q1" s="12"/>
      <c r="R1" s="12"/>
      <c r="S1" s="12"/>
      <c r="T1" s="3071"/>
      <c r="U1" s="3071"/>
      <c r="V1" s="3071"/>
    </row>
    <row r="2" spans="1:22" ht="23.5" customHeight="1" x14ac:dyDescent="0.25">
      <c r="A2" s="12"/>
      <c r="B2" s="3884" t="s">
        <v>5040</v>
      </c>
      <c r="C2" s="3885"/>
      <c r="D2" s="3883" t="s">
        <v>5041</v>
      </c>
      <c r="E2" s="3755"/>
      <c r="F2" s="3756"/>
      <c r="G2" s="3876" t="s">
        <v>5161</v>
      </c>
      <c r="H2" s="3865" t="s">
        <v>4257</v>
      </c>
      <c r="I2" s="3865"/>
      <c r="J2" s="3865"/>
      <c r="K2" s="3865"/>
      <c r="L2" s="3865"/>
      <c r="M2" s="3865"/>
      <c r="N2" s="3865"/>
      <c r="O2" s="3865"/>
      <c r="P2" s="3865"/>
      <c r="Q2" s="3865"/>
      <c r="R2" s="3865"/>
      <c r="S2" s="12"/>
      <c r="T2" s="3071"/>
      <c r="U2" s="3071"/>
      <c r="V2" s="3071"/>
    </row>
    <row r="3" spans="1:22" ht="15" customHeight="1" x14ac:dyDescent="0.25">
      <c r="A3" s="12"/>
      <c r="B3" s="3082"/>
      <c r="C3" s="12"/>
      <c r="D3" s="3878"/>
      <c r="E3" s="3879"/>
      <c r="F3" s="3880"/>
      <c r="G3" s="3877"/>
      <c r="H3" s="3872" t="str">
        <f>'Scenario Analysis'!CA3</f>
        <v>Off-Site Toxic Release</v>
      </c>
      <c r="I3" s="3868" t="str">
        <f>'Scenario Analysis'!CB3</f>
        <v>On-Site Toxic Release</v>
      </c>
      <c r="J3" s="3868" t="str">
        <f>'Scenario Analysis'!CC3</f>
        <v>Indoor Toxic Release</v>
      </c>
      <c r="K3" s="3868" t="str">
        <f>'Scenario Analysis'!CD3</f>
        <v>Toxic Infiltration</v>
      </c>
      <c r="L3" s="3868" t="str">
        <f>'Scenario Analysis'!CE3</f>
        <v>Chemical Exposure</v>
      </c>
      <c r="M3" s="3868" t="str">
        <f>'Scenario Analysis'!CF3</f>
        <v>Flash Fire or Fireball</v>
      </c>
      <c r="N3" s="3868" t="str">
        <f>'Scenario Analysis'!CG3</f>
        <v>Vapor Cloud Explosion</v>
      </c>
      <c r="O3" s="3868" t="str">
        <f>'Scenario Analysis'!CH3</f>
        <v>Building Explosion</v>
      </c>
      <c r="P3" s="3868" t="str">
        <f>'Scenario Analysis'!CI3</f>
        <v>Equipment Explosion</v>
      </c>
      <c r="Q3" s="3868" t="str">
        <f>'Scenario Analysis'!CJ3</f>
        <v>Property Damage or Business Loss</v>
      </c>
      <c r="R3" s="3866" t="str">
        <f>'Scenario Analysis'!CK3</f>
        <v>Environmental Damage</v>
      </c>
      <c r="S3" s="12"/>
      <c r="T3" s="3071"/>
      <c r="U3" s="3071"/>
      <c r="V3" s="3071"/>
    </row>
    <row r="4" spans="1:22" ht="15" customHeight="1" x14ac:dyDescent="0.25">
      <c r="A4" s="26"/>
      <c r="B4" s="3888" t="str">
        <f>"Plant Section = "&amp;Plant_Section</f>
        <v xml:space="preserve">Plant Section = </v>
      </c>
      <c r="C4" s="3889"/>
      <c r="D4" s="3879"/>
      <c r="E4" s="3879"/>
      <c r="F4" s="3880"/>
      <c r="G4" s="3877"/>
      <c r="H4" s="3873"/>
      <c r="I4" s="3869"/>
      <c r="J4" s="3869"/>
      <c r="K4" s="3869"/>
      <c r="L4" s="3869"/>
      <c r="M4" s="3869"/>
      <c r="N4" s="3869"/>
      <c r="O4" s="3869"/>
      <c r="P4" s="3869"/>
      <c r="Q4" s="3869"/>
      <c r="R4" s="3867"/>
      <c r="S4" s="12"/>
      <c r="T4" s="3071"/>
      <c r="U4" s="3071"/>
      <c r="V4" s="3081"/>
    </row>
    <row r="5" spans="1:22" ht="24" customHeight="1" x14ac:dyDescent="0.25">
      <c r="A5" s="12"/>
      <c r="B5" s="3886" t="str">
        <f>"Equipment Type = "&amp;Equipment</f>
        <v xml:space="preserve">Equipment Type = </v>
      </c>
      <c r="C5" s="3887"/>
      <c r="D5" s="3879"/>
      <c r="E5" s="3879"/>
      <c r="F5" s="3880"/>
      <c r="G5" s="3877"/>
      <c r="H5" s="3873"/>
      <c r="I5" s="3869"/>
      <c r="J5" s="3869"/>
      <c r="K5" s="3869"/>
      <c r="L5" s="3869"/>
      <c r="M5" s="3869"/>
      <c r="N5" s="3869"/>
      <c r="O5" s="3869"/>
      <c r="P5" s="3869"/>
      <c r="Q5" s="3869"/>
      <c r="R5" s="3867"/>
      <c r="S5" s="12"/>
      <c r="T5" s="3071"/>
      <c r="U5" s="3071"/>
      <c r="V5" s="3071"/>
    </row>
    <row r="6" spans="1:22" ht="15" customHeight="1" x14ac:dyDescent="0.25">
      <c r="A6" s="32"/>
      <c r="B6" s="3888" t="str">
        <f>"Equipment Tag = "&amp;Equipment_Tag</f>
        <v xml:space="preserve">Equipment Tag = </v>
      </c>
      <c r="C6" s="3889"/>
      <c r="D6" s="3879"/>
      <c r="E6" s="3879"/>
      <c r="F6" s="3880"/>
      <c r="G6" s="3877"/>
      <c r="H6" s="3873"/>
      <c r="I6" s="3869"/>
      <c r="J6" s="3869"/>
      <c r="K6" s="3869"/>
      <c r="L6" s="3869"/>
      <c r="M6" s="3869"/>
      <c r="N6" s="3869"/>
      <c r="O6" s="3869"/>
      <c r="P6" s="3869"/>
      <c r="Q6" s="3869"/>
      <c r="R6" s="3867"/>
      <c r="S6" s="12"/>
      <c r="T6" s="3071"/>
      <c r="U6" s="3071"/>
      <c r="V6" s="3071"/>
    </row>
    <row r="7" spans="1:22" ht="15" customHeight="1" thickBot="1" x14ac:dyDescent="0.3">
      <c r="A7" s="32"/>
      <c r="B7" s="2945"/>
      <c r="C7" s="2946"/>
      <c r="D7" s="3879"/>
      <c r="E7" s="3879"/>
      <c r="F7" s="3880"/>
      <c r="G7" s="3877"/>
      <c r="H7" s="3873"/>
      <c r="I7" s="3869"/>
      <c r="J7" s="3869"/>
      <c r="K7" s="3869"/>
      <c r="L7" s="3869"/>
      <c r="M7" s="3869"/>
      <c r="N7" s="3869"/>
      <c r="O7" s="3869"/>
      <c r="P7" s="3869"/>
      <c r="Q7" s="3869"/>
      <c r="R7" s="3867"/>
      <c r="S7" s="12"/>
      <c r="T7" s="3072"/>
      <c r="U7" s="3072"/>
      <c r="V7" s="3072"/>
    </row>
    <row r="8" spans="1:22" ht="17.149999999999999" customHeight="1" thickBot="1" x14ac:dyDescent="0.35">
      <c r="A8" s="12"/>
      <c r="B8" s="3084" t="s">
        <v>5162</v>
      </c>
      <c r="C8" s="3085" t="str">
        <f>Date</f>
        <v/>
      </c>
      <c r="D8" s="3083" t="s">
        <v>5163</v>
      </c>
      <c r="E8" s="3881">
        <f>Partipants</f>
        <v>0</v>
      </c>
      <c r="F8" s="3882"/>
      <c r="G8" s="3877"/>
      <c r="H8" s="3873"/>
      <c r="I8" s="3869"/>
      <c r="J8" s="3869"/>
      <c r="K8" s="3869"/>
      <c r="L8" s="3869"/>
      <c r="M8" s="3869"/>
      <c r="N8" s="3869"/>
      <c r="O8" s="3869"/>
      <c r="P8" s="3869"/>
      <c r="Q8" s="3869"/>
      <c r="R8" s="3867"/>
      <c r="S8" s="12"/>
      <c r="T8" s="3073"/>
      <c r="U8" s="3073"/>
      <c r="V8" s="3073"/>
    </row>
    <row r="9" spans="1:22" ht="15" customHeight="1" x14ac:dyDescent="0.25">
      <c r="A9" s="2926" t="s">
        <v>3503</v>
      </c>
      <c r="B9" s="3870" t="str">
        <f>IF(Exclude_MI="Yes","MI Scenarios will NOT be reported","")</f>
        <v/>
      </c>
      <c r="C9" s="3874"/>
      <c r="D9" s="3870" t="str">
        <f>IF(Report_NoIPL="No","Scenarios with NO IPL's Required NOT reported.","")</f>
        <v/>
      </c>
      <c r="E9" s="3871"/>
      <c r="F9" s="3890" t="str">
        <f>IF(OR(Date="",Partipants=""),"Session Date or Participants Missing","")</f>
        <v>Session Date or Participants Missing</v>
      </c>
      <c r="G9" s="3891"/>
      <c r="H9" s="3873"/>
      <c r="I9" s="3869"/>
      <c r="J9" s="3869"/>
      <c r="K9" s="3869"/>
      <c r="L9" s="3869"/>
      <c r="M9" s="3869"/>
      <c r="N9" s="3869"/>
      <c r="O9" s="3869"/>
      <c r="P9" s="3869"/>
      <c r="Q9" s="3869"/>
      <c r="R9" s="3867"/>
      <c r="S9" s="12"/>
      <c r="T9" s="3071"/>
      <c r="U9" s="3071"/>
      <c r="V9" s="3071"/>
    </row>
    <row r="10" spans="1:22" ht="26.15" customHeight="1" x14ac:dyDescent="0.25">
      <c r="A10" s="2360" t="s">
        <v>152</v>
      </c>
      <c r="B10" s="2361" t="s">
        <v>1468</v>
      </c>
      <c r="C10" s="2361" t="s">
        <v>3376</v>
      </c>
      <c r="D10" s="2361" t="s">
        <v>1922</v>
      </c>
      <c r="E10" s="2361" t="s">
        <v>1417</v>
      </c>
      <c r="F10" s="2361" t="s">
        <v>4745</v>
      </c>
      <c r="G10" s="2895" t="s">
        <v>308</v>
      </c>
      <c r="H10" s="2894" t="str">
        <f>'Scenario Analysis'!CA3</f>
        <v>Off-Site Toxic Release</v>
      </c>
      <c r="I10" s="2894" t="str">
        <f>'Scenario Analysis'!CB3</f>
        <v>On-Site Toxic Release</v>
      </c>
      <c r="J10" s="2894" t="str">
        <f>'Scenario Analysis'!CC3</f>
        <v>Indoor Toxic Release</v>
      </c>
      <c r="K10" s="2894" t="str">
        <f>'Scenario Analysis'!CD3</f>
        <v>Toxic Infiltration</v>
      </c>
      <c r="L10" s="2894" t="str">
        <f>'Scenario Analysis'!CE3</f>
        <v>Chemical Exposure</v>
      </c>
      <c r="M10" s="2894" t="str">
        <f>'Scenario Analysis'!CF3</f>
        <v>Flash Fire or Fireball</v>
      </c>
      <c r="N10" s="2894" t="str">
        <f>'Scenario Analysis'!CG3</f>
        <v>Vapor Cloud Explosion</v>
      </c>
      <c r="O10" s="2894" t="str">
        <f>'Scenario Analysis'!CH3</f>
        <v>Building Explosion</v>
      </c>
      <c r="P10" s="2894" t="str">
        <f>'Scenario Analysis'!CI3</f>
        <v>Equipment Explosion</v>
      </c>
      <c r="Q10" s="2894" t="str">
        <f>'Scenario Analysis'!CJ3</f>
        <v>Property Damage or Business Loss</v>
      </c>
      <c r="R10" s="2897" t="str">
        <f>'Scenario Analysis'!CK3</f>
        <v>Environmental Damage</v>
      </c>
      <c r="S10" s="2896" t="s">
        <v>1684</v>
      </c>
      <c r="T10" s="2927" t="s">
        <v>5023</v>
      </c>
      <c r="U10" s="2928" t="s">
        <v>5020</v>
      </c>
      <c r="V10" s="2929" t="s">
        <v>5157</v>
      </c>
    </row>
  </sheetData>
  <sheetProtection sheet="1" objects="1" scenarios="1"/>
  <autoFilter ref="A10:S10" xr:uid="{00000000-0009-0000-0000-000011000000}"/>
  <mergeCells count="24">
    <mergeCell ref="B9:C9"/>
    <mergeCell ref="C1:E1"/>
    <mergeCell ref="G2:G8"/>
    <mergeCell ref="D3:F7"/>
    <mergeCell ref="E8:F8"/>
    <mergeCell ref="D2:F2"/>
    <mergeCell ref="B2:C2"/>
    <mergeCell ref="B5:C5"/>
    <mergeCell ref="B4:C4"/>
    <mergeCell ref="B6:C6"/>
    <mergeCell ref="F9:G9"/>
    <mergeCell ref="H2:R2"/>
    <mergeCell ref="R3:R9"/>
    <mergeCell ref="Q3:Q9"/>
    <mergeCell ref="P3:P9"/>
    <mergeCell ref="D9:E9"/>
    <mergeCell ref="N3:N9"/>
    <mergeCell ref="O3:O9"/>
    <mergeCell ref="H3:H9"/>
    <mergeCell ref="M3:M9"/>
    <mergeCell ref="L3:L9"/>
    <mergeCell ref="K3:K9"/>
    <mergeCell ref="J3:J9"/>
    <mergeCell ref="I3:I9"/>
  </mergeCells>
  <phoneticPr fontId="3" type="noConversion"/>
  <dataValidations count="1">
    <dataValidation type="list" allowBlank="1" showInputMessage="1" showErrorMessage="1" sqref="V11:V1048576" xr:uid="{803997CA-F7AB-4B08-9AFE-CE185D35F1F1}">
      <formula1>"Yes,No"</formula1>
    </dataValidation>
  </dataValidations>
  <pageMargins left="0.5" right="0" top="0.25" bottom="0.5" header="0" footer="0.25"/>
  <pageSetup scale="9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42" r:id="rId4" name="Update">
              <controlPr defaultSize="0" print="0" autoFill="0" autoPict="0" macro="[0]!Generate_Scenario_List">
                <anchor moveWithCells="1" sizeWithCells="1">
                  <from>
                    <xdr:col>0</xdr:col>
                    <xdr:colOff>133350</xdr:colOff>
                    <xdr:row>4</xdr:row>
                    <xdr:rowOff>12700</xdr:rowOff>
                  </from>
                  <to>
                    <xdr:col>0</xdr:col>
                    <xdr:colOff>1047750</xdr:colOff>
                    <xdr:row>4</xdr:row>
                    <xdr:rowOff>279400</xdr:rowOff>
                  </to>
                </anchor>
              </controlPr>
            </control>
          </mc:Choice>
        </mc:AlternateContent>
        <mc:AlternateContent xmlns:mc="http://schemas.openxmlformats.org/markup-compatibility/2006">
          <mc:Choice Requires="x14">
            <control shapeId="22544" r:id="rId5" name="Go_To_Scenario_Results">
              <controlPr defaultSize="0" print="0" autoFill="0" autoPict="0" macro="[0]!Go_To_Scenario_Results">
                <anchor moveWithCells="1" sizeWithCells="1">
                  <from>
                    <xdr:col>19</xdr:col>
                    <xdr:colOff>260350</xdr:colOff>
                    <xdr:row>0</xdr:row>
                    <xdr:rowOff>69850</xdr:rowOff>
                  </from>
                  <to>
                    <xdr:col>20</xdr:col>
                    <xdr:colOff>666750</xdr:colOff>
                    <xdr:row>1</xdr:row>
                    <xdr:rowOff>57150</xdr:rowOff>
                  </to>
                </anchor>
              </controlPr>
            </control>
          </mc:Choice>
        </mc:AlternateContent>
        <mc:AlternateContent xmlns:mc="http://schemas.openxmlformats.org/markup-compatibility/2006">
          <mc:Choice Requires="x14">
            <control shapeId="22836" r:id="rId6" name="Button 308">
              <controlPr defaultSize="0" print="0" autoFill="0" autoPict="0" macro="[0]!Go_To_Main_Menu">
                <anchor moveWithCells="1" sizeWithCells="1">
                  <from>
                    <xdr:col>0</xdr:col>
                    <xdr:colOff>133350</xdr:colOff>
                    <xdr:row>0</xdr:row>
                    <xdr:rowOff>57150</xdr:rowOff>
                  </from>
                  <to>
                    <xdr:col>0</xdr:col>
                    <xdr:colOff>1047750</xdr:colOff>
                    <xdr:row>1</xdr:row>
                    <xdr:rowOff>190500</xdr:rowOff>
                  </to>
                </anchor>
              </controlPr>
            </control>
          </mc:Choice>
        </mc:AlternateContent>
        <mc:AlternateContent xmlns:mc="http://schemas.openxmlformats.org/markup-compatibility/2006">
          <mc:Choice Requires="x14">
            <control shapeId="22837" r:id="rId7" name="Create_User_Scenario">
              <controlPr defaultSize="0" print="0" autoFill="0" autoPict="0" macro="[0]!Create_User_Scenario_from_Scenario_List">
                <anchor moveWithCells="1" sizeWithCells="1">
                  <from>
                    <xdr:col>0</xdr:col>
                    <xdr:colOff>133350</xdr:colOff>
                    <xdr:row>5</xdr:row>
                    <xdr:rowOff>50800</xdr:rowOff>
                  </from>
                  <to>
                    <xdr:col>0</xdr:col>
                    <xdr:colOff>1047750</xdr:colOff>
                    <xdr:row>7</xdr:row>
                    <xdr:rowOff>95250</xdr:rowOff>
                  </to>
                </anchor>
              </controlPr>
            </control>
          </mc:Choice>
        </mc:AlternateContent>
        <mc:AlternateContent xmlns:mc="http://schemas.openxmlformats.org/markup-compatibility/2006">
          <mc:Choice Requires="x14">
            <control shapeId="22842" r:id="rId8" name="Button 314">
              <controlPr defaultSize="0" print="0" autoFill="0" autoPict="0" macro="[0]!Clear_ScenarioList_Input">
                <anchor moveWithCells="1" sizeWithCells="1">
                  <from>
                    <xdr:col>19</xdr:col>
                    <xdr:colOff>285750</xdr:colOff>
                    <xdr:row>4</xdr:row>
                    <xdr:rowOff>146050</xdr:rowOff>
                  </from>
                  <to>
                    <xdr:col>20</xdr:col>
                    <xdr:colOff>774700</xdr:colOff>
                    <xdr:row>5</xdr:row>
                    <xdr:rowOff>88900</xdr:rowOff>
                  </to>
                </anchor>
              </controlPr>
            </control>
          </mc:Choice>
        </mc:AlternateContent>
        <mc:AlternateContent xmlns:mc="http://schemas.openxmlformats.org/markup-compatibility/2006">
          <mc:Choice Requires="x14">
            <control shapeId="22843" r:id="rId9" name="Button 315">
              <controlPr defaultSize="0" print="0" autoFill="0" autoPict="0" macro="[0]!Save_ScenarioID_Input">
                <anchor moveWithCells="1" sizeWithCells="1">
                  <from>
                    <xdr:col>19</xdr:col>
                    <xdr:colOff>260350</xdr:colOff>
                    <xdr:row>6</xdr:row>
                    <xdr:rowOff>114300</xdr:rowOff>
                  </from>
                  <to>
                    <xdr:col>20</xdr:col>
                    <xdr:colOff>1003300</xdr:colOff>
                    <xdr:row>7</xdr:row>
                    <xdr:rowOff>190500</xdr:rowOff>
                  </to>
                </anchor>
              </controlPr>
            </control>
          </mc:Choice>
        </mc:AlternateContent>
        <mc:AlternateContent xmlns:mc="http://schemas.openxmlformats.org/markup-compatibility/2006">
          <mc:Choice Requires="x14">
            <control shapeId="22846" r:id="rId10" name="Go To Equipment Table">
              <controlPr defaultSize="0" print="0" autoFill="0" autoPict="0" macro="[0]!Go_To_Equipment_Table">
                <anchor>
                  <from>
                    <xdr:col>0</xdr:col>
                    <xdr:colOff>133350</xdr:colOff>
                    <xdr:row>1</xdr:row>
                    <xdr:rowOff>279400</xdr:rowOff>
                  </from>
                  <to>
                    <xdr:col>0</xdr:col>
                    <xdr:colOff>1047750</xdr:colOff>
                    <xdr:row>3</xdr:row>
                    <xdr:rowOff>146050</xdr:rowOff>
                  </to>
                </anchor>
              </controlPr>
            </control>
          </mc:Choice>
        </mc:AlternateContent>
        <mc:AlternateContent xmlns:mc="http://schemas.openxmlformats.org/markup-compatibility/2006">
          <mc:Choice Requires="x14">
            <control shapeId="22848" r:id="rId11" name="Calculate">
              <controlPr defaultSize="0" print="0" autoFill="0" autoPict="0" macro="[0]!Calculate_Scenarios">
                <anchor moveWithCells="1" sizeWithCells="1">
                  <from>
                    <xdr:col>19</xdr:col>
                    <xdr:colOff>285750</xdr:colOff>
                    <xdr:row>1</xdr:row>
                    <xdr:rowOff>209550</xdr:rowOff>
                  </from>
                  <to>
                    <xdr:col>20</xdr:col>
                    <xdr:colOff>431800</xdr:colOff>
                    <xdr:row>3</xdr:row>
                    <xdr:rowOff>95250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tabColor rgb="FFFFC000"/>
    <pageSetUpPr autoPageBreaks="0"/>
  </sheetPr>
  <dimension ref="A1:BU108"/>
  <sheetViews>
    <sheetView showGridLines="0" showRowColHeaders="0" zoomScale="90" zoomScaleNormal="90" workbookViewId="0">
      <pane ySplit="6" topLeftCell="A7" activePane="bottomLeft" state="frozen"/>
      <selection pane="bottomLeft" activeCell="H93" sqref="H93"/>
    </sheetView>
  </sheetViews>
  <sheetFormatPr defaultColWidth="9.1796875" defaultRowHeight="13" x14ac:dyDescent="0.25"/>
  <cols>
    <col min="1" max="1" width="2.81640625" style="338" customWidth="1"/>
    <col min="2" max="2" width="2.453125" style="338" customWidth="1"/>
    <col min="3" max="3" width="3.1796875" style="338" customWidth="1"/>
    <col min="4" max="4" width="36.453125" style="338" customWidth="1"/>
    <col min="5" max="5" width="2.81640625" style="338" customWidth="1"/>
    <col min="6" max="6" width="12" style="338" customWidth="1"/>
    <col min="7" max="7" width="10.81640625" style="338" customWidth="1"/>
    <col min="8" max="8" width="9.81640625" style="338" customWidth="1"/>
    <col min="9" max="9" width="10.1796875" style="338" customWidth="1"/>
    <col min="10" max="10" width="2.81640625" style="338" customWidth="1"/>
    <col min="11" max="11" width="0.81640625" style="338" customWidth="1"/>
    <col min="12" max="12" width="2.81640625" style="338" customWidth="1"/>
    <col min="13" max="13" width="3.1796875" style="338" customWidth="1"/>
    <col min="14" max="14" width="3.453125" style="338" customWidth="1"/>
    <col min="15" max="15" width="40.54296875" style="338" customWidth="1"/>
    <col min="16" max="16" width="4.453125" style="338" customWidth="1"/>
    <col min="17" max="17" width="11.453125" style="400" customWidth="1"/>
    <col min="18" max="18" width="4.81640625" style="338" customWidth="1"/>
    <col min="19" max="20" width="7.54296875" style="338" customWidth="1"/>
    <col min="21" max="21" width="4.81640625" style="338" customWidth="1"/>
    <col min="22" max="22" width="3.1796875" style="338" customWidth="1"/>
    <col min="23" max="23" width="3.453125" style="338" hidden="1" customWidth="1"/>
    <col min="24" max="24" width="39.81640625" style="338" hidden="1" customWidth="1"/>
    <col min="25" max="26" width="16.81640625" style="338" hidden="1" customWidth="1"/>
    <col min="27" max="71" width="16.81640625" style="400" hidden="1" customWidth="1"/>
    <col min="72" max="73" width="9.1796875" style="338" customWidth="1"/>
    <col min="74" max="16384" width="9.1796875" style="338"/>
  </cols>
  <sheetData>
    <row r="1" spans="1:71" ht="6" customHeight="1" x14ac:dyDescent="0.25">
      <c r="A1" s="345"/>
      <c r="B1" s="345"/>
      <c r="C1" s="345"/>
      <c r="D1" s="345"/>
      <c r="E1" s="345"/>
      <c r="F1" s="345"/>
      <c r="G1" s="345"/>
      <c r="H1" s="345"/>
      <c r="I1" s="345"/>
      <c r="J1" s="345"/>
      <c r="L1" s="345"/>
      <c r="M1" s="345"/>
      <c r="N1" s="345"/>
      <c r="O1" s="345"/>
      <c r="P1" s="345"/>
      <c r="Q1" s="529"/>
      <c r="R1" s="345"/>
      <c r="S1" s="345"/>
      <c r="T1" s="345"/>
      <c r="U1" s="345"/>
      <c r="V1" s="345"/>
    </row>
    <row r="2" spans="1:71" ht="10.5" customHeight="1" x14ac:dyDescent="0.25">
      <c r="A2" s="345"/>
      <c r="B2" s="345"/>
      <c r="C2" s="345"/>
      <c r="D2" s="345"/>
      <c r="E2" s="345"/>
      <c r="F2" s="345"/>
      <c r="G2" s="345"/>
      <c r="H2" s="345"/>
      <c r="I2" s="345"/>
      <c r="J2" s="345"/>
      <c r="L2" s="345"/>
      <c r="M2" s="345"/>
      <c r="N2" s="345"/>
      <c r="O2" s="1059"/>
      <c r="P2" s="345"/>
      <c r="Q2" s="529"/>
      <c r="R2" s="345"/>
      <c r="S2" s="345"/>
      <c r="T2" s="345"/>
      <c r="U2" s="345"/>
      <c r="V2" s="345"/>
    </row>
    <row r="3" spans="1:71" ht="12" customHeight="1" thickBot="1" x14ac:dyDescent="0.3">
      <c r="A3" s="345"/>
      <c r="B3" s="345"/>
      <c r="C3" s="345"/>
      <c r="D3" s="345"/>
      <c r="E3" s="345"/>
      <c r="F3" s="602"/>
      <c r="G3" s="345"/>
      <c r="H3" s="345"/>
      <c r="I3" s="345"/>
      <c r="J3" s="345"/>
      <c r="L3" s="345"/>
      <c r="M3" s="345"/>
      <c r="N3" s="345"/>
      <c r="O3" s="345"/>
      <c r="P3" s="345"/>
      <c r="Q3" s="529"/>
      <c r="R3" s="345"/>
      <c r="S3" s="345"/>
      <c r="T3" s="345"/>
      <c r="U3" s="345"/>
      <c r="V3" s="345"/>
    </row>
    <row r="4" spans="1:71" ht="20.25" customHeight="1" x14ac:dyDescent="0.35">
      <c r="A4" s="345"/>
      <c r="B4" s="605"/>
      <c r="C4" s="1720"/>
      <c r="D4" s="3908" t="s">
        <v>2796</v>
      </c>
      <c r="E4" s="3909"/>
      <c r="F4" s="3909"/>
      <c r="G4" s="3909"/>
      <c r="H4" s="3910"/>
      <c r="I4" s="606"/>
      <c r="J4" s="345"/>
      <c r="L4" s="345"/>
      <c r="M4" s="574"/>
      <c r="N4" s="3111"/>
      <c r="O4" s="3908" t="s">
        <v>2741</v>
      </c>
      <c r="P4" s="3909"/>
      <c r="Q4" s="3909"/>
      <c r="R4" s="3909"/>
      <c r="S4" s="3910"/>
      <c r="T4" s="3112"/>
      <c r="U4" s="606"/>
      <c r="V4" s="345"/>
    </row>
    <row r="5" spans="1:71" s="598" customFormat="1" ht="13.5" customHeight="1" x14ac:dyDescent="0.25">
      <c r="A5" s="603"/>
      <c r="B5" s="597"/>
      <c r="C5" s="979"/>
      <c r="E5" s="1048" t="str">
        <f>"RAST Version "&amp;Version</f>
        <v>RAST Version 4.5</v>
      </c>
      <c r="F5" s="1050"/>
      <c r="G5" s="1049"/>
      <c r="H5" s="3915" t="str">
        <f>"  Date:  "&amp;Date</f>
        <v xml:space="preserve">  Date:  </v>
      </c>
      <c r="I5" s="3916"/>
      <c r="J5" s="345"/>
      <c r="L5" s="345"/>
      <c r="M5" s="597"/>
      <c r="N5" s="338"/>
      <c r="O5" s="1048"/>
      <c r="P5" s="3119" t="str">
        <f>"RAST Version "&amp;Version</f>
        <v>RAST Version 4.5</v>
      </c>
      <c r="Q5" s="1049"/>
      <c r="R5" s="1049"/>
      <c r="S5" s="3915" t="str">
        <f>"  Date:  "&amp;Date</f>
        <v xml:space="preserve">  Date:  </v>
      </c>
      <c r="T5" s="3915"/>
      <c r="U5" s="3916"/>
      <c r="V5" s="345"/>
      <c r="AA5" s="599"/>
      <c r="AB5" s="599"/>
      <c r="AC5" s="599"/>
      <c r="AD5" s="599"/>
      <c r="AE5" s="599"/>
      <c r="AF5" s="599"/>
      <c r="AG5" s="599"/>
      <c r="AH5" s="599"/>
      <c r="AI5" s="599"/>
      <c r="AJ5" s="599"/>
      <c r="AK5" s="599"/>
      <c r="AL5" s="599"/>
      <c r="AM5" s="599"/>
      <c r="AN5" s="599"/>
      <c r="AO5" s="599"/>
      <c r="AP5" s="599"/>
      <c r="AQ5" s="599"/>
      <c r="AR5" s="599"/>
      <c r="AS5" s="599"/>
      <c r="AT5" s="599"/>
      <c r="AU5" s="599"/>
      <c r="AV5" s="599"/>
      <c r="AW5" s="599"/>
      <c r="AX5" s="599"/>
      <c r="AY5" s="599"/>
      <c r="AZ5" s="599"/>
      <c r="BA5" s="599"/>
      <c r="BB5" s="599"/>
      <c r="BC5" s="400"/>
      <c r="BD5" s="400"/>
      <c r="BE5" s="400"/>
      <c r="BF5" s="400"/>
      <c r="BG5" s="400"/>
      <c r="BH5" s="400"/>
      <c r="BI5" s="400"/>
      <c r="BJ5" s="400"/>
      <c r="BK5" s="400"/>
      <c r="BL5" s="400"/>
      <c r="BM5" s="599"/>
      <c r="BN5" s="599"/>
      <c r="BO5" s="599"/>
      <c r="BP5" s="599"/>
      <c r="BQ5" s="599"/>
      <c r="BR5" s="599"/>
      <c r="BS5" s="599"/>
    </row>
    <row r="6" spans="1:71" ht="30.65" customHeight="1" x14ac:dyDescent="0.25">
      <c r="A6" s="345"/>
      <c r="B6" s="977"/>
      <c r="C6" s="980" t="s">
        <v>2407</v>
      </c>
      <c r="D6" s="600"/>
      <c r="E6" s="600"/>
      <c r="F6" s="3922" t="str">
        <f>"for  Process Unit:  "&amp;Equipment&amp;"; "&amp;Equipment_Tag</f>
        <v xml:space="preserve">for  Process Unit:  ; </v>
      </c>
      <c r="G6" s="3893"/>
      <c r="H6" s="3893"/>
      <c r="I6" s="3923"/>
      <c r="J6" s="345"/>
      <c r="K6" s="600"/>
      <c r="L6" s="345"/>
      <c r="M6" s="977"/>
      <c r="N6" s="3920" t="str">
        <f>"Loss Event for:  "&amp;Equipment&amp;"; "&amp;Equipment_Tag&amp;" Containing "&amp;Chemical&amp;" : "</f>
        <v xml:space="preserve">Loss Event for:  ;  Containing  : </v>
      </c>
      <c r="O6" s="3921"/>
      <c r="P6" s="3917" t="s">
        <v>5218</v>
      </c>
      <c r="Q6" s="3918"/>
      <c r="R6" s="3918"/>
      <c r="S6" s="3919"/>
      <c r="T6" s="3120"/>
      <c r="U6" s="432"/>
      <c r="V6" s="345"/>
      <c r="W6" s="2607"/>
      <c r="X6" s="2607"/>
      <c r="Y6" s="2608" t="s">
        <v>2669</v>
      </c>
      <c r="Z6" s="2608" t="s">
        <v>5318</v>
      </c>
      <c r="AA6" s="2608" t="s">
        <v>5218</v>
      </c>
      <c r="AB6" s="2608" t="s">
        <v>5319</v>
      </c>
      <c r="AC6" s="2608" t="str">
        <f>"Gasket at "&amp;Failure_Gasket&amp;" MAWP"</f>
        <v>Gasket at 1.3 MAWP</v>
      </c>
      <c r="AD6" s="2608" t="str">
        <f>"Gasket at "&amp;Failure_Gasket&amp;" MAWP
(above liquid level)"</f>
        <v>Gasket at 1.3 MAWP
(above liquid level)</v>
      </c>
      <c r="AE6" s="2608" t="s">
        <v>1717</v>
      </c>
      <c r="AF6" s="2608" t="s">
        <v>5320</v>
      </c>
      <c r="AG6" s="2608" t="s">
        <v>1554</v>
      </c>
      <c r="AH6" s="2608" t="s">
        <v>2422</v>
      </c>
      <c r="AI6" s="2608" t="s">
        <v>2424</v>
      </c>
      <c r="AJ6" s="2608" t="s">
        <v>2426</v>
      </c>
      <c r="AK6" s="2608" t="s">
        <v>3780</v>
      </c>
      <c r="AL6" s="2608" t="s">
        <v>3986</v>
      </c>
      <c r="AM6" s="2608" t="s">
        <v>4057</v>
      </c>
      <c r="AN6" s="2608" t="s">
        <v>3784</v>
      </c>
      <c r="AO6" s="2608" t="s">
        <v>2423</v>
      </c>
      <c r="AP6" s="2608" t="s">
        <v>4603</v>
      </c>
      <c r="AQ6" s="2608" t="s">
        <v>2425</v>
      </c>
      <c r="AR6" s="2608" t="s">
        <v>4604</v>
      </c>
      <c r="AS6" s="2608" t="s">
        <v>2432</v>
      </c>
      <c r="AT6" s="2608" t="s">
        <v>2436</v>
      </c>
      <c r="AU6" s="2608" t="s">
        <v>2693</v>
      </c>
      <c r="AV6" s="2609" t="s">
        <v>2691</v>
      </c>
      <c r="AW6" s="2608" t="s">
        <v>2438</v>
      </c>
      <c r="AX6" s="2609" t="s">
        <v>2694</v>
      </c>
      <c r="AY6" s="2609" t="s">
        <v>2695</v>
      </c>
      <c r="AZ6" s="2608" t="s">
        <v>2437</v>
      </c>
      <c r="BA6" s="2608" t="s">
        <v>2427</v>
      </c>
      <c r="BB6" s="2609" t="s">
        <v>2697</v>
      </c>
      <c r="BC6" s="2608" t="s">
        <v>2439</v>
      </c>
      <c r="BD6" s="2608" t="s">
        <v>2440</v>
      </c>
      <c r="BE6" s="2608" t="s">
        <v>2441</v>
      </c>
      <c r="BF6" s="2608" t="s">
        <v>2698</v>
      </c>
      <c r="BG6" s="2608" t="s">
        <v>2699</v>
      </c>
      <c r="BH6" s="2608" t="s">
        <v>2443</v>
      </c>
      <c r="BI6" s="2608" t="s">
        <v>2445</v>
      </c>
      <c r="BJ6" s="2608" t="s">
        <v>2442</v>
      </c>
      <c r="BK6" s="2608" t="s">
        <v>2444</v>
      </c>
      <c r="BL6" s="2608" t="s">
        <v>1802</v>
      </c>
      <c r="BM6" s="2608" t="s">
        <v>2700</v>
      </c>
      <c r="BN6" s="2608" t="s">
        <v>2701</v>
      </c>
      <c r="BO6" s="2608" t="s">
        <v>2702</v>
      </c>
      <c r="BP6" s="2608" t="s">
        <v>2283</v>
      </c>
      <c r="BQ6" s="2608" t="s">
        <v>1157</v>
      </c>
      <c r="BR6" s="2608" t="s">
        <v>4736</v>
      </c>
      <c r="BS6" s="2608" t="s">
        <v>1217</v>
      </c>
    </row>
    <row r="7" spans="1:71" x14ac:dyDescent="0.25">
      <c r="A7" s="345"/>
      <c r="B7" s="977"/>
      <c r="C7" s="592" t="str">
        <f>"Physical State at Operating Conditions for "&amp;Chemical&amp;" = "&amp;State&amp;" and Feed of:"</f>
        <v>Physical State at Operating Conditions for  = Liquid and Feed of:</v>
      </c>
      <c r="D7" s="583"/>
      <c r="E7" s="583"/>
      <c r="I7" s="432"/>
      <c r="J7" s="345"/>
      <c r="L7" s="345"/>
      <c r="M7" s="977"/>
      <c r="O7" s="3929" t="str">
        <f>IF(ISNUMBER(SEARCH("Rupture",P6)),IF(AND(Rupture_10min="Yes",Rupture_Time&lt;&gt;""),"Equipment Rupture Modeled as "&amp;Rupture_Time&amp;" sec Release of Entire Contents","Equipment Rupture Modeled as Catastrophic Failure (Instatnaneous)"),"")</f>
        <v/>
      </c>
      <c r="P7" s="3930"/>
      <c r="Q7" s="3930"/>
      <c r="R7" s="3562"/>
      <c r="S7" s="3562"/>
      <c r="T7" s="3562"/>
      <c r="U7" s="432"/>
      <c r="V7" s="345"/>
    </row>
    <row r="8" spans="1:71" x14ac:dyDescent="0.25">
      <c r="A8" s="345"/>
      <c r="B8" s="977"/>
      <c r="C8" s="583" t="s">
        <v>822</v>
      </c>
      <c r="D8" s="2475" t="str">
        <f>IF(F8="","","Weight Fraction "&amp;ChemName_1)&amp;IF(Pseudo_Chem="Yes"," Pseudo Mix","")</f>
        <v xml:space="preserve">Weight Fraction </v>
      </c>
      <c r="E8" s="592"/>
      <c r="F8" s="1735">
        <f>WFeed_1</f>
        <v>0</v>
      </c>
      <c r="G8" s="1730"/>
      <c r="I8" s="432"/>
      <c r="J8" s="345"/>
      <c r="L8" s="345"/>
      <c r="M8" s="977"/>
      <c r="O8" s="1360" t="s">
        <v>2681</v>
      </c>
      <c r="Q8" s="3116" t="str">
        <f>IF(HLOOKUP($P$6,$Y$6:$BS$91,18,0)=0,"",HLOOKUP($P$6,$Y$6:$BS$91,18,0))</f>
        <v/>
      </c>
      <c r="R8" s="3902" t="s">
        <v>2769</v>
      </c>
      <c r="S8" s="3576"/>
      <c r="T8" s="3576"/>
      <c r="U8" s="3605"/>
      <c r="V8" s="345"/>
      <c r="X8" s="338" t="s">
        <v>3101</v>
      </c>
      <c r="Y8" s="1250"/>
      <c r="Z8" s="1251"/>
      <c r="AA8" s="1251"/>
      <c r="AB8" s="1251"/>
      <c r="AC8" s="3237"/>
      <c r="AD8" s="3237"/>
      <c r="AE8" s="1251"/>
      <c r="AF8" s="1251"/>
      <c r="AG8" s="1251"/>
      <c r="AH8" s="1251"/>
      <c r="AI8" s="1251"/>
      <c r="AJ8" s="1251"/>
      <c r="AK8" s="1251"/>
      <c r="AL8" s="1877"/>
      <c r="AM8" s="1877"/>
      <c r="AN8" s="1251"/>
      <c r="AO8" s="1251"/>
      <c r="AP8" s="1251"/>
      <c r="AQ8" s="1251"/>
      <c r="AR8" s="1251"/>
      <c r="AS8" s="1251"/>
      <c r="AT8" s="1251"/>
      <c r="AU8" s="1251"/>
      <c r="AV8" s="1251"/>
      <c r="AW8" s="1251"/>
      <c r="AX8" s="1251"/>
      <c r="AY8" s="1251"/>
      <c r="AZ8" s="1251"/>
      <c r="BA8" s="1251"/>
      <c r="BB8" s="1251"/>
      <c r="BC8" s="1251">
        <f>'Release Calculations'!AV14</f>
        <v>0</v>
      </c>
      <c r="BD8" s="1251">
        <f>'Release Calculations'!AX14</f>
        <v>0</v>
      </c>
      <c r="BE8" s="1251">
        <f>'Release Calculations'!AZ14</f>
        <v>0</v>
      </c>
      <c r="BF8" s="1251">
        <f>'Release Calculations'!BB14</f>
        <v>0</v>
      </c>
      <c r="BG8" s="1251">
        <f>'Release Calculations'!BD14</f>
        <v>0</v>
      </c>
      <c r="BH8" s="1251">
        <f>'Release Calculations'!BF14</f>
        <v>0</v>
      </c>
      <c r="BI8" s="1251">
        <f>'Release Calculations'!BH14</f>
        <v>0</v>
      </c>
      <c r="BJ8" s="1251">
        <f>'Release Calculations'!BJ14</f>
        <v>0</v>
      </c>
      <c r="BK8" s="1251">
        <f>'Release Calculations'!BL14</f>
        <v>0</v>
      </c>
      <c r="BL8" s="1251">
        <f>'Release Calculations'!BN14</f>
        <v>0</v>
      </c>
      <c r="BM8" s="1251"/>
      <c r="BN8" s="1251"/>
      <c r="BO8" s="1251"/>
      <c r="BP8" s="1251"/>
      <c r="BQ8" s="1251"/>
      <c r="BR8" s="2368"/>
      <c r="BS8" s="1251"/>
    </row>
    <row r="9" spans="1:71" x14ac:dyDescent="0.25">
      <c r="A9" s="345"/>
      <c r="B9" s="977"/>
      <c r="C9" s="583"/>
      <c r="D9" s="1308" t="str">
        <f>IF(Pseudo_Chem="Yes","",IF(F9="","","Weight Fraction "&amp;ChemName_2))</f>
        <v/>
      </c>
      <c r="E9" s="592"/>
      <c r="F9" s="1735" t="str">
        <f>IF(WFeed_2=0,"",WFeed_2)</f>
        <v/>
      </c>
      <c r="G9" s="1730"/>
      <c r="I9" s="432"/>
      <c r="J9" s="345"/>
      <c r="L9" s="345"/>
      <c r="M9" s="977"/>
      <c r="N9" s="514" t="s">
        <v>3072</v>
      </c>
      <c r="R9" s="3931" t="str">
        <f>"with"&amp;IF(Attended="Yes"," Personnel in Immediate Area"," Personnel Not in Immediate Area")</f>
        <v>with Personnel Not in Immediate Area</v>
      </c>
      <c r="S9" s="3562"/>
      <c r="T9" s="3562"/>
      <c r="U9" s="3898"/>
      <c r="V9" s="345"/>
      <c r="X9" s="338" t="s">
        <v>2414</v>
      </c>
      <c r="Y9" s="594">
        <f t="shared" ref="Y9:BB9" si="0">T</f>
        <v>0</v>
      </c>
      <c r="Z9" s="594">
        <f t="shared" si="0"/>
        <v>0</v>
      </c>
      <c r="AA9" s="594">
        <f t="shared" si="0"/>
        <v>0</v>
      </c>
      <c r="AB9" s="594">
        <f t="shared" si="0"/>
        <v>0</v>
      </c>
      <c r="AC9" s="3237">
        <f t="shared" si="0"/>
        <v>0</v>
      </c>
      <c r="AD9" s="3237">
        <f t="shared" si="0"/>
        <v>0</v>
      </c>
      <c r="AE9" s="594">
        <f t="shared" si="0"/>
        <v>0</v>
      </c>
      <c r="AF9" s="594">
        <f t="shared" si="0"/>
        <v>0</v>
      </c>
      <c r="AG9" s="594">
        <f t="shared" si="0"/>
        <v>0</v>
      </c>
      <c r="AH9" s="594">
        <f t="shared" si="0"/>
        <v>0</v>
      </c>
      <c r="AI9" s="594">
        <f t="shared" si="0"/>
        <v>0</v>
      </c>
      <c r="AJ9" s="594">
        <f t="shared" si="0"/>
        <v>0</v>
      </c>
      <c r="AK9" s="594">
        <f t="shared" si="0"/>
        <v>0</v>
      </c>
      <c r="AL9" s="594">
        <f t="shared" si="0"/>
        <v>0</v>
      </c>
      <c r="AM9" s="594">
        <f t="shared" si="0"/>
        <v>0</v>
      </c>
      <c r="AN9" s="594">
        <f t="shared" si="0"/>
        <v>0</v>
      </c>
      <c r="AO9" s="594">
        <f t="shared" si="0"/>
        <v>0</v>
      </c>
      <c r="AP9" s="594">
        <f t="shared" si="0"/>
        <v>0</v>
      </c>
      <c r="AQ9" s="594">
        <f t="shared" si="0"/>
        <v>0</v>
      </c>
      <c r="AR9" s="594">
        <f t="shared" si="0"/>
        <v>0</v>
      </c>
      <c r="AS9" s="594">
        <f t="shared" si="0"/>
        <v>0</v>
      </c>
      <c r="AT9" s="594">
        <f t="shared" si="0"/>
        <v>0</v>
      </c>
      <c r="AU9" s="594">
        <f t="shared" si="0"/>
        <v>0</v>
      </c>
      <c r="AV9" s="594">
        <f t="shared" si="0"/>
        <v>0</v>
      </c>
      <c r="AW9" s="594">
        <f t="shared" si="0"/>
        <v>0</v>
      </c>
      <c r="AX9" s="594">
        <f t="shared" si="0"/>
        <v>0</v>
      </c>
      <c r="AY9" s="594">
        <f t="shared" si="0"/>
        <v>0</v>
      </c>
      <c r="AZ9" s="594">
        <f t="shared" si="0"/>
        <v>0</v>
      </c>
      <c r="BA9" s="594">
        <f t="shared" si="0"/>
        <v>0</v>
      </c>
      <c r="BB9" s="594">
        <f t="shared" si="0"/>
        <v>0</v>
      </c>
      <c r="BC9" s="594">
        <f t="shared" ref="BC9:BL9" si="1">T_atRelief</f>
        <v>0</v>
      </c>
      <c r="BD9" s="594">
        <f t="shared" si="1"/>
        <v>0</v>
      </c>
      <c r="BE9" s="594">
        <f t="shared" si="1"/>
        <v>0</v>
      </c>
      <c r="BF9" s="594">
        <f t="shared" si="1"/>
        <v>0</v>
      </c>
      <c r="BG9" s="594">
        <f t="shared" si="1"/>
        <v>0</v>
      </c>
      <c r="BH9" s="594">
        <f t="shared" si="1"/>
        <v>0</v>
      </c>
      <c r="BI9" s="594">
        <f t="shared" si="1"/>
        <v>0</v>
      </c>
      <c r="BJ9" s="594">
        <f t="shared" si="1"/>
        <v>0</v>
      </c>
      <c r="BK9" s="594">
        <f t="shared" si="1"/>
        <v>0</v>
      </c>
      <c r="BL9" s="594">
        <f t="shared" si="1"/>
        <v>0</v>
      </c>
      <c r="BM9" s="594">
        <f>T</f>
        <v>0</v>
      </c>
      <c r="BN9" s="594">
        <f>T</f>
        <v>0</v>
      </c>
      <c r="BO9" s="594">
        <f>T_atBurst</f>
        <v>0</v>
      </c>
      <c r="BP9" s="594">
        <f>Tpeak_atBurst</f>
        <v>0</v>
      </c>
      <c r="BQ9" s="594">
        <f>T_atFire_Burst</f>
        <v>0</v>
      </c>
      <c r="BR9" s="594">
        <f>T_atBurst</f>
        <v>0</v>
      </c>
      <c r="BS9" s="594">
        <f>T</f>
        <v>0</v>
      </c>
    </row>
    <row r="10" spans="1:71" x14ac:dyDescent="0.25">
      <c r="A10" s="345"/>
      <c r="B10" s="977"/>
      <c r="C10" s="583"/>
      <c r="D10" s="1308" t="str">
        <f>IF(Pseudo_Chem="Yes","",IF(F10="","","Weight Fraction "&amp;ChemName_3))</f>
        <v/>
      </c>
      <c r="E10" s="592"/>
      <c r="F10" s="1735" t="str">
        <f>IF(WFeed_3=0,"",WFeed_3)</f>
        <v/>
      </c>
      <c r="G10" s="1730"/>
      <c r="I10" s="432"/>
      <c r="J10" s="345"/>
      <c r="L10" s="345"/>
      <c r="M10" s="977"/>
      <c r="O10" s="338" t="s">
        <v>2414</v>
      </c>
      <c r="Q10" s="3121" t="str">
        <f>IF(HLOOKUP($P$6,$Y$6:$BS$104,4,0)=0,"",HLOOKUP($P$6,$Y$6:$BS$104,4,0))</f>
        <v/>
      </c>
      <c r="S10" s="3122" t="s">
        <v>1072</v>
      </c>
      <c r="T10" s="3123" t="s">
        <v>3198</v>
      </c>
      <c r="U10" s="432"/>
      <c r="V10" s="345"/>
      <c r="X10" s="338" t="s">
        <v>2417</v>
      </c>
      <c r="Y10" s="594">
        <f t="shared" ref="Y10:BB10" si="2">1.01325*P</f>
        <v>1.01325E-3</v>
      </c>
      <c r="Z10" s="594">
        <f t="shared" si="2"/>
        <v>1.01325E-3</v>
      </c>
      <c r="AA10" s="594">
        <f t="shared" si="2"/>
        <v>1.01325E-3</v>
      </c>
      <c r="AB10" s="594">
        <f t="shared" si="2"/>
        <v>1.01325E-3</v>
      </c>
      <c r="AC10" s="3237">
        <f>1.01325*Failure_Gasket*MAWP</f>
        <v>0</v>
      </c>
      <c r="AD10" s="3237">
        <f>1.01325*Failure_Gasket*MAWP</f>
        <v>0</v>
      </c>
      <c r="AE10" s="594">
        <f t="shared" si="2"/>
        <v>1.01325E-3</v>
      </c>
      <c r="AF10" s="594">
        <f>1.01325*P</f>
        <v>1.01325E-3</v>
      </c>
      <c r="AG10" s="594">
        <f t="shared" si="2"/>
        <v>1.01325E-3</v>
      </c>
      <c r="AH10" s="594">
        <f t="shared" si="2"/>
        <v>1.01325E-3</v>
      </c>
      <c r="AI10" s="594">
        <f t="shared" si="2"/>
        <v>1.01325E-3</v>
      </c>
      <c r="AJ10" s="594">
        <f t="shared" si="2"/>
        <v>1.01325E-3</v>
      </c>
      <c r="AK10" s="594">
        <f t="shared" si="2"/>
        <v>1.01325E-3</v>
      </c>
      <c r="AL10" s="594">
        <f t="shared" si="2"/>
        <v>1.01325E-3</v>
      </c>
      <c r="AM10" s="594">
        <f t="shared" si="2"/>
        <v>1.01325E-3</v>
      </c>
      <c r="AN10" s="594">
        <f>1.01325*P</f>
        <v>1.01325E-3</v>
      </c>
      <c r="AO10" s="594">
        <f t="shared" si="2"/>
        <v>1.01325E-3</v>
      </c>
      <c r="AP10" s="594">
        <f t="shared" si="2"/>
        <v>1.01325E-3</v>
      </c>
      <c r="AQ10" s="594">
        <f t="shared" si="2"/>
        <v>1.01325E-3</v>
      </c>
      <c r="AR10" s="594">
        <f t="shared" si="2"/>
        <v>1.01325E-3</v>
      </c>
      <c r="AS10" s="594">
        <f t="shared" si="2"/>
        <v>1.01325E-3</v>
      </c>
      <c r="AT10" s="594">
        <f t="shared" si="2"/>
        <v>1.01325E-3</v>
      </c>
      <c r="AU10" s="594">
        <f t="shared" si="2"/>
        <v>1.01325E-3</v>
      </c>
      <c r="AV10" s="594">
        <f t="shared" si="2"/>
        <v>1.01325E-3</v>
      </c>
      <c r="AW10" s="594">
        <f t="shared" si="2"/>
        <v>1.01325E-3</v>
      </c>
      <c r="AX10" s="594">
        <f t="shared" si="2"/>
        <v>1.01325E-3</v>
      </c>
      <c r="AY10" s="594">
        <f t="shared" si="2"/>
        <v>1.01325E-3</v>
      </c>
      <c r="AZ10" s="594">
        <f t="shared" si="2"/>
        <v>1.01325E-3</v>
      </c>
      <c r="BA10" s="594">
        <f t="shared" si="2"/>
        <v>1.01325E-3</v>
      </c>
      <c r="BB10" s="594">
        <f t="shared" si="2"/>
        <v>1.01325E-3</v>
      </c>
      <c r="BC10" s="594">
        <f t="shared" ref="BC10:BL10" si="3">1.01325*IF(Relief_Set=0,MAWP,Relief_Set)</f>
        <v>0</v>
      </c>
      <c r="BD10" s="594">
        <f t="shared" si="3"/>
        <v>0</v>
      </c>
      <c r="BE10" s="594">
        <f t="shared" si="3"/>
        <v>0</v>
      </c>
      <c r="BF10" s="594">
        <f t="shared" si="3"/>
        <v>0</v>
      </c>
      <c r="BG10" s="594">
        <f t="shared" si="3"/>
        <v>0</v>
      </c>
      <c r="BH10" s="594">
        <f t="shared" si="3"/>
        <v>0</v>
      </c>
      <c r="BI10" s="594">
        <f t="shared" si="3"/>
        <v>0</v>
      </c>
      <c r="BJ10" s="594">
        <f t="shared" si="3"/>
        <v>0</v>
      </c>
      <c r="BK10" s="594">
        <f t="shared" si="3"/>
        <v>0</v>
      </c>
      <c r="BL10" s="594">
        <f t="shared" si="3"/>
        <v>0</v>
      </c>
      <c r="BM10" s="594">
        <f>1.01325*Burst_P</f>
        <v>0</v>
      </c>
      <c r="BN10" s="594">
        <f>1.01325*Burst_P</f>
        <v>0</v>
      </c>
      <c r="BO10" s="594">
        <f>1.01325*Burst_P</f>
        <v>0</v>
      </c>
      <c r="BP10" s="594">
        <f>1.01325*Burst_P</f>
        <v>0</v>
      </c>
      <c r="BQ10" s="594">
        <f>1.01325*Fire_Burst</f>
        <v>0</v>
      </c>
      <c r="BR10" s="594">
        <f>1.01325*Burst_P</f>
        <v>0</v>
      </c>
      <c r="BS10" s="594">
        <f>1.01325*P</f>
        <v>1.01325E-3</v>
      </c>
    </row>
    <row r="11" spans="1:71" x14ac:dyDescent="0.25">
      <c r="A11" s="345"/>
      <c r="B11" s="977"/>
      <c r="C11" s="583"/>
      <c r="D11" s="1308" t="str">
        <f>IF(Pseudo_Chem="Yes","",IF(F11="","","Weight Fraction "&amp;ChemName_4))</f>
        <v/>
      </c>
      <c r="E11" s="592"/>
      <c r="F11" s="1735" t="str">
        <f>IF(WFeed_4=0,"",WFeed_4)</f>
        <v/>
      </c>
      <c r="G11" s="1730"/>
      <c r="I11" s="432"/>
      <c r="J11" s="345"/>
      <c r="L11" s="345"/>
      <c r="M11" s="977"/>
      <c r="O11" s="338" t="s">
        <v>2417</v>
      </c>
      <c r="Q11" s="3124">
        <f>IF(HLOOKUP($P$6,$Y$6:$BS$104,5,0)=0,"",HLOOKUP($P$6,$Y$6:$BS$104,5,0))</f>
        <v>1.01325E-3</v>
      </c>
      <c r="S11" s="3903" t="s">
        <v>3104</v>
      </c>
      <c r="T11" s="3576"/>
      <c r="U11" s="432"/>
      <c r="V11" s="345"/>
      <c r="X11" s="338" t="s">
        <v>2416</v>
      </c>
      <c r="Y11" s="594" t="str">
        <f t="shared" ref="Y11:AY11" si="4">State</f>
        <v>Liquid</v>
      </c>
      <c r="Z11" s="594" t="s">
        <v>1396</v>
      </c>
      <c r="AA11" s="594" t="str">
        <f t="shared" si="4"/>
        <v>Liquid</v>
      </c>
      <c r="AB11" s="594" t="s">
        <v>1396</v>
      </c>
      <c r="AC11" s="3237" t="str">
        <f t="shared" si="4"/>
        <v>Liquid</v>
      </c>
      <c r="AD11" s="3237" t="s">
        <v>1396</v>
      </c>
      <c r="AE11" s="594" t="str">
        <f t="shared" si="4"/>
        <v>Liquid</v>
      </c>
      <c r="AF11" s="594" t="s">
        <v>1396</v>
      </c>
      <c r="AG11" s="594" t="str">
        <f t="shared" si="4"/>
        <v>Liquid</v>
      </c>
      <c r="AH11" s="594" t="s">
        <v>1396</v>
      </c>
      <c r="AI11" s="594" t="str">
        <f t="shared" si="4"/>
        <v>Liquid</v>
      </c>
      <c r="AJ11" s="594" t="s">
        <v>1396</v>
      </c>
      <c r="AK11" s="594" t="str">
        <f t="shared" si="4"/>
        <v>Liquid</v>
      </c>
      <c r="AL11" s="594" t="str">
        <f t="shared" si="4"/>
        <v>Liquid</v>
      </c>
      <c r="AM11" s="594" t="s">
        <v>1396</v>
      </c>
      <c r="AN11" s="594" t="str">
        <f t="shared" si="4"/>
        <v>Liquid</v>
      </c>
      <c r="AO11" s="594" t="s">
        <v>1396</v>
      </c>
      <c r="AP11" s="594" t="str">
        <f t="shared" si="4"/>
        <v>Liquid</v>
      </c>
      <c r="AQ11" s="594" t="s">
        <v>1396</v>
      </c>
      <c r="AR11" s="594" t="str">
        <f t="shared" si="4"/>
        <v>Liquid</v>
      </c>
      <c r="AS11" s="594" t="s">
        <v>1396</v>
      </c>
      <c r="AT11" s="594" t="str">
        <f t="shared" si="4"/>
        <v>Liquid</v>
      </c>
      <c r="AU11" s="594" t="str">
        <f t="shared" si="4"/>
        <v>Liquid</v>
      </c>
      <c r="AV11" s="594" t="str">
        <f t="shared" si="4"/>
        <v>Liquid</v>
      </c>
      <c r="AW11" s="594" t="str">
        <f t="shared" si="4"/>
        <v>Liquid</v>
      </c>
      <c r="AX11" s="594" t="str">
        <f t="shared" si="4"/>
        <v>Liquid</v>
      </c>
      <c r="AY11" s="594" t="str">
        <f t="shared" si="4"/>
        <v>Liquid</v>
      </c>
      <c r="AZ11" s="594" t="s">
        <v>1396</v>
      </c>
      <c r="BA11" s="594" t="s">
        <v>1396</v>
      </c>
      <c r="BB11" s="594" t="s">
        <v>1396</v>
      </c>
      <c r="BC11" s="594" t="str">
        <f>IF('Release Calculations'!$AV22&gt;0,"Two-Phase","Vapor")</f>
        <v>Vapor</v>
      </c>
      <c r="BD11" s="594" t="str">
        <f>IF('Release Calculations'!$AX22&gt;0,"Two-Phase","Vapor")</f>
        <v>Vapor</v>
      </c>
      <c r="BE11" s="594" t="str">
        <f>IF('Release Calculations'!$AZ22&gt;0,"Two-Phase","Vapor")</f>
        <v>Vapor</v>
      </c>
      <c r="BF11" s="594" t="str">
        <f>IF('Release Calculations'!$BB22&gt;0,"Two-Phase","Vapor")</f>
        <v>Vapor</v>
      </c>
      <c r="BG11" s="594" t="str">
        <f>IF('Release Calculations'!$BD22&gt;0,"Two-Phase","Vapor")</f>
        <v>Vapor</v>
      </c>
      <c r="BH11" s="594" t="str">
        <f>IF('Release Calculations'!$BF22&gt;0,"Two-Phase","Vapor")</f>
        <v>Vapor</v>
      </c>
      <c r="BI11" s="594" t="str">
        <f>IF('Release Calculations'!$BH22&gt;0,"Two-Phase","Vapor")</f>
        <v>Vapor</v>
      </c>
      <c r="BJ11" s="594" t="str">
        <f>IF('Release Calculations'!$BJ22&gt;0,"Two-Phase","Vapor")</f>
        <v>Vapor</v>
      </c>
      <c r="BK11" s="594" t="str">
        <f>IF('Release Calculations'!$BL22&gt;0,"Two-Phase","Vapor")</f>
        <v>Vapor</v>
      </c>
      <c r="BL11" s="594" t="str">
        <f>IF('Release Calculations'!$BN22&gt;0,"Two-Phase","Vapor")</f>
        <v>Vapor</v>
      </c>
      <c r="BM11" s="594" t="str">
        <f t="shared" ref="BM11:BS11" si="5">State</f>
        <v>Liquid</v>
      </c>
      <c r="BN11" s="594" t="str">
        <f t="shared" si="5"/>
        <v>Liquid</v>
      </c>
      <c r="BO11" s="594" t="str">
        <f t="shared" si="5"/>
        <v>Liquid</v>
      </c>
      <c r="BP11" s="594" t="str">
        <f t="shared" si="5"/>
        <v>Liquid</v>
      </c>
      <c r="BQ11" s="594" t="str">
        <f t="shared" si="5"/>
        <v>Liquid</v>
      </c>
      <c r="BR11" s="594" t="str">
        <f t="shared" si="5"/>
        <v>Liquid</v>
      </c>
      <c r="BS11" s="594" t="str">
        <f t="shared" si="5"/>
        <v>Liquid</v>
      </c>
    </row>
    <row r="12" spans="1:71" x14ac:dyDescent="0.25">
      <c r="A12" s="345"/>
      <c r="B12" s="977"/>
      <c r="C12" s="583"/>
      <c r="D12" s="1736" t="str">
        <f>IF(Pseudo_Chem="Yes","",IF(F12="","","Weight Fraction "&amp;ChemName_5))</f>
        <v/>
      </c>
      <c r="E12" s="592"/>
      <c r="F12" s="1735" t="str">
        <f>IF(WFeed_5=0,"",WFeed_5)</f>
        <v/>
      </c>
      <c r="G12" s="1730"/>
      <c r="I12" s="432"/>
      <c r="J12" s="345"/>
      <c r="L12" s="345"/>
      <c r="M12" s="977"/>
      <c r="O12" s="338" t="str">
        <f>"Physical State at Release Conditions "&amp;IF(Q12&lt;&gt;"Two-Phase","",ROUND(HLOOKUP($P$6,$Y$6:$BS$69,3,0),3)&amp;"Void Fract")</f>
        <v xml:space="preserve">Physical State at Release Conditions </v>
      </c>
      <c r="P12" s="583"/>
      <c r="Q12" s="3116" t="str">
        <f>IF(HLOOKUP($P$6,$Y$6:$BS$104,6,0)=0,"",HLOOKUP($P$6,$Y$6:$BS$104,6,0))</f>
        <v>Liquid</v>
      </c>
      <c r="S12" s="3116" t="str">
        <f>IF(HLOOKUP($P$6,$Y$6:$BS$104,52,0)=0,"",HLOOKUP($P$6,$Y$6:$BS$104,52,0))</f>
        <v/>
      </c>
      <c r="T12" s="3125" t="str">
        <f>IF(OR(S12="",HLOOKUP($P$6,$Y$6:$BS$104,64,0)=0),"",HLOOKUP($P$6,$Y$6:$BS$104,64,0))</f>
        <v/>
      </c>
      <c r="U12" s="432"/>
      <c r="V12" s="345"/>
      <c r="X12" s="338" t="s">
        <v>2419</v>
      </c>
      <c r="Y12" s="594"/>
      <c r="Z12" s="594"/>
      <c r="AA12" s="594"/>
      <c r="AB12" s="594"/>
      <c r="AC12" s="3237"/>
      <c r="AD12" s="3237"/>
      <c r="AE12" s="594"/>
      <c r="AF12" s="594"/>
      <c r="AG12" s="594"/>
      <c r="AH12" s="594"/>
      <c r="AI12" s="594"/>
      <c r="AJ12" s="594"/>
      <c r="AK12" s="594"/>
      <c r="AL12" s="594"/>
      <c r="AM12" s="594"/>
      <c r="AN12" s="594"/>
      <c r="AO12" s="594"/>
      <c r="AP12" s="594"/>
      <c r="AQ12" s="594"/>
      <c r="AR12" s="594"/>
      <c r="AS12" s="594"/>
      <c r="AT12" s="594"/>
      <c r="AU12" s="594"/>
      <c r="AV12" s="594"/>
      <c r="AW12" s="594"/>
      <c r="AX12" s="594"/>
      <c r="AY12" s="594"/>
      <c r="AZ12" s="594"/>
      <c r="BA12" s="594"/>
      <c r="BB12" s="594"/>
      <c r="BC12" s="611">
        <f>'Pool Fire Frequency'!$J11</f>
        <v>0</v>
      </c>
      <c r="BD12" s="611">
        <f>'Release Calculations'!$AX6</f>
        <v>5.9749999999999994E-4</v>
      </c>
      <c r="BE12" s="611">
        <f>'Release Calculations'!$AZ6</f>
        <v>0</v>
      </c>
      <c r="BF12" s="611" t="e">
        <f>'Release Calculations'!$BB6</f>
        <v>#DIV/0!</v>
      </c>
      <c r="BG12" s="611">
        <f>'Release Calculations'!$BD6</f>
        <v>0</v>
      </c>
      <c r="BH12" s="611">
        <f>'Release Calculations'!$BF6</f>
        <v>0</v>
      </c>
      <c r="BI12" s="611">
        <f>'Release Calculations'!$BH6</f>
        <v>0</v>
      </c>
      <c r="BJ12" s="611" t="e">
        <f>'Release Calculations'!$BJ6</f>
        <v>#DIV/0!</v>
      </c>
      <c r="BK12" s="611" t="e">
        <f>'Release Calculations'!$BL6</f>
        <v>#DIV/0!</v>
      </c>
      <c r="BL12" s="611">
        <f>'Release Calculations'!$BN6</f>
        <v>0</v>
      </c>
      <c r="BM12" s="594"/>
      <c r="BN12" s="594"/>
      <c r="BO12" s="594"/>
      <c r="BP12" s="594"/>
      <c r="BQ12" s="594"/>
      <c r="BR12" s="594"/>
      <c r="BS12" s="594"/>
    </row>
    <row r="13" spans="1:71" x14ac:dyDescent="0.25">
      <c r="A13" s="345"/>
      <c r="B13" s="977"/>
      <c r="C13" s="338" t="str">
        <f>"Normal Boiling Point, "&amp;T_Units</f>
        <v>Normal Boiling Point, C</v>
      </c>
      <c r="F13" s="1737">
        <f>IF(F29="F",ROUND(1.8*TBp+32,1),TBp)</f>
        <v>0</v>
      </c>
      <c r="H13" s="600" t="s">
        <v>2406</v>
      </c>
      <c r="I13" s="432"/>
      <c r="J13" s="345"/>
      <c r="L13" s="345"/>
      <c r="M13" s="977"/>
      <c r="O13" s="338" t="s">
        <v>2419</v>
      </c>
      <c r="P13" s="583"/>
      <c r="Q13" s="3118" t="str">
        <f>IF(HLOOKUP($P$6,$Y$6:$BS$104,7,0)=0,"",HLOOKUP($P$6,$Y$6:$BS$104,7,0))</f>
        <v/>
      </c>
      <c r="S13" s="3903" t="s">
        <v>3105</v>
      </c>
      <c r="T13" s="3576"/>
      <c r="U13" s="432"/>
      <c r="V13" s="345"/>
      <c r="X13" s="338" t="s">
        <v>2410</v>
      </c>
      <c r="Y13" s="594">
        <f>'Release Calculations'!$D7</f>
        <v>1</v>
      </c>
      <c r="Z13" s="607">
        <f>'Release Calculations'!$D7</f>
        <v>1</v>
      </c>
      <c r="AA13" s="607">
        <f>'Release Calculations'!$F7</f>
        <v>1</v>
      </c>
      <c r="AB13" s="607">
        <f>'Release Calculations'!$F7</f>
        <v>1</v>
      </c>
      <c r="AC13" s="3238">
        <f>'Release Calculations'!$H7</f>
        <v>1</v>
      </c>
      <c r="AD13" s="3238">
        <f>'Release Calculations'!$H7</f>
        <v>1</v>
      </c>
      <c r="AE13" s="607">
        <f>'Release Calculations'!$J7</f>
        <v>1</v>
      </c>
      <c r="AF13" s="607">
        <f>'Release Calculations'!$J7</f>
        <v>1</v>
      </c>
      <c r="AG13" s="594">
        <f>'Release Calculations'!$L7</f>
        <v>0</v>
      </c>
      <c r="AH13" s="607">
        <f>'Release Calculations'!$L7</f>
        <v>0</v>
      </c>
      <c r="AI13" s="594">
        <f>'Release Calculations'!$N7</f>
        <v>0</v>
      </c>
      <c r="AJ13" s="607">
        <f>'Release Calculations'!$N7</f>
        <v>0</v>
      </c>
      <c r="AK13" s="594">
        <f>'Release Calculations'!$P7</f>
        <v>0.3</v>
      </c>
      <c r="AL13" s="594">
        <f>'Release Calculations'!$R7</f>
        <v>1</v>
      </c>
      <c r="AM13" s="607">
        <f>'Release Calculations'!$R7</f>
        <v>1</v>
      </c>
      <c r="AN13" s="607">
        <f>'Release Calculations'!$T7</f>
        <v>2.5</v>
      </c>
      <c r="AO13" s="607">
        <f>'Release Calculations'!$T7</f>
        <v>2.5</v>
      </c>
      <c r="AP13" s="594">
        <f>'Release Calculations'!$V7</f>
        <v>5</v>
      </c>
      <c r="AQ13" s="607">
        <f>'Release Calculations'!$V7</f>
        <v>5</v>
      </c>
      <c r="AR13" s="594">
        <f>'Release Calculations'!$X7</f>
        <v>15</v>
      </c>
      <c r="AS13" s="607">
        <f>'Release Calculations'!$X7</f>
        <v>15</v>
      </c>
      <c r="AT13" s="594">
        <f>'Release Calculations'!$AE7</f>
        <v>1.27</v>
      </c>
      <c r="AU13" s="594">
        <f>'Release Calculations'!$AG7</f>
        <v>1.27</v>
      </c>
      <c r="AV13" s="594">
        <f>'Release Calculations'!$AI7</f>
        <v>1.27</v>
      </c>
      <c r="AW13" s="594">
        <f>'Release Calculations'!$AK7</f>
        <v>1.27</v>
      </c>
      <c r="AX13" s="594">
        <f>'Release Calculations'!$AM7</f>
        <v>1.27</v>
      </c>
      <c r="AY13" s="594">
        <f>'Release Calculations'!$AO7</f>
        <v>1.27</v>
      </c>
      <c r="AZ13" s="607">
        <f>'Release Calculations'!$AE7</f>
        <v>1.27</v>
      </c>
      <c r="BA13" s="607">
        <f>'Release Calculations'!$AG7</f>
        <v>1.27</v>
      </c>
      <c r="BB13" s="607">
        <f>'Release Calculations'!$AI7</f>
        <v>1.27</v>
      </c>
      <c r="BC13" s="594" t="str">
        <f t="shared" ref="BC13:BL13" si="6">IF(Relief_Size=0,"",Relief_Size)</f>
        <v/>
      </c>
      <c r="BD13" s="594" t="str">
        <f t="shared" si="6"/>
        <v/>
      </c>
      <c r="BE13" s="594" t="str">
        <f t="shared" si="6"/>
        <v/>
      </c>
      <c r="BF13" s="594" t="str">
        <f t="shared" si="6"/>
        <v/>
      </c>
      <c r="BG13" s="594" t="str">
        <f t="shared" si="6"/>
        <v/>
      </c>
      <c r="BH13" s="594" t="str">
        <f t="shared" si="6"/>
        <v/>
      </c>
      <c r="BI13" s="594" t="str">
        <f t="shared" si="6"/>
        <v/>
      </c>
      <c r="BJ13" s="594" t="str">
        <f t="shared" si="6"/>
        <v/>
      </c>
      <c r="BK13" s="594" t="str">
        <f t="shared" si="6"/>
        <v/>
      </c>
      <c r="BL13" s="594" t="str">
        <f t="shared" si="6"/>
        <v/>
      </c>
      <c r="BM13" s="594"/>
      <c r="BN13" s="594"/>
      <c r="BO13" s="594"/>
      <c r="BP13" s="594"/>
      <c r="BQ13" s="594"/>
      <c r="BR13" s="594"/>
      <c r="BS13" s="594"/>
    </row>
    <row r="14" spans="1:71" x14ac:dyDescent="0.25">
      <c r="A14" s="345"/>
      <c r="B14" s="977"/>
      <c r="C14" s="338" t="str">
        <f>"Flash Point, "&amp;T_Units</f>
        <v>Flash Point, C</v>
      </c>
      <c r="F14" s="1738" t="str">
        <f>IF(Flash_Pt_Feed="","",IF(F29="F",ROUND(1.8*Flash_Pt_Feed+32,1),Flash_Pt_Feed))</f>
        <v/>
      </c>
      <c r="H14" s="578" t="s">
        <v>2431</v>
      </c>
      <c r="I14" s="432"/>
      <c r="J14" s="345"/>
      <c r="K14" s="604"/>
      <c r="L14" s="345"/>
      <c r="M14" s="977"/>
      <c r="O14" s="338" t="s">
        <v>2410</v>
      </c>
      <c r="Q14" s="3124">
        <f>IF(HLOOKUP($P$6,$Y$6:$BS$104,8,0)=0,"",HLOOKUP($P$6,$Y$6:$BS$104,8,0))</f>
        <v>1</v>
      </c>
      <c r="S14" s="3116" t="str">
        <f>IF(HLOOKUP($P$6,$Y$6:$BS$104,53,0)=0,"",HLOOKUP($P$6,$Y$6:$BS$104,53,0))</f>
        <v/>
      </c>
      <c r="T14" s="3125" t="str">
        <f>IF(OR(S14="",HLOOKUP($P$6,$Y$6:$BS$104,65,0)=0),"",HLOOKUP($P$6,$Y$6:$BS$104,65,0))</f>
        <v/>
      </c>
      <c r="U14" s="432"/>
      <c r="V14" s="345"/>
      <c r="X14" s="338" t="s">
        <v>2409</v>
      </c>
      <c r="Y14" s="594">
        <f>'Release Calculations'!$D23</f>
        <v>6.7100000000000007E-3</v>
      </c>
      <c r="Z14" s="607">
        <f>'Release Calculations'!$D464</f>
        <v>7.7915692117653862E-4</v>
      </c>
      <c r="AA14" s="607">
        <f>'Release Calculations'!$F23</f>
        <v>6.7100000000000007E-3</v>
      </c>
      <c r="AB14" s="607">
        <f>'Release Calculations'!$F464</f>
        <v>7.7915692117653862E-4</v>
      </c>
      <c r="AC14" s="3238">
        <f>'Release Calculations'!$H23</f>
        <v>0</v>
      </c>
      <c r="AD14" s="3238">
        <f>'Release Calculations'!$H464</f>
        <v>0</v>
      </c>
      <c r="AE14" s="607">
        <f>'Release Calculations'!$J23</f>
        <v>6.7100000000000007E-3</v>
      </c>
      <c r="AF14" s="607">
        <f>'Release Calculations'!$J464</f>
        <v>7.7915692117653862E-4</v>
      </c>
      <c r="AG14" s="607">
        <f>'Release Calculations'!$L23</f>
        <v>0</v>
      </c>
      <c r="AH14" s="607">
        <f>'Release Calculations'!$L464</f>
        <v>0</v>
      </c>
      <c r="AI14" s="607">
        <f>'Release Calculations'!$N23</f>
        <v>0</v>
      </c>
      <c r="AJ14" s="607">
        <f>'Release Calculations'!$N464</f>
        <v>0</v>
      </c>
      <c r="AK14" s="607">
        <f>'Release Calculations'!$P23</f>
        <v>6.0389999999999999E-4</v>
      </c>
      <c r="AL14" s="607">
        <f>'Release Calculations'!$R23</f>
        <v>6.7100000000000007E-3</v>
      </c>
      <c r="AM14" s="607">
        <f>'Release Calculations'!$R464</f>
        <v>7.7915692117653862E-4</v>
      </c>
      <c r="AN14" s="607">
        <f>'Release Calculations'!$T23</f>
        <v>4.1937500000000009E-2</v>
      </c>
      <c r="AO14" s="607">
        <f>'Release Calculations'!$T464</f>
        <v>4.8697307573533659E-3</v>
      </c>
      <c r="AP14" s="607">
        <f>'Release Calculations'!$V23</f>
        <v>0.16775000000000004</v>
      </c>
      <c r="AQ14" s="607">
        <f>'Release Calculations'!$V464</f>
        <v>1.9478923029413463E-2</v>
      </c>
      <c r="AR14" s="607">
        <f>'Release Calculations'!$X23</f>
        <v>1.5097500000000004</v>
      </c>
      <c r="AS14" s="607">
        <f>'Release Calculations'!$X464</f>
        <v>0.17531030726472116</v>
      </c>
      <c r="AT14" s="594">
        <f>'Release Calculations'!$AE23</f>
        <v>0</v>
      </c>
      <c r="AU14" s="607">
        <f>'Release Calculations'!$AG23</f>
        <v>0</v>
      </c>
      <c r="AV14" s="607">
        <f>'Release Calculations'!$AI23</f>
        <v>1.0822559000000001E-2</v>
      </c>
      <c r="AW14" s="607">
        <f>'Release Calculations'!$AK23</f>
        <v>0</v>
      </c>
      <c r="AX14" s="607">
        <f>'Release Calculations'!$AM23</f>
        <v>0</v>
      </c>
      <c r="AY14" s="607">
        <f>'Release Calculations'!$AO23</f>
        <v>0</v>
      </c>
      <c r="AZ14" s="607">
        <f>'Release Calculations'!$AE478</f>
        <v>4.5399929762484854E-5</v>
      </c>
      <c r="BA14" s="607">
        <f>'Release Calculations'!$AG478</f>
        <v>4.5399929762484854E-5</v>
      </c>
      <c r="BB14" s="607">
        <f>'Release Calculations'!$AI478</f>
        <v>4.5399929762484854E-5</v>
      </c>
      <c r="BC14" s="594">
        <f>'Release Calculations'!$AV73</f>
        <v>0</v>
      </c>
      <c r="BD14" s="594">
        <f>'Release Calculations'!$AX73</f>
        <v>0</v>
      </c>
      <c r="BE14" s="594">
        <f>'Release Calculations'!$AZ73</f>
        <v>0</v>
      </c>
      <c r="BF14" s="594">
        <f>'Release Calculations'!$BB73</f>
        <v>0</v>
      </c>
      <c r="BG14" s="594">
        <f>'Release Calculations'!$BD73</f>
        <v>0</v>
      </c>
      <c r="BH14" s="594">
        <f>'Release Calculations'!$BF73</f>
        <v>0</v>
      </c>
      <c r="BI14" s="594">
        <f>'Release Calculations'!$BH73</f>
        <v>0</v>
      </c>
      <c r="BJ14" s="594">
        <f>'Release Calculations'!$BJ73</f>
        <v>0</v>
      </c>
      <c r="BK14" s="594">
        <f>'Release Calculations'!$BL73</f>
        <v>0</v>
      </c>
      <c r="BL14" s="594">
        <f>'Release Calculations'!$BN73</f>
        <v>0</v>
      </c>
      <c r="BM14" s="594" t="s">
        <v>2248</v>
      </c>
      <c r="BN14" s="594" t="s">
        <v>2248</v>
      </c>
      <c r="BO14" s="594" t="s">
        <v>2248</v>
      </c>
      <c r="BP14" s="594" t="s">
        <v>2248</v>
      </c>
      <c r="BQ14" s="594" t="s">
        <v>2248</v>
      </c>
      <c r="BR14" s="594" t="s">
        <v>2248</v>
      </c>
      <c r="BS14" s="607" t="str">
        <f>'Release Calculations'!CJ7</f>
        <v/>
      </c>
    </row>
    <row r="15" spans="1:71" x14ac:dyDescent="0.25">
      <c r="A15" s="345"/>
      <c r="B15" s="977"/>
      <c r="C15" s="338" t="s">
        <v>2430</v>
      </c>
      <c r="F15" s="1737">
        <f>LFL_Feed</f>
        <v>0</v>
      </c>
      <c r="I15" s="432"/>
      <c r="J15" s="345"/>
      <c r="K15" s="604"/>
      <c r="L15" s="345"/>
      <c r="M15" s="977"/>
      <c r="O15" s="338" t="s">
        <v>2409</v>
      </c>
      <c r="Q15" s="3118">
        <f>IF(HLOOKUP($P$6,$Y$6:$BS$104,9,0)=0,"",HLOOKUP($P$6,$Y$6:$BS$104,9,0))</f>
        <v>6.7100000000000007E-3</v>
      </c>
      <c r="R15" s="3905" t="s">
        <v>3106</v>
      </c>
      <c r="S15" s="3562"/>
      <c r="T15" s="3562"/>
      <c r="U15" s="3898"/>
      <c r="V15" s="345"/>
      <c r="X15" s="338" t="s">
        <v>4721</v>
      </c>
      <c r="Y15" s="594">
        <f>'Release Calculations'!$D22</f>
        <v>0</v>
      </c>
      <c r="Z15" s="610">
        <f>IF(Inert_FeedRate&gt;0,3600,'Release Calculations'!$D434)</f>
        <v>0</v>
      </c>
      <c r="AA15" s="610">
        <f>'Release Calculations'!$F22</f>
        <v>0</v>
      </c>
      <c r="AB15" s="610">
        <f>IF(Inert_FeedRate&gt;0,3600,'Release Calculations'!$F434)</f>
        <v>0</v>
      </c>
      <c r="AC15" s="3239">
        <f>'Release Calculations'!$H22</f>
        <v>0</v>
      </c>
      <c r="AD15" s="3239">
        <f>IF(Inert_FeedRate&gt;0,3600,'Release Calculations'!$F434)</f>
        <v>0</v>
      </c>
      <c r="AE15" s="610">
        <f>'Release Calculations'!$J22</f>
        <v>0</v>
      </c>
      <c r="AF15" s="610">
        <f>IF(Inert_FeedRate&gt;0,3600,'Release Calculations'!$J434)</f>
        <v>0</v>
      </c>
      <c r="AG15" s="610">
        <f>'Release Calculations'!$L22</f>
        <v>0</v>
      </c>
      <c r="AH15" s="610">
        <f>IF(Inert_FeedRate&gt;0,3600,'Release Calculations'!$L434)</f>
        <v>3600</v>
      </c>
      <c r="AI15" s="610">
        <f>'Release Calculations'!$N22</f>
        <v>0</v>
      </c>
      <c r="AJ15" s="610">
        <f>IF(Inert_FeedRate&gt;0,3600,'Release Calculations'!$N434)</f>
        <v>3600</v>
      </c>
      <c r="AK15" s="610">
        <f>'Release Calculations'!$P22</f>
        <v>0</v>
      </c>
      <c r="AL15" s="610">
        <f>'Release Calculations'!$R22</f>
        <v>0</v>
      </c>
      <c r="AM15" s="610">
        <f>IF(Inert_FeedRate&gt;0,3600,'Release Calculations'!$R434)</f>
        <v>0</v>
      </c>
      <c r="AN15" s="610">
        <f>'Release Calculations'!$T22</f>
        <v>0</v>
      </c>
      <c r="AO15" s="610">
        <f>IF(Inert_FeedRate&gt;0,3600,'Release Calculations'!$T434)</f>
        <v>0</v>
      </c>
      <c r="AP15" s="610">
        <f>'Release Calculations'!$V22</f>
        <v>0</v>
      </c>
      <c r="AQ15" s="610">
        <f>IF(Inert_FeedRate&gt;0,3600,'Release Calculations'!$V434)</f>
        <v>0</v>
      </c>
      <c r="AR15" s="610">
        <f>'Release Calculations'!$X22</f>
        <v>0</v>
      </c>
      <c r="AS15" s="610">
        <f>IF(Inert_FeedRate&gt;0,3600,'Release Calculations'!$X434)</f>
        <v>0</v>
      </c>
      <c r="AT15" s="594">
        <f>'Release Calculations'!$AE22</f>
        <v>0</v>
      </c>
      <c r="AU15" s="610">
        <f>'Release Calculations'!$AG22</f>
        <v>0</v>
      </c>
      <c r="AV15" s="610">
        <f>'Release Calculations'!$AI22</f>
        <v>0</v>
      </c>
      <c r="AW15" s="610">
        <f>'Release Calculations'!$AK22</f>
        <v>0</v>
      </c>
      <c r="AX15" s="610">
        <f>'Release Calculations'!$AM22</f>
        <v>0</v>
      </c>
      <c r="AY15" s="610">
        <f>'Release Calculations'!$AO22</f>
        <v>3600</v>
      </c>
      <c r="AZ15" s="610">
        <f>IF(Inert_FeedRate&gt;0,3600,'Release Calculations'!$AE448)</f>
        <v>3600</v>
      </c>
      <c r="BA15" s="610">
        <f>IF(Inert_FeedRate&gt;0,3600,'Release Calculations'!$AG448)</f>
        <v>3600</v>
      </c>
      <c r="BB15" s="610">
        <f>IF(Inert_FeedRate&gt;0,3600,'Release Calculations'!$AI448)</f>
        <v>0</v>
      </c>
      <c r="BC15" s="610">
        <f>'Release Calculations'!$AV24</f>
        <v>0</v>
      </c>
      <c r="BD15" s="610">
        <f>'Release Calculations'!$AX24</f>
        <v>0</v>
      </c>
      <c r="BE15" s="610">
        <f>'Release Calculations'!$AZ24</f>
        <v>0</v>
      </c>
      <c r="BF15" s="610">
        <f>'Release Calculations'!$BB24</f>
        <v>0</v>
      </c>
      <c r="BG15" s="610">
        <f>'Release Calculations'!$BD24</f>
        <v>0</v>
      </c>
      <c r="BH15" s="610">
        <f>'Release Calculations'!$BF24</f>
        <v>0</v>
      </c>
      <c r="BI15" s="610">
        <f>'Release Calculations'!$BH24</f>
        <v>0</v>
      </c>
      <c r="BJ15" s="610">
        <f>'Release Calculations'!$BJ24</f>
        <v>0</v>
      </c>
      <c r="BK15" s="610">
        <f>'Release Calculations'!$BL24</f>
        <v>0</v>
      </c>
      <c r="BL15" s="610">
        <f>'Release Calculations'!$BN24</f>
        <v>3600</v>
      </c>
      <c r="BM15" s="594"/>
      <c r="BN15" s="594"/>
      <c r="BO15" s="594"/>
      <c r="BP15" s="594"/>
      <c r="BQ15" s="594"/>
      <c r="BR15" s="594"/>
      <c r="BS15" s="607" t="str">
        <f>IF(AND('Release Calculations'!CJ7&lt;&gt;"",'Release Calculations'!CJ8&lt;&gt;""),'Release Calculations'!CJ8/'Release Calculations'!CJ7,"")</f>
        <v/>
      </c>
    </row>
    <row r="16" spans="1:71" x14ac:dyDescent="0.25">
      <c r="A16" s="345"/>
      <c r="B16" s="977"/>
      <c r="C16" s="338" t="s">
        <v>2400</v>
      </c>
      <c r="F16" s="1739" t="str">
        <f>Dust_Deflagration</f>
        <v>No</v>
      </c>
      <c r="G16" s="3911" t="str">
        <f>IF(Flash_Pt_Feed&lt;&gt;"",IF(OR(AND(State="Solid",Dust_Deflagration="Yes"),AND(State&lt;&gt;"Solid",OR(Flash_Pt_Feed&lt;Flammable_FP_Limit,Ease_of_Ignition_Feed="High",MAX(Ambient_Temp,T,Heating_T,Tmax_MechEng,Tmax_ME_Continuous)&gt;(Flash_Pt_Feed-FlashPt_Difference_Limit)))),"Flammability Hazard Sufficient for Further Consideration",""),IF(Ease_of_Ignition_Feed="High","Flammability Hazard Sufficient for Further Consideration",""))</f>
        <v/>
      </c>
      <c r="H16" s="3912"/>
      <c r="I16" s="3913"/>
      <c r="J16" s="345"/>
      <c r="L16" s="345"/>
      <c r="M16" s="977"/>
      <c r="O16" s="338" t="s">
        <v>2418</v>
      </c>
      <c r="Q16" s="3118" t="str">
        <f>IF(HLOOKUP($P$6,$Y$6:$BS$104,10,0)=0,"",HLOOKUP($P$6,$Y$6:$BS$104,10,0)/60)</f>
        <v/>
      </c>
      <c r="S16" s="3116" t="str">
        <f>IF(HLOOKUP($P$6,$Y$6:$BS$104,54,0)=0,"",HLOOKUP($P$6,$Y$6:$BS$104,54,0))</f>
        <v/>
      </c>
      <c r="T16" s="3125" t="str">
        <f>IF(OR(S16="",HLOOKUP($P$6,$Y$6:$BS$104,66,0)=0),"",HLOOKUP($P$6,$Y$6:$BS$104,66,0))</f>
        <v/>
      </c>
      <c r="U16" s="432"/>
      <c r="V16" s="345"/>
      <c r="X16" s="338" t="s">
        <v>2435</v>
      </c>
      <c r="Y16" s="594">
        <f>'Release Calculations'!$D379</f>
        <v>1</v>
      </c>
      <c r="Z16" s="594"/>
      <c r="AA16" s="594">
        <f>'Release Calculations'!$F379</f>
        <v>1</v>
      </c>
      <c r="AB16" s="594"/>
      <c r="AC16" s="3237">
        <f>'Release Calculations'!$H379</f>
        <v>0</v>
      </c>
      <c r="AD16" s="3237"/>
      <c r="AE16" s="594">
        <f>'Release Calculations'!$J379</f>
        <v>1</v>
      </c>
      <c r="AF16" s="594"/>
      <c r="AG16" s="594">
        <f>'Release Calculations'!$L379</f>
        <v>1</v>
      </c>
      <c r="AH16" s="594"/>
      <c r="AI16" s="594">
        <f>'Release Calculations'!$N379</f>
        <v>1</v>
      </c>
      <c r="AJ16" s="594"/>
      <c r="AK16" s="594">
        <f>'Release Calculations'!$P379</f>
        <v>1</v>
      </c>
      <c r="AL16" s="594">
        <f>'Release Calculations'!$R379</f>
        <v>1</v>
      </c>
      <c r="AM16" s="594"/>
      <c r="AN16" s="594">
        <f>'Release Calculations'!$T379</f>
        <v>1</v>
      </c>
      <c r="AO16" s="594"/>
      <c r="AP16" s="594">
        <f>'Release Calculations'!$V379</f>
        <v>1</v>
      </c>
      <c r="AQ16" s="594"/>
      <c r="AR16" s="594">
        <f>'Release Calculations'!$X379</f>
        <v>1</v>
      </c>
      <c r="AS16" s="594"/>
      <c r="AT16" s="594">
        <f>'Release Calculations'!$AE393</f>
        <v>0</v>
      </c>
      <c r="AU16" s="594">
        <f>'Release Calculations'!$AG393</f>
        <v>0</v>
      </c>
      <c r="AV16" s="594">
        <f>'Release Calculations'!$AI393</f>
        <v>0</v>
      </c>
      <c r="AW16" s="594">
        <f>'Release Calculations'!$AK393</f>
        <v>0</v>
      </c>
      <c r="AX16" s="594">
        <f>'Release Calculations'!$AM393</f>
        <v>0</v>
      </c>
      <c r="AY16" s="594">
        <f>'Release Calculations'!$AO393</f>
        <v>0</v>
      </c>
      <c r="AZ16" s="594"/>
      <c r="BA16" s="594"/>
      <c r="BB16" s="594"/>
      <c r="BC16" s="594"/>
      <c r="BD16" s="594"/>
      <c r="BE16" s="594"/>
      <c r="BF16" s="594"/>
      <c r="BG16" s="594"/>
      <c r="BH16" s="594"/>
      <c r="BI16" s="594"/>
      <c r="BJ16" s="594"/>
      <c r="BK16" s="594"/>
      <c r="BL16" s="594"/>
      <c r="BM16" s="594">
        <f t="shared" ref="BM16:BR16" si="7">Spray_Distance_Rupture</f>
        <v>0</v>
      </c>
      <c r="BN16" s="594">
        <f t="shared" si="7"/>
        <v>0</v>
      </c>
      <c r="BO16" s="594">
        <f t="shared" si="7"/>
        <v>0</v>
      </c>
      <c r="BP16" s="594">
        <f t="shared" si="7"/>
        <v>0</v>
      </c>
      <c r="BQ16" s="594">
        <f t="shared" si="7"/>
        <v>0</v>
      </c>
      <c r="BR16" s="594">
        <f t="shared" si="7"/>
        <v>0</v>
      </c>
      <c r="BS16" s="594">
        <f>'Release Calculations'!CJ231</f>
        <v>1</v>
      </c>
    </row>
    <row r="17" spans="1:71" x14ac:dyDescent="0.25">
      <c r="A17" s="345"/>
      <c r="B17" s="977"/>
      <c r="C17" s="338" t="s">
        <v>4215</v>
      </c>
      <c r="F17" s="1737">
        <f>ER2_Feed</f>
        <v>0</v>
      </c>
      <c r="G17" s="3914"/>
      <c r="H17" s="3912"/>
      <c r="I17" s="3913"/>
      <c r="J17" s="345"/>
      <c r="K17" s="604"/>
      <c r="L17" s="345"/>
      <c r="M17" s="977"/>
      <c r="O17" s="338" t="s">
        <v>5171</v>
      </c>
      <c r="Q17" s="3118"/>
      <c r="R17" s="3905" t="s">
        <v>3107</v>
      </c>
      <c r="S17" s="3562"/>
      <c r="T17" s="3562"/>
      <c r="U17" s="3898"/>
      <c r="V17" s="345"/>
      <c r="X17" s="338" t="s">
        <v>2411</v>
      </c>
      <c r="Y17" s="594">
        <f>1-Fr</f>
        <v>0</v>
      </c>
      <c r="Z17" s="594"/>
      <c r="AA17" s="594">
        <f>1-Fr</f>
        <v>0</v>
      </c>
      <c r="AB17" s="594"/>
      <c r="AC17" s="3247">
        <f>1-'Release Calculations'!$H44</f>
        <v>0</v>
      </c>
      <c r="AD17" s="3237"/>
      <c r="AE17" s="594">
        <f>1-Fr</f>
        <v>0</v>
      </c>
      <c r="AF17" s="594"/>
      <c r="AG17" s="594">
        <f>1-Fr</f>
        <v>0</v>
      </c>
      <c r="AH17" s="594"/>
      <c r="AI17" s="594">
        <f>1-Fr</f>
        <v>0</v>
      </c>
      <c r="AJ17" s="594"/>
      <c r="AK17" s="594">
        <f>1-Fr</f>
        <v>0</v>
      </c>
      <c r="AL17" s="594">
        <f>1-Fr</f>
        <v>0</v>
      </c>
      <c r="AM17" s="594"/>
      <c r="AN17" s="594">
        <f>1-Fr</f>
        <v>0</v>
      </c>
      <c r="AO17" s="594"/>
      <c r="AP17" s="594">
        <f>1-Fr</f>
        <v>0</v>
      </c>
      <c r="AQ17" s="594"/>
      <c r="AR17" s="594">
        <f>1-Fr</f>
        <v>0</v>
      </c>
      <c r="AS17" s="594"/>
      <c r="AT17" s="594">
        <f>1-Fr_Overfill</f>
        <v>0</v>
      </c>
      <c r="AU17" s="594">
        <f>1-'Release Calculations'!AG44</f>
        <v>0</v>
      </c>
      <c r="AV17" s="594">
        <f>1-'Release Calculations'!AI44</f>
        <v>0</v>
      </c>
      <c r="AW17" s="594">
        <f>1-'Release Calculations'!AK44</f>
        <v>0</v>
      </c>
      <c r="AX17" s="594">
        <f>1-'Release Calculations'!AM44</f>
        <v>0</v>
      </c>
      <c r="AY17" s="594">
        <f>1-'Release Calculations'!AO44</f>
        <v>0</v>
      </c>
      <c r="AZ17" s="594"/>
      <c r="BA17" s="594"/>
      <c r="BB17" s="594"/>
      <c r="BC17" s="594"/>
      <c r="BD17" s="594"/>
      <c r="BE17" s="594"/>
      <c r="BF17" s="594"/>
      <c r="BG17" s="594"/>
      <c r="BH17" s="594"/>
      <c r="BI17" s="594"/>
      <c r="BJ17" s="594"/>
      <c r="BK17" s="594"/>
      <c r="BL17" s="594"/>
      <c r="BM17" s="2563">
        <f>1-'Release Calculations'!BU44</f>
        <v>0</v>
      </c>
      <c r="BN17" s="594">
        <f>1-'Release Calculations'!BW44</f>
        <v>0</v>
      </c>
      <c r="BO17" s="594">
        <f>1-'Release Calculations'!BY44</f>
        <v>0</v>
      </c>
      <c r="BP17" s="594">
        <f>1-'Release Calculations'!CA44</f>
        <v>0</v>
      </c>
      <c r="BQ17" s="594">
        <f>1-'Release Calculations'!CC44</f>
        <v>0</v>
      </c>
      <c r="BR17" s="594">
        <f>1-'Release Calculations'!BY44</f>
        <v>0</v>
      </c>
      <c r="BS17" s="594"/>
    </row>
    <row r="18" spans="1:71" ht="12.75" customHeight="1" x14ac:dyDescent="0.25">
      <c r="A18" s="345"/>
      <c r="B18" s="977"/>
      <c r="C18" s="338" t="s">
        <v>4216</v>
      </c>
      <c r="F18" s="1738">
        <f>ER3_Feed</f>
        <v>0</v>
      </c>
      <c r="I18" s="432"/>
      <c r="J18" s="345"/>
      <c r="K18" s="604"/>
      <c r="L18" s="345"/>
      <c r="M18" s="977"/>
      <c r="O18" s="338" t="s">
        <v>2435</v>
      </c>
      <c r="Q18" s="3121">
        <f>IF(HLOOKUP($P$6,$Y$6:$BS$104,11,0)=0,0,HLOOKUP($P$6,$Y$6:$BS$104,11,0))</f>
        <v>1</v>
      </c>
      <c r="S18" s="3116" t="str">
        <f>IF(HLOOKUP($P$6,$Y$6:$BS$104,55,0)=0,"",HLOOKUP($P$6,$Y$6:$BS$104,55,0))</f>
        <v/>
      </c>
      <c r="T18" s="3125" t="str">
        <f>IF(OR(S18="",HLOOKUP($P$6,$Y$6:$BS$104,67,0)=0),"",HLOOKUP($P$6,$Y$6:$BS$104,67,0))</f>
        <v/>
      </c>
      <c r="U18" s="432"/>
      <c r="V18" s="345"/>
      <c r="X18" s="338" t="s">
        <v>3102</v>
      </c>
      <c r="Y18" s="594">
        <f>'Release Calculations'!$D55</f>
        <v>0</v>
      </c>
      <c r="Z18" s="594"/>
      <c r="AA18" s="594">
        <f>'Release Calculations'!$F55</f>
        <v>0</v>
      </c>
      <c r="AB18" s="594"/>
      <c r="AC18" s="3237">
        <f>'Release Calculations'!$H55</f>
        <v>0</v>
      </c>
      <c r="AD18" s="3237"/>
      <c r="AE18" s="594">
        <f>'Release Calculations'!$J55</f>
        <v>0</v>
      </c>
      <c r="AF18" s="594"/>
      <c r="AG18" s="594">
        <f>'Release Calculations'!$L55</f>
        <v>0</v>
      </c>
      <c r="AH18" s="594"/>
      <c r="AI18" s="594">
        <f>'Release Calculations'!$N55</f>
        <v>0</v>
      </c>
      <c r="AJ18" s="594"/>
      <c r="AK18" s="594">
        <f>'Release Calculations'!$P55</f>
        <v>0</v>
      </c>
      <c r="AL18" s="594">
        <f>'Release Calculations'!$R55</f>
        <v>0</v>
      </c>
      <c r="AM18" s="594"/>
      <c r="AN18" s="594">
        <f>'Release Calculations'!$T55</f>
        <v>0</v>
      </c>
      <c r="AO18" s="594"/>
      <c r="AP18" s="594">
        <f>'Release Calculations'!$V55</f>
        <v>0</v>
      </c>
      <c r="AQ18" s="594"/>
      <c r="AR18" s="594">
        <f>'Release Calculations'!$X55</f>
        <v>0</v>
      </c>
      <c r="AS18" s="594"/>
      <c r="AT18" s="594">
        <f>'Release Calculations'!$AE55</f>
        <v>0</v>
      </c>
      <c r="AU18" s="594">
        <f>'Release Calculations'!$AG55</f>
        <v>0</v>
      </c>
      <c r="AV18" s="594">
        <f>'Release Calculations'!$AI55</f>
        <v>0</v>
      </c>
      <c r="AW18" s="594">
        <f>'Release Calculations'!$AK55</f>
        <v>0</v>
      </c>
      <c r="AX18" s="594">
        <f>'Release Calculations'!$AM55</f>
        <v>0</v>
      </c>
      <c r="AY18" s="594">
        <f>'Release Calculations'!$AO55</f>
        <v>0</v>
      </c>
      <c r="AZ18" s="594"/>
      <c r="BA18" s="594"/>
      <c r="BB18" s="594"/>
      <c r="BC18" s="594"/>
      <c r="BD18" s="594"/>
      <c r="BE18" s="594"/>
      <c r="BF18" s="594"/>
      <c r="BG18" s="594"/>
      <c r="BH18" s="594"/>
      <c r="BI18" s="594"/>
      <c r="BJ18" s="594"/>
      <c r="BK18" s="594"/>
      <c r="BL18" s="594"/>
      <c r="BM18" s="594">
        <f>'Release Calculations'!$BU55</f>
        <v>0</v>
      </c>
      <c r="BN18" s="594">
        <f>'Release Calculations'!$BW55</f>
        <v>0</v>
      </c>
      <c r="BO18" s="594">
        <f>'Release Calculations'!$BY55</f>
        <v>0</v>
      </c>
      <c r="BP18" s="594">
        <f>'Release Calculations'!$CA55</f>
        <v>0</v>
      </c>
      <c r="BQ18" s="594">
        <f>'Release Calculations'!$CC55</f>
        <v>0</v>
      </c>
      <c r="BR18" s="594">
        <f>'Release Calculations'!$BY55</f>
        <v>0</v>
      </c>
      <c r="BS18" s="594"/>
    </row>
    <row r="19" spans="1:71" x14ac:dyDescent="0.25">
      <c r="A19" s="345"/>
      <c r="B19" s="977"/>
      <c r="C19" s="338" t="s">
        <v>2402</v>
      </c>
      <c r="F19" s="1740" t="str">
        <f>Dermal_Tox_Feed</f>
        <v/>
      </c>
      <c r="G19" s="3911" t="str">
        <f>IF(OR(AND(ER3_Min&lt;&gt;0,ER3_Min&lt;=Toxic_Limit),Dermal_Tox_Feed="Toxic",Dermal_Tox_Feed="Very Toxic",Aquatic_Tox_Feed="Toxic",Aquatic_Tox_Feed="Very Toxic",Regulatory_Tox="Yes"),"Toxicity Hazard Sufficient for Further Consideration","")</f>
        <v/>
      </c>
      <c r="H19" s="3912"/>
      <c r="I19" s="3913"/>
      <c r="J19" s="345"/>
      <c r="L19" s="345"/>
      <c r="M19" s="977"/>
      <c r="O19" s="338" t="s">
        <v>2411</v>
      </c>
      <c r="Q19" s="3124" t="str">
        <f>IF(HLOOKUP($P$6,$Y$6:$BS$104,12,0)=0,"",HLOOKUP($P$6,$Y$6:$BS$104,12,0))</f>
        <v/>
      </c>
      <c r="U19" s="432"/>
      <c r="V19" s="345"/>
      <c r="X19" s="338" t="s">
        <v>2412</v>
      </c>
      <c r="Y19" s="594">
        <f>'Release Calculations'!$D51</f>
        <v>0</v>
      </c>
      <c r="Z19" s="607"/>
      <c r="AA19" s="607">
        <f>'Release Calculations'!$F51</f>
        <v>0</v>
      </c>
      <c r="AB19" s="607"/>
      <c r="AC19" s="3238">
        <f>'Release Calculations'!$H51</f>
        <v>0</v>
      </c>
      <c r="AD19" s="3238"/>
      <c r="AE19" s="607">
        <f>'Release Calculations'!$J51</f>
        <v>0</v>
      </c>
      <c r="AF19" s="607"/>
      <c r="AG19" s="607">
        <f>'Release Calculations'!$L51</f>
        <v>0</v>
      </c>
      <c r="AH19" s="607"/>
      <c r="AI19" s="607">
        <f>'Release Calculations'!$N51</f>
        <v>0</v>
      </c>
      <c r="AJ19" s="607"/>
      <c r="AK19" s="607">
        <f>'Release Calculations'!$P51</f>
        <v>0</v>
      </c>
      <c r="AL19" s="607">
        <f>'Release Calculations'!$R51</f>
        <v>0</v>
      </c>
      <c r="AM19" s="607"/>
      <c r="AN19" s="607">
        <f>'Release Calculations'!$T51</f>
        <v>0</v>
      </c>
      <c r="AO19" s="607"/>
      <c r="AP19" s="607">
        <f>'Release Calculations'!$V51</f>
        <v>0</v>
      </c>
      <c r="AQ19" s="607"/>
      <c r="AR19" s="607">
        <f>'Release Calculations'!$X51</f>
        <v>0</v>
      </c>
      <c r="AS19" s="607"/>
      <c r="AT19" s="594">
        <f>'Release Calculations'!$AE51</f>
        <v>0</v>
      </c>
      <c r="AU19" s="607">
        <f>'Release Calculations'!$AG51</f>
        <v>0</v>
      </c>
      <c r="AV19" s="607">
        <f>'Release Calculations'!$AI51</f>
        <v>0</v>
      </c>
      <c r="AW19" s="607">
        <f>'Release Calculations'!$AK51</f>
        <v>0</v>
      </c>
      <c r="AX19" s="607">
        <f>'Release Calculations'!$AM51</f>
        <v>0</v>
      </c>
      <c r="AY19" s="594">
        <f>'Release Calculations'!$AO51</f>
        <v>0</v>
      </c>
      <c r="AZ19" s="607"/>
      <c r="BA19" s="607"/>
      <c r="BB19" s="607"/>
      <c r="BC19" s="594"/>
      <c r="BD19" s="594"/>
      <c r="BE19" s="594"/>
      <c r="BF19" s="594"/>
      <c r="BG19" s="594"/>
      <c r="BH19" s="594"/>
      <c r="BI19" s="594"/>
      <c r="BJ19" s="594"/>
      <c r="BK19" s="594"/>
      <c r="BL19" s="594"/>
      <c r="BM19" s="607">
        <f>'Release Calculations'!$BU53</f>
        <v>0</v>
      </c>
      <c r="BN19" s="607">
        <f>'Release Calculations'!$BW53</f>
        <v>0</v>
      </c>
      <c r="BO19" s="607">
        <f>'Release Calculations'!$BY53</f>
        <v>0</v>
      </c>
      <c r="BP19" s="607">
        <f>'Release Calculations'!$CA53</f>
        <v>0</v>
      </c>
      <c r="BQ19" s="607">
        <f>'Release Calculations'!$CC53</f>
        <v>0</v>
      </c>
      <c r="BR19" s="607">
        <f>'Release Calculations'!$BY53</f>
        <v>0</v>
      </c>
      <c r="BS19" s="594"/>
    </row>
    <row r="20" spans="1:71" ht="15" x14ac:dyDescent="0.25">
      <c r="A20" s="345"/>
      <c r="B20" s="582"/>
      <c r="C20" s="338" t="s">
        <v>2401</v>
      </c>
      <c r="F20" s="1740" t="str">
        <f>Aquatic_Tox_Feed</f>
        <v/>
      </c>
      <c r="G20" s="3914"/>
      <c r="H20" s="3912"/>
      <c r="I20" s="3913"/>
      <c r="J20" s="345"/>
      <c r="K20" s="604"/>
      <c r="L20" s="345"/>
      <c r="M20" s="977"/>
      <c r="O20" s="338" t="s">
        <v>3210</v>
      </c>
      <c r="Q20" s="3116">
        <f>IF(Q12&lt;&gt;"Liquid","",IF(P6="Overfill Release",IF(Aerosol_Diameter_Overfill="","",ROUND(1000*Aerosol_Diameter_Overfill,0)),IF(P6="Backflow Release",IF(Aerosol_Diameter_Backflow="","",ROUND(1000*Aerosol_Diameter_Backflow,0)),IF(OR(P6="Equipment Rupture at Operating Temperature",P6="Equipment Rupture - Internal Deflagration"),IF(Rupture_Aerosol="","",ROUND(1000*Rupture_Aerosol,0)),IF(OR(P6="Equipment Rupture at Saturation Temperature",P6="Equipment Rupture at Peak Temperature",P6="Equipment Rupture at Fire Conditions"),IF(Rupture_Aerosol="","",ROUND(1000*Rupture_Aerosol,0)),IF(Aerosol_Diameter="","",ROUND(1000*Aerosol_Diameter,0)))))))</f>
        <v>72622</v>
      </c>
      <c r="S20" s="3906" t="str">
        <f>IF(HLOOKUP($P$6,$Y$6:$BS$104,99,0)&gt;0.01,"Flash Routine Mass Balance Error = "&amp;ROUND(HLOOKUP($P$6,$Y$6:$BS$104,99,0),3),"")</f>
        <v/>
      </c>
      <c r="T20" s="3907"/>
      <c r="U20" s="3131"/>
      <c r="V20" s="345"/>
      <c r="X20" s="338" t="s">
        <v>4722</v>
      </c>
      <c r="Y20" s="594">
        <f>'Release Calculations'!$D52</f>
        <v>0</v>
      </c>
      <c r="Z20" s="594"/>
      <c r="AA20" s="594">
        <f>'Release Calculations'!$F52</f>
        <v>0</v>
      </c>
      <c r="AB20" s="594"/>
      <c r="AC20" s="3237">
        <f>'Release Calculations'!$H52</f>
        <v>0</v>
      </c>
      <c r="AD20" s="3237"/>
      <c r="AE20" s="594">
        <f>'Release Calculations'!$J52</f>
        <v>0</v>
      </c>
      <c r="AF20" s="594"/>
      <c r="AG20" s="594">
        <f>'Release Calculations'!$L52</f>
        <v>0</v>
      </c>
      <c r="AH20" s="594"/>
      <c r="AI20" s="594">
        <f>'Release Calculations'!$N52</f>
        <v>0</v>
      </c>
      <c r="AJ20" s="594"/>
      <c r="AK20" s="594">
        <f>'Release Calculations'!$P52</f>
        <v>0</v>
      </c>
      <c r="AL20" s="594">
        <f>'Release Calculations'!$R52</f>
        <v>0</v>
      </c>
      <c r="AM20" s="594"/>
      <c r="AN20" s="594">
        <f>'Release Calculations'!$T52</f>
        <v>0</v>
      </c>
      <c r="AO20" s="594"/>
      <c r="AP20" s="594">
        <f>'Release Calculations'!$V52</f>
        <v>0</v>
      </c>
      <c r="AQ20" s="594"/>
      <c r="AR20" s="594">
        <f>'Release Calculations'!$X52</f>
        <v>0</v>
      </c>
      <c r="AS20" s="594"/>
      <c r="AT20" s="594">
        <f>'Release Calculations'!$AE52</f>
        <v>0</v>
      </c>
      <c r="AU20" s="594">
        <f>'Release Calculations'!$AG52</f>
        <v>0</v>
      </c>
      <c r="AV20" s="594">
        <f>'Release Calculations'!$AI52</f>
        <v>0</v>
      </c>
      <c r="AW20" s="594">
        <f>'Release Calculations'!$AK52</f>
        <v>0</v>
      </c>
      <c r="AX20" s="594">
        <f>'Release Calculations'!$AM52</f>
        <v>0</v>
      </c>
      <c r="AY20" s="594">
        <f>'Release Calculations'!$AO52</f>
        <v>0</v>
      </c>
      <c r="AZ20" s="594"/>
      <c r="BA20" s="594"/>
      <c r="BB20" s="594"/>
      <c r="BC20" s="594"/>
      <c r="BD20" s="594"/>
      <c r="BE20" s="594"/>
      <c r="BF20" s="594"/>
      <c r="BG20" s="594"/>
      <c r="BH20" s="594"/>
      <c r="BI20" s="594"/>
      <c r="BJ20" s="594"/>
      <c r="BK20" s="594"/>
      <c r="BL20" s="594"/>
      <c r="BM20" s="594">
        <f>'Release Calculations'!$BU54</f>
        <v>0</v>
      </c>
      <c r="BN20" s="594">
        <f>'Release Calculations'!$BW54</f>
        <v>0</v>
      </c>
      <c r="BO20" s="594">
        <f>'Release Calculations'!$BY54</f>
        <v>0</v>
      </c>
      <c r="BP20" s="594">
        <f>'Release Calculations'!$CA54</f>
        <v>0</v>
      </c>
      <c r="BQ20" s="594">
        <f>'Release Calculations'!$CC54</f>
        <v>0</v>
      </c>
      <c r="BR20" s="594">
        <f>'Release Calculations'!$BY54</f>
        <v>0</v>
      </c>
      <c r="BS20" s="594"/>
    </row>
    <row r="21" spans="1:71" x14ac:dyDescent="0.25">
      <c r="A21" s="345"/>
      <c r="B21" s="582"/>
      <c r="C21" s="338" t="s">
        <v>2385</v>
      </c>
      <c r="F21" s="1739" t="str">
        <f>IF(Regulatory_Tox=0,"No","Yes")</f>
        <v>No</v>
      </c>
      <c r="I21" s="432"/>
      <c r="J21" s="345"/>
      <c r="K21" s="604"/>
      <c r="L21" s="345"/>
      <c r="M21" s="977"/>
      <c r="O21" s="338" t="str">
        <f>"Pool Area,  sq m "&amp;IF(AND(Dike_Area&gt;0,Dike_Design="Yes")," (Limited to Dike Area)","")</f>
        <v xml:space="preserve">Pool Area,  sq m </v>
      </c>
      <c r="Q21" s="3121">
        <f>IF(HLOOKUP($P$6,$Y$6:$BS$104,13,0)=0,0,HLOOKUP($P$6,$Y$6:$BS$104,13,0))</f>
        <v>0</v>
      </c>
      <c r="S21" s="3907"/>
      <c r="T21" s="3907"/>
      <c r="U21" s="3132"/>
      <c r="V21" s="345"/>
      <c r="X21" s="338" t="s">
        <v>2413</v>
      </c>
      <c r="Y21" s="594">
        <f>'Release Calculations'!$D89</f>
        <v>4.5399929762484854E-5</v>
      </c>
      <c r="Z21" s="594">
        <f>'Release Calculations'!$D464</f>
        <v>7.7915692117653862E-4</v>
      </c>
      <c r="AA21" s="594">
        <f>'Release Calculations'!$F89</f>
        <v>4.5399929762484854E-5</v>
      </c>
      <c r="AB21" s="594">
        <f>'Release Calculations'!$F464</f>
        <v>7.7915692117653862E-4</v>
      </c>
      <c r="AC21" s="3237">
        <f>'Release Calculations'!$H89</f>
        <v>4.5399929762484854E-5</v>
      </c>
      <c r="AD21" s="3237">
        <f>'Release Calculations'!$H464</f>
        <v>0</v>
      </c>
      <c r="AE21" s="594">
        <f>'Release Calculations'!$J89</f>
        <v>4.5399929762484854E-5</v>
      </c>
      <c r="AF21" s="594">
        <f>'Release Calculations'!$J464</f>
        <v>7.7915692117653862E-4</v>
      </c>
      <c r="AG21" s="594">
        <f>'Release Calculations'!$L89</f>
        <v>4.5399929762484854E-5</v>
      </c>
      <c r="AH21" s="594">
        <f>'Release Calculations'!$L464</f>
        <v>0</v>
      </c>
      <c r="AI21" s="594">
        <f>'Release Calculations'!$N89</f>
        <v>4.5399929762484854E-5</v>
      </c>
      <c r="AJ21" s="594">
        <f>'Release Calculations'!$N464</f>
        <v>0</v>
      </c>
      <c r="AK21" s="594">
        <f>'Release Calculations'!$P89</f>
        <v>4.5399929762484854E-5</v>
      </c>
      <c r="AL21" s="594">
        <f>'Release Calculations'!$R89</f>
        <v>4.5399929762484854E-5</v>
      </c>
      <c r="AM21" s="594">
        <f>'Release Calculations'!$R464</f>
        <v>7.7915692117653862E-4</v>
      </c>
      <c r="AN21" s="594">
        <f>'Release Calculations'!$T89</f>
        <v>4.5399929762484854E-5</v>
      </c>
      <c r="AO21" s="594">
        <f>'Release Calculations'!$T464</f>
        <v>4.8697307573533659E-3</v>
      </c>
      <c r="AP21" s="594">
        <f>'Release Calculations'!$V89</f>
        <v>4.5399929762484854E-5</v>
      </c>
      <c r="AQ21" s="594">
        <f>'Release Calculations'!$V464</f>
        <v>1.9478923029413463E-2</v>
      </c>
      <c r="AR21" s="594">
        <f>'Release Calculations'!$X89</f>
        <v>4.5399929762484854E-5</v>
      </c>
      <c r="AS21" s="594">
        <f>'Release Calculations'!$X464</f>
        <v>0.17531030726472116</v>
      </c>
      <c r="AT21" s="594">
        <f>'Release Calculations'!$AE89</f>
        <v>0</v>
      </c>
      <c r="AU21" s="594">
        <f>'Release Calculations'!$AG89</f>
        <v>0</v>
      </c>
      <c r="AV21" s="594">
        <f>'Release Calculations'!$AI89</f>
        <v>0</v>
      </c>
      <c r="AW21" s="594">
        <f>'Release Calculations'!$AK89</f>
        <v>0</v>
      </c>
      <c r="AX21" s="594">
        <f>'Release Calculations'!$AM89</f>
        <v>0</v>
      </c>
      <c r="AY21" s="594">
        <f>'Release Calculations'!$AO89</f>
        <v>0</v>
      </c>
      <c r="AZ21" s="594">
        <f>'Release Calculations'!$AE478</f>
        <v>4.5399929762484854E-5</v>
      </c>
      <c r="BA21" s="594">
        <f>'Release Calculations'!$AG478</f>
        <v>4.5399929762484854E-5</v>
      </c>
      <c r="BB21" s="594">
        <f>'Release Calculations'!$AI478</f>
        <v>4.5399929762484854E-5</v>
      </c>
      <c r="BC21" s="594">
        <f>'Release Calculations'!$AV73</f>
        <v>0</v>
      </c>
      <c r="BD21" s="594">
        <f>'Release Calculations'!$AX73</f>
        <v>0</v>
      </c>
      <c r="BE21" s="594">
        <f>'Release Calculations'!$AZ73</f>
        <v>0</v>
      </c>
      <c r="BF21" s="594">
        <f>'Release Calculations'!$BB73</f>
        <v>0</v>
      </c>
      <c r="BG21" s="594">
        <f>'Release Calculations'!$BD73</f>
        <v>0</v>
      </c>
      <c r="BH21" s="594">
        <f>'Release Calculations'!$BF73</f>
        <v>0</v>
      </c>
      <c r="BI21" s="594">
        <f>'Release Calculations'!$BH73</f>
        <v>0</v>
      </c>
      <c r="BJ21" s="594">
        <f>'Release Calculations'!$BJ73</f>
        <v>0</v>
      </c>
      <c r="BK21" s="594">
        <f>'Release Calculations'!$BL73</f>
        <v>0</v>
      </c>
      <c r="BL21" s="594">
        <f>'Release Calculations'!$BN73</f>
        <v>0</v>
      </c>
      <c r="BM21" s="594" t="str">
        <f>'Release Calculations'!$BU89</f>
        <v/>
      </c>
      <c r="BN21" s="594" t="str">
        <f>'Release Calculations'!$BW89</f>
        <v/>
      </c>
      <c r="BO21" s="594" t="str">
        <f>'Release Calculations'!$BY89</f>
        <v/>
      </c>
      <c r="BP21" s="594" t="str">
        <f>'Release Calculations'!$CA89</f>
        <v/>
      </c>
      <c r="BQ21" s="594" t="str">
        <f>'Release Calculations'!$CC89</f>
        <v/>
      </c>
      <c r="BR21" s="594" t="str">
        <f>'Release Calculations'!$BY89</f>
        <v/>
      </c>
      <c r="BS21" s="607" t="str">
        <f>'Release Calculations'!CJ13</f>
        <v/>
      </c>
    </row>
    <row r="22" spans="1:71" x14ac:dyDescent="0.25">
      <c r="A22" s="345"/>
      <c r="B22" s="582"/>
      <c r="C22" s="338" t="str">
        <f>"Heat of Reaction, "&amp;IF(U_Units="Kwatt /sq m C","kJoule/kg",IF(U_Units="BTU/hr sq ft F","BTU/lb","kcal/kg"))&amp;IF(ABS(DHR)&lt;1,"",IF(DHR&gt;0,"  (Endothermic)","  (Exothermic)"))</f>
        <v>Heat of Reaction, kJoule/kg</v>
      </c>
      <c r="F22" s="1738" t="str">
        <f>IF(ABS(DHR)&gt;1,IF(U_Units="Kwatt /sq m C",4.187*DHR,IF(U_Units="BTU/hr sq ft F",8.73*DHR,DHR)),"")</f>
        <v/>
      </c>
      <c r="G22" s="3911" t="str">
        <f>IF(OR(DHR&lt;RxHeat_Limit,Gas_Gen&gt;RxGas_Limit,Rx_Incompatible="Yes",CP_Detonable="Yes"),"Reactivity Hazard Sufficient for Further Consideration","")</f>
        <v/>
      </c>
      <c r="H22" s="3912"/>
      <c r="I22" s="3913"/>
      <c r="J22" s="345"/>
      <c r="L22" s="345"/>
      <c r="M22" s="977"/>
      <c r="O22" s="338" t="s">
        <v>2412</v>
      </c>
      <c r="Q22" s="3121" t="str">
        <f>IF(HLOOKUP($P$6,$Y$6:$BS$104,14,0)=0,"",HLOOKUP($P$6,$Y$6:$BS$104,14,0))</f>
        <v/>
      </c>
      <c r="S22" s="3892" t="str">
        <f>IF(Q21="","",IF((Q21/3.1416)^0.5&gt;Occ_Bldg,"Warning - Pool Diameter exceeds Distance to Occupied Building",""))</f>
        <v/>
      </c>
      <c r="T22" s="3522"/>
      <c r="U22" s="432"/>
      <c r="V22" s="345"/>
      <c r="X22" s="338" t="s">
        <v>2415</v>
      </c>
      <c r="Y22" s="594">
        <f>'Release Calculations'!$D70</f>
        <v>0</v>
      </c>
      <c r="Z22" s="609">
        <f>'Release Calculations'!$D437</f>
        <v>0</v>
      </c>
      <c r="AA22" s="609">
        <f>'Release Calculations'!$F70</f>
        <v>0</v>
      </c>
      <c r="AB22" s="609">
        <f>'Release Calculations'!$F437</f>
        <v>0</v>
      </c>
      <c r="AC22" s="3240">
        <f>'Release Calculations'!$H70</f>
        <v>0</v>
      </c>
      <c r="AD22" s="3240">
        <f>'Release Calculations'!$H437</f>
        <v>0</v>
      </c>
      <c r="AE22" s="609">
        <f>'Release Calculations'!$J70</f>
        <v>0</v>
      </c>
      <c r="AF22" s="609">
        <f>'Release Calculations'!$J437</f>
        <v>0</v>
      </c>
      <c r="AG22" s="609">
        <f>'Release Calculations'!$L70</f>
        <v>0</v>
      </c>
      <c r="AH22" s="609">
        <f>'Release Calculations'!$L437</f>
        <v>0</v>
      </c>
      <c r="AI22" s="609">
        <f>'Release Calculations'!$N70</f>
        <v>0</v>
      </c>
      <c r="AJ22" s="609">
        <f>'Release Calculations'!$N437</f>
        <v>0</v>
      </c>
      <c r="AK22" s="609">
        <f>'Release Calculations'!$P70</f>
        <v>0</v>
      </c>
      <c r="AL22" s="609">
        <f>'Release Calculations'!$R70</f>
        <v>0</v>
      </c>
      <c r="AM22" s="609">
        <f>'Release Calculations'!$R437</f>
        <v>0</v>
      </c>
      <c r="AN22" s="609">
        <f>'Release Calculations'!$T70</f>
        <v>0</v>
      </c>
      <c r="AO22" s="609">
        <f>'Release Calculations'!$T437</f>
        <v>0</v>
      </c>
      <c r="AP22" s="609">
        <f>'Release Calculations'!$V70</f>
        <v>0</v>
      </c>
      <c r="AQ22" s="609">
        <f>'Release Calculations'!$V437</f>
        <v>0</v>
      </c>
      <c r="AR22" s="609">
        <f>'Release Calculations'!$X70</f>
        <v>0</v>
      </c>
      <c r="AS22" s="609">
        <f>'Release Calculations'!$X437</f>
        <v>0</v>
      </c>
      <c r="AT22" s="594">
        <f>'Release Calculations'!$AE70</f>
        <v>0</v>
      </c>
      <c r="AU22" s="609">
        <f>'Release Calculations'!$AG70</f>
        <v>0</v>
      </c>
      <c r="AV22" s="609">
        <f>'Release Calculations'!$AI70</f>
        <v>0</v>
      </c>
      <c r="AW22" s="609">
        <f>'Release Calculations'!$AK70</f>
        <v>0</v>
      </c>
      <c r="AX22" s="609">
        <f>'Release Calculations'!$AM70</f>
        <v>0</v>
      </c>
      <c r="AY22" s="609">
        <f>'Release Calculations'!$AO70</f>
        <v>0</v>
      </c>
      <c r="AZ22" s="609">
        <f>'Release Calculations'!$AE451</f>
        <v>0</v>
      </c>
      <c r="BA22" s="609">
        <f>'Release Calculations'!$AG451</f>
        <v>0</v>
      </c>
      <c r="BB22" s="609">
        <f>'Release Calculations'!$AI451</f>
        <v>0</v>
      </c>
      <c r="BC22" s="610">
        <f>'Release Calculations'!$AV48</f>
        <v>0</v>
      </c>
      <c r="BD22" s="610">
        <f>'Release Calculations'!$AX48</f>
        <v>0</v>
      </c>
      <c r="BE22" s="610">
        <f>'Release Calculations'!$AZ48</f>
        <v>0</v>
      </c>
      <c r="BF22" s="610">
        <f>'Release Calculations'!$BB48</f>
        <v>0</v>
      </c>
      <c r="BG22" s="610">
        <f>'Release Calculations'!$BD48</f>
        <v>0</v>
      </c>
      <c r="BH22" s="610">
        <f>'Release Calculations'!$BF48</f>
        <v>0</v>
      </c>
      <c r="BI22" s="610">
        <f>'Release Calculations'!$BH48</f>
        <v>0</v>
      </c>
      <c r="BJ22" s="610">
        <f>'Release Calculations'!$BJ48</f>
        <v>0</v>
      </c>
      <c r="BK22" s="610">
        <f>'Release Calculations'!$BL48</f>
        <v>0</v>
      </c>
      <c r="BL22" s="610">
        <f>'Release Calculations'!$BN48</f>
        <v>0</v>
      </c>
      <c r="BM22" s="609">
        <f>'Release Calculations'!$BU83</f>
        <v>0</v>
      </c>
      <c r="BN22" s="609">
        <f>'Release Calculations'!$BW83</f>
        <v>0</v>
      </c>
      <c r="BO22" s="609">
        <f>'Release Calculations'!$BY83</f>
        <v>0</v>
      </c>
      <c r="BP22" s="609">
        <f>'Release Calculations'!$CA83</f>
        <v>0</v>
      </c>
      <c r="BQ22" s="609">
        <f>'Release Calculations'!$CC83</f>
        <v>0</v>
      </c>
      <c r="BR22" s="609">
        <f>'Release Calculations'!$BY83</f>
        <v>0</v>
      </c>
      <c r="BS22" s="607" t="str">
        <f>'Release Calculations'!CJ16</f>
        <v/>
      </c>
    </row>
    <row r="23" spans="1:71" x14ac:dyDescent="0.25">
      <c r="A23" s="345"/>
      <c r="B23" s="582"/>
      <c r="C23" s="338" t="s">
        <v>2403</v>
      </c>
      <c r="F23" s="1739" t="str">
        <f>IF(AND(Gas_Gen&gt;0,ABS(DHR)&gt;1),"Yes","No")</f>
        <v>No</v>
      </c>
      <c r="G23" s="3914"/>
      <c r="H23" s="3912"/>
      <c r="I23" s="3913"/>
      <c r="J23" s="345"/>
      <c r="K23" s="604"/>
      <c r="L23" s="345"/>
      <c r="M23" s="977"/>
      <c r="O23" s="338" t="s">
        <v>2722</v>
      </c>
      <c r="Q23" s="3117" t="str">
        <f>IF(HLOOKUP($P$6,$Y$6:$BS$104,15,0)=0,"",HLOOKUP($P$6,$Y$6:$BS$104,15,0)*HLOOKUP($P$6,$Y$6:$BS$73,13,0))</f>
        <v/>
      </c>
      <c r="S23" s="3892"/>
      <c r="T23" s="3522"/>
      <c r="U23" s="432"/>
      <c r="V23" s="345"/>
      <c r="X23" s="338" t="s">
        <v>1686</v>
      </c>
      <c r="Y23" s="594">
        <f t="shared" ref="Y23:AS23" si="8">Location</f>
        <v>0</v>
      </c>
      <c r="Z23" s="594">
        <f t="shared" si="8"/>
        <v>0</v>
      </c>
      <c r="AA23" s="594">
        <f t="shared" si="8"/>
        <v>0</v>
      </c>
      <c r="AB23" s="594">
        <f t="shared" si="8"/>
        <v>0</v>
      </c>
      <c r="AC23" s="3237">
        <f t="shared" si="8"/>
        <v>0</v>
      </c>
      <c r="AD23" s="3237">
        <f t="shared" si="8"/>
        <v>0</v>
      </c>
      <c r="AE23" s="594">
        <f t="shared" si="8"/>
        <v>0</v>
      </c>
      <c r="AF23" s="594">
        <f t="shared" si="8"/>
        <v>0</v>
      </c>
      <c r="AG23" s="594">
        <f t="shared" si="8"/>
        <v>0</v>
      </c>
      <c r="AH23" s="594">
        <f t="shared" si="8"/>
        <v>0</v>
      </c>
      <c r="AI23" s="594">
        <f t="shared" si="8"/>
        <v>0</v>
      </c>
      <c r="AJ23" s="594">
        <f t="shared" si="8"/>
        <v>0</v>
      </c>
      <c r="AK23" s="594">
        <f t="shared" si="8"/>
        <v>0</v>
      </c>
      <c r="AL23" s="594">
        <f t="shared" si="8"/>
        <v>0</v>
      </c>
      <c r="AM23" s="594">
        <f t="shared" si="8"/>
        <v>0</v>
      </c>
      <c r="AN23" s="594">
        <f t="shared" si="8"/>
        <v>0</v>
      </c>
      <c r="AO23" s="594">
        <f t="shared" si="8"/>
        <v>0</v>
      </c>
      <c r="AP23" s="594">
        <f t="shared" si="8"/>
        <v>0</v>
      </c>
      <c r="AQ23" s="594">
        <f t="shared" si="8"/>
        <v>0</v>
      </c>
      <c r="AR23" s="594">
        <f t="shared" si="8"/>
        <v>0</v>
      </c>
      <c r="AS23" s="594">
        <f t="shared" si="8"/>
        <v>0</v>
      </c>
      <c r="AT23" s="594">
        <f>'Release Calculations'!$AE294</f>
        <v>0</v>
      </c>
      <c r="AU23" s="594">
        <f>'Release Calculations'!$AG294</f>
        <v>0</v>
      </c>
      <c r="AV23" s="594">
        <f>'Release Calculations'!$AI294</f>
        <v>0</v>
      </c>
      <c r="AW23" s="594">
        <f>'Release Calculations'!$AK294</f>
        <v>0</v>
      </c>
      <c r="AX23" s="594">
        <f>'Release Calculations'!$AM294</f>
        <v>0</v>
      </c>
      <c r="AY23" s="594">
        <f>'Release Calculations'!$AO294</f>
        <v>0</v>
      </c>
      <c r="AZ23" s="594">
        <f>'Release Calculations'!$AE294</f>
        <v>0</v>
      </c>
      <c r="BA23" s="594">
        <f>'Release Calculations'!$AG294</f>
        <v>0</v>
      </c>
      <c r="BB23" s="594">
        <f>'Release Calculations'!$AI294</f>
        <v>0</v>
      </c>
      <c r="BC23" s="594">
        <f>'Release Calculations'!$AV278</f>
        <v>0</v>
      </c>
      <c r="BD23" s="594">
        <f>'Release Calculations'!$AX278</f>
        <v>0</v>
      </c>
      <c r="BE23" s="594">
        <f>'Release Calculations'!$AZ278</f>
        <v>0</v>
      </c>
      <c r="BF23" s="594">
        <f>'Release Calculations'!$BB278</f>
        <v>0</v>
      </c>
      <c r="BG23" s="594">
        <f>'Release Calculations'!$BD278</f>
        <v>0</v>
      </c>
      <c r="BH23" s="594">
        <f>'Release Calculations'!$BF278</f>
        <v>0</v>
      </c>
      <c r="BI23" s="594">
        <f>'Release Calculations'!$BH278</f>
        <v>0</v>
      </c>
      <c r="BJ23" s="594">
        <f>'Release Calculations'!$BJ278</f>
        <v>0</v>
      </c>
      <c r="BK23" s="594">
        <f>'Release Calculations'!$BL278</f>
        <v>0</v>
      </c>
      <c r="BL23" s="594">
        <f>'Release Calculations'!$BN278</f>
        <v>0</v>
      </c>
      <c r="BM23" s="594">
        <f t="shared" ref="BM23:BS23" si="9">Location</f>
        <v>0</v>
      </c>
      <c r="BN23" s="594">
        <f t="shared" si="9"/>
        <v>0</v>
      </c>
      <c r="BO23" s="594">
        <f t="shared" si="9"/>
        <v>0</v>
      </c>
      <c r="BP23" s="594">
        <f t="shared" si="9"/>
        <v>0</v>
      </c>
      <c r="BQ23" s="594">
        <f t="shared" si="9"/>
        <v>0</v>
      </c>
      <c r="BR23" s="594">
        <f t="shared" si="9"/>
        <v>0</v>
      </c>
      <c r="BS23" s="594">
        <f t="shared" si="9"/>
        <v>0</v>
      </c>
    </row>
    <row r="24" spans="1:71" ht="12.75" customHeight="1" x14ac:dyDescent="0.25">
      <c r="A24" s="345"/>
      <c r="B24" s="582"/>
      <c r="C24" s="573" t="s">
        <v>2404</v>
      </c>
      <c r="D24" s="573"/>
      <c r="E24" s="573"/>
      <c r="F24" s="1739" t="str">
        <f>IF(Rx_Incompatible=0,"No",Rx_Incompatible)</f>
        <v>No</v>
      </c>
      <c r="I24" s="432"/>
      <c r="J24" s="345"/>
      <c r="K24" s="604"/>
      <c r="L24" s="345"/>
      <c r="M24" s="977"/>
      <c r="O24" s="338" t="s">
        <v>2413</v>
      </c>
      <c r="Q24" s="3118">
        <f>IF(HLOOKUP($P$6,$Y$6:$BS$104,16,0)=0,"",HLOOKUP($P$6,$Y$6:$BS$104,16,0))</f>
        <v>4.5399929762484854E-5</v>
      </c>
      <c r="S24" s="3892"/>
      <c r="T24" s="3522"/>
      <c r="U24" s="432"/>
      <c r="V24" s="345"/>
      <c r="Y24" s="400"/>
      <c r="Z24" s="400"/>
    </row>
    <row r="25" spans="1:71" x14ac:dyDescent="0.25">
      <c r="A25" s="345"/>
      <c r="B25" s="582"/>
      <c r="C25" s="573" t="s">
        <v>4734</v>
      </c>
      <c r="D25" s="573"/>
      <c r="E25" s="573"/>
      <c r="F25" s="1739" t="str">
        <f>IF(CP_Detonable=0,"No",CP_Detonable)</f>
        <v>No</v>
      </c>
      <c r="G25" s="3911" t="str">
        <f>IF(OR(MAX(T,Ambient_Temp,Heating_T,Coolant_Temp,Tmax_MechEng)&gt;Thermal_Liquid_Severe,MIN(T,Ambient_Temp,Heating_T,Coolant_Temp,Tmax_MechEng,TBp)&lt;Thermal_Liquid_Low,Dermal_Tox_Feed="Corrosive"),"Process Equipment is Considered in Hazardous Service","")</f>
        <v/>
      </c>
      <c r="H25" s="3912"/>
      <c r="I25" s="3913"/>
      <c r="J25" s="345"/>
      <c r="L25" s="345"/>
      <c r="M25" s="977"/>
      <c r="O25" s="338" t="s">
        <v>2415</v>
      </c>
      <c r="Q25" s="3121" t="str">
        <f>IF(HLOOKUP($P$6,$Y$6:$BS$104,17,0)=0,"",HLOOKUP($P$6,$Y$6:$BS$104,17,0))</f>
        <v/>
      </c>
      <c r="S25" s="3904"/>
      <c r="T25" s="3522"/>
      <c r="U25" s="432"/>
      <c r="V25" s="345"/>
      <c r="X25" s="338" t="s">
        <v>2079</v>
      </c>
      <c r="Y25" s="594">
        <f>'Release Calculations'!$D214</f>
        <v>0</v>
      </c>
      <c r="Z25" s="594">
        <f>'Release Calculations'!$D589</f>
        <v>0</v>
      </c>
      <c r="AA25" s="594">
        <f>'Release Calculations'!$F214</f>
        <v>0</v>
      </c>
      <c r="AB25" s="594">
        <f>'Release Calculations'!$F589</f>
        <v>0</v>
      </c>
      <c r="AC25" s="3237">
        <f>'Release Calculations'!$H214</f>
        <v>0</v>
      </c>
      <c r="AD25" s="3237">
        <f>'Release Calculations'!$H589</f>
        <v>0</v>
      </c>
      <c r="AE25" s="594">
        <f>'Release Calculations'!$J214</f>
        <v>0</v>
      </c>
      <c r="AF25" s="594">
        <f>'Release Calculations'!$J589</f>
        <v>0</v>
      </c>
      <c r="AG25" s="594">
        <f>'Release Calculations'!$L214</f>
        <v>0</v>
      </c>
      <c r="AH25" s="594">
        <f>'Release Calculations'!$L589</f>
        <v>0</v>
      </c>
      <c r="AI25" s="594">
        <f>'Release Calculations'!$N214</f>
        <v>0</v>
      </c>
      <c r="AJ25" s="594">
        <f>'Release Calculations'!$N589</f>
        <v>0</v>
      </c>
      <c r="AK25" s="594">
        <f>'Release Calculations'!$P214</f>
        <v>0</v>
      </c>
      <c r="AL25" s="594">
        <f>'Release Calculations'!$R214</f>
        <v>0</v>
      </c>
      <c r="AM25" s="594">
        <f>'Release Calculations'!$R589</f>
        <v>0</v>
      </c>
      <c r="AN25" s="594">
        <f>'Release Calculations'!$T214</f>
        <v>0</v>
      </c>
      <c r="AO25" s="594">
        <f>'Release Calculations'!$T589</f>
        <v>0</v>
      </c>
      <c r="AP25" s="594">
        <f>'Release Calculations'!$V214</f>
        <v>0</v>
      </c>
      <c r="AQ25" s="594">
        <f>'Release Calculations'!$V589</f>
        <v>0</v>
      </c>
      <c r="AR25" s="594">
        <f>'Release Calculations'!$X214</f>
        <v>0</v>
      </c>
      <c r="AS25" s="594">
        <f>'Release Calculations'!$X589</f>
        <v>0</v>
      </c>
      <c r="AT25" s="594">
        <f>'Release Calculations'!$AE227</f>
        <v>0</v>
      </c>
      <c r="AU25" s="594">
        <f>'Release Calculations'!$AG227</f>
        <v>0</v>
      </c>
      <c r="AV25" s="594">
        <f>'Release Calculations'!$AI227</f>
        <v>0</v>
      </c>
      <c r="AW25" s="594">
        <f>'Release Calculations'!$AK227</f>
        <v>0</v>
      </c>
      <c r="AX25" s="594">
        <f>'Release Calculations'!$AM227</f>
        <v>0</v>
      </c>
      <c r="AY25" s="594">
        <f>'Release Calculations'!$AO227</f>
        <v>0</v>
      </c>
      <c r="AZ25" s="594">
        <f>'Release Calculations'!$AE616</f>
        <v>0</v>
      </c>
      <c r="BA25" s="594">
        <f>'Release Calculations'!$AG616</f>
        <v>0</v>
      </c>
      <c r="BB25" s="594">
        <f>'Release Calculations'!$AI616</f>
        <v>0</v>
      </c>
      <c r="BC25" s="594">
        <f>'Release Calculations'!$AV211</f>
        <v>0</v>
      </c>
      <c r="BD25" s="594">
        <f>'Release Calculations'!$AX211</f>
        <v>0</v>
      </c>
      <c r="BE25" s="594">
        <f>'Release Calculations'!$AZ211</f>
        <v>0</v>
      </c>
      <c r="BF25" s="594">
        <f>'Release Calculations'!$BB211</f>
        <v>0</v>
      </c>
      <c r="BG25" s="594">
        <f>'Release Calculations'!$BD211</f>
        <v>0</v>
      </c>
      <c r="BH25" s="594">
        <f>'Release Calculations'!$BF211</f>
        <v>0</v>
      </c>
      <c r="BI25" s="594">
        <f>'Release Calculations'!$BH211</f>
        <v>0</v>
      </c>
      <c r="BJ25" s="594">
        <f>'Release Calculations'!$BJ211</f>
        <v>0</v>
      </c>
      <c r="BK25" s="594">
        <f>'Release Calculations'!$BL211</f>
        <v>0</v>
      </c>
      <c r="BL25" s="594">
        <f>'Release Calculations'!$BN211</f>
        <v>0</v>
      </c>
      <c r="BM25" s="594">
        <f>'Release Calculations'!$BU214</f>
        <v>0</v>
      </c>
      <c r="BN25" s="594">
        <f>'Release Calculations'!$BW214</f>
        <v>0</v>
      </c>
      <c r="BO25" s="594">
        <f>'Release Calculations'!$BY214</f>
        <v>0</v>
      </c>
      <c r="BP25" s="594">
        <f>'Release Calculations'!$CA214</f>
        <v>0</v>
      </c>
      <c r="BQ25" s="594">
        <f>'Release Calculations'!$CC214</f>
        <v>0</v>
      </c>
      <c r="BR25" s="594">
        <f>'Release Calculations'!$BY214</f>
        <v>0</v>
      </c>
      <c r="BS25" s="594"/>
    </row>
    <row r="26" spans="1:71" ht="13.5" thickBot="1" x14ac:dyDescent="0.3">
      <c r="A26" s="345"/>
      <c r="B26" s="579"/>
      <c r="C26" s="1741"/>
      <c r="D26" s="580"/>
      <c r="E26" s="580"/>
      <c r="F26" s="580"/>
      <c r="G26" s="3924"/>
      <c r="H26" s="3924"/>
      <c r="I26" s="3925"/>
      <c r="J26" s="345"/>
      <c r="L26" s="345"/>
      <c r="M26" s="977"/>
      <c r="U26" s="432"/>
      <c r="V26" s="345"/>
      <c r="X26" s="338" t="s">
        <v>2080</v>
      </c>
      <c r="Y26" s="594">
        <f>'Release Calculations'!$D215</f>
        <v>0</v>
      </c>
      <c r="Z26" s="594">
        <f>'Release Calculations'!$D590</f>
        <v>0</v>
      </c>
      <c r="AA26" s="594">
        <f>'Release Calculations'!$F215</f>
        <v>0</v>
      </c>
      <c r="AB26" s="594">
        <f>'Release Calculations'!$F590</f>
        <v>0</v>
      </c>
      <c r="AC26" s="3237">
        <f>'Release Calculations'!$H215</f>
        <v>0</v>
      </c>
      <c r="AD26" s="3237">
        <f>'Release Calculations'!$H590</f>
        <v>0</v>
      </c>
      <c r="AE26" s="594">
        <f>'Release Calculations'!$J215</f>
        <v>0</v>
      </c>
      <c r="AF26" s="594">
        <f>'Release Calculations'!$J590</f>
        <v>0</v>
      </c>
      <c r="AG26" s="594">
        <f>'Release Calculations'!$L215</f>
        <v>0</v>
      </c>
      <c r="AH26" s="594">
        <f>'Release Calculations'!$L590</f>
        <v>0</v>
      </c>
      <c r="AI26" s="594">
        <f>'Release Calculations'!$N215</f>
        <v>0</v>
      </c>
      <c r="AJ26" s="594">
        <f>'Release Calculations'!$N590</f>
        <v>0</v>
      </c>
      <c r="AK26" s="594">
        <f>'Release Calculations'!$P215</f>
        <v>0</v>
      </c>
      <c r="AL26" s="594">
        <f>'Release Calculations'!$R215</f>
        <v>0</v>
      </c>
      <c r="AM26" s="594">
        <f>'Release Calculations'!$R590</f>
        <v>0</v>
      </c>
      <c r="AN26" s="594">
        <f>'Release Calculations'!$T215</f>
        <v>0</v>
      </c>
      <c r="AO26" s="594">
        <f>'Release Calculations'!$T590</f>
        <v>0</v>
      </c>
      <c r="AP26" s="594">
        <f>'Release Calculations'!$V215</f>
        <v>0</v>
      </c>
      <c r="AQ26" s="594">
        <f>'Release Calculations'!$V590</f>
        <v>0</v>
      </c>
      <c r="AR26" s="594">
        <f>'Release Calculations'!$X215</f>
        <v>0</v>
      </c>
      <c r="AS26" s="594">
        <f>'Release Calculations'!$X590</f>
        <v>0</v>
      </c>
      <c r="AT26" s="594">
        <f>'Release Calculations'!$AE228</f>
        <v>0</v>
      </c>
      <c r="AU26" s="594">
        <f>'Release Calculations'!$AG228</f>
        <v>0</v>
      </c>
      <c r="AV26" s="594">
        <f>'Release Calculations'!$AI228</f>
        <v>0</v>
      </c>
      <c r="AW26" s="594">
        <f>'Release Calculations'!$AK228</f>
        <v>0</v>
      </c>
      <c r="AX26" s="594">
        <f>'Release Calculations'!$AM228</f>
        <v>0</v>
      </c>
      <c r="AY26" s="594">
        <f>'Release Calculations'!$AO228</f>
        <v>0</v>
      </c>
      <c r="AZ26" s="594">
        <f>'Release Calculations'!$AE617</f>
        <v>0</v>
      </c>
      <c r="BA26" s="594">
        <f>'Release Calculations'!$AG617</f>
        <v>0</v>
      </c>
      <c r="BB26" s="594">
        <f>'Release Calculations'!$AI617</f>
        <v>0</v>
      </c>
      <c r="BC26" s="594">
        <f>'Release Calculations'!$AV212</f>
        <v>0</v>
      </c>
      <c r="BD26" s="594">
        <f>'Release Calculations'!$AX212</f>
        <v>0</v>
      </c>
      <c r="BE26" s="594">
        <f>'Release Calculations'!$AZ212</f>
        <v>0</v>
      </c>
      <c r="BF26" s="594">
        <f>'Release Calculations'!$BB212</f>
        <v>0</v>
      </c>
      <c r="BG26" s="594">
        <f>'Release Calculations'!$BD212</f>
        <v>0</v>
      </c>
      <c r="BH26" s="594">
        <f>'Release Calculations'!$BF212</f>
        <v>0</v>
      </c>
      <c r="BI26" s="594">
        <f>'Release Calculations'!$BH212</f>
        <v>0</v>
      </c>
      <c r="BJ26" s="594">
        <f>'Release Calculations'!$BJ212</f>
        <v>0</v>
      </c>
      <c r="BK26" s="594">
        <f>'Release Calculations'!$BL212</f>
        <v>0</v>
      </c>
      <c r="BL26" s="594">
        <f>'Release Calculations'!$BN212</f>
        <v>0</v>
      </c>
      <c r="BM26" s="594">
        <f>'Release Calculations'!$BU215</f>
        <v>0</v>
      </c>
      <c r="BN26" s="594">
        <f>'Release Calculations'!$BW215</f>
        <v>0</v>
      </c>
      <c r="BO26" s="594">
        <f>'Release Calculations'!$BY215</f>
        <v>0</v>
      </c>
      <c r="BP26" s="594">
        <f>'Release Calculations'!$CA215</f>
        <v>0</v>
      </c>
      <c r="BQ26" s="594">
        <f>'Release Calculations'!$CC215</f>
        <v>0</v>
      </c>
      <c r="BR26" s="594">
        <f>'Release Calculations'!$BY215</f>
        <v>0</v>
      </c>
      <c r="BS26" s="594"/>
    </row>
    <row r="27" spans="1:71" x14ac:dyDescent="0.25">
      <c r="A27" s="345"/>
      <c r="B27" s="977"/>
      <c r="F27" s="1306">
        <f>VLOOKUP(Volume_Units,'Unit Conversion'!J3:K59,2,0)</f>
        <v>1E-3</v>
      </c>
      <c r="G27" s="1307">
        <f>VLOOKUP(P_Units,'Unit Conversion'!J3:K59,2,0)</f>
        <v>0.98692329999999995</v>
      </c>
      <c r="I27" s="432"/>
      <c r="J27" s="345"/>
      <c r="L27" s="345"/>
      <c r="M27" s="977"/>
      <c r="N27" s="338" t="s">
        <v>2428</v>
      </c>
      <c r="S27" s="3892" t="e">
        <f>IF(Q49="","",IF(Q49&gt;Q34,"Fence Line Concentration Exceeds ERPG-2",""))</f>
        <v>#DIV/0!</v>
      </c>
      <c r="T27" s="3522"/>
      <c r="U27" s="432"/>
      <c r="V27" s="345"/>
      <c r="X27" s="338" t="s">
        <v>2081</v>
      </c>
      <c r="Y27" s="594">
        <f>'Release Calculations'!$D216</f>
        <v>0</v>
      </c>
      <c r="Z27" s="594">
        <f>'Release Calculations'!$D591</f>
        <v>0</v>
      </c>
      <c r="AA27" s="594">
        <f>'Release Calculations'!$F216</f>
        <v>0</v>
      </c>
      <c r="AB27" s="594">
        <f>'Release Calculations'!$F591</f>
        <v>0</v>
      </c>
      <c r="AC27" s="3237">
        <f>'Release Calculations'!$H216</f>
        <v>0</v>
      </c>
      <c r="AD27" s="3237">
        <f>'Release Calculations'!$H591</f>
        <v>0</v>
      </c>
      <c r="AE27" s="594">
        <f>'Release Calculations'!$J216</f>
        <v>0</v>
      </c>
      <c r="AF27" s="594">
        <f>'Release Calculations'!$J591</f>
        <v>0</v>
      </c>
      <c r="AG27" s="594">
        <f>'Release Calculations'!$L216</f>
        <v>0</v>
      </c>
      <c r="AH27" s="594">
        <f>'Release Calculations'!$L591</f>
        <v>0</v>
      </c>
      <c r="AI27" s="594">
        <f>'Release Calculations'!$N216</f>
        <v>0</v>
      </c>
      <c r="AJ27" s="594">
        <f>'Release Calculations'!$N591</f>
        <v>0</v>
      </c>
      <c r="AK27" s="594">
        <f>'Release Calculations'!$P216</f>
        <v>0</v>
      </c>
      <c r="AL27" s="594">
        <f>'Release Calculations'!$R216</f>
        <v>0</v>
      </c>
      <c r="AM27" s="594">
        <f>'Release Calculations'!$R591</f>
        <v>0</v>
      </c>
      <c r="AN27" s="594">
        <f>'Release Calculations'!$T216</f>
        <v>0</v>
      </c>
      <c r="AO27" s="594">
        <f>'Release Calculations'!$T591</f>
        <v>0</v>
      </c>
      <c r="AP27" s="594">
        <f>'Release Calculations'!$V216</f>
        <v>0</v>
      </c>
      <c r="AQ27" s="594">
        <f>'Release Calculations'!$V591</f>
        <v>0</v>
      </c>
      <c r="AR27" s="594">
        <f>'Release Calculations'!$X216</f>
        <v>0</v>
      </c>
      <c r="AS27" s="594">
        <f>'Release Calculations'!$X591</f>
        <v>0</v>
      </c>
      <c r="AT27" s="594">
        <f>'Release Calculations'!$AE229</f>
        <v>0</v>
      </c>
      <c r="AU27" s="594">
        <f>'Release Calculations'!$AG229</f>
        <v>0</v>
      </c>
      <c r="AV27" s="594">
        <f>'Release Calculations'!$AI229</f>
        <v>0</v>
      </c>
      <c r="AW27" s="594">
        <f>'Release Calculations'!$AK229</f>
        <v>0</v>
      </c>
      <c r="AX27" s="594">
        <f>'Release Calculations'!$AM229</f>
        <v>0</v>
      </c>
      <c r="AY27" s="594">
        <f>'Release Calculations'!$AO229</f>
        <v>0</v>
      </c>
      <c r="AZ27" s="594">
        <f>'Release Calculations'!$AE618</f>
        <v>0</v>
      </c>
      <c r="BA27" s="594">
        <f>'Release Calculations'!$AG618</f>
        <v>0</v>
      </c>
      <c r="BB27" s="594">
        <f>'Release Calculations'!$AI618</f>
        <v>0</v>
      </c>
      <c r="BC27" s="594">
        <f>'Release Calculations'!$AV213</f>
        <v>0</v>
      </c>
      <c r="BD27" s="594">
        <f>'Release Calculations'!$AX213</f>
        <v>0</v>
      </c>
      <c r="BE27" s="594">
        <f>'Release Calculations'!$AZ213</f>
        <v>0</v>
      </c>
      <c r="BF27" s="594">
        <f>'Release Calculations'!$BB213</f>
        <v>0</v>
      </c>
      <c r="BG27" s="594">
        <f>'Release Calculations'!$BD213</f>
        <v>0</v>
      </c>
      <c r="BH27" s="594">
        <f>'Release Calculations'!$BF213</f>
        <v>0</v>
      </c>
      <c r="BI27" s="594">
        <f>'Release Calculations'!$BH213</f>
        <v>0</v>
      </c>
      <c r="BJ27" s="594">
        <f>'Release Calculations'!$BJ213</f>
        <v>0</v>
      </c>
      <c r="BK27" s="594">
        <f>'Release Calculations'!$BL213</f>
        <v>0</v>
      </c>
      <c r="BL27" s="594">
        <f>'Release Calculations'!$BN213</f>
        <v>0</v>
      </c>
      <c r="BM27" s="594">
        <f>'Release Calculations'!$BU216</f>
        <v>0</v>
      </c>
      <c r="BN27" s="594">
        <f>'Release Calculations'!$BW216</f>
        <v>0</v>
      </c>
      <c r="BO27" s="594">
        <f>'Release Calculations'!$BY216</f>
        <v>0</v>
      </c>
      <c r="BP27" s="594">
        <f>'Release Calculations'!$CA216</f>
        <v>0</v>
      </c>
      <c r="BQ27" s="594">
        <f>'Release Calculations'!$CC216</f>
        <v>0</v>
      </c>
      <c r="BR27" s="594">
        <f>'Release Calculations'!$BY216</f>
        <v>0</v>
      </c>
      <c r="BS27" s="594"/>
    </row>
    <row r="28" spans="1:71" ht="13.5" customHeight="1" x14ac:dyDescent="0.25">
      <c r="A28" s="345"/>
      <c r="B28" s="977"/>
      <c r="C28" s="980" t="s">
        <v>2405</v>
      </c>
      <c r="D28" s="600"/>
      <c r="E28" s="600"/>
      <c r="F28" s="400" t="s">
        <v>1831</v>
      </c>
      <c r="G28" s="400" t="s">
        <v>2387</v>
      </c>
      <c r="H28" s="3926" t="str">
        <f>"Pressure Exceeds "&amp;C$32&amp;"?"</f>
        <v>Pressure Exceeds Maximum Allowable Working or Relief Set Pressure?</v>
      </c>
      <c r="I28" s="3927"/>
      <c r="J28" s="345"/>
      <c r="K28" s="601"/>
      <c r="L28" s="345"/>
      <c r="M28" s="977"/>
      <c r="O28" s="3126" t="str">
        <f>IF(WFeed_1&gt;0,"Mole Fraction "&amp;ChemName_1,"")&amp;IF(Pseudo_Chem="Yes"," Pseudo Mix","")</f>
        <v/>
      </c>
      <c r="P28" s="592"/>
      <c r="Q28" s="3124" t="str">
        <f>IF(HLOOKUP($P$6,$Y$6:$BS$104,20,0)=0,"",HLOOKUP($P$6,$Y$6:$BS$104,20,0))</f>
        <v/>
      </c>
      <c r="S28" s="3892"/>
      <c r="T28" s="3522"/>
      <c r="U28" s="432"/>
      <c r="V28" s="345"/>
      <c r="X28" s="338" t="s">
        <v>2082</v>
      </c>
      <c r="Y28" s="594">
        <f>'Release Calculations'!$D217</f>
        <v>0</v>
      </c>
      <c r="Z28" s="594">
        <f>'Release Calculations'!$D592</f>
        <v>0</v>
      </c>
      <c r="AA28" s="594">
        <f>'Release Calculations'!$F217</f>
        <v>0</v>
      </c>
      <c r="AB28" s="594">
        <f>'Release Calculations'!$F592</f>
        <v>0</v>
      </c>
      <c r="AC28" s="3237">
        <f>'Release Calculations'!$H217</f>
        <v>0</v>
      </c>
      <c r="AD28" s="3237">
        <f>'Release Calculations'!$H592</f>
        <v>0</v>
      </c>
      <c r="AE28" s="594">
        <f>'Release Calculations'!$J217</f>
        <v>0</v>
      </c>
      <c r="AF28" s="594">
        <f>'Release Calculations'!$J592</f>
        <v>0</v>
      </c>
      <c r="AG28" s="594">
        <f>'Release Calculations'!$L217</f>
        <v>0</v>
      </c>
      <c r="AH28" s="594">
        <f>'Release Calculations'!$L592</f>
        <v>0</v>
      </c>
      <c r="AI28" s="594">
        <f>'Release Calculations'!$N217</f>
        <v>0</v>
      </c>
      <c r="AJ28" s="594">
        <f>'Release Calculations'!$N592</f>
        <v>0</v>
      </c>
      <c r="AK28" s="594">
        <f>'Release Calculations'!$P217</f>
        <v>0</v>
      </c>
      <c r="AL28" s="594">
        <f>'Release Calculations'!$R217</f>
        <v>0</v>
      </c>
      <c r="AM28" s="594">
        <f>'Release Calculations'!$R592</f>
        <v>0</v>
      </c>
      <c r="AN28" s="594">
        <f>'Release Calculations'!$T217</f>
        <v>0</v>
      </c>
      <c r="AO28" s="594">
        <f>'Release Calculations'!$T592</f>
        <v>0</v>
      </c>
      <c r="AP28" s="594">
        <f>'Release Calculations'!$V217</f>
        <v>0</v>
      </c>
      <c r="AQ28" s="594">
        <f>'Release Calculations'!$V592</f>
        <v>0</v>
      </c>
      <c r="AR28" s="594">
        <f>'Release Calculations'!$X217</f>
        <v>0</v>
      </c>
      <c r="AS28" s="594">
        <f>'Release Calculations'!$X592</f>
        <v>0</v>
      </c>
      <c r="AT28" s="594">
        <f>'Release Calculations'!$AE230</f>
        <v>0</v>
      </c>
      <c r="AU28" s="594">
        <f>'Release Calculations'!$AG230</f>
        <v>0</v>
      </c>
      <c r="AV28" s="594">
        <f>'Release Calculations'!$AI230</f>
        <v>0</v>
      </c>
      <c r="AW28" s="594">
        <f>'Release Calculations'!$AK230</f>
        <v>0</v>
      </c>
      <c r="AX28" s="594">
        <f>'Release Calculations'!$AM230</f>
        <v>0</v>
      </c>
      <c r="AY28" s="594">
        <f>'Release Calculations'!$AO230</f>
        <v>0</v>
      </c>
      <c r="AZ28" s="594">
        <f>'Release Calculations'!$AE619</f>
        <v>0</v>
      </c>
      <c r="BA28" s="594">
        <f>'Release Calculations'!$AG619</f>
        <v>0</v>
      </c>
      <c r="BB28" s="594">
        <f>'Release Calculations'!$AI619</f>
        <v>0</v>
      </c>
      <c r="BC28" s="594">
        <f>'Release Calculations'!$AV214</f>
        <v>0</v>
      </c>
      <c r="BD28" s="594">
        <f>'Release Calculations'!$AX214</f>
        <v>0</v>
      </c>
      <c r="BE28" s="594">
        <f>'Release Calculations'!$AZ214</f>
        <v>0</v>
      </c>
      <c r="BF28" s="594">
        <f>'Release Calculations'!$BB214</f>
        <v>0</v>
      </c>
      <c r="BG28" s="594">
        <f>'Release Calculations'!$BD214</f>
        <v>0</v>
      </c>
      <c r="BH28" s="594">
        <f>'Release Calculations'!$BF214</f>
        <v>0</v>
      </c>
      <c r="BI28" s="594">
        <f>'Release Calculations'!$BH214</f>
        <v>0</v>
      </c>
      <c r="BJ28" s="594">
        <f>'Release Calculations'!$BJ214</f>
        <v>0</v>
      </c>
      <c r="BK28" s="594">
        <f>'Release Calculations'!$BL214</f>
        <v>0</v>
      </c>
      <c r="BL28" s="594">
        <f>'Release Calculations'!$BN214</f>
        <v>0</v>
      </c>
      <c r="BM28" s="594">
        <f>'Release Calculations'!$BU217</f>
        <v>0</v>
      </c>
      <c r="BN28" s="594">
        <f>'Release Calculations'!$BW217</f>
        <v>0</v>
      </c>
      <c r="BO28" s="594">
        <f>'Release Calculations'!$BY217</f>
        <v>0</v>
      </c>
      <c r="BP28" s="594">
        <f>'Release Calculations'!$CA217</f>
        <v>0</v>
      </c>
      <c r="BQ28" s="594">
        <f>'Release Calculations'!$CC217</f>
        <v>0</v>
      </c>
      <c r="BR28" s="594">
        <f>'Release Calculations'!$BY217</f>
        <v>0</v>
      </c>
      <c r="BS28" s="594"/>
    </row>
    <row r="29" spans="1:71" x14ac:dyDescent="0.25">
      <c r="A29" s="345"/>
      <c r="B29" s="977"/>
      <c r="D29" s="592" t="str">
        <f>"Equipment or Vessel Volume "&amp;ROUND(Volume/(1000*F27),1)&amp;" "&amp;Volume_Units</f>
        <v>Equipment or Vessel Volume 0 liter</v>
      </c>
      <c r="F29" s="400" t="str">
        <f>T_Units</f>
        <v>C</v>
      </c>
      <c r="G29" s="400" t="str">
        <f>P_Units&amp;" gauge"</f>
        <v>bar gauge</v>
      </c>
      <c r="H29" s="3926"/>
      <c r="I29" s="3927"/>
      <c r="J29" s="345"/>
      <c r="K29" s="601"/>
      <c r="L29" s="345"/>
      <c r="M29" s="977"/>
      <c r="O29" s="846" t="str">
        <f>IF(Pseudo_Chem="Yes","",IF(WFeed_2&gt;0,"Mole Fraction "&amp;ChemName_2,""))</f>
        <v/>
      </c>
      <c r="P29" s="592"/>
      <c r="Q29" s="3124" t="str">
        <f>IF(HLOOKUP($P$6,$Y$6:$BS$104,21,0)=0,"",HLOOKUP($P$6,$Y$6:$BS$104,21,0))</f>
        <v/>
      </c>
      <c r="S29" s="3892"/>
      <c r="T29" s="3522"/>
      <c r="U29" s="432"/>
      <c r="V29" s="345"/>
      <c r="X29" s="338" t="s">
        <v>2177</v>
      </c>
      <c r="Y29" s="594">
        <f>'Release Calculations'!$D218</f>
        <v>0</v>
      </c>
      <c r="Z29" s="594">
        <f>'Release Calculations'!$D593</f>
        <v>0</v>
      </c>
      <c r="AA29" s="594">
        <f>'Release Calculations'!$F218</f>
        <v>0</v>
      </c>
      <c r="AB29" s="594">
        <f>'Release Calculations'!$F593</f>
        <v>0</v>
      </c>
      <c r="AC29" s="3237">
        <f>'Release Calculations'!$H218</f>
        <v>0</v>
      </c>
      <c r="AD29" s="3237">
        <f>'Release Calculations'!$H593</f>
        <v>0</v>
      </c>
      <c r="AE29" s="594">
        <f>'Release Calculations'!$J218</f>
        <v>0</v>
      </c>
      <c r="AF29" s="594">
        <f>'Release Calculations'!$J593</f>
        <v>0</v>
      </c>
      <c r="AG29" s="594">
        <f>'Release Calculations'!$L218</f>
        <v>0</v>
      </c>
      <c r="AH29" s="594">
        <f>'Release Calculations'!$L593</f>
        <v>0</v>
      </c>
      <c r="AI29" s="594">
        <f>'Release Calculations'!$N218</f>
        <v>0</v>
      </c>
      <c r="AJ29" s="594">
        <f>'Release Calculations'!$N593</f>
        <v>0</v>
      </c>
      <c r="AK29" s="594">
        <f>'Release Calculations'!$P218</f>
        <v>0</v>
      </c>
      <c r="AL29" s="594">
        <f>'Release Calculations'!$R218</f>
        <v>0</v>
      </c>
      <c r="AM29" s="594">
        <f>'Release Calculations'!$R593</f>
        <v>0</v>
      </c>
      <c r="AN29" s="594">
        <f>'Release Calculations'!$T218</f>
        <v>0</v>
      </c>
      <c r="AO29" s="594">
        <f>'Release Calculations'!$T593</f>
        <v>0</v>
      </c>
      <c r="AP29" s="594">
        <f>'Release Calculations'!$V218</f>
        <v>0</v>
      </c>
      <c r="AQ29" s="594">
        <f>'Release Calculations'!$V593</f>
        <v>0</v>
      </c>
      <c r="AR29" s="594">
        <f>'Release Calculations'!$X218</f>
        <v>0</v>
      </c>
      <c r="AS29" s="594">
        <f>'Release Calculations'!$X593</f>
        <v>0</v>
      </c>
      <c r="AT29" s="594">
        <f>'Release Calculations'!$AE231</f>
        <v>0</v>
      </c>
      <c r="AU29" s="594">
        <f>'Release Calculations'!$AG231</f>
        <v>0</v>
      </c>
      <c r="AV29" s="594">
        <f>'Release Calculations'!$AI231</f>
        <v>0</v>
      </c>
      <c r="AW29" s="594">
        <f>'Release Calculations'!$AK231</f>
        <v>0</v>
      </c>
      <c r="AX29" s="594">
        <f>'Release Calculations'!$AM231</f>
        <v>0</v>
      </c>
      <c r="AY29" s="594">
        <f>'Release Calculations'!$AO231</f>
        <v>0</v>
      </c>
      <c r="AZ29" s="594">
        <f>'Release Calculations'!$AE620</f>
        <v>0</v>
      </c>
      <c r="BA29" s="594">
        <f>'Release Calculations'!$AG620</f>
        <v>0</v>
      </c>
      <c r="BB29" s="594">
        <f>'Release Calculations'!$AI620</f>
        <v>0</v>
      </c>
      <c r="BC29" s="594"/>
      <c r="BD29" s="594"/>
      <c r="BE29" s="594"/>
      <c r="BF29" s="594"/>
      <c r="BG29" s="594"/>
      <c r="BH29" s="594"/>
      <c r="BI29" s="594"/>
      <c r="BJ29" s="594"/>
      <c r="BK29" s="594"/>
      <c r="BL29" s="594"/>
      <c r="BM29" s="594">
        <f>'Release Calculations'!$BU218</f>
        <v>0</v>
      </c>
      <c r="BN29" s="594">
        <f>'Release Calculations'!$BW218</f>
        <v>0</v>
      </c>
      <c r="BO29" s="594">
        <f>'Release Calculations'!$BY218</f>
        <v>0</v>
      </c>
      <c r="BP29" s="594">
        <f>'Release Calculations'!$CA218</f>
        <v>0</v>
      </c>
      <c r="BQ29" s="594">
        <f>'Release Calculations'!$CC218</f>
        <v>0</v>
      </c>
      <c r="BR29" s="594">
        <f>'Release Calculations'!$BY218</f>
        <v>0</v>
      </c>
      <c r="BS29" s="594"/>
    </row>
    <row r="30" spans="1:71" x14ac:dyDescent="0.25">
      <c r="A30" s="345"/>
      <c r="B30" s="977"/>
      <c r="D30" s="592"/>
      <c r="F30" s="400"/>
      <c r="G30" s="400"/>
      <c r="H30" s="601"/>
      <c r="I30" s="1391"/>
      <c r="J30" s="345"/>
      <c r="L30" s="345"/>
      <c r="M30" s="977"/>
      <c r="O30" s="846" t="str">
        <f>IF(Pseudo_Chem="Yes","",IF(WFeed_3&gt;0,"Mole Fraction "&amp;ChemName_3,""))</f>
        <v/>
      </c>
      <c r="P30" s="592"/>
      <c r="Q30" s="3124" t="str">
        <f>IF(HLOOKUP($P$6,$Y$6:$BS$104,22,0)=0,"",HLOOKUP($P$6,$Y$6:$BS$104,22,0))</f>
        <v/>
      </c>
      <c r="U30" s="432"/>
      <c r="V30" s="345"/>
      <c r="X30" s="338" t="s">
        <v>3103</v>
      </c>
      <c r="Y30" s="594"/>
      <c r="Z30" s="594">
        <f>'Release Calculations'!$D594</f>
        <v>0</v>
      </c>
      <c r="AA30" s="594"/>
      <c r="AB30" s="594">
        <f>'Release Calculations'!$F594</f>
        <v>0</v>
      </c>
      <c r="AC30" s="3237"/>
      <c r="AD30" s="3237">
        <f>'Release Calculations'!$H594</f>
        <v>0</v>
      </c>
      <c r="AE30" s="594"/>
      <c r="AF30" s="594">
        <f>'Release Calculations'!$J594</f>
        <v>0</v>
      </c>
      <c r="AG30" s="594"/>
      <c r="AH30" s="594">
        <f>'Release Calculations'!$L594</f>
        <v>0</v>
      </c>
      <c r="AI30" s="594"/>
      <c r="AJ30" s="594">
        <f>'Release Calculations'!$N594</f>
        <v>0</v>
      </c>
      <c r="AK30" s="594"/>
      <c r="AL30" s="594"/>
      <c r="AM30" s="594">
        <f>'Release Calculations'!$R594</f>
        <v>0</v>
      </c>
      <c r="AN30" s="594"/>
      <c r="AO30" s="594">
        <f>'Release Calculations'!$T594</f>
        <v>0</v>
      </c>
      <c r="AP30" s="594"/>
      <c r="AQ30" s="594">
        <f>'Release Calculations'!$V594</f>
        <v>0</v>
      </c>
      <c r="AR30" s="594"/>
      <c r="AS30" s="594">
        <f>'Release Calculations'!$X594</f>
        <v>0</v>
      </c>
      <c r="AT30" s="594"/>
      <c r="AU30" s="594"/>
      <c r="AV30" s="594"/>
      <c r="AW30" s="594"/>
      <c r="AX30" s="594"/>
      <c r="AY30" s="594"/>
      <c r="AZ30" s="594">
        <f>'Release Calculations'!$AE621</f>
        <v>0</v>
      </c>
      <c r="BA30" s="594">
        <f>'Release Calculations'!$AG621</f>
        <v>0</v>
      </c>
      <c r="BB30" s="594">
        <f>'Release Calculations'!$AI621</f>
        <v>0</v>
      </c>
      <c r="BM30" s="594"/>
      <c r="BN30" s="594"/>
      <c r="BO30" s="594"/>
      <c r="BP30" s="594"/>
      <c r="BQ30" s="594"/>
      <c r="BR30" s="594"/>
      <c r="BS30" s="594"/>
    </row>
    <row r="31" spans="1:71" x14ac:dyDescent="0.25">
      <c r="A31" s="345"/>
      <c r="B31" s="977"/>
      <c r="C31" s="338" t="s">
        <v>3587</v>
      </c>
      <c r="F31" s="1742">
        <f>IF(F29="F",ROUND(1.8*T+32,1),T)</f>
        <v>0</v>
      </c>
      <c r="G31" s="1722">
        <f>IF(F31="","",P/G27)</f>
        <v>1.013249965828145E-3</v>
      </c>
      <c r="H31" s="1597"/>
      <c r="I31" s="432"/>
      <c r="J31" s="345"/>
      <c r="L31" s="345"/>
      <c r="M31" s="977"/>
      <c r="O31" s="846" t="str">
        <f>IF(Pseudo_Chem="Yes","",IF(WFeed_4&gt;0,"Mole Fraction "&amp;ChemName_4,""))</f>
        <v/>
      </c>
      <c r="P31" s="592"/>
      <c r="Q31" s="3124" t="str">
        <f>IF(HLOOKUP($P$6,$Y$6:$BS$104,23,0)=0,"",HLOOKUP($P$6,$Y$6:$BS$104,23,0))</f>
        <v/>
      </c>
      <c r="S31" s="3892" t="str">
        <f>IF(AND(Q35="",Q39=""),"",IF(OR(Q48&gt;LFL_Fract_FlashFIre*10000*IF(Q39="",0,Q39),Q50&gt;LFL_Fract_FlashFIre*10000*IF(Q39="",0,Q39),Q48&gt;IF(Q35="",0,Q35),Q50&gt;IF(Q35="",0,Q35)),"Ground or Work Area Exceeds Multiple of LFL or Time-Scaled ERPG-3",""))</f>
        <v/>
      </c>
      <c r="T31" s="3928"/>
      <c r="U31" s="432"/>
      <c r="V31" s="345"/>
      <c r="X31" s="338" t="s">
        <v>2704</v>
      </c>
      <c r="Y31" s="594" t="str">
        <f>'Release Calculations'!$D225</f>
        <v/>
      </c>
      <c r="Z31" s="1878" t="str">
        <f>'Release Calculations'!$D602</f>
        <v/>
      </c>
      <c r="AA31" s="1878" t="str">
        <f>'Release Calculations'!$F225</f>
        <v/>
      </c>
      <c r="AB31" s="1878" t="str">
        <f>'Release Calculations'!$F602</f>
        <v/>
      </c>
      <c r="AC31" s="3244" t="str">
        <f>'Release Calculations'!$H225</f>
        <v/>
      </c>
      <c r="AD31" s="3244" t="str">
        <f>'Release Calculations'!$H602</f>
        <v/>
      </c>
      <c r="AE31" s="1878" t="str">
        <f>'Release Calculations'!$J225</f>
        <v/>
      </c>
      <c r="AF31" s="594" t="str">
        <f>'Release Calculations'!$J602</f>
        <v/>
      </c>
      <c r="AG31" s="594" t="str">
        <f>'Release Calculations'!$L225</f>
        <v/>
      </c>
      <c r="AH31" s="594" t="str">
        <f>'Release Calculations'!$L602</f>
        <v/>
      </c>
      <c r="AI31" s="594" t="str">
        <f>'Release Calculations'!$N225</f>
        <v/>
      </c>
      <c r="AJ31" s="594" t="str">
        <f>'Release Calculations'!$N602</f>
        <v/>
      </c>
      <c r="AK31" s="594" t="str">
        <f>'Release Calculations'!$P225</f>
        <v/>
      </c>
      <c r="AL31" s="1878" t="str">
        <f>'Release Calculations'!$R225</f>
        <v/>
      </c>
      <c r="AM31" s="1878" t="str">
        <f>'Release Calculations'!$R602</f>
        <v/>
      </c>
      <c r="AN31" s="594" t="str">
        <f>'Release Calculations'!$T225</f>
        <v/>
      </c>
      <c r="AO31" s="594" t="str">
        <f>'Release Calculations'!$T602</f>
        <v/>
      </c>
      <c r="AP31" s="594" t="str">
        <f>'Release Calculations'!$V225</f>
        <v/>
      </c>
      <c r="AQ31" s="594" t="str">
        <f>'Release Calculations'!$V602</f>
        <v/>
      </c>
      <c r="AR31" s="594" t="str">
        <f>'Release Calculations'!$X225</f>
        <v/>
      </c>
      <c r="AS31" s="594" t="str">
        <f>'Release Calculations'!$X602</f>
        <v/>
      </c>
      <c r="AT31" s="594" t="str">
        <f>'Release Calculations'!$AE238</f>
        <v/>
      </c>
      <c r="AU31" s="594" t="str">
        <f>'Release Calculations'!$AG238</f>
        <v/>
      </c>
      <c r="AV31" s="594" t="str">
        <f>'Release Calculations'!$AI238</f>
        <v/>
      </c>
      <c r="AW31" s="594" t="str">
        <f>'Release Calculations'!$AK238</f>
        <v/>
      </c>
      <c r="AX31" s="594" t="str">
        <f>'Release Calculations'!$AM238</f>
        <v/>
      </c>
      <c r="AY31" s="594" t="str">
        <f>'Release Calculations'!$AO238</f>
        <v/>
      </c>
      <c r="AZ31" s="594" t="str">
        <f>'Release Calculations'!$AE629</f>
        <v/>
      </c>
      <c r="BA31" s="594" t="str">
        <f>'Release Calculations'!$AG629</f>
        <v/>
      </c>
      <c r="BB31" s="594" t="str">
        <f>'Release Calculations'!$AI629</f>
        <v/>
      </c>
      <c r="BC31" s="594" t="str">
        <f>'Release Calculations'!$AV222</f>
        <v/>
      </c>
      <c r="BD31" s="594" t="str">
        <f>'Release Calculations'!$AX222</f>
        <v/>
      </c>
      <c r="BE31" s="594" t="str">
        <f>'Release Calculations'!$AZ222</f>
        <v/>
      </c>
      <c r="BF31" s="594" t="str">
        <f>'Release Calculations'!$BB222</f>
        <v/>
      </c>
      <c r="BG31" s="594" t="str">
        <f>'Release Calculations'!$BD222</f>
        <v/>
      </c>
      <c r="BH31" s="594" t="str">
        <f>'Release Calculations'!$BF222</f>
        <v/>
      </c>
      <c r="BI31" s="594" t="str">
        <f>'Release Calculations'!$BH222</f>
        <v/>
      </c>
      <c r="BJ31" s="594" t="str">
        <f>'Release Calculations'!$BJ222</f>
        <v/>
      </c>
      <c r="BK31" s="594" t="str">
        <f>'Release Calculations'!$BL222</f>
        <v/>
      </c>
      <c r="BL31" s="594" t="str">
        <f>'Release Calculations'!$BN222</f>
        <v/>
      </c>
      <c r="BM31" s="594" t="str">
        <f>'Release Calculations'!$BU225</f>
        <v/>
      </c>
      <c r="BN31" s="594" t="str">
        <f>'Release Calculations'!$BW225</f>
        <v/>
      </c>
      <c r="BO31" s="594" t="str">
        <f>'Release Calculations'!$BY225</f>
        <v/>
      </c>
      <c r="BP31" s="594" t="str">
        <f>'Release Calculations'!$CA225</f>
        <v/>
      </c>
      <c r="BQ31" s="594" t="str">
        <f>'Release Calculations'!$CC225</f>
        <v/>
      </c>
      <c r="BR31" s="594" t="str">
        <f>'Release Calculations'!$BY225</f>
        <v/>
      </c>
      <c r="BS31" s="594" t="str">
        <f>'Release Calculations'!CJ21</f>
        <v/>
      </c>
    </row>
    <row r="32" spans="1:71" x14ac:dyDescent="0.25">
      <c r="A32" s="345"/>
      <c r="B32" s="977"/>
      <c r="C32" s="573" t="str">
        <f>IF(Relief_Set=0,"Maximum Allowable Working or Relief Set Pressure",IF(Relief_Set&lt;MAWP,"Relief Device Set Pressure","Maximum Allowable Working Pressure"))</f>
        <v>Maximum Allowable Working or Relief Set Pressure</v>
      </c>
      <c r="D32" s="573"/>
      <c r="E32" s="573"/>
      <c r="F32" s="1602" t="str">
        <f>IF(H32="","",IF(F29="F",ROUND(1.8*H32+32,1),H32))</f>
        <v/>
      </c>
      <c r="G32" s="1722">
        <f>IF(Relief_Set=0,MAWP/G27,IF(Relief_Set&lt;MAWP,Relief_Set/G27,MAWP/G27))</f>
        <v>0</v>
      </c>
      <c r="H32" s="3327" t="str">
        <f>IF(Relief_Set=0,IF(AND(x_rel&gt;0,y_rel&gt;0),VP_B/(VP_A-LN((1+MAWP))*y_rel/(x_rel*Act_rel))+VP_C-273.15,""),IF(Relief_Set&lt;MAWP,T_atRelief,IF(AND(x_rel&gt;0,y_rel&gt;0),VP_B/(VP_A-LN((1+MAWP))*y_rel/(x_rel*Act_rel))+VP_C-273.15,"")))</f>
        <v/>
      </c>
      <c r="I32" s="432"/>
      <c r="J32" s="345"/>
      <c r="L32" s="345"/>
      <c r="M32" s="977"/>
      <c r="O32" s="847" t="str">
        <f>IF(Pseudo_Chem="Yes","",IF(WFeed_5&gt;0,"Mole Fraction "&amp;ChemName_5,""))</f>
        <v/>
      </c>
      <c r="P32" s="592"/>
      <c r="Q32" s="3124" t="str">
        <f>IF(HLOOKUP($P$6,$Y$6:$BS$104,24,0)=0,"",HLOOKUP($P$6,$Y$6:$BS$104,24,0))</f>
        <v/>
      </c>
      <c r="S32" s="3892"/>
      <c r="T32" s="3928"/>
      <c r="U32" s="432"/>
      <c r="V32" s="345"/>
      <c r="X32" s="338" t="s">
        <v>2705</v>
      </c>
      <c r="Y32" s="594" t="str">
        <f>'Release Calculations'!$D231</f>
        <v/>
      </c>
      <c r="Z32" s="1878" t="str">
        <f>'Release Calculations'!$D609</f>
        <v/>
      </c>
      <c r="AA32" s="1878" t="str">
        <f>'Release Calculations'!$F231</f>
        <v/>
      </c>
      <c r="AB32" s="1878" t="str">
        <f>'Release Calculations'!$F609</f>
        <v/>
      </c>
      <c r="AC32" s="3244" t="str">
        <f>'Release Calculations'!$H231</f>
        <v/>
      </c>
      <c r="AD32" s="3244" t="str">
        <f>'Release Calculations'!$H609</f>
        <v/>
      </c>
      <c r="AE32" s="1878" t="str">
        <f>'Release Calculations'!$J231</f>
        <v/>
      </c>
      <c r="AF32" s="594" t="str">
        <f>'Release Calculations'!$J609</f>
        <v/>
      </c>
      <c r="AG32" s="594" t="str">
        <f>'Release Calculations'!$L231</f>
        <v/>
      </c>
      <c r="AH32" s="594" t="str">
        <f>'Release Calculations'!$L609</f>
        <v/>
      </c>
      <c r="AI32" s="594" t="str">
        <f>'Release Calculations'!$N231</f>
        <v/>
      </c>
      <c r="AJ32" s="594" t="str">
        <f>'Release Calculations'!$N609</f>
        <v/>
      </c>
      <c r="AK32" s="594" t="str">
        <f>'Release Calculations'!$P231</f>
        <v/>
      </c>
      <c r="AL32" s="1878" t="str">
        <f>'Release Calculations'!$R231</f>
        <v/>
      </c>
      <c r="AM32" s="1878" t="str">
        <f>'Release Calculations'!$R609</f>
        <v/>
      </c>
      <c r="AN32" s="594" t="str">
        <f>'Release Calculations'!$T231</f>
        <v/>
      </c>
      <c r="AO32" s="594" t="str">
        <f>'Release Calculations'!$T609</f>
        <v/>
      </c>
      <c r="AP32" s="594" t="str">
        <f>'Release Calculations'!$V231</f>
        <v/>
      </c>
      <c r="AQ32" s="594" t="str">
        <f>'Release Calculations'!$V609</f>
        <v/>
      </c>
      <c r="AR32" s="594" t="str">
        <f>'Release Calculations'!$X231</f>
        <v/>
      </c>
      <c r="AS32" s="594" t="str">
        <f>'Release Calculations'!$X609</f>
        <v/>
      </c>
      <c r="AT32" s="594" t="str">
        <f>'Release Calculations'!$AE244</f>
        <v/>
      </c>
      <c r="AU32" s="594" t="str">
        <f>'Release Calculations'!$AG244</f>
        <v/>
      </c>
      <c r="AV32" s="594" t="str">
        <f>'Release Calculations'!$AI244</f>
        <v/>
      </c>
      <c r="AW32" s="594" t="str">
        <f>'Release Calculations'!$AK244</f>
        <v/>
      </c>
      <c r="AX32" s="594" t="str">
        <f>'Release Calculations'!$AM244</f>
        <v/>
      </c>
      <c r="AY32" s="594" t="str">
        <f>'Release Calculations'!$AO244</f>
        <v/>
      </c>
      <c r="AZ32" s="594" t="str">
        <f>'Release Calculations'!$AE636</f>
        <v/>
      </c>
      <c r="BA32" s="594" t="str">
        <f>'Release Calculations'!$AG636</f>
        <v/>
      </c>
      <c r="BB32" s="594" t="str">
        <f>'Release Calculations'!$AI636</f>
        <v/>
      </c>
      <c r="BC32" s="594" t="str">
        <f>'Release Calculations'!$AV228</f>
        <v/>
      </c>
      <c r="BD32" s="594" t="str">
        <f>'Release Calculations'!$AX228</f>
        <v/>
      </c>
      <c r="BE32" s="594" t="str">
        <f>'Release Calculations'!$AZ228</f>
        <v/>
      </c>
      <c r="BF32" s="594" t="str">
        <f>'Release Calculations'!$BB228</f>
        <v/>
      </c>
      <c r="BG32" s="594" t="str">
        <f>'Release Calculations'!$BD228</f>
        <v/>
      </c>
      <c r="BH32" s="594" t="str">
        <f>'Release Calculations'!$BF228</f>
        <v/>
      </c>
      <c r="BI32" s="594" t="str">
        <f>'Release Calculations'!$BH228</f>
        <v/>
      </c>
      <c r="BJ32" s="594" t="str">
        <f>'Release Calculations'!$BJ228</f>
        <v/>
      </c>
      <c r="BK32" s="594" t="str">
        <f>'Release Calculations'!$BL228</f>
        <v/>
      </c>
      <c r="BL32" s="594" t="str">
        <f>'Release Calculations'!$BN228</f>
        <v/>
      </c>
      <c r="BM32" s="594" t="str">
        <f>'Release Calculations'!$BU231</f>
        <v/>
      </c>
      <c r="BN32" s="594" t="str">
        <f>'Release Calculations'!$BW231</f>
        <v/>
      </c>
      <c r="BO32" s="594" t="str">
        <f>'Release Calculations'!$BY231</f>
        <v/>
      </c>
      <c r="BP32" s="594" t="str">
        <f>'Release Calculations'!$CA231</f>
        <v/>
      </c>
      <c r="BQ32" s="594" t="str">
        <f>'Release Calculations'!$CC231</f>
        <v/>
      </c>
      <c r="BR32" s="594" t="str">
        <f>'Release Calculations'!$BY231</f>
        <v/>
      </c>
      <c r="BS32" s="594" t="str">
        <f>'Release Calculations'!CJ22</f>
        <v/>
      </c>
    </row>
    <row r="33" spans="1:71" x14ac:dyDescent="0.25">
      <c r="A33" s="345"/>
      <c r="B33" s="977"/>
      <c r="C33" s="573" t="str">
        <f>"Catastrophic Failure/Burst Pressure "&amp;IF(MAWP&lt;1,"for Low Design Pressure","")&amp;IF(Geometry="Flat Bottom Non-Anchored",", Non-Anchored","")</f>
        <v>Catastrophic Failure/Burst Pressure for Low Design Pressure</v>
      </c>
      <c r="D33" s="573"/>
      <c r="E33" s="573"/>
      <c r="F33" s="1602">
        <f>IF(F29="F",ROUND(1.8*T_atBurst+32,1),T_atBurst)</f>
        <v>0</v>
      </c>
      <c r="G33" s="1723">
        <f>Burst_P/G27</f>
        <v>0</v>
      </c>
      <c r="H33" s="514"/>
      <c r="I33" s="432"/>
      <c r="J33" s="345"/>
      <c r="L33" s="345"/>
      <c r="M33" s="977"/>
      <c r="O33" s="3127" t="str">
        <f>"Mole Fraction Pad Gas (at Mw = "&amp;IF(Pad_MW="",28,Pad_MW)&amp;")"</f>
        <v>Mole Fraction Pad Gas (at Mw = 29)</v>
      </c>
      <c r="P33" s="592"/>
      <c r="Q33" s="3124" t="str">
        <f>IF(HLOOKUP($P$6,$Y$6:$BS$104,25,0)=0,"",HLOOKUP($P$6,$Y$6:$BS$104,25,0))</f>
        <v/>
      </c>
      <c r="S33" s="3892"/>
      <c r="T33" s="3928"/>
      <c r="U33" s="432"/>
      <c r="V33" s="345"/>
      <c r="X33" s="338" t="s">
        <v>2706</v>
      </c>
      <c r="Y33" s="594" t="str">
        <f>'Release Calculations'!$D249</f>
        <v/>
      </c>
      <c r="Z33" s="594" t="str">
        <f>'Release Calculations'!$D630</f>
        <v/>
      </c>
      <c r="AA33" s="594" t="str">
        <f>'Release Calculations'!$F249</f>
        <v/>
      </c>
      <c r="AB33" s="594" t="str">
        <f>'Release Calculations'!$F630</f>
        <v/>
      </c>
      <c r="AC33" s="3237" t="str">
        <f>'Release Calculations'!$H249</f>
        <v/>
      </c>
      <c r="AD33" s="3237" t="str">
        <f>'Release Calculations'!$H630</f>
        <v/>
      </c>
      <c r="AE33" s="594" t="str">
        <f>'Release Calculations'!$J249</f>
        <v/>
      </c>
      <c r="AF33" s="594" t="str">
        <f>'Release Calculations'!$J630</f>
        <v/>
      </c>
      <c r="AG33" s="594" t="str">
        <f>'Release Calculations'!$L249</f>
        <v/>
      </c>
      <c r="AH33" s="594" t="str">
        <f>'Release Calculations'!$L630</f>
        <v/>
      </c>
      <c r="AI33" s="594" t="str">
        <f>'Release Calculations'!$N249</f>
        <v/>
      </c>
      <c r="AJ33" s="594" t="str">
        <f>'Release Calculations'!$N630</f>
        <v/>
      </c>
      <c r="AK33" s="594" t="str">
        <f>'Release Calculations'!$P249</f>
        <v/>
      </c>
      <c r="AL33" s="594" t="str">
        <f>'Release Calculations'!$R249</f>
        <v/>
      </c>
      <c r="AM33" s="594" t="str">
        <f>'Release Calculations'!$R630</f>
        <v/>
      </c>
      <c r="AN33" s="594" t="str">
        <f>'Release Calculations'!$T249</f>
        <v/>
      </c>
      <c r="AO33" s="594" t="str">
        <f>'Release Calculations'!$T630</f>
        <v/>
      </c>
      <c r="AP33" s="594" t="str">
        <f>'Release Calculations'!$V249</f>
        <v/>
      </c>
      <c r="AQ33" s="594" t="str">
        <f>'Release Calculations'!$V630</f>
        <v/>
      </c>
      <c r="AR33" s="594" t="str">
        <f>'Release Calculations'!$X249</f>
        <v/>
      </c>
      <c r="AS33" s="594" t="str">
        <f>'Release Calculations'!$X630</f>
        <v/>
      </c>
      <c r="AT33" s="594" t="str">
        <f>'Release Calculations'!$AE262</f>
        <v/>
      </c>
      <c r="AU33" s="594" t="str">
        <f>'Release Calculations'!$AG262</f>
        <v/>
      </c>
      <c r="AV33" s="594" t="str">
        <f>'Release Calculations'!$AI262</f>
        <v/>
      </c>
      <c r="AW33" s="594" t="str">
        <f>'Release Calculations'!$AK262</f>
        <v/>
      </c>
      <c r="AX33" s="594" t="str">
        <f>'Release Calculations'!$AM262</f>
        <v/>
      </c>
      <c r="AY33" s="594" t="str">
        <f>'Release Calculations'!$AO262</f>
        <v/>
      </c>
      <c r="AZ33" s="594" t="str">
        <f>'Release Calculations'!$AE657</f>
        <v/>
      </c>
      <c r="BA33" s="594" t="str">
        <f>'Release Calculations'!$AG657</f>
        <v/>
      </c>
      <c r="BB33" s="594" t="str">
        <f>'Release Calculations'!$AI657</f>
        <v/>
      </c>
      <c r="BC33" s="594" t="str">
        <f>'Release Calculations'!$AV246</f>
        <v/>
      </c>
      <c r="BD33" s="594" t="str">
        <f>'Release Calculations'!$AX246</f>
        <v/>
      </c>
      <c r="BE33" s="594" t="str">
        <f>'Release Calculations'!$AZ246</f>
        <v/>
      </c>
      <c r="BF33" s="594" t="str">
        <f>'Release Calculations'!$BB246</f>
        <v/>
      </c>
      <c r="BG33" s="594" t="str">
        <f>'Release Calculations'!$BD246</f>
        <v/>
      </c>
      <c r="BH33" s="594" t="str">
        <f>'Release Calculations'!$BF246</f>
        <v/>
      </c>
      <c r="BI33" s="594" t="str">
        <f>'Release Calculations'!$BH246</f>
        <v/>
      </c>
      <c r="BJ33" s="594" t="str">
        <f>'Release Calculations'!$BJ246</f>
        <v/>
      </c>
      <c r="BK33" s="594" t="str">
        <f>'Release Calculations'!$BL246</f>
        <v/>
      </c>
      <c r="BL33" s="594" t="str">
        <f>'Release Calculations'!$BN246</f>
        <v/>
      </c>
      <c r="BM33" s="594" t="str">
        <f>'Release Calculations'!$BU249</f>
        <v/>
      </c>
      <c r="BN33" s="594" t="str">
        <f>'Release Calculations'!$BW249</f>
        <v/>
      </c>
      <c r="BO33" s="594" t="str">
        <f>'Release Calculations'!$BY249</f>
        <v/>
      </c>
      <c r="BP33" s="594" t="str">
        <f>'Release Calculations'!$CA249</f>
        <v/>
      </c>
      <c r="BQ33" s="594" t="str">
        <f>'Release Calculations'!$CC249</f>
        <v/>
      </c>
      <c r="BR33" s="594" t="str">
        <f>'Release Calculations'!$BY249</f>
        <v/>
      </c>
      <c r="BS33" s="594" t="str">
        <f>'Release Calculations'!CJ26</f>
        <v/>
      </c>
    </row>
    <row r="34" spans="1:71" x14ac:dyDescent="0.25">
      <c r="A34" s="345"/>
      <c r="B34" s="977"/>
      <c r="C34" s="573"/>
      <c r="D34" s="1733" t="str">
        <f>"Full Vacuum Rated?   "&amp;IF(Vacuum_Rated="","Not Entered",Vacuum_Rated)</f>
        <v>Full Vacuum Rated?   Not Entered</v>
      </c>
      <c r="E34" s="573"/>
      <c r="F34" s="1725"/>
      <c r="G34" s="514"/>
      <c r="H34" s="514"/>
      <c r="I34" s="432"/>
      <c r="J34" s="345"/>
      <c r="L34" s="345"/>
      <c r="M34" s="977"/>
      <c r="O34" s="338" t="s">
        <v>4213</v>
      </c>
      <c r="Q34" s="3121" t="str">
        <f>IF(HLOOKUP($P$6,$Y$6:$BS$104,26,0)=0,"",HLOOKUP($P$6,$Y$6:$BS$104,26,0))</f>
        <v/>
      </c>
      <c r="S34" s="3894"/>
      <c r="T34" s="3894"/>
      <c r="U34" s="432"/>
      <c r="V34" s="345"/>
      <c r="Y34" s="400"/>
      <c r="Z34" s="400"/>
    </row>
    <row r="35" spans="1:71" x14ac:dyDescent="0.25">
      <c r="A35" s="345"/>
      <c r="B35" s="977"/>
      <c r="C35" s="573" t="s">
        <v>4954</v>
      </c>
      <c r="D35" s="573"/>
      <c r="E35" s="573"/>
      <c r="F35" s="1724">
        <f>IF(F29="F",ROUND(1.8*Failure_T+32,1),Failure_T)</f>
        <v>600</v>
      </c>
      <c r="G35" s="514"/>
      <c r="H35" s="514"/>
      <c r="I35" s="432"/>
      <c r="J35" s="345"/>
      <c r="L35" s="345"/>
      <c r="M35" s="977"/>
      <c r="O35" s="338" t="s">
        <v>4214</v>
      </c>
      <c r="Q35" s="3121" t="str">
        <f>IF(HLOOKUP($P$6,$Y$6:$BS$104,27,0)=0,"",HLOOKUP($P$6,$Y$6:$BS$104,27,0))</f>
        <v/>
      </c>
      <c r="S35" s="3128"/>
      <c r="T35" s="3128"/>
      <c r="U35" s="432"/>
      <c r="V35" s="345"/>
      <c r="Y35" s="400"/>
      <c r="Z35" s="400"/>
    </row>
    <row r="36" spans="1:71" ht="12.75" customHeight="1" x14ac:dyDescent="0.25">
      <c r="A36" s="345"/>
      <c r="B36" s="977"/>
      <c r="C36" s="573"/>
      <c r="D36" s="1726" t="str">
        <f>"Temperature where Low Temp Embrittlement may Occur?   "&amp;IF(Embrittle_T_Input="","Not Entered",Embrittle_T&amp;" C")</f>
        <v>Temperature where Low Temp Embrittlement may Occur?   Not Entered</v>
      </c>
      <c r="E36" s="573"/>
      <c r="F36" s="1727"/>
      <c r="G36" s="514"/>
      <c r="H36" s="514"/>
      <c r="I36" s="432"/>
      <c r="J36" s="345"/>
      <c r="L36" s="345"/>
      <c r="M36" s="977"/>
      <c r="O36" s="338" t="s">
        <v>5306</v>
      </c>
      <c r="Q36" s="3121" t="str">
        <f>IF(HLOOKUP($P$6,$Y$6:$BS$95,90,0)=0,"",HLOOKUP($P$6,$Y$6:$BS$95,90,0))</f>
        <v/>
      </c>
      <c r="S36" s="3892" t="str">
        <f>IF(Q53="","",IF(OR(Q53&gt;10000*LFL_Fract_FlashFIre*IF(Q39="",0,Q39),Q53&gt;IF(Q35="",0,Q35)),"Enclosed Area Exceeds "&amp;LFL_Fract_FlashFIre&amp;" LFL or ERPG-3",""))</f>
        <v/>
      </c>
      <c r="T36" s="3893"/>
      <c r="U36" s="432"/>
      <c r="V36" s="345"/>
      <c r="X36" s="338" t="s">
        <v>2707</v>
      </c>
      <c r="Y36" s="869">
        <f>'Release Calculations'!$D282</f>
        <v>0</v>
      </c>
      <c r="Z36" s="869">
        <f>'Release Calculations'!$D666</f>
        <v>0</v>
      </c>
      <c r="AA36" s="869">
        <f>'Release Calculations'!$F282</f>
        <v>0</v>
      </c>
      <c r="AB36" s="869">
        <f>'Release Calculations'!$F666</f>
        <v>0</v>
      </c>
      <c r="AC36" s="3237">
        <f>'Release Calculations'!$H282</f>
        <v>0</v>
      </c>
      <c r="AD36" s="3237">
        <f>'Release Calculations'!$H666</f>
        <v>0</v>
      </c>
      <c r="AE36" s="869">
        <f>'Release Calculations'!$J282</f>
        <v>0</v>
      </c>
      <c r="AF36" s="869">
        <f>'Release Calculations'!$J666</f>
        <v>0</v>
      </c>
      <c r="AG36" s="869">
        <f>'Release Calculations'!$L282</f>
        <v>0</v>
      </c>
      <c r="AH36" s="869">
        <f>'Release Calculations'!$L666</f>
        <v>0</v>
      </c>
      <c r="AI36" s="869">
        <f>'Release Calculations'!$N282</f>
        <v>0</v>
      </c>
      <c r="AJ36" s="869">
        <f>'Release Calculations'!$N666</f>
        <v>0</v>
      </c>
      <c r="AK36" s="869">
        <f>'Release Calculations'!$P282</f>
        <v>0</v>
      </c>
      <c r="AL36" s="869">
        <f>'Release Calculations'!$R282</f>
        <v>0</v>
      </c>
      <c r="AM36" s="869">
        <f>'Release Calculations'!$R666</f>
        <v>0</v>
      </c>
      <c r="AN36" s="869">
        <f>'Release Calculations'!$T282</f>
        <v>0</v>
      </c>
      <c r="AO36" s="869">
        <f>'Release Calculations'!$T666</f>
        <v>0</v>
      </c>
      <c r="AP36" s="869">
        <f>'Release Calculations'!$V282</f>
        <v>0</v>
      </c>
      <c r="AQ36" s="869">
        <f>'Release Calculations'!$V666</f>
        <v>0</v>
      </c>
      <c r="AR36" s="869">
        <f>'Release Calculations'!$X282</f>
        <v>0</v>
      </c>
      <c r="AS36" s="869">
        <f>'Release Calculations'!$X666</f>
        <v>0</v>
      </c>
      <c r="AT36" s="869">
        <f>'Release Calculations'!$AE295</f>
        <v>0</v>
      </c>
      <c r="AU36" s="869">
        <f>'Release Calculations'!$AG295</f>
        <v>0</v>
      </c>
      <c r="AV36" s="869">
        <f>'Release Calculations'!$AI295</f>
        <v>0</v>
      </c>
      <c r="AW36" s="869">
        <f>'Release Calculations'!$AK295</f>
        <v>0</v>
      </c>
      <c r="AX36" s="869">
        <f>'Release Calculations'!$AM295</f>
        <v>0</v>
      </c>
      <c r="AY36" s="869">
        <f>'Release Calculations'!$AO295</f>
        <v>0</v>
      </c>
      <c r="AZ36" s="869">
        <f>'Release Calculations'!$AE693</f>
        <v>0</v>
      </c>
      <c r="BA36" s="869">
        <f>'Release Calculations'!$AG693</f>
        <v>0</v>
      </c>
      <c r="BB36" s="869">
        <f>'Release Calculations'!$AI693</f>
        <v>0</v>
      </c>
      <c r="BC36" s="607">
        <f>'Release Calculations'!$AV279</f>
        <v>0</v>
      </c>
      <c r="BD36" s="607">
        <f>'Release Calculations'!$AX279</f>
        <v>0</v>
      </c>
      <c r="BE36" s="607">
        <f>'Release Calculations'!$AZ279</f>
        <v>0</v>
      </c>
      <c r="BF36" s="607">
        <f>'Release Calculations'!$BB279</f>
        <v>0</v>
      </c>
      <c r="BG36" s="607">
        <f>'Release Calculations'!$BD279</f>
        <v>0</v>
      </c>
      <c r="BH36" s="607">
        <f>'Release Calculations'!$BF279</f>
        <v>0</v>
      </c>
      <c r="BI36" s="607">
        <f>'Release Calculations'!$BH279</f>
        <v>0</v>
      </c>
      <c r="BJ36" s="607">
        <f>'Release Calculations'!$BJ279</f>
        <v>0</v>
      </c>
      <c r="BK36" s="607">
        <f>'Release Calculations'!$BL279</f>
        <v>0</v>
      </c>
      <c r="BL36" s="607">
        <f>'Release Calculations'!$BN279</f>
        <v>0</v>
      </c>
      <c r="BM36" s="594">
        <f>'Release Calculations'!$BU282</f>
        <v>0</v>
      </c>
      <c r="BN36" s="594">
        <f>'Release Calculations'!$BW282</f>
        <v>0</v>
      </c>
      <c r="BO36" s="594">
        <f>'Release Calculations'!$BY282</f>
        <v>0</v>
      </c>
      <c r="BP36" s="594">
        <f>'Release Calculations'!$CA282</f>
        <v>0</v>
      </c>
      <c r="BQ36" s="594">
        <f>'Release Calculations'!$CC282</f>
        <v>0</v>
      </c>
      <c r="BR36" s="594">
        <f>'Release Calculations'!$BY282</f>
        <v>0</v>
      </c>
      <c r="BS36" s="610" t="str">
        <f>'Release Calculations'!CJ144</f>
        <v/>
      </c>
    </row>
    <row r="37" spans="1:71" ht="12.75" customHeight="1" x14ac:dyDescent="0.25">
      <c r="A37" s="345"/>
      <c r="B37" s="977"/>
      <c r="C37" s="573" t="s">
        <v>2397</v>
      </c>
      <c r="D37" s="573"/>
      <c r="E37" s="573"/>
      <c r="G37" s="1721" t="str">
        <f>IF(Max_Feed_P_Input="","Not Entered",Max_Feed_P/G27)</f>
        <v>Not Entered</v>
      </c>
      <c r="H37" s="1731" t="str">
        <f>IF(G37="Not Entered","",IF(G37&gt;G$32,"Yes","No"))</f>
        <v/>
      </c>
      <c r="I37" s="432"/>
      <c r="J37" s="345"/>
      <c r="L37" s="345"/>
      <c r="M37" s="977"/>
      <c r="O37" s="338" t="s">
        <v>4958</v>
      </c>
      <c r="Q37" s="3121" t="str">
        <f>IF(HLOOKUP($P$6,$Y$6:$BS$97,92,0)=0,"",HLOOKUP($P$6,$Y$6:$BS$97,92,0))</f>
        <v/>
      </c>
      <c r="S37" s="3893"/>
      <c r="T37" s="3893"/>
      <c r="U37" s="432"/>
      <c r="V37" s="345"/>
      <c r="X37" s="338" t="s">
        <v>4956</v>
      </c>
      <c r="Y37" s="594">
        <f>'Release Calculations'!$D287</f>
        <v>0.1</v>
      </c>
      <c r="Z37" s="610">
        <f>'Release Calculations'!$D671</f>
        <v>0.1</v>
      </c>
      <c r="AA37" s="594">
        <f>'Release Calculations'!$F287</f>
        <v>0.1</v>
      </c>
      <c r="AB37" s="594">
        <f>'Release Calculations'!$F671</f>
        <v>0.1</v>
      </c>
      <c r="AC37" s="3237">
        <f>'Release Calculations'!$H287</f>
        <v>0.1</v>
      </c>
      <c r="AD37" s="3237">
        <f>'Release Calculations'!$H671</f>
        <v>0.1</v>
      </c>
      <c r="AE37" s="594">
        <f>'Release Calculations'!$J287</f>
        <v>0.1</v>
      </c>
      <c r="AF37" s="594">
        <f>'Release Calculations'!$J671</f>
        <v>0.1</v>
      </c>
      <c r="AG37" s="594">
        <f>'Release Calculations'!$L287</f>
        <v>0.1</v>
      </c>
      <c r="AH37" s="594">
        <f>'Release Calculations'!$L671</f>
        <v>0.1</v>
      </c>
      <c r="AI37" s="594">
        <f>'Release Calculations'!$N287</f>
        <v>0.1</v>
      </c>
      <c r="AJ37" s="594">
        <f>'Release Calculations'!$N671</f>
        <v>0.1</v>
      </c>
      <c r="AK37" s="594">
        <f>'Release Calculations'!$P287</f>
        <v>0.1</v>
      </c>
      <c r="AL37" s="594">
        <f>'Release Calculations'!$R287</f>
        <v>0.1</v>
      </c>
      <c r="AM37" s="610">
        <f>'Release Calculations'!$R671</f>
        <v>0.1</v>
      </c>
      <c r="AN37" s="594">
        <f>'Release Calculations'!$T287</f>
        <v>0.1</v>
      </c>
      <c r="AO37" s="594">
        <f>'Release Calculations'!$T671</f>
        <v>0.1</v>
      </c>
      <c r="AP37" s="594">
        <f>'Release Calculations'!$V287</f>
        <v>0.1</v>
      </c>
      <c r="AQ37" s="594">
        <f>'Release Calculations'!$V671</f>
        <v>0.1</v>
      </c>
      <c r="AR37" s="594">
        <f>'Release Calculations'!$X287</f>
        <v>0.1</v>
      </c>
      <c r="AS37" s="594">
        <f>'Release Calculations'!$X671</f>
        <v>0.1</v>
      </c>
      <c r="AT37" s="594">
        <f>'Release Calculations'!$AE300</f>
        <v>0.1</v>
      </c>
      <c r="AU37" s="594">
        <f>'Release Calculations'!$AG300</f>
        <v>0.1</v>
      </c>
      <c r="AV37" s="594">
        <f>'Release Calculations'!$AI300</f>
        <v>0.1</v>
      </c>
      <c r="AW37" s="594">
        <f>'Release Calculations'!$AK300</f>
        <v>0.1</v>
      </c>
      <c r="AX37" s="594">
        <f>'Release Calculations'!$AM300</f>
        <v>0.1</v>
      </c>
      <c r="AY37" s="594">
        <f>'Release Calculations'!$AO300</f>
        <v>0.1</v>
      </c>
      <c r="AZ37" s="594">
        <f>'Release Calculations'!$AE698</f>
        <v>0.1</v>
      </c>
      <c r="BA37" s="594">
        <f>'Release Calculations'!$AG698</f>
        <v>0.1</v>
      </c>
      <c r="BB37" s="594">
        <f>'Release Calculations'!$AI698</f>
        <v>0.1</v>
      </c>
      <c r="BC37" s="607">
        <f>'Release Calculations'!$AV284</f>
        <v>0.1</v>
      </c>
      <c r="BD37" s="607">
        <f>'Release Calculations'!$AX284</f>
        <v>0.1</v>
      </c>
      <c r="BE37" s="607">
        <f>'Release Calculations'!$AZ284</f>
        <v>0.1</v>
      </c>
      <c r="BF37" s="607">
        <f>'Release Calculations'!$BB284</f>
        <v>0.1</v>
      </c>
      <c r="BG37" s="607">
        <f>'Release Calculations'!$BD284</f>
        <v>0.1</v>
      </c>
      <c r="BH37" s="607">
        <f>'Release Calculations'!$BF284</f>
        <v>0.1</v>
      </c>
      <c r="BI37" s="607">
        <f>'Release Calculations'!$BH284</f>
        <v>0.1</v>
      </c>
      <c r="BJ37" s="607">
        <f>'Release Calculations'!$BJ284</f>
        <v>0.1</v>
      </c>
      <c r="BK37" s="607">
        <f>'Release Calculations'!$BL284</f>
        <v>0.1</v>
      </c>
      <c r="BL37" s="607">
        <f>'Release Calculations'!$BN284</f>
        <v>0.1</v>
      </c>
      <c r="BM37" s="594">
        <f>'Release Calculations'!$BU287</f>
        <v>0.1</v>
      </c>
      <c r="BN37" s="594">
        <f>'Release Calculations'!$BW287</f>
        <v>0.1</v>
      </c>
      <c r="BO37" s="594">
        <f>'Release Calculations'!$BY287</f>
        <v>0.1</v>
      </c>
      <c r="BP37" s="594">
        <f>'Release Calculations'!$CA287</f>
        <v>0.1</v>
      </c>
      <c r="BQ37" s="594">
        <f>'Release Calculations'!$CC287</f>
        <v>0.1</v>
      </c>
      <c r="BR37" s="594">
        <f>'Release Calculations'!$BY287</f>
        <v>0.1</v>
      </c>
      <c r="BS37" s="610" t="str">
        <f>'Release Calculations'!CJ148</f>
        <v/>
      </c>
    </row>
    <row r="38" spans="1:71" x14ac:dyDescent="0.25">
      <c r="A38" s="345"/>
      <c r="B38" s="977"/>
      <c r="C38" s="573" t="s">
        <v>2398</v>
      </c>
      <c r="D38" s="573"/>
      <c r="E38" s="573"/>
      <c r="G38" s="984" t="str">
        <f>IF(Max_Inert_P_Input="","Not Entered",Max_Inert_P/G27)</f>
        <v>Not Entered</v>
      </c>
      <c r="H38" s="1731" t="str">
        <f>IF(G38="Not Entered","",IF(G38&gt;G$32,"Yes","No"))</f>
        <v/>
      </c>
      <c r="I38" s="432"/>
      <c r="J38" s="345"/>
      <c r="L38" s="345"/>
      <c r="M38" s="977"/>
      <c r="O38" s="338" t="s">
        <v>4957</v>
      </c>
      <c r="Q38" s="3121" t="str">
        <f>IF(HLOOKUP($P$6,$Y$6:$BS$96,91,0)=0,"",HLOOKUP($P$6,$Y$6:$BS$96,91,0))</f>
        <v/>
      </c>
      <c r="S38" s="3893"/>
      <c r="T38" s="3893"/>
      <c r="U38" s="432"/>
      <c r="V38" s="345"/>
      <c r="X38" s="338" t="str">
        <f>"Max Distance to "&amp;LFL_Fract_FlashFIre&amp;" LFL, m"</f>
        <v>Max Distance to 0.5 LFL, m</v>
      </c>
      <c r="Y38" s="594">
        <f>'Release Calculations'!$D319</f>
        <v>0</v>
      </c>
      <c r="Z38" s="594">
        <f>'Release Calculations'!$D702</f>
        <v>0</v>
      </c>
      <c r="AA38" s="594">
        <f>'Release Calculations'!$F319</f>
        <v>0</v>
      </c>
      <c r="AB38" s="594">
        <f>'Release Calculations'!$F702</f>
        <v>0</v>
      </c>
      <c r="AC38" s="3237">
        <f>'Release Calculations'!$H319</f>
        <v>0</v>
      </c>
      <c r="AD38" s="3237">
        <f>'Release Calculations'!$H702</f>
        <v>0</v>
      </c>
      <c r="AE38" s="594">
        <f>'Release Calculations'!$J319</f>
        <v>0</v>
      </c>
      <c r="AF38" s="594">
        <f>'Release Calculations'!$J702</f>
        <v>0</v>
      </c>
      <c r="AG38" s="594">
        <f>'Release Calculations'!$L319</f>
        <v>0</v>
      </c>
      <c r="AH38" s="594">
        <f>'Release Calculations'!$L702</f>
        <v>0</v>
      </c>
      <c r="AI38" s="594">
        <f>'Release Calculations'!$N319</f>
        <v>0</v>
      </c>
      <c r="AJ38" s="594">
        <f>'Release Calculations'!$N702</f>
        <v>0</v>
      </c>
      <c r="AK38" s="594">
        <f>'Release Calculations'!$P319</f>
        <v>0</v>
      </c>
      <c r="AL38" s="594">
        <f>'Release Calculations'!$R319</f>
        <v>0</v>
      </c>
      <c r="AM38" s="594">
        <f>'Release Calculations'!$R702</f>
        <v>0</v>
      </c>
      <c r="AN38" s="594">
        <f>'Release Calculations'!$T319</f>
        <v>0</v>
      </c>
      <c r="AO38" s="594">
        <f>'Release Calculations'!$T702</f>
        <v>0</v>
      </c>
      <c r="AP38" s="594">
        <f>'Release Calculations'!$V319</f>
        <v>0</v>
      </c>
      <c r="AQ38" s="594">
        <f>'Release Calculations'!$V702</f>
        <v>0</v>
      </c>
      <c r="AR38" s="594">
        <f>'Release Calculations'!$X319</f>
        <v>0</v>
      </c>
      <c r="AS38" s="594">
        <f>'Release Calculations'!$X702</f>
        <v>0</v>
      </c>
      <c r="AT38" s="594">
        <f>'Release Calculations'!$AE333</f>
        <v>0</v>
      </c>
      <c r="AU38" s="594">
        <f>'Release Calculations'!$AG333</f>
        <v>0</v>
      </c>
      <c r="AV38" s="594">
        <f>'Release Calculations'!$AI333</f>
        <v>0</v>
      </c>
      <c r="AW38" s="594">
        <f>'Release Calculations'!$AK333</f>
        <v>0</v>
      </c>
      <c r="AX38" s="594">
        <f>'Release Calculations'!$AM333</f>
        <v>0</v>
      </c>
      <c r="AY38" s="594">
        <f>'Release Calculations'!$AO333</f>
        <v>0</v>
      </c>
      <c r="AZ38" s="607">
        <f>'Release Calculations'!$AE730</f>
        <v>0</v>
      </c>
      <c r="BA38" s="607">
        <f>'Release Calculations'!$AG730</f>
        <v>0</v>
      </c>
      <c r="BB38" s="607">
        <f>'Release Calculations'!$AI730</f>
        <v>0</v>
      </c>
      <c r="BC38" s="607">
        <f>'Release Calculations'!$AV317</f>
        <v>0</v>
      </c>
      <c r="BD38" s="607">
        <f>'Release Calculations'!$AX317</f>
        <v>0</v>
      </c>
      <c r="BE38" s="607">
        <f>'Release Calculations'!$AZ317</f>
        <v>0</v>
      </c>
      <c r="BF38" s="607">
        <f>'Release Calculations'!$BB317</f>
        <v>0</v>
      </c>
      <c r="BG38" s="607">
        <f>'Release Calculations'!$BD317</f>
        <v>0</v>
      </c>
      <c r="BH38" s="607">
        <f>'Release Calculations'!$BF317</f>
        <v>0</v>
      </c>
      <c r="BI38" s="607">
        <f>'Release Calculations'!$BH317</f>
        <v>0</v>
      </c>
      <c r="BJ38" s="607">
        <f>'Release Calculations'!$BJ317</f>
        <v>0</v>
      </c>
      <c r="BK38" s="607">
        <f>'Release Calculations'!$BL317</f>
        <v>0</v>
      </c>
      <c r="BL38" s="607">
        <f>'Release Calculations'!$BN317</f>
        <v>0</v>
      </c>
      <c r="BM38" s="594">
        <f>'Release Calculations'!$BU319</f>
        <v>0</v>
      </c>
      <c r="BN38" s="594">
        <f>'Release Calculations'!$BW319</f>
        <v>0</v>
      </c>
      <c r="BO38" s="594">
        <f>'Release Calculations'!$BY319</f>
        <v>0</v>
      </c>
      <c r="BP38" s="594">
        <f>'Release Calculations'!$CA319</f>
        <v>0</v>
      </c>
      <c r="BQ38" s="594">
        <f>'Release Calculations'!$CC319</f>
        <v>0</v>
      </c>
      <c r="BR38" s="594">
        <f>'Release Calculations'!$BY319</f>
        <v>0</v>
      </c>
      <c r="BS38" s="607" t="str">
        <f>'Release Calculations'!CJ170</f>
        <v/>
      </c>
    </row>
    <row r="39" spans="1:71" x14ac:dyDescent="0.25">
      <c r="A39" s="345"/>
      <c r="B39" s="977"/>
      <c r="C39" s="573" t="s">
        <v>2399</v>
      </c>
      <c r="D39" s="573"/>
      <c r="E39" s="573"/>
      <c r="G39" s="983" t="str">
        <f>IF(Downstr_P_Input="","Not Entered",Downstr_P/G27)</f>
        <v>Not Entered</v>
      </c>
      <c r="H39" s="1731" t="str">
        <f>IF(G39="Not Entered","",IF(G39&gt;G$32,"Yes","No"))</f>
        <v/>
      </c>
      <c r="I39" s="432"/>
      <c r="J39" s="345"/>
      <c r="L39" s="345"/>
      <c r="M39" s="977"/>
      <c r="O39" s="338" t="s">
        <v>2706</v>
      </c>
      <c r="Q39" s="3118" t="str">
        <f>IF(HLOOKUP($P$6,$Y$6:$BS$104,28,0)=0,"",HLOOKUP($P$6,$Y$6:$BS$104,28,0))</f>
        <v/>
      </c>
      <c r="S39" s="2867"/>
      <c r="T39" s="2867"/>
      <c r="U39" s="432"/>
      <c r="V39" s="345"/>
      <c r="X39" s="338" t="s">
        <v>2715</v>
      </c>
      <c r="Y39" s="594">
        <v>1000000</v>
      </c>
      <c r="Z39" s="594">
        <v>1000000</v>
      </c>
      <c r="AA39" s="594">
        <v>1000000</v>
      </c>
      <c r="AB39" s="594">
        <v>1000000</v>
      </c>
      <c r="AC39" s="3237">
        <v>1000000</v>
      </c>
      <c r="AD39" s="3237">
        <v>1000000</v>
      </c>
      <c r="AE39" s="594">
        <v>1000000</v>
      </c>
      <c r="AF39" s="594">
        <v>1000000</v>
      </c>
      <c r="AG39" s="594">
        <v>1000000</v>
      </c>
      <c r="AH39" s="594">
        <v>1000000</v>
      </c>
      <c r="AI39" s="594">
        <v>1000000</v>
      </c>
      <c r="AJ39" s="594">
        <v>1000000</v>
      </c>
      <c r="AK39" s="594">
        <v>1000000</v>
      </c>
      <c r="AL39" s="594">
        <v>1000000</v>
      </c>
      <c r="AM39" s="594">
        <v>1000000</v>
      </c>
      <c r="AN39" s="594">
        <v>1000000</v>
      </c>
      <c r="AO39" s="594">
        <v>1000000</v>
      </c>
      <c r="AP39" s="594">
        <v>1000000</v>
      </c>
      <c r="AQ39" s="594">
        <v>1000000</v>
      </c>
      <c r="AR39" s="594">
        <v>1000000</v>
      </c>
      <c r="AS39" s="594">
        <v>1000000</v>
      </c>
      <c r="AT39" s="594">
        <f>'Release Calculations'!$AE111</f>
        <v>1000000</v>
      </c>
      <c r="AU39" s="609">
        <f>'Release Calculations'!$AG111</f>
        <v>1000000</v>
      </c>
      <c r="AV39" s="609">
        <f>'Release Calculations'!$AI111</f>
        <v>1000000</v>
      </c>
      <c r="AW39" s="609">
        <f>'Release Calculations'!$AK111</f>
        <v>1000000</v>
      </c>
      <c r="AX39" s="609">
        <f>'Release Calculations'!$AM111</f>
        <v>1000000</v>
      </c>
      <c r="AY39" s="609">
        <f>'Release Calculations'!$AO111</f>
        <v>1000000</v>
      </c>
      <c r="AZ39" s="609">
        <f>'Release Calculations'!$AE501</f>
        <v>999000</v>
      </c>
      <c r="BA39" s="609">
        <f>'Release Calculations'!$AG501</f>
        <v>999000</v>
      </c>
      <c r="BB39" s="609">
        <f>'Release Calculations'!$AI501</f>
        <v>999000</v>
      </c>
      <c r="BC39" s="607" t="e">
        <f>'Release Calculations'!$AV95</f>
        <v>#DIV/0!</v>
      </c>
      <c r="BD39" s="607" t="e">
        <f>'Release Calculations'!$AX95</f>
        <v>#DIV/0!</v>
      </c>
      <c r="BE39" s="607" t="e">
        <f>'Release Calculations'!$AZ95</f>
        <v>#DIV/0!</v>
      </c>
      <c r="BF39" s="607" t="e">
        <f>'Release Calculations'!$BB95</f>
        <v>#DIV/0!</v>
      </c>
      <c r="BG39" s="607" t="e">
        <f>'Release Calculations'!$BD95</f>
        <v>#DIV/0!</v>
      </c>
      <c r="BH39" s="607" t="e">
        <f>'Release Calculations'!$BF95</f>
        <v>#DIV/0!</v>
      </c>
      <c r="BI39" s="607" t="e">
        <f>'Release Calculations'!$BH95</f>
        <v>#DIV/0!</v>
      </c>
      <c r="BJ39" s="607" t="e">
        <f>'Release Calculations'!$BJ95</f>
        <v>#DIV/0!</v>
      </c>
      <c r="BK39" s="607" t="e">
        <f>'Release Calculations'!$BL95</f>
        <v>#DIV/0!</v>
      </c>
      <c r="BL39" s="607" t="e">
        <f>'Release Calculations'!$BN95</f>
        <v>#DIV/0!</v>
      </c>
      <c r="BM39" s="594">
        <v>1000000</v>
      </c>
      <c r="BN39" s="594">
        <v>1000000</v>
      </c>
      <c r="BO39" s="594">
        <v>1000000</v>
      </c>
      <c r="BP39" s="594">
        <v>1000000</v>
      </c>
      <c r="BQ39" s="594">
        <v>1000000</v>
      </c>
      <c r="BR39" s="594">
        <v>1000000</v>
      </c>
      <c r="BS39" s="594"/>
    </row>
    <row r="40" spans="1:71" ht="13.5" thickBot="1" x14ac:dyDescent="0.3">
      <c r="A40" s="345"/>
      <c r="B40" s="977"/>
      <c r="C40" s="573" t="s">
        <v>2734</v>
      </c>
      <c r="D40" s="573"/>
      <c r="E40" s="573"/>
      <c r="G40" s="984">
        <f>IF(Max_Feed_P_Input="",(1+(Fill_Max/Fill_Min)*Pad_Pressure)/G27,IF(1+(Fill_Max/Fill_Min)*Pad_Pressure&lt;Max_Feed_P,(1+(Fill_Max/Fill_Min)*Pad_Pressure)/G27,Max_Feed_P/G27))</f>
        <v>5.066249829140725</v>
      </c>
      <c r="H40" s="1597" t="str">
        <f>IF(G40&gt;G$32,"Yes","No")</f>
        <v>Yes</v>
      </c>
      <c r="I40" s="432"/>
      <c r="J40" s="345"/>
      <c r="L40" s="345"/>
      <c r="M40" s="579"/>
      <c r="N40" s="580"/>
      <c r="O40" s="580"/>
      <c r="P40" s="580"/>
      <c r="Q40" s="588"/>
      <c r="R40" s="580"/>
      <c r="S40" s="2863"/>
      <c r="T40" s="3113"/>
      <c r="U40" s="581"/>
      <c r="V40" s="345"/>
      <c r="X40" s="338" t="s">
        <v>3389</v>
      </c>
      <c r="Y40" s="1604">
        <f>'Release Calculations'!$D285</f>
        <v>0</v>
      </c>
      <c r="Z40" s="1604">
        <f>'Release Calculations'!$D669</f>
        <v>0</v>
      </c>
      <c r="AA40" s="1604">
        <f>'Release Calculations'!$F285</f>
        <v>0</v>
      </c>
      <c r="AB40" s="1604">
        <f>'Release Calculations'!$F669</f>
        <v>0</v>
      </c>
      <c r="AC40" s="3237">
        <f>'Release Calculations'!$H285</f>
        <v>0</v>
      </c>
      <c r="AD40" s="3237">
        <f>'Release Calculations'!$H669</f>
        <v>0</v>
      </c>
      <c r="AE40" s="1604">
        <f>'Release Calculations'!$J288</f>
        <v>0.1</v>
      </c>
      <c r="AF40" s="1604">
        <f>'Release Calculations'!$J669</f>
        <v>0</v>
      </c>
      <c r="AG40" s="1604">
        <f>'Release Calculations'!$L285</f>
        <v>0</v>
      </c>
      <c r="AH40" s="1604">
        <f>'Release Calculations'!$L669</f>
        <v>0</v>
      </c>
      <c r="AI40" s="1604">
        <f>'Release Calculations'!$N285</f>
        <v>0</v>
      </c>
      <c r="AJ40" s="1604">
        <f>'Release Calculations'!$N669</f>
        <v>0</v>
      </c>
      <c r="AK40" s="1604">
        <f>'Release Calculations'!$P285</f>
        <v>0</v>
      </c>
      <c r="AL40" s="1604">
        <f>'Release Calculations'!$R285</f>
        <v>0</v>
      </c>
      <c r="AM40" s="1604">
        <f>'Release Calculations'!$R669</f>
        <v>0</v>
      </c>
      <c r="AN40" s="1604">
        <f>'Release Calculations'!$T285</f>
        <v>0</v>
      </c>
      <c r="AO40" s="1604">
        <f>'Release Calculations'!$T669</f>
        <v>0</v>
      </c>
      <c r="AP40" s="1604">
        <f>'Release Calculations'!$V285</f>
        <v>0</v>
      </c>
      <c r="AQ40" s="1604">
        <f>'Release Calculations'!$V669</f>
        <v>0</v>
      </c>
      <c r="AR40" s="1604">
        <f>'Release Calculations'!$X285</f>
        <v>0</v>
      </c>
      <c r="AS40" s="1604">
        <f>'Release Calculations'!$X669</f>
        <v>0</v>
      </c>
      <c r="AT40" s="1604">
        <f>'Release Calculations'!$AE298</f>
        <v>0</v>
      </c>
      <c r="AU40" s="1605">
        <f>'Release Calculations'!$AG298</f>
        <v>0</v>
      </c>
      <c r="AV40" s="1605">
        <f>'Release Calculations'!$AI298</f>
        <v>0</v>
      </c>
      <c r="AW40" s="1605">
        <f>'Release Calculations'!$AK298</f>
        <v>0</v>
      </c>
      <c r="AX40" s="1605">
        <f>'Release Calculations'!$AM298</f>
        <v>0</v>
      </c>
      <c r="AY40" s="1605">
        <f>'Release Calculations'!$AO298</f>
        <v>0</v>
      </c>
      <c r="AZ40" s="1605">
        <f>'Release Calculations'!$AE696</f>
        <v>0</v>
      </c>
      <c r="BA40" s="1605">
        <f>'Release Calculations'!$AG696</f>
        <v>0</v>
      </c>
      <c r="BB40" s="1605">
        <f>'Release Calculations'!$AI696</f>
        <v>0</v>
      </c>
      <c r="BC40" s="1603">
        <f>'Release Calculations'!$AV282</f>
        <v>0</v>
      </c>
      <c r="BD40" s="1603">
        <f>'Release Calculations'!$AX282</f>
        <v>0</v>
      </c>
      <c r="BE40" s="1603">
        <f>'Release Calculations'!$AZ282</f>
        <v>0</v>
      </c>
      <c r="BF40" s="1603">
        <f>'Release Calculations'!$BB282</f>
        <v>0</v>
      </c>
      <c r="BG40" s="1603">
        <f>'Release Calculations'!$BD282</f>
        <v>0</v>
      </c>
      <c r="BH40" s="1603">
        <f>'Release Calculations'!$BF282</f>
        <v>0</v>
      </c>
      <c r="BI40" s="1603">
        <f>'Release Calculations'!$BH282</f>
        <v>0</v>
      </c>
      <c r="BJ40" s="1603">
        <f>'Release Calculations'!$BJ282</f>
        <v>0</v>
      </c>
      <c r="BK40" s="1603">
        <f>'Release Calculations'!$BL282</f>
        <v>0</v>
      </c>
      <c r="BL40" s="1603">
        <f>'Release Calculations'!$BN282</f>
        <v>0</v>
      </c>
      <c r="BM40" s="1604">
        <f>'Release Calculations'!$BU285</f>
        <v>0</v>
      </c>
      <c r="BN40" s="1604">
        <f>'Release Calculations'!$BW285</f>
        <v>0</v>
      </c>
      <c r="BO40" s="1604">
        <f>'Release Calculations'!$BY285</f>
        <v>0</v>
      </c>
      <c r="BP40" s="1604">
        <f>'Release Calculations'!$CA285</f>
        <v>0</v>
      </c>
      <c r="BQ40" s="1604">
        <f>'Release Calculations'!$CC285</f>
        <v>0</v>
      </c>
      <c r="BR40" s="1604">
        <f>'Release Calculations'!$BY285</f>
        <v>0</v>
      </c>
      <c r="BS40" s="1606" t="str">
        <f>'Release Calculations'!CJ146</f>
        <v/>
      </c>
    </row>
    <row r="41" spans="1:71" x14ac:dyDescent="0.25">
      <c r="A41" s="345"/>
      <c r="B41" s="977"/>
      <c r="C41" s="573" t="s">
        <v>3734</v>
      </c>
      <c r="D41" s="573"/>
      <c r="E41" s="573"/>
      <c r="G41" s="984" t="str">
        <f>IF(AND(G16&lt;&gt;"",Equipment&lt;&gt;"Piping",Equipment&lt;&gt;"Pump"),Peak_Deflag/G27,"")</f>
        <v/>
      </c>
      <c r="H41" s="1597" t="str">
        <f>IF(G41="","No",IF(G41&gt;G$32,"Yes","No"))</f>
        <v>No</v>
      </c>
      <c r="I41" s="432"/>
      <c r="J41" s="345"/>
      <c r="L41" s="345"/>
      <c r="M41" s="574"/>
      <c r="N41" s="575"/>
      <c r="O41" s="575"/>
      <c r="P41" s="575"/>
      <c r="Q41" s="585"/>
      <c r="R41" s="575"/>
      <c r="S41" s="1240"/>
      <c r="T41" s="1240"/>
      <c r="U41" s="576"/>
      <c r="V41" s="345"/>
      <c r="X41" s="1123" t="s">
        <v>4141</v>
      </c>
      <c r="Y41" s="1604">
        <f>'Release Calculations'!$D290</f>
        <v>0.1</v>
      </c>
      <c r="Z41" s="1606">
        <f>'Release Calculations'!$D674</f>
        <v>0.1</v>
      </c>
      <c r="AA41" s="1604">
        <f>'Release Calculations'!$F290</f>
        <v>0.1</v>
      </c>
      <c r="AB41" s="1604">
        <f>'Release Calculations'!$F674</f>
        <v>0.1</v>
      </c>
      <c r="AC41" s="3237">
        <f>'Release Calculations'!$H290</f>
        <v>0.1</v>
      </c>
      <c r="AD41" s="3237">
        <f>'Release Calculations'!$H674</f>
        <v>0.1</v>
      </c>
      <c r="AE41" s="1604">
        <f>'Release Calculations'!$J290</f>
        <v>0.1</v>
      </c>
      <c r="AF41" s="1604">
        <f>'Release Calculations'!$J674</f>
        <v>0.1</v>
      </c>
      <c r="AG41" s="1604">
        <f>'Release Calculations'!$L290</f>
        <v>0.1</v>
      </c>
      <c r="AH41" s="1604">
        <f>'Release Calculations'!$L674</f>
        <v>0.1</v>
      </c>
      <c r="AI41" s="1604">
        <f>'Release Calculations'!$N290</f>
        <v>0.1</v>
      </c>
      <c r="AJ41" s="1604">
        <f>'Release Calculations'!$N674</f>
        <v>0.1</v>
      </c>
      <c r="AK41" s="1604">
        <f>'Release Calculations'!$P290</f>
        <v>0.1</v>
      </c>
      <c r="AL41" s="1604">
        <f>'Release Calculations'!$R290</f>
        <v>0.1</v>
      </c>
      <c r="AM41" s="1606">
        <f>'Release Calculations'!$R674</f>
        <v>0.1</v>
      </c>
      <c r="AN41" s="1604">
        <f>'Release Calculations'!$T290</f>
        <v>0.1</v>
      </c>
      <c r="AO41" s="1604">
        <f>'Release Calculations'!$T674</f>
        <v>0.1</v>
      </c>
      <c r="AP41" s="1604">
        <f>'Release Calculations'!$V290</f>
        <v>0.1</v>
      </c>
      <c r="AQ41" s="1604">
        <f>'Release Calculations'!$V674</f>
        <v>0.1</v>
      </c>
      <c r="AR41" s="1604">
        <f>'Release Calculations'!$X290</f>
        <v>0.1</v>
      </c>
      <c r="AS41" s="1604">
        <f>'Release Calculations'!$X674</f>
        <v>0.1</v>
      </c>
      <c r="AT41" s="1604">
        <f>'Release Calculations'!$AE303</f>
        <v>0.1</v>
      </c>
      <c r="AU41" s="1605">
        <f>'Release Calculations'!$AG303</f>
        <v>0.1</v>
      </c>
      <c r="AV41" s="1605">
        <f>'Release Calculations'!$AI303</f>
        <v>0.1</v>
      </c>
      <c r="AW41" s="1605">
        <f>'Release Calculations'!$AK303</f>
        <v>0.1</v>
      </c>
      <c r="AX41" s="1605">
        <f>'Release Calculations'!$AM303</f>
        <v>0.1</v>
      </c>
      <c r="AY41" s="1605">
        <f>'Release Calculations'!$AO2414</f>
        <v>0</v>
      </c>
      <c r="AZ41" s="1605">
        <f>'Release Calculations'!$AE701</f>
        <v>0.1</v>
      </c>
      <c r="BA41" s="1605">
        <f>'Release Calculations'!$AG701</f>
        <v>0.1</v>
      </c>
      <c r="BB41" s="1605">
        <f>'Release Calculations'!$AI701</f>
        <v>0.1</v>
      </c>
      <c r="BC41" s="1603">
        <f>'Release Calculations'!$AV287</f>
        <v>0.1</v>
      </c>
      <c r="BD41" s="1603">
        <f>'Release Calculations'!$AX287</f>
        <v>0.1</v>
      </c>
      <c r="BE41" s="1603">
        <f>'Release Calculations'!$AZ287</f>
        <v>0.1</v>
      </c>
      <c r="BF41" s="1603">
        <f>'Release Calculations'!$BB287</f>
        <v>0.1</v>
      </c>
      <c r="BG41" s="1603">
        <f>'Release Calculations'!$BD287</f>
        <v>0.1</v>
      </c>
      <c r="BH41" s="1603">
        <f>'Release Calculations'!$BF287</f>
        <v>0.1</v>
      </c>
      <c r="BI41" s="1603">
        <f>'Release Calculations'!$BH287</f>
        <v>0.1</v>
      </c>
      <c r="BJ41" s="1603">
        <f>'Release Calculations'!$BJ287</f>
        <v>0.1</v>
      </c>
      <c r="BK41" s="1603">
        <f>'Release Calculations'!$BL287</f>
        <v>0.1</v>
      </c>
      <c r="BL41" s="1603">
        <f>'Release Calculations'!$BN287</f>
        <v>0.1</v>
      </c>
      <c r="BM41" s="1604">
        <f>'Release Calculations'!$BU290</f>
        <v>0.1</v>
      </c>
      <c r="BN41" s="1604">
        <f>'Release Calculations'!$BW290</f>
        <v>0.1</v>
      </c>
      <c r="BO41" s="1604">
        <f>'Release Calculations'!$BY290</f>
        <v>0.1</v>
      </c>
      <c r="BP41" s="1604">
        <f>'Release Calculations'!$CA290</f>
        <v>0.1</v>
      </c>
      <c r="BQ41" s="1604">
        <f>'Release Calculations'!$CC290</f>
        <v>0.1</v>
      </c>
      <c r="BR41" s="1604">
        <f>'Release Calculations'!$BY290</f>
        <v>0.1</v>
      </c>
      <c r="BS41" s="1606" t="str">
        <f>'Release Calculations'!CJ151</f>
        <v/>
      </c>
    </row>
    <row r="42" spans="1:71" x14ac:dyDescent="0.25">
      <c r="A42" s="345"/>
      <c r="B42" s="977"/>
      <c r="C42" s="338" t="s">
        <v>3302</v>
      </c>
      <c r="D42" s="573"/>
      <c r="E42" s="573"/>
      <c r="G42" s="1356" t="str">
        <f>IF(OR(Equipment="Pump",Equipment="Piping"),P_Surge/G27,"")</f>
        <v/>
      </c>
      <c r="H42" s="1597" t="str">
        <f>IF(OR(Equipment="Pump",Equipment="Piping"),IF(G42&gt;G$32,"Yes","No"),"")</f>
        <v/>
      </c>
      <c r="I42" s="432"/>
      <c r="J42" s="345"/>
      <c r="L42" s="345"/>
      <c r="M42" s="977"/>
      <c r="N42" s="338" t="s">
        <v>4895</v>
      </c>
      <c r="S42" s="3892" t="str">
        <f>IF(OR(Q39="",Q51=""),"",IF(IF(Q47="",0,Q47)&gt;MIN(Occ_Bldg,IF(Occ_Bldg2=0,Occ_Bldg,Occ_Bldg2)),"Potential Flamm Impact to Occupied Building (Conc &gt; "&amp;LFL_Fract_FlashFIre&amp;" LFL at Building)",""))</f>
        <v/>
      </c>
      <c r="T42" s="3893"/>
      <c r="U42" s="432"/>
      <c r="V42" s="345"/>
      <c r="X42" s="338" t="s">
        <v>2708</v>
      </c>
      <c r="Y42" s="869" t="e">
        <f>'Release Calculations'!$D283</f>
        <v>#DIV/0!</v>
      </c>
      <c r="Z42" s="869">
        <f>'Release Calculations'!$D667</f>
        <v>1000000.0000000001</v>
      </c>
      <c r="AA42" s="869" t="e">
        <f>'Release Calculations'!$F283</f>
        <v>#DIV/0!</v>
      </c>
      <c r="AB42" s="869">
        <f>'Release Calculations'!$F667</f>
        <v>1000000.0000000001</v>
      </c>
      <c r="AC42" s="3237" t="e">
        <f>'Release Calculations'!$H283</f>
        <v>#DIV/0!</v>
      </c>
      <c r="AD42" s="3237">
        <f>'Release Calculations'!$H667</f>
        <v>0</v>
      </c>
      <c r="AE42" s="869" t="e">
        <f>'Release Calculations'!$J283</f>
        <v>#DIV/0!</v>
      </c>
      <c r="AF42" s="869">
        <f>'Release Calculations'!$J667</f>
        <v>1000000.0000000001</v>
      </c>
      <c r="AG42" s="869" t="e">
        <f>'Release Calculations'!$L283</f>
        <v>#DIV/0!</v>
      </c>
      <c r="AH42" s="869">
        <f>'Release Calculations'!$L667</f>
        <v>0</v>
      </c>
      <c r="AI42" s="869" t="e">
        <f>'Release Calculations'!$N283</f>
        <v>#DIV/0!</v>
      </c>
      <c r="AJ42" s="869">
        <f>'Release Calculations'!$N667</f>
        <v>0</v>
      </c>
      <c r="AK42" s="869" t="e">
        <f>'Release Calculations'!$P283</f>
        <v>#DIV/0!</v>
      </c>
      <c r="AL42" s="869" t="e">
        <f>'Release Calculations'!$R283</f>
        <v>#DIV/0!</v>
      </c>
      <c r="AM42" s="869">
        <f>'Release Calculations'!$R667</f>
        <v>1000000.0000000001</v>
      </c>
      <c r="AN42" s="869" t="e">
        <f>'Release Calculations'!$T283</f>
        <v>#DIV/0!</v>
      </c>
      <c r="AO42" s="869">
        <f>'Release Calculations'!$T667</f>
        <v>1000000.0000000001</v>
      </c>
      <c r="AP42" s="869" t="e">
        <f>'Release Calculations'!$V283</f>
        <v>#DIV/0!</v>
      </c>
      <c r="AQ42" s="869">
        <f>'Release Calculations'!$V667</f>
        <v>999999.99999999988</v>
      </c>
      <c r="AR42" s="869" t="e">
        <f>'Release Calculations'!$X283</f>
        <v>#DIV/0!</v>
      </c>
      <c r="AS42" s="869">
        <f>'Release Calculations'!$X667</f>
        <v>1000000</v>
      </c>
      <c r="AT42" s="869">
        <f>'Release Calculations'!AE296</f>
        <v>0</v>
      </c>
      <c r="AU42" s="869">
        <f>'Release Calculations'!AG296</f>
        <v>0</v>
      </c>
      <c r="AV42" s="869">
        <f>'Release Calculations'!AI296</f>
        <v>0</v>
      </c>
      <c r="AW42" s="869">
        <f>'Release Calculations'!AK296</f>
        <v>0</v>
      </c>
      <c r="AX42" s="869">
        <f>'Release Calculations'!AM296</f>
        <v>0</v>
      </c>
      <c r="AY42" s="869">
        <f>'Release Calculations'!AO296</f>
        <v>0</v>
      </c>
      <c r="AZ42" s="869">
        <f>'Release Calculations'!$AE694</f>
        <v>0</v>
      </c>
      <c r="BA42" s="869">
        <f>'Release Calculations'!$AG694</f>
        <v>0</v>
      </c>
      <c r="BB42" s="869">
        <f>'Release Calculations'!$AI694</f>
        <v>0</v>
      </c>
      <c r="BC42" s="607">
        <f>'Release Calculations'!$AV280</f>
        <v>0</v>
      </c>
      <c r="BD42" s="607">
        <f>'Release Calculations'!$AX280</f>
        <v>0</v>
      </c>
      <c r="BE42" s="607">
        <f>'Release Calculations'!$AZ280</f>
        <v>0</v>
      </c>
      <c r="BF42" s="607">
        <f>'Release Calculations'!$BB280</f>
        <v>0</v>
      </c>
      <c r="BG42" s="607">
        <f>'Release Calculations'!$BD280</f>
        <v>0</v>
      </c>
      <c r="BH42" s="607">
        <f>'Release Calculations'!$BF280</f>
        <v>0</v>
      </c>
      <c r="BI42" s="607">
        <f>'Release Calculations'!$BH280</f>
        <v>0</v>
      </c>
      <c r="BJ42" s="607">
        <f>'Release Calculations'!$BJ280</f>
        <v>0</v>
      </c>
      <c r="BK42" s="607">
        <f>'Release Calculations'!$BL280</f>
        <v>0</v>
      </c>
      <c r="BL42" s="607">
        <f>'Release Calculations'!$BN280</f>
        <v>0</v>
      </c>
      <c r="BM42" s="594" t="e">
        <f>'Release Calculations'!$BU283</f>
        <v>#DIV/0!</v>
      </c>
      <c r="BN42" s="594" t="e">
        <f>'Release Calculations'!$BW283</f>
        <v>#DIV/0!</v>
      </c>
      <c r="BO42" s="594" t="e">
        <f>'Release Calculations'!$BY283</f>
        <v>#DIV/0!</v>
      </c>
      <c r="BP42" s="594" t="e">
        <f>'Release Calculations'!$CA283</f>
        <v>#DIV/0!</v>
      </c>
      <c r="BQ42" s="594" t="e">
        <f>'Release Calculations'!$CC283</f>
        <v>#DIV/0!</v>
      </c>
      <c r="BR42" s="594" t="e">
        <f>'Release Calculations'!$BY283</f>
        <v>#DIV/0!</v>
      </c>
      <c r="BS42" s="869"/>
    </row>
    <row r="43" spans="1:71" x14ac:dyDescent="0.25">
      <c r="A43" s="345"/>
      <c r="B43" s="977"/>
      <c r="C43" s="338" t="s">
        <v>2391</v>
      </c>
      <c r="F43" s="1931">
        <f>IF(F29="F",1.8*Ambient_Temp+32,Ambient_Temp)</f>
        <v>25</v>
      </c>
      <c r="G43" s="1932">
        <f>IF(F43="","",(Pad_Pressure*(Ambient_Temp+273.15)/(T+273.15)+IF(State="Liquid",PVap,P)-1)/G27)</f>
        <v>9.2737503736787977E-2</v>
      </c>
      <c r="H43" s="1597" t="str">
        <f t="shared" ref="H43:H53" si="10">IF(F43="","",IF(G43&gt;G$32,"Yes","No"))</f>
        <v>Yes</v>
      </c>
      <c r="I43" s="432"/>
      <c r="J43" s="345"/>
      <c r="L43" s="345"/>
      <c r="M43" s="977"/>
      <c r="O43" s="338" t="s">
        <v>4211</v>
      </c>
      <c r="Q43" s="1241" t="str">
        <f>IF(HLOOKUP($P$6,$Y$6:$BS$104,31,0)=0,"",HLOOKUP($P$6,$Y$6:$BS$104,31,0))</f>
        <v/>
      </c>
      <c r="S43" s="3893"/>
      <c r="T43" s="3893"/>
      <c r="U43" s="432"/>
      <c r="V43" s="345"/>
      <c r="X43" s="338" t="s">
        <v>2709</v>
      </c>
      <c r="Y43" s="594">
        <f>'Release Calculations'!$D293</f>
        <v>1000000</v>
      </c>
      <c r="Z43" s="610">
        <f>'Release Calculations'!$D676</f>
        <v>1000000</v>
      </c>
      <c r="AA43" s="610">
        <f>'Release Calculations'!$F293</f>
        <v>1000000</v>
      </c>
      <c r="AB43" s="610">
        <f>'Release Calculations'!$F676</f>
        <v>1000000</v>
      </c>
      <c r="AC43" s="3239">
        <f>'Release Calculations'!$H293</f>
        <v>1000000</v>
      </c>
      <c r="AD43" s="3239">
        <f>'Release Calculations'!$H676</f>
        <v>1000000</v>
      </c>
      <c r="AE43" s="610">
        <f>'Release Calculations'!$J293</f>
        <v>1000000</v>
      </c>
      <c r="AF43" s="610">
        <f>'Release Calculations'!$J676</f>
        <v>1000000</v>
      </c>
      <c r="AG43" s="610">
        <f>'Release Calculations'!$L293</f>
        <v>1000000</v>
      </c>
      <c r="AH43" s="610">
        <f>'Release Calculations'!$L676</f>
        <v>1000000</v>
      </c>
      <c r="AI43" s="610">
        <f>'Release Calculations'!$N293</f>
        <v>1000000</v>
      </c>
      <c r="AJ43" s="610">
        <f>'Release Calculations'!$N676</f>
        <v>1000000</v>
      </c>
      <c r="AK43" s="610">
        <f>'Release Calculations'!$P293</f>
        <v>1000000</v>
      </c>
      <c r="AL43" s="610">
        <f>'Release Calculations'!$R293</f>
        <v>1000000</v>
      </c>
      <c r="AM43" s="610">
        <f>'Release Calculations'!$R676</f>
        <v>1000000</v>
      </c>
      <c r="AN43" s="610">
        <f>'Release Calculations'!$T293</f>
        <v>1000000</v>
      </c>
      <c r="AO43" s="610">
        <f>'Release Calculations'!$T676</f>
        <v>1000000</v>
      </c>
      <c r="AP43" s="610">
        <f>'Release Calculations'!$V293</f>
        <v>1000000</v>
      </c>
      <c r="AQ43" s="610">
        <f>'Release Calculations'!$V676</f>
        <v>1000000</v>
      </c>
      <c r="AR43" s="610">
        <f>'Release Calculations'!$X293</f>
        <v>1000000</v>
      </c>
      <c r="AS43" s="610">
        <f>'Release Calculations'!$X676</f>
        <v>1000000</v>
      </c>
      <c r="AT43" s="869">
        <f>'Release Calculations'!AE306</f>
        <v>1000000</v>
      </c>
      <c r="AU43" s="870">
        <f>'Release Calculations'!AG306</f>
        <v>1000000</v>
      </c>
      <c r="AV43" s="870">
        <f>'Release Calculations'!AI306</f>
        <v>1000000</v>
      </c>
      <c r="AW43" s="870">
        <f>'Release Calculations'!AK306</f>
        <v>1000000</v>
      </c>
      <c r="AX43" s="870">
        <f>'Release Calculations'!AM306</f>
        <v>1000000</v>
      </c>
      <c r="AY43" s="870">
        <f>'Release Calculations'!AO306</f>
        <v>1000000</v>
      </c>
      <c r="AZ43" s="610">
        <f>'Release Calculations'!$AE703</f>
        <v>1000000</v>
      </c>
      <c r="BA43" s="610">
        <f>'Release Calculations'!$AG703</f>
        <v>1000000</v>
      </c>
      <c r="BB43" s="610">
        <f>'Release Calculations'!$AI703</f>
        <v>1000000</v>
      </c>
      <c r="BC43" s="609">
        <f>'Release Calculations'!$AV290</f>
        <v>1000000</v>
      </c>
      <c r="BD43" s="609">
        <f>'Release Calculations'!$AX290</f>
        <v>1000000</v>
      </c>
      <c r="BE43" s="609">
        <f>'Release Calculations'!$AZ290</f>
        <v>1000000</v>
      </c>
      <c r="BF43" s="609">
        <f>'Release Calculations'!$BB290</f>
        <v>1000000</v>
      </c>
      <c r="BG43" s="609">
        <f>'Release Calculations'!$BD290</f>
        <v>1000000</v>
      </c>
      <c r="BH43" s="609">
        <f>'Release Calculations'!$BF290</f>
        <v>1000000</v>
      </c>
      <c r="BI43" s="609">
        <f>'Release Calculations'!$BH290</f>
        <v>1000000</v>
      </c>
      <c r="BJ43" s="609">
        <f>'Release Calculations'!$BJ290</f>
        <v>1000000</v>
      </c>
      <c r="BK43" s="609">
        <f>'Release Calculations'!$BL290</f>
        <v>1000000</v>
      </c>
      <c r="BL43" s="609">
        <f>'Release Calculations'!$BN290</f>
        <v>1000000</v>
      </c>
      <c r="BM43" s="610">
        <f>'Release Calculations'!$BU293</f>
        <v>1000000</v>
      </c>
      <c r="BN43" s="610">
        <f>'Release Calculations'!$BW293</f>
        <v>1000000</v>
      </c>
      <c r="BO43" s="610">
        <f>'Release Calculations'!$BY293</f>
        <v>1000000</v>
      </c>
      <c r="BP43" s="610">
        <f>'Release Calculations'!$CA293</f>
        <v>1000000</v>
      </c>
      <c r="BQ43" s="610">
        <f>'Release Calculations'!$CC293</f>
        <v>1000000</v>
      </c>
      <c r="BR43" s="610">
        <f>'Release Calculations'!$BY293</f>
        <v>1000000</v>
      </c>
      <c r="BS43" s="610">
        <f>'Release Calculations'!CJ154</f>
        <v>0</v>
      </c>
    </row>
    <row r="44" spans="1:71" x14ac:dyDescent="0.25">
      <c r="A44" s="345"/>
      <c r="B44" s="977"/>
      <c r="C44" s="338" t="s">
        <v>3659</v>
      </c>
      <c r="F44" s="1933" t="str">
        <f>IF(Feed_Temp_Input="","",Feed_T)</f>
        <v/>
      </c>
      <c r="G44" s="1934" t="str">
        <f>IF(F44="","",(Pad_Pressure*(Feed_T+273.15)/(T+273.15)+IF(State="Liquid",P_atMax_FeedT,P)-1)/G27)</f>
        <v/>
      </c>
      <c r="H44" s="1936" t="str">
        <f t="shared" si="10"/>
        <v/>
      </c>
      <c r="I44" s="432"/>
      <c r="J44" s="345"/>
      <c r="L44" s="345"/>
      <c r="M44" s="977"/>
      <c r="O44" s="338" t="s">
        <v>4212</v>
      </c>
      <c r="Q44" s="1602" t="str">
        <f>IF(HLOOKUP($P$6,$Y$6:$BS$104,35,0)=0,"",HLOOKUP($P$6,$Y$6:$BS$104,35,0))</f>
        <v/>
      </c>
      <c r="S44" s="3893"/>
      <c r="T44" s="3893"/>
      <c r="U44" s="432"/>
      <c r="V44" s="345"/>
      <c r="X44" s="338" t="s">
        <v>4878</v>
      </c>
      <c r="Y44" s="870">
        <f>'Release Calculations'!$D296</f>
        <v>0</v>
      </c>
      <c r="Z44" s="870">
        <f>'Release Calculations'!$D679</f>
        <v>0</v>
      </c>
      <c r="AA44" s="870">
        <f>'Release Calculations'!$F296</f>
        <v>0</v>
      </c>
      <c r="AB44" s="870">
        <f>'Release Calculations'!$F679</f>
        <v>0</v>
      </c>
      <c r="AC44" s="3239">
        <f>'Release Calculations'!$H296</f>
        <v>0</v>
      </c>
      <c r="AD44" s="3239">
        <f>'Release Calculations'!$H679</f>
        <v>0</v>
      </c>
      <c r="AE44" s="870">
        <f>'Release Calculations'!$J296</f>
        <v>0</v>
      </c>
      <c r="AF44" s="870">
        <f>'Release Calculations'!$J679</f>
        <v>0</v>
      </c>
      <c r="AG44" s="870">
        <f>'Release Calculations'!$L296</f>
        <v>0</v>
      </c>
      <c r="AH44" s="870">
        <f>'Release Calculations'!$L679</f>
        <v>0</v>
      </c>
      <c r="AI44" s="870">
        <f>'Release Calculations'!$N296</f>
        <v>0</v>
      </c>
      <c r="AJ44" s="870">
        <f>'Release Calculations'!$N679</f>
        <v>0</v>
      </c>
      <c r="AK44" s="870">
        <f>'Release Calculations'!$P296</f>
        <v>0</v>
      </c>
      <c r="AL44" s="870">
        <f>'Release Calculations'!$R296</f>
        <v>0</v>
      </c>
      <c r="AM44" s="870">
        <f>'Release Calculations'!$R679</f>
        <v>0</v>
      </c>
      <c r="AN44" s="870">
        <f>'Release Calculations'!$T296</f>
        <v>0</v>
      </c>
      <c r="AO44" s="870">
        <f>'Release Calculations'!$T679</f>
        <v>0</v>
      </c>
      <c r="AP44" s="870">
        <f>'Release Calculations'!$V296</f>
        <v>0</v>
      </c>
      <c r="AQ44" s="870">
        <f>'Release Calculations'!$V679</f>
        <v>0</v>
      </c>
      <c r="AR44" s="870">
        <f>'Release Calculations'!$X296</f>
        <v>0</v>
      </c>
      <c r="AS44" s="870">
        <f>'Release Calculations'!$X679</f>
        <v>0</v>
      </c>
      <c r="AT44" s="870">
        <f>'Release Calculations'!AE310</f>
        <v>0</v>
      </c>
      <c r="AU44" s="870">
        <f>'Release Calculations'!AG2218</f>
        <v>0</v>
      </c>
      <c r="AV44" s="870">
        <f>'Release Calculations'!AI310</f>
        <v>0</v>
      </c>
      <c r="AW44" s="870">
        <f>'Release Calculations'!AK310</f>
        <v>0</v>
      </c>
      <c r="AX44" s="870">
        <f>'Release Calculations'!AM310</f>
        <v>0</v>
      </c>
      <c r="AY44" s="870">
        <f>'Release Calculations'!AO310</f>
        <v>0</v>
      </c>
      <c r="AZ44" s="610">
        <f>'Release Calculations'!$AE707</f>
        <v>0</v>
      </c>
      <c r="BA44" s="610">
        <f>'Release Calculations'!$AG707</f>
        <v>0</v>
      </c>
      <c r="BB44" s="610">
        <f>'Release Calculations'!$AI707</f>
        <v>0</v>
      </c>
      <c r="BC44" s="609">
        <f>'Release Calculations'!$AV294</f>
        <v>0</v>
      </c>
      <c r="BD44" s="609">
        <f>'Release Calculations'!$AX294</f>
        <v>0</v>
      </c>
      <c r="BE44" s="609">
        <f>'Release Calculations'!$AZ294</f>
        <v>0</v>
      </c>
      <c r="BF44" s="609">
        <f>'Release Calculations'!$BB294</f>
        <v>0</v>
      </c>
      <c r="BG44" s="609">
        <f>'Release Calculations'!$BD294</f>
        <v>0</v>
      </c>
      <c r="BH44" s="609">
        <f>'Release Calculations'!$BF294</f>
        <v>0</v>
      </c>
      <c r="BI44" s="609">
        <f>'Release Calculations'!$BH294</f>
        <v>0</v>
      </c>
      <c r="BJ44" s="609">
        <f>'Release Calculations'!$BJ294</f>
        <v>0</v>
      </c>
      <c r="BK44" s="609">
        <f>'Release Calculations'!$BL294</f>
        <v>0</v>
      </c>
      <c r="BL44" s="609">
        <f>'Release Calculations'!$BN294</f>
        <v>0</v>
      </c>
      <c r="BM44" s="610">
        <f>'Release Calculations'!$BU296</f>
        <v>0</v>
      </c>
      <c r="BN44" s="610">
        <f>'Release Calculations'!$BW296</f>
        <v>0</v>
      </c>
      <c r="BO44" s="610">
        <f>'Release Calculations'!$BY296</f>
        <v>0</v>
      </c>
      <c r="BP44" s="610">
        <f>'Release Calculations'!$CA296</f>
        <v>0</v>
      </c>
      <c r="BQ44" s="610">
        <f>'Release Calculations'!$CC296</f>
        <v>0</v>
      </c>
      <c r="BR44" s="610">
        <f>'Release Calculations'!$BY296</f>
        <v>0</v>
      </c>
      <c r="BS44" s="870">
        <f>'Release Calculations'!CJ155</f>
        <v>0</v>
      </c>
    </row>
    <row r="45" spans="1:71" x14ac:dyDescent="0.25">
      <c r="A45" s="345"/>
      <c r="B45" s="977"/>
      <c r="C45" s="338" t="s">
        <v>3585</v>
      </c>
      <c r="F45" s="1931" t="str">
        <f>IF(Coolant_Temp_Input="","",IF(F29="F",ROUND(1.8*Coolant_Temp+32,1),ROUND(Coolant_Temp,1)))</f>
        <v/>
      </c>
      <c r="G45" s="1935" t="str">
        <f>IF(F45="","",(Pad_Pressure*(Coolant_Temp+273.15)/(T+273.15)+IF(State="Liquid",P_atCoolant,P)-1)/G27)</f>
        <v/>
      </c>
      <c r="H45" s="1597" t="str">
        <f t="shared" si="10"/>
        <v/>
      </c>
      <c r="I45" s="432"/>
      <c r="J45" s="345"/>
      <c r="L45" s="345"/>
      <c r="M45" s="977"/>
      <c r="O45" s="1123" t="s">
        <v>4141</v>
      </c>
      <c r="Q45" s="1602">
        <f>IF(HLOOKUP($P$6,$Y$6:$BS$104,36,0)=0,"",HLOOKUP($P$6,$Y$6:$BS$104,36,0))</f>
        <v>0.1</v>
      </c>
      <c r="S45" s="3893"/>
      <c r="T45" s="3893"/>
      <c r="U45" s="432"/>
      <c r="V45" s="345"/>
      <c r="X45" s="338" t="s">
        <v>4879</v>
      </c>
      <c r="Y45" s="870">
        <f>'Release Calculations'!$D297</f>
        <v>0</v>
      </c>
      <c r="Z45" s="870">
        <f>'Release Calculations'!$D680</f>
        <v>0</v>
      </c>
      <c r="AA45" s="870">
        <f>'Release Calculations'!$F297</f>
        <v>0</v>
      </c>
      <c r="AB45" s="870">
        <f>'Release Calculations'!$F680</f>
        <v>0</v>
      </c>
      <c r="AC45" s="3239">
        <f>'Release Calculations'!$H297</f>
        <v>0</v>
      </c>
      <c r="AD45" s="3239">
        <f>'Release Calculations'!$H680</f>
        <v>0</v>
      </c>
      <c r="AE45" s="870">
        <f>'Release Calculations'!$J297</f>
        <v>0</v>
      </c>
      <c r="AF45" s="870">
        <f>'Release Calculations'!$J680</f>
        <v>0</v>
      </c>
      <c r="AG45" s="870">
        <f>'Release Calculations'!$L297</f>
        <v>0</v>
      </c>
      <c r="AH45" s="870">
        <f>'Release Calculations'!$L680</f>
        <v>0</v>
      </c>
      <c r="AI45" s="870">
        <f>'Release Calculations'!$N297</f>
        <v>0</v>
      </c>
      <c r="AJ45" s="870">
        <f>'Release Calculations'!$N680</f>
        <v>0</v>
      </c>
      <c r="AK45" s="870">
        <f>'Release Calculations'!$P297</f>
        <v>0</v>
      </c>
      <c r="AL45" s="870">
        <f>'Release Calculations'!$R297</f>
        <v>0</v>
      </c>
      <c r="AM45" s="870">
        <f>'Release Calculations'!$R680</f>
        <v>0</v>
      </c>
      <c r="AN45" s="870">
        <f>'Release Calculations'!$T297</f>
        <v>0</v>
      </c>
      <c r="AO45" s="870">
        <f>'Release Calculations'!$T680</f>
        <v>0</v>
      </c>
      <c r="AP45" s="870">
        <f>'Release Calculations'!$V297</f>
        <v>0</v>
      </c>
      <c r="AQ45" s="870">
        <f>'Release Calculations'!$V680</f>
        <v>0</v>
      </c>
      <c r="AR45" s="870">
        <f>'Release Calculations'!$X297</f>
        <v>0</v>
      </c>
      <c r="AS45" s="870">
        <f>'Release Calculations'!$X680</f>
        <v>0</v>
      </c>
      <c r="AT45" s="870">
        <f>'Release Calculations'!AE311</f>
        <v>0</v>
      </c>
      <c r="AU45" s="870">
        <f>'Release Calculations'!AG311</f>
        <v>0</v>
      </c>
      <c r="AV45" s="870">
        <f>'Release Calculations'!AI311</f>
        <v>0</v>
      </c>
      <c r="AW45" s="870">
        <f>'Release Calculations'!AK311</f>
        <v>0</v>
      </c>
      <c r="AX45" s="870">
        <f>'Release Calculations'!AM311</f>
        <v>0</v>
      </c>
      <c r="AY45" s="870">
        <f>'Release Calculations'!AO311</f>
        <v>0</v>
      </c>
      <c r="AZ45" s="610">
        <f>'Release Calculations'!$AE708</f>
        <v>0</v>
      </c>
      <c r="BA45" s="610">
        <f>'Release Calculations'!$AG708</f>
        <v>0</v>
      </c>
      <c r="BB45" s="610">
        <f>'Release Calculations'!$AI708</f>
        <v>0</v>
      </c>
      <c r="BC45" s="609">
        <f>'Release Calculations'!$AV295</f>
        <v>0</v>
      </c>
      <c r="BD45" s="609">
        <f>'Release Calculations'!$AX295</f>
        <v>0</v>
      </c>
      <c r="BE45" s="609">
        <f>'Release Calculations'!$AZ295</f>
        <v>0</v>
      </c>
      <c r="BF45" s="609">
        <f>'Release Calculations'!$BB295</f>
        <v>0</v>
      </c>
      <c r="BG45" s="609">
        <f>'Release Calculations'!$BD295</f>
        <v>0</v>
      </c>
      <c r="BH45" s="609">
        <f>'Release Calculations'!$BF295</f>
        <v>0</v>
      </c>
      <c r="BI45" s="609">
        <f>'Release Calculations'!$BH295</f>
        <v>0</v>
      </c>
      <c r="BJ45" s="609">
        <f>'Release Calculations'!$BJ295</f>
        <v>0</v>
      </c>
      <c r="BK45" s="609">
        <f>'Release Calculations'!$BL295</f>
        <v>0</v>
      </c>
      <c r="BL45" s="609">
        <f>'Release Calculations'!$BN295</f>
        <v>0</v>
      </c>
      <c r="BM45" s="610">
        <f>'Release Calculations'!$BU297</f>
        <v>0</v>
      </c>
      <c r="BN45" s="610">
        <f>'Release Calculations'!$BW297</f>
        <v>0</v>
      </c>
      <c r="BO45" s="610">
        <f>'Release Calculations'!$BY297</f>
        <v>0</v>
      </c>
      <c r="BP45" s="610">
        <f>'Release Calculations'!$CA297</f>
        <v>0</v>
      </c>
      <c r="BQ45" s="610">
        <f>'Release Calculations'!$CC297</f>
        <v>0</v>
      </c>
      <c r="BR45" s="610">
        <f>'Release Calculations'!$BY297</f>
        <v>0</v>
      </c>
      <c r="BS45" s="870">
        <f>'Release Calculations'!CJ156</f>
        <v>0</v>
      </c>
    </row>
    <row r="46" spans="1:71" x14ac:dyDescent="0.25">
      <c r="A46" s="345"/>
      <c r="B46" s="977"/>
      <c r="D46" s="592" t="s">
        <v>3584</v>
      </c>
      <c r="F46" s="982">
        <f>IF(F29="F",ROUND(1.8*TBp+32,1),TBp)</f>
        <v>0</v>
      </c>
      <c r="G46" s="514"/>
      <c r="H46" s="514"/>
      <c r="I46" s="432"/>
      <c r="J46" s="345"/>
      <c r="L46" s="345"/>
      <c r="M46" s="977"/>
      <c r="O46" s="338" t="s">
        <v>4891</v>
      </c>
      <c r="Q46" s="1241">
        <f>IF(OR(AND(Regulatory_Tox&lt;&gt;"Yes",ER3_Min&gt;Toxic_Limit),HLOOKUP($P$6,$Y$6:$BS$104,32,0))=0,"",HLOOKUP($P$6,$Y$6:$BS$104,32,0))</f>
        <v>0.1</v>
      </c>
      <c r="S46" s="2867"/>
      <c r="T46" s="2867"/>
      <c r="U46" s="432"/>
      <c r="V46" s="345"/>
      <c r="X46" s="338" t="s">
        <v>2710</v>
      </c>
      <c r="Y46" s="609">
        <f>'Release Calculations'!$D300</f>
        <v>0</v>
      </c>
      <c r="Z46" s="609">
        <f>'Release Calculations'!$D683</f>
        <v>0</v>
      </c>
      <c r="AA46" s="609">
        <f>'Release Calculations'!$F300</f>
        <v>0</v>
      </c>
      <c r="AB46" s="609">
        <f>'Release Calculations'!$F683</f>
        <v>0</v>
      </c>
      <c r="AC46" s="3240">
        <f>'Release Calculations'!$H300</f>
        <v>0</v>
      </c>
      <c r="AD46" s="3240">
        <f>'Release Calculations'!$H683</f>
        <v>0</v>
      </c>
      <c r="AE46" s="609">
        <f>'Release Calculations'!$J300</f>
        <v>0</v>
      </c>
      <c r="AF46" s="609">
        <f>'Release Calculations'!$J683</f>
        <v>0</v>
      </c>
      <c r="AG46" s="609">
        <f>'Release Calculations'!$L300</f>
        <v>0</v>
      </c>
      <c r="AH46" s="609">
        <f>'Release Calculations'!$L683</f>
        <v>0</v>
      </c>
      <c r="AI46" s="609">
        <f>'Release Calculations'!$N300</f>
        <v>0</v>
      </c>
      <c r="AJ46" s="609">
        <f>'Release Calculations'!$N683</f>
        <v>0</v>
      </c>
      <c r="AK46" s="609">
        <f>'Release Calculations'!$P300</f>
        <v>0</v>
      </c>
      <c r="AL46" s="609">
        <f>'Release Calculations'!$R300</f>
        <v>0</v>
      </c>
      <c r="AM46" s="609">
        <f>'Release Calculations'!$R683</f>
        <v>0</v>
      </c>
      <c r="AN46" s="609">
        <f>'Release Calculations'!$T300</f>
        <v>0</v>
      </c>
      <c r="AO46" s="609">
        <f>'Release Calculations'!$T683</f>
        <v>0</v>
      </c>
      <c r="AP46" s="609">
        <f>'Release Calculations'!$V300</f>
        <v>0</v>
      </c>
      <c r="AQ46" s="609">
        <f>'Release Calculations'!$V683</f>
        <v>0</v>
      </c>
      <c r="AR46" s="609">
        <f>'Release Calculations'!$X300</f>
        <v>0</v>
      </c>
      <c r="AS46" s="609">
        <f>'Release Calculations'!$X683</f>
        <v>0</v>
      </c>
      <c r="AT46" s="594">
        <f>'Release Calculations'!$AE314</f>
        <v>0</v>
      </c>
      <c r="AU46" s="609">
        <f>'Release Calculations'!$AG314</f>
        <v>0</v>
      </c>
      <c r="AV46" s="609">
        <f>'Release Calculations'!$AI314</f>
        <v>0</v>
      </c>
      <c r="AW46" s="609">
        <f>'Release Calculations'!$AK314</f>
        <v>0</v>
      </c>
      <c r="AX46" s="609">
        <f>'Release Calculations'!$AM314</f>
        <v>0</v>
      </c>
      <c r="AY46" s="609">
        <f>'Release Calculations'!$AO314</f>
        <v>0</v>
      </c>
      <c r="AZ46" s="609">
        <f>'Release Calculations'!$AE711</f>
        <v>0</v>
      </c>
      <c r="BA46" s="609">
        <f>'Release Calculations'!$AG711</f>
        <v>0</v>
      </c>
      <c r="BB46" s="609">
        <f>'Release Calculations'!$AI711</f>
        <v>0</v>
      </c>
      <c r="BC46" s="609">
        <f>'Release Calculations'!$AV298</f>
        <v>0</v>
      </c>
      <c r="BD46" s="609">
        <f>'Release Calculations'!$AX298</f>
        <v>0</v>
      </c>
      <c r="BE46" s="609">
        <f>'Release Calculations'!$AZ298</f>
        <v>0</v>
      </c>
      <c r="BF46" s="609">
        <f>'Release Calculations'!$BB298</f>
        <v>0</v>
      </c>
      <c r="BG46" s="609">
        <f>'Release Calculations'!$BD298</f>
        <v>0</v>
      </c>
      <c r="BH46" s="609">
        <f>'Release Calculations'!$BF298</f>
        <v>0</v>
      </c>
      <c r="BI46" s="609">
        <f>'Release Calculations'!$BH298</f>
        <v>0</v>
      </c>
      <c r="BJ46" s="609">
        <f>'Release Calculations'!$BJ298</f>
        <v>0</v>
      </c>
      <c r="BK46" s="609">
        <f>'Release Calculations'!$BL298</f>
        <v>0</v>
      </c>
      <c r="BL46" s="609">
        <f>'Release Calculations'!$BN298</f>
        <v>0</v>
      </c>
      <c r="BM46" s="609">
        <f>'Release Calculations'!$BU300</f>
        <v>0</v>
      </c>
      <c r="BN46" s="609">
        <f>'Release Calculations'!$BW300</f>
        <v>0</v>
      </c>
      <c r="BO46" s="609">
        <f>'Release Calculations'!$BY300</f>
        <v>0</v>
      </c>
      <c r="BP46" s="609">
        <f>'Release Calculations'!$CA300</f>
        <v>0</v>
      </c>
      <c r="BQ46" s="609">
        <f>'Release Calculations'!$CC300</f>
        <v>0</v>
      </c>
      <c r="BR46" s="609">
        <f>'Release Calculations'!$BY300</f>
        <v>0</v>
      </c>
      <c r="BS46" s="609">
        <f>'Release Calculations'!CJ158</f>
        <v>0</v>
      </c>
    </row>
    <row r="47" spans="1:71" x14ac:dyDescent="0.25">
      <c r="A47" s="345"/>
      <c r="B47" s="977"/>
      <c r="C47" s="338" t="s">
        <v>2524</v>
      </c>
      <c r="F47" s="983" t="str">
        <f>IF(Heating_T_Input="","",IF(F29="F",ROUND(1.8*Heating_T+32,1),ROUND(Heating_T,1)))</f>
        <v/>
      </c>
      <c r="G47" s="1935" t="str">
        <f>IF(F47="","",Pmax_HtTrans/G27)</f>
        <v/>
      </c>
      <c r="H47" s="1597" t="str">
        <f t="shared" si="10"/>
        <v/>
      </c>
      <c r="I47" s="432"/>
      <c r="J47" s="345"/>
      <c r="L47" s="345"/>
      <c r="M47" s="977"/>
      <c r="O47" s="338" t="str">
        <f>"Max Distance to Flash Fire Impact or "&amp;LFL_Fract_FlashFIre&amp;" LFL, m"</f>
        <v>Max Distance to Flash Fire Impact or 0.5 LFL, m</v>
      </c>
      <c r="Q47" s="1241" t="str">
        <f>IF(HLOOKUP($P$6,$Y$6:$BS$104,33,0)=0,"",HLOOKUP($P$6,$Y$6:$BS$104,33,0))</f>
        <v/>
      </c>
      <c r="S47" s="3892" t="str">
        <f>IF(OR(AND(Regulatory_Tox&lt;&gt;"Yes",ER3_Min&gt;Toxic_Limit),AND(Q46="",Q47="")),"",IF(MAX(IF(Q46="",0,Q46),IF(Q47="",0,Q46))&gt;IF(Q32="",0,Q32),"Potential Toxic Impact within Occupied Building (Indoor Conc &gt; one-hour ERPG-3)",""))</f>
        <v>Potential Toxic Impact within Occupied Building (Indoor Conc &gt; one-hour ERPG-3)</v>
      </c>
      <c r="T47" s="3894"/>
      <c r="U47" s="432"/>
      <c r="V47" s="345"/>
      <c r="X47" s="338" t="s">
        <v>2711</v>
      </c>
      <c r="Y47" s="871">
        <f>'Release Calculations'!$D301</f>
        <v>0</v>
      </c>
      <c r="Z47" s="609">
        <f>'Release Calculations'!$D684</f>
        <v>0</v>
      </c>
      <c r="AA47" s="871">
        <f>'Release Calculations'!$F301</f>
        <v>0</v>
      </c>
      <c r="AB47" s="609">
        <f>'Release Calculations'!$F684</f>
        <v>0</v>
      </c>
      <c r="AC47" s="3240">
        <f>'Release Calculations'!$H301</f>
        <v>0</v>
      </c>
      <c r="AD47" s="3240">
        <f>'Release Calculations'!$H684</f>
        <v>0</v>
      </c>
      <c r="AE47" s="871">
        <f>'Release Calculations'!$J301</f>
        <v>0</v>
      </c>
      <c r="AF47" s="609">
        <f>'Release Calculations'!$J684</f>
        <v>0</v>
      </c>
      <c r="AG47" s="871">
        <f>'Release Calculations'!$L301</f>
        <v>0</v>
      </c>
      <c r="AH47" s="609">
        <f>'Release Calculations'!$L684</f>
        <v>0</v>
      </c>
      <c r="AI47" s="871">
        <f>'Release Calculations'!$N301</f>
        <v>0</v>
      </c>
      <c r="AJ47" s="609">
        <f>'Release Calculations'!$N684</f>
        <v>0</v>
      </c>
      <c r="AK47" s="871">
        <f>'Release Calculations'!$P301</f>
        <v>0</v>
      </c>
      <c r="AL47" s="871">
        <f>'Release Calculations'!$R301</f>
        <v>0</v>
      </c>
      <c r="AM47" s="609">
        <f>'Release Calculations'!$R684</f>
        <v>0</v>
      </c>
      <c r="AN47" s="871">
        <f>'Release Calculations'!$T301</f>
        <v>0</v>
      </c>
      <c r="AO47" s="609">
        <f>'Release Calculations'!$T684</f>
        <v>0</v>
      </c>
      <c r="AP47" s="871">
        <f>'Release Calculations'!$V301</f>
        <v>0</v>
      </c>
      <c r="AQ47" s="609">
        <f>'Release Calculations'!$V684</f>
        <v>0</v>
      </c>
      <c r="AR47" s="871">
        <f>'Release Calculations'!$X301</f>
        <v>0</v>
      </c>
      <c r="AS47" s="609">
        <f>'Release Calculations'!$X684</f>
        <v>0</v>
      </c>
      <c r="AT47" s="594">
        <f>'Release Calculations'!$AE315</f>
        <v>0</v>
      </c>
      <c r="AU47" s="609">
        <f>'Release Calculations'!$AG315</f>
        <v>0</v>
      </c>
      <c r="AV47" s="609">
        <f>'Release Calculations'!$AI315</f>
        <v>0</v>
      </c>
      <c r="AW47" s="609">
        <f>'Release Calculations'!$AK315</f>
        <v>0</v>
      </c>
      <c r="AX47" s="609">
        <f>'Release Calculations'!$AM315</f>
        <v>0</v>
      </c>
      <c r="AY47" s="609">
        <f>'Release Calculations'!$AO315</f>
        <v>0</v>
      </c>
      <c r="AZ47" s="609">
        <f>'Release Calculations'!$AE712</f>
        <v>0</v>
      </c>
      <c r="BA47" s="609">
        <f>'Release Calculations'!$AG712</f>
        <v>0</v>
      </c>
      <c r="BB47" s="609">
        <f>'Release Calculations'!$AI712</f>
        <v>0</v>
      </c>
      <c r="BC47" s="609">
        <f>'Release Calculations'!$AV299</f>
        <v>0</v>
      </c>
      <c r="BD47" s="609">
        <f>'Release Calculations'!$AX299</f>
        <v>0</v>
      </c>
      <c r="BE47" s="609">
        <f>'Release Calculations'!$AZ299</f>
        <v>0</v>
      </c>
      <c r="BF47" s="609">
        <f>'Release Calculations'!$BB299</f>
        <v>0</v>
      </c>
      <c r="BG47" s="609">
        <f>'Release Calculations'!$BD299</f>
        <v>0</v>
      </c>
      <c r="BH47" s="609">
        <f>'Release Calculations'!$BF299</f>
        <v>0</v>
      </c>
      <c r="BI47" s="609">
        <f>'Release Calculations'!$BH299</f>
        <v>0</v>
      </c>
      <c r="BJ47" s="609">
        <f>'Release Calculations'!$BJ299</f>
        <v>0</v>
      </c>
      <c r="BK47" s="609">
        <f>'Release Calculations'!$BL299</f>
        <v>0</v>
      </c>
      <c r="BL47" s="609">
        <f>'Release Calculations'!$BN299</f>
        <v>0</v>
      </c>
      <c r="BM47" s="609">
        <f>'Release Calculations'!$BU301</f>
        <v>0</v>
      </c>
      <c r="BN47" s="609">
        <f>'Release Calculations'!$BW301</f>
        <v>0</v>
      </c>
      <c r="BO47" s="609">
        <f>'Release Calculations'!$BY301</f>
        <v>0</v>
      </c>
      <c r="BP47" s="609">
        <f>'Release Calculations'!$CA301</f>
        <v>0</v>
      </c>
      <c r="BQ47" s="609">
        <f>'Release Calculations'!$CC301</f>
        <v>0</v>
      </c>
      <c r="BR47" s="609">
        <f>'Release Calculations'!$BY301</f>
        <v>0</v>
      </c>
      <c r="BS47" s="594"/>
    </row>
    <row r="48" spans="1:71" x14ac:dyDescent="0.25">
      <c r="A48" s="345"/>
      <c r="B48" s="977"/>
      <c r="C48" s="1239" t="s">
        <v>3070</v>
      </c>
      <c r="F48" s="400"/>
      <c r="G48" s="1238" t="str">
        <f>IF(Time_HTRelief_atLow=0,"",Time_HTRelief_atLow/60)</f>
        <v/>
      </c>
      <c r="H48" s="1597"/>
      <c r="I48" s="432"/>
      <c r="J48" s="345"/>
      <c r="L48" s="345"/>
      <c r="M48" s="977"/>
      <c r="O48" s="338" t="s">
        <v>2715</v>
      </c>
      <c r="Q48" s="1241">
        <f>IF(HLOOKUP($P$6,$Y$6:$BS$104,34,0)=0,"",HLOOKUP($P$6,$Y$6:$BS$104,34,0))</f>
        <v>1000000</v>
      </c>
      <c r="S48" s="3894"/>
      <c r="T48" s="3894"/>
      <c r="U48" s="432"/>
      <c r="V48" s="345"/>
      <c r="Y48" s="400"/>
      <c r="Z48" s="400"/>
    </row>
    <row r="49" spans="1:72" x14ac:dyDescent="0.25">
      <c r="A49" s="345"/>
      <c r="B49" s="977"/>
      <c r="C49" s="1239" t="s">
        <v>3073</v>
      </c>
      <c r="F49" s="400"/>
      <c r="G49" s="1238" t="str">
        <f>IF(Time_HTRelief_atHigh=0,"",Time_HTRelief_atHigh/60)</f>
        <v/>
      </c>
      <c r="H49" s="1597"/>
      <c r="I49" s="432"/>
      <c r="J49" s="345"/>
      <c r="K49" s="601"/>
      <c r="L49" s="345"/>
      <c r="M49" s="977"/>
      <c r="O49" s="338" t="s">
        <v>2708</v>
      </c>
      <c r="Q49" s="1241" t="e">
        <f>IF(HLOOKUP($P$6,$Y$6:$BS$104,37,0)=0,"",HLOOKUP($P$6,$Y$6:$BS$104,37,0))</f>
        <v>#DIV/0!</v>
      </c>
      <c r="S49" s="3894"/>
      <c r="T49" s="3894"/>
      <c r="U49" s="432"/>
      <c r="V49" s="345"/>
      <c r="X49" s="338" t="s">
        <v>2767</v>
      </c>
      <c r="Y49" s="869" t="str">
        <f>IF(Y23="Indoors",'Release Calculations'!$D309,'Release Calculations'!$D323)</f>
        <v/>
      </c>
      <c r="Z49" s="869" t="str">
        <f>IF(Z23="Indoors",'Release Calculations'!$D692,'Release Calculations'!$D706)</f>
        <v/>
      </c>
      <c r="AA49" s="869" t="str">
        <f>IF(AA23="Indoors",'Release Calculations'!$F309,'Release Calculations'!$F323)</f>
        <v/>
      </c>
      <c r="AB49" s="869" t="str">
        <f>IF(AB23="Indoors",'Release Calculations'!$F692,'Release Calculations'!$F706)</f>
        <v/>
      </c>
      <c r="AC49" s="3237" t="str">
        <f>IF(AC23="Indoors",'Release Calculations'!$F309,'Release Calculations'!$F323)</f>
        <v/>
      </c>
      <c r="AD49" s="3237" t="str">
        <f>IF(AD23="Indoors",'Release Calculations'!$F692,'Release Calculations'!$F706)</f>
        <v/>
      </c>
      <c r="AE49" s="869" t="str">
        <f>IF(AE23="Indoors",'Release Calculations'!$J309,'Release Calculations'!$J323)</f>
        <v/>
      </c>
      <c r="AF49" s="869" t="str">
        <f>IF(AF23="Indoors",'Release Calculations'!$J692,'Release Calculations'!$J706)</f>
        <v/>
      </c>
      <c r="AG49" s="869" t="str">
        <f>IF(AG23="Indoors",'Release Calculations'!$L309,'Release Calculations'!$L323)</f>
        <v/>
      </c>
      <c r="AH49" s="869" t="str">
        <f>IF(AH23="Indoors",'Release Calculations'!$L692,'Release Calculations'!$L706)</f>
        <v/>
      </c>
      <c r="AI49" s="869" t="str">
        <f>IF(AI23="Indoors",'Release Calculations'!$N309,'Release Calculations'!$N323)</f>
        <v/>
      </c>
      <c r="AJ49" s="869" t="str">
        <f>IF(AJ23="Indoors",'Release Calculations'!$N692,'Release Calculations'!$N706)</f>
        <v/>
      </c>
      <c r="AK49" s="869" t="str">
        <f>IF(AK23="Indoors",'Release Calculations'!$P309,'Release Calculations'!$P323)</f>
        <v/>
      </c>
      <c r="AL49" s="869" t="str">
        <f>IF(AL23="Indoors",'Release Calculations'!$R309,'Release Calculations'!$R323)</f>
        <v/>
      </c>
      <c r="AM49" s="869" t="str">
        <f>IF(AM23="Indoors",'Release Calculations'!$R692,'Release Calculations'!$R706)</f>
        <v/>
      </c>
      <c r="AN49" s="869" t="str">
        <f>IF(AN23="Indoors",'Release Calculations'!$T309,'Release Calculations'!$T323)</f>
        <v/>
      </c>
      <c r="AO49" s="869" t="str">
        <f>IF(AO23="Indoors",'Release Calculations'!$T692,'Release Calculations'!$T706)</f>
        <v/>
      </c>
      <c r="AP49" s="869" t="str">
        <f>IF(AP23="Indoors",'Release Calculations'!$V309,'Release Calculations'!$V323)</f>
        <v/>
      </c>
      <c r="AQ49" s="869" t="str">
        <f>IF(AQ23="Indoors",'Release Calculations'!$V692,'Release Calculations'!$V706)</f>
        <v/>
      </c>
      <c r="AR49" s="869" t="str">
        <f>IF(AR23="Indoors",'Release Calculations'!$X309,'Release Calculations'!$X323)</f>
        <v/>
      </c>
      <c r="AS49" s="869" t="str">
        <f>IF(AS23="Indoors",'Release Calculations'!$X692,'Release Calculations'!$X706)</f>
        <v/>
      </c>
      <c r="AT49" s="869" t="str">
        <f>IF(AT23="Indoors",'Release Calculations'!$AE323,'Release Calculations'!$AE337)</f>
        <v/>
      </c>
      <c r="AU49" s="869" t="str">
        <f>IF(AU23="Indoors",'Release Calculations'!$AG323,'Release Calculations'!$AG337)</f>
        <v/>
      </c>
      <c r="AV49" s="869" t="str">
        <f>IF(AV23="Indoors",'Release Calculations'!$AI323,'Release Calculations'!$AI337)</f>
        <v/>
      </c>
      <c r="AW49" s="869" t="str">
        <f>IF(AW23="Indoors",'Release Calculations'!$AK323,'Release Calculations'!$AK337)</f>
        <v/>
      </c>
      <c r="AX49" s="869" t="str">
        <f>IF(AX23="Indoors",'Release Calculations'!$AM323,'Release Calculations'!$AM337)</f>
        <v/>
      </c>
      <c r="AY49" s="869" t="str">
        <f>IF(AY23="Indoors",'Release Calculations'!$AO323,'Release Calculations'!$AO337)</f>
        <v/>
      </c>
      <c r="AZ49" s="869" t="str">
        <f>IF(AZ23="Indoors",'Release Calculations'!$AE720,'Release Calculations'!$AE734)</f>
        <v/>
      </c>
      <c r="BA49" s="869" t="str">
        <f>IF(BA23="Indoors",'Release Calculations'!$AG720,'Release Calculations'!$AG734)</f>
        <v/>
      </c>
      <c r="BB49" s="869" t="str">
        <f>IF(BB23="Indoors",'Release Calculations'!$AI720,'Release Calculations'!$AI734)</f>
        <v/>
      </c>
      <c r="BC49" s="869" t="str">
        <f>IF(BC23="Indoors",'Release Calculations'!$AV307,'Release Calculations'!$AV321)</f>
        <v/>
      </c>
      <c r="BD49" s="869" t="str">
        <f>IF(BD23="Indoors",'Release Calculations'!$AX307,'Release Calculations'!$AX321)</f>
        <v/>
      </c>
      <c r="BE49" s="869" t="str">
        <f>IF(BE23="Indoors",'Release Calculations'!$AZ307,'Release Calculations'!$AZ321)</f>
        <v/>
      </c>
      <c r="BF49" s="869" t="str">
        <f>IF(BF23="Indoors",'Release Calculations'!$BB307,'Release Calculations'!$BB321)</f>
        <v/>
      </c>
      <c r="BG49" s="869" t="str">
        <f>IF(BG23="Indoors",'Release Calculations'!$BD307,'Release Calculations'!$BD321)</f>
        <v/>
      </c>
      <c r="BH49" s="869" t="str">
        <f>IF(BH23="Indoors",'Release Calculations'!$BF307,'Release Calculations'!$BF321)</f>
        <v/>
      </c>
      <c r="BI49" s="869" t="str">
        <f>IF(BI23="Indoors",'Release Calculations'!$BH307,'Release Calculations'!$BH321)</f>
        <v/>
      </c>
      <c r="BJ49" s="869" t="str">
        <f>IF(BJ23="Indoors",'Release Calculations'!$BJ307,'Release Calculations'!$BJ321)</f>
        <v/>
      </c>
      <c r="BK49" s="869" t="str">
        <f>IF(BK23="Indoors",'Release Calculations'!$BL307,'Release Calculations'!$BL321)</f>
        <v/>
      </c>
      <c r="BL49" s="869" t="str">
        <f>IF(BL23="Indoors",'Release Calculations'!$BN307,'Release Calculations'!$BN321)</f>
        <v/>
      </c>
      <c r="BM49" s="869" t="str">
        <f>IF(Location="Indoors",'Release Calculations'!$BU309,'Release Calculations'!$BU323)</f>
        <v/>
      </c>
      <c r="BN49" s="869">
        <f>IF(Location="Indoors",'Release Calculations'!$BW309,'Release Calculations'!$BW323)</f>
        <v>0</v>
      </c>
      <c r="BO49" s="869" t="str">
        <f>IF(Location="Indoors",'Release Calculations'!$BY309,'Release Calculations'!$BY323)</f>
        <v/>
      </c>
      <c r="BP49" s="869" t="str">
        <f>IF(Location="Indoors",'Release Calculations'!$CA309,'Release Calculations'!$CA323)</f>
        <v/>
      </c>
      <c r="BQ49" s="869">
        <f>IF(Location="Indoors",'Release Calculations'!$CC309,'Release Calculations'!$CC323)</f>
        <v>0</v>
      </c>
      <c r="BR49" s="869" t="str">
        <f>IF(Location="Indoors",'Release Calculations'!$BY309,'Release Calculations'!$BY323)</f>
        <v/>
      </c>
      <c r="BS49" s="869" t="str">
        <f>IF(BS23="Indoors",'Release Calculations'!$CJ162,'Release Calculations'!$CJ172)</f>
        <v/>
      </c>
    </row>
    <row r="50" spans="1:72" x14ac:dyDescent="0.25">
      <c r="A50" s="345"/>
      <c r="B50" s="977"/>
      <c r="C50" s="338" t="s">
        <v>2523</v>
      </c>
      <c r="F50" s="400"/>
      <c r="G50" s="984">
        <f>Heating_P/G27</f>
        <v>0</v>
      </c>
      <c r="H50" s="1597" t="str">
        <f>IF(G50&gt;G$32,"Yes","No")</f>
        <v>No</v>
      </c>
      <c r="I50" s="432"/>
      <c r="J50" s="345"/>
      <c r="K50" s="601"/>
      <c r="L50" s="345"/>
      <c r="M50" s="977"/>
      <c r="O50" s="338" t="s">
        <v>2709</v>
      </c>
      <c r="Q50" s="1241">
        <f>IF(HLOOKUP($P$6,$Y$6:$BS$104,38,0)=0,"",HLOOKUP($P$6,$Y$6:$BS$104,38,0))</f>
        <v>1000000</v>
      </c>
      <c r="S50" s="3894"/>
      <c r="T50" s="3894"/>
      <c r="U50" s="432"/>
      <c r="V50" s="345"/>
      <c r="X50" s="338" t="s">
        <v>2712</v>
      </c>
      <c r="Y50" s="594"/>
      <c r="Z50" s="594"/>
      <c r="AA50" s="594"/>
      <c r="AB50" s="594"/>
      <c r="AC50" s="3237"/>
      <c r="AD50" s="3237"/>
      <c r="AE50" s="594"/>
      <c r="AF50" s="594"/>
      <c r="AG50" s="594"/>
      <c r="AH50" s="594"/>
      <c r="AI50" s="594"/>
      <c r="AJ50" s="594"/>
      <c r="AK50" s="594"/>
      <c r="AL50" s="594"/>
      <c r="AM50" s="594"/>
      <c r="AN50" s="594"/>
      <c r="AO50" s="594"/>
      <c r="AP50" s="594"/>
      <c r="AQ50" s="594"/>
      <c r="AR50" s="594"/>
      <c r="AS50" s="594"/>
      <c r="AT50" s="594"/>
      <c r="AU50" s="594"/>
      <c r="AV50" s="594"/>
      <c r="AW50" s="594"/>
      <c r="AX50" s="594"/>
      <c r="AY50" s="594"/>
      <c r="AZ50" s="594"/>
      <c r="BA50" s="594"/>
      <c r="BB50" s="594"/>
      <c r="BC50" s="594"/>
      <c r="BD50" s="594"/>
      <c r="BE50" s="594"/>
      <c r="BF50" s="594"/>
      <c r="BG50" s="594"/>
      <c r="BH50" s="594"/>
      <c r="BI50" s="594"/>
      <c r="BJ50" s="594"/>
      <c r="BK50" s="594"/>
      <c r="BL50" s="594"/>
      <c r="BM50" s="609">
        <f>'Release Calculations'!$BU438</f>
        <v>0</v>
      </c>
      <c r="BN50" s="609">
        <f>'Release Calculations'!$BW438</f>
        <v>0</v>
      </c>
      <c r="BO50" s="609">
        <f>'Release Calculations'!$BY438</f>
        <v>0</v>
      </c>
      <c r="BP50" s="609">
        <f>'Release Calculations'!$CA438</f>
        <v>0</v>
      </c>
      <c r="BQ50" s="609">
        <f>'Release Calculations'!$CC438</f>
        <v>0</v>
      </c>
      <c r="BR50" s="609">
        <f>'Release Calculations'!$BY455</f>
        <v>0</v>
      </c>
      <c r="BS50" s="594">
        <f>'Release Calculations'!CJ259</f>
        <v>0</v>
      </c>
    </row>
    <row r="51" spans="1:72" x14ac:dyDescent="0.25">
      <c r="A51" s="345"/>
      <c r="B51" s="977"/>
      <c r="C51" s="338" t="str">
        <f>"Max Temp from Mechanical Energy at "&amp;IF(Feed_Type="Continuous","Controlled Level","Low Level")&amp;IF(OR(Insulation="Yes",Insulation="Fireproof"),": Insulated",": Non-Insulated")</f>
        <v>Max Temp from Mechanical Energy at Low Level: Non-Insulated</v>
      </c>
      <c r="F51" s="983" t="str">
        <f>IF(Motor=0,"",IF(F29="F",ROUND(1.8*Tmax_MechEng+32,1),ROUND(Tmax_MechEng,1)))</f>
        <v/>
      </c>
      <c r="G51" s="984" t="str">
        <f>IF(F51="","",Pmax_MechEng/G27)</f>
        <v/>
      </c>
      <c r="H51" s="1597" t="str">
        <f t="shared" si="10"/>
        <v/>
      </c>
      <c r="I51" s="432"/>
      <c r="J51" s="345"/>
      <c r="L51" s="345"/>
      <c r="M51" s="977"/>
      <c r="O51" s="338" t="s">
        <v>4878</v>
      </c>
      <c r="Q51" s="1241" t="str">
        <f>IF(HLOOKUP($P$6,$Y$6:$BS$104,39,0)=0,"",HLOOKUP($P$6,$Y$6:$BS$104,39,0))</f>
        <v/>
      </c>
      <c r="T51" s="2867"/>
      <c r="U51" s="432"/>
      <c r="V51" s="345"/>
      <c r="X51" s="338" t="s">
        <v>2713</v>
      </c>
      <c r="Y51" s="594">
        <f>IF(Location="Indoors",'Release Calculations'!$D311,'Release Calculations'!$D325)</f>
        <v>0</v>
      </c>
      <c r="Z51" s="594">
        <f>IF(Location="Indoors",'Release Calculations'!$D694,'Release Calculations'!$D708)</f>
        <v>0</v>
      </c>
      <c r="AA51" s="594">
        <f>IF(Location="Indoors",'Release Calculations'!$F311,'Release Calculations'!$F325)</f>
        <v>0</v>
      </c>
      <c r="AB51" s="594">
        <f>IF(Location="Indoors",'Release Calculations'!$F694,'Release Calculations'!$F708)</f>
        <v>0</v>
      </c>
      <c r="AC51" s="3237">
        <f>IF(Location="Indoors",'Release Calculations'!$F311,'Release Calculations'!$F325)</f>
        <v>0</v>
      </c>
      <c r="AD51" s="3237">
        <f>IF(Location="Indoors",'Release Calculations'!$F694,'Release Calculations'!$F708)</f>
        <v>0</v>
      </c>
      <c r="AE51" s="594">
        <f>IF(Location="Indoors",'Release Calculations'!$J311,'Release Calculations'!$J325)</f>
        <v>0</v>
      </c>
      <c r="AF51" s="594">
        <f>IF(Location="Indoors",'Release Calculations'!$J694,'Release Calculations'!$J708)</f>
        <v>0</v>
      </c>
      <c r="AG51" s="594">
        <f>IF(Location="Indoors",'Release Calculations'!$L311,'Release Calculations'!$L325)</f>
        <v>0</v>
      </c>
      <c r="AH51" s="594">
        <f>IF(Location="Indoors",'Release Calculations'!$L694,'Release Calculations'!$L708)</f>
        <v>0</v>
      </c>
      <c r="AI51" s="594">
        <f>IF(Location="Indoors",'Release Calculations'!$N311,'Release Calculations'!$N325)</f>
        <v>0</v>
      </c>
      <c r="AJ51" s="594">
        <f>IF(Location="Indoors",'Release Calculations'!$N694,'Release Calculations'!$N708)</f>
        <v>0</v>
      </c>
      <c r="AK51" s="594">
        <f>IF(Location="Indoors",'Release Calculations'!$P311,'Release Calculations'!$P325)</f>
        <v>0</v>
      </c>
      <c r="AL51" s="594">
        <f>IF(Location="Indoors",'Release Calculations'!$R311,'Release Calculations'!$R325)</f>
        <v>0</v>
      </c>
      <c r="AM51" s="594">
        <f>IF(Location="Indoors",'Release Calculations'!$R694,'Release Calculations'!$R708)</f>
        <v>0</v>
      </c>
      <c r="AN51" s="594">
        <f>IF(Location="Indoors",'Release Calculations'!$T311,'Release Calculations'!$T325)</f>
        <v>0</v>
      </c>
      <c r="AO51" s="594">
        <f>IF(Location="Indoors",'Release Calculations'!$T694,'Release Calculations'!$T708)</f>
        <v>0</v>
      </c>
      <c r="AP51" s="594">
        <f>IF(Location="Indoors",'Release Calculations'!$V311,'Release Calculations'!$V325)</f>
        <v>0</v>
      </c>
      <c r="AQ51" s="594">
        <f>IF(Location="Indoors",'Release Calculations'!$V694,'Release Calculations'!$V708)</f>
        <v>0</v>
      </c>
      <c r="AR51" s="594">
        <f>IF(Location="Indoors",'Release Calculations'!$X311,'Release Calculations'!$X325)</f>
        <v>0</v>
      </c>
      <c r="AS51" s="594">
        <f>IF(Location="Indoors",'Release Calculations'!$X694,'Release Calculations'!$X708)</f>
        <v>0</v>
      </c>
      <c r="AT51" s="594">
        <f>IF(Location="Indoors",'Release Calculations'!$AE325,'Release Calculations'!$AE339)</f>
        <v>0</v>
      </c>
      <c r="AU51" s="594">
        <f>IF(Location="Indoors",'Release Calculations'!$AG325,'Release Calculations'!$AG339)</f>
        <v>0</v>
      </c>
      <c r="AV51" s="594">
        <f>IF(Location="Indoors",'Release Calculations'!$AI325,'Release Calculations'!$AI339)</f>
        <v>0</v>
      </c>
      <c r="AW51" s="594">
        <f>IF(Location="Indoors",'Release Calculations'!$AK325,'Release Calculations'!$AK339)</f>
        <v>0</v>
      </c>
      <c r="AX51" s="594">
        <f>IF(Location="Indoors",'Release Calculations'!$AM325,'Release Calculations'!$AM339)</f>
        <v>0</v>
      </c>
      <c r="AY51" s="594">
        <f>IF(Location="Indoors",'Release Calculations'!$AO325,'Release Calculations'!$AO339)</f>
        <v>0</v>
      </c>
      <c r="AZ51" s="594">
        <f>IF(AZ23="Indoors",'Release Calculations'!$AE722,'Release Calculations'!$AE736)</f>
        <v>0</v>
      </c>
      <c r="BA51" s="594">
        <f>IF(BA23="Indoors",'Release Calculations'!$AG722,'Release Calculations'!$AG736)</f>
        <v>0</v>
      </c>
      <c r="BB51" s="594">
        <f>IF(BB23="Indoors",'Release Calculations'!$AI722,'Release Calculations'!$AI736)</f>
        <v>0</v>
      </c>
      <c r="BC51" s="594">
        <f>IF(BC23="Indoors",'Release Calculations'!$AV309,'Release Calculations'!$AV323)</f>
        <v>0</v>
      </c>
      <c r="BD51" s="594">
        <f>IF(BD23="Indoors",'Release Calculations'!$AX309,'Release Calculations'!$AX323)</f>
        <v>0</v>
      </c>
      <c r="BE51" s="594">
        <f>IF(BE23="Indoors",'Release Calculations'!$AZ309,'Release Calculations'!$AZ323)</f>
        <v>0</v>
      </c>
      <c r="BF51" s="594">
        <f>IF(BF23="Indoors",'Release Calculations'!$BB309,'Release Calculations'!$BB323)</f>
        <v>0</v>
      </c>
      <c r="BG51" s="594">
        <f>IF(BG23="Indoors",'Release Calculations'!$BD309,'Release Calculations'!$BD323)</f>
        <v>0</v>
      </c>
      <c r="BH51" s="594">
        <f>IF(BH23="Indoors",'Release Calculations'!$BF309,'Release Calculations'!$BF323)</f>
        <v>0</v>
      </c>
      <c r="BI51" s="594">
        <f>IF(BI23="Indoors",'Release Calculations'!$BH309,'Release Calculations'!$BH323)</f>
        <v>0</v>
      </c>
      <c r="BJ51" s="594">
        <f>IF(BJ23="Indoors",'Release Calculations'!$BJ309,'Release Calculations'!$BJ323)</f>
        <v>0</v>
      </c>
      <c r="BK51" s="594">
        <f>IF(BK23="Indoors",'Release Calculations'!$BL309,'Release Calculations'!$BL323)</f>
        <v>0</v>
      </c>
      <c r="BL51" s="594">
        <f>IF(BL23="Indoors",'Release Calculations'!$BN309,'Release Calculations'!$BN323)</f>
        <v>0</v>
      </c>
      <c r="BM51" s="869">
        <f>IF(Location="Indoors",'Release Calculations'!$BU311,'Release Calculations'!$BU325)</f>
        <v>0</v>
      </c>
      <c r="BN51" s="869">
        <f>IF(Location="Indoors",'Release Calculations'!$BW311,'Release Calculations'!$BW325)</f>
        <v>0</v>
      </c>
      <c r="BO51" s="869">
        <f>IF(Location="Indoors",'Release Calculations'!$BY311,'Release Calculations'!$BY325)</f>
        <v>0</v>
      </c>
      <c r="BP51" s="869">
        <f>IF(Location="Indoors",'Release Calculations'!$CA311,'Release Calculations'!$CA325)</f>
        <v>0</v>
      </c>
      <c r="BQ51" s="869">
        <f>IF(Location="Indoors",'Release Calculations'!$CC311,'Release Calculations'!$CC325)</f>
        <v>0</v>
      </c>
      <c r="BR51" s="869">
        <f>IF(Location="Indoors",'Release Calculations'!$BY311,'Release Calculations'!$BY325)</f>
        <v>0</v>
      </c>
      <c r="BS51" s="594">
        <f>IF(Location="Indoors",'Release Calculations'!CJ164,'Release Calculations'!CJ174)</f>
        <v>0</v>
      </c>
    </row>
    <row r="52" spans="1:72" x14ac:dyDescent="0.25">
      <c r="A52" s="345"/>
      <c r="B52" s="977"/>
      <c r="C52" s="1239" t="s">
        <v>3068</v>
      </c>
      <c r="F52" s="1237"/>
      <c r="G52" s="1238" t="str">
        <f>IF(Time_MERelief_atLow=0,"",Time_MERelief_atLow/60)</f>
        <v/>
      </c>
      <c r="H52" s="1597"/>
      <c r="I52" s="432"/>
      <c r="J52" s="345"/>
      <c r="L52" s="345"/>
      <c r="M52" s="977"/>
      <c r="O52" s="338" t="s">
        <v>4879</v>
      </c>
      <c r="Q52" s="1241" t="str">
        <f>IF(HLOOKUP($P$6,$Y$6:$BS$104,40,0)=0,"",HLOOKUP($P$6,$Y$6:$BS$104,40,0))</f>
        <v/>
      </c>
      <c r="S52" s="3892" t="str">
        <f>IF(OR(AND(Regulatory_Tox&lt;&gt;"Yes",ER3_Min&gt;Toxic_Limit),Q53=""),"",IF(Q53&gt;IF(Q37="",0,Q37),"Potential Toxic Impact within Encl Process Area (Indoor Conc &gt; one-hour ERPG-3)",""))</f>
        <v/>
      </c>
      <c r="T52" s="3894"/>
      <c r="U52" s="432"/>
      <c r="V52" s="345"/>
      <c r="X52" s="338" t="s">
        <v>4758</v>
      </c>
      <c r="Y52" s="594">
        <f>IF(Location="Indoors",'Release Calculations'!$D313,'Release Calculations'!$D328)</f>
        <v>0</v>
      </c>
      <c r="Z52" s="594">
        <f>IF(Location="Indoors",'Release Calculations'!$D696,'Release Calculations'!$D711)</f>
        <v>0</v>
      </c>
      <c r="AA52" s="594">
        <f>IF(Location="Indoors",'Release Calculations'!$F313,'Release Calculations'!$F328)</f>
        <v>0</v>
      </c>
      <c r="AB52" s="594">
        <f>IF(Location="Indoors",'Release Calculations'!$F696,'Release Calculations'!$F711)</f>
        <v>0</v>
      </c>
      <c r="AC52" s="3237">
        <f>IF(Location="Indoors",'Release Calculations'!$F313,'Release Calculations'!$F328)</f>
        <v>0</v>
      </c>
      <c r="AD52" s="3237">
        <f>IF(Location="Indoors",'Release Calculations'!$F696,'Release Calculations'!$F711)</f>
        <v>0</v>
      </c>
      <c r="AE52" s="594">
        <f>IF(Location="Indoors",'Release Calculations'!$J313,'Release Calculations'!$J328)</f>
        <v>0</v>
      </c>
      <c r="AF52" s="594">
        <f>IF(Location="Indoors",'Release Calculations'!$J696,'Release Calculations'!$J711)</f>
        <v>0</v>
      </c>
      <c r="AG52" s="594">
        <f>IF(Location="Indoors",'Release Calculations'!$L313,'Release Calculations'!$L328)</f>
        <v>0</v>
      </c>
      <c r="AH52" s="594">
        <f>IF(Location="Indoors",'Release Calculations'!$L696,'Release Calculations'!$L711)</f>
        <v>0</v>
      </c>
      <c r="AI52" s="594">
        <f>IF(Location="Indoors",'Release Calculations'!$N313,'Release Calculations'!$N328)</f>
        <v>0</v>
      </c>
      <c r="AJ52" s="594">
        <f>IF(Location="Indoors",'Release Calculations'!$N696,'Release Calculations'!$N711)</f>
        <v>0</v>
      </c>
      <c r="AK52" s="594">
        <f>IF(Location="Indoors",'Release Calculations'!$P313,'Release Calculations'!$P328)</f>
        <v>0</v>
      </c>
      <c r="AL52" s="594">
        <f>IF(Location="Indoors",'Release Calculations'!$R313,'Release Calculations'!$R328)</f>
        <v>0</v>
      </c>
      <c r="AM52" s="594">
        <f>IF(Location="Indoors",'Release Calculations'!$R696,'Release Calculations'!$R711)</f>
        <v>0</v>
      </c>
      <c r="AN52" s="594">
        <f>IF(Location="Indoors",'Release Calculations'!$T313,'Release Calculations'!$T328)</f>
        <v>0</v>
      </c>
      <c r="AO52" s="594">
        <f>IF(Location="Indoors",'Release Calculations'!$T696,'Release Calculations'!$T711)</f>
        <v>0</v>
      </c>
      <c r="AP52" s="594">
        <f>IF(Location="Indoors",'Release Calculations'!$V313,'Release Calculations'!$V328)</f>
        <v>0</v>
      </c>
      <c r="AQ52" s="594">
        <f>IF(Location="Indoors",'Release Calculations'!$V696,'Release Calculations'!$V711)</f>
        <v>0</v>
      </c>
      <c r="AR52" s="594">
        <f>IF(Location="Indoors",'Release Calculations'!$X313,'Release Calculations'!$X328)</f>
        <v>0</v>
      </c>
      <c r="AS52" s="594">
        <f>IF(Location="Indoors",'Release Calculations'!$X696,'Release Calculations'!$X711)</f>
        <v>0</v>
      </c>
      <c r="AT52" s="594">
        <f>IF(Location="Indoors",'Release Calculations'!$AE327,'Release Calculations'!$AE342)</f>
        <v>0</v>
      </c>
      <c r="AU52" s="594">
        <f>IF(Location="Indoors",'Release Calculations'!$AG327,'Release Calculations'!$AG342)</f>
        <v>0</v>
      </c>
      <c r="AV52" s="594">
        <f>IF(Location="Indoors",'Release Calculations'!$AI327,'Release Calculations'!$AI342)</f>
        <v>0</v>
      </c>
      <c r="AW52" s="594">
        <f>IF(Location="Indoors",'Release Calculations'!$AK327,'Release Calculations'!$AK342)</f>
        <v>0</v>
      </c>
      <c r="AX52" s="594">
        <f>IF(Location="Indoors",'Release Calculations'!$AM327,'Release Calculations'!$AM342)</f>
        <v>0</v>
      </c>
      <c r="AY52" s="594">
        <f>IF(Location="Indoors",'Release Calculations'!$AO327,'Release Calculations'!$AO342)</f>
        <v>0</v>
      </c>
      <c r="AZ52" s="594">
        <f>IF(AZ23="Indoors",'Release Calculations'!$AE724,'Release Calculations'!$AE739)</f>
        <v>0</v>
      </c>
      <c r="BA52" s="594">
        <f>IF(BA23="Indoors",'Release Calculations'!$AG724,'Release Calculations'!$AG739)</f>
        <v>0</v>
      </c>
      <c r="BB52" s="594">
        <f>IF(BB23="Indoors",'Release Calculations'!$AI724,'Release Calculations'!$AI739)</f>
        <v>0</v>
      </c>
      <c r="BC52" s="594">
        <f>IF(BC23="Indoors",'Release Calculations'!AV311,'Release Calculations'!AV326)</f>
        <v>0</v>
      </c>
      <c r="BD52" s="594">
        <f>IF(BD23="Indoors",'Release Calculations'!AX311,'Release Calculations'!AX326)</f>
        <v>0</v>
      </c>
      <c r="BE52" s="594">
        <f>IF(BE23="Indoors",'Release Calculations'!AZ311,'Release Calculations'!AZ326)</f>
        <v>0</v>
      </c>
      <c r="BF52" s="594">
        <f>IF(BF23="Indoors",'Release Calculations'!BB311,'Release Calculations'!BB326)</f>
        <v>0</v>
      </c>
      <c r="BG52" s="594">
        <f>IF(BG23="Indoors",'Release Calculations'!BD311,'Release Calculations'!BD326)</f>
        <v>0</v>
      </c>
      <c r="BH52" s="594">
        <f>IF(BH23="Indoors",'Release Calculations'!BF311,'Release Calculations'!BF326)</f>
        <v>0</v>
      </c>
      <c r="BI52" s="594">
        <f>IF(BI23="Indoors",'Release Calculations'!BH311,'Release Calculations'!BH326)</f>
        <v>0</v>
      </c>
      <c r="BJ52" s="594">
        <f>IF(BJ23="Indoors",'Release Calculations'!BJ311,'Release Calculations'!BJ326)</f>
        <v>0</v>
      </c>
      <c r="BK52" s="594">
        <f>IF(BK23="Indoors",'Release Calculations'!BL311,'Release Calculations'!BL326)</f>
        <v>0</v>
      </c>
      <c r="BL52" s="594">
        <f>IF(BL23="Indoors",'Release Calculations'!BN311,'Release Calculations'!BN326)</f>
        <v>0</v>
      </c>
      <c r="BM52" s="869">
        <f>IF(Location="Indoors",'Release Calculations'!$BU313,'Release Calculations'!$BU328)</f>
        <v>0</v>
      </c>
      <c r="BN52" s="869">
        <f>IF(Location="Indoors",'Release Calculations'!$BW313,'Release Calculations'!$BW328)</f>
        <v>0</v>
      </c>
      <c r="BO52" s="869">
        <f>IF(Location="Indoors",'Release Calculations'!$BY313,'Release Calculations'!$BY328)</f>
        <v>0</v>
      </c>
      <c r="BP52" s="869">
        <f>IF(Location="Indoors",'Release Calculations'!$CA313,'Release Calculations'!$CA328)</f>
        <v>0</v>
      </c>
      <c r="BQ52" s="869">
        <f>IF(Location="Indoors",'Release Calculations'!$CC313,'Release Calculations'!$CC328)</f>
        <v>0</v>
      </c>
      <c r="BR52" s="869">
        <f>IF(Location="Indoors",'Release Calculations'!$BY313,'Release Calculations'!$BY328)</f>
        <v>0</v>
      </c>
      <c r="BS52" s="594">
        <f>IF(Location="Indoors",'Release Calculations'!CJ166,'Release Calculations'!CJ176)</f>
        <v>0</v>
      </c>
    </row>
    <row r="53" spans="1:72" x14ac:dyDescent="0.25">
      <c r="A53" s="345"/>
      <c r="B53" s="977"/>
      <c r="C53" s="338" t="str">
        <f>"Max Temp from Mechanical Energy "&amp;IF(Fill&gt;0,"Limited to "&amp;Fill&amp;" Level","at High Level")&amp;IF(OR(Insulation="Yes",Insulation="Fireproof"),": Insulated",": Non-Insulated")</f>
        <v>Max Temp from Mechanical Energy at High Level: Non-Insulated</v>
      </c>
      <c r="F53" s="983" t="str">
        <f>IF(Motor=0,"",IF(F29="F",ROUND(1.8*Tmax_ME_Continuous+32,1),ROUND(Tmax_ME_Continuous,1)))</f>
        <v/>
      </c>
      <c r="G53" s="984" t="str">
        <f>IF(F53="","",Pmax_ME_Continuous/G27)</f>
        <v/>
      </c>
      <c r="H53" s="1597" t="str">
        <f t="shared" si="10"/>
        <v/>
      </c>
      <c r="I53" s="432"/>
      <c r="J53" s="345"/>
      <c r="L53" s="345"/>
      <c r="M53" s="977"/>
      <c r="O53" s="338" t="s">
        <v>2710</v>
      </c>
      <c r="Q53" s="1241" t="str">
        <f>IF(HLOOKUP($P$6,$Y$6:$BS$104,41,0)=0,"",HLOOKUP($P$6,$Y$6:$BS$104,41,0))</f>
        <v/>
      </c>
      <c r="S53" s="3894"/>
      <c r="T53" s="3894"/>
      <c r="U53" s="432"/>
      <c r="V53" s="345"/>
      <c r="X53" s="338" t="s">
        <v>4880</v>
      </c>
      <c r="Y53" s="594">
        <f>IF(Location="Indoors",'Release Calculations'!$D315,'Release Calculations'!$D332)</f>
        <v>0</v>
      </c>
      <c r="Z53" s="594">
        <f>IF(Location="Indoors",'Release Calculations'!$D698,'Release Calculations'!$D715)</f>
        <v>0</v>
      </c>
      <c r="AA53" s="594">
        <f>IF(Location="Indoors",'Release Calculations'!$F315,'Release Calculations'!$F332)</f>
        <v>0</v>
      </c>
      <c r="AB53" s="594">
        <f>IF(Location="Indoors",'Release Calculations'!$F698,'Release Calculations'!$F715)</f>
        <v>0</v>
      </c>
      <c r="AC53" s="3237">
        <f>IF(Location="Indoors",'Release Calculations'!$F315,'Release Calculations'!$F332)</f>
        <v>0</v>
      </c>
      <c r="AD53" s="3237">
        <f>IF(Location="Indoors",'Release Calculations'!$F698,'Release Calculations'!$F715)</f>
        <v>0</v>
      </c>
      <c r="AE53" s="594">
        <f>IF(Location="Indoors",'Release Calculations'!$J315,'Release Calculations'!$J332)</f>
        <v>0</v>
      </c>
      <c r="AF53" s="594">
        <f>IF(Location="Indoors",'Release Calculations'!$J698,'Release Calculations'!$J715)</f>
        <v>0</v>
      </c>
      <c r="AG53" s="594">
        <f>IF(Location="Indoors",'Release Calculations'!$L315,'Release Calculations'!$L332)</f>
        <v>0</v>
      </c>
      <c r="AH53" s="594">
        <f>IF(Location="Indoors",'Release Calculations'!$L698,'Release Calculations'!$L715)</f>
        <v>0</v>
      </c>
      <c r="AI53" s="594">
        <f>IF(Location="Indoors",'Release Calculations'!$N315,'Release Calculations'!$N332)</f>
        <v>0</v>
      </c>
      <c r="AJ53" s="594">
        <f>IF(Location="Indoors",'Release Calculations'!$N698,'Release Calculations'!$N715)</f>
        <v>0</v>
      </c>
      <c r="AK53" s="594">
        <f>IF(Location="Indoors",'Release Calculations'!$P315,'Release Calculations'!$P332)</f>
        <v>0</v>
      </c>
      <c r="AL53" s="594">
        <f>IF(Location="Indoors",'Release Calculations'!$R315,'Release Calculations'!$R332)</f>
        <v>0</v>
      </c>
      <c r="AM53" s="594">
        <f>IF(Location="Indoors",'Release Calculations'!$R698,'Release Calculations'!$R715)</f>
        <v>0</v>
      </c>
      <c r="AN53" s="594">
        <f>IF(Location="Indoors",'Release Calculations'!$T315,'Release Calculations'!$T332)</f>
        <v>0</v>
      </c>
      <c r="AO53" s="594">
        <f>IF(Location="Indoors",'Release Calculations'!$T698,'Release Calculations'!$T715)</f>
        <v>0</v>
      </c>
      <c r="AP53" s="594">
        <f>IF(Location="Indoors",'Release Calculations'!$V315,'Release Calculations'!$V332)</f>
        <v>0</v>
      </c>
      <c r="AQ53" s="594">
        <f>IF(Location="Indoors",'Release Calculations'!$V698,'Release Calculations'!$V715)</f>
        <v>0</v>
      </c>
      <c r="AR53" s="594">
        <f>IF(Location="Indoors",'Release Calculations'!$X315,'Release Calculations'!$X332)</f>
        <v>0</v>
      </c>
      <c r="AS53" s="594">
        <f>IF(Location="Indoors",'Release Calculations'!$X698,'Release Calculations'!$X715)</f>
        <v>0</v>
      </c>
      <c r="AT53" s="594">
        <f>IF(Location="Indoors",'Release Calculations'!$AE329,'Release Calculations'!$AE346)</f>
        <v>0</v>
      </c>
      <c r="AU53" s="594" t="s">
        <v>4883</v>
      </c>
      <c r="AV53" s="594">
        <f>IF(Location="Indoors",'Release Calculations'!$AI329,'Release Calculations'!$AI346)</f>
        <v>0</v>
      </c>
      <c r="AW53" s="594">
        <f>IF(Location="Indoors",'Release Calculations'!$AK329,'Release Calculations'!$AK346)</f>
        <v>0</v>
      </c>
      <c r="AX53" s="594">
        <f>IF(Location="Indoors",'Release Calculations'!$AM329,'Release Calculations'!$AM346)</f>
        <v>0</v>
      </c>
      <c r="AY53" s="594">
        <f>IF(Location="Indoors",'Release Calculations'!$AO329,'Release Calculations'!$AO346)</f>
        <v>0</v>
      </c>
      <c r="AZ53" s="594">
        <f>IF(AZ23="Indoors",'Release Calculations'!$AE726,'Release Calculations'!$AE743)</f>
        <v>0</v>
      </c>
      <c r="BA53" s="594">
        <f>IF(BA23="Indoors",'Release Calculations'!$AG726,'Release Calculations'!$AG743)</f>
        <v>0</v>
      </c>
      <c r="BB53" s="594">
        <f>IF(BB23="Indoors",'Release Calculations'!$AI726,'Release Calculations'!$AI743)</f>
        <v>0</v>
      </c>
      <c r="BC53" s="594">
        <f>IF(BC23="Indoors",'Release Calculations'!AV313,'Release Calculations'!AV330)</f>
        <v>0</v>
      </c>
      <c r="BD53" s="594">
        <f>IF(BD23="Indoors",'Release Calculations'!AX313,'Release Calculations'!AX330)</f>
        <v>0</v>
      </c>
      <c r="BE53" s="594">
        <f>IF(BE23="Indoors",'Release Calculations'!AZ313,'Release Calculations'!AZ330)</f>
        <v>0</v>
      </c>
      <c r="BF53" s="594">
        <f>IF(BF23="Indoors",'Release Calculations'!BB313,'Release Calculations'!BB330)</f>
        <v>0</v>
      </c>
      <c r="BG53" s="594">
        <f>IF(BG23="Indoors",'Release Calculations'!BD313,'Release Calculations'!BD330)</f>
        <v>0</v>
      </c>
      <c r="BH53" s="594">
        <f>IF(BH23="Indoors",'Release Calculations'!BF313,'Release Calculations'!BF330)</f>
        <v>0</v>
      </c>
      <c r="BI53" s="594">
        <f>IF(BI23="Indoors",'Release Calculations'!BH313,'Release Calculations'!BH330)</f>
        <v>0</v>
      </c>
      <c r="BJ53" s="594">
        <f>IF(BJ23="Indoors",'Release Calculations'!BJ313,'Release Calculations'!BJ330)</f>
        <v>0</v>
      </c>
      <c r="BK53" s="594">
        <f>IF(BK23="Indoors",'Release Calculations'!BL313,'Release Calculations'!BL330)</f>
        <v>0</v>
      </c>
      <c r="BL53" s="594">
        <f>IF(BL23="Indoors",'Release Calculations'!BN313,'Release Calculations'!BN330)</f>
        <v>0</v>
      </c>
      <c r="BM53" s="869">
        <f>IF(Location="Indoors",'Release Calculations'!$BU315,'Release Calculations'!$BU332)</f>
        <v>0</v>
      </c>
      <c r="BN53" s="869">
        <f>IF(Location="Indoors",'Release Calculations'!$BW315,'Release Calculations'!$BW332)</f>
        <v>0</v>
      </c>
      <c r="BO53" s="869">
        <f>IF(Location="Indoors",'Release Calculations'!$BY315,'Release Calculations'!$BY332)</f>
        <v>0</v>
      </c>
      <c r="BP53" s="869">
        <f>IF(Location="Indoors",'Release Calculations'!$CA315,'Release Calculations'!$CA332)</f>
        <v>0</v>
      </c>
      <c r="BQ53" s="869">
        <f>IF(Location="Indoors",'Release Calculations'!$CC315,'Release Calculations'!$CC332)</f>
        <v>0</v>
      </c>
      <c r="BR53" s="869">
        <f>IF(Location="Indoors",'Release Calculations'!$BY315,'Release Calculations'!$BY332)</f>
        <v>0</v>
      </c>
      <c r="BS53" s="594">
        <f>IF(Location="Indoors",'Release Calculations'!CJ167,'Release Calculations'!CJ177)</f>
        <v>0</v>
      </c>
    </row>
    <row r="54" spans="1:72" x14ac:dyDescent="0.25">
      <c r="A54" s="345"/>
      <c r="B54" s="977"/>
      <c r="C54" s="1239" t="s">
        <v>3069</v>
      </c>
      <c r="F54" s="400"/>
      <c r="G54" s="1238" t="str">
        <f>IF(Time_MERelief_atHigh=0,"",Time_MERelief_atHigh/60)</f>
        <v/>
      </c>
      <c r="H54" s="1597"/>
      <c r="I54" s="432"/>
      <c r="J54" s="345"/>
      <c r="L54" s="345"/>
      <c r="M54" s="977"/>
      <c r="O54" s="338" t="s">
        <v>2711</v>
      </c>
      <c r="Q54" s="1241" t="str">
        <f>IF(HLOOKUP($P$6,$Y$6:$BS$104,42,0)=0,"",HLOOKUP($P$6,$Y$6:$BS$104,42,0))</f>
        <v/>
      </c>
      <c r="S54" s="3894"/>
      <c r="T54" s="3894"/>
      <c r="U54" s="432"/>
      <c r="V54" s="345"/>
      <c r="X54" s="338" t="s">
        <v>2714</v>
      </c>
      <c r="Y54" s="594"/>
      <c r="Z54" s="594"/>
      <c r="AA54" s="594"/>
      <c r="AB54" s="594"/>
      <c r="AC54" s="3237"/>
      <c r="AD54" s="3237"/>
      <c r="AE54" s="594"/>
      <c r="AF54" s="594"/>
      <c r="AG54" s="594"/>
      <c r="AH54" s="594"/>
      <c r="AI54" s="594"/>
      <c r="AJ54" s="594"/>
      <c r="AK54" s="594"/>
      <c r="AL54" s="594"/>
      <c r="AM54" s="594"/>
      <c r="AN54" s="594"/>
      <c r="AO54" s="594"/>
      <c r="AP54" s="594"/>
      <c r="AQ54" s="594"/>
      <c r="AR54" s="594"/>
      <c r="AS54" s="594"/>
      <c r="AT54" s="594"/>
      <c r="AU54" s="594"/>
      <c r="AV54" s="594"/>
      <c r="AW54" s="594"/>
      <c r="AX54" s="594"/>
      <c r="AY54" s="594"/>
      <c r="AZ54" s="594"/>
      <c r="BA54" s="594"/>
      <c r="BB54" s="594"/>
      <c r="BC54" s="610"/>
      <c r="BD54" s="610"/>
      <c r="BE54" s="610"/>
      <c r="BF54" s="610"/>
      <c r="BG54" s="610"/>
      <c r="BH54" s="610"/>
      <c r="BI54" s="610"/>
      <c r="BJ54" s="610"/>
      <c r="BK54" s="610"/>
      <c r="BL54" s="610"/>
      <c r="BM54" s="609">
        <f>'Release Calculations'!$BU471</f>
        <v>0</v>
      </c>
      <c r="BN54" s="609">
        <f>'Release Calculations'!$BW471</f>
        <v>0</v>
      </c>
      <c r="BO54" s="609">
        <f>'Release Calculations'!$BY471</f>
        <v>0</v>
      </c>
      <c r="BP54" s="609">
        <f>'Release Calculations'!$CA471</f>
        <v>0</v>
      </c>
      <c r="BQ54" s="609">
        <f>'Release Calculations'!$CC471</f>
        <v>0</v>
      </c>
      <c r="BR54" s="609">
        <f>'Release Calculations'!$BY471</f>
        <v>0</v>
      </c>
      <c r="BS54" s="610"/>
    </row>
    <row r="55" spans="1:72" ht="13.5" thickBot="1" x14ac:dyDescent="0.3">
      <c r="A55" s="345"/>
      <c r="B55" s="977"/>
      <c r="C55" s="1239"/>
      <c r="D55" s="1937" t="str">
        <f>IF(OR(Flash_Pt_Feed="",F53=""),"",IF(F53&gt;Flash_Pt_Feed-FlashPt_Difference_Limit,"Maximum Mechanical Energy Temperature may also exceed the Flash Point",""))</f>
        <v/>
      </c>
      <c r="F55" s="400"/>
      <c r="G55" s="584"/>
      <c r="H55" s="3939" t="s">
        <v>3687</v>
      </c>
      <c r="I55" s="3940"/>
      <c r="J55" s="345"/>
      <c r="L55" s="345"/>
      <c r="M55" s="579"/>
      <c r="N55" s="580"/>
      <c r="O55" s="580"/>
      <c r="P55" s="580"/>
      <c r="Q55" s="1242"/>
      <c r="R55" s="580"/>
      <c r="S55" s="3895"/>
      <c r="T55" s="3895"/>
      <c r="U55" s="581"/>
      <c r="V55" s="345"/>
      <c r="X55" s="338" t="s">
        <v>2768</v>
      </c>
      <c r="Y55" s="594" t="str">
        <f>IF(Y23="Indoors",'Release Calculations'!$D309,'Release Calculations'!$D324)</f>
        <v/>
      </c>
      <c r="Z55" s="594" t="str">
        <f>IF(Z23="Indoors",'Release Calculations'!$D706,'Release Calculations'!$D707)</f>
        <v/>
      </c>
      <c r="AA55" s="594" t="str">
        <f>IF(AA23="Indoors",'Release Calculations'!$F309,'Release Calculations'!$F324)</f>
        <v/>
      </c>
      <c r="AB55" s="594" t="str">
        <f>IF(AB23="Indoors",'Release Calculations'!$F706,'Release Calculations'!$F707)</f>
        <v/>
      </c>
      <c r="AC55" s="3237" t="str">
        <f>IF(AC23="Indoors",'Release Calculations'!$F309,'Release Calculations'!$F324)</f>
        <v/>
      </c>
      <c r="AD55" s="3237" t="str">
        <f>IF(AD23="Indoors",'Release Calculations'!$F706,'Release Calculations'!$F707)</f>
        <v/>
      </c>
      <c r="AE55" s="594" t="str">
        <f>IF(AE23="Indoors",'Release Calculations'!$J309,'Release Calculations'!$J324)</f>
        <v/>
      </c>
      <c r="AF55" s="594" t="str">
        <f>IF(AF23="Indoors",'Release Calculations'!$J706,'Release Calculations'!$J707)</f>
        <v/>
      </c>
      <c r="AG55" s="594" t="str">
        <f>IF(AG23="Indoors",'Release Calculations'!$L309,'Release Calculations'!$L324)</f>
        <v/>
      </c>
      <c r="AH55" s="594" t="str">
        <f>IF(AH23="Indoors",'Release Calculations'!$L706,'Release Calculations'!$L707)</f>
        <v/>
      </c>
      <c r="AI55" s="594" t="str">
        <f>IF(AI23="Indoors",'Release Calculations'!$N309,'Release Calculations'!$N324)</f>
        <v/>
      </c>
      <c r="AJ55" s="594" t="str">
        <f>IF(AJ23="Indoors",'Release Calculations'!$N7733,'Release Calculations'!$N707)</f>
        <v/>
      </c>
      <c r="AK55" s="594" t="str">
        <f>IF(AK23="Indoors",'Release Calculations'!$P309,'Release Calculations'!$P324)</f>
        <v/>
      </c>
      <c r="AL55" s="594" t="str">
        <f>IF(AL23="Indoors",'Release Calculations'!$R309,'Release Calculations'!$R324)</f>
        <v/>
      </c>
      <c r="AM55" s="594" t="str">
        <f>IF(AM23="Indoors",'Release Calculations'!$R706,'Release Calculations'!$R707)</f>
        <v/>
      </c>
      <c r="AN55" s="594" t="str">
        <f>IF(AN23="Indoors",'Release Calculations'!$T309,'Release Calculations'!$T324)</f>
        <v/>
      </c>
      <c r="AO55" s="594" t="str">
        <f>IF(AO23="Indoors",'Release Calculations'!$T706,'Release Calculations'!$T707)</f>
        <v/>
      </c>
      <c r="AP55" s="594" t="str">
        <f>IF(AP23="Indoors",'Release Calculations'!$V309,'Release Calculations'!$V324)</f>
        <v/>
      </c>
      <c r="AQ55" s="594" t="str">
        <f>IF(AQ23="Indoors",'Release Calculations'!$V706,'Release Calculations'!$V707)</f>
        <v/>
      </c>
      <c r="AR55" s="594" t="str">
        <f>IF(AR23="Indoors",'Release Calculations'!$X309,'Release Calculations'!$X324)</f>
        <v/>
      </c>
      <c r="AS55" s="594" t="str">
        <f>IF(AS23="Indoors",'Release Calculations'!$X706,'Release Calculations'!$X707)</f>
        <v/>
      </c>
      <c r="AT55" s="594" t="str">
        <f>IF(AT23="Indoors",'Release Calculations'!$AE323,'Release Calculations'!$AE338)</f>
        <v/>
      </c>
      <c r="AU55" s="594" t="str">
        <f>IF(AU23="Indoors",'Release Calculations'!$AG323,'Release Calculations'!$AG338)</f>
        <v/>
      </c>
      <c r="AV55" s="594" t="str">
        <f>IF(AV23="Indoors",'Release Calculations'!$AI323,'Release Calculations'!$AI338)</f>
        <v/>
      </c>
      <c r="AW55" s="594" t="str">
        <f>IF(AW23="Indoors",'Release Calculations'!$AK323,'Release Calculations'!$AK338)</f>
        <v/>
      </c>
      <c r="AX55" s="594" t="str">
        <f>IF(AX23="Indoors",'Release Calculations'!$AM323,'Release Calculations'!$AM338)</f>
        <v/>
      </c>
      <c r="AY55" s="594" t="str">
        <f>IF(AY23="Indoors",'Release Calculations'!$AO323,'Release Calculations'!$AO338)</f>
        <v/>
      </c>
      <c r="AZ55" s="594" t="str">
        <f>IF(AZ23="Indoors",'Release Calculations'!$AE720,'Release Calculations'!$AE735)</f>
        <v/>
      </c>
      <c r="BA55" s="594" t="str">
        <f>IF(BA23="Indoors",'Release Calculations'!$AG720,'Release Calculations'!$AG735)</f>
        <v/>
      </c>
      <c r="BB55" s="594" t="str">
        <f>IF(BB23="Indoors",'Release Calculations'!$AI720,'Release Calculations'!$AI735)</f>
        <v/>
      </c>
      <c r="BC55" s="594" t="str">
        <f>IF(BC23="Indoors",'Release Calculations'!$AV307,'Release Calculations'!$AV322)</f>
        <v/>
      </c>
      <c r="BD55" s="594" t="str">
        <f>IF(BD23="Indoors",'Release Calculations'!$AX307,'Release Calculations'!$AX322)</f>
        <v/>
      </c>
      <c r="BE55" s="594" t="str">
        <f>IF(BE23="Indoors",'Release Calculations'!$AZ307,'Release Calculations'!$AZ322)</f>
        <v/>
      </c>
      <c r="BF55" s="594" t="str">
        <f>IF(BF23="Indoors",'Release Calculations'!$BB307,'Release Calculations'!$BB322)</f>
        <v/>
      </c>
      <c r="BG55" s="594" t="str">
        <f>IF(BG23="Indoors",'Release Calculations'!$BD307,'Release Calculations'!$BD322)</f>
        <v/>
      </c>
      <c r="BH55" s="594" t="str">
        <f>IF(BH23="Indoors",'Release Calculations'!$BF307,'Release Calculations'!$BF322)</f>
        <v/>
      </c>
      <c r="BI55" s="594" t="str">
        <f>IF(BI23="Indoors",'Release Calculations'!$BH307,'Release Calculations'!$BH322)</f>
        <v/>
      </c>
      <c r="BJ55" s="594" t="str">
        <f>IF(BJ23="Indoors",'Release Calculations'!$BJ307,'Release Calculations'!$BJ322)</f>
        <v/>
      </c>
      <c r="BK55" s="594" t="str">
        <f>IF(BK23="Indoors",'Release Calculations'!$BL307,'Release Calculations'!$BL322)</f>
        <v/>
      </c>
      <c r="BL55" s="594" t="str">
        <f>IF(BL23="Indoors",'Release Calculations'!$BN307,'Release Calculations'!$BN322)</f>
        <v/>
      </c>
      <c r="BM55" s="869" t="str">
        <f>IF(Location="Indoors",'Release Calculations'!$BU309,'Release Calculations'!$BU324)</f>
        <v/>
      </c>
      <c r="BN55" s="869">
        <f>IF(Location="Indoors",'Release Calculations'!$BW309,'Release Calculations'!$BW324)</f>
        <v>0</v>
      </c>
      <c r="BO55" s="869" t="str">
        <f>IF(Location="Indoors",'Release Calculations'!$BY309,'Release Calculations'!$BY324)</f>
        <v/>
      </c>
      <c r="BP55" s="869" t="str">
        <f>IF(Location="Indoors",'Release Calculations'!$CA309,'Release Calculations'!$CA324)</f>
        <v/>
      </c>
      <c r="BQ55" s="869">
        <f>IF(Location="Indoors",'Release Calculations'!$CC309,'Release Calculations'!$CC324)</f>
        <v>0</v>
      </c>
      <c r="BR55" s="869" t="str">
        <f>IF(Location="Indoors",'Release Calculations'!$BY309,'Release Calculations'!$BY324)</f>
        <v/>
      </c>
      <c r="BS55" s="594" t="str">
        <f>IF(Location="Indoors",'Release Calculations'!CJ162,'Release Calculations'!CJ173)</f>
        <v/>
      </c>
      <c r="BT55" s="400"/>
    </row>
    <row r="56" spans="1:72" x14ac:dyDescent="0.25">
      <c r="A56" s="345"/>
      <c r="B56" s="977"/>
      <c r="G56" s="584"/>
      <c r="H56" s="3939"/>
      <c r="I56" s="3940"/>
      <c r="J56" s="345"/>
      <c r="L56" s="345"/>
      <c r="M56" s="574"/>
      <c r="N56" s="575"/>
      <c r="O56" s="575"/>
      <c r="P56" s="575"/>
      <c r="Q56" s="585"/>
      <c r="R56" s="575"/>
      <c r="S56" s="585"/>
      <c r="T56" s="585"/>
      <c r="U56" s="576"/>
      <c r="V56" s="345"/>
      <c r="Y56" s="400"/>
      <c r="Z56" s="400"/>
      <c r="BC56" s="724"/>
      <c r="BD56" s="724"/>
      <c r="BE56" s="724"/>
      <c r="BF56" s="724"/>
      <c r="BG56" s="724"/>
      <c r="BH56" s="724"/>
      <c r="BI56" s="724"/>
      <c r="BJ56" s="724"/>
      <c r="BK56" s="724"/>
      <c r="BL56" s="724"/>
      <c r="BS56" s="724"/>
    </row>
    <row r="57" spans="1:72" x14ac:dyDescent="0.25">
      <c r="A57" s="345"/>
      <c r="B57" s="977"/>
      <c r="D57" s="1360" t="str">
        <f>"Maximum Temperature, "&amp;T_Units</f>
        <v>Maximum Temperature, C</v>
      </c>
      <c r="F57" s="2065" t="e">
        <f>MAX(F31,F43,F44,F47,F51,F53,IF(F63="Yes",F69,0))</f>
        <v>#DIV/0!</v>
      </c>
      <c r="G57" s="584"/>
      <c r="H57" s="1731" t="e">
        <f>IF(F57&gt;Failure_T,"Yes","No")</f>
        <v>#DIV/0!</v>
      </c>
      <c r="I57" s="432"/>
      <c r="J57" s="345"/>
      <c r="L57" s="345"/>
      <c r="M57" s="977"/>
      <c r="N57" s="514" t="s">
        <v>3071</v>
      </c>
      <c r="R57" s="3728" t="s">
        <v>2767</v>
      </c>
      <c r="S57" s="3562"/>
      <c r="T57" s="3562"/>
      <c r="U57" s="3898"/>
      <c r="V57" s="345"/>
      <c r="X57" s="338" t="s">
        <v>3104</v>
      </c>
      <c r="Y57" s="1021">
        <f>IF(Y23="Indoors",'Release Calculations'!$D371,'Release Calculations'!$D366)</f>
        <v>0</v>
      </c>
      <c r="Z57" s="1021">
        <f>IF(Z23="Indoors",'Release Calculations'!$D754,'Release Calculations'!$D748)</f>
        <v>6.0000000000000008E-7</v>
      </c>
      <c r="AA57" s="1021">
        <f>IF(AA23="Indoors",'Release Calculations'!$F371,'Release Calculations'!$F366)</f>
        <v>0</v>
      </c>
      <c r="AB57" s="1021">
        <f>IF(AB23="Indoors",'Release Calculations'!$F754,'Release Calculations'!$F748)</f>
        <v>6.0000000000000008E-7</v>
      </c>
      <c r="AC57" s="3237">
        <f>IF(AC23="Indoors",'Release Calculations'!$F371,'Release Calculations'!$F366)</f>
        <v>0</v>
      </c>
      <c r="AD57" s="3237">
        <f>IF(AD23="Indoors",'Release Calculations'!$F754,'Release Calculations'!$F748)</f>
        <v>6.0000000000000008E-7</v>
      </c>
      <c r="AE57" s="1021">
        <f>IF(AE23="Indoors",'Release Calculations'!$J371,'Release Calculations'!$J366)</f>
        <v>0</v>
      </c>
      <c r="AF57" s="1021">
        <f>IF(AF23="Indoors",'Release Calculations'!$J754,'Release Calculations'!$J748)</f>
        <v>6.0000000000000008E-7</v>
      </c>
      <c r="AG57" s="1021">
        <f>IF(AG23="Indoors",'Release Calculations'!$L371,'Release Calculations'!$L366)</f>
        <v>0</v>
      </c>
      <c r="AH57" s="1021">
        <f>IF(AH23="Indoors",'Release Calculations'!$L754,'Release Calculations'!$L748)</f>
        <v>6.0000000000000008E-7</v>
      </c>
      <c r="AI57" s="1021">
        <f>IF(AI23="Indoors",'Release Calculations'!$N371,'Release Calculations'!$N366)</f>
        <v>0</v>
      </c>
      <c r="AJ57" s="1021">
        <f>IF(AJ23="Indoors",'Release Calculations'!$N754,'Release Calculations'!$N748)</f>
        <v>6.0000000000000008E-7</v>
      </c>
      <c r="AK57" s="1021">
        <f>IF(AK23="Indoors",'Release Calculations'!$P371,'Release Calculations'!$P366)</f>
        <v>0</v>
      </c>
      <c r="AL57" s="1021">
        <f>IF(AL23="Indoors",'Release Calculations'!$R371,'Release Calculations'!$R366)</f>
        <v>0</v>
      </c>
      <c r="AM57" s="1021">
        <f>IF(AM23="Indoors",'Release Calculations'!$R754,'Release Calculations'!$R748)</f>
        <v>6.0000000000000008E-7</v>
      </c>
      <c r="AN57" s="1021">
        <f>IF(AN23="Indoors",'Release Calculations'!$T371,'Release Calculations'!$T366)</f>
        <v>0</v>
      </c>
      <c r="AO57" s="1021">
        <f>IF(AO23="Indoors",'Release Calculations'!$T754,'Release Calculations'!$T748)</f>
        <v>6.0000000000000008E-7</v>
      </c>
      <c r="AP57" s="1021">
        <f>IF(AP23="Indoors",'Release Calculations'!$V371,'Release Calculations'!$V366)</f>
        <v>0</v>
      </c>
      <c r="AQ57" s="1021">
        <f>IF(AQ23="Indoors",'Release Calculations'!$V754,'Release Calculations'!$V748)</f>
        <v>6.0000000000000008E-7</v>
      </c>
      <c r="AR57" s="1021">
        <f>IF(AR23="Indoors",'Release Calculations'!$X371,'Release Calculations'!$X366)</f>
        <v>0</v>
      </c>
      <c r="AS57" s="1021">
        <f>IF(AS23="Indoors",'Release Calculations'!$X754,'Release Calculations'!$X748)</f>
        <v>6.0000000000000008E-7</v>
      </c>
      <c r="AT57" s="1021">
        <f>IF(AT23="Indoors",'Release Calculations'!$AE385,'Release Calculations'!$AE380)</f>
        <v>0</v>
      </c>
      <c r="AU57" s="1021">
        <f>IF(AU23="Indoors",'Release Calculations'!$AG385,'Release Calculations'!$AG380)</f>
        <v>0</v>
      </c>
      <c r="AV57" s="1021">
        <f>IF(AV23="Indoors",'Release Calculations'!$AI385,'Release Calculations'!$AI380)</f>
        <v>0</v>
      </c>
      <c r="AW57" s="1021">
        <f>IF(AW23="Indoors",'Release Calculations'!$AK385,'Release Calculations'!$AK380)</f>
        <v>0</v>
      </c>
      <c r="AX57" s="1021">
        <f>IF(AX23="Indoors",'Release Calculations'!$AM385,'Release Calculations'!$AM380)</f>
        <v>0</v>
      </c>
      <c r="AY57" s="1021">
        <f>IF(AY23="Indoors",'Release Calculations'!$AO385,'Release Calculations'!$AO380)</f>
        <v>0</v>
      </c>
      <c r="AZ57" s="1021">
        <f>IF(AZ23="Indoors",'Release Calculations'!$AE782,'Release Calculations'!$AE776)</f>
        <v>6.0000000000000008E-7</v>
      </c>
      <c r="BA57" s="1021">
        <f>IF(BA23="Indoors",'Release Calculations'!$AG782,'Release Calculations'!$AG776)</f>
        <v>6.0000000000000008E-7</v>
      </c>
      <c r="BB57" s="1021">
        <f>IF(BB23="Indoors",'Release Calculations'!$AI782,'Release Calculations'!$AI776)</f>
        <v>6.0000000000000008E-7</v>
      </c>
      <c r="BC57" s="1023">
        <f>IF(BC23="Indoors",'Release Calculations'!$AV369,'Release Calculations'!$AV364)</f>
        <v>0</v>
      </c>
      <c r="BD57" s="1023">
        <f>IF(BD23="Indoors",'Release Calculations'!$AX369,'Release Calculations'!$AX364)</f>
        <v>0</v>
      </c>
      <c r="BE57" s="1023">
        <f>IF(BE23="Indoors",'Release Calculations'!$AZ369,'Release Calculations'!$AZ364)</f>
        <v>0</v>
      </c>
      <c r="BF57" s="1023">
        <f>IF(BF23="Indoors",'Release Calculations'!$BB369,'Release Calculations'!$BB364)</f>
        <v>0</v>
      </c>
      <c r="BG57" s="1023">
        <f>IF(BG23="Indoors",'Release Calculations'!$BD369,'Release Calculations'!$BD364)</f>
        <v>0</v>
      </c>
      <c r="BH57" s="1023">
        <f>IF(BH23="Indoors",'Release Calculations'!$BF369,'Release Calculations'!$BF364)</f>
        <v>0</v>
      </c>
      <c r="BI57" s="1023">
        <f>IF(BI23="Indoors",'Release Calculations'!$BH369,'Release Calculations'!$BH364)</f>
        <v>0</v>
      </c>
      <c r="BJ57" s="1023">
        <f>IF(BJ23="Indoors",'Release Calculations'!$BJ369,'Release Calculations'!$BJ364)</f>
        <v>0</v>
      </c>
      <c r="BK57" s="1023">
        <f>IF(BK23="Indoors",'Release Calculations'!$BL369,'Release Calculations'!$BL364)</f>
        <v>0</v>
      </c>
      <c r="BL57" s="1023">
        <f>IF(BL23="Indoors",'Release Calculations'!$BN369,'Release Calculations'!$BN364)</f>
        <v>0</v>
      </c>
      <c r="BM57" s="869">
        <f>IF(Location="Indoors",'Release Calculations'!$BU401,'Release Calculations'!$BU396)</f>
        <v>0</v>
      </c>
      <c r="BN57" s="869">
        <f>IF(Location="Indoors",'Release Calculations'!$BW401,'Release Calculations'!$BW396)</f>
        <v>0</v>
      </c>
      <c r="BO57" s="869">
        <f>IF(Location="Indoors",'Release Calculations'!$BY401,'Release Calculations'!$BY396)</f>
        <v>0</v>
      </c>
      <c r="BP57" s="869">
        <f>IF(Location="Indoors",'Release Calculations'!$CA401,'Release Calculations'!$CA396)</f>
        <v>0</v>
      </c>
      <c r="BQ57" s="869">
        <f>IF(Location="Indoors",'Release Calculations'!$CC401,'Release Calculations'!$CC396)</f>
        <v>0</v>
      </c>
      <c r="BR57" s="869">
        <f>IF(Location="Indoors",'Release Calculations'!$BY401,'Release Calculations'!$BY396)</f>
        <v>0</v>
      </c>
      <c r="BS57" s="594">
        <f>IF(Location="Indoors",'Release Calculations'!CJ223,'Release Calculations'!CJ218)</f>
        <v>0</v>
      </c>
    </row>
    <row r="58" spans="1:72" x14ac:dyDescent="0.25">
      <c r="A58" s="345"/>
      <c r="B58" s="977"/>
      <c r="F58" s="1732"/>
      <c r="G58" s="584"/>
      <c r="H58" s="3939" t="s">
        <v>3688</v>
      </c>
      <c r="I58" s="3940"/>
      <c r="J58" s="345"/>
      <c r="L58" s="345"/>
      <c r="M58" s="977"/>
      <c r="O58" s="338" t="s">
        <v>4757</v>
      </c>
      <c r="Q58" s="2610" t="str">
        <f>IF(Q8="Indoors",IF(HLOOKUP($P$6,$Y$6:$BS$94,88,0)=0,"",HLOOKUP($P$6,$Y$6:$BS$94,88,0)),IF(HLOOKUP($P$6,$Y$6:$BS$94,87,0)=0,"",HLOOKUP($P$6,$Y$6:$BS$94,87,0)))</f>
        <v/>
      </c>
      <c r="S58" s="2057" t="str">
        <f>IF(HLOOKUP($P$6,$Y$6:$BS$104,44,0)=0,"",HLOOKUP($P$6,$Y$6:$BS$104,44,0))</f>
        <v/>
      </c>
      <c r="T58" s="400"/>
      <c r="U58" s="432"/>
      <c r="V58" s="345"/>
      <c r="X58" s="338" t="s">
        <v>3105</v>
      </c>
      <c r="Y58" s="1023">
        <f>'Release Calculations'!$D387</f>
        <v>0</v>
      </c>
      <c r="Z58" s="1023">
        <f>'Release Calculations'!$D764</f>
        <v>0</v>
      </c>
      <c r="AA58" s="1023">
        <f>'Release Calculations'!$F387</f>
        <v>0</v>
      </c>
      <c r="AB58" s="1023">
        <f>'Release Calculations'!$F764</f>
        <v>0</v>
      </c>
      <c r="AC58" s="3239">
        <f>'Release Calculations'!$H387</f>
        <v>0</v>
      </c>
      <c r="AD58" s="3239">
        <f>'Release Calculations'!$H764</f>
        <v>0</v>
      </c>
      <c r="AE58" s="1023">
        <f>'Release Calculations'!$J387</f>
        <v>0</v>
      </c>
      <c r="AF58" s="1023">
        <f>'Release Calculations'!$J764</f>
        <v>0</v>
      </c>
      <c r="AG58" s="1023">
        <f>'Release Calculations'!$L387</f>
        <v>0</v>
      </c>
      <c r="AH58" s="1023">
        <f>'Release Calculations'!$L764</f>
        <v>0</v>
      </c>
      <c r="AI58" s="1023">
        <f>'Release Calculations'!$N387</f>
        <v>0</v>
      </c>
      <c r="AJ58" s="1023">
        <f>'Release Calculations'!$N764</f>
        <v>0</v>
      </c>
      <c r="AK58" s="1023">
        <f>'Release Calculations'!$P387</f>
        <v>0</v>
      </c>
      <c r="AL58" s="1023">
        <f>'Release Calculations'!$R387</f>
        <v>0</v>
      </c>
      <c r="AM58" s="1023">
        <f>'Release Calculations'!$R764</f>
        <v>0</v>
      </c>
      <c r="AN58" s="1023">
        <f>'Release Calculations'!$T387</f>
        <v>0</v>
      </c>
      <c r="AO58" s="1023">
        <f>'Release Calculations'!$T764</f>
        <v>0</v>
      </c>
      <c r="AP58" s="1023">
        <f>'Release Calculations'!$V387</f>
        <v>0</v>
      </c>
      <c r="AQ58" s="1023">
        <f>'Release Calculations'!$V764</f>
        <v>0</v>
      </c>
      <c r="AR58" s="1023">
        <f>'Release Calculations'!$X387</f>
        <v>0</v>
      </c>
      <c r="AS58" s="1023">
        <f>'Release Calculations'!$X764</f>
        <v>0</v>
      </c>
      <c r="AT58" s="1023">
        <f>'Release Calculations'!$AE401</f>
        <v>0</v>
      </c>
      <c r="AU58" s="1023">
        <f>'Release Calculations'!$AG401</f>
        <v>0</v>
      </c>
      <c r="AV58" s="1023">
        <f>'Release Calculations'!$AI401</f>
        <v>0</v>
      </c>
      <c r="AW58" s="1023">
        <f>'Release Calculations'!$AK401</f>
        <v>0</v>
      </c>
      <c r="AX58" s="1023">
        <f>'Release Calculations'!$AM401</f>
        <v>0</v>
      </c>
      <c r="AY58" s="1023">
        <f>'Release Calculations'!$AO401</f>
        <v>0</v>
      </c>
      <c r="AZ58" s="1023">
        <f>'Release Calculations'!$AE792</f>
        <v>0</v>
      </c>
      <c r="BA58" s="1023">
        <f>'Release Calculations'!$AG792</f>
        <v>0</v>
      </c>
      <c r="BB58" s="1023">
        <f>'Release Calculations'!$AI792</f>
        <v>0</v>
      </c>
      <c r="BC58" s="1023">
        <f>'Release Calculations'!$AV385</f>
        <v>0</v>
      </c>
      <c r="BD58" s="1023">
        <f>'Release Calculations'!$AX385</f>
        <v>0</v>
      </c>
      <c r="BE58" s="1023">
        <f>'Release Calculations'!$AZ385</f>
        <v>0</v>
      </c>
      <c r="BF58" s="1023">
        <f>'Release Calculations'!$BB385</f>
        <v>0</v>
      </c>
      <c r="BG58" s="1023">
        <f>'Release Calculations'!$BD385</f>
        <v>0</v>
      </c>
      <c r="BH58" s="1023">
        <f>'Release Calculations'!$BF385</f>
        <v>0</v>
      </c>
      <c r="BI58" s="1023">
        <f>'Release Calculations'!$BH385</f>
        <v>0</v>
      </c>
      <c r="BJ58" s="1023">
        <f>'Release Calculations'!$BJ385</f>
        <v>0</v>
      </c>
      <c r="BK58" s="1023">
        <f>'Release Calculations'!$BL385</f>
        <v>0</v>
      </c>
      <c r="BL58" s="1023">
        <f>'Release Calculations'!$BN385</f>
        <v>0</v>
      </c>
      <c r="BM58" s="609">
        <f>'Release Calculations'!$BU415</f>
        <v>0</v>
      </c>
      <c r="BN58" s="609">
        <f>'Release Calculations'!$BW415</f>
        <v>0</v>
      </c>
      <c r="BO58" s="609">
        <f>'Release Calculations'!$BY415</f>
        <v>0</v>
      </c>
      <c r="BP58" s="609">
        <f>'Release Calculations'!$CA415</f>
        <v>0</v>
      </c>
      <c r="BQ58" s="609">
        <f>'Release Calculations'!$CC415</f>
        <v>0</v>
      </c>
      <c r="BR58" s="609">
        <f>'Release Calculations'!$BY415</f>
        <v>0</v>
      </c>
      <c r="BS58" s="1023">
        <f>'Release Calculations'!CJ239</f>
        <v>0</v>
      </c>
    </row>
    <row r="59" spans="1:72" x14ac:dyDescent="0.25">
      <c r="A59" s="345"/>
      <c r="B59" s="977"/>
      <c r="C59" s="1239"/>
      <c r="G59" s="584"/>
      <c r="H59" s="3939"/>
      <c r="I59" s="3940"/>
      <c r="J59" s="345"/>
      <c r="L59" s="345"/>
      <c r="M59" s="977"/>
      <c r="O59" s="338" t="s">
        <v>3246</v>
      </c>
      <c r="Q59" s="2056" t="str">
        <f>IF(HLOOKUP($P$6,$Y$6:$BS$104,46,0)=0,"",HLOOKUP($P$6,$Y$6:$BS$104,46,0))</f>
        <v/>
      </c>
      <c r="S59" s="3892" t="str">
        <f>IF(AND(Q61="",Q62=""),"",IF(OR(Q61&gt;Bldg_Type_Correction,Q62&gt;Bldg2_Type_Correction),"Potential Explosion Impact to Occupied Building",""))</f>
        <v/>
      </c>
      <c r="T59" s="3893"/>
      <c r="U59" s="432"/>
      <c r="V59" s="345"/>
      <c r="X59" s="338" t="s">
        <v>3106</v>
      </c>
      <c r="Y59" s="1023">
        <f>'Release Calculations'!$D382</f>
        <v>0</v>
      </c>
      <c r="Z59" s="1023"/>
      <c r="AA59" s="1023">
        <f>'Release Calculations'!$F382</f>
        <v>0</v>
      </c>
      <c r="AB59" s="1023"/>
      <c r="AC59" s="3239">
        <f>'Release Calculations'!$H382</f>
        <v>0</v>
      </c>
      <c r="AD59" s="3239"/>
      <c r="AE59" s="1023">
        <f>'Release Calculations'!$J382</f>
        <v>0</v>
      </c>
      <c r="AF59" s="1021"/>
      <c r="AG59" s="1023">
        <f>'Release Calculations'!$L382</f>
        <v>0</v>
      </c>
      <c r="AH59" s="1021"/>
      <c r="AI59" s="1023">
        <f>'Release Calculations'!$N382</f>
        <v>0</v>
      </c>
      <c r="AJ59" s="1021"/>
      <c r="AK59" s="1023">
        <f>'Release Calculations'!$P382</f>
        <v>0</v>
      </c>
      <c r="AL59" s="1023">
        <f>'Release Calculations'!$R382</f>
        <v>0</v>
      </c>
      <c r="AM59" s="1021"/>
      <c r="AN59" s="1023">
        <f>'Release Calculations'!$T382</f>
        <v>0</v>
      </c>
      <c r="AO59" s="1021"/>
      <c r="AP59" s="1023">
        <f>'Release Calculations'!$V382</f>
        <v>0</v>
      </c>
      <c r="AQ59" s="1021"/>
      <c r="AR59" s="1023">
        <f>'Release Calculations'!$X382</f>
        <v>0</v>
      </c>
      <c r="AS59" s="1021"/>
      <c r="AT59" s="1023">
        <f>'Release Calculations'!$AE396</f>
        <v>0</v>
      </c>
      <c r="AU59" s="1023">
        <f>'Release Calculations'!$AG396</f>
        <v>0</v>
      </c>
      <c r="AV59" s="1023">
        <f>'Release Calculations'!$AI396</f>
        <v>0</v>
      </c>
      <c r="AW59" s="1023">
        <f>'Release Calculations'!$AK396</f>
        <v>0</v>
      </c>
      <c r="AX59" s="1023">
        <f>'Release Calculations'!$AM396</f>
        <v>0</v>
      </c>
      <c r="AY59" s="1023">
        <f>'Release Calculations'!$AO396</f>
        <v>1</v>
      </c>
      <c r="AZ59" s="1021"/>
      <c r="BA59" s="1021"/>
      <c r="BB59" s="1021"/>
      <c r="BC59" s="1023">
        <f>'Release Calculations'!$AV380</f>
        <v>0</v>
      </c>
      <c r="BD59" s="1023">
        <f>'Release Calculations'!$AX380</f>
        <v>0</v>
      </c>
      <c r="BE59" s="1023">
        <f>'Release Calculations'!$AZ380</f>
        <v>0</v>
      </c>
      <c r="BF59" s="1023">
        <f>'Release Calculations'!$BB380</f>
        <v>0</v>
      </c>
      <c r="BG59" s="1023">
        <f>'Release Calculations'!$BD380</f>
        <v>0</v>
      </c>
      <c r="BH59" s="1023">
        <f>'Release Calculations'!$BF380</f>
        <v>0</v>
      </c>
      <c r="BI59" s="1023">
        <f>'Release Calculations'!$BH380</f>
        <v>0</v>
      </c>
      <c r="BJ59" s="1023">
        <f>'Release Calculations'!$BJ380</f>
        <v>0</v>
      </c>
      <c r="BK59" s="1023">
        <f>'Release Calculations'!$BL380</f>
        <v>0</v>
      </c>
      <c r="BL59" s="1023">
        <f>'Release Calculations'!$BN380</f>
        <v>0</v>
      </c>
      <c r="BM59" s="609">
        <f>'Release Calculations'!$BU410</f>
        <v>0</v>
      </c>
      <c r="BN59" s="609">
        <f>'Release Calculations'!$BW410</f>
        <v>0</v>
      </c>
      <c r="BO59" s="609">
        <f>'Release Calculations'!$BY410</f>
        <v>0</v>
      </c>
      <c r="BP59" s="609">
        <f>'Release Calculations'!$CA410</f>
        <v>0</v>
      </c>
      <c r="BQ59" s="609">
        <f>'Release Calculations'!$CC410</f>
        <v>0</v>
      </c>
      <c r="BR59" s="609">
        <f>'Release Calculations'!$BY410</f>
        <v>0</v>
      </c>
      <c r="BS59" s="1023">
        <f>'Release Calculations'!CJ234</f>
        <v>0</v>
      </c>
    </row>
    <row r="60" spans="1:72" x14ac:dyDescent="0.25">
      <c r="A60" s="345"/>
      <c r="B60" s="977"/>
      <c r="C60" s="1239"/>
      <c r="D60" s="1360" t="str">
        <f>"Minimum Temperature, "&amp;T_Units</f>
        <v>Minimum Temperature, C</v>
      </c>
      <c r="F60" s="1155">
        <f>MIN(F31,F43,F44,F45,F47,F51,F53)</f>
        <v>0</v>
      </c>
      <c r="G60" s="584"/>
      <c r="H60" s="1938" t="str">
        <f>IF(F60&lt;Embrittle_T,"Yes","No")</f>
        <v>No</v>
      </c>
      <c r="I60" s="1729"/>
      <c r="J60" s="345"/>
      <c r="K60" s="601"/>
      <c r="L60" s="345"/>
      <c r="M60" s="977"/>
      <c r="O60" s="338" t="s">
        <v>4756</v>
      </c>
      <c r="Q60" s="2606" t="str">
        <f>IF(HLOOKUP($P$6,$Y$6:$BS$104,86,0)=0,"",HLOOKUP($P$6,$Y$6:$BS$104,86,0))</f>
        <v/>
      </c>
      <c r="S60" s="3893"/>
      <c r="T60" s="3893"/>
      <c r="U60" s="432"/>
      <c r="V60" s="345"/>
      <c r="X60" s="338" t="s">
        <v>3107</v>
      </c>
      <c r="Y60" s="1021"/>
      <c r="Z60" s="1021"/>
      <c r="AA60" s="1021"/>
      <c r="AB60" s="1021"/>
      <c r="AC60" s="3237"/>
      <c r="AD60" s="3237"/>
      <c r="AE60" s="1021"/>
      <c r="AF60" s="1021"/>
      <c r="AG60" s="1021"/>
      <c r="AH60" s="1021"/>
      <c r="AI60" s="1021"/>
      <c r="AJ60" s="1021"/>
      <c r="AK60" s="1021"/>
      <c r="AL60" s="1021"/>
      <c r="AM60" s="1021"/>
      <c r="AN60" s="1021"/>
      <c r="AO60" s="1021"/>
      <c r="AP60" s="1021"/>
      <c r="AQ60" s="1021"/>
      <c r="AR60" s="1021"/>
      <c r="AS60" s="1021"/>
      <c r="AT60" s="1021"/>
      <c r="AU60" s="1021"/>
      <c r="AV60" s="1021"/>
      <c r="AW60" s="1021"/>
      <c r="AX60" s="1021"/>
      <c r="AY60" s="1021"/>
      <c r="AZ60" s="1021"/>
      <c r="BA60" s="1021"/>
      <c r="BB60" s="1021"/>
      <c r="BC60" s="1021"/>
      <c r="BD60" s="1021"/>
      <c r="BE60" s="1021"/>
      <c r="BF60" s="1021"/>
      <c r="BG60" s="1021"/>
      <c r="BH60" s="1021"/>
      <c r="BI60" s="1021"/>
      <c r="BJ60" s="1021"/>
      <c r="BK60" s="1021"/>
      <c r="BL60" s="1021"/>
      <c r="BM60" s="609">
        <f>'Release Calculations'!$BU442</f>
        <v>0</v>
      </c>
      <c r="BN60" s="609">
        <f>'Release Calculations'!$BW442</f>
        <v>0</v>
      </c>
      <c r="BO60" s="609">
        <f>'Release Calculations'!$BY442</f>
        <v>0</v>
      </c>
      <c r="BP60" s="609">
        <f>'Release Calculations'!$CA442</f>
        <v>0</v>
      </c>
      <c r="BQ60" s="609">
        <f>'Release Calculations'!$CC442</f>
        <v>0</v>
      </c>
      <c r="BR60" s="609">
        <f>'Release Calculations'!$BY442</f>
        <v>0</v>
      </c>
      <c r="BS60" s="1023">
        <f>'Release Calculations'!CJ262</f>
        <v>0</v>
      </c>
    </row>
    <row r="61" spans="1:72" ht="14.25" customHeight="1" thickBot="1" x14ac:dyDescent="0.3">
      <c r="A61" s="345"/>
      <c r="B61" s="579"/>
      <c r="C61" s="580"/>
      <c r="E61" s="580"/>
      <c r="F61" s="588"/>
      <c r="G61" s="985"/>
      <c r="H61" s="986"/>
      <c r="I61" s="581"/>
      <c r="J61" s="345"/>
      <c r="K61" s="601"/>
      <c r="L61" s="345"/>
      <c r="M61" s="977"/>
      <c r="O61" s="338" t="s">
        <v>4881</v>
      </c>
      <c r="Q61" s="2056">
        <f>IF(HLOOKUP($P$6,$Y$6:$BS$104,47,0)=0,0,IF(HLOOKUP($P$6,$Y$6:$BS$104,47,0)&gt;10,"&gt; 10 psi",HLOOKUP($P$6,$Y$6:$BS$104,47,0)))</f>
        <v>0</v>
      </c>
      <c r="S61" s="3893"/>
      <c r="T61" s="3893"/>
      <c r="U61" s="1393"/>
      <c r="V61" s="345"/>
      <c r="X61" s="338" t="s">
        <v>3205</v>
      </c>
      <c r="Y61" s="610" t="str">
        <f>'Release Calculations'!$D338</f>
        <v>NA</v>
      </c>
      <c r="Z61" s="610" t="str">
        <f>'Release Calculations'!$D721</f>
        <v>NA</v>
      </c>
      <c r="AA61" s="610" t="str">
        <f>'Release Calculations'!$F338</f>
        <v>NA</v>
      </c>
      <c r="AB61" s="610" t="str">
        <f>'Release Calculations'!$F721</f>
        <v>NA</v>
      </c>
      <c r="AC61" s="3239" t="str">
        <f>'Release Calculations'!$H338</f>
        <v>NA</v>
      </c>
      <c r="AD61" s="3239" t="str">
        <f>'Release Calculations'!$H721</f>
        <v>NA</v>
      </c>
      <c r="AE61" s="610" t="str">
        <f>'Release Calculations'!$J338</f>
        <v>NA</v>
      </c>
      <c r="AF61" s="610" t="str">
        <f>'Release Calculations'!$J721</f>
        <v>NA</v>
      </c>
      <c r="AG61" s="610" t="str">
        <f>'Release Calculations'!$L338</f>
        <v>NA</v>
      </c>
      <c r="AH61" s="610" t="str">
        <f>'Release Calculations'!$L721</f>
        <v>NA</v>
      </c>
      <c r="AI61" s="610" t="str">
        <f>'Release Calculations'!$N338</f>
        <v>NA</v>
      </c>
      <c r="AJ61" s="610" t="str">
        <f>'Release Calculations'!$N721</f>
        <v>NA</v>
      </c>
      <c r="AK61" s="610" t="str">
        <f>'Release Calculations'!$P338</f>
        <v>NA</v>
      </c>
      <c r="AL61" s="610" t="str">
        <f>'Release Calculations'!$R338</f>
        <v>NA</v>
      </c>
      <c r="AM61" s="610" t="str">
        <f>'Release Calculations'!$R721</f>
        <v>NA</v>
      </c>
      <c r="AN61" s="610" t="str">
        <f>'Release Calculations'!$T338</f>
        <v>NA</v>
      </c>
      <c r="AO61" s="610" t="str">
        <f>'Release Calculations'!$T721</f>
        <v>NA</v>
      </c>
      <c r="AP61" s="610" t="str">
        <f>'Release Calculations'!$V338</f>
        <v>NA</v>
      </c>
      <c r="AQ61" s="610" t="str">
        <f>'Release Calculations'!$V721</f>
        <v>NA</v>
      </c>
      <c r="AR61" s="610" t="str">
        <f>'Release Calculations'!$X338</f>
        <v>NA</v>
      </c>
      <c r="AS61" s="610" t="str">
        <f>'Release Calculations'!$X721</f>
        <v>NA</v>
      </c>
      <c r="AT61" s="594" t="str">
        <f>'Release Calculations'!$AE352</f>
        <v>NA</v>
      </c>
      <c r="AU61" s="610" t="str">
        <f>'Release Calculations'!$AG352</f>
        <v>NA</v>
      </c>
      <c r="AV61" s="610" t="str">
        <f>'Release Calculations'!$AI352</f>
        <v>NA</v>
      </c>
      <c r="AW61" s="610" t="str">
        <f>'Release Calculations'!$AK352</f>
        <v>NA</v>
      </c>
      <c r="AX61" s="610" t="str">
        <f>'Release Calculations'!$AM352</f>
        <v>NA</v>
      </c>
      <c r="AY61" s="610" t="str">
        <f>'Release Calculations'!$AO352</f>
        <v>NA</v>
      </c>
      <c r="AZ61" s="610" t="str">
        <f>'Release Calculations'!$AE749</f>
        <v>NA</v>
      </c>
      <c r="BA61" s="610" t="str">
        <f>'Release Calculations'!$AG749</f>
        <v>NA</v>
      </c>
      <c r="BB61" s="610" t="str">
        <f>'Release Calculations'!$AI749</f>
        <v>NA</v>
      </c>
      <c r="BC61" s="610" t="str">
        <f>'Release Calculations'!AV336</f>
        <v>NA</v>
      </c>
      <c r="BD61" s="610" t="str">
        <f>'Release Calculations'!AX336</f>
        <v>NA</v>
      </c>
      <c r="BE61" s="610" t="str">
        <f>'Release Calculations'!AZ336</f>
        <v>NA</v>
      </c>
      <c r="BF61" s="610" t="str">
        <f>'Release Calculations'!BB336</f>
        <v>NA</v>
      </c>
      <c r="BG61" s="610" t="str">
        <f>'Release Calculations'!BD336</f>
        <v>NA</v>
      </c>
      <c r="BH61" s="610" t="str">
        <f>'Release Calculations'!BF336</f>
        <v>NA</v>
      </c>
      <c r="BI61" s="610" t="str">
        <f>'Release Calculations'!BH336</f>
        <v>NA</v>
      </c>
      <c r="BJ61" s="610" t="str">
        <f>'Release Calculations'!BJ336</f>
        <v>NA</v>
      </c>
      <c r="BK61" s="610" t="str">
        <f>'Release Calculations'!BL336</f>
        <v>NA</v>
      </c>
      <c r="BL61" s="610" t="str">
        <f>'Release Calculations'!BN336</f>
        <v>NA</v>
      </c>
      <c r="BM61" s="609" t="str">
        <f>'Release Calculations'!$BU368</f>
        <v>NA</v>
      </c>
      <c r="BN61" s="609" t="str">
        <f>'Release Calculations'!$BW368</f>
        <v>NA</v>
      </c>
      <c r="BO61" s="609" t="str">
        <f>'Release Calculations'!$BY368</f>
        <v>NA</v>
      </c>
      <c r="BP61" s="609" t="str">
        <f>'Release Calculations'!$CA368</f>
        <v>NA</v>
      </c>
      <c r="BQ61" s="609" t="str">
        <f>'Release Calculations'!$CC368</f>
        <v>NA</v>
      </c>
      <c r="BR61" s="609" t="str">
        <f>'Release Calculations'!$BY368</f>
        <v>NA</v>
      </c>
      <c r="BS61" s="610" t="str">
        <f>'Release Calculations'!CJ189</f>
        <v>NA</v>
      </c>
    </row>
    <row r="62" spans="1:72" x14ac:dyDescent="0.25">
      <c r="A62" s="345"/>
      <c r="B62" s="574"/>
      <c r="C62" s="575"/>
      <c r="D62" s="575"/>
      <c r="E62" s="575"/>
      <c r="F62" s="585"/>
      <c r="G62" s="586"/>
      <c r="H62" s="587"/>
      <c r="I62" s="576"/>
      <c r="J62" s="345"/>
      <c r="L62" s="345"/>
      <c r="M62" s="977"/>
      <c r="O62" s="338" t="s">
        <v>4882</v>
      </c>
      <c r="Q62" s="2056">
        <f>IF(HLOOKUP($P$6,$Y$6:$BS$104,48,0)=0,0,IF(HLOOKUP($P$6,$Y$6:$BS$104,48,0)&gt;10,"&gt; 10 psi",HLOOKUP($P$6,$Y$6:$BS$104,48,0)))</f>
        <v>0</v>
      </c>
      <c r="S62" s="3893"/>
      <c r="T62" s="3893"/>
      <c r="U62" s="1393"/>
      <c r="V62" s="345"/>
      <c r="X62" s="338" t="s">
        <v>3206</v>
      </c>
      <c r="Y62" s="594" t="str">
        <f>IF(Y23="Indoors",'Release Calculations'!$D373,'Release Calculations'!$D368)</f>
        <v>NA</v>
      </c>
      <c r="Z62" s="594" t="str">
        <f>IF(Z23="Indoors",'Release Calculations'!$D756,'Release Calculations'!$D751)</f>
        <v>NA</v>
      </c>
      <c r="AA62" s="594" t="str">
        <f>IF(AA23="Indoors",'Release Calculations'!$F373,'Release Calculations'!$F368)</f>
        <v>NA</v>
      </c>
      <c r="AB62" s="594" t="str">
        <f>IF(AB23="Indoors",'Release Calculations'!$F756,'Release Calculations'!$F751)</f>
        <v>NA</v>
      </c>
      <c r="AC62" s="3237" t="str">
        <f>IF(AC23="Indoors",'Release Calculations'!$F373,'Release Calculations'!$F368)</f>
        <v>NA</v>
      </c>
      <c r="AD62" s="3237" t="str">
        <f>IF(AD23="Indoors",'Release Calculations'!$F756,'Release Calculations'!$F751)</f>
        <v>NA</v>
      </c>
      <c r="AE62" s="594" t="str">
        <f>IF(AE23="Indoors",'Release Calculations'!$J373,'Release Calculations'!$J368)</f>
        <v>NA</v>
      </c>
      <c r="AF62" s="594" t="str">
        <f>IF(AF23="Indoors",'Release Calculations'!$J756,'Release Calculations'!$J751)</f>
        <v>NA</v>
      </c>
      <c r="AG62" s="594" t="str">
        <f>IF(AG23="Indoors",'Release Calculations'!$L373,'Release Calculations'!$L368)</f>
        <v>NA</v>
      </c>
      <c r="AH62" s="594" t="str">
        <f>IF(AH23="Indoors",'Release Calculations'!$L756,'Release Calculations'!$L751)</f>
        <v>NA</v>
      </c>
      <c r="AI62" s="594" t="str">
        <f>IF(AI23="Indoors",'Release Calculations'!$N373,'Release Calculations'!$N368)</f>
        <v>NA</v>
      </c>
      <c r="AJ62" s="594" t="str">
        <f>IF(AJ23="Indoors",'Release Calculations'!$N756,'Release Calculations'!$N751)</f>
        <v>NA</v>
      </c>
      <c r="AK62" s="594" t="str">
        <f>IF(AK23="Indoors",'Release Calculations'!$P373,'Release Calculations'!$P368)</f>
        <v>NA</v>
      </c>
      <c r="AL62" s="594" t="str">
        <f>IF(AL23="Indoors",'Release Calculations'!$R373,'Release Calculations'!$R368)</f>
        <v>NA</v>
      </c>
      <c r="AM62" s="594" t="str">
        <f>IF(AM23="Indoors",'Release Calculations'!$R756,'Release Calculations'!$R751)</f>
        <v>NA</v>
      </c>
      <c r="AN62" s="594" t="str">
        <f>IF(AN23="Indoors",'Release Calculations'!$T373,'Release Calculations'!$T368)</f>
        <v>NA</v>
      </c>
      <c r="AO62" s="594" t="str">
        <f>IF(AO23="Indoors",'Release Calculations'!$T756,'Release Calculations'!$T751)</f>
        <v>NA</v>
      </c>
      <c r="AP62" s="594" t="str">
        <f>IF(AP23="Indoors",'Release Calculations'!$V373,'Release Calculations'!$V368)</f>
        <v>NA</v>
      </c>
      <c r="AQ62" s="594" t="str">
        <f>IF(AQ23="Indoors",'Release Calculations'!$V756,'Release Calculations'!$V751)</f>
        <v>NA</v>
      </c>
      <c r="AR62" s="594" t="str">
        <f>IF(AR23="Indoors",'Release Calculations'!$X373,'Release Calculations'!$X368)</f>
        <v>NA</v>
      </c>
      <c r="AS62" s="594" t="str">
        <f>IF(AS23="Indoors",'Release Calculations'!$X756,'Release Calculations'!$X751)</f>
        <v>NA</v>
      </c>
      <c r="AT62" s="594" t="str">
        <f>IF(AT23="Indoors",'Release Calculations'!$AE387,'Release Calculations'!$AE382)</f>
        <v>NA</v>
      </c>
      <c r="AU62" s="594" t="str">
        <f>IF(AU23="Indoors",'Release Calculations'!$AG387,'Release Calculations'!$AG382)</f>
        <v>NA</v>
      </c>
      <c r="AV62" s="594" t="str">
        <f>IF(AV23="Indoors",'Release Calculations'!$AI387,'Release Calculations'!$AI382)</f>
        <v>NA</v>
      </c>
      <c r="AW62" s="594" t="str">
        <f>IF(AW23="Indoors",'Release Calculations'!$AK387,'Release Calculations'!$AK382)</f>
        <v>NA</v>
      </c>
      <c r="AX62" s="594" t="str">
        <f>IF(AX23="Indoors",'Release Calculations'!$AM387,'Release Calculations'!$AM382)</f>
        <v>NA</v>
      </c>
      <c r="AY62" s="594" t="str">
        <f>IF(AY23="Indoors",'Release Calculations'!$AO387,'Release Calculations'!$AO382)</f>
        <v>NA</v>
      </c>
      <c r="AZ62" s="594" t="str">
        <f>IF(AZ23="Indoors",'Release Calculations'!$AE784,'Release Calculations'!$AE779)</f>
        <v>NA</v>
      </c>
      <c r="BA62" s="594" t="str">
        <f>IF(BA23="Indoors",'Release Calculations'!$AG784,'Release Calculations'!AG779)</f>
        <v>NA</v>
      </c>
      <c r="BB62" s="594" t="str">
        <f>IF(BB23="Indoors",'Release Calculations'!$AI784,'Release Calculations'!AI779)</f>
        <v>NA</v>
      </c>
      <c r="BC62" s="594" t="e">
        <f>IF(Relief_Release="Indoors",'Release Calculations'!AV371,'Release Calculations'!AV366)</f>
        <v>#DIV/0!</v>
      </c>
      <c r="BD62" s="594" t="e">
        <f>IF(Relief_Release="Indoors",'Release Calculations'!AX371,'Release Calculations'!AX366)</f>
        <v>#DIV/0!</v>
      </c>
      <c r="BE62" s="594" t="e">
        <f>IF(Relief_Release="Indoors",'Release Calculations'!AZ371,'Release Calculations'!AZ366)</f>
        <v>#DIV/0!</v>
      </c>
      <c r="BF62" s="594" t="e">
        <f>IF(Relief_Release="Indoors",'Release Calculations'!BB371,'Release Calculations'!BB366)</f>
        <v>#DIV/0!</v>
      </c>
      <c r="BG62" s="594" t="e">
        <f>IF(Relief_Release="Indoors",'Release Calculations'!BD371,'Release Calculations'!BD366)</f>
        <v>#DIV/0!</v>
      </c>
      <c r="BH62" s="594" t="e">
        <f>IF(Relief_Release="Indoors",'Release Calculations'!BF371,'Release Calculations'!BF366)</f>
        <v>#DIV/0!</v>
      </c>
      <c r="BI62" s="594" t="e">
        <f>IF(Relief_Release="Indoors",'Release Calculations'!BH371,'Release Calculations'!BH366)</f>
        <v>#DIV/0!</v>
      </c>
      <c r="BJ62" s="594" t="e">
        <f>IF(Relief_Release="Indoors",'Release Calculations'!BJ371,'Release Calculations'!BJ366)</f>
        <v>#DIV/0!</v>
      </c>
      <c r="BK62" s="594" t="e">
        <f>IF(Relief_Release="Indoors",'Release Calculations'!BL371,'Release Calculations'!BL366)</f>
        <v>#DIV/0!</v>
      </c>
      <c r="BL62" s="594" t="e">
        <f>IF(Relief_Release="Indoors",'Release Calculations'!BN371,'Release Calculations'!BN366)</f>
        <v>#DIV/0!</v>
      </c>
      <c r="BM62" s="869" t="str">
        <f>IF(Location="Indoors",'Release Calculations'!$BU403,'Release Calculations'!$BU398)</f>
        <v>NA</v>
      </c>
      <c r="BN62" s="869" t="str">
        <f>IF(Location="Indoors",'Release Calculations'!$BW403,'Release Calculations'!$BW398)</f>
        <v>NA</v>
      </c>
      <c r="BO62" s="869" t="str">
        <f>IF(Location="Indoors",'Release Calculations'!$BY403,'Release Calculations'!$BY398)</f>
        <v>NA</v>
      </c>
      <c r="BP62" s="869" t="str">
        <f>IF(Location="Indoors",'Release Calculations'!$CA403,'Release Calculations'!$CA398)</f>
        <v>NA</v>
      </c>
      <c r="BQ62" s="869" t="str">
        <f>IF(Location="Indoors",'Release Calculations'!$CC403,'Release Calculations'!$CC398)</f>
        <v>NA</v>
      </c>
      <c r="BR62" s="869" t="str">
        <f>IF(Location="Indoors",'Release Calculations'!$BY403,'Release Calculations'!$BY398)</f>
        <v>NA</v>
      </c>
      <c r="BS62" s="594" t="str">
        <f>IF(Location="Indoors",'Release Calculations'!CJ225,'Release Calculations'!CJ220)</f>
        <v>NA</v>
      </c>
    </row>
    <row r="63" spans="1:72" x14ac:dyDescent="0.25">
      <c r="A63" s="345"/>
      <c r="B63" s="977"/>
      <c r="C63" s="981" t="s">
        <v>2408</v>
      </c>
      <c r="F63" s="1734" t="e">
        <f>Reactive_Potential</f>
        <v>#DIV/0!</v>
      </c>
      <c r="G63" s="584"/>
      <c r="H63" s="3936" t="str">
        <f>IF(Mw_Mix=0,"",IF(MAX(Reactive_Relief_Rate,Rx_Relief_withHeat,Rx_Relief_withFire,Rx_Relief_withCatalyst,Rx_Relief_withPooling,Rx_Relief_withMisLoading)&gt;Relief_Vapor_Capacity/Mw_Mix,"Relief Device may not be adequately sized for Uncontrolled Reaction",""))</f>
        <v/>
      </c>
      <c r="I63" s="3937"/>
      <c r="J63" s="345"/>
      <c r="L63" s="345"/>
      <c r="M63" s="977"/>
      <c r="O63" s="338" t="s">
        <v>2714</v>
      </c>
      <c r="Q63" s="2056" t="str">
        <f>IF(HLOOKUP($P$6,$Y$6:$BS$104,49,0)=0,"",HLOOKUP($P$6,$Y$6:$BS$104,49,0))</f>
        <v/>
      </c>
      <c r="S63" s="1707"/>
      <c r="T63" s="1707"/>
      <c r="U63" s="1393"/>
      <c r="V63" s="345"/>
      <c r="X63" s="338" t="s">
        <v>3108</v>
      </c>
      <c r="Y63" s="922">
        <f>3600*'Release Calculations'!D210</f>
        <v>3600</v>
      </c>
      <c r="Z63" s="922">
        <f>3600*'Release Calculations'!D586</f>
        <v>3600</v>
      </c>
      <c r="AA63" s="922">
        <f>3600*'Release Calculations'!F210</f>
        <v>3600</v>
      </c>
      <c r="AB63" s="922">
        <f>3600*'Release Calculations'!F586</f>
        <v>3600</v>
      </c>
      <c r="AC63" s="3237">
        <f>3600*'Release Calculations'!H210</f>
        <v>3600</v>
      </c>
      <c r="AD63" s="3237">
        <f>3600*'Release Calculations'!H586</f>
        <v>3600</v>
      </c>
      <c r="AE63" s="922">
        <f>3600*'Release Calculations'!J210</f>
        <v>3600</v>
      </c>
      <c r="AF63" s="922">
        <f>3600*'Release Calculations'!J586</f>
        <v>3600</v>
      </c>
      <c r="AG63" s="922">
        <f>3600*'Release Calculations'!L210</f>
        <v>3600</v>
      </c>
      <c r="AH63" s="922">
        <f>3600*'Release Calculations'!L586</f>
        <v>3600</v>
      </c>
      <c r="AI63" s="922">
        <f>3600*'Release Calculations'!N210</f>
        <v>3600</v>
      </c>
      <c r="AJ63" s="922">
        <f>3600*'Release Calculations'!N586</f>
        <v>3600</v>
      </c>
      <c r="AK63" s="922">
        <f>3600*'Release Calculations'!P210</f>
        <v>3600</v>
      </c>
      <c r="AL63" s="922">
        <f>3600*'Release Calculations'!$R210</f>
        <v>3600</v>
      </c>
      <c r="AM63" s="922">
        <f>3600*'Release Calculations'!R586</f>
        <v>3600</v>
      </c>
      <c r="AN63" s="922">
        <f>3600*'Release Calculations'!T210</f>
        <v>3600</v>
      </c>
      <c r="AO63" s="922">
        <f>3600*'Release Calculations'!T586</f>
        <v>3600</v>
      </c>
      <c r="AP63" s="922">
        <f>3600*'Release Calculations'!V210</f>
        <v>3600</v>
      </c>
      <c r="AQ63" s="922">
        <f>3600*'Release Calculations'!V586</f>
        <v>3600</v>
      </c>
      <c r="AR63" s="922">
        <f>3600*'Release Calculations'!X210</f>
        <v>3600</v>
      </c>
      <c r="AS63" s="922">
        <f>3600*'Release Calculations'!X586</f>
        <v>3600</v>
      </c>
      <c r="AT63" s="922">
        <f>3600*'Release Calculations'!AE223</f>
        <v>3600</v>
      </c>
      <c r="AU63" s="922">
        <f>3600*'Release Calculations'!AG223</f>
        <v>3600</v>
      </c>
      <c r="AV63" s="922">
        <f>3600*'Release Calculations'!AI223</f>
        <v>3600</v>
      </c>
      <c r="AW63" s="922">
        <f>3600*'Release Calculations'!AK223</f>
        <v>3600</v>
      </c>
      <c r="AX63" s="922">
        <f>3600*'Release Calculations'!AM223</f>
        <v>3600</v>
      </c>
      <c r="AY63" s="922">
        <f>3600*'Release Calculations'!AO223</f>
        <v>3600</v>
      </c>
      <c r="AZ63" s="922">
        <f>3600*'Release Calculations'!AE613</f>
        <v>3600</v>
      </c>
      <c r="BA63" s="922">
        <f>3600*'Release Calculations'!AG613</f>
        <v>3600</v>
      </c>
      <c r="BB63" s="922">
        <f>3600*'Release Calculations'!AI613</f>
        <v>3600</v>
      </c>
      <c r="BD63" s="922">
        <f>3600*'Release Calculations'!AV207</f>
        <v>3600</v>
      </c>
      <c r="BE63" s="922">
        <f>3600*'Release Calculations'!AZ207</f>
        <v>3600</v>
      </c>
      <c r="BF63" s="922">
        <f>3600*'Release Calculations'!BB207</f>
        <v>3600</v>
      </c>
      <c r="BG63" s="922">
        <f>3600*'Release Calculations'!BD207</f>
        <v>3600</v>
      </c>
      <c r="BH63" s="922">
        <f>3600*'Release Calculations'!BF207</f>
        <v>3600</v>
      </c>
      <c r="BI63" s="922">
        <f>3600*'Release Calculations'!BH207</f>
        <v>3600</v>
      </c>
      <c r="BJ63" s="922">
        <f>3600*'Release Calculations'!BJ207</f>
        <v>3600</v>
      </c>
      <c r="BK63" s="922">
        <f>3600*'Release Calculations'!BL207</f>
        <v>3600</v>
      </c>
      <c r="BL63" s="922">
        <f>3600*'Release Calculations'!BN207</f>
        <v>3600</v>
      </c>
      <c r="BM63" s="922">
        <f>3600*'Release Calculations'!BU210</f>
        <v>3600</v>
      </c>
      <c r="BN63" s="922">
        <f>3600*'Release Calculations'!BW210</f>
        <v>3600</v>
      </c>
      <c r="BO63" s="922">
        <f>3600*'Release Calculations'!BY210</f>
        <v>3600</v>
      </c>
      <c r="BP63" s="922">
        <f>3600*'Release Calculations'!CA210</f>
        <v>3600</v>
      </c>
      <c r="BQ63" s="922">
        <f>3600*'Release Calculations'!CC210</f>
        <v>3600</v>
      </c>
      <c r="BR63" s="922">
        <f>3600*'Release Calculations'!BY210</f>
        <v>3600</v>
      </c>
      <c r="BS63" s="922"/>
    </row>
    <row r="64" spans="1:72" x14ac:dyDescent="0.25">
      <c r="A64" s="345"/>
      <c r="B64" s="977"/>
      <c r="C64" s="3943" t="str">
        <f>IF(Liq_C=0,"",IF(AND(State&lt;&gt;"Vapor",TNR_Relief="No"),"Reaction Temperature of No Return is Greater than the Boiling Point at Relief Set Pressure or MAWP or non-Reactive","Reaction Temperature of No Return is Less Than: "&amp;IF(TNR_Amb="Yes"," Ambient Temperature, ","")&amp;IF(TNR_T="Yes"," Operating Temperature, ","")&amp;IF(TNR_HT="Yes"," Heating Media Temperature, ","")&amp;IF(TNR_ME="Yes"," Max Mechanical Energy Temperature, ","")&amp;IF(Reactive_Potential_Fire="Yes"," Max Temperature from Fire ","")))</f>
        <v/>
      </c>
      <c r="D64" s="3943"/>
      <c r="E64" s="3943"/>
      <c r="F64" s="3944"/>
      <c r="G64" s="3944"/>
      <c r="H64" s="3938"/>
      <c r="I64" s="3937"/>
      <c r="J64" s="345"/>
      <c r="L64" s="345"/>
      <c r="M64" s="977"/>
      <c r="O64" s="338" t="str">
        <f>IF(P$6="Equipment Rupture at Detonation/Deflagration","Chemical","Rupture")&amp;" Explosion Energy, kcal"</f>
        <v>Rupture Explosion Energy, kcal</v>
      </c>
      <c r="Q64" s="2610" t="str">
        <f>IF(HLOOKUP($P$6,$Y$6:$BS$94,89,0)=0,"",HLOOKUP($P$6,$Y$6:$BS$94,89,0))</f>
        <v/>
      </c>
      <c r="R64" s="3899" t="s">
        <v>2768</v>
      </c>
      <c r="S64" s="3562"/>
      <c r="T64" s="3562"/>
      <c r="U64" s="3898"/>
      <c r="V64" s="345"/>
      <c r="X64" s="338" t="s">
        <v>3199</v>
      </c>
      <c r="Y64" s="594" t="str">
        <f>'Release Calculations'!$D389</f>
        <v>NA</v>
      </c>
      <c r="Z64" s="594" t="str">
        <f>'Release Calculations'!$D766</f>
        <v>NA</v>
      </c>
      <c r="AA64" s="594" t="str">
        <f>'Release Calculations'!$F389</f>
        <v>NA</v>
      </c>
      <c r="AB64" s="594" t="str">
        <f>'Release Calculations'!$F766</f>
        <v>NA</v>
      </c>
      <c r="AC64" s="3237" t="str">
        <f>'Release Calculations'!$H389</f>
        <v>NA</v>
      </c>
      <c r="AD64" s="3237" t="str">
        <f>'Release Calculations'!$H766</f>
        <v>NA</v>
      </c>
      <c r="AE64" s="594" t="str">
        <f>'Release Calculations'!$J389</f>
        <v>NA</v>
      </c>
      <c r="AF64" s="594" t="str">
        <f>'Release Calculations'!$J766</f>
        <v>NA</v>
      </c>
      <c r="AG64" s="594" t="str">
        <f>'Release Calculations'!$L389</f>
        <v>NA</v>
      </c>
      <c r="AH64" s="594" t="str">
        <f>'Release Calculations'!$L766</f>
        <v>NA</v>
      </c>
      <c r="AI64" s="594" t="str">
        <f>'Release Calculations'!$N389</f>
        <v>NA</v>
      </c>
      <c r="AJ64" s="594" t="str">
        <f>'Release Calculations'!$N766</f>
        <v>NA</v>
      </c>
      <c r="AK64" s="594" t="str">
        <f>'Release Calculations'!$P389</f>
        <v>NA</v>
      </c>
      <c r="AL64" s="594" t="str">
        <f>'Release Calculations'!$R389</f>
        <v>NA</v>
      </c>
      <c r="AM64" s="594" t="str">
        <f>'Release Calculations'!$R766</f>
        <v>NA</v>
      </c>
      <c r="AN64" s="594" t="str">
        <f>'Release Calculations'!$T389</f>
        <v>NA</v>
      </c>
      <c r="AO64" s="594" t="str">
        <f>'Release Calculations'!$T766</f>
        <v>NA</v>
      </c>
      <c r="AP64" s="594" t="str">
        <f>'Release Calculations'!$V389</f>
        <v>NA</v>
      </c>
      <c r="AQ64" s="594" t="str">
        <f>'Release Calculations'!$V766</f>
        <v>NA</v>
      </c>
      <c r="AR64" s="594" t="str">
        <f>'Release Calculations'!$X389</f>
        <v>NA</v>
      </c>
      <c r="AS64" s="594" t="str">
        <f>'Release Calculations'!$X766</f>
        <v>NA</v>
      </c>
      <c r="AT64" s="594" t="str">
        <f>'Release Calculations'!$AE403</f>
        <v>NA</v>
      </c>
      <c r="AU64" s="594" t="str">
        <f>'Release Calculations'!$AG403</f>
        <v>NA</v>
      </c>
      <c r="AV64" s="594" t="str">
        <f>'Release Calculations'!$AI403</f>
        <v>NA</v>
      </c>
      <c r="AW64" s="594" t="str">
        <f>'Release Calculations'!$AK403</f>
        <v>NA</v>
      </c>
      <c r="AX64" s="594" t="str">
        <f>'Release Calculations'!$AM403</f>
        <v>NA</v>
      </c>
      <c r="AY64" s="594" t="str">
        <f>'Release Calculations'!$AO403</f>
        <v>NA</v>
      </c>
      <c r="AZ64" s="610" t="str">
        <f>'Release Calculations'!$AE794</f>
        <v>NA</v>
      </c>
      <c r="BA64" s="610" t="str">
        <f>'Release Calculations'!$AG794</f>
        <v>NA</v>
      </c>
      <c r="BB64" s="610" t="str">
        <f>'Release Calculations'!$AI794</f>
        <v>NA</v>
      </c>
      <c r="BC64" s="594" t="str">
        <f>'Release Calculations'!AV387</f>
        <v>NA</v>
      </c>
      <c r="BD64" s="594" t="str">
        <f>'Release Calculations'!AX387</f>
        <v>NA</v>
      </c>
      <c r="BE64" s="594" t="str">
        <f>'Release Calculations'!AZ387</f>
        <v>NA</v>
      </c>
      <c r="BF64" s="594" t="str">
        <f>'Release Calculations'!BB387</f>
        <v>NA</v>
      </c>
      <c r="BG64" s="594" t="str">
        <f>'Release Calculations'!BD387</f>
        <v>NA</v>
      </c>
      <c r="BH64" s="594" t="str">
        <f>'Release Calculations'!BF387</f>
        <v>NA</v>
      </c>
      <c r="BI64" s="594" t="str">
        <f>'Release Calculations'!BH387</f>
        <v>NA</v>
      </c>
      <c r="BJ64" s="594" t="str">
        <f>'Release Calculations'!BJ387</f>
        <v>NA</v>
      </c>
      <c r="BK64" s="594" t="str">
        <f>'Release Calculations'!BL387</f>
        <v>NA</v>
      </c>
      <c r="BL64" s="594" t="str">
        <f>'Release Calculations'!BN387</f>
        <v>NA</v>
      </c>
      <c r="BM64" s="609" t="str">
        <f>'Release Calculations'!$BU417</f>
        <v>NA</v>
      </c>
      <c r="BN64" s="609">
        <f>'Release Calculations'!$BW417</f>
        <v>0</v>
      </c>
      <c r="BO64" s="609" t="str">
        <f>'Release Calculations'!$BY417</f>
        <v>NA</v>
      </c>
      <c r="BP64" s="609" t="str">
        <f>'Release Calculations'!$CA417</f>
        <v>NA</v>
      </c>
      <c r="BQ64" s="609">
        <f>'Release Calculations'!$CC417</f>
        <v>0</v>
      </c>
      <c r="BR64" s="609" t="str">
        <f>'Release Calculations'!$BY417</f>
        <v>NA</v>
      </c>
      <c r="BS64" s="594" t="str">
        <f>'Release Calculations'!CJ241</f>
        <v>NA</v>
      </c>
    </row>
    <row r="65" spans="1:72" x14ac:dyDescent="0.25">
      <c r="A65" s="345"/>
      <c r="B65" s="977"/>
      <c r="C65" s="3944"/>
      <c r="D65" s="3944"/>
      <c r="E65" s="3944"/>
      <c r="F65" s="3944"/>
      <c r="G65" s="3944"/>
      <c r="H65" s="3938"/>
      <c r="I65" s="3937"/>
      <c r="J65" s="345"/>
      <c r="L65" s="345"/>
      <c r="M65" s="977"/>
      <c r="O65" s="338" t="s">
        <v>2712</v>
      </c>
      <c r="Q65" s="2056" t="str">
        <f>IF(HLOOKUP($P$6,$Y$6:$BS$104,45,0)=0,"",HLOOKUP($P$6,$Y$6:$BS$104,45,0))</f>
        <v/>
      </c>
      <c r="S65" s="2057" t="str">
        <f>IF(HLOOKUP($P$6,$Y$6:$BS$104,50,0)=0,"",HLOOKUP($P$6,$Y$6:$BS$104,50,0))</f>
        <v/>
      </c>
      <c r="T65" s="400"/>
      <c r="U65" s="2055"/>
      <c r="V65" s="345"/>
      <c r="X65" s="338" t="s">
        <v>3200</v>
      </c>
      <c r="Y65" s="594" t="str">
        <f>'Release Calculations'!$D384</f>
        <v>NA</v>
      </c>
      <c r="Z65" s="594"/>
      <c r="AA65" s="594" t="str">
        <f>'Release Calculations'!$F384</f>
        <v>NA</v>
      </c>
      <c r="AB65" s="594"/>
      <c r="AC65" s="3237" t="str">
        <f>'Release Calculations'!$H384</f>
        <v>NA</v>
      </c>
      <c r="AD65" s="3237"/>
      <c r="AE65" s="594" t="str">
        <f>'Release Calculations'!$J384</f>
        <v>NA</v>
      </c>
      <c r="AF65" s="594"/>
      <c r="AG65" s="594" t="str">
        <f>'Release Calculations'!$L384</f>
        <v>NA</v>
      </c>
      <c r="AH65" s="594"/>
      <c r="AI65" s="594" t="str">
        <f>'Release Calculations'!$N384</f>
        <v>NA</v>
      </c>
      <c r="AJ65" s="594"/>
      <c r="AK65" s="594" t="str">
        <f>'Release Calculations'!$P384</f>
        <v>NA</v>
      </c>
      <c r="AL65" s="594" t="str">
        <f>'Release Calculations'!$R384</f>
        <v>NA</v>
      </c>
      <c r="AM65" s="594"/>
      <c r="AN65" s="594" t="str">
        <f>'Release Calculations'!$T384</f>
        <v>NA</v>
      </c>
      <c r="AO65" s="594"/>
      <c r="AP65" s="594" t="str">
        <f>'Release Calculations'!$V384</f>
        <v>NA</v>
      </c>
      <c r="AQ65" s="594"/>
      <c r="AR65" s="594" t="str">
        <f>'Release Calculations'!$X384</f>
        <v>NA</v>
      </c>
      <c r="AS65" s="594"/>
      <c r="AT65" s="594" t="str">
        <f>'Release Calculations'!$AE398</f>
        <v>NA</v>
      </c>
      <c r="AU65" s="594" t="str">
        <f>'Release Calculations'!$AG398</f>
        <v>NA</v>
      </c>
      <c r="AV65" s="594" t="str">
        <f>'Release Calculations'!$AI398</f>
        <v>NA</v>
      </c>
      <c r="AW65" s="594" t="str">
        <f>'Release Calculations'!$AK398</f>
        <v>NA</v>
      </c>
      <c r="AX65" s="594" t="str">
        <f>'Release Calculations'!$AM398</f>
        <v>NA</v>
      </c>
      <c r="AY65" s="594" t="str">
        <f>'Release Calculations'!$AO398</f>
        <v>NA</v>
      </c>
      <c r="AZ65" s="594"/>
      <c r="BA65" s="594"/>
      <c r="BB65" s="594"/>
      <c r="BC65" s="594" t="str">
        <f>'Release Calculations'!AV382</f>
        <v>NA</v>
      </c>
      <c r="BD65" s="594" t="str">
        <f>'Release Calculations'!AX382</f>
        <v>NA</v>
      </c>
      <c r="BE65" s="594">
        <f>'Release Calculations'!ATZ156</f>
        <v>0</v>
      </c>
      <c r="BF65" s="594" t="str">
        <f>'Release Calculations'!BB382</f>
        <v>NA</v>
      </c>
      <c r="BG65" s="594" t="str">
        <f>'Release Calculations'!BD382</f>
        <v>NA</v>
      </c>
      <c r="BH65" s="594" t="str">
        <f>'Release Calculations'!BF382</f>
        <v>NA</v>
      </c>
      <c r="BI65" s="594" t="str">
        <f>'Release Calculations'!BH382</f>
        <v>NA</v>
      </c>
      <c r="BJ65" s="594" t="str">
        <f>'Release Calculations'!BJ382</f>
        <v>NA</v>
      </c>
      <c r="BK65" s="594" t="str">
        <f>'Release Calculations'!BL382</f>
        <v>NA</v>
      </c>
      <c r="BL65" s="594" t="str">
        <f>'Release Calculations'!BN382</f>
        <v>NA</v>
      </c>
      <c r="BM65" s="609" t="str">
        <f>'Release Calculations'!$BU412</f>
        <v>NA</v>
      </c>
      <c r="BN65" s="609" t="str">
        <f>'Release Calculations'!$BW412</f>
        <v>NA</v>
      </c>
      <c r="BO65" s="609" t="str">
        <f>'Release Calculations'!$BY412</f>
        <v>NA</v>
      </c>
      <c r="BP65" s="609" t="str">
        <f>'Release Calculations'!$CA412</f>
        <v>NA</v>
      </c>
      <c r="BQ65" s="609" t="str">
        <f>'Release Calculations'!$CC412</f>
        <v>NA</v>
      </c>
      <c r="BR65" s="609" t="str">
        <f>'Release Calculations'!$BY412</f>
        <v>NA</v>
      </c>
      <c r="BS65" s="594" t="str">
        <f>'Release Calculations'!CJ236</f>
        <v>NA</v>
      </c>
    </row>
    <row r="66" spans="1:72" x14ac:dyDescent="0.25">
      <c r="A66" s="345"/>
      <c r="B66" s="977"/>
      <c r="C66" s="338" t="str">
        <f>"Exothermic Reaction Temperature of No Return, "&amp;T_Units</f>
        <v>Exothermic Reaction Temperature of No Return, C</v>
      </c>
      <c r="F66" s="983" t="str">
        <f>IF(OR(Liq_C=0,ABS(DHR)&lt;=1),"",IF(TNR="&gt;TNR","&gt;TNR",IF(F29="F",ROUND(1.8*TNR+32,1),ROUND(TNR,1))))</f>
        <v/>
      </c>
      <c r="G66" s="978"/>
      <c r="H66" s="3942" t="str">
        <f>"Pressure Exceeds "&amp;C$32&amp;"?"</f>
        <v>Pressure Exceeds Maximum Allowable Working or Relief Set Pressure?</v>
      </c>
      <c r="I66" s="3923"/>
      <c r="J66" s="345"/>
      <c r="L66" s="345"/>
      <c r="M66" s="977"/>
      <c r="O66" s="338" t="s">
        <v>4142</v>
      </c>
      <c r="Q66" s="2056" t="str">
        <f>IF(HLOOKUP($P$6,$Y$6:$BS$104,83,0)=0,"",HLOOKUP($P$6,$Y$6:$BS$104,83,0))</f>
        <v/>
      </c>
      <c r="S66" s="3892" t="str">
        <f>IF(AND(Q68="",Q69=""),"",IF(OR(Q68&gt;Bldg_Type_Correction,Q69&gt;Bldg2_Type_Correction),"Potential Equip Rupture Impact to Occupied Building",""))</f>
        <v/>
      </c>
      <c r="T66" s="3893"/>
      <c r="U66" s="432"/>
      <c r="V66" s="345"/>
      <c r="X66" s="338" t="s">
        <v>3201</v>
      </c>
      <c r="Y66" s="594"/>
      <c r="Z66" s="594"/>
      <c r="AA66" s="594"/>
      <c r="AB66" s="594"/>
      <c r="AC66" s="3237"/>
      <c r="AD66" s="3237"/>
      <c r="AE66" s="594"/>
      <c r="AF66" s="594"/>
      <c r="AG66" s="594"/>
      <c r="AH66" s="594"/>
      <c r="AI66" s="594"/>
      <c r="AJ66" s="594"/>
      <c r="AK66" s="594"/>
      <c r="AL66" s="594"/>
      <c r="AM66" s="594"/>
      <c r="AN66" s="594"/>
      <c r="AO66" s="594"/>
      <c r="AP66" s="594"/>
      <c r="AQ66" s="594"/>
      <c r="AR66" s="594"/>
      <c r="AS66" s="594"/>
      <c r="AT66" s="594"/>
      <c r="AU66" s="594"/>
      <c r="AV66" s="594"/>
      <c r="AW66" s="594"/>
      <c r="AX66" s="594"/>
      <c r="AY66" s="594"/>
      <c r="AZ66" s="594"/>
      <c r="BA66" s="594"/>
      <c r="BB66" s="594"/>
      <c r="BC66" s="594"/>
      <c r="BD66" s="594"/>
      <c r="BE66" s="594"/>
      <c r="BF66" s="594"/>
      <c r="BG66" s="594"/>
      <c r="BH66" s="594"/>
      <c r="BI66" s="594"/>
      <c r="BJ66" s="594"/>
      <c r="BK66" s="594"/>
      <c r="BL66" s="594"/>
      <c r="BM66" s="609" t="str">
        <f>'Release Calculations'!$BU444</f>
        <v>NA</v>
      </c>
      <c r="BN66" s="609" t="str">
        <f>'Release Calculations'!$BW444</f>
        <v>NA</v>
      </c>
      <c r="BO66" s="609" t="str">
        <f>'Release Calculations'!$BY444</f>
        <v>NA</v>
      </c>
      <c r="BP66" s="609" t="str">
        <f>'Release Calculations'!$CA444</f>
        <v>NA</v>
      </c>
      <c r="BQ66" s="609" t="str">
        <f>'Release Calculations'!$CC444</f>
        <v>NA</v>
      </c>
      <c r="BR66" s="609" t="str">
        <f>'Release Calculations'!$BY460</f>
        <v>NA</v>
      </c>
      <c r="BS66" s="594" t="str">
        <f>'Release Calculations'!CJ264</f>
        <v>NA</v>
      </c>
    </row>
    <row r="67" spans="1:72" ht="13" customHeight="1" x14ac:dyDescent="0.25">
      <c r="A67" s="345"/>
      <c r="B67" s="977"/>
      <c r="G67" s="589" t="str">
        <f>IF(Liq_C=0,"",IF(TNR="&gt;TNR",IF(AND(ABS(DHR)&gt;1,Gas_Gen&gt;0),"  With Gas Generation of "&amp;Gas_Gen&amp;" Kg mole/liter",""),IF(AND(Gas_Gen&gt;0,ABS(DHR)&gt;1,OR(Gas_Exo="Yes",MAX(T,Ambient_Temp,Heating_T,Tmax_MechEng)&gt;TNR)),"  With Gas Generation of "&amp;Gas_Gen&amp;" Kg mole/liter","")))</f>
        <v/>
      </c>
      <c r="H67" s="3893"/>
      <c r="I67" s="3923"/>
      <c r="J67" s="345"/>
      <c r="L67" s="345"/>
      <c r="M67" s="977"/>
      <c r="O67" s="338" t="str">
        <f>IF(P$6="Equipment Rupture at Detonation/Deflagration","Chemical","Rupture")&amp;" Explosion Distance to 1 psi Overpressure, m"</f>
        <v>Rupture Explosion Distance to 1 psi Overpressure, m</v>
      </c>
      <c r="Q67" s="2056" t="str">
        <f>IF(HLOOKUP($P$6,$Y$6:$BS$104,72,0)=0,"",HLOOKUP($P$6,$Y$6:$BS$104,72,0))</f>
        <v/>
      </c>
      <c r="S67" s="3893"/>
      <c r="T67" s="3893"/>
      <c r="U67" s="2055"/>
      <c r="V67" s="345"/>
      <c r="X67" s="338" t="s">
        <v>3202</v>
      </c>
      <c r="Y67" s="594"/>
      <c r="Z67" s="594"/>
      <c r="AA67" s="594"/>
      <c r="AB67" s="594"/>
      <c r="AC67" s="3237"/>
      <c r="AD67" s="3237"/>
      <c r="AE67" s="594"/>
      <c r="AF67" s="594"/>
      <c r="AG67" s="594"/>
      <c r="AH67" s="594"/>
      <c r="AI67" s="594"/>
      <c r="AJ67" s="594"/>
      <c r="AK67" s="594"/>
      <c r="AL67" s="594"/>
      <c r="AM67" s="594"/>
      <c r="AN67" s="594"/>
      <c r="AO67" s="594"/>
      <c r="AP67" s="594"/>
      <c r="AQ67" s="594"/>
      <c r="AR67" s="594"/>
      <c r="AS67" s="594"/>
      <c r="AT67" s="594"/>
      <c r="AU67" s="594"/>
      <c r="AV67" s="594"/>
      <c r="AW67" s="594"/>
      <c r="AX67" s="594"/>
      <c r="AY67" s="594"/>
      <c r="AZ67" s="594"/>
      <c r="BA67" s="594"/>
      <c r="BB67" s="594"/>
      <c r="BC67" s="594"/>
      <c r="BD67" s="594"/>
      <c r="BE67" s="594"/>
      <c r="BF67" s="594"/>
      <c r="BG67" s="594"/>
      <c r="BH67" s="594"/>
      <c r="BI67" s="594"/>
      <c r="BJ67" s="594"/>
      <c r="BK67" s="594"/>
      <c r="BL67" s="594"/>
      <c r="BM67" s="609">
        <f>'Release Calculations'!$BU476</f>
        <v>0</v>
      </c>
      <c r="BN67" s="609" t="str">
        <f>'Release Calculations'!$BW476</f>
        <v>NA</v>
      </c>
      <c r="BO67" s="609">
        <f>'Release Calculations'!$BY476</f>
        <v>0</v>
      </c>
      <c r="BP67" s="609">
        <f>'Release Calculations'!$CA476</f>
        <v>0</v>
      </c>
      <c r="BQ67" s="609" t="str">
        <f>'Release Calculations'!$CC476</f>
        <v>NA</v>
      </c>
      <c r="BR67" s="609">
        <f>'Release Calculations'!$BY476</f>
        <v>0</v>
      </c>
      <c r="BS67" s="594"/>
    </row>
    <row r="68" spans="1:72" x14ac:dyDescent="0.25">
      <c r="A68" s="345"/>
      <c r="B68" s="977"/>
      <c r="C68" s="3945" t="str">
        <f>"Maximum Reaction based on "&amp;IF(Rx_MisLoading="Yes","Misloading","Adiabatic")&amp;" and Initial Temperature as "&amp;IF(F66&lt;MAX(T,Ambient_Temp,Heating_T,Tmax_MechEng),"Temperature of No Return","Operating Temperature")</f>
        <v>Maximum Reaction based on Adiabatic and Initial Temperature as Operating Temperature</v>
      </c>
      <c r="D68" s="3893"/>
      <c r="E68" s="591"/>
      <c r="F68" s="572" t="str">
        <f>"Temperature, "&amp;T_Units</f>
        <v>Temperature, C</v>
      </c>
      <c r="G68" s="578" t="str">
        <f>"Pressure, "&amp;P_Units&amp;"g"</f>
        <v>Pressure, barg</v>
      </c>
      <c r="H68" s="3893"/>
      <c r="I68" s="3923"/>
      <c r="J68" s="345"/>
      <c r="L68" s="345"/>
      <c r="M68" s="977"/>
      <c r="O68" s="338" t="str">
        <f>IF(P$6="Equipment Rupture at Detonation/Deflagration","Chemical","Rupture")&amp;" Explosion Overpressure at Center Occupied Building 1, psi"</f>
        <v>Rupture Explosion Overpressure at Center Occupied Building 1, psi</v>
      </c>
      <c r="Q68" s="2056">
        <f>IF(HLOOKUP($P$6,$Y$6:$BS$104,69,0)=0,0,IF(HLOOKUP($P$6,$Y$6:$BS$104,69,0)&gt;10,"&gt; 10 psi",HLOOKUP($P$6,$Y$6:$BS$104,69,0)))</f>
        <v>0</v>
      </c>
      <c r="S68" s="3893"/>
      <c r="T68" s="3893"/>
      <c r="U68" s="432"/>
      <c r="V68" s="345"/>
      <c r="X68" s="338" t="s">
        <v>3203</v>
      </c>
      <c r="Y68" s="594" t="str">
        <f>'Release Calculations'!$D378</f>
        <v>NA</v>
      </c>
      <c r="Z68" s="594" t="str">
        <f>'Release Calculations'!$D761</f>
        <v>NA</v>
      </c>
      <c r="AA68" s="594" t="str">
        <f>'Release Calculations'!$F378</f>
        <v>NA</v>
      </c>
      <c r="AB68" s="594" t="str">
        <f>'Release Calculations'!$F761</f>
        <v>NA</v>
      </c>
      <c r="AC68" s="3237" t="str">
        <f>'Release Calculations'!$H378</f>
        <v>NA</v>
      </c>
      <c r="AD68" s="3237" t="str">
        <f>'Release Calculations'!$H761</f>
        <v>NA</v>
      </c>
      <c r="AE68" s="594" t="str">
        <f>'Release Calculations'!$J378</f>
        <v>NA</v>
      </c>
      <c r="AF68" s="594" t="str">
        <f>'Release Calculations'!$J761</f>
        <v>NA</v>
      </c>
      <c r="AG68" s="594" t="str">
        <f>'Release Calculations'!$L378</f>
        <v>NA</v>
      </c>
      <c r="AH68" s="594" t="str">
        <f>'Release Calculations'!$L761</f>
        <v>NA</v>
      </c>
      <c r="AI68" s="594" t="str">
        <f>'Release Calculations'!$N378</f>
        <v>NA</v>
      </c>
      <c r="AJ68" s="594" t="str">
        <f>'Release Calculations'!$N761</f>
        <v>NA</v>
      </c>
      <c r="AK68" s="594" t="str">
        <f>'Release Calculations'!$P378</f>
        <v>NA</v>
      </c>
      <c r="AL68" s="594" t="str">
        <f>'Release Calculations'!$R378</f>
        <v>NA</v>
      </c>
      <c r="AM68" s="594" t="str">
        <f>'Release Calculations'!$R761</f>
        <v>NA</v>
      </c>
      <c r="AN68" s="594" t="str">
        <f>'Release Calculations'!$T378</f>
        <v>NA</v>
      </c>
      <c r="AO68" s="594" t="str">
        <f>'Release Calculations'!$T761</f>
        <v>NA</v>
      </c>
      <c r="AP68" s="594" t="str">
        <f>'Release Calculations'!$V378</f>
        <v>NA</v>
      </c>
      <c r="AQ68" s="594" t="str">
        <f>'Release Calculations'!$V761</f>
        <v>NA</v>
      </c>
      <c r="AR68" s="594" t="str">
        <f>'Release Calculations'!$X378</f>
        <v>NA</v>
      </c>
      <c r="AS68" s="594" t="str">
        <f>'Release Calculations'!$X761</f>
        <v>NA</v>
      </c>
      <c r="AT68" s="594" t="str">
        <f>'Release Calculations'!$AE392</f>
        <v>NA</v>
      </c>
      <c r="AU68" s="594" t="str">
        <f>'Release Calculations'!$AG392</f>
        <v>NA</v>
      </c>
      <c r="AV68" s="594" t="str">
        <f>'Release Calculations'!$AI392</f>
        <v>NA</v>
      </c>
      <c r="AW68" s="594" t="str">
        <f>'Release Calculations'!$AK392</f>
        <v>NA</v>
      </c>
      <c r="AX68" s="594" t="str">
        <f>'Release Calculations'!$AM392</f>
        <v>NA</v>
      </c>
      <c r="AY68" s="594" t="str">
        <f>'Release Calculations'!$AO392</f>
        <v>NA</v>
      </c>
      <c r="AZ68" s="594" t="str">
        <f>'Release Calculations'!$AE789</f>
        <v>NA</v>
      </c>
      <c r="BA68" s="594" t="str">
        <f>'Release Calculations'!$AG789</f>
        <v>NA</v>
      </c>
      <c r="BB68" s="594" t="str">
        <f>'Release Calculations'!$AI789</f>
        <v>NA</v>
      </c>
      <c r="BC68" s="594" t="str">
        <f>'Release Calculations'!AV376</f>
        <v>NA</v>
      </c>
      <c r="BD68" s="594" t="str">
        <f>'Release Calculations'!AX376</f>
        <v>NA</v>
      </c>
      <c r="BE68" s="594" t="str">
        <f>'Release Calculations'!AZ376</f>
        <v>NA</v>
      </c>
      <c r="BF68" s="594" t="str">
        <f>'Release Calculations'!BB376</f>
        <v>NA</v>
      </c>
      <c r="BG68" s="594" t="str">
        <f>'Release Calculations'!BD376</f>
        <v>NA</v>
      </c>
      <c r="BH68" s="594" t="str">
        <f>'Release Calculations'!BF376</f>
        <v>NA</v>
      </c>
      <c r="BI68" s="594" t="str">
        <f>'Release Calculations'!BH376</f>
        <v>NA</v>
      </c>
      <c r="BJ68" s="594" t="str">
        <f>'Release Calculations'!BJ376</f>
        <v>NA</v>
      </c>
      <c r="BK68" s="594" t="str">
        <f>'Release Calculations'!BL376</f>
        <v>NA</v>
      </c>
      <c r="BL68" s="594" t="str">
        <f>'Release Calculations'!BN376</f>
        <v>NA</v>
      </c>
      <c r="BM68" s="609" t="str">
        <f>'Release Calculations'!$BU408</f>
        <v>NA</v>
      </c>
      <c r="BN68" s="609" t="str">
        <f>'Release Calculations'!$BW408</f>
        <v>NA</v>
      </c>
      <c r="BO68" s="609" t="str">
        <f>'Release Calculations'!$BY408</f>
        <v>NA</v>
      </c>
      <c r="BP68" s="609" t="str">
        <f>'Release Calculations'!$CA408</f>
        <v>NA</v>
      </c>
      <c r="BQ68" s="609" t="str">
        <f>'Release Calculations'!$CC408</f>
        <v>NA</v>
      </c>
      <c r="BR68" s="609" t="str">
        <f>'Release Calculations'!$BY408</f>
        <v>NA</v>
      </c>
      <c r="BS68" s="594" t="str">
        <f>'Release Calculations'!CJ230</f>
        <v>NA</v>
      </c>
    </row>
    <row r="69" spans="1:72" x14ac:dyDescent="0.25">
      <c r="A69" s="345"/>
      <c r="B69" s="977"/>
      <c r="C69" s="3945"/>
      <c r="D69" s="3893"/>
      <c r="E69" s="591"/>
      <c r="F69" s="982">
        <f>IF(AND(Rx_MisLoading="Yes",Rx_MisLoading_Factor&gt;1),IF(F29="F",ROUND(1.8*Tmisload_max+32,1),ROUND(Tmisload_max,1)),IF(F29="F",ROUND(1.8*Tad_max+32,1),ROUND(Tad_max,1)))</f>
        <v>0</v>
      </c>
      <c r="G69" s="984" t="e">
        <f>IF(AND(Rx_MisLoading="Yes",Rx_MisLoading_Factor&gt;1),Prx_Max_MisLoading,Prx_Max_Adiabatic)/G27</f>
        <v>#DIV/0!</v>
      </c>
      <c r="H69" s="616" t="e">
        <f>IF(OR(F63="No",F69=""),"",IF(G69&gt;G$32,"Yes","No"))</f>
        <v>#DIV/0!</v>
      </c>
      <c r="I69" s="432"/>
      <c r="J69" s="345"/>
      <c r="L69" s="345"/>
      <c r="M69" s="977"/>
      <c r="O69" s="338" t="str">
        <f>IF(P$6="Equipment Rupture at Detonation/Deflagration","Chemical","Rupture")&amp;" Explosion Overpressure at Center Occupied Building 2, psi"</f>
        <v>Rupture Explosion Overpressure at Center Occupied Building 2, psi</v>
      </c>
      <c r="Q69" s="2056">
        <f>IF(HLOOKUP($P$6,$Y$6:$BS$104,70,0)=0,0,IF(HLOOKUP($P$6,$Y$6:$BS$104,70,0)&gt;10,"&gt; 10 psi",HLOOKUP($P$6,$Y$6:$BS$104,70,0)))</f>
        <v>0</v>
      </c>
      <c r="S69" s="3893"/>
      <c r="T69" s="3893"/>
      <c r="U69" s="432"/>
      <c r="V69" s="345"/>
      <c r="X69" s="338" t="s">
        <v>3204</v>
      </c>
      <c r="Y69" s="594" t="str">
        <f>IF(Y23="Indoors",'Release Calculations'!$D399,'Release Calculations'!$D409)</f>
        <v>NA</v>
      </c>
      <c r="Z69" s="594" t="str">
        <f>IF(Z23="Indoors",'Release Calculations'!$D776,'Release Calculations'!$D786)</f>
        <v>NA</v>
      </c>
      <c r="AA69" s="594" t="str">
        <f>IF(AA23="Indoors",'Release Calculations'!$F399,'Release Calculations'!$F409)</f>
        <v>NA</v>
      </c>
      <c r="AB69" s="594" t="str">
        <f>IF(AB23="Indoors",'Release Calculations'!$F776,'Release Calculations'!$F786)</f>
        <v>NA</v>
      </c>
      <c r="AC69" s="3237" t="str">
        <f>IF(AC23="Indoors",'Release Calculations'!$F399,'Release Calculations'!$F409)</f>
        <v>NA</v>
      </c>
      <c r="AD69" s="3237" t="str">
        <f>IF(AD23="Indoors",'Release Calculations'!$F776,'Release Calculations'!$F786)</f>
        <v>NA</v>
      </c>
      <c r="AE69" s="594" t="str">
        <f>IF(AE23="Indoors",'Release Calculations'!$J399,'Release Calculations'!$J409)</f>
        <v>NA</v>
      </c>
      <c r="AF69" s="594" t="str">
        <f>IF(AF23="Indoors",'Release Calculations'!$J776,'Release Calculations'!$J786)</f>
        <v>NA</v>
      </c>
      <c r="AG69" s="594" t="str">
        <f>IF(AG23="Indoors",'Release Calculations'!$L399,'Release Calculations'!$L409)</f>
        <v>NA</v>
      </c>
      <c r="AH69" s="594" t="str">
        <f>IF(AH23="Indoors",'Release Calculations'!$L776,'Release Calculations'!$L786)</f>
        <v>NA</v>
      </c>
      <c r="AI69" s="594" t="str">
        <f>IF(AI23="Indoors",'Release Calculations'!$N399,'Release Calculations'!$N409)</f>
        <v>NA</v>
      </c>
      <c r="AJ69" s="594" t="str">
        <f>IF(AJ23="Indoors",'Release Calculations'!$N776,'Release Calculations'!$N786)</f>
        <v>NA</v>
      </c>
      <c r="AK69" s="594" t="str">
        <f>IF(AK23="Indoors",'Release Calculations'!$P399,'Release Calculations'!$P409)</f>
        <v>NA</v>
      </c>
      <c r="AL69" s="594" t="str">
        <f>IF(AL23="Indoors",'Release Calculations'!$R399,'Release Calculations'!$R409)</f>
        <v>NA</v>
      </c>
      <c r="AM69" s="594" t="str">
        <f>IF(AM23="Indoors",'Release Calculations'!$R776,'Release Calculations'!$R786)</f>
        <v>NA</v>
      </c>
      <c r="AN69" s="594" t="str">
        <f>IF(AN23="Indoors",'Release Calculations'!$T399,'Release Calculations'!$T409)</f>
        <v>NA</v>
      </c>
      <c r="AO69" s="594" t="str">
        <f>IF(AO23="Indoors",'Release Calculations'!$T776,'Release Calculations'!$T786)</f>
        <v>NA</v>
      </c>
      <c r="AP69" s="594" t="str">
        <f>IF(AP23="Indoors",'Release Calculations'!$V399,'Release Calculations'!$V409)</f>
        <v>NA</v>
      </c>
      <c r="AQ69" s="594" t="str">
        <f>IF(AQ23="Indoors",'Release Calculations'!$V776,'Release Calculations'!$V786)</f>
        <v>NA</v>
      </c>
      <c r="AR69" s="594" t="str">
        <f>IF(AR23="Indoors",'Release Calculations'!$X399,'Release Calculations'!$X409)</f>
        <v>NA</v>
      </c>
      <c r="AS69" s="594" t="str">
        <f>IF(AS23="Indoors",'Release Calculations'!$X776,'Release Calculations'!$X786)</f>
        <v>NA</v>
      </c>
      <c r="AT69" s="594" t="str">
        <f>IF(AT23="Indoors",'Release Calculations'!$AE413,'Release Calculations'!$AE423)</f>
        <v>NA</v>
      </c>
      <c r="AU69" s="594" t="str">
        <f>IF(AU23="Indoors",'Release Calculations'!$AG413,'Release Calculations'!$AG423)</f>
        <v>NA</v>
      </c>
      <c r="AV69" s="594" t="str">
        <f>IF(AV23="Indoors",'Release Calculations'!$AI413,'Release Calculations'!$AI423)</f>
        <v>NA</v>
      </c>
      <c r="AW69" s="594" t="str">
        <f>IF(AW23="Indoors",'Release Calculations'!$AK413,'Release Calculations'!$AK423)</f>
        <v>NA</v>
      </c>
      <c r="AX69" s="594" t="str">
        <f>IF(AX23="Indoors",'Release Calculations'!$AM413,'Release Calculations'!$AM423)</f>
        <v>NA</v>
      </c>
      <c r="AY69" s="594" t="str">
        <f>IF(AY23="Indoors",'Release Calculations'!$AO413,'Release Calculations'!$AO423)</f>
        <v>NA</v>
      </c>
      <c r="AZ69" s="594" t="str">
        <f>IF(AZ23="Indoors",'Release Calculations'!$AE804,'Release Calculations'!$AE814)</f>
        <v>NA</v>
      </c>
      <c r="BA69" s="594" t="str">
        <f>IF(BA23="Indoors",'Release Calculations'!$AG804,'Release Calculations'!$AG814)</f>
        <v>NA</v>
      </c>
      <c r="BB69" s="594" t="str">
        <f>IF(BB23="Indoors",'Release Calculations'!$AI804,'Release Calculations'!$AI814)</f>
        <v>NA</v>
      </c>
      <c r="BC69" s="594" t="str">
        <f>IF(Relief_Release="Indoors",'Release Calculations'!AV397,'Release Calculations'!AV407)</f>
        <v>NA</v>
      </c>
      <c r="BD69" s="594" t="str">
        <f>IF(Relief_Release="Indoors",'Release Calculations'!AX397,'Release Calculations'!AX407)</f>
        <v>NA</v>
      </c>
      <c r="BE69" s="594" t="str">
        <f>IF(Relief_Release="Indoors",'Release Calculations'!AZ397,'Release Calculations'!AZ407)</f>
        <v>NA</v>
      </c>
      <c r="BF69" s="594" t="str">
        <f>IF(Relief_Release="Indoors",'Release Calculations'!BB397,'Release Calculations'!BB407)</f>
        <v>NA</v>
      </c>
      <c r="BG69" s="594" t="str">
        <f>IF(Relief_Release="Indoors",'Release Calculations'!BD397,'Release Calculations'!BD407)</f>
        <v>NA</v>
      </c>
      <c r="BH69" s="594" t="str">
        <f>IF(Relief_Release="Indoors",'Release Calculations'!BF397,'Release Calculations'!BF407)</f>
        <v>NA</v>
      </c>
      <c r="BI69" s="594" t="str">
        <f>IF(Relief_Release="Indoors",'Release Calculations'!BH397,'Release Calculations'!BH407)</f>
        <v>NA</v>
      </c>
      <c r="BJ69" s="594" t="str">
        <f>IF(Relief_Release="Indoors",'Release Calculations'!BJ397,'Release Calculations'!BJ407)</f>
        <v>NA</v>
      </c>
      <c r="BK69" s="594" t="str">
        <f>IF(Relief_Release="Indoors",'Release Calculations'!BL397,'Release Calculations'!BL407)</f>
        <v>NA</v>
      </c>
      <c r="BL69" s="594" t="str">
        <f>IF(Relief_Release="Indoors",'Release Calculations'!BN397,'Release Calculations'!BN407)</f>
        <v>NA</v>
      </c>
      <c r="BM69" s="869" t="str">
        <f>IF(Location="Indoors",'Release Calculations'!$BU427,'Release Calculations'!$BU437)</f>
        <v>NA</v>
      </c>
      <c r="BN69" s="869">
        <f>IF(Location="Indoors",'Release Calculations'!$BW427,'Release Calculations'!$BW437)</f>
        <v>0</v>
      </c>
      <c r="BO69" s="869" t="str">
        <f>IF(Location="Indoors",'Release Calculations'!$BY427,'Release Calculations'!$BY437)</f>
        <v>NA</v>
      </c>
      <c r="BP69" s="869" t="str">
        <f>IF(Location="Indoors",'Release Calculations'!$CA427,'Release Calculations'!$CA437)</f>
        <v>NA</v>
      </c>
      <c r="BQ69" s="869">
        <f>IF(Location="Indoors",'Release Calculations'!$CC427,'Release Calculations'!$CC437)</f>
        <v>0</v>
      </c>
      <c r="BR69" s="869" t="str">
        <f>IF(Location="Indoors",'Release Calculations'!$BY427,'Release Calculations'!$BY437)</f>
        <v>NA</v>
      </c>
      <c r="BS69" s="594" t="str">
        <f>IF(Location="Indoors",'Release Calculations'!CJ249,'Release Calculations'!CJ258)</f>
        <v>NA</v>
      </c>
    </row>
    <row r="70" spans="1:72" ht="13.5" thickBot="1" x14ac:dyDescent="0.3">
      <c r="A70" s="345"/>
      <c r="B70" s="977"/>
      <c r="C70" s="1706"/>
      <c r="D70" s="1707"/>
      <c r="E70" s="591"/>
      <c r="F70" s="400"/>
      <c r="G70" s="584"/>
      <c r="H70" s="1728"/>
      <c r="I70" s="1729"/>
      <c r="J70" s="345"/>
      <c r="L70" s="345"/>
      <c r="M70" s="579"/>
      <c r="N70" s="580"/>
      <c r="O70" s="580"/>
      <c r="P70" s="580"/>
      <c r="Q70" s="1242"/>
      <c r="R70" s="580"/>
      <c r="S70" s="588"/>
      <c r="T70" s="588"/>
      <c r="U70" s="581"/>
      <c r="V70" s="345"/>
      <c r="X70" s="338" t="s">
        <v>3207</v>
      </c>
      <c r="Y70" s="1022">
        <f>IF(Y36="Indoors",'Release Calculations'!$D370,'Release Calculations'!$D365)</f>
        <v>6.0000000000000008E-7</v>
      </c>
      <c r="Z70" s="1022">
        <f>IF(Z36="Indoors",'Release Calculations'!$D753,'Release Calculations'!$D748)</f>
        <v>6.0000000000000008E-7</v>
      </c>
      <c r="AA70" s="1022">
        <f>IF(AA36="Indoors",'Release Calculations'!$F370,'Release Calculations'!$F365)</f>
        <v>6.0000000000000008E-7</v>
      </c>
      <c r="AB70" s="1022">
        <f>IF(AB36="Indoors",'Release Calculations'!$F753,'Release Calculations'!$F748)</f>
        <v>6.0000000000000008E-7</v>
      </c>
      <c r="AC70" s="3241">
        <f>IF(AC36="Indoors",'Release Calculations'!$F370,'Release Calculations'!$F365)</f>
        <v>6.0000000000000008E-7</v>
      </c>
      <c r="AD70" s="3241">
        <f>IF(AD36="Indoors",'Release Calculations'!$F753,'Release Calculations'!$F748)</f>
        <v>6.0000000000000008E-7</v>
      </c>
      <c r="AE70" s="1022">
        <f>IF(AE36="Indoors",'Release Calculations'!$J370,'Release Calculations'!$J365)</f>
        <v>6.0000000000000008E-7</v>
      </c>
      <c r="AF70" s="1022">
        <f>IF(AF36="Indoors",'Release Calculations'!$J753,'Release Calculations'!$J748)</f>
        <v>6.0000000000000008E-7</v>
      </c>
      <c r="AG70" s="1022">
        <f>IF(AG36="Indoors",'Release Calculations'!$L370,'Release Calculations'!$L365)</f>
        <v>6.0000000000000008E-7</v>
      </c>
      <c r="AH70" s="1022">
        <f>IF(AH36="Indoors",'Release Calculations'!$L753,'Release Calculations'!$L748)</f>
        <v>6.0000000000000008E-7</v>
      </c>
      <c r="AI70" s="1022">
        <f>IF(AI36="Indoors",'Release Calculations'!$N370,'Release Calculations'!$N365)</f>
        <v>6.0000000000000008E-7</v>
      </c>
      <c r="AJ70" s="1022">
        <f>IF(AJ36="Indoors",'Release Calculations'!$N753,'Release Calculations'!$N748)</f>
        <v>6.0000000000000008E-7</v>
      </c>
      <c r="AK70" s="1022">
        <f>IF(AK36="Indoors",'Release Calculations'!$P370,'Release Calculations'!$P365)</f>
        <v>6.0000000000000008E-7</v>
      </c>
      <c r="AL70" s="1022">
        <f>IF(AL36="Indoors",'Release Calculations'!$R370,'Release Calculations'!$R365)</f>
        <v>6.0000000000000008E-7</v>
      </c>
      <c r="AM70" s="1022">
        <f>IF(AM36="Indoors",'Release Calculations'!$R753,'Release Calculations'!$R748)</f>
        <v>6.0000000000000008E-7</v>
      </c>
      <c r="AN70" s="1022">
        <f>IF(AN36="Indoors",'Release Calculations'!$T370,'Release Calculations'!$T365)</f>
        <v>6.0000000000000008E-7</v>
      </c>
      <c r="AO70" s="1022">
        <f>IF(AO36="Indoors",'Release Calculations'!$T753,'Release Calculations'!$T748)</f>
        <v>6.0000000000000008E-7</v>
      </c>
      <c r="AP70" s="1022">
        <f>IF(AP36="Indoors",'Release Calculations'!$V370,'Release Calculations'!$V365)</f>
        <v>6.0000000000000008E-7</v>
      </c>
      <c r="AQ70" s="1022">
        <f>IF(AQ36="Indoors",'Release Calculations'!$V753,'Release Calculations'!$V748)</f>
        <v>6.0000000000000008E-7</v>
      </c>
      <c r="AR70" s="1022">
        <f>IF(AR36="Indoors",'Release Calculations'!$X370,'Release Calculations'!$X365)</f>
        <v>6.0000000000000008E-7</v>
      </c>
      <c r="AS70" s="1022">
        <f>IF(AS36="Indoors",'Release Calculations'!$X753,'Release Calculations'!$X748)</f>
        <v>6.0000000000000008E-7</v>
      </c>
      <c r="AT70" s="1022">
        <f>IF(AT36="Indoors",'Release Calculations'!$AE384,'Release Calculations'!$AE379)</f>
        <v>6.0000000000000008E-7</v>
      </c>
      <c r="AU70" s="1022">
        <f>IF(AU36="Indoors",'Release Calculations'!$AG384,'Release Calculations'!$AG379)</f>
        <v>6.0000000000000008E-7</v>
      </c>
      <c r="AV70" s="1022">
        <f>IF(AV36="Indoors",'Release Calculations'!$AI384,'Release Calculations'!$AI379)</f>
        <v>6.0000000000000008E-7</v>
      </c>
      <c r="AW70" s="1022">
        <f>IF(AW36="Indoors",'Release Calculations'!$AK384,'Release Calculations'!$AK379)</f>
        <v>6.0000000000000008E-7</v>
      </c>
      <c r="AX70" s="1022">
        <f>IF(AX36="Indoors",'Release Calculations'!$AM384,'Release Calculations'!$AM379)</f>
        <v>6.0000000000000008E-7</v>
      </c>
      <c r="AY70" s="1022">
        <f>IF(AY36="Indoors",'Release Calculations'!$AO384,'Release Calculations'!$AO379)</f>
        <v>6.0000000000000008E-7</v>
      </c>
      <c r="AZ70" s="1022">
        <f>IF(AZ36="Indoors",'Release Calculations'!$AE781,'Release Calculations'!$AE776)</f>
        <v>6.0000000000000008E-7</v>
      </c>
      <c r="BA70" s="1022">
        <f>IF(BA36="Indoors",'Release Calculations'!$AG781,'Release Calculations'!AG776)</f>
        <v>6.0000000000000008E-7</v>
      </c>
      <c r="BB70" s="1022">
        <f>IF(BB36="Indoors",'Release Calculations'!$AI781,'Release Calculations'!$AI776)</f>
        <v>6.0000000000000008E-7</v>
      </c>
      <c r="BC70" s="1022">
        <f>IF(BC36="Indoors",'Release Calculations'!$AV368,'Release Calculations'!$AV363)</f>
        <v>6.0000000000000008E-7</v>
      </c>
      <c r="BD70" s="1022">
        <f>IF(BD36="Indoors",'Release Calculations'!$AX368,'Release Calculations'!$AX363)</f>
        <v>6.0000000000000008E-7</v>
      </c>
      <c r="BE70" s="1022">
        <f>IF(BE36="Indoors",'Release Calculations'!$AZ368,'Release Calculations'!$AZ363)</f>
        <v>6.0000000000000008E-7</v>
      </c>
      <c r="BF70" s="1022">
        <f>IF(BF36="Indoors",'Release Calculations'!$BB368,'Release Calculations'!$BB363)</f>
        <v>6.0000000000000008E-7</v>
      </c>
      <c r="BG70" s="1022">
        <f>IF(BG36="Indoors",'Release Calculations'!$BD368,'Release Calculations'!$BD363)</f>
        <v>6.0000000000000008E-7</v>
      </c>
      <c r="BH70" s="1022">
        <f>IF(BH36="Indoors",'Release Calculations'!$BF368,'Release Calculations'!$BF363)</f>
        <v>6.0000000000000008E-7</v>
      </c>
      <c r="BI70" s="1022">
        <f>IF(BI36="Indoors",'Release Calculations'!$BH368,'Release Calculations'!$BH363)</f>
        <v>6.0000000000000008E-7</v>
      </c>
      <c r="BJ70" s="1022">
        <f>IF(BJ36="Indoors",'Release Calculations'!$BJ368,'Release Calculations'!$BJ363)</f>
        <v>6.0000000000000008E-7</v>
      </c>
      <c r="BK70" s="1022">
        <f>IF(BK36="Indoors",'Release Calculations'!$BL368,'Release Calculations'!$BL363)</f>
        <v>6.0000000000000008E-7</v>
      </c>
      <c r="BL70" s="1022">
        <f>IF(BL36="Indoors",'Release Calculations'!$BN368,'Release Calculations'!$BN363)</f>
        <v>6.0000000000000008E-7</v>
      </c>
      <c r="BM70" s="1361">
        <f>IF(Location="Indoors",'Release Calculations'!$BU400,'Release Calculations'!$BU395)</f>
        <v>6.0000000000000008E-7</v>
      </c>
      <c r="BN70" s="1361">
        <f>IF(Location="Indoors",'Release Calculations'!$BW400,'Release Calculations'!$BW395)</f>
        <v>6.0000000000000008E-7</v>
      </c>
      <c r="BO70" s="1361">
        <f>IF(Location="Indoors",'Release Calculations'!$BY400,'Release Calculations'!$BY395)</f>
        <v>6.0000000000000008E-7</v>
      </c>
      <c r="BP70" s="1361">
        <f>IF(Location="Indoors",'Release Calculations'!$CA400,'Release Calculations'!$CA395)</f>
        <v>6.0000000000000008E-7</v>
      </c>
      <c r="BQ70" s="1361">
        <f>IF(Location="Indoors",'Release Calculations'!$CC400,'Release Calculations'!$CC395)</f>
        <v>6.0000000000000008E-7</v>
      </c>
      <c r="BR70" s="1361">
        <f>IF(Location="Indoors",'Release Calculations'!$BY400,'Release Calculations'!$BY395)</f>
        <v>6.0000000000000008E-7</v>
      </c>
      <c r="BS70" s="1362">
        <f>IF(Location="Indoors",'Release Calculations'!CJ222,'Release Calculations'!CJ217)</f>
        <v>0</v>
      </c>
      <c r="BT70" s="400"/>
    </row>
    <row r="71" spans="1:72" x14ac:dyDescent="0.25">
      <c r="A71" s="345"/>
      <c r="B71" s="977"/>
      <c r="C71" s="1706"/>
      <c r="D71" s="592" t="s">
        <v>3586</v>
      </c>
      <c r="F71" s="1732" t="e">
        <f>IF(F63="No","",IF(F69&gt;Failure_T,"Yes","No"))</f>
        <v>#DIV/0!</v>
      </c>
      <c r="G71" s="584"/>
      <c r="H71" s="1728"/>
      <c r="I71" s="1729"/>
      <c r="J71" s="345"/>
      <c r="L71" s="345"/>
      <c r="M71" s="574"/>
      <c r="N71" s="575"/>
      <c r="O71" s="575"/>
      <c r="P71" s="575"/>
      <c r="Q71" s="1370"/>
      <c r="R71" s="575"/>
      <c r="S71" s="575"/>
      <c r="T71" s="575"/>
      <c r="U71" s="576"/>
      <c r="V71" s="345"/>
      <c r="X71" s="338" t="s">
        <v>5182</v>
      </c>
      <c r="Y71" s="1022">
        <f>'Release Calculations'!$D386</f>
        <v>0</v>
      </c>
      <c r="Z71" s="1022">
        <f>'Release Calculations'!$D763</f>
        <v>0</v>
      </c>
      <c r="AA71" s="1022">
        <f>'Release Calculations'!$F386</f>
        <v>0</v>
      </c>
      <c r="AB71" s="1022">
        <f>'Release Calculations'!$F763</f>
        <v>0</v>
      </c>
      <c r="AC71" s="3241">
        <f>'Release Calculations'!$H386</f>
        <v>0</v>
      </c>
      <c r="AD71" s="3241">
        <f>'Release Calculations'!$H763</f>
        <v>0</v>
      </c>
      <c r="AE71" s="1022">
        <f>'Release Calculations'!$J386</f>
        <v>0</v>
      </c>
      <c r="AF71" s="1022">
        <f>'Release Calculations'!$J763</f>
        <v>0</v>
      </c>
      <c r="AG71" s="1022">
        <f>'Release Calculations'!$L386</f>
        <v>0</v>
      </c>
      <c r="AH71" s="1022">
        <f>'Release Calculations'!$L763</f>
        <v>0</v>
      </c>
      <c r="AI71" s="1022">
        <f>'Release Calculations'!$N386</f>
        <v>0</v>
      </c>
      <c r="AJ71" s="1022">
        <f>'Release Calculations'!$N763</f>
        <v>0</v>
      </c>
      <c r="AK71" s="1022">
        <f>'Release Calculations'!$P386</f>
        <v>0</v>
      </c>
      <c r="AL71" s="1022">
        <f>'Release Calculations'!$R386</f>
        <v>0</v>
      </c>
      <c r="AM71" s="1022">
        <f>'Release Calculations'!$R763</f>
        <v>0</v>
      </c>
      <c r="AN71" s="1022">
        <f>'Release Calculations'!$T386</f>
        <v>0</v>
      </c>
      <c r="AO71" s="1022">
        <f>'Release Calculations'!$T763</f>
        <v>0</v>
      </c>
      <c r="AP71" s="1022">
        <f>'Release Calculations'!$V386</f>
        <v>0</v>
      </c>
      <c r="AQ71" s="1022">
        <f>'Release Calculations'!$V763</f>
        <v>0</v>
      </c>
      <c r="AR71" s="1022">
        <f>'Release Calculations'!$X386</f>
        <v>0</v>
      </c>
      <c r="AS71" s="1022">
        <f>'Release Calculations'!$X763</f>
        <v>0</v>
      </c>
      <c r="AT71" s="1022">
        <f>'Release Calculations'!$AE400</f>
        <v>0</v>
      </c>
      <c r="AU71" s="1022">
        <f>'Release Calculations'!$AG400</f>
        <v>0</v>
      </c>
      <c r="AV71" s="1022">
        <f>'Release Calculations'!$AI400</f>
        <v>0</v>
      </c>
      <c r="AW71" s="1022">
        <f>'Release Calculations'!$AK400</f>
        <v>0</v>
      </c>
      <c r="AX71" s="1022">
        <f>'Release Calculations'!$AM400</f>
        <v>0</v>
      </c>
      <c r="AY71" s="1022">
        <f>'Release Calculations'!$AO400</f>
        <v>0</v>
      </c>
      <c r="AZ71" s="1022">
        <f>'Release Calculations'!$AE791</f>
        <v>0</v>
      </c>
      <c r="BA71" s="1022">
        <f>'Release Calculations'!$AG791</f>
        <v>0</v>
      </c>
      <c r="BB71" s="1022">
        <f>'Release Calculations'!$AI791</f>
        <v>0</v>
      </c>
      <c r="BC71" s="1022">
        <f>'Release Calculations'!$AV384</f>
        <v>0</v>
      </c>
      <c r="BD71" s="1022">
        <f>'Release Calculations'!$AX384</f>
        <v>0</v>
      </c>
      <c r="BE71" s="1022">
        <f>'Release Calculations'!$AZ384</f>
        <v>0</v>
      </c>
      <c r="BF71" s="1022">
        <f>'Release Calculations'!$BB384</f>
        <v>0</v>
      </c>
      <c r="BG71" s="1022">
        <f>'Release Calculations'!$BD384</f>
        <v>0</v>
      </c>
      <c r="BH71" s="1022">
        <f>'Release Calculations'!$BF384</f>
        <v>0</v>
      </c>
      <c r="BI71" s="1022">
        <f>'Release Calculations'!$BH384</f>
        <v>0</v>
      </c>
      <c r="BJ71" s="1022">
        <f>'Release Calculations'!$BJ384</f>
        <v>0</v>
      </c>
      <c r="BK71" s="1022">
        <f>'Release Calculations'!$BL384</f>
        <v>0</v>
      </c>
      <c r="BL71" s="1022">
        <f>'Release Calculations'!$BN384</f>
        <v>0</v>
      </c>
      <c r="BM71" s="1362">
        <f>'Release Calculations'!$BU414</f>
        <v>0</v>
      </c>
      <c r="BN71" s="1362">
        <f>'Release Calculations'!$BW473</f>
        <v>0</v>
      </c>
      <c r="BO71" s="1362">
        <f>'Release Calculations'!$BY414</f>
        <v>0</v>
      </c>
      <c r="BP71" s="1362">
        <f>'Release Calculations'!$CA414</f>
        <v>0</v>
      </c>
      <c r="BQ71" s="1362">
        <f>'Release Calculations'!$CC473</f>
        <v>0</v>
      </c>
      <c r="BR71" s="1362">
        <f>'Release Calculations'!$BY414</f>
        <v>0</v>
      </c>
      <c r="BS71" s="1022">
        <f>'Release Calculations'!CJ238</f>
        <v>0</v>
      </c>
      <c r="BT71" s="400"/>
    </row>
    <row r="72" spans="1:72" ht="13.5" thickBot="1" x14ac:dyDescent="0.3">
      <c r="A72" s="345"/>
      <c r="B72" s="977"/>
      <c r="C72" s="1706"/>
      <c r="G72" s="584"/>
      <c r="H72" s="1728"/>
      <c r="I72" s="1729"/>
      <c r="J72" s="345"/>
      <c r="L72" s="345"/>
      <c r="M72" s="977"/>
      <c r="N72" s="514" t="s">
        <v>4896</v>
      </c>
      <c r="R72" s="3900" t="s">
        <v>4877</v>
      </c>
      <c r="S72" s="3901"/>
      <c r="T72" s="3901"/>
      <c r="U72" s="432"/>
      <c r="V72" s="345"/>
      <c r="X72" s="338" t="s">
        <v>3208</v>
      </c>
      <c r="Y72" s="1022">
        <f>'Release Calculations'!$D381</f>
        <v>0</v>
      </c>
      <c r="Z72" s="1022"/>
      <c r="AA72" s="1022">
        <f>'Release Calculations'!$F381</f>
        <v>0</v>
      </c>
      <c r="AB72" s="1022"/>
      <c r="AC72" s="3241">
        <f>'Release Calculations'!$H381</f>
        <v>0</v>
      </c>
      <c r="AD72" s="3241"/>
      <c r="AE72" s="1022">
        <f>'Release Calculations'!$J381</f>
        <v>0</v>
      </c>
      <c r="AF72" s="1022"/>
      <c r="AG72" s="1022">
        <f>'Release Calculations'!$L381</f>
        <v>0</v>
      </c>
      <c r="AH72" s="1022"/>
      <c r="AI72" s="1022">
        <f>'Release Calculations'!$N381</f>
        <v>0</v>
      </c>
      <c r="AJ72" s="1022"/>
      <c r="AK72" s="1022">
        <f>'Release Calculations'!$P381</f>
        <v>0</v>
      </c>
      <c r="AL72" s="1022">
        <f>'Release Calculations'!$R381</f>
        <v>0</v>
      </c>
      <c r="AM72" s="1022"/>
      <c r="AN72" s="1022">
        <f>'Release Calculations'!$T381</f>
        <v>0</v>
      </c>
      <c r="AO72" s="1022"/>
      <c r="AP72" s="1022">
        <f>'Release Calculations'!$V381</f>
        <v>0</v>
      </c>
      <c r="AQ72" s="1022"/>
      <c r="AR72" s="1022">
        <f>'Release Calculations'!$X381</f>
        <v>8.0000000000000007E-5</v>
      </c>
      <c r="AS72" s="1022"/>
      <c r="AT72" s="1022">
        <f>'Release Calculations'!$AE395</f>
        <v>0</v>
      </c>
      <c r="AU72" s="1022">
        <f>'Release Calculations'!$AG395</f>
        <v>0</v>
      </c>
      <c r="AV72" s="1022">
        <f>'Release Calculations'!$AI395</f>
        <v>0</v>
      </c>
      <c r="AW72" s="1022">
        <f>'Release Calculations'!$AK395</f>
        <v>0</v>
      </c>
      <c r="AX72" s="1022">
        <f>'Release Calculations'!$AM395</f>
        <v>0</v>
      </c>
      <c r="AY72" s="1022">
        <f>'Release Calculations'!$AO395</f>
        <v>0</v>
      </c>
      <c r="AZ72" s="1022"/>
      <c r="BA72" s="1022"/>
      <c r="BB72" s="1022"/>
      <c r="BC72" s="1022">
        <f>'Release Calculations'!$AV379</f>
        <v>0</v>
      </c>
      <c r="BD72" s="1022">
        <f>'Release Calculations'!$AX379</f>
        <v>0</v>
      </c>
      <c r="BE72" s="1022">
        <f>'Release Calculations'!$AZ379</f>
        <v>0</v>
      </c>
      <c r="BF72" s="1022">
        <f>'Release Calculations'!$BB379</f>
        <v>0</v>
      </c>
      <c r="BG72" s="1022">
        <f>'Release Calculations'!$BD379</f>
        <v>0</v>
      </c>
      <c r="BH72" s="1022">
        <f>'Release Calculations'!$BF379</f>
        <v>0</v>
      </c>
      <c r="BI72" s="1022">
        <f>'Release Calculations'!$BH379</f>
        <v>0</v>
      </c>
      <c r="BJ72" s="1022">
        <f>'Release Calculations'!$BJ379</f>
        <v>0</v>
      </c>
      <c r="BK72" s="1022">
        <f>'Release Calculations'!$BL379</f>
        <v>0</v>
      </c>
      <c r="BL72" s="1022">
        <f>'Release Calculations'!$BN379</f>
        <v>0</v>
      </c>
      <c r="BM72" s="1362">
        <f>'Release Calculations'!$BU409</f>
        <v>0</v>
      </c>
      <c r="BN72" s="1362">
        <f>'Release Calculations'!$BW409</f>
        <v>0</v>
      </c>
      <c r="BO72" s="1362">
        <f>'Release Calculations'!$BY409</f>
        <v>0</v>
      </c>
      <c r="BP72" s="1362">
        <f>'Release Calculations'!$CA409</f>
        <v>0</v>
      </c>
      <c r="BQ72" s="1362">
        <f>'Release Calculations'!$CC409</f>
        <v>0</v>
      </c>
      <c r="BR72" s="1362">
        <f>'Release Calculations'!$BY409</f>
        <v>0</v>
      </c>
      <c r="BS72" s="1022">
        <f>'Release Calculations'!CJ233</f>
        <v>8.0000000000000007E-5</v>
      </c>
      <c r="BT72" s="400"/>
    </row>
    <row r="73" spans="1:72" x14ac:dyDescent="0.25">
      <c r="A73" s="345"/>
      <c r="B73" s="574"/>
      <c r="C73" s="575"/>
      <c r="D73" s="575"/>
      <c r="E73" s="575"/>
      <c r="F73" s="575"/>
      <c r="G73" s="575"/>
      <c r="H73" s="575"/>
      <c r="I73" s="576"/>
      <c r="J73" s="345"/>
      <c r="L73" s="345"/>
      <c r="M73" s="977"/>
      <c r="N73" s="3946" t="str">
        <f>"Impact Assessment "&amp;IF(Attended_Op&lt;&gt;"No","with Personnel routinely in the immediate area","with Equipment at a Remote Location and no Personnel routinely nearby")</f>
        <v>Impact Assessment with Equipment at a Remote Location and no Personnel routinely nearby</v>
      </c>
      <c r="O73" s="3893"/>
      <c r="P73" s="2866"/>
      <c r="Q73" s="3947" t="s">
        <v>2429</v>
      </c>
      <c r="R73" s="3901"/>
      <c r="S73" s="3901"/>
      <c r="T73" s="3901"/>
      <c r="U73" s="432"/>
      <c r="V73" s="345"/>
      <c r="X73" s="338" t="s">
        <v>3209</v>
      </c>
      <c r="Y73" s="1880"/>
      <c r="Z73" s="1880"/>
      <c r="AA73" s="1880"/>
      <c r="AB73" s="1880"/>
      <c r="AC73" s="3242"/>
      <c r="AD73" s="3242"/>
      <c r="AE73" s="1880"/>
      <c r="AF73" s="1880"/>
      <c r="AG73" s="1880"/>
      <c r="AH73" s="1880"/>
      <c r="AI73" s="1880"/>
      <c r="AJ73" s="1880"/>
      <c r="AK73" s="1880"/>
      <c r="AL73" s="1880"/>
      <c r="AM73" s="1880"/>
      <c r="AN73" s="1880"/>
      <c r="AO73" s="1880"/>
      <c r="AP73" s="1880"/>
      <c r="AQ73" s="1880"/>
      <c r="AR73" s="1880"/>
      <c r="AS73" s="1880"/>
      <c r="AT73" s="1880"/>
      <c r="AU73" s="1880"/>
      <c r="AV73" s="1880"/>
      <c r="AW73" s="1880"/>
      <c r="AX73" s="1880"/>
      <c r="AY73" s="1880"/>
      <c r="AZ73" s="1880"/>
      <c r="BA73" s="1880"/>
      <c r="BB73" s="1880"/>
      <c r="BC73" s="1880"/>
      <c r="BD73" s="1880"/>
      <c r="BE73" s="1880"/>
      <c r="BF73" s="1880"/>
      <c r="BG73" s="1880"/>
      <c r="BH73" s="1880"/>
      <c r="BI73" s="1880"/>
      <c r="BJ73" s="1880"/>
      <c r="BK73" s="1880"/>
      <c r="BL73" s="1880"/>
      <c r="BM73" s="1362">
        <f>'Release Calculations'!$BU441</f>
        <v>0</v>
      </c>
      <c r="BN73" s="1362">
        <f>'Release Calculations'!$BW441</f>
        <v>0</v>
      </c>
      <c r="BO73" s="1362">
        <f>'Release Calculations'!$BY441</f>
        <v>0</v>
      </c>
      <c r="BP73" s="1362">
        <f>'Release Calculations'!$CA441</f>
        <v>0</v>
      </c>
      <c r="BQ73" s="1362">
        <f>'Release Calculations'!$CC441</f>
        <v>0</v>
      </c>
      <c r="BR73" s="1362">
        <f>'Release Calculations'!$BY468</f>
        <v>0</v>
      </c>
      <c r="BS73" s="1022">
        <f>'Release Calculations'!CJ261</f>
        <v>0</v>
      </c>
    </row>
    <row r="74" spans="1:72" x14ac:dyDescent="0.25">
      <c r="A74" s="345"/>
      <c r="B74" s="977"/>
      <c r="C74" s="981" t="s">
        <v>2392</v>
      </c>
      <c r="F74" s="983" t="str">
        <f>Fire_Potential</f>
        <v>No</v>
      </c>
      <c r="I74" s="432"/>
      <c r="J74" s="345"/>
      <c r="L74" s="345"/>
      <c r="M74" s="977"/>
      <c r="N74" s="3893"/>
      <c r="O74" s="3893"/>
      <c r="P74" s="279"/>
      <c r="Q74" s="3522"/>
      <c r="R74" s="3896" t="str">
        <f>Conseq_Criteria</f>
        <v>Estimated Number of People Impacted</v>
      </c>
      <c r="S74" s="3897"/>
      <c r="T74" s="3897"/>
      <c r="U74" s="432"/>
      <c r="V74" s="345"/>
      <c r="X74" s="338" t="s">
        <v>4758</v>
      </c>
      <c r="Y74" s="1881"/>
      <c r="Z74" s="1882"/>
      <c r="AA74" s="1882"/>
      <c r="AB74" s="1882"/>
      <c r="AC74" s="3243"/>
      <c r="AD74" s="3243"/>
      <c r="AE74" s="1882"/>
      <c r="AF74" s="1882"/>
      <c r="AG74" s="1882"/>
      <c r="AH74" s="1882"/>
      <c r="AI74" s="1882"/>
      <c r="AJ74" s="1882"/>
      <c r="AK74" s="1882"/>
      <c r="AL74" s="1882"/>
      <c r="AM74" s="1882"/>
      <c r="AN74" s="1882"/>
      <c r="AO74" s="1882"/>
      <c r="AP74" s="1882"/>
      <c r="AQ74" s="1882"/>
      <c r="AR74" s="1882"/>
      <c r="AS74" s="1882"/>
      <c r="AT74" s="1882"/>
      <c r="AU74" s="1882"/>
      <c r="AV74" s="1882"/>
      <c r="AW74" s="1882"/>
      <c r="AX74" s="1882"/>
      <c r="AY74" s="1882"/>
      <c r="AZ74" s="1882"/>
      <c r="BA74" s="1882"/>
      <c r="BB74" s="1882"/>
      <c r="BC74" s="1882"/>
      <c r="BD74" s="1882"/>
      <c r="BE74" s="1882"/>
      <c r="BF74" s="1882"/>
      <c r="BG74" s="1882"/>
      <c r="BH74" s="1882"/>
      <c r="BI74" s="1882"/>
      <c r="BJ74" s="1882"/>
      <c r="BK74" s="1882"/>
      <c r="BL74" s="1882"/>
      <c r="BM74" s="593">
        <f>'Release Calculations'!$BU344</f>
        <v>0</v>
      </c>
      <c r="BN74" s="593">
        <f>'Release Calculations'!$BW344</f>
        <v>0</v>
      </c>
      <c r="BO74" s="593">
        <f>'Release Calculations'!$BY344</f>
        <v>0</v>
      </c>
      <c r="BP74" s="593">
        <f>'Release Calculations'!$CA344</f>
        <v>0</v>
      </c>
      <c r="BQ74" s="593">
        <f>'Release Calculations'!$CC344</f>
        <v>0</v>
      </c>
      <c r="BR74" s="593">
        <f>'Release Calculations'!$BY353</f>
        <v>0</v>
      </c>
      <c r="BS74" s="1020">
        <f>'Release Calculations'!CJ184</f>
        <v>0</v>
      </c>
    </row>
    <row r="75" spans="1:72" x14ac:dyDescent="0.25">
      <c r="A75" s="345"/>
      <c r="B75" s="977"/>
      <c r="C75" s="3933" t="str">
        <f>IF(Fire_Potential="No","","The Flash Point is Less Than: "&amp;IF(Flash_Pt_Feed&lt;Flammable_FP_Limit,Flammable_FP_Limit&amp;" C, ","")&amp;IF(Ambient_Temp+FlashPt_Difference_Limit&gt;Flash_Pt_Feed," Ambient Temperature + "&amp;FlashPt_Difference_Limit&amp;" C, ","")&amp;IF(T+FlashPt_Difference_Limit&gt;Flash_Pt_Feed," Operating Temperature + "&amp;FlashPt_Difference_Limit&amp;" C, ","")&amp;IF(Heating_T+FlashPt_Difference_Limit&gt;Flash_Pt_Feed," Heating Media Temperature + "&amp;FlashPt_Difference_Limit&amp;" C, ","")&amp;IF(OR(Tmax_MechEng+FlashPt_Difference_Limit&gt;Flash_Pt_Feed,Tmax_ME_Continuous+FlashPt_Difference_Limit&gt;Flash_Pt_Feed)," Max Mechanical Energy Temperature + "&amp;FlashPt_Difference_Limit&amp;" C ","")&amp;IF(OR(Flam_In_Area&gt;Flammable_inArea_Limit,Flam_Adjacent&gt;Flammable_inArea_Limit),"and/or Flammables in the Area",""))</f>
        <v/>
      </c>
      <c r="D75" s="3933"/>
      <c r="E75" s="3933"/>
      <c r="F75" s="3934"/>
      <c r="G75" s="3934"/>
      <c r="H75" s="3935"/>
      <c r="I75" s="432"/>
      <c r="J75" s="345"/>
      <c r="L75" s="345"/>
      <c r="M75" s="977"/>
      <c r="N75" s="573"/>
      <c r="O75" s="3949" t="str">
        <f>"Offsite Toxic Impact based on "&amp;IF(Conseq_Criteria="Hazard Distance",IF(Q43="",0,ROUND(Q43,0))&amp;" m to LC-1 Concentration (1.5 F weather)","Toxic Integration Method")&amp;" and "&amp;Public&amp;" m to Fence Line with potential for "&amp;ROUND(HLOOKUP($P$6,$Y$6:$BS$108,103,0),1)&amp;" people offsite severly impacted"</f>
        <v>Offsite Toxic Impact based on Toxic Integration Method and 0 m to Fence Line with potential for 0 people offsite severly impacted</v>
      </c>
      <c r="P75" s="3950"/>
      <c r="Q75" s="3948" t="e">
        <f>IF(OR(Q34="",Q49=""),"",IF(Q49&gt;Q34,"Yes","No"))</f>
        <v>#DIV/0!</v>
      </c>
      <c r="R75" s="3897"/>
      <c r="S75" s="3897"/>
      <c r="T75" s="3897"/>
      <c r="U75" s="432"/>
      <c r="V75" s="345"/>
      <c r="X75" s="338" t="s">
        <v>4880</v>
      </c>
      <c r="Y75" s="1881"/>
      <c r="Z75" s="1882"/>
      <c r="AA75" s="1882"/>
      <c r="AB75" s="1882"/>
      <c r="AC75" s="3243"/>
      <c r="AD75" s="3243"/>
      <c r="AE75" s="1882"/>
      <c r="AF75" s="1882"/>
      <c r="AG75" s="1882"/>
      <c r="AH75" s="1882"/>
      <c r="AI75" s="1882"/>
      <c r="AJ75" s="1882"/>
      <c r="AK75" s="1882"/>
      <c r="AL75" s="1882"/>
      <c r="AM75" s="1882"/>
      <c r="AN75" s="1882"/>
      <c r="AO75" s="1882"/>
      <c r="AP75" s="1882"/>
      <c r="AQ75" s="1882"/>
      <c r="AR75" s="1882"/>
      <c r="AS75" s="1882"/>
      <c r="AT75" s="1882"/>
      <c r="AU75" s="1882"/>
      <c r="AV75" s="1882"/>
      <c r="AW75" s="1882"/>
      <c r="AX75" s="1882"/>
      <c r="AY75" s="1882"/>
      <c r="AZ75" s="1882"/>
      <c r="BA75" s="1882"/>
      <c r="BB75" s="1882"/>
      <c r="BC75" s="1882"/>
      <c r="BD75" s="1882"/>
      <c r="BE75" s="1882"/>
      <c r="BF75" s="1882"/>
      <c r="BG75" s="1882"/>
      <c r="BH75" s="1882"/>
      <c r="BI75" s="1882"/>
      <c r="BJ75" s="1882"/>
      <c r="BK75" s="1882"/>
      <c r="BL75" s="1882"/>
      <c r="BM75" s="593">
        <f>'Release Calculations'!$BU346</f>
        <v>0</v>
      </c>
      <c r="BN75" s="593">
        <f>'Release Calculations'!$BW346</f>
        <v>0</v>
      </c>
      <c r="BO75" s="593">
        <f>'Release Calculations'!$BY346</f>
        <v>0</v>
      </c>
      <c r="BP75" s="593">
        <f>'Release Calculations'!$CA346</f>
        <v>0</v>
      </c>
      <c r="BQ75" s="593">
        <f>'Release Calculations'!$CC346</f>
        <v>0</v>
      </c>
      <c r="BR75" s="593">
        <f>'Release Calculations'!$BY355</f>
        <v>0</v>
      </c>
      <c r="BS75" s="593">
        <f>'Release Calculations'!CJ185</f>
        <v>0</v>
      </c>
    </row>
    <row r="76" spans="1:72" x14ac:dyDescent="0.25">
      <c r="A76" s="345"/>
      <c r="B76" s="977"/>
      <c r="C76" s="3933"/>
      <c r="D76" s="3933"/>
      <c r="E76" s="3933"/>
      <c r="F76" s="3934"/>
      <c r="G76" s="3934"/>
      <c r="H76" s="3935"/>
      <c r="I76" s="432"/>
      <c r="J76" s="345"/>
      <c r="L76" s="345"/>
      <c r="M76" s="977"/>
      <c r="O76" s="3951"/>
      <c r="P76" s="3951"/>
      <c r="Q76" s="3948"/>
      <c r="S76" s="1371" t="str">
        <f>IF(HLOOKUP($P$6,$Y$6:$BS$104,56,0)=0,"",HLOOKUP($P$6,$Y$6:$BS$104,56,0))</f>
        <v>NA</v>
      </c>
      <c r="T76" s="1155"/>
      <c r="U76" s="432"/>
      <c r="V76" s="345"/>
      <c r="X76" s="338" t="s">
        <v>3244</v>
      </c>
      <c r="Y76" s="1881"/>
      <c r="Z76" s="1882"/>
      <c r="AA76" s="1882"/>
      <c r="AB76" s="1882"/>
      <c r="AC76" s="3243"/>
      <c r="AD76" s="3243"/>
      <c r="AE76" s="1882"/>
      <c r="AF76" s="1882"/>
      <c r="AG76" s="1882"/>
      <c r="AH76" s="1882"/>
      <c r="AI76" s="1882"/>
      <c r="AJ76" s="1882"/>
      <c r="AK76" s="1882"/>
      <c r="AL76" s="1882"/>
      <c r="AM76" s="1882"/>
      <c r="AN76" s="1882"/>
      <c r="AO76" s="1882"/>
      <c r="AP76" s="1882"/>
      <c r="AQ76" s="1882"/>
      <c r="AR76" s="1882"/>
      <c r="AS76" s="1882"/>
      <c r="AT76" s="1882"/>
      <c r="AU76" s="1882"/>
      <c r="AV76" s="1882"/>
      <c r="AW76" s="1882"/>
      <c r="AX76" s="1882"/>
      <c r="AY76" s="1882"/>
      <c r="AZ76" s="1882"/>
      <c r="BA76" s="1882"/>
      <c r="BB76" s="1882"/>
      <c r="BC76" s="1882"/>
      <c r="BD76" s="1882"/>
      <c r="BE76" s="1882"/>
      <c r="BF76" s="1882"/>
      <c r="BG76" s="1882"/>
      <c r="BH76" s="1882"/>
      <c r="BI76" s="1882"/>
      <c r="BJ76" s="1882"/>
      <c r="BK76" s="1882"/>
      <c r="BL76" s="1882"/>
      <c r="BM76" s="610" t="str">
        <f>'Release Calculations'!$BU454</f>
        <v>NA</v>
      </c>
      <c r="BN76" s="610" t="str">
        <f>'Release Calculations'!$BW454</f>
        <v>NA</v>
      </c>
      <c r="BO76" s="610" t="str">
        <f>'Release Calculations'!$BY454</f>
        <v>NA</v>
      </c>
      <c r="BP76" s="610" t="str">
        <f>'Release Calculations'!$CA454</f>
        <v>NA</v>
      </c>
      <c r="BQ76" s="610" t="str">
        <f>'Release Calculations'!$CC454</f>
        <v>NA</v>
      </c>
      <c r="BR76" s="610" t="str">
        <f>'Release Calculations'!$BY470</f>
        <v>NA</v>
      </c>
      <c r="BS76" s="610" t="str">
        <f>'Release Calculations'!$CJ273</f>
        <v>NA</v>
      </c>
    </row>
    <row r="77" spans="1:72" x14ac:dyDescent="0.25">
      <c r="A77" s="345"/>
      <c r="B77" s="977"/>
      <c r="C77" s="3934"/>
      <c r="D77" s="3934"/>
      <c r="E77" s="3934"/>
      <c r="F77" s="3934"/>
      <c r="G77" s="3934"/>
      <c r="H77" s="3935"/>
      <c r="I77" s="432"/>
      <c r="J77" s="345"/>
      <c r="L77" s="345"/>
      <c r="M77" s="977"/>
      <c r="O77" s="2847" t="str">
        <f>"Onsite Toxic Impact based on "&amp;IF(Location="Indoors","Indoor Concentration / LC-50 of "&amp;IF(OR(Q53="",Q36=""),0,ROUND(Q53/Q36,1)),"Distance to LC-50 Concentration of "&amp;IF(Q46="",0,ROUND(Q46,0))&amp;" m")</f>
        <v>Onsite Toxic Impact based on Distance to LC-50 Concentration of 0 m</v>
      </c>
      <c r="Q77" s="596" t="str">
        <f>IF(OR(AND(Regulatory_Tox&lt;&gt;"Yes",ER3_Min&gt;Toxic_Limit),Q46=""),"No",IF(Q46&gt;HD_Screening_Limit,"Yes","No"))</f>
        <v>No</v>
      </c>
      <c r="S77" s="1371" t="str">
        <f>IF(HLOOKUP($P$6,$Y$6:$BS$104,57,0)=0,"",HLOOKUP($P$6,$Y$6:$BS$104,57,0))</f>
        <v>NA</v>
      </c>
      <c r="T77" s="1155"/>
      <c r="U77" s="432"/>
      <c r="V77" s="345"/>
      <c r="X77" s="338" t="s">
        <v>3686</v>
      </c>
      <c r="Y77" s="1882"/>
      <c r="Z77" s="1882"/>
      <c r="AA77" s="1882"/>
      <c r="AB77" s="1882"/>
      <c r="AC77" s="3243"/>
      <c r="AD77" s="3243"/>
      <c r="AE77" s="1882"/>
      <c r="AF77" s="1882"/>
      <c r="AG77" s="1882"/>
      <c r="AH77" s="1882"/>
      <c r="AI77" s="1882"/>
      <c r="AJ77" s="1882"/>
      <c r="AK77" s="1882"/>
      <c r="AL77" s="1882"/>
      <c r="AM77" s="1882"/>
      <c r="AN77" s="1882"/>
      <c r="AO77" s="1882"/>
      <c r="AP77" s="1882"/>
      <c r="AQ77" s="1882"/>
      <c r="AR77" s="1882"/>
      <c r="AS77" s="1882"/>
      <c r="AT77" s="1882"/>
      <c r="AU77" s="1882"/>
      <c r="AV77" s="1882"/>
      <c r="AW77" s="1882"/>
      <c r="AX77" s="1882"/>
      <c r="AY77" s="1882"/>
      <c r="AZ77" s="1882"/>
      <c r="BA77" s="1882"/>
      <c r="BB77" s="1882"/>
      <c r="BC77" s="1882"/>
      <c r="BD77" s="1882"/>
      <c r="BE77" s="1882"/>
      <c r="BF77" s="1882"/>
      <c r="BG77" s="1882"/>
      <c r="BH77" s="1882"/>
      <c r="BI77" s="1882"/>
      <c r="BJ77" s="1882"/>
      <c r="BK77" s="1882"/>
      <c r="BL77" s="1882"/>
      <c r="BM77" s="1392">
        <f>'Release Calculations'!$BU342</f>
        <v>0</v>
      </c>
      <c r="BN77" s="1392">
        <f>'Release Calculations'!$BW342</f>
        <v>0</v>
      </c>
      <c r="BO77" s="1392">
        <f>'Release Calculations'!$BY342</f>
        <v>0</v>
      </c>
      <c r="BP77" s="1392">
        <f>'Release Calculations'!$CA342</f>
        <v>0</v>
      </c>
      <c r="BQ77" s="1392">
        <f>'Release Calculations'!$CC342</f>
        <v>0</v>
      </c>
      <c r="BR77" s="1392">
        <f>'Release Calculations'!$BY351</f>
        <v>0</v>
      </c>
      <c r="BS77" s="1392">
        <f>'Release Calculations'!$CJ181</f>
        <v>0</v>
      </c>
    </row>
    <row r="78" spans="1:72" x14ac:dyDescent="0.25">
      <c r="A78" s="345"/>
      <c r="B78" s="977"/>
      <c r="C78" s="338" t="str">
        <f>"Quantity Flammable Available based on "&amp;IF(Flash_Pt_Feed="","Flammable in Area",IF(AND(T&lt;(Flash_Pt_Feed-5),Flash_Pt_Feed&gt;93),"Flammable in Area",IF(Flam_In_Area&gt;Inventory,"Flammable in Area","System Inventory")))</f>
        <v>Quantity Flammable Available based on Flammable in Area</v>
      </c>
      <c r="F78" s="982">
        <f>IF(Small_Leak_AQ_Units="lb",2.2*Flam_Inventory,Flam_Inventory)</f>
        <v>0</v>
      </c>
      <c r="G78" s="1158" t="str">
        <f>Inventory_Units</f>
        <v>kg</v>
      </c>
      <c r="H78" s="3936" t="str">
        <f>IF(Mw_Mix=0,"",IF(Fire_Relief_Rate&gt;Relief_Vapor_Capacity/Mw_Mix,"Relief Device may not be adequately sized for Pool Fire Exposure",""))</f>
        <v/>
      </c>
      <c r="I78" s="3937"/>
      <c r="J78" s="345"/>
      <c r="L78" s="345"/>
      <c r="M78" s="977"/>
      <c r="O78" s="2036" t="str">
        <f>IF(Q8="Indoors","Time to ER-3 without Ventilation ~ "&amp;IF(HLOOKUP($P$6,$Y$6:$BS$91,81,0)="","",ROUND(HLOOKUP($P$6,$Y$6:$BS$91,81,0),0))&amp;" sec;  and Time to ER-3 with Ventilation ~ "&amp;IF(HLOOKUP($P$6,$Y$6:$BS$91,82,0)="","",ROUND(HLOOKUP($P$6,$Y$6:$BS$91,82,0),0))&amp;" sec","Outdoor Toxic Exposure Duration "&amp;IF(HLOOKUP($P$6,$Y$6:$BS$91,58,0)=0,"",MIN(OnSite_Limit*60,ROUND(HLOOKUP($P$6,$Y$6:$BS$91,58,0),0)))&amp;" sec")</f>
        <v>Outdoor Toxic Exposure Duration 600 sec</v>
      </c>
      <c r="U78" s="432"/>
      <c r="V78" s="345"/>
      <c r="X78" s="338" t="s">
        <v>4051</v>
      </c>
      <c r="Y78" s="1879">
        <f>'Release Calculations'!$D374*Occupants_atRisk</f>
        <v>0</v>
      </c>
      <c r="Z78" s="1879">
        <f>'Release Calculations'!$D757*Occupants_atRisk</f>
        <v>0</v>
      </c>
      <c r="AA78" s="1879">
        <f>'Release Calculations'!$F374*Occupants_atRisk</f>
        <v>0</v>
      </c>
      <c r="AB78" s="1879">
        <f>'Release Calculations'!$F757*Occupants_atRisk</f>
        <v>0</v>
      </c>
      <c r="AC78" s="3241">
        <f>'Release Calculations'!$H374*Occupants_atRisk</f>
        <v>0</v>
      </c>
      <c r="AD78" s="3241">
        <f>'Release Calculations'!$H757*Occupants_atRisk</f>
        <v>0</v>
      </c>
      <c r="AE78" s="1879">
        <f>'Release Calculations'!$J374*Occupants_atRisk</f>
        <v>0</v>
      </c>
      <c r="AF78" s="1879">
        <f>'Release Calculations'!$J757*Occupants_atRisk</f>
        <v>0</v>
      </c>
      <c r="AG78" s="1879">
        <f>'Release Calculations'!$L374*Occupants_atRisk</f>
        <v>0</v>
      </c>
      <c r="AH78" s="1879">
        <f>'Release Calculations'!$L757*Occupants_atRisk</f>
        <v>0</v>
      </c>
      <c r="AI78" s="1879">
        <f>'Release Calculations'!$N374*Occupants_atRisk</f>
        <v>0</v>
      </c>
      <c r="AJ78" s="1879">
        <f>'Release Calculations'!$N757*Occupants_atRisk</f>
        <v>0</v>
      </c>
      <c r="AK78" s="1879">
        <f>'Release Calculations'!$P374*Occupants_atRisk</f>
        <v>0</v>
      </c>
      <c r="AL78" s="1879">
        <f>'Release Calculations'!$R374*Occupants_atRisk</f>
        <v>0</v>
      </c>
      <c r="AM78" s="1879">
        <f>'Release Calculations'!$R757*Occupants_atRisk</f>
        <v>0</v>
      </c>
      <c r="AN78" s="1879">
        <f>'Release Calculations'!$T374*Occupants_atRisk</f>
        <v>0</v>
      </c>
      <c r="AO78" s="1879">
        <f>'Release Calculations'!$T757*Occupants_atRisk</f>
        <v>0</v>
      </c>
      <c r="AP78" s="1879">
        <f>'Release Calculations'!$V374*Occupants_atRisk</f>
        <v>0</v>
      </c>
      <c r="AQ78" s="1879">
        <f>'Release Calculations'!$V757*Occupants_atRisk</f>
        <v>0</v>
      </c>
      <c r="AR78" s="1879">
        <f>'Release Calculations'!$X374*Occupants_atRisk</f>
        <v>0</v>
      </c>
      <c r="AS78" s="1879">
        <f>'Release Calculations'!$X757*Occupants_atRisk</f>
        <v>0</v>
      </c>
      <c r="AT78" s="1879">
        <f>'Release Calculations'!$AE388*Occupants_atRisk</f>
        <v>0</v>
      </c>
      <c r="AU78" s="1879">
        <f>'Release Calculations'!$AG388*Occupants_atRisk</f>
        <v>0</v>
      </c>
      <c r="AV78" s="1879">
        <f>'Release Calculations'!$AI388*Occupants_atRisk</f>
        <v>0</v>
      </c>
      <c r="AW78" s="1879">
        <f>'Release Calculations'!$AK388*Occupants_atRisk</f>
        <v>0</v>
      </c>
      <c r="AX78" s="1879">
        <f>'Release Calculations'!$AM388*Occupants_atRisk</f>
        <v>0</v>
      </c>
      <c r="AY78" s="1879">
        <f>'Release Calculations'!$AO388*Occupants_atRisk</f>
        <v>0</v>
      </c>
      <c r="AZ78" s="1879">
        <f>'Release Calculations'!$AE785*Occupants_atRisk</f>
        <v>0</v>
      </c>
      <c r="BA78" s="1879">
        <f>'Release Calculations'!$AG785*Occupants_atRisk</f>
        <v>0</v>
      </c>
      <c r="BB78" s="1879">
        <f>'Release Calculations'!$AI785*Occupants_atRisk</f>
        <v>0</v>
      </c>
      <c r="BC78" s="1879">
        <f>'Release Calculations'!$AV398*Occupants_atRisk</f>
        <v>0</v>
      </c>
      <c r="BD78" s="1879">
        <f>'Release Calculations'!$AX398*Occupants_atRisk</f>
        <v>0</v>
      </c>
      <c r="BE78" s="1879">
        <f>'Release Calculations'!$AZ398*Occupants_atRisk</f>
        <v>0</v>
      </c>
      <c r="BF78" s="1879">
        <f>'Release Calculations'!$BB398*Occupants_atRisk</f>
        <v>0</v>
      </c>
      <c r="BG78" s="1879">
        <f>'Release Calculations'!$BD398*Occupants_atRisk</f>
        <v>0</v>
      </c>
      <c r="BH78" s="1879">
        <f>'Release Calculations'!$BF398*Occupants_atRisk</f>
        <v>0</v>
      </c>
      <c r="BI78" s="1879">
        <f>'Release Calculations'!$BH398*Occupants_atRisk</f>
        <v>0</v>
      </c>
      <c r="BJ78" s="1879">
        <f>'Release Calculations'!$BJ398*Occupants_atRisk</f>
        <v>0</v>
      </c>
      <c r="BK78" s="1879">
        <f>'Release Calculations'!$BL398*Occupants_atRisk</f>
        <v>0</v>
      </c>
      <c r="BL78" s="1879">
        <f>'Release Calculations'!$BN398*Occupants_atRisk</f>
        <v>0</v>
      </c>
      <c r="BM78" s="1879">
        <f>'Release Calculations'!$BU404*Occupants_atRisk</f>
        <v>0</v>
      </c>
      <c r="BN78" s="1879">
        <f>'Release Calculations'!$BW404*Occupants_atRisk</f>
        <v>0</v>
      </c>
      <c r="BO78" s="1879">
        <f>'Release Calculations'!$BY404*Occupants_atRisk</f>
        <v>0</v>
      </c>
      <c r="BP78" s="1879">
        <f>'Release Calculations'!$CA404*Occupants_atRisk</f>
        <v>0</v>
      </c>
      <c r="BQ78" s="1879">
        <f>'Release Calculations'!$CC404*Occupants_atRisk</f>
        <v>0</v>
      </c>
      <c r="BR78" s="1879">
        <f>'Release Calculations'!$BY404*Occupants_atRisk</f>
        <v>0</v>
      </c>
      <c r="BS78" s="1879">
        <f>'Release Calculations'!$CJ226*Occupants_atRisk</f>
        <v>0</v>
      </c>
    </row>
    <row r="79" spans="1:72" x14ac:dyDescent="0.25">
      <c r="A79" s="345"/>
      <c r="B79" s="977"/>
      <c r="C79" s="3941" t="str">
        <f>"Maximum Pool Fire Duration based on "&amp;'Pool Fire Frequency'!Z16&amp;" Fire"</f>
        <v>Maximum Pool Fire Duration based on Direct Fire</v>
      </c>
      <c r="D79" s="3941"/>
      <c r="F79" s="982" t="str">
        <f>IF(Max_Fire_Duration=0,"",Max_Fire_Duration)</f>
        <v/>
      </c>
      <c r="G79" s="1158" t="s">
        <v>2393</v>
      </c>
      <c r="H79" s="3938"/>
      <c r="I79" s="3937"/>
      <c r="J79" s="345"/>
      <c r="L79" s="345"/>
      <c r="M79" s="977"/>
      <c r="O79" s="2847" t="str">
        <f>"Onsite Flash Fire Impact based on "&amp;IF(Location="Indoors","Indoor / LFL Concentration of "&amp;IF(Q39="",0,ROUND(Q53/(10000*Q39),1)),"Distance to "&amp;LFL_Fract_FlashFIre&amp;" LFL Concentration of "&amp;IF(Q47="",0,ROUND(Q47,0))&amp;" m")</f>
        <v>Onsite Flash Fire Impact based on Distance to 0.5 LFL Concentration of 0 m</v>
      </c>
      <c r="Q79" s="596"/>
      <c r="S79" s="1371" t="str">
        <f>IF(HLOOKUP($P$6,$Y$6:$BS$104,59,0)=0,"",HLOOKUP($P$6,$Y$6:$BS$104,59,0))</f>
        <v>NA</v>
      </c>
      <c r="T79" s="1155"/>
      <c r="U79" s="432"/>
      <c r="V79" s="345"/>
      <c r="X79" s="338" t="s">
        <v>4056</v>
      </c>
      <c r="Y79" s="1879">
        <f>'Release Calculations'!$D375*Occupants_atRisk2</f>
        <v>0</v>
      </c>
      <c r="Z79" s="1879">
        <f>'Release Calculations'!$D758*Occupants_atRisk2</f>
        <v>0</v>
      </c>
      <c r="AA79" s="1879">
        <f>'Release Calculations'!$F375*Occupants_atRisk2</f>
        <v>0</v>
      </c>
      <c r="AB79" s="1879">
        <f>'Release Calculations'!$F758*Occupants_atRisk2</f>
        <v>0</v>
      </c>
      <c r="AC79" s="3241">
        <f>'Release Calculations'!$H375*Occupants_atRisk2</f>
        <v>0</v>
      </c>
      <c r="AD79" s="3241">
        <f>'Release Calculations'!$H758*Occupants_atRisk2</f>
        <v>0</v>
      </c>
      <c r="AE79" s="1879">
        <f>'Release Calculations'!$J375*Occupants_atRisk2</f>
        <v>0</v>
      </c>
      <c r="AF79" s="1879">
        <f>'Release Calculations'!$J758*Occupants_atRisk2</f>
        <v>0</v>
      </c>
      <c r="AG79" s="1879">
        <f>'Release Calculations'!$L375*Occupants_atRisk2</f>
        <v>0</v>
      </c>
      <c r="AH79" s="1879">
        <f>'Release Calculations'!$L758*Occupants_atRisk2</f>
        <v>0</v>
      </c>
      <c r="AI79" s="1879">
        <f>'Release Calculations'!$N375*Occupants_atRisk2</f>
        <v>0</v>
      </c>
      <c r="AJ79" s="1879">
        <f>'Release Calculations'!$N758*Occupants_atRisk2</f>
        <v>0</v>
      </c>
      <c r="AK79" s="1879">
        <f>'Release Calculations'!$P375*Occupants_atRisk2</f>
        <v>0</v>
      </c>
      <c r="AL79" s="1879">
        <f>'Release Calculations'!$R375*Occupants_atRisk2</f>
        <v>0</v>
      </c>
      <c r="AM79" s="1879">
        <f>'Release Calculations'!$R758*Occupants_atRisk2</f>
        <v>0</v>
      </c>
      <c r="AN79" s="1879">
        <f>'Release Calculations'!$T375*Occupants_atRisk2</f>
        <v>0</v>
      </c>
      <c r="AO79" s="1879">
        <f>'Release Calculations'!$T758*Occupants_atRisk2</f>
        <v>0</v>
      </c>
      <c r="AP79" s="1879">
        <f>'Release Calculations'!$V375*Occupants_atRisk2</f>
        <v>0</v>
      </c>
      <c r="AQ79" s="1879">
        <f>'Release Calculations'!$V758*Occupants_atRisk2</f>
        <v>0</v>
      </c>
      <c r="AR79" s="1879">
        <f>'Release Calculations'!$X375*Occupants_atRisk2</f>
        <v>0</v>
      </c>
      <c r="AS79" s="1879">
        <f>'Release Calculations'!$X758*Occupants_atRisk2</f>
        <v>0</v>
      </c>
      <c r="AT79" s="1879">
        <f>'Release Calculations'!$AE389*Occupants_atRisk2</f>
        <v>0</v>
      </c>
      <c r="AU79" s="1879">
        <f>'Release Calculations'!$AG389*Occupants_atRisk2</f>
        <v>0</v>
      </c>
      <c r="AV79" s="1879">
        <f>'Release Calculations'!$AI389*Occupants_atRisk2</f>
        <v>0</v>
      </c>
      <c r="AW79" s="1879">
        <f>'Release Calculations'!$AK389*Occupants_atRisk2</f>
        <v>0</v>
      </c>
      <c r="AX79" s="1879">
        <f>'Release Calculations'!$AM389*Occupants_atRisk2</f>
        <v>0</v>
      </c>
      <c r="AY79" s="1879">
        <f>'Release Calculations'!$AO389*Occupants_atRisk2</f>
        <v>0</v>
      </c>
      <c r="AZ79" s="1879">
        <f>'Release Calculations'!$AE786*Occupants_atRisk2</f>
        <v>0</v>
      </c>
      <c r="BA79" s="1879">
        <f>'Release Calculations'!$AG786*Occupants_atRisk2</f>
        <v>0</v>
      </c>
      <c r="BB79" s="1879">
        <f>'Release Calculations'!$AI786*Occupants_atRisk2</f>
        <v>0</v>
      </c>
      <c r="BC79" s="1879">
        <f>'Release Calculations'!$AV399*Occupants_atRisk2</f>
        <v>0</v>
      </c>
      <c r="BD79" s="1879">
        <f>'Release Calculations'!$AX399*Occupants_atRisk2</f>
        <v>0</v>
      </c>
      <c r="BE79" s="1879">
        <f>'Release Calculations'!$AZ399*Occupants_atRisk2</f>
        <v>0</v>
      </c>
      <c r="BF79" s="1879">
        <f>'Release Calculations'!$BB399*Occupants_atRisk2</f>
        <v>0</v>
      </c>
      <c r="BG79" s="1879">
        <f>'Release Calculations'!$BD399*Occupants_atRisk2</f>
        <v>0</v>
      </c>
      <c r="BH79" s="1879">
        <f>'Release Calculations'!$BF399*Occupants_atRisk2</f>
        <v>0</v>
      </c>
      <c r="BI79" s="1879">
        <f>'Release Calculations'!$BH399*Occupants_atRisk2</f>
        <v>0</v>
      </c>
      <c r="BJ79" s="1879">
        <f>'Release Calculations'!$BJ399*Occupants_atRisk2</f>
        <v>0</v>
      </c>
      <c r="BK79" s="1879">
        <f>'Release Calculations'!$BL399*Occupants_atRisk2</f>
        <v>0</v>
      </c>
      <c r="BL79" s="1879">
        <f>'Release Calculations'!$BN399*Occupants_atRisk2</f>
        <v>0</v>
      </c>
      <c r="BM79" s="1879">
        <f>'Release Calculations'!$BU405*Occupants_atRisk2</f>
        <v>0</v>
      </c>
      <c r="BN79" s="1879"/>
      <c r="BO79" s="1879">
        <f>'Release Calculations'!$BY405*Occupants_atRisk2</f>
        <v>0</v>
      </c>
      <c r="BP79" s="1879">
        <f>'Release Calculations'!$CA405*Occupants_atRisk2</f>
        <v>0</v>
      </c>
      <c r="BQ79" s="1879"/>
      <c r="BR79" s="1879">
        <f>'Release Calculations'!$BY405*Occupants_atRisk2</f>
        <v>0</v>
      </c>
      <c r="BS79" s="1879">
        <f>'Release Calculations'!$CJ227*Occupants_atRisk2</f>
        <v>0</v>
      </c>
    </row>
    <row r="80" spans="1:72" x14ac:dyDescent="0.25">
      <c r="A80" s="345"/>
      <c r="B80" s="977"/>
      <c r="C80" s="3932" t="str">
        <f>"Fire Heat Input "&amp;'Pool Fire Frequency'!H12&amp;" "&amp;'Pool Fire Frequency'!H13</f>
        <v xml:space="preserve">Fire Heat Input per API 2000 or NFPA 30 for Storage or Low Pressure Tank </v>
      </c>
      <c r="D80" s="3893"/>
      <c r="E80" s="577"/>
      <c r="F80" s="982">
        <f>IF(G80="BTU/hr",'Pool Fire Frequency'!H11,IF(G80="Kcal/hr sq m C",3600*Fire_Heat_Rate,Fire_Heat_Rate*4.187))</f>
        <v>0</v>
      </c>
      <c r="G80" s="1158" t="str">
        <f>IF(U_Units="Kwatt /sq m C","Kwatt",IF(U_Units="BTU/hr sq ft F","BTU/hr","Kcal/hr"))</f>
        <v>Kwatt</v>
      </c>
      <c r="H80" s="3938"/>
      <c r="I80" s="3937"/>
      <c r="J80" s="345"/>
      <c r="L80" s="345"/>
      <c r="M80" s="977"/>
      <c r="O80" s="2847" t="str">
        <f>"Chemical Exposure based on Dermal or Thermal Hazards and Spray Distance of "&amp;IF(Q18&gt;0,ROUND(Q18,0),0)&amp;" m"</f>
        <v>Chemical Exposure based on Dermal or Thermal Hazards and Spray Distance of 1 m</v>
      </c>
      <c r="S80" s="1371" t="str">
        <f>IF(HLOOKUP($P$6,$Y$6:$BS$104,60,0)=0,"",HLOOKUP($P$6,$Y$6:$BS$104,60,0))</f>
        <v>NA</v>
      </c>
      <c r="T80" s="1155"/>
      <c r="U80" s="432"/>
      <c r="V80" s="345"/>
      <c r="X80" s="338" t="s">
        <v>4052</v>
      </c>
      <c r="Y80" s="1879">
        <f>IF(Y23="Indoors",'Release Calculations'!$D391,'Release Calculations'!$D401)</f>
        <v>0</v>
      </c>
      <c r="Z80" s="1879">
        <f>IF(Z23="Indoors",'Release Calculations'!$D768,'Release Calculations'!$D778)</f>
        <v>0</v>
      </c>
      <c r="AA80" s="1879">
        <f>IF(AA23="Indoors",'Release Calculations'!$F391,'Release Calculations'!$F401)</f>
        <v>0</v>
      </c>
      <c r="AB80" s="1879">
        <f>IF(AB23="Indoors",'Release Calculations'!$F768,'Release Calculations'!$F778)</f>
        <v>0</v>
      </c>
      <c r="AC80" s="3241">
        <f>IF(AC23="Indoors",'Release Calculations'!$F391,'Release Calculations'!$F401)</f>
        <v>0</v>
      </c>
      <c r="AD80" s="3241">
        <f>IF(AD23="Indoors",'Release Calculations'!$F768,'Release Calculations'!$F778)</f>
        <v>0</v>
      </c>
      <c r="AE80" s="1879">
        <f>IF(AE23="Indoors",'Release Calculations'!$J391,'Release Calculations'!$J401)</f>
        <v>0</v>
      </c>
      <c r="AF80" s="1879">
        <f>IF(AF23="Indoors",'Release Calculations'!$J768,'Release Calculations'!$J778)</f>
        <v>0</v>
      </c>
      <c r="AG80" s="1879">
        <f>IF(AG23="Indoors",'Release Calculations'!$L391,'Release Calculations'!$L401)</f>
        <v>0</v>
      </c>
      <c r="AH80" s="1879">
        <f>IF(AH23="Indoors",'Release Calculations'!$L768,'Release Calculations'!$L778)</f>
        <v>0</v>
      </c>
      <c r="AI80" s="1879">
        <f>IF(AI23="Indoors",'Release Calculations'!$N391,'Release Calculations'!$N401)</f>
        <v>0</v>
      </c>
      <c r="AJ80" s="1879">
        <f>IF(AJ23="Indoors",'Release Calculations'!$N768,'Release Calculations'!$N778)</f>
        <v>0</v>
      </c>
      <c r="AK80" s="1879">
        <f>IF(AK23="Indoors",'Release Calculations'!$P391,'Release Calculations'!$P401)</f>
        <v>0</v>
      </c>
      <c r="AL80" s="1879">
        <f>IF(AL23="Indoors",'Release Calculations'!$R391,'Release Calculations'!$R401)</f>
        <v>0</v>
      </c>
      <c r="AM80" s="1879">
        <f>IF(AM23="Indoors",'Release Calculations'!$R768,'Release Calculations'!$R778)</f>
        <v>0</v>
      </c>
      <c r="AN80" s="1879">
        <f>IF(AN23="Indoors",'Release Calculations'!$T391,'Release Calculations'!$T401)</f>
        <v>0</v>
      </c>
      <c r="AO80" s="1879">
        <f>IF(AO23="Indoors",'Release Calculations'!$T768,'Release Calculations'!$T778)</f>
        <v>0</v>
      </c>
      <c r="AP80" s="1879">
        <f>IF(AP23="Indoors",'Release Calculations'!$V391,'Release Calculations'!$V401)</f>
        <v>0</v>
      </c>
      <c r="AQ80" s="1879">
        <f>IF(AQ23="Indoors",'Release Calculations'!$V768,'Release Calculations'!$V778)</f>
        <v>0</v>
      </c>
      <c r="AR80" s="1879">
        <f>IF(AR23="Indoors",'Release Calculations'!$X391,'Release Calculations'!$X401)</f>
        <v>0</v>
      </c>
      <c r="AS80" s="1879">
        <f>IF(AS23="Indoors",'Release Calculations'!$X768,'Release Calculations'!$X778)</f>
        <v>0</v>
      </c>
      <c r="AT80" s="1879">
        <f>IF(AT23="Indoors",'Release Calculations'!$AE405,'Release Calculations'!$AE415)</f>
        <v>0</v>
      </c>
      <c r="AU80" s="1879">
        <f>IF(AU23="Indoors",'Release Calculations'!$AG405,'Release Calculations'!$AG415)</f>
        <v>0</v>
      </c>
      <c r="AV80" s="1879">
        <f>IF(AV23="Indoors",'Release Calculations'!$AI405,'Release Calculations'!$AI415)</f>
        <v>0</v>
      </c>
      <c r="AW80" s="1879">
        <f>IF(AW23="Indoors",'Release Calculations'!$AK405,'Release Calculations'!$AK415)</f>
        <v>0</v>
      </c>
      <c r="AX80" s="1879">
        <f>IF(AX23="Indoors",'Release Calculations'!$AM405,'Release Calculations'!$AM415)</f>
        <v>0</v>
      </c>
      <c r="AY80" s="1879">
        <f>IF(AY23="Indoors",'Release Calculations'!$AO405,'Release Calculations'!$AO415)</f>
        <v>0</v>
      </c>
      <c r="AZ80" s="1879">
        <f>IF(AZ23="Indoors",'Release Calculations'!$AE796,'Release Calculations'!$AE798)</f>
        <v>0</v>
      </c>
      <c r="BA80" s="1879">
        <f>IF(BA23="Indoors",'Release Calculations'!$AG796,'Release Calculations'!$AG798)</f>
        <v>0</v>
      </c>
      <c r="BB80" s="1879">
        <f>IF(BB23="Indoors",'Release Calculations'!$AI796,'Release Calculations'!$AI798)</f>
        <v>0</v>
      </c>
      <c r="BC80" s="1879">
        <f>IF(BC23="Indoors",'Release Calculations'!$AV389,'Release Calculations'!$AV399)</f>
        <v>0</v>
      </c>
      <c r="BD80" s="1879">
        <f>IF(BD23="Indoors",'Release Calculations'!$AX389,'Release Calculations'!$AX399)</f>
        <v>0</v>
      </c>
      <c r="BE80" s="1879">
        <f>IF(BE23="Indoors",'Release Calculations'!$AZ389,'Release Calculations'!$AZ399)</f>
        <v>0</v>
      </c>
      <c r="BF80" s="1879">
        <f>IF(BF23="Indoors",'Release Calculations'!$BB389,'Release Calculations'!$BB399)</f>
        <v>0</v>
      </c>
      <c r="BG80" s="1879">
        <f>IF(BG23="Indoors",'Release Calculations'!$BD389,'Release Calculations'!$BD399)</f>
        <v>0</v>
      </c>
      <c r="BH80" s="1879">
        <f>IF(BH23="Indoors",'Release Calculations'!$BF389,'Release Calculations'!$BF399)</f>
        <v>0</v>
      </c>
      <c r="BI80" s="1879">
        <f>IF(BI23="Indoors",'Release Calculations'!$BH389,'Release Calculations'!$BH399)</f>
        <v>0</v>
      </c>
      <c r="BJ80" s="1879">
        <f>IF(BJ23="Indoors",'Release Calculations'!$BJ389,'Release Calculations'!$BJ399)</f>
        <v>0</v>
      </c>
      <c r="BK80" s="1879">
        <f>IF(BK23="Indoors",'Release Calculations'!$BL389,'Release Calculations'!$BL399)</f>
        <v>0</v>
      </c>
      <c r="BL80" s="1879">
        <f>IF(BL23="Indoors",'Release Calculations'!$BN389,'Release Calculations'!$BN399)</f>
        <v>0</v>
      </c>
      <c r="BM80" s="1879">
        <f>IF(BM23="Indoors",'Release Calculations'!$BU419,'Release Calculations'!$BU429)</f>
        <v>0</v>
      </c>
      <c r="BN80" s="1879"/>
      <c r="BO80" s="1879">
        <f>IF(BO23="Indoors",'Release Calculations'!$BY419,'Release Calculations'!$BY429)</f>
        <v>0</v>
      </c>
      <c r="BP80" s="1879">
        <f>IF(BP23="Indoors",'Release Calculations'!$CA419,'Release Calculations'!$CA429)</f>
        <v>0</v>
      </c>
      <c r="BQ80" s="1879"/>
      <c r="BR80" s="1879">
        <f>IF(BR23="Indoors",'Release Calculations'!$BY419,'Release Calculations'!$BY429)</f>
        <v>0</v>
      </c>
      <c r="BS80" s="1879">
        <f>IF(BS23="Indoors",'Release Calculations'!$CJ242,'Release Calculations'!$CJ250)*Occupants_atRisk</f>
        <v>0</v>
      </c>
    </row>
    <row r="81" spans="1:73" x14ac:dyDescent="0.25">
      <c r="A81" s="345"/>
      <c r="B81" s="977"/>
      <c r="C81" s="3893"/>
      <c r="D81" s="3893"/>
      <c r="H81" s="3926"/>
      <c r="I81" s="3927"/>
      <c r="J81" s="345"/>
      <c r="L81" s="345"/>
      <c r="M81" s="977"/>
      <c r="O81" s="2847" t="str">
        <f>"Equipment Rupture Direct Blast Impact based on Distance to "&amp;Blast_Direct&amp;" psi "&amp;IF(Q65="","","of "&amp;ROUND(Q65,1)&amp;" m")</f>
        <v xml:space="preserve">Equipment Rupture Direct Blast Impact based on Distance to 10 psi </v>
      </c>
      <c r="Q81" s="596" t="str">
        <f>IF(Q65="","",IF(Q65&gt;HD_Screening_Limit,"Yes","No"))</f>
        <v/>
      </c>
      <c r="S81" s="1371" t="str">
        <f>IF(HLOOKUP($P$6,$Y$6:$BS$104,61,0)=0,"",HLOOKUP($P$6,$Y$6:$BS$104,61,0))</f>
        <v/>
      </c>
      <c r="T81" s="1155"/>
      <c r="U81" s="432"/>
      <c r="V81" s="345"/>
      <c r="X81" s="338" t="s">
        <v>4053</v>
      </c>
      <c r="Y81" s="1879">
        <f>IF(Y23="Indoors",'Release Calculations'!$D393,'Release Calculations'!$D403)</f>
        <v>0</v>
      </c>
      <c r="Z81" s="1879">
        <f>IF(Z23="Indoors",'Release Calculations'!$D770,'Release Calculations'!$D780)</f>
        <v>0</v>
      </c>
      <c r="AA81" s="1879">
        <f>IF(AA23="Indoors",'Release Calculations'!$F393,'Release Calculations'!$F403)</f>
        <v>0</v>
      </c>
      <c r="AB81" s="1879">
        <f>IF(AB23="Indoors",'Release Calculations'!$F770,'Release Calculations'!$F780)</f>
        <v>0</v>
      </c>
      <c r="AC81" s="3241">
        <f>IF(AC23="Indoors",'Release Calculations'!$F393,'Release Calculations'!$F403)</f>
        <v>0</v>
      </c>
      <c r="AD81" s="3241">
        <f>IF(AD23="Indoors",'Release Calculations'!$F770,'Release Calculations'!$F780)</f>
        <v>0</v>
      </c>
      <c r="AE81" s="1879">
        <f>IF(AE23="Indoors",'Release Calculations'!$J393,'Release Calculations'!$J403)</f>
        <v>0</v>
      </c>
      <c r="AF81" s="1879">
        <f>IF(AF23="Indoors",'Release Calculations'!$J770,'Release Calculations'!$J780)</f>
        <v>0</v>
      </c>
      <c r="AG81" s="1879">
        <f>IF(AG23="Indoors",'Release Calculations'!$L393,'Release Calculations'!$L403)</f>
        <v>0</v>
      </c>
      <c r="AH81" s="1879">
        <f>IF(AH23="Indoors",'Release Calculations'!$L770,'Release Calculations'!$L780)</f>
        <v>0</v>
      </c>
      <c r="AI81" s="1879">
        <f>IF(AI23="Indoors",'Release Calculations'!$N393,'Release Calculations'!$N403)</f>
        <v>0</v>
      </c>
      <c r="AJ81" s="1879">
        <f>IF(AJ23="Indoors",'Release Calculations'!$N770,'Release Calculations'!$N780)</f>
        <v>0</v>
      </c>
      <c r="AK81" s="1879">
        <f>IF(AK23="Indoors",'Release Calculations'!$P393,'Release Calculations'!$P403)</f>
        <v>0</v>
      </c>
      <c r="AL81" s="1879">
        <f>IF(AL23="Indoors",'Release Calculations'!$R393,'Release Calculations'!$R403)</f>
        <v>0</v>
      </c>
      <c r="AM81" s="1879">
        <f>IF(AM23="Indoors",'Release Calculations'!$R770,'Release Calculations'!$R780)</f>
        <v>0</v>
      </c>
      <c r="AN81" s="1879">
        <f>IF(AN23="Indoors",'Release Calculations'!$T393,'Release Calculations'!$T403)</f>
        <v>0</v>
      </c>
      <c r="AO81" s="1879">
        <f>IF(AO23="Indoors",'Release Calculations'!$T770,'Release Calculations'!$T780)</f>
        <v>0</v>
      </c>
      <c r="AP81" s="1879">
        <f>IF(AP23="Indoors",'Release Calculations'!$V393,'Release Calculations'!$V403)</f>
        <v>0</v>
      </c>
      <c r="AQ81" s="1879">
        <f>IF(AQ23="Indoors",'Release Calculations'!$V770,'Release Calculations'!$V780)</f>
        <v>0</v>
      </c>
      <c r="AR81" s="1879">
        <f>IF(AR23="Indoors",'Release Calculations'!$X393,'Release Calculations'!$X403)</f>
        <v>0</v>
      </c>
      <c r="AS81" s="1879">
        <f>IF(AS23="Indoors",'Release Calculations'!$X770,'Release Calculations'!$X780)</f>
        <v>0</v>
      </c>
      <c r="AT81" s="1879">
        <f>IF(AT23="Indoors",'Release Calculations'!$AE407,'Release Calculations'!$AE417)</f>
        <v>0</v>
      </c>
      <c r="AU81" s="1879">
        <f>IF(AU23="Indoors",'Release Calculations'!$AG407,'Release Calculations'!$AG417)</f>
        <v>0</v>
      </c>
      <c r="AV81" s="1879">
        <f>IF(AV23="Indoors",'Release Calculations'!$AI407,'Release Calculations'!$AI417)</f>
        <v>0</v>
      </c>
      <c r="AW81" s="1879">
        <f>IF(AW23="Indoors",'Release Calculations'!$AK407,'Release Calculations'!$AK417)</f>
        <v>0</v>
      </c>
      <c r="AX81" s="1879">
        <f>IF(AX23="Indoors",'Release Calculations'!$AM407,'Release Calculations'!$AM417)</f>
        <v>0</v>
      </c>
      <c r="AY81" s="1879">
        <f>IF(AY23="Indoors",'Release Calculations'!$AO407,'Release Calculations'!$AO417)</f>
        <v>0</v>
      </c>
      <c r="AZ81" s="1879">
        <f>IF(AZ23="Indoors",'Release Calculations'!$AE798,'Release Calculations'!$AE808)</f>
        <v>0</v>
      </c>
      <c r="BA81" s="1879">
        <f>IF(BA23="Indoors",'Release Calculations'!$AG798,'Release Calculations'!$AG808)</f>
        <v>0</v>
      </c>
      <c r="BB81" s="1879">
        <f>IF(BB23="Indoors",'Release Calculations'!$AI798,'Release Calculations'!$AI808)</f>
        <v>0</v>
      </c>
      <c r="BC81" s="1879">
        <f>IF(BC23="Indoors",'Release Calculations'!$AV391,'Release Calculations'!$AV401)</f>
        <v>0</v>
      </c>
      <c r="BD81" s="1879">
        <f>IF(BD23="Indoors",'Release Calculations'!$AX391,'Release Calculations'!$AX401)</f>
        <v>0</v>
      </c>
      <c r="BE81" s="1879">
        <f>IF(BE23="Indoors",'Release Calculations'!$AZ391,'Release Calculations'!$AZ401)</f>
        <v>0</v>
      </c>
      <c r="BF81" s="1879">
        <f>IF(BF23="Indoors",'Release Calculations'!$BB391,'Release Calculations'!$BB401)</f>
        <v>0</v>
      </c>
      <c r="BG81" s="1879">
        <f>IF(BG23="Indoors",'Release Calculations'!$BD391,'Release Calculations'!$BD401)</f>
        <v>0</v>
      </c>
      <c r="BH81" s="1879">
        <f>IF(BH23="Indoors",'Release Calculations'!$BF391,'Release Calculations'!$BF401)</f>
        <v>0</v>
      </c>
      <c r="BI81" s="1879">
        <f>IF(BI23="Indoors",'Release Calculations'!$BH391,'Release Calculations'!$BH401)</f>
        <v>0</v>
      </c>
      <c r="BJ81" s="1879">
        <f>IF(BJ23="Indoors",'Release Calculations'!$BJ391,'Release Calculations'!$BJ401)</f>
        <v>0</v>
      </c>
      <c r="BK81" s="1879">
        <f>IF(BK23="Indoors",'Release Calculations'!$BL391,'Release Calculations'!$BL401)</f>
        <v>0</v>
      </c>
      <c r="BL81" s="1879">
        <f>IF(BL23="Indoors",'Release Calculations'!$BN391,'Release Calculations'!$BN401)</f>
        <v>0</v>
      </c>
      <c r="BM81" s="1879">
        <f>IF(BM23="Indoors",'Release Calculations'!$BU421,'Release Calculations'!$BU431)</f>
        <v>0</v>
      </c>
      <c r="BN81" s="1879">
        <f>IF(BN23="Indoors",'Release Calculations'!$BW421,'Release Calculations'!$BW431)</f>
        <v>0</v>
      </c>
      <c r="BO81" s="1879">
        <f>IF(BO23="Indoors",'Release Calculations'!$BY421,'Release Calculations'!$BY431)</f>
        <v>0</v>
      </c>
      <c r="BP81" s="1879">
        <f>IF(BP23="Indoors",'Release Calculations'!$CA421,'Release Calculations'!$CA431)</f>
        <v>0</v>
      </c>
      <c r="BQ81" s="1879">
        <f>IF(BQ23="Indoors",'Release Calculations'!$CC421,'Release Calculations'!$CC431)</f>
        <v>0</v>
      </c>
      <c r="BR81" s="1879">
        <f>IF(BR23="Indoors",'Release Calculations'!$BY421,'Release Calculations'!$BY431)</f>
        <v>0</v>
      </c>
      <c r="BS81" s="1879">
        <f>IF(BS23="Indoors",'Release Calculations'!$CJ243,'Release Calculations'!$CJ251)*Occupants_atRisk2</f>
        <v>0</v>
      </c>
    </row>
    <row r="82" spans="1:73" x14ac:dyDescent="0.25">
      <c r="A82" s="345"/>
      <c r="B82" s="977"/>
      <c r="C82" s="577"/>
      <c r="D82" s="577"/>
      <c r="E82" s="1164" t="str">
        <f>'Pool Fire Frequency'!S27</f>
        <v/>
      </c>
      <c r="F82" s="572"/>
      <c r="G82" s="578"/>
      <c r="H82" s="3926"/>
      <c r="I82" s="3927"/>
      <c r="J82" s="345"/>
      <c r="L82" s="345"/>
      <c r="M82" s="977"/>
      <c r="O82" s="2847" t="str">
        <f>"Onsite Thermal Radation Impact based on Distance from Fireball "&amp;IF(Q63="","","of "&amp;ROUND(Q63,0)&amp;" m")</f>
        <v xml:space="preserve">Onsite Thermal Radation Impact based on Distance from Fireball </v>
      </c>
      <c r="S82" s="1371" t="str">
        <f>IF(HLOOKUP($P$6,$Y$6:$BS$104,62,0)=0,"",HLOOKUP($P$6,$Y$6:$BS$104,62,0))</f>
        <v/>
      </c>
      <c r="T82" s="1155"/>
      <c r="U82" s="432"/>
      <c r="V82" s="345"/>
      <c r="X82" s="338" t="s">
        <v>4054</v>
      </c>
      <c r="Y82" s="1883"/>
      <c r="Z82" s="1883"/>
      <c r="AA82" s="1883"/>
      <c r="AB82" s="1883"/>
      <c r="AC82" s="3242"/>
      <c r="AD82" s="3242"/>
      <c r="AE82" s="1883"/>
      <c r="AF82" s="1883"/>
      <c r="AG82" s="1883"/>
      <c r="AH82" s="1883"/>
      <c r="AI82" s="1883"/>
      <c r="AJ82" s="1883"/>
      <c r="AK82" s="1883"/>
      <c r="AL82" s="1883"/>
      <c r="AM82" s="1883"/>
      <c r="AN82" s="1883"/>
      <c r="AO82" s="1883"/>
      <c r="AP82" s="1883"/>
      <c r="AQ82" s="1883"/>
      <c r="AR82" s="1883"/>
      <c r="AS82" s="1883"/>
      <c r="AT82" s="1883"/>
      <c r="AU82" s="1883"/>
      <c r="AV82" s="1883"/>
      <c r="AW82" s="1883"/>
      <c r="AX82" s="1883"/>
      <c r="AY82" s="1883"/>
      <c r="AZ82" s="1883"/>
      <c r="BA82" s="1883"/>
      <c r="BB82" s="1883"/>
      <c r="BC82" s="1883"/>
      <c r="BD82" s="1883"/>
      <c r="BE82" s="1883"/>
      <c r="BF82" s="1883"/>
      <c r="BG82" s="1883"/>
      <c r="BH82" s="1883"/>
      <c r="BI82" s="1883"/>
      <c r="BJ82" s="1883"/>
      <c r="BK82" s="1883"/>
      <c r="BL82" s="1883"/>
      <c r="BM82" s="1879">
        <f>'Release Calculations'!$BU446</f>
        <v>0</v>
      </c>
      <c r="BN82" s="1879">
        <f>'Release Calculations'!$BW446</f>
        <v>0</v>
      </c>
      <c r="BO82" s="1879">
        <f>'Release Calculations'!$BY446</f>
        <v>0</v>
      </c>
      <c r="BP82" s="1879">
        <f>'Release Calculations'!$CA446</f>
        <v>0</v>
      </c>
      <c r="BQ82" s="1879">
        <f>'Release Calculations'!$CC446</f>
        <v>0</v>
      </c>
      <c r="BR82" s="1879">
        <f>'Release Calculations'!$BY462</f>
        <v>0</v>
      </c>
      <c r="BS82" s="1879">
        <f>'Release Calculations'!$CJ265*Occupants_atRisk</f>
        <v>0</v>
      </c>
    </row>
    <row r="83" spans="1:73" x14ac:dyDescent="0.25">
      <c r="A83" s="345"/>
      <c r="B83" s="977"/>
      <c r="E83" s="1164" t="str">
        <f>'Pool Fire Frequency'!S28</f>
        <v/>
      </c>
      <c r="F83" s="888"/>
      <c r="G83" s="888"/>
      <c r="H83" s="595"/>
      <c r="I83" s="617"/>
      <c r="J83" s="345"/>
      <c r="L83" s="345"/>
      <c r="M83" s="977"/>
      <c r="O83" s="3138" t="str">
        <f>IF(Conseq_Criteria="Hazard Distance","","Number of Potential Severe Toxic Impacts Onsite: "&amp;IF(HLOOKUP($P$6,$Y$6:$BS$91,65,0)&gt;20,"&gt;20",ROUND(HLOOKUP($P$6,$Y$6:$BS$91,65,0),1))&amp;" people")</f>
        <v>Number of Potential Severe Toxic Impacts Onsite: 0 people</v>
      </c>
      <c r="S83" s="1155"/>
      <c r="T83" s="1155"/>
      <c r="U83" s="432"/>
      <c r="V83" s="345"/>
      <c r="X83" s="338" t="s">
        <v>4055</v>
      </c>
      <c r="Y83" s="1883"/>
      <c r="Z83" s="1883"/>
      <c r="AA83" s="1883"/>
      <c r="AB83" s="1883"/>
      <c r="AC83" s="3242"/>
      <c r="AD83" s="3242"/>
      <c r="AE83" s="1883"/>
      <c r="AF83" s="1883"/>
      <c r="AG83" s="1883"/>
      <c r="AH83" s="1883"/>
      <c r="AI83" s="1883"/>
      <c r="AJ83" s="1883"/>
      <c r="AK83" s="1883"/>
      <c r="AL83" s="1883"/>
      <c r="AM83" s="1883"/>
      <c r="AN83" s="1883"/>
      <c r="AO83" s="1883"/>
      <c r="AP83" s="1883"/>
      <c r="AQ83" s="1883"/>
      <c r="AR83" s="1883"/>
      <c r="AS83" s="1883"/>
      <c r="AT83" s="1883"/>
      <c r="AU83" s="1883"/>
      <c r="AV83" s="1883"/>
      <c r="AW83" s="1883"/>
      <c r="AX83" s="1883"/>
      <c r="AY83" s="1883"/>
      <c r="AZ83" s="1883"/>
      <c r="BA83" s="1883"/>
      <c r="BB83" s="1883"/>
      <c r="BC83" s="1883"/>
      <c r="BD83" s="1883"/>
      <c r="BE83" s="1883"/>
      <c r="BF83" s="1883"/>
      <c r="BG83" s="1883"/>
      <c r="BH83" s="1883"/>
      <c r="BI83" s="1883"/>
      <c r="BJ83" s="1883"/>
      <c r="BK83" s="1883"/>
      <c r="BL83" s="1883"/>
      <c r="BM83" s="1879">
        <f>'Release Calculations'!$BU448</f>
        <v>0</v>
      </c>
      <c r="BN83" s="1879">
        <f>'Release Calculations'!$BW448</f>
        <v>0</v>
      </c>
      <c r="BO83" s="1879">
        <f>'Release Calculations'!$BY448</f>
        <v>0</v>
      </c>
      <c r="BP83" s="1879">
        <f>'Release Calculations'!$CA448</f>
        <v>0</v>
      </c>
      <c r="BQ83" s="1879">
        <f>'Release Calculations'!$CC448</f>
        <v>0</v>
      </c>
      <c r="BR83" s="1879">
        <f>'Release Calculations'!$BY464</f>
        <v>0</v>
      </c>
      <c r="BS83" s="1879">
        <f>'Release Calculations'!$CJ266*Occupants_atRisk2</f>
        <v>0</v>
      </c>
    </row>
    <row r="84" spans="1:73" x14ac:dyDescent="0.25">
      <c r="A84" s="345"/>
      <c r="B84" s="977"/>
      <c r="E84" s="1164" t="str">
        <f>'Pool Fire Frequency'!S29</f>
        <v/>
      </c>
      <c r="F84" s="888"/>
      <c r="G84" s="888"/>
      <c r="H84" s="595"/>
      <c r="I84" s="617"/>
      <c r="J84" s="345"/>
      <c r="L84" s="345"/>
      <c r="M84" s="977"/>
      <c r="O84" s="3139" t="str">
        <f>IF(Conseq_Criteria="Hazard Distance","","Number of Potential Severe Flash Fire/Fireball Impacts Onsite: "&amp;IF(HLOOKUP($P$6,$Y$6:$BS$91,66,0)&gt;20,"&gt;20",ROUND(HLOOKUP($P$6,$Y$6:$BS$91,66,0),1))&amp;" people")</f>
        <v>Number of Potential Severe Flash Fire/Fireball Impacts Onsite: 0 people</v>
      </c>
      <c r="P84" s="3135"/>
      <c r="S84" s="1155"/>
      <c r="T84" s="1155"/>
      <c r="U84" s="432"/>
      <c r="V84" s="345"/>
      <c r="X84" s="338" t="s">
        <v>4125</v>
      </c>
      <c r="Y84" s="1883" t="str">
        <f>'Release Calculations'!D298</f>
        <v/>
      </c>
      <c r="Z84" s="1883" t="str">
        <f>'Release Calculations'!D681</f>
        <v/>
      </c>
      <c r="AA84" s="1883" t="str">
        <f>'Release Calculations'!F298</f>
        <v/>
      </c>
      <c r="AB84" s="1883" t="str">
        <f>'Release Calculations'!F681</f>
        <v/>
      </c>
      <c r="AC84" s="3242" t="str">
        <f>'Release Calculations'!H298</f>
        <v/>
      </c>
      <c r="AD84" s="3242" t="str">
        <f>'Release Calculations'!H681</f>
        <v/>
      </c>
      <c r="AE84" s="1883" t="str">
        <f>'Release Calculations'!J298</f>
        <v/>
      </c>
      <c r="AF84" s="1883" t="str">
        <f>'Release Calculations'!J681</f>
        <v/>
      </c>
      <c r="AG84" s="1883" t="str">
        <f>'Release Calculations'!L298</f>
        <v/>
      </c>
      <c r="AH84" s="1883" t="str">
        <f>'Release Calculations'!L681</f>
        <v/>
      </c>
      <c r="AI84" s="1883" t="str">
        <f>'Release Calculations'!N298</f>
        <v/>
      </c>
      <c r="AJ84" s="1883" t="str">
        <f>'Release Calculations'!N681</f>
        <v/>
      </c>
      <c r="AK84" s="1883" t="str">
        <f>'Release Calculations'!P298</f>
        <v/>
      </c>
      <c r="AL84" s="1883" t="str">
        <f>'Release Calculations'!R298</f>
        <v/>
      </c>
      <c r="AM84" s="1883" t="str">
        <f>'Release Calculations'!R681</f>
        <v/>
      </c>
      <c r="AN84" s="1883" t="str">
        <f>'Release Calculations'!T298</f>
        <v/>
      </c>
      <c r="AO84" s="1883" t="str">
        <f>'Release Calculations'!T681</f>
        <v/>
      </c>
      <c r="AP84" s="1883" t="str">
        <f>'Release Calculations'!V298</f>
        <v/>
      </c>
      <c r="AQ84" s="1883" t="str">
        <f>'Release Calculations'!V681</f>
        <v/>
      </c>
      <c r="AR84" s="1883" t="str">
        <f>'Release Calculations'!X298</f>
        <v/>
      </c>
      <c r="AS84" s="1883" t="str">
        <f>'Release Calculations'!X681</f>
        <v/>
      </c>
      <c r="AT84" s="1883" t="str">
        <f>'Release Calculations'!AE312</f>
        <v/>
      </c>
      <c r="AU84" s="1883" t="str">
        <f>'Release Calculations'!AG312</f>
        <v/>
      </c>
      <c r="AV84" s="1883" t="str">
        <f>'Release Calculations'!AI312</f>
        <v/>
      </c>
      <c r="AW84" s="1883" t="str">
        <f>'Release Calculations'!AK312</f>
        <v/>
      </c>
      <c r="AX84" s="1883" t="str">
        <f>'Release Calculations'!AM312</f>
        <v/>
      </c>
      <c r="AY84" s="1883" t="str">
        <f>'Release Calculations'!AO312</f>
        <v/>
      </c>
      <c r="AZ84" s="1883" t="str">
        <f>'Release Calculations'!AE709</f>
        <v/>
      </c>
      <c r="BA84" s="1883" t="str">
        <f>'Release Calculations'!AG709</f>
        <v/>
      </c>
      <c r="BB84" s="1883" t="str">
        <f>'Release Calculations'!AI709</f>
        <v/>
      </c>
      <c r="BC84" s="1883" t="str">
        <f>'Release Calculations'!AV296</f>
        <v/>
      </c>
      <c r="BD84" s="1883" t="str">
        <f>'Release Calculations'!AX296</f>
        <v/>
      </c>
      <c r="BE84" s="1883" t="str">
        <f>'Release Calculations'!AZ296</f>
        <v/>
      </c>
      <c r="BF84" s="1883" t="str">
        <f>'Release Calculations'!BB296</f>
        <v/>
      </c>
      <c r="BG84" s="1883" t="str">
        <f>'Release Calculations'!BD296</f>
        <v/>
      </c>
      <c r="BH84" s="1883" t="str">
        <f>'Release Calculations'!BF296</f>
        <v/>
      </c>
      <c r="BI84" s="1883" t="str">
        <f>'Release Calculations'!BH296</f>
        <v/>
      </c>
      <c r="BJ84" s="1883" t="str">
        <f>'Release Calculations'!BJ296</f>
        <v/>
      </c>
      <c r="BK84" s="1883" t="str">
        <f>'Release Calculations'!BL296</f>
        <v/>
      </c>
      <c r="BL84" s="1883" t="str">
        <f>'Release Calculations'!BN296</f>
        <v/>
      </c>
      <c r="BM84" s="1883" t="str">
        <f>'Release Calculations'!BU298</f>
        <v/>
      </c>
      <c r="BN84" s="1883" t="str">
        <f>'Release Calculations'!BW298</f>
        <v/>
      </c>
      <c r="BO84" s="1883" t="str">
        <f>'Release Calculations'!$BY298</f>
        <v/>
      </c>
      <c r="BP84" s="1883" t="str">
        <f>'Release Calculations'!CA298</f>
        <v/>
      </c>
      <c r="BQ84" s="1883" t="str">
        <f>'Release Calculations'!CC298</f>
        <v/>
      </c>
      <c r="BR84" s="1883" t="str">
        <f>'Release Calculations'!$BY298</f>
        <v/>
      </c>
      <c r="BS84" s="1883"/>
    </row>
    <row r="85" spans="1:73" x14ac:dyDescent="0.25">
      <c r="A85" s="345"/>
      <c r="B85" s="977"/>
      <c r="E85" s="1164"/>
      <c r="F85" s="888"/>
      <c r="G85" s="888"/>
      <c r="H85" s="595"/>
      <c r="I85" s="617"/>
      <c r="J85" s="345"/>
      <c r="L85" s="345"/>
      <c r="M85" s="977"/>
      <c r="O85" s="3137" t="str">
        <f>+IF(Occ_Bldg2_Direction="Yes","Occupied Buildings Noted as in the Same Wind Direction","")</f>
        <v/>
      </c>
      <c r="S85" s="1155"/>
      <c r="T85" s="1155"/>
      <c r="U85" s="432"/>
      <c r="V85" s="345"/>
      <c r="X85" s="338" t="s">
        <v>4126</v>
      </c>
      <c r="Y85" s="1883" t="str">
        <f>'Release Calculations'!D299</f>
        <v/>
      </c>
      <c r="Z85" s="1883" t="str">
        <f>'Release Calculations'!D682</f>
        <v/>
      </c>
      <c r="AA85" s="1883" t="str">
        <f>'Release Calculations'!F299</f>
        <v/>
      </c>
      <c r="AB85" s="1883" t="str">
        <f>'Release Calculations'!F682</f>
        <v/>
      </c>
      <c r="AC85" s="3242" t="str">
        <f>'Release Calculations'!H299</f>
        <v/>
      </c>
      <c r="AD85" s="3242" t="str">
        <f>'Release Calculations'!H682</f>
        <v/>
      </c>
      <c r="AE85" s="1883" t="str">
        <f>'Release Calculations'!J299</f>
        <v/>
      </c>
      <c r="AF85" s="1883" t="str">
        <f>'Release Calculations'!J682</f>
        <v/>
      </c>
      <c r="AG85" s="1883" t="str">
        <f>'Release Calculations'!L299</f>
        <v/>
      </c>
      <c r="AH85" s="1883" t="str">
        <f>'Release Calculations'!L682</f>
        <v/>
      </c>
      <c r="AI85" s="1883" t="str">
        <f>'Release Calculations'!N299</f>
        <v/>
      </c>
      <c r="AJ85" s="1883" t="str">
        <f>'Release Calculations'!N682</f>
        <v/>
      </c>
      <c r="AK85" s="1883" t="str">
        <f>'Release Calculations'!P299</f>
        <v/>
      </c>
      <c r="AL85" s="1883" t="str">
        <f>'Release Calculations'!R299</f>
        <v/>
      </c>
      <c r="AM85" s="1883" t="str">
        <f>'Release Calculations'!R682</f>
        <v/>
      </c>
      <c r="AN85" s="1883" t="str">
        <f>'Release Calculations'!T299</f>
        <v/>
      </c>
      <c r="AO85" s="1883" t="str">
        <f>'Release Calculations'!T682</f>
        <v/>
      </c>
      <c r="AP85" s="1883" t="str">
        <f>'Release Calculations'!V299</f>
        <v/>
      </c>
      <c r="AQ85" s="1883" t="str">
        <f>'Release Calculations'!V682</f>
        <v/>
      </c>
      <c r="AR85" s="1883" t="str">
        <f>'Release Calculations'!X299</f>
        <v/>
      </c>
      <c r="AS85" s="1883" t="str">
        <f>'Release Calculations'!X682</f>
        <v/>
      </c>
      <c r="AT85" s="1883" t="str">
        <f>'Release Calculations'!AE313</f>
        <v/>
      </c>
      <c r="AU85" s="1883" t="str">
        <f>'Release Calculations'!AG313</f>
        <v/>
      </c>
      <c r="AV85" s="1883" t="str">
        <f>'Release Calculations'!AI313</f>
        <v/>
      </c>
      <c r="AW85" s="1883" t="str">
        <f>'Release Calculations'!AK313</f>
        <v/>
      </c>
      <c r="AX85" s="1883" t="str">
        <f>'Release Calculations'!AM313</f>
        <v/>
      </c>
      <c r="AY85" s="1883" t="str">
        <f>'Release Calculations'!AO313</f>
        <v/>
      </c>
      <c r="AZ85" s="1883" t="str">
        <f>'Release Calculations'!AE710</f>
        <v/>
      </c>
      <c r="BA85" s="1883" t="str">
        <f>'Release Calculations'!AG710</f>
        <v/>
      </c>
      <c r="BB85" s="1883" t="str">
        <f>'Release Calculations'!AI710</f>
        <v/>
      </c>
      <c r="BC85" s="1883" t="str">
        <f>'Release Calculations'!AV297</f>
        <v/>
      </c>
      <c r="BD85" s="1883" t="str">
        <f>'Release Calculations'!AX297</f>
        <v/>
      </c>
      <c r="BE85" s="1883" t="str">
        <f>'Release Calculations'!AZ297</f>
        <v/>
      </c>
      <c r="BF85" s="1883" t="str">
        <f>'Release Calculations'!BB297</f>
        <v/>
      </c>
      <c r="BG85" s="1883" t="str">
        <f>'Release Calculations'!BD297</f>
        <v/>
      </c>
      <c r="BH85" s="1883" t="str">
        <f>'Release Calculations'!BF297</f>
        <v/>
      </c>
      <c r="BI85" s="1883" t="str">
        <f>'Release Calculations'!BH297</f>
        <v/>
      </c>
      <c r="BJ85" s="1883" t="str">
        <f>'Release Calculations'!BJ297</f>
        <v/>
      </c>
      <c r="BK85" s="1883" t="str">
        <f>'Release Calculations'!BL297</f>
        <v/>
      </c>
      <c r="BL85" s="1883" t="str">
        <f>'Release Calculations'!BN297</f>
        <v/>
      </c>
      <c r="BM85" s="1883" t="str">
        <f>'Release Calculations'!BU299</f>
        <v/>
      </c>
      <c r="BN85" s="1883" t="str">
        <f>'Release Calculations'!BW299</f>
        <v/>
      </c>
      <c r="BO85" s="1883" t="str">
        <f>'Release Calculations'!$BY299</f>
        <v/>
      </c>
      <c r="BP85" s="1883" t="str">
        <f>'Release Calculations'!CA299</f>
        <v/>
      </c>
      <c r="BQ85" s="1883" t="str">
        <f>'Release Calculations'!CC299</f>
        <v/>
      </c>
      <c r="BR85" s="1883" t="str">
        <f>'Release Calculations'!$BY299</f>
        <v/>
      </c>
      <c r="BS85" s="1883"/>
    </row>
    <row r="86" spans="1:73" ht="13.5" thickBot="1" x14ac:dyDescent="0.3">
      <c r="A86" s="345"/>
      <c r="B86" s="579"/>
      <c r="C86" s="580"/>
      <c r="D86" s="580"/>
      <c r="E86" s="580"/>
      <c r="F86" s="580"/>
      <c r="G86" s="580"/>
      <c r="H86" s="580"/>
      <c r="I86" s="581"/>
      <c r="J86" s="345"/>
      <c r="L86" s="345"/>
      <c r="M86" s="977"/>
      <c r="O86" s="338" t="s">
        <v>4884</v>
      </c>
      <c r="Q86" s="596" t="str">
        <f>IF(OR(Q35="",AND(Regulatory_Tox&lt;&gt;"Yes",ER3_Min&gt;Toxic_Limit)),"No",IF(OR(IF(Q51="",0,Q51)&gt;Q35,IF(Q52="",0,Q52)&gt;Q35),"Yes","No"))</f>
        <v>No</v>
      </c>
      <c r="S86" s="1371" t="str">
        <f>IF(HLOOKUP($P$6,$Y$6:$BS$104,63,0)=0,"",HLOOKUP($P$6,$Y$6:$BS$104,63,0))</f>
        <v>NA</v>
      </c>
      <c r="T86" s="1155"/>
      <c r="U86" s="432"/>
      <c r="V86" s="345"/>
      <c r="X86" s="338" t="s">
        <v>4127</v>
      </c>
      <c r="Y86" s="1883" t="str">
        <f>'Release Calculations'!D302</f>
        <v/>
      </c>
      <c r="Z86" s="1883" t="str">
        <f>'Release Calculations'!D685</f>
        <v/>
      </c>
      <c r="AA86" s="1883" t="str">
        <f>'Release Calculations'!F302</f>
        <v/>
      </c>
      <c r="AB86" s="1883" t="str">
        <f>'Release Calculations'!F685</f>
        <v/>
      </c>
      <c r="AC86" s="3242" t="str">
        <f>'Release Calculations'!H302</f>
        <v/>
      </c>
      <c r="AD86" s="3242" t="str">
        <f>'Release Calculations'!H685</f>
        <v/>
      </c>
      <c r="AE86" s="1883" t="str">
        <f>'Release Calculations'!J302</f>
        <v/>
      </c>
      <c r="AF86" s="1883" t="str">
        <f>'Release Calculations'!J685</f>
        <v/>
      </c>
      <c r="AG86" s="1883" t="str">
        <f>'Release Calculations'!L302</f>
        <v/>
      </c>
      <c r="AH86" s="1883" t="str">
        <f>'Release Calculations'!L685</f>
        <v/>
      </c>
      <c r="AI86" s="1883" t="str">
        <f>'Release Calculations'!N302</f>
        <v/>
      </c>
      <c r="AJ86" s="1883" t="str">
        <f>'Release Calculations'!N685</f>
        <v/>
      </c>
      <c r="AK86" s="1883" t="str">
        <f>'Release Calculations'!P302</f>
        <v/>
      </c>
      <c r="AL86" s="1883" t="str">
        <f>'Release Calculations'!R302</f>
        <v/>
      </c>
      <c r="AM86" s="1883" t="str">
        <f>'Release Calculations'!R685</f>
        <v/>
      </c>
      <c r="AN86" s="1883" t="str">
        <f>'Release Calculations'!T302</f>
        <v/>
      </c>
      <c r="AO86" s="1883" t="str">
        <f>'Release Calculations'!T685</f>
        <v/>
      </c>
      <c r="AP86" s="1883" t="str">
        <f>'Release Calculations'!V302</f>
        <v/>
      </c>
      <c r="AQ86" s="1883" t="str">
        <f>'Release Calculations'!V685</f>
        <v/>
      </c>
      <c r="AR86" s="1883" t="str">
        <f>'Release Calculations'!X302</f>
        <v/>
      </c>
      <c r="AS86" s="1883" t="str">
        <f>'Release Calculations'!X685</f>
        <v/>
      </c>
      <c r="AT86" s="1883" t="str">
        <f>'Release Calculations'!AE316</f>
        <v/>
      </c>
      <c r="AU86" s="1883" t="str">
        <f>'Release Calculations'!AG316</f>
        <v/>
      </c>
      <c r="AV86" s="1883" t="str">
        <f>'Release Calculations'!AI316</f>
        <v/>
      </c>
      <c r="AW86" s="1883" t="str">
        <f>'Release Calculations'!AK316</f>
        <v/>
      </c>
      <c r="AX86" s="1883" t="str">
        <f>'Release Calculations'!AM316</f>
        <v/>
      </c>
      <c r="AY86" s="1883" t="str">
        <f>'Release Calculations'!AO316</f>
        <v/>
      </c>
      <c r="AZ86" s="1883" t="str">
        <f>'Release Calculations'!AE713</f>
        <v/>
      </c>
      <c r="BA86" s="1883" t="str">
        <f>'Release Calculations'!AG713</f>
        <v/>
      </c>
      <c r="BB86" s="1883" t="str">
        <f>'Release Calculations'!AI713</f>
        <v/>
      </c>
      <c r="BC86" s="1883" t="str">
        <f>'Release Calculations'!AV300</f>
        <v/>
      </c>
      <c r="BD86" s="1883" t="str">
        <f>'Release Calculations'!AX300</f>
        <v/>
      </c>
      <c r="BE86" s="1883" t="str">
        <f>'Release Calculations'!AZ300</f>
        <v/>
      </c>
      <c r="BF86" s="1883" t="str">
        <f>'Release Calculations'!BB300</f>
        <v/>
      </c>
      <c r="BG86" s="1883" t="str">
        <f>'Release Calculations'!BD300</f>
        <v/>
      </c>
      <c r="BH86" s="1883" t="str">
        <f>'Release Calculations'!BF300</f>
        <v/>
      </c>
      <c r="BI86" s="1883" t="str">
        <f>'Release Calculations'!BH300</f>
        <v/>
      </c>
      <c r="BJ86" s="1883" t="str">
        <f>'Release Calculations'!BJ300</f>
        <v/>
      </c>
      <c r="BK86" s="1883" t="str">
        <f>'Release Calculations'!BL300</f>
        <v/>
      </c>
      <c r="BL86" s="1883" t="str">
        <f>'Release Calculations'!BN300</f>
        <v/>
      </c>
      <c r="BM86" s="1883" t="str">
        <f>'Release Calculations'!BU302</f>
        <v/>
      </c>
      <c r="BN86" s="1883" t="str">
        <f>'Release Calculations'!BW302</f>
        <v/>
      </c>
      <c r="BO86" s="1883" t="str">
        <f>'Release Calculations'!$BY302</f>
        <v/>
      </c>
      <c r="BP86" s="1883" t="str">
        <f>'Release Calculations'!CA302</f>
        <v/>
      </c>
      <c r="BQ86" s="1883" t="str">
        <f>'Release Calculations'!CC302</f>
        <v/>
      </c>
      <c r="BR86" s="1883" t="str">
        <f>'Release Calculations'!$BY302</f>
        <v/>
      </c>
      <c r="BS86" s="1883"/>
      <c r="BU86" s="2518"/>
    </row>
    <row r="87" spans="1:73" x14ac:dyDescent="0.25">
      <c r="A87" s="345"/>
      <c r="B87" s="345"/>
      <c r="C87" s="345"/>
      <c r="D87" s="345"/>
      <c r="E87" s="345"/>
      <c r="F87" s="345"/>
      <c r="G87" s="345"/>
      <c r="H87" s="345"/>
      <c r="I87" s="345"/>
      <c r="J87" s="345"/>
      <c r="L87" s="345"/>
      <c r="M87" s="977"/>
      <c r="O87" s="3138" t="str">
        <f>IF(Conseq_Criteria="Hazard Distance","Building 1 Concentration / LC-1 of "&amp;IF(OR(Q38="",Q51=""),0,IF(Q38&gt;0,ROUND(Q51/Q38,1),0)),"Number of Potential Severe Impacts for Building 1:  "&amp;IF(AND(Regulatory_Tox&lt;&gt;"Yes",ER3_Min&gt;Toxic_Limit),0,ROUND(HLOOKUP($P$6,$Y$6:$BS$91,73,0),1))&amp;" people")</f>
        <v>Number of Potential Severe Impacts for Building 1:  0 people</v>
      </c>
      <c r="Q87" s="596"/>
      <c r="S87" s="1155"/>
      <c r="T87" s="1155"/>
      <c r="U87" s="432"/>
      <c r="V87" s="345"/>
      <c r="X87" s="338" t="s">
        <v>4128</v>
      </c>
      <c r="Y87" s="1883" t="str">
        <f>'Release Calculations'!D303</f>
        <v/>
      </c>
      <c r="Z87" s="1883" t="str">
        <f>'Release Calculations'!D686</f>
        <v/>
      </c>
      <c r="AA87" s="1883" t="str">
        <f>'Release Calculations'!F303</f>
        <v/>
      </c>
      <c r="AB87" s="1883" t="str">
        <f>'Release Calculations'!F686</f>
        <v/>
      </c>
      <c r="AC87" s="3242" t="str">
        <f>'Release Calculations'!H303</f>
        <v/>
      </c>
      <c r="AD87" s="3242" t="str">
        <f>'Release Calculations'!H686</f>
        <v/>
      </c>
      <c r="AE87" s="1883" t="str">
        <f>'Release Calculations'!J303</f>
        <v/>
      </c>
      <c r="AF87" s="1883" t="str">
        <f>'Release Calculations'!J686</f>
        <v/>
      </c>
      <c r="AG87" s="1883" t="str">
        <f>'Release Calculations'!L303</f>
        <v/>
      </c>
      <c r="AH87" s="1883" t="str">
        <f>'Release Calculations'!L686</f>
        <v/>
      </c>
      <c r="AI87" s="1883" t="str">
        <f>'Release Calculations'!N303</f>
        <v/>
      </c>
      <c r="AJ87" s="1883" t="str">
        <f>'Release Calculations'!N686</f>
        <v/>
      </c>
      <c r="AK87" s="1883" t="str">
        <f>'Release Calculations'!P303</f>
        <v/>
      </c>
      <c r="AL87" s="1883" t="str">
        <f>'Release Calculations'!R303</f>
        <v/>
      </c>
      <c r="AM87" s="1883" t="str">
        <f>'Release Calculations'!R686</f>
        <v/>
      </c>
      <c r="AN87" s="1883" t="str">
        <f>'Release Calculations'!T303</f>
        <v/>
      </c>
      <c r="AO87" s="1883" t="str">
        <f>'Release Calculations'!T686</f>
        <v/>
      </c>
      <c r="AP87" s="1883" t="str">
        <f>'Release Calculations'!V303</f>
        <v/>
      </c>
      <c r="AQ87" s="1883" t="str">
        <f>'Release Calculations'!V686</f>
        <v/>
      </c>
      <c r="AR87" s="1883" t="str">
        <f>'Release Calculations'!X303</f>
        <v/>
      </c>
      <c r="AS87" s="1883" t="str">
        <f>'Release Calculations'!X686</f>
        <v/>
      </c>
      <c r="AT87" s="1883" t="str">
        <f>'Release Calculations'!AE317</f>
        <v/>
      </c>
      <c r="AU87" s="1883" t="str">
        <f>'Release Calculations'!AG317</f>
        <v/>
      </c>
      <c r="AV87" s="1883" t="str">
        <f>'Release Calculations'!AI317</f>
        <v/>
      </c>
      <c r="AW87" s="1883" t="str">
        <f>'Release Calculations'!AK317</f>
        <v/>
      </c>
      <c r="AX87" s="1883" t="str">
        <f>'Release Calculations'!AM317</f>
        <v/>
      </c>
      <c r="AY87" s="1883" t="str">
        <f>'Release Calculations'!AO317</f>
        <v/>
      </c>
      <c r="AZ87" s="1883" t="str">
        <f>'Release Calculations'!AE714</f>
        <v/>
      </c>
      <c r="BA87" s="1883" t="str">
        <f>'Release Calculations'!AG714</f>
        <v/>
      </c>
      <c r="BB87" s="1883" t="str">
        <f>'Release Calculations'!AI714</f>
        <v/>
      </c>
      <c r="BC87" s="1883" t="str">
        <f>'Release Calculations'!AV301</f>
        <v/>
      </c>
      <c r="BD87" s="1883" t="str">
        <f>'Release Calculations'!AX301</f>
        <v/>
      </c>
      <c r="BE87" s="1883" t="str">
        <f>'Release Calculations'!AZ301</f>
        <v/>
      </c>
      <c r="BF87" s="1883" t="str">
        <f>'Release Calculations'!BB301</f>
        <v/>
      </c>
      <c r="BG87" s="1883" t="str">
        <f>'Release Calculations'!BD301</f>
        <v/>
      </c>
      <c r="BH87" s="1883" t="str">
        <f>'Release Calculations'!BF301</f>
        <v/>
      </c>
      <c r="BI87" s="1883" t="str">
        <f>'Release Calculations'!BH301</f>
        <v/>
      </c>
      <c r="BJ87" s="1883" t="str">
        <f>'Release Calculations'!BJ301</f>
        <v/>
      </c>
      <c r="BK87" s="1883" t="str">
        <f>'Release Calculations'!BL301</f>
        <v/>
      </c>
      <c r="BL87" s="1883" t="str">
        <f>'Release Calculations'!BN301</f>
        <v/>
      </c>
      <c r="BM87" s="1883" t="str">
        <f>'Release Calculations'!BU303</f>
        <v/>
      </c>
      <c r="BN87" s="1883" t="str">
        <f>'Release Calculations'!BW303</f>
        <v/>
      </c>
      <c r="BO87" s="1883" t="str">
        <f>'Release Calculations'!$BY303</f>
        <v/>
      </c>
      <c r="BP87" s="1883" t="str">
        <f>'Release Calculations'!CA303</f>
        <v/>
      </c>
      <c r="BQ87" s="1883" t="str">
        <f>'Release Calculations'!CC303</f>
        <v/>
      </c>
      <c r="BR87" s="1883" t="str">
        <f>'Release Calculations'!$BY303</f>
        <v/>
      </c>
      <c r="BS87" s="1883"/>
      <c r="BU87" s="2518"/>
    </row>
    <row r="88" spans="1:73" x14ac:dyDescent="0.25">
      <c r="L88" s="345"/>
      <c r="M88" s="977"/>
      <c r="O88" s="2036" t="str">
        <f>IF(Conseq_Criteria="Hazard Distance","Building 2 Concentration / LC-1 of "&amp;IF(OR(Q38="",Q52=""),0,IF(Q38&gt;0,ROUND(Q52/Q38,1),0)),"Number of Potential Severe Impacts for Building 2:  "&amp;IF(AND(Regulatory_Tox&lt;&gt;"Yes",ER3_Min&gt;Toxic_Limit),0,ROUND(HLOOKUP($P$6,$Y$6:$BS$91,74,0),1))&amp;" people")</f>
        <v>Number of Potential Severe Impacts for Building 2:  0 people</v>
      </c>
      <c r="Q88" s="596"/>
      <c r="S88" s="1155"/>
      <c r="T88" s="1155"/>
      <c r="U88" s="432"/>
      <c r="V88" s="345"/>
      <c r="X88" s="338" t="s">
        <v>4143</v>
      </c>
      <c r="Y88" s="1883"/>
      <c r="Z88" s="1883"/>
      <c r="AA88" s="1883"/>
      <c r="AB88" s="1883"/>
      <c r="AC88" s="3242"/>
      <c r="AD88" s="3242"/>
      <c r="AE88" s="1883"/>
      <c r="AF88" s="1883"/>
      <c r="AG88" s="1883"/>
      <c r="AH88" s="1883"/>
      <c r="AI88" s="1883"/>
      <c r="AJ88" s="1883"/>
      <c r="AK88" s="1883"/>
      <c r="AL88" s="1883"/>
      <c r="AM88" s="1883"/>
      <c r="AN88" s="1883"/>
      <c r="AO88" s="1883"/>
      <c r="AP88" s="1883"/>
      <c r="AQ88" s="1883"/>
      <c r="AR88" s="1883"/>
      <c r="AS88" s="1883"/>
      <c r="AT88" s="1883"/>
      <c r="AU88" s="1883"/>
      <c r="AV88" s="1883"/>
      <c r="AW88" s="1883"/>
      <c r="AX88" s="1883"/>
      <c r="AY88" s="1883"/>
      <c r="AZ88" s="1883"/>
      <c r="BA88" s="1883"/>
      <c r="BB88" s="1883"/>
      <c r="BC88" s="1883"/>
      <c r="BD88" s="1883"/>
      <c r="BE88" s="1883"/>
      <c r="BF88" s="1883"/>
      <c r="BG88" s="1883"/>
      <c r="BH88" s="1883"/>
      <c r="BI88" s="1883"/>
      <c r="BJ88" s="1883"/>
      <c r="BK88" s="1883"/>
      <c r="BL88" s="1883"/>
      <c r="BM88" s="1883">
        <f>'Release Calculations'!BU439</f>
        <v>0</v>
      </c>
      <c r="BN88" s="1883">
        <f>'Release Calculations'!BW439</f>
        <v>0</v>
      </c>
      <c r="BO88" s="1883">
        <f>'Release Calculations'!$BY439</f>
        <v>0</v>
      </c>
      <c r="BP88" s="1883">
        <f>'Release Calculations'!CA439</f>
        <v>0</v>
      </c>
      <c r="BQ88" s="1883">
        <f>'Release Calculations'!CC439</f>
        <v>0</v>
      </c>
      <c r="BR88" s="1883">
        <f>'Release Calculations'!$BY456</f>
        <v>0</v>
      </c>
      <c r="BS88" s="1883"/>
    </row>
    <row r="89" spans="1:73" x14ac:dyDescent="0.25">
      <c r="I89" s="2518"/>
      <c r="L89" s="345"/>
      <c r="M89" s="977"/>
      <c r="O89" s="338" t="str">
        <f>"Occupied Building Impact from "&amp;IF(Location="Indoors","Building Explosion","Vapor Cloud Explosion")</f>
        <v>Occupied Building Impact from Vapor Cloud Explosion</v>
      </c>
      <c r="Q89" s="596" t="str">
        <f>IF(Q61="","",IF(OR(Q61="&gt; 10 psi",Q62="&gt; 10 psi"),"Yes",IF(OR(Q61/Bldg_Type_Correction&gt;1,Q62/Bldg2_Type_Correction&gt;1),"Yes","No")))</f>
        <v>No</v>
      </c>
      <c r="S89" s="1371" t="str">
        <f>IF(HLOOKUP($P$6,$Y$6:$BS$104,64,0)=0,"",HLOOKUP($P$6,$Y$6:$BS$104,64,0))</f>
        <v>NA</v>
      </c>
      <c r="T89" s="1155"/>
      <c r="U89" s="432"/>
      <c r="V89" s="345"/>
      <c r="X89" s="338" t="s">
        <v>1664</v>
      </c>
      <c r="Y89" s="2368" t="str">
        <f>'Release Calculations'!BD420</f>
        <v>NA</v>
      </c>
      <c r="Z89" s="2367"/>
      <c r="AA89" s="2368" t="str">
        <f>'Release Calculations'!BD418</f>
        <v>NA</v>
      </c>
      <c r="AB89" s="2368"/>
      <c r="AC89" s="3237">
        <f>'Release Calculations'!BF418</f>
        <v>0</v>
      </c>
      <c r="AD89" s="3237"/>
      <c r="AE89" s="2368" t="str">
        <f>'Release Calculations'!BD421</f>
        <v>NA</v>
      </c>
      <c r="AF89" s="2368"/>
      <c r="AG89" s="2368" t="str">
        <f>'Release Calculations'!BD422</f>
        <v>NA</v>
      </c>
      <c r="AH89" s="2368"/>
      <c r="AI89" s="2368" t="str">
        <f>'Release Calculations'!BD425</f>
        <v>NA</v>
      </c>
      <c r="AJ89" s="2368"/>
      <c r="AK89" s="2368" t="str">
        <f>'Release Calculations'!BD417</f>
        <v>NA</v>
      </c>
      <c r="AL89" s="2368" t="str">
        <f>'Release Calculations'!BD423</f>
        <v>NA</v>
      </c>
      <c r="AM89" s="2368"/>
      <c r="AN89" s="2368" t="str">
        <f>'Release Calculations'!BD424</f>
        <v>NA</v>
      </c>
      <c r="AO89" s="2368"/>
      <c r="AP89" s="2368" t="str">
        <f>'Release Calculations'!BD426</f>
        <v>NA</v>
      </c>
      <c r="AQ89" s="2368"/>
      <c r="AR89" s="2368" t="str">
        <f>'Release Calculations'!BD427</f>
        <v>NA</v>
      </c>
      <c r="AS89" s="2368"/>
      <c r="AT89" s="2368" t="str">
        <f>'Release Calculations'!BD430</f>
        <v>NA</v>
      </c>
      <c r="AU89" s="2368" t="str">
        <f>'Release Calculations'!BD431</f>
        <v>NA</v>
      </c>
      <c r="AV89" s="2368" t="str">
        <f>'Release Calculations'!BD429</f>
        <v>NA</v>
      </c>
      <c r="AW89" s="2368" t="str">
        <f>'Release Calculations'!BD434</f>
        <v>NA</v>
      </c>
      <c r="AX89" s="2368" t="str">
        <f>'Release Calculations'!BD432</f>
        <v>NA</v>
      </c>
      <c r="AY89" s="2368" t="str">
        <f>'Release Calculations'!BD433</f>
        <v>NA</v>
      </c>
      <c r="AZ89" s="2368"/>
      <c r="BA89" s="2368"/>
      <c r="BB89" s="2368"/>
      <c r="BC89" s="2368"/>
      <c r="BD89" s="2368"/>
      <c r="BE89" s="2368"/>
      <c r="BF89" s="2368"/>
      <c r="BG89" s="2368"/>
      <c r="BH89" s="2368"/>
      <c r="BI89" s="2368"/>
      <c r="BJ89" s="2368"/>
      <c r="BK89" s="2368"/>
      <c r="BL89" s="2368"/>
      <c r="BM89" s="2368" t="str">
        <f>'Release Calculations'!BD435</f>
        <v>NA</v>
      </c>
      <c r="BN89" s="2368" t="str">
        <f>'Release Calculations'!BD435</f>
        <v>NA</v>
      </c>
      <c r="BO89" s="2368" t="str">
        <f>'Release Calculations'!$BD436</f>
        <v>NA</v>
      </c>
      <c r="BP89" s="2368" t="str">
        <f>'Release Calculations'!BD437</f>
        <v>NA</v>
      </c>
      <c r="BQ89" s="2368" t="str">
        <f>'Release Calculations'!BD438</f>
        <v>NA</v>
      </c>
      <c r="BR89" s="2368" t="str">
        <f>'Release Calculations'!$BD436</f>
        <v>NA</v>
      </c>
      <c r="BS89" s="2368" t="str">
        <f>'Release Calculations'!BD439</f>
        <v>NA</v>
      </c>
    </row>
    <row r="90" spans="1:73" x14ac:dyDescent="0.25">
      <c r="L90" s="345"/>
      <c r="M90" s="977"/>
      <c r="O90" s="2036" t="str">
        <f>IF(Conseq_Criteria="Hazard Distance","Based on Blast Overpressure at Building 1  / "&amp;Bldg_Type_Correction&amp;" psi Threshold of "&amp;IF(Q61="",0,ROUND(Q61/Bldg_Type_Correction,1)),"Number of Potential Severe Impacts for Building 1:  "&amp;ROUND(HLOOKUP($P$6,$Y$6:$BS$91,75,0),1)&amp;" people and "&amp;ROUND(HLOOKUP($P$6,$Y$6:$BS$107,101,0),1)&amp;" offsite")</f>
        <v>Number of Potential Severe Impacts for Building 1:  0 people and 0 offsite</v>
      </c>
      <c r="Q90" s="596"/>
      <c r="S90" s="1155"/>
      <c r="T90" s="1155"/>
      <c r="U90" s="432"/>
      <c r="V90" s="345"/>
      <c r="BT90" s="2518"/>
    </row>
    <row r="91" spans="1:73" x14ac:dyDescent="0.25">
      <c r="L91" s="345"/>
      <c r="M91" s="977"/>
      <c r="O91" s="2036" t="str">
        <f>IF(Conseq_Criteria="Hazard Distance","Based on Blast Overpressure at Building 2  / "&amp;Bldg2_Type_Correction&amp;" psi Threshold of "&amp;IF(Q62="",0,ROUND(Q62/Bldg2_Type_Correction,1)),"Number of Potential Severe Impacts for Building 2:  "&amp;ROUND(HLOOKUP($P$6,$Y$6:$BS$91,76,0),1)&amp;" people and "&amp;ROUND(HLOOKUP($P$6,$Y$6:$BS$107,101,0),1)&amp;" offsite")</f>
        <v>Number of Potential Severe Impacts for Building 2:  0 people and 0 offsite</v>
      </c>
      <c r="Q91" s="596"/>
      <c r="S91" s="1155"/>
      <c r="T91" s="1155"/>
      <c r="U91" s="432"/>
      <c r="V91" s="345"/>
      <c r="X91" s="338" t="str">
        <f>"Max Distance to LFL, m"</f>
        <v>Max Distance to LFL, m</v>
      </c>
      <c r="Y91" s="594">
        <f>'Release Calculations'!$D320</f>
        <v>0</v>
      </c>
      <c r="Z91" s="594">
        <f>'Release Calculations'!$D703</f>
        <v>0</v>
      </c>
      <c r="AA91" s="607">
        <f>'Release Calculations'!$H320</f>
        <v>0</v>
      </c>
      <c r="AB91" s="594">
        <f>'Release Calculations'!$F703</f>
        <v>0</v>
      </c>
      <c r="AC91" s="3237">
        <f>'Release Calculations'!$H320</f>
        <v>0</v>
      </c>
      <c r="AD91" s="3237">
        <f>'Release Calculations'!$H703</f>
        <v>0</v>
      </c>
      <c r="AE91" s="594">
        <f>'Release Calculations'!$J320</f>
        <v>0</v>
      </c>
      <c r="AF91" s="594">
        <f>'Release Calculations'!$J703</f>
        <v>0</v>
      </c>
      <c r="AG91" s="594">
        <f>'Release Calculations'!$L320</f>
        <v>0</v>
      </c>
      <c r="AH91" s="594">
        <f>'Release Calculations'!$L703</f>
        <v>0</v>
      </c>
      <c r="AI91" s="594">
        <f>'Release Calculations'!$N320</f>
        <v>0</v>
      </c>
      <c r="AJ91" s="594">
        <f>'Release Calculations'!$N703</f>
        <v>0</v>
      </c>
      <c r="AK91" s="594">
        <f>'Release Calculations'!$P320</f>
        <v>0</v>
      </c>
      <c r="AL91" s="607">
        <f>'Release Calculations'!$R320</f>
        <v>0</v>
      </c>
      <c r="AM91" s="594">
        <f>'Release Calculations'!$R703</f>
        <v>0</v>
      </c>
      <c r="AN91" s="594">
        <f>'Release Calculations'!$T320</f>
        <v>0</v>
      </c>
      <c r="AO91" s="594">
        <f>'Release Calculations'!$T703</f>
        <v>0</v>
      </c>
      <c r="AP91" s="594">
        <f>'Release Calculations'!$V320</f>
        <v>0</v>
      </c>
      <c r="AQ91" s="594">
        <f>'Release Calculations'!$V703</f>
        <v>0</v>
      </c>
      <c r="AR91" s="594">
        <f>'Release Calculations'!$X320</f>
        <v>0</v>
      </c>
      <c r="AS91" s="594">
        <f>'Release Calculations'!$X703</f>
        <v>0</v>
      </c>
      <c r="AT91" s="594">
        <f>'Release Calculations'!$AE334</f>
        <v>0</v>
      </c>
      <c r="AU91" s="594">
        <f>'Release Calculations'!$AG334</f>
        <v>0</v>
      </c>
      <c r="AV91" s="594">
        <f>'Release Calculations'!$AI334</f>
        <v>0</v>
      </c>
      <c r="AW91" s="594">
        <f>'Release Calculations'!$AK334</f>
        <v>0</v>
      </c>
      <c r="AX91" s="594">
        <f>'Release Calculations'!$AM334</f>
        <v>0</v>
      </c>
      <c r="AY91" s="594">
        <f>'Release Calculations'!$AO334</f>
        <v>0</v>
      </c>
      <c r="AZ91" s="607">
        <f>'Release Calculations'!$AE731</f>
        <v>0</v>
      </c>
      <c r="BA91" s="607">
        <f>'Release Calculations'!$AG731</f>
        <v>0</v>
      </c>
      <c r="BB91" s="607">
        <f>'Release Calculations'!$AI731</f>
        <v>0</v>
      </c>
      <c r="BC91" s="607">
        <f>'Release Calculations'!$AV318</f>
        <v>0</v>
      </c>
      <c r="BD91" s="607">
        <f>'Release Calculations'!$AX318</f>
        <v>0</v>
      </c>
      <c r="BE91" s="607">
        <f>'Release Calculations'!$AZ318</f>
        <v>0</v>
      </c>
      <c r="BF91" s="607">
        <f>'Release Calculations'!$BB318</f>
        <v>0</v>
      </c>
      <c r="BG91" s="607">
        <f>'Release Calculations'!$BD318</f>
        <v>0</v>
      </c>
      <c r="BH91" s="607">
        <f>'Release Calculations'!$BF318</f>
        <v>0</v>
      </c>
      <c r="BI91" s="607">
        <f>'Release Calculations'!$BH318</f>
        <v>0</v>
      </c>
      <c r="BJ91" s="607">
        <f>'Release Calculations'!$BJ318</f>
        <v>0</v>
      </c>
      <c r="BK91" s="607">
        <f>'Release Calculations'!$BL318</f>
        <v>0</v>
      </c>
      <c r="BL91" s="607">
        <f>'Release Calculations'!$BN318</f>
        <v>0</v>
      </c>
      <c r="BM91" s="594">
        <f>'Release Calculations'!$BU320</f>
        <v>0</v>
      </c>
      <c r="BN91" s="594"/>
      <c r="BO91" s="594">
        <f>'Release Calculations'!$BY320</f>
        <v>0</v>
      </c>
      <c r="BP91" s="609">
        <f>'Release Calculations'!$CA320</f>
        <v>0</v>
      </c>
      <c r="BQ91" s="594"/>
      <c r="BR91" s="594">
        <f>'Release Calculations'!$BY320</f>
        <v>0</v>
      </c>
      <c r="BS91" s="607" t="str">
        <f>'Release Calculations'!CJ171</f>
        <v/>
      </c>
    </row>
    <row r="92" spans="1:73" x14ac:dyDescent="0.25">
      <c r="L92" s="345"/>
      <c r="M92" s="977"/>
      <c r="O92" s="2036" t="str">
        <f>IF(Q59="","",IF(Q59&gt;Public,"1 psi Blast Overpressure Distance exceeds the Fence Line, Consider correction for people offsite severly impacted",""))</f>
        <v/>
      </c>
      <c r="Q92" s="596"/>
      <c r="S92" s="1155"/>
      <c r="T92" s="1155"/>
      <c r="U92" s="432"/>
      <c r="V92" s="345"/>
      <c r="X92" s="338" t="s">
        <v>4760</v>
      </c>
      <c r="Y92" s="610">
        <f>'Release Calculations'!$D322</f>
        <v>0</v>
      </c>
      <c r="Z92" s="610">
        <f>'Release Calculations'!$D705</f>
        <v>0</v>
      </c>
      <c r="AA92" s="607">
        <f>'Release Calculations'!$H322</f>
        <v>0</v>
      </c>
      <c r="AB92" s="610">
        <f>'Release Calculations'!$F705</f>
        <v>0</v>
      </c>
      <c r="AC92" s="3239">
        <f>'Release Calculations'!$H322</f>
        <v>0</v>
      </c>
      <c r="AD92" s="3239">
        <f>'Release Calculations'!$H705</f>
        <v>0</v>
      </c>
      <c r="AE92" s="610">
        <f>'Release Calculations'!$J322</f>
        <v>0</v>
      </c>
      <c r="AF92" s="610">
        <f>'Release Calculations'!$J705</f>
        <v>0</v>
      </c>
      <c r="AG92" s="610">
        <f>'Release Calculations'!$L322</f>
        <v>0</v>
      </c>
      <c r="AH92" s="610">
        <f>'Release Calculations'!$L705</f>
        <v>0</v>
      </c>
      <c r="AI92" s="610">
        <f>'Release Calculations'!$N322</f>
        <v>0</v>
      </c>
      <c r="AJ92" s="610">
        <f>'Release Calculations'!$N705</f>
        <v>0</v>
      </c>
      <c r="AK92" s="610">
        <f>'Release Calculations'!$P322</f>
        <v>0</v>
      </c>
      <c r="AL92" s="607">
        <f>'Release Calculations'!$R322</f>
        <v>0</v>
      </c>
      <c r="AM92" s="610">
        <f>'Release Calculations'!$R705</f>
        <v>0</v>
      </c>
      <c r="AN92" s="610">
        <f>'Release Calculations'!$T322</f>
        <v>0</v>
      </c>
      <c r="AO92" s="610">
        <f>'Release Calculations'!$T705</f>
        <v>0</v>
      </c>
      <c r="AP92" s="610">
        <f>'Release Calculations'!$V322</f>
        <v>0</v>
      </c>
      <c r="AQ92" s="610">
        <f>'Release Calculations'!$V705</f>
        <v>0</v>
      </c>
      <c r="AR92" s="610">
        <f>'Release Calculations'!$X322</f>
        <v>0</v>
      </c>
      <c r="AS92" s="610">
        <f>'Release Calculations'!$X705</f>
        <v>0</v>
      </c>
      <c r="AT92" s="610">
        <f>'Release Calculations'!$AE336</f>
        <v>0</v>
      </c>
      <c r="AU92" s="610">
        <f>'Release Calculations'!$AG336</f>
        <v>0</v>
      </c>
      <c r="AV92" s="610">
        <f>'Release Calculations'!$AI336</f>
        <v>0</v>
      </c>
      <c r="AW92" s="610">
        <f>'Release Calculations'!$AK336</f>
        <v>0</v>
      </c>
      <c r="AX92" s="610">
        <f>'Release Calculations'!$AM336</f>
        <v>0</v>
      </c>
      <c r="AY92" s="610">
        <f>'Release Calculations'!$AO336</f>
        <v>0</v>
      </c>
      <c r="AZ92" s="607">
        <f>'Release Calculations'!$AE733</f>
        <v>0</v>
      </c>
      <c r="BA92" s="607">
        <f>'Release Calculations'!$AG733</f>
        <v>0</v>
      </c>
      <c r="BB92" s="607">
        <f>'Release Calculations'!$AI733</f>
        <v>0</v>
      </c>
      <c r="BC92" s="607">
        <f>'Release Calculations'!$AV320</f>
        <v>0</v>
      </c>
      <c r="BD92" s="607">
        <f>'Release Calculations'!$AX320</f>
        <v>0</v>
      </c>
      <c r="BE92" s="607">
        <f>'Release Calculations'!$AZ320</f>
        <v>0</v>
      </c>
      <c r="BF92" s="607">
        <f>'Release Calculations'!$BB320</f>
        <v>0</v>
      </c>
      <c r="BG92" s="607">
        <f>'Release Calculations'!$BD320</f>
        <v>0</v>
      </c>
      <c r="BH92" s="607">
        <f>'Release Calculations'!$BF320</f>
        <v>0</v>
      </c>
      <c r="BI92" s="607">
        <f>'Release Calculations'!$BH320</f>
        <v>0</v>
      </c>
      <c r="BJ92" s="607">
        <f>'Release Calculations'!$BJ320</f>
        <v>0</v>
      </c>
      <c r="BK92" s="607">
        <f>'Release Calculations'!$BL320</f>
        <v>0</v>
      </c>
      <c r="BL92" s="607">
        <f>'Release Calculations'!$BN320</f>
        <v>0</v>
      </c>
      <c r="BM92" s="610">
        <f>'Release Calculations'!$BU322</f>
        <v>0</v>
      </c>
      <c r="BN92" s="594"/>
      <c r="BO92" s="610">
        <f>'Release Calculations'!$BY322</f>
        <v>0</v>
      </c>
      <c r="BP92" s="609">
        <f>'Release Calculations'!$CA322</f>
        <v>0</v>
      </c>
      <c r="BQ92" s="594"/>
      <c r="BR92" s="610">
        <f>'Release Calculations'!$BY322</f>
        <v>0</v>
      </c>
      <c r="BS92" s="607"/>
    </row>
    <row r="93" spans="1:73" x14ac:dyDescent="0.25">
      <c r="L93" s="345"/>
      <c r="M93" s="977"/>
      <c r="O93" s="338" t="str">
        <f>"Occupied Building "&amp;IF(P$6="Equipment Rupture at Detonation/Deflagration","Chemical","Rupture")&amp;" Explosion Impact"</f>
        <v>Occupied Building Rupture Explosion Impact</v>
      </c>
      <c r="Q93" s="596" t="str">
        <f>IF(Q68="","",IF(OR(Q68="&gt; 10 psi",Q69="&gt; 10 psi"),"Yes",IF(OR(Q68/Bldg_Type_Correction&gt;1,Q69/Bldg2_Type_Correction&gt;1),"Yes","No")))</f>
        <v>No</v>
      </c>
      <c r="S93" s="1371" t="str">
        <f>IF(HLOOKUP($P$6,$Y$6:$BS$104,71,0)=0,"",HLOOKUP($P$6,$Y$6:$BS$104,71,0))</f>
        <v/>
      </c>
      <c r="T93" s="1155"/>
      <c r="U93" s="432"/>
      <c r="V93" s="345"/>
      <c r="X93" s="338" t="s">
        <v>4761</v>
      </c>
      <c r="Y93" s="610">
        <f>'Release Calculations'!$D308</f>
        <v>0</v>
      </c>
      <c r="Z93" s="610">
        <f>'Release Calculations'!$D691</f>
        <v>0</v>
      </c>
      <c r="AA93" s="607">
        <f>'Release Calculations'!$H308</f>
        <v>0</v>
      </c>
      <c r="AB93" s="610">
        <f>'Release Calculations'!$F691</f>
        <v>0</v>
      </c>
      <c r="AC93" s="3239">
        <f>'Release Calculations'!$H308</f>
        <v>0</v>
      </c>
      <c r="AD93" s="3239">
        <f>'Release Calculations'!$H691</f>
        <v>0</v>
      </c>
      <c r="AE93" s="610">
        <f>'Release Calculations'!$J308</f>
        <v>0</v>
      </c>
      <c r="AF93" s="610">
        <f>'Release Calculations'!$J691</f>
        <v>0</v>
      </c>
      <c r="AG93" s="610">
        <f>'Release Calculations'!$L308</f>
        <v>0</v>
      </c>
      <c r="AH93" s="610">
        <f>'Release Calculations'!$L691</f>
        <v>0</v>
      </c>
      <c r="AI93" s="610">
        <f>'Release Calculations'!$N308</f>
        <v>0</v>
      </c>
      <c r="AJ93" s="610">
        <f>'Release Calculations'!$N691</f>
        <v>0</v>
      </c>
      <c r="AK93" s="610">
        <f>'Release Calculations'!$P308</f>
        <v>0</v>
      </c>
      <c r="AL93" s="607">
        <f>'Release Calculations'!$R308</f>
        <v>0</v>
      </c>
      <c r="AM93" s="610">
        <f>'Release Calculations'!$R691</f>
        <v>0</v>
      </c>
      <c r="AN93" s="610">
        <f>'Release Calculations'!$T308</f>
        <v>0</v>
      </c>
      <c r="AO93" s="610">
        <f>'Release Calculations'!$T691</f>
        <v>0</v>
      </c>
      <c r="AP93" s="610">
        <f>'Release Calculations'!$V308</f>
        <v>0</v>
      </c>
      <c r="AQ93" s="610">
        <f>'Release Calculations'!$V691</f>
        <v>0</v>
      </c>
      <c r="AR93" s="610">
        <f>'Release Calculations'!$X308</f>
        <v>0</v>
      </c>
      <c r="AS93" s="610">
        <f>'Release Calculations'!$X691</f>
        <v>0</v>
      </c>
      <c r="AT93" s="610">
        <f>'Release Calculations'!$AE322</f>
        <v>0</v>
      </c>
      <c r="AU93" s="610">
        <f>'Release Calculations'!$AG322</f>
        <v>0</v>
      </c>
      <c r="AV93" s="610">
        <f>'Release Calculations'!$AI322</f>
        <v>0</v>
      </c>
      <c r="AW93" s="610">
        <f>'Release Calculations'!$AK322</f>
        <v>0</v>
      </c>
      <c r="AX93" s="610">
        <f>'Release Calculations'!$AM322</f>
        <v>0</v>
      </c>
      <c r="AY93" s="610">
        <f>'Release Calculations'!$AO322</f>
        <v>0</v>
      </c>
      <c r="AZ93" s="607">
        <f>'Release Calculations'!$AE719</f>
        <v>0</v>
      </c>
      <c r="BA93" s="607">
        <f>'Release Calculations'!$AG719</f>
        <v>0</v>
      </c>
      <c r="BB93" s="607">
        <f>'Release Calculations'!$AI719</f>
        <v>0</v>
      </c>
      <c r="BC93" s="607">
        <f>'Release Calculations'!$AV306</f>
        <v>0</v>
      </c>
      <c r="BD93" s="607">
        <f>'Release Calculations'!$AX306</f>
        <v>0</v>
      </c>
      <c r="BE93" s="607">
        <f>'Release Calculations'!$AZ306</f>
        <v>0</v>
      </c>
      <c r="BF93" s="607">
        <f>'Release Calculations'!$BB306</f>
        <v>0</v>
      </c>
      <c r="BG93" s="607">
        <f>'Release Calculations'!$BD306</f>
        <v>0</v>
      </c>
      <c r="BH93" s="607">
        <f>'Release Calculations'!$BF306</f>
        <v>0</v>
      </c>
      <c r="BI93" s="607">
        <f>'Release Calculations'!$BH306</f>
        <v>0</v>
      </c>
      <c r="BJ93" s="607">
        <f>'Release Calculations'!$BJ306</f>
        <v>0</v>
      </c>
      <c r="BK93" s="607">
        <f>'Release Calculations'!$BL306</f>
        <v>0</v>
      </c>
      <c r="BL93" s="607">
        <f>'Release Calculations'!$BN306</f>
        <v>0</v>
      </c>
      <c r="BM93" s="610">
        <f>'Release Calculations'!$BU308</f>
        <v>0</v>
      </c>
      <c r="BN93" s="609"/>
      <c r="BO93" s="610">
        <f>'Release Calculations'!$BY308</f>
        <v>0</v>
      </c>
      <c r="BP93" s="609">
        <f>'Release Calculations'!$CA308</f>
        <v>0</v>
      </c>
      <c r="BQ93" s="609"/>
      <c r="BR93" s="610">
        <f>'Release Calculations'!$BY308</f>
        <v>0</v>
      </c>
      <c r="BS93" s="607"/>
    </row>
    <row r="94" spans="1:73" x14ac:dyDescent="0.25">
      <c r="L94" s="345"/>
      <c r="M94" s="977"/>
      <c r="O94" s="2036" t="str">
        <f>IF(Conseq_Criteria="Hazard Distance","Based on Rupture Overpressure at Building 1  / "&amp;Bldg_Type_Correction&amp;" psi Threshold of "&amp;IF(Q68="",0,ROUND(Q68/Bldg_Type_Correction,1)),"Number of Potential Severe Impacts for Building 1:  "&amp;ROUND(HLOOKUP($P$6,$Y$6:$BS$91,77,0),1)&amp;" people and "&amp;ROUND(HLOOKUP($P$6,$Y$6:$BS$107,102,0),1)&amp;" offsite")</f>
        <v>Number of Potential Severe Impacts for Building 1:  0 people and 0 offsite</v>
      </c>
      <c r="Q94" s="596"/>
      <c r="S94" s="1155"/>
      <c r="T94" s="1155"/>
      <c r="U94" s="432"/>
      <c r="V94" s="345"/>
      <c r="X94" s="338" t="s">
        <v>4759</v>
      </c>
      <c r="Y94" s="610"/>
      <c r="Z94" s="610"/>
      <c r="AA94" s="610"/>
      <c r="AB94" s="610"/>
      <c r="AC94" s="3239"/>
      <c r="AD94" s="3239"/>
      <c r="AE94" s="610"/>
      <c r="AF94" s="610"/>
      <c r="AG94" s="610"/>
      <c r="AH94" s="610"/>
      <c r="AI94" s="610"/>
      <c r="AJ94" s="610"/>
      <c r="AK94" s="610"/>
      <c r="AL94" s="610"/>
      <c r="AM94" s="610"/>
      <c r="AN94" s="610"/>
      <c r="AO94" s="610"/>
      <c r="AP94" s="610"/>
      <c r="AQ94" s="610"/>
      <c r="AR94" s="610"/>
      <c r="AS94" s="610"/>
      <c r="AT94" s="610"/>
      <c r="AU94" s="610"/>
      <c r="AV94" s="610"/>
      <c r="AW94" s="610"/>
      <c r="AX94" s="610"/>
      <c r="AY94" s="610"/>
      <c r="AZ94" s="610"/>
      <c r="BA94" s="610"/>
      <c r="BB94" s="610"/>
      <c r="BC94" s="610"/>
      <c r="BD94" s="610"/>
      <c r="BE94" s="610"/>
      <c r="BF94" s="610"/>
      <c r="BG94" s="610"/>
      <c r="BH94" s="610"/>
      <c r="BI94" s="610"/>
      <c r="BJ94" s="610"/>
      <c r="BK94" s="610"/>
      <c r="BL94" s="610"/>
      <c r="BM94" s="610">
        <f>'Release Calculations'!$BU339</f>
        <v>0</v>
      </c>
      <c r="BN94" s="609">
        <f>'Release Calculations'!$BW339</f>
        <v>0</v>
      </c>
      <c r="BO94" s="610">
        <f>'Release Calculations'!$BY339</f>
        <v>0</v>
      </c>
      <c r="BP94" s="609">
        <f>'Release Calculations'!$CA339</f>
        <v>0</v>
      </c>
      <c r="BQ94" s="609">
        <f>'Release Calculations'!$CC339</f>
        <v>0</v>
      </c>
      <c r="BR94" s="610">
        <f>'Release Calculations'!$BY349</f>
        <v>0</v>
      </c>
      <c r="BS94" s="607"/>
    </row>
    <row r="95" spans="1:73" x14ac:dyDescent="0.25">
      <c r="L95" s="345"/>
      <c r="M95" s="977"/>
      <c r="O95" s="2036" t="str">
        <f>IF(Conseq_Criteria="Hazard Distance","Based on Rupture Overpressure at Building 2  / "&amp;Bldg2_Type_Correction&amp;" psi Threshold of "&amp;IF(Q69="",0,ROUND(Q69/Bldg2_Type_Correction,1)),"Number of Potential Severe Impacts for Building 2:  "&amp;ROUND(HLOOKUP($P$6,$Y$6:$BS$91,78,0),1)&amp;" people and "&amp;ROUND(HLOOKUP($P$6,$Y$6:$BS$107,102,0),1)&amp;" offsite")</f>
        <v>Number of Potential Severe Impacts for Building 2:  0 people and 0 offsite</v>
      </c>
      <c r="Q95" s="596"/>
      <c r="S95" s="1155"/>
      <c r="T95" s="1155"/>
      <c r="U95" s="432"/>
      <c r="V95" s="345"/>
      <c r="X95" s="338" t="s">
        <v>4894</v>
      </c>
      <c r="Y95" s="2864" t="str">
        <f>'Release Calculations'!D237</f>
        <v/>
      </c>
      <c r="Z95" s="2864" t="str">
        <f>'Release Calculations'!D616</f>
        <v/>
      </c>
      <c r="AA95" s="2864" t="str">
        <f>'Release Calculations'!F237</f>
        <v/>
      </c>
      <c r="AB95" s="2864" t="str">
        <f>'Release Calculations'!F616</f>
        <v/>
      </c>
      <c r="AC95" s="3244" t="str">
        <f>'Release Calculations'!H237</f>
        <v/>
      </c>
      <c r="AD95" s="3244" t="str">
        <f>'Release Calculations'!H616</f>
        <v/>
      </c>
      <c r="AE95" s="2864" t="str">
        <f>'Release Calculations'!J237</f>
        <v/>
      </c>
      <c r="AF95" s="2864" t="str">
        <f>'Release Calculations'!J616</f>
        <v/>
      </c>
      <c r="AG95" s="2864" t="str">
        <f>'Release Calculations'!L237</f>
        <v/>
      </c>
      <c r="AH95" s="2864" t="str">
        <f>'Release Calculations'!L616</f>
        <v/>
      </c>
      <c r="AI95" s="2864" t="str">
        <f>'Release Calculations'!N237</f>
        <v/>
      </c>
      <c r="AJ95" s="2864" t="str">
        <f>'Release Calculations'!N616</f>
        <v/>
      </c>
      <c r="AK95" s="2864" t="str">
        <f>'Release Calculations'!P237</f>
        <v/>
      </c>
      <c r="AL95" s="2864" t="str">
        <f>'Release Calculations'!R237</f>
        <v/>
      </c>
      <c r="AM95" s="2864" t="str">
        <f>'Release Calculations'!R616</f>
        <v/>
      </c>
      <c r="AN95" s="2864" t="str">
        <f>'Release Calculations'!T237</f>
        <v/>
      </c>
      <c r="AO95" s="2864" t="str">
        <f>'Release Calculations'!T616</f>
        <v/>
      </c>
      <c r="AP95" s="2864" t="str">
        <f>'Release Calculations'!V237</f>
        <v/>
      </c>
      <c r="AQ95" s="2864" t="str">
        <f>'Release Calculations'!V616</f>
        <v/>
      </c>
      <c r="AR95" s="2864" t="str">
        <f>'Release Calculations'!X237</f>
        <v/>
      </c>
      <c r="AS95" s="2864" t="str">
        <f>'Release Calculations'!X616</f>
        <v/>
      </c>
      <c r="AT95" s="2864" t="str">
        <f>'Release Calculations'!AE250</f>
        <v/>
      </c>
      <c r="AU95" s="2864" t="str">
        <f>'Release Calculations'!AG250</f>
        <v/>
      </c>
      <c r="AV95" s="2864" t="str">
        <f>'Release Calculations'!AI250</f>
        <v/>
      </c>
      <c r="AW95" s="2864" t="str">
        <f>'Release Calculations'!AK250</f>
        <v/>
      </c>
      <c r="AX95" s="2864" t="str">
        <f>'Release Calculations'!AM250</f>
        <v/>
      </c>
      <c r="AY95" s="2864" t="str">
        <f>'Release Calculations'!AO250</f>
        <v/>
      </c>
      <c r="AZ95" s="2864" t="str">
        <f>'Release Calculations'!AE643</f>
        <v/>
      </c>
      <c r="BA95" s="2864" t="str">
        <f>'Release Calculations'!AG643</f>
        <v/>
      </c>
      <c r="BB95" s="2864" t="str">
        <f>'Release Calculations'!AI643</f>
        <v/>
      </c>
      <c r="BC95" s="2864" t="str">
        <f>'Release Calculations'!AV234</f>
        <v/>
      </c>
      <c r="BD95" s="2864" t="str">
        <f>'Release Calculations'!AX234</f>
        <v/>
      </c>
      <c r="BE95" s="2864" t="str">
        <f>'Release Calculations'!AZ234</f>
        <v/>
      </c>
      <c r="BF95" s="2864" t="str">
        <f>'Release Calculations'!BB234</f>
        <v/>
      </c>
      <c r="BG95" s="2864" t="str">
        <f>'Release Calculations'!BD234</f>
        <v/>
      </c>
      <c r="BH95" s="2864" t="str">
        <f>'Release Calculations'!BF234</f>
        <v/>
      </c>
      <c r="BI95" s="2864" t="str">
        <f>'Release Calculations'!BH234</f>
        <v/>
      </c>
      <c r="BJ95" s="2864" t="str">
        <f>'Release Calculations'!BJ234</f>
        <v/>
      </c>
      <c r="BK95" s="2864" t="str">
        <f>'Release Calculations'!BL234</f>
        <v/>
      </c>
      <c r="BL95" s="2864" t="str">
        <f>'Release Calculations'!BN234</f>
        <v/>
      </c>
      <c r="BM95" s="2864" t="str">
        <f>'Release Calculations'!BU237</f>
        <v/>
      </c>
      <c r="BN95" s="2864" t="str">
        <f>'Release Calculations'!BW237</f>
        <v/>
      </c>
      <c r="BO95" s="2864" t="str">
        <f>'Release Calculations'!BY237</f>
        <v/>
      </c>
      <c r="BP95" s="2864" t="str">
        <f>'Release Calculations'!CA237</f>
        <v/>
      </c>
      <c r="BQ95" s="2864" t="str">
        <f>'Release Calculations'!CC237</f>
        <v/>
      </c>
      <c r="BR95" s="2864" t="str">
        <f>'Release Calculations'!BY237</f>
        <v/>
      </c>
      <c r="BS95" s="2865" t="str">
        <f>'Release Calculations'!CJ24</f>
        <v/>
      </c>
    </row>
    <row r="96" spans="1:73" x14ac:dyDescent="0.25">
      <c r="L96" s="345"/>
      <c r="M96" s="977"/>
      <c r="O96" s="3136" t="str">
        <f>IF(MAX(Q66,Q67)&gt;Public,"1 psi Blast Overpressure or Max Fragment Distance exceeds the Fence Line, Consider correction for people offsite severly impacted","")</f>
        <v/>
      </c>
      <c r="P96" s="3279"/>
      <c r="Q96" s="3279"/>
      <c r="R96" s="2867"/>
      <c r="S96" s="280"/>
      <c r="T96" s="1155"/>
      <c r="U96" s="432"/>
      <c r="V96" s="345"/>
      <c r="X96" s="338" t="s">
        <v>4904</v>
      </c>
      <c r="Y96" s="2864" t="str">
        <f>'Release Calculations'!D255</f>
        <v/>
      </c>
      <c r="Z96" s="2864" t="str">
        <f>'Release Calculations'!D637</f>
        <v/>
      </c>
      <c r="AA96" s="2864" t="str">
        <f>'Release Calculations'!F255</f>
        <v/>
      </c>
      <c r="AB96" s="2864" t="str">
        <f>'Release Calculations'!F637</f>
        <v/>
      </c>
      <c r="AC96" s="3244" t="str">
        <f>'Release Calculations'!H255</f>
        <v/>
      </c>
      <c r="AD96" s="3244" t="str">
        <f>'Release Calculations'!H637</f>
        <v/>
      </c>
      <c r="AE96" s="2864" t="str">
        <f>'Release Calculations'!J255</f>
        <v/>
      </c>
      <c r="AF96" s="2864" t="str">
        <f>'Release Calculations'!J637</f>
        <v/>
      </c>
      <c r="AG96" s="2864" t="str">
        <f>'Release Calculations'!L255</f>
        <v/>
      </c>
      <c r="AH96" s="2864" t="str">
        <f>'Release Calculations'!L637</f>
        <v/>
      </c>
      <c r="AI96" s="2864" t="str">
        <f>'Release Calculations'!N255</f>
        <v/>
      </c>
      <c r="AJ96" s="2864" t="str">
        <f>'Release Calculations'!N637</f>
        <v/>
      </c>
      <c r="AK96" s="2864" t="str">
        <f>'Release Calculations'!P255</f>
        <v/>
      </c>
      <c r="AL96" s="2864" t="str">
        <f>'Release Calculations'!R255</f>
        <v/>
      </c>
      <c r="AM96" s="2864" t="str">
        <f>'Release Calculations'!R637</f>
        <v/>
      </c>
      <c r="AN96" s="2864" t="str">
        <f>'Release Calculations'!T255</f>
        <v/>
      </c>
      <c r="AO96" s="2864" t="str">
        <f>'Release Calculations'!T637</f>
        <v/>
      </c>
      <c r="AP96" s="2864" t="str">
        <f>'Release Calculations'!V255</f>
        <v/>
      </c>
      <c r="AQ96" s="2864" t="str">
        <f>'Release Calculations'!V637</f>
        <v/>
      </c>
      <c r="AR96" s="2864" t="str">
        <f>'Release Calculations'!X255</f>
        <v/>
      </c>
      <c r="AS96" s="2864" t="str">
        <f>'Release Calculations'!X637</f>
        <v/>
      </c>
      <c r="AT96" s="610" t="str">
        <f>'Release Calculations'!$AE268</f>
        <v/>
      </c>
      <c r="AU96" s="610" t="str">
        <f>'Release Calculations'!$AG268</f>
        <v/>
      </c>
      <c r="AV96" s="610" t="str">
        <f>'Release Calculations'!$AI268</f>
        <v/>
      </c>
      <c r="AW96" s="610" t="str">
        <f>'Release Calculations'!$AK268</f>
        <v/>
      </c>
      <c r="AX96" s="610" t="str">
        <f>'Release Calculations'!$AM268</f>
        <v/>
      </c>
      <c r="AY96" s="610" t="str">
        <f>'Release Calculations'!$AO268</f>
        <v/>
      </c>
      <c r="AZ96" s="2864" t="str">
        <f>'Release Calculations'!AE664</f>
        <v/>
      </c>
      <c r="BA96" s="2864" t="str">
        <f>'Release Calculations'!AG664</f>
        <v/>
      </c>
      <c r="BB96" s="2864" t="str">
        <f>'Release Calculations'!AI664</f>
        <v/>
      </c>
      <c r="BC96" s="2864" t="str">
        <f>'Release Calculations'!AV252</f>
        <v/>
      </c>
      <c r="BD96" s="2864" t="str">
        <f>'Release Calculations'!AX252</f>
        <v/>
      </c>
      <c r="BE96" s="2864" t="str">
        <f>'Release Calculations'!AZ252</f>
        <v/>
      </c>
      <c r="BF96" s="2864" t="str">
        <f>'Release Calculations'!BB252</f>
        <v/>
      </c>
      <c r="BG96" s="2864" t="str">
        <f>'Release Calculations'!BD252</f>
        <v/>
      </c>
      <c r="BH96" s="2864" t="str">
        <f>'Release Calculations'!BF252</f>
        <v/>
      </c>
      <c r="BI96" s="2864" t="str">
        <f>'Release Calculations'!BH252</f>
        <v/>
      </c>
      <c r="BJ96" s="2864" t="str">
        <f>'Release Calculations'!BJ252</f>
        <v/>
      </c>
      <c r="BK96" s="2864" t="str">
        <f>'Release Calculations'!BL252</f>
        <v/>
      </c>
      <c r="BL96" s="2864" t="str">
        <f>'Release Calculations'!BN252</f>
        <v/>
      </c>
      <c r="BM96" s="2864" t="str">
        <f>'Release Calculations'!BU255</f>
        <v/>
      </c>
      <c r="BN96" s="2864" t="str">
        <f>'Release Calculations'!BW255</f>
        <v/>
      </c>
      <c r="BO96" s="2864" t="str">
        <f>'Release Calculations'!BY255</f>
        <v/>
      </c>
      <c r="BP96" s="2864" t="str">
        <f>'Release Calculations'!CA255</f>
        <v/>
      </c>
      <c r="BQ96" s="2864" t="str">
        <f>'Release Calculations'!CC255</f>
        <v/>
      </c>
      <c r="BR96" s="2864" t="str">
        <f>'Release Calculations'!BY255</f>
        <v/>
      </c>
      <c r="BS96" s="2865" t="str">
        <f>'Release Calculations'!CJ23</f>
        <v/>
      </c>
    </row>
    <row r="97" spans="12:71" x14ac:dyDescent="0.25">
      <c r="L97" s="345"/>
      <c r="M97" s="977"/>
      <c r="O97" s="338" t="str">
        <f>"Environmental Impact: "&amp;IF(AND(Soil_Remediation="Yes",Waterway="Yes"),"Soil and Waterway Contamination",IF(Soil_Remediation="Yes","Soil Contamination",IF(AND(Waterway="Yes",Downstream_Population="Yes"),"Waterway Contamination with High Downstream Population",IF(Waterway="Yes","Waterway Contamination",""))))</f>
        <v xml:space="preserve">Environmental Impact: </v>
      </c>
      <c r="Q97" s="596"/>
      <c r="S97" s="2369" t="str">
        <f>IF(HLOOKUP($P$6,$Y$6:$BS$104,84,0)=0,"",HLOOKUP($P$6,$Y$6:$BS$104,84,0))</f>
        <v>NA</v>
      </c>
      <c r="T97" s="1155"/>
      <c r="U97" s="432"/>
      <c r="V97" s="345"/>
      <c r="X97" s="338" t="s">
        <v>4959</v>
      </c>
      <c r="Y97" s="2864" t="str">
        <f>'Release Calculations'!D243</f>
        <v/>
      </c>
      <c r="Z97" s="2864" t="str">
        <f>'Release Calculations'!D623</f>
        <v/>
      </c>
      <c r="AA97" s="2864" t="str">
        <f>'Release Calculations'!F243</f>
        <v/>
      </c>
      <c r="AB97" s="2864" t="str">
        <f>'Release Calculations'!F623</f>
        <v/>
      </c>
      <c r="AC97" s="3244" t="str">
        <f>'Release Calculations'!H243</f>
        <v/>
      </c>
      <c r="AD97" s="3244" t="str">
        <f>'Release Calculations'!H623</f>
        <v/>
      </c>
      <c r="AE97" s="2864" t="str">
        <f>'Release Calculations'!J243</f>
        <v/>
      </c>
      <c r="AF97" s="2864" t="str">
        <f>'Release Calculations'!J623</f>
        <v/>
      </c>
      <c r="AG97" s="2864" t="str">
        <f>'Release Calculations'!L243</f>
        <v/>
      </c>
      <c r="AH97" s="2864" t="str">
        <f>'Release Calculations'!L623</f>
        <v/>
      </c>
      <c r="AI97" s="2864" t="str">
        <f>'Release Calculations'!N243</f>
        <v/>
      </c>
      <c r="AJ97" s="2864" t="str">
        <f>'Release Calculations'!N623</f>
        <v/>
      </c>
      <c r="AK97" s="2864" t="str">
        <f>'Release Calculations'!P243</f>
        <v/>
      </c>
      <c r="AL97" s="2864" t="str">
        <f>'Release Calculations'!R243</f>
        <v/>
      </c>
      <c r="AM97" s="2864" t="str">
        <f>'Release Calculations'!R623</f>
        <v/>
      </c>
      <c r="AN97" s="2864" t="str">
        <f>'Release Calculations'!T243</f>
        <v/>
      </c>
      <c r="AO97" s="2864" t="str">
        <f>'Release Calculations'!T623</f>
        <v/>
      </c>
      <c r="AP97" s="2864" t="str">
        <f>'Release Calculations'!V243</f>
        <v/>
      </c>
      <c r="AQ97" s="2864" t="str">
        <f>'Release Calculations'!V623</f>
        <v/>
      </c>
      <c r="AR97" s="2864" t="str">
        <f>'Release Calculations'!X243</f>
        <v/>
      </c>
      <c r="AS97" s="2864" t="str">
        <f>'Release Calculations'!X623</f>
        <v/>
      </c>
      <c r="AT97" s="2864" t="str">
        <f>'Release Calculations'!AE256</f>
        <v/>
      </c>
      <c r="AU97" s="2864" t="str">
        <f>'Release Calculations'!AG256</f>
        <v/>
      </c>
      <c r="AV97" s="2864" t="str">
        <f>'Release Calculations'!AI256</f>
        <v/>
      </c>
      <c r="AW97" s="2864" t="str">
        <f>'Release Calculations'!AK256</f>
        <v/>
      </c>
      <c r="AX97" s="2864" t="str">
        <f>'Release Calculations'!AM256</f>
        <v/>
      </c>
      <c r="AY97" s="2864" t="str">
        <f>'Release Calculations'!AO256</f>
        <v/>
      </c>
      <c r="AZ97" s="2864" t="str">
        <f>'Release Calculations'!AE650</f>
        <v/>
      </c>
      <c r="BA97" s="2864" t="str">
        <f>'Release Calculations'!AG650</f>
        <v/>
      </c>
      <c r="BB97" s="2864" t="str">
        <f>'Release Calculations'!AI650</f>
        <v/>
      </c>
      <c r="BC97" s="2864" t="str">
        <f>'Release Calculations'!AV240</f>
        <v/>
      </c>
      <c r="BD97" s="2864" t="str">
        <f>'Release Calculations'!AX240</f>
        <v/>
      </c>
      <c r="BE97" s="2864" t="str">
        <f>'Release Calculations'!AZ240</f>
        <v/>
      </c>
      <c r="BF97" s="2864" t="str">
        <f>'Release Calculations'!BB240</f>
        <v/>
      </c>
      <c r="BG97" s="2864" t="str">
        <f>'Release Calculations'!BD240</f>
        <v/>
      </c>
      <c r="BH97" s="2864" t="str">
        <f>'Release Calculations'!BF240</f>
        <v/>
      </c>
      <c r="BI97" s="2864" t="str">
        <f>'Release Calculations'!BH240</f>
        <v/>
      </c>
      <c r="BJ97" s="2864" t="str">
        <f>'Release Calculations'!BJ240</f>
        <v/>
      </c>
      <c r="BK97" s="2864" t="str">
        <f>'Release Calculations'!BL240</f>
        <v/>
      </c>
      <c r="BL97" s="2864" t="str">
        <f>'Release Calculations'!BN240</f>
        <v/>
      </c>
      <c r="BM97" s="2864" t="str">
        <f>'Release Calculations'!BU243</f>
        <v/>
      </c>
      <c r="BN97" s="2864" t="str">
        <f>'Release Calculations'!BW243</f>
        <v/>
      </c>
      <c r="BO97" s="2864" t="str">
        <f>'Release Calculations'!BY243</f>
        <v/>
      </c>
      <c r="BP97" s="2864" t="str">
        <f>'Release Calculations'!CA243</f>
        <v/>
      </c>
      <c r="BQ97" s="2864" t="str">
        <f>'Release Calculations'!CC243</f>
        <v/>
      </c>
      <c r="BR97" s="2864" t="str">
        <f>'Release Calculations'!BY243</f>
        <v/>
      </c>
      <c r="BS97" s="2865" t="str">
        <f>'Release Calculations'!CJ22</f>
        <v/>
      </c>
    </row>
    <row r="98" spans="12:71" ht="13.5" thickBot="1" x14ac:dyDescent="0.3">
      <c r="L98" s="345"/>
      <c r="M98" s="579"/>
      <c r="N98" s="580"/>
      <c r="O98" s="580"/>
      <c r="P98" s="580"/>
      <c r="Q98" s="588"/>
      <c r="R98" s="580"/>
      <c r="S98" s="580"/>
      <c r="T98" s="580"/>
      <c r="U98" s="581"/>
      <c r="V98" s="345"/>
    </row>
    <row r="99" spans="12:71" x14ac:dyDescent="0.25">
      <c r="L99" s="345"/>
      <c r="M99" s="345"/>
      <c r="N99" s="345"/>
      <c r="O99" s="345"/>
      <c r="P99" s="345"/>
      <c r="Q99" s="529"/>
      <c r="R99" s="345"/>
      <c r="S99" s="345"/>
      <c r="T99" s="345"/>
      <c r="U99" s="345"/>
      <c r="V99" s="345"/>
      <c r="X99" s="338" t="s">
        <v>5171</v>
      </c>
      <c r="Y99" s="3129">
        <f>'Release Calculations'!D16</f>
        <v>0</v>
      </c>
      <c r="Z99" s="3129">
        <f>Z22</f>
        <v>0</v>
      </c>
      <c r="AA99" s="3129">
        <f>'Release Calculations'!F16</f>
        <v>0</v>
      </c>
      <c r="AB99" s="3129">
        <f>AB22</f>
        <v>0</v>
      </c>
      <c r="AC99" s="3240">
        <f>'Release Calculations'!H16</f>
        <v>0</v>
      </c>
      <c r="AD99" s="3240">
        <f>AD22</f>
        <v>0</v>
      </c>
      <c r="AE99" s="3129">
        <f>'Release Calculations'!J16</f>
        <v>0</v>
      </c>
      <c r="AF99" s="3129">
        <f>AF22</f>
        <v>0</v>
      </c>
      <c r="AG99" s="3129">
        <f>'Release Calculations'!L16</f>
        <v>0</v>
      </c>
      <c r="AH99" s="3129">
        <f>AH22</f>
        <v>0</v>
      </c>
      <c r="AI99" s="3129">
        <f>'Release Calculations'!N16</f>
        <v>0</v>
      </c>
      <c r="AJ99" s="3129">
        <f>AJ22</f>
        <v>0</v>
      </c>
      <c r="AK99" s="3129">
        <f>'Release Calculations'!P16</f>
        <v>0</v>
      </c>
      <c r="AL99" s="3129">
        <f>'Release Calculations'!R16</f>
        <v>0</v>
      </c>
      <c r="AM99" s="3129">
        <f>AM22</f>
        <v>0</v>
      </c>
      <c r="AN99" s="3129">
        <f>'Release Calculations'!T16</f>
        <v>0</v>
      </c>
      <c r="AO99" s="3129">
        <f>AO22</f>
        <v>0</v>
      </c>
      <c r="AP99" s="3129">
        <f>'Release Calculations'!V16</f>
        <v>0</v>
      </c>
      <c r="AQ99" s="3129">
        <f>AQ22</f>
        <v>0</v>
      </c>
      <c r="AR99" s="3129">
        <f>'Release Calculations'!X16</f>
        <v>0</v>
      </c>
      <c r="AS99" s="3129">
        <f>AS22</f>
        <v>0</v>
      </c>
      <c r="AT99" s="3129">
        <f>'Release Calculations'!AE16</f>
        <v>0</v>
      </c>
      <c r="AU99" s="3129">
        <f>'Release Calculations'!AG16</f>
        <v>0</v>
      </c>
      <c r="AV99" s="3129">
        <f>'Release Calculations'!AI16</f>
        <v>0</v>
      </c>
      <c r="AW99" s="3129">
        <f>'Release Calculations'!AK16</f>
        <v>0</v>
      </c>
      <c r="AX99" s="3129">
        <f>'Release Calculations'!AM16</f>
        <v>0</v>
      </c>
      <c r="AY99" s="3129">
        <f>'Release Calculations'!AO16</f>
        <v>0</v>
      </c>
      <c r="AZ99" s="3129">
        <f>AZ22</f>
        <v>0</v>
      </c>
      <c r="BA99" s="3129">
        <f>BA22</f>
        <v>0</v>
      </c>
      <c r="BB99" s="3129">
        <f>BB22</f>
        <v>0</v>
      </c>
      <c r="BC99" s="3129">
        <f t="shared" ref="BC99:BL99" si="11">BC22</f>
        <v>0</v>
      </c>
      <c r="BD99" s="3129">
        <f t="shared" si="11"/>
        <v>0</v>
      </c>
      <c r="BE99" s="3129">
        <f t="shared" si="11"/>
        <v>0</v>
      </c>
      <c r="BF99" s="3129">
        <f t="shared" si="11"/>
        <v>0</v>
      </c>
      <c r="BG99" s="3129">
        <f t="shared" si="11"/>
        <v>0</v>
      </c>
      <c r="BH99" s="3129">
        <f t="shared" si="11"/>
        <v>0</v>
      </c>
      <c r="BI99" s="3129">
        <f t="shared" si="11"/>
        <v>0</v>
      </c>
      <c r="BJ99" s="3129">
        <f t="shared" si="11"/>
        <v>0</v>
      </c>
      <c r="BK99" s="3129">
        <f t="shared" si="11"/>
        <v>0</v>
      </c>
      <c r="BL99" s="3129">
        <f t="shared" si="11"/>
        <v>0</v>
      </c>
      <c r="BM99" s="3130">
        <f>'Release Calculations'!BU16</f>
        <v>0</v>
      </c>
      <c r="BN99" s="3130">
        <f>'Release Calculations'!BW16</f>
        <v>0</v>
      </c>
      <c r="BO99" s="3130">
        <f>'Release Calculations'!BY16</f>
        <v>0</v>
      </c>
      <c r="BP99" s="3130">
        <f>'Release Calculations'!CA16</f>
        <v>0</v>
      </c>
      <c r="BQ99" s="3130">
        <f>'Release Calculations'!CC16*'Release Calculations'!CC12</f>
        <v>0</v>
      </c>
      <c r="BR99" s="3130">
        <f>'Release Calculations'!BY16</f>
        <v>0</v>
      </c>
      <c r="BS99" s="3130" t="str">
        <f>'Release Calculations'!CJ8</f>
        <v/>
      </c>
    </row>
    <row r="100" spans="12:71" x14ac:dyDescent="0.25">
      <c r="Q100" s="338"/>
      <c r="X100" s="338" t="s">
        <v>5167</v>
      </c>
      <c r="Y100" s="3117">
        <f>'Release Calculations'!D35</f>
        <v>0</v>
      </c>
      <c r="Z100" s="3117">
        <f>IF(Fv=1,0,'Release Calculations'!D426)</f>
        <v>0</v>
      </c>
      <c r="AA100" s="3117">
        <f>'Release Calculations'!F35</f>
        <v>0</v>
      </c>
      <c r="AB100" s="3117">
        <f>IF(Fv=1,0,'Release Calculations'!F426)</f>
        <v>0</v>
      </c>
      <c r="AC100" s="3241">
        <f>'Release Calculations'!H35</f>
        <v>0</v>
      </c>
      <c r="AD100" s="3241">
        <f>IF(Fv=1,0,'Release Calculations'!H426)</f>
        <v>0</v>
      </c>
      <c r="AE100" s="3117">
        <f>'Release Calculations'!J35</f>
        <v>0</v>
      </c>
      <c r="AF100" s="3117">
        <f>IF(Fv=1,0,'Release Calculations'!J426)</f>
        <v>0</v>
      </c>
      <c r="AG100" s="3117">
        <f>'Release Calculations'!L35</f>
        <v>0</v>
      </c>
      <c r="AH100" s="3117">
        <f>IF(Fv=1,0,'Release Calculations'!L426)</f>
        <v>0</v>
      </c>
      <c r="AI100" s="3117">
        <f>'Release Calculations'!N35</f>
        <v>0</v>
      </c>
      <c r="AJ100" s="3117">
        <f>IF(Fv=1,0,'Release Calculations'!N426)</f>
        <v>0</v>
      </c>
      <c r="AK100" s="3117">
        <f>'Release Calculations'!P35</f>
        <v>0</v>
      </c>
      <c r="AL100" s="3117">
        <f>'Release Calculations'!R35</f>
        <v>0</v>
      </c>
      <c r="AM100" s="3117">
        <f>IF(Fv=1,0,'Release Calculations'!R426)</f>
        <v>0</v>
      </c>
      <c r="AN100" s="3117">
        <f>'Release Calculations'!T35</f>
        <v>0</v>
      </c>
      <c r="AO100" s="3117">
        <f>IF(Fv=1,0,'Release Calculations'!T426)</f>
        <v>0</v>
      </c>
      <c r="AP100" s="3117">
        <f>'Release Calculations'!V35</f>
        <v>0</v>
      </c>
      <c r="AQ100" s="3117">
        <f>IF(Fv=1,0,'Release Calculations'!V426)</f>
        <v>0</v>
      </c>
      <c r="AR100" s="3117">
        <f>'Release Calculations'!X35</f>
        <v>0</v>
      </c>
      <c r="AS100" s="3117">
        <f>IF(Fv=1,0,'Release Calculations'!X426)</f>
        <v>0</v>
      </c>
      <c r="AT100" s="3117">
        <f>'Release Calculations'!AE35</f>
        <v>0</v>
      </c>
      <c r="AU100" s="3117">
        <f>'Release Calculations'!AG35</f>
        <v>0</v>
      </c>
      <c r="AV100" s="3117">
        <f>'Release Calculations'!AI35</f>
        <v>0</v>
      </c>
      <c r="AW100" s="3117">
        <f>'Release Calculations'!AK35</f>
        <v>0</v>
      </c>
      <c r="AX100" s="3117">
        <f>'Release Calculations'!AM35</f>
        <v>0</v>
      </c>
      <c r="AY100" s="3117">
        <f>'Release Calculations'!AO35</f>
        <v>0</v>
      </c>
      <c r="AZ100" s="3117">
        <f>'Release Calculations'!AE441</f>
        <v>0</v>
      </c>
      <c r="BA100" s="3117">
        <f>'Release Calculations'!AG441</f>
        <v>0</v>
      </c>
      <c r="BB100" s="3117">
        <f>'Release Calculations'!AI441</f>
        <v>0</v>
      </c>
      <c r="BC100" s="3117">
        <f>'Release Calculations'!AV33</f>
        <v>0</v>
      </c>
      <c r="BD100" s="3117">
        <f>'Release Calculations'!AX33</f>
        <v>0</v>
      </c>
      <c r="BE100" s="3117">
        <f>'Release Calculations'!AZ33</f>
        <v>0</v>
      </c>
      <c r="BF100" s="3117">
        <f>'Release Calculations'!BB33</f>
        <v>0</v>
      </c>
      <c r="BG100" s="3117">
        <f>'Release Calculations'!BD33</f>
        <v>0</v>
      </c>
      <c r="BH100" s="3117">
        <f>'Release Calculations'!BF33</f>
        <v>0</v>
      </c>
      <c r="BI100" s="3117">
        <f>'Release Calculations'!BH33</f>
        <v>0</v>
      </c>
      <c r="BJ100" s="3117">
        <f>'Release Calculations'!BJ33</f>
        <v>0</v>
      </c>
      <c r="BK100" s="3117">
        <f>'Release Calculations'!BL33</f>
        <v>0</v>
      </c>
      <c r="BL100" s="3117">
        <f>'Release Calculations'!BN33</f>
        <v>0</v>
      </c>
      <c r="BM100" s="3117">
        <f>'Release Calculations'!BU35</f>
        <v>0</v>
      </c>
      <c r="BN100" s="3117">
        <f>'Release Calculations'!BW35</f>
        <v>0</v>
      </c>
      <c r="BO100" s="3117">
        <f>'Release Calculations'!BY35</f>
        <v>0</v>
      </c>
      <c r="BP100" s="3117">
        <f>'Release Calculations'!CA35</f>
        <v>0</v>
      </c>
      <c r="BQ100" s="3117">
        <f>'Release Calculations'!CC35</f>
        <v>0</v>
      </c>
      <c r="BR100" s="3117">
        <f>'Release Calculations'!BY35</f>
        <v>0</v>
      </c>
      <c r="BS100" s="3117"/>
    </row>
    <row r="101" spans="12:71" x14ac:dyDescent="0.25">
      <c r="Q101" s="338"/>
      <c r="X101" s="338" t="s">
        <v>5168</v>
      </c>
      <c r="Y101" s="3117">
        <f>'Release Calculations'!D43</f>
        <v>0</v>
      </c>
      <c r="Z101" s="3117"/>
      <c r="AA101" s="3117">
        <f>'Release Calculations'!F43</f>
        <v>0</v>
      </c>
      <c r="AB101" s="3117"/>
      <c r="AC101" s="3241">
        <f>'Release Calculations'!H43</f>
        <v>0</v>
      </c>
      <c r="AD101" s="3241"/>
      <c r="AE101" s="3117">
        <f>'Release Calculations'!J43</f>
        <v>0</v>
      </c>
      <c r="AF101" s="3117"/>
      <c r="AG101" s="3117">
        <f>'Release Calculations'!L43</f>
        <v>0</v>
      </c>
      <c r="AH101" s="3117"/>
      <c r="AI101" s="3117">
        <f>'Release Calculations'!N43</f>
        <v>0</v>
      </c>
      <c r="AJ101" s="3117"/>
      <c r="AK101" s="3117">
        <f>'Release Calculations'!P43</f>
        <v>0</v>
      </c>
      <c r="AL101" s="3117">
        <f>'Release Calculations'!R43</f>
        <v>0</v>
      </c>
      <c r="AM101" s="3117"/>
      <c r="AN101" s="3117">
        <f>'Release Calculations'!T43</f>
        <v>0</v>
      </c>
      <c r="AO101" s="3117"/>
      <c r="AP101" s="3117">
        <f>'Release Calculations'!V43</f>
        <v>0</v>
      </c>
      <c r="AQ101" s="3117"/>
      <c r="AR101" s="3117">
        <f>'Release Calculations'!X43</f>
        <v>0</v>
      </c>
      <c r="AS101" s="3117"/>
      <c r="AT101" s="3117">
        <f>'Release Calculations'!AE43</f>
        <v>0</v>
      </c>
      <c r="AU101" s="3117">
        <f>'Release Calculations'!AG43</f>
        <v>0</v>
      </c>
      <c r="AV101" s="3117">
        <f>'Release Calculations'!AI43</f>
        <v>0</v>
      </c>
      <c r="AW101" s="3117">
        <f>'Release Calculations'!AK43</f>
        <v>0</v>
      </c>
      <c r="AX101" s="3117">
        <f>'Release Calculations'!AM43</f>
        <v>0</v>
      </c>
      <c r="AY101" s="3117">
        <f>'Release Calculations'!AO43</f>
        <v>0</v>
      </c>
      <c r="AZ101" s="3117"/>
      <c r="BA101" s="3117"/>
      <c r="BB101" s="3117"/>
      <c r="BC101" s="3117">
        <f>'Release Calculations'!AV41</f>
        <v>0</v>
      </c>
      <c r="BD101" s="3117">
        <f>'Release Calculations'!AX41</f>
        <v>0</v>
      </c>
      <c r="BE101" s="3117">
        <f>'Release Calculations'!AZ41</f>
        <v>0</v>
      </c>
      <c r="BF101" s="3117">
        <f>'Release Calculations'!BB41</f>
        <v>0</v>
      </c>
      <c r="BG101" s="3117">
        <f>'Release Calculations'!BD41</f>
        <v>0</v>
      </c>
      <c r="BH101" s="3117">
        <f>'Release Calculations'!BF41</f>
        <v>0</v>
      </c>
      <c r="BI101" s="3117">
        <f>'Release Calculations'!BH41</f>
        <v>0</v>
      </c>
      <c r="BJ101" s="3117">
        <f>'Release Calculations'!BJ41</f>
        <v>0</v>
      </c>
      <c r="BK101" s="3117">
        <f>'Release Calculations'!BL41</f>
        <v>0</v>
      </c>
      <c r="BL101" s="3117">
        <f>'Release Calculations'!BN41</f>
        <v>0</v>
      </c>
      <c r="BM101" s="3117">
        <f>'Release Calculations'!BU43</f>
        <v>0</v>
      </c>
      <c r="BN101" s="3117">
        <f>'Release Calculations'!BW43</f>
        <v>0</v>
      </c>
      <c r="BO101" s="3117">
        <f>'Release Calculations'!BY43</f>
        <v>0</v>
      </c>
      <c r="BP101" s="3117">
        <f>'Release Calculations'!CA43</f>
        <v>0</v>
      </c>
      <c r="BQ101" s="3117">
        <f>'Release Calculations'!CC43</f>
        <v>0</v>
      </c>
      <c r="BR101" s="3117">
        <f>'Release Calculations'!BY43</f>
        <v>0</v>
      </c>
      <c r="BS101" s="3117"/>
    </row>
    <row r="102" spans="12:71" x14ac:dyDescent="0.25">
      <c r="X102" s="338" t="s">
        <v>5169</v>
      </c>
      <c r="Y102" s="3117">
        <f>IF(Y99=0,0,IF((Y99-Y22)/Y99&lt;ABS('Release Calculations'!D62),(Y99-Y22)/Y99,'Release Calculations'!D62))</f>
        <v>0</v>
      </c>
      <c r="Z102" s="3117"/>
      <c r="AA102" s="3117">
        <f>IF(AA99=0,0,IF((AA99-AA22)/AA99&lt;ABS('Release Calculations'!F62),(AA99-AA22)/AA99,'Release Calculations'!F62))</f>
        <v>0</v>
      </c>
      <c r="AB102" s="3117"/>
      <c r="AC102" s="3241">
        <f>IF(AC99=0,0,IF((AC99-AC22)/AC99&lt;ABS('Release Calculations'!H62),(AC99-AC22)/AC99,'Release Calculations'!H62))</f>
        <v>0</v>
      </c>
      <c r="AD102" s="3241"/>
      <c r="AE102" s="3117">
        <f>IF(AE99=0,0,IF((AE99-AE22)/AE99&lt;ABS('Release Calculations'!J62),(AE99-AE22)/AE99,'Release Calculations'!J62))</f>
        <v>0</v>
      </c>
      <c r="AF102" s="3117"/>
      <c r="AG102" s="3117">
        <f>IF(AG99=0,0,IF((AG99-AG22)/AG99&lt;ABS('Release Calculations'!L62),(AG99-AG22)/AG99,'Release Calculations'!L62))</f>
        <v>0</v>
      </c>
      <c r="AH102" s="3117"/>
      <c r="AI102" s="3117">
        <f>IF(AI99=0,0,IF((AI99-AI22)/AI99&lt;ABS('Release Calculations'!N62),(AI99-AI22)/AI99,'Release Calculations'!N62))</f>
        <v>0</v>
      </c>
      <c r="AJ102" s="3117"/>
      <c r="AK102" s="3117">
        <f>IF(AK99=0,0,IF((AK99-AK22)/AK99&lt;ABS('Release Calculations'!P62),(AK99-AK22)/AK99,'Release Calculations'!P62))</f>
        <v>0</v>
      </c>
      <c r="AL102" s="3117">
        <f>IF(AL99=0,0,IF((AL99-AL22)/AL99&lt;ABS('Release Calculations'!R62),(AL99-AL22)/AL99,'Release Calculations'!R62))</f>
        <v>0</v>
      </c>
      <c r="AM102" s="3117"/>
      <c r="AN102" s="3117">
        <f>IF(AN99=0,0,IF((AN99-AN22)/AN99&lt;ABS('Release Calculations'!T62),(AN99-AN22)/AN99,'Release Calculations'!T62))</f>
        <v>0</v>
      </c>
      <c r="AO102" s="3117"/>
      <c r="AP102" s="3117">
        <f>IF(AP99=0,0,IF((AP99-AP22)/AP99&lt;ABS('Release Calculations'!V62),(AP99-AP22)/AP99,'Release Calculations'!V62))</f>
        <v>0</v>
      </c>
      <c r="AQ102" s="3117"/>
      <c r="AR102" s="3117">
        <f>IF(AR99=0,0,IF((AR99-AR22)/AR99&lt;ABS('Release Calculations'!X62),(AR99-AR22)/AR99,'Release Calculations'!X62))</f>
        <v>0</v>
      </c>
      <c r="AS102" s="3117"/>
      <c r="AT102" s="3117">
        <f>IF(AT99=0,0,IF((AT99-AT22)/AT99&lt;ABS('Release Calculations'!AE62),(AT99-AT22)/AT99,'Release Calculations'!AE62))</f>
        <v>0</v>
      </c>
      <c r="AU102" s="3117">
        <f>IF(AU99=0,0,IF((AU99-AU22)/AU99&lt;ABS('Release Calculations'!AG62),(AU99-AU22)/AU99,'Release Calculations'!AG62))</f>
        <v>0</v>
      </c>
      <c r="AV102" s="3117">
        <f>IF(AV99=0,0,IF((AV99-AV22)/AV99&lt;ABS('Release Calculations'!AI62),(AV99-AV22)/AV99,'Release Calculations'!AI62))</f>
        <v>0</v>
      </c>
      <c r="AW102" s="3117">
        <f>IF(AW99=0,0,IF((AW99-AW22)/AW99&lt;ABS('Release Calculations'!AK62),(AW99-AW22)/AW99,'Release Calculations'!AK62))</f>
        <v>0</v>
      </c>
      <c r="AX102" s="3117">
        <f>IF(AX99=0,0,IF((AX99-AX22)/AX99&lt;ABS('Release Calculations'!AM62),(AX99-AX22)/AX99,'Release Calculations'!AM62))</f>
        <v>0</v>
      </c>
      <c r="AY102" s="3117">
        <f>IF(AY99=0,0,IF((AY99-AY22)/AY99&lt;ABS('Release Calculations'!AO62),(AY99-AY22)/AY99,'Release Calculations'!AO62))</f>
        <v>0</v>
      </c>
      <c r="AZ102" s="3117"/>
      <c r="BA102" s="3117"/>
      <c r="BB102" s="3117"/>
      <c r="BC102" s="3117">
        <f>'Release Calculations'!AV47</f>
        <v>0</v>
      </c>
      <c r="BD102" s="3117">
        <f>'Release Calculations'!AX47</f>
        <v>0</v>
      </c>
      <c r="BE102" s="3117">
        <f>'Release Calculations'!AZ47</f>
        <v>0</v>
      </c>
      <c r="BF102" s="3117">
        <f>'Release Calculations'!BB47</f>
        <v>0</v>
      </c>
      <c r="BG102" s="3117">
        <f>'Release Calculations'!BD47</f>
        <v>0</v>
      </c>
      <c r="BH102" s="3117">
        <f>'Release Calculations'!BF47</f>
        <v>0</v>
      </c>
      <c r="BI102" s="3117">
        <f>'Release Calculations'!BH47</f>
        <v>0</v>
      </c>
      <c r="BJ102" s="3117">
        <f>'Release Calculations'!BJ47</f>
        <v>0</v>
      </c>
      <c r="BK102" s="3117">
        <f>'Release Calculations'!BL47</f>
        <v>0</v>
      </c>
      <c r="BL102" s="3117">
        <f>'Release Calculations'!BN47</f>
        <v>0</v>
      </c>
      <c r="BM102" s="3117">
        <f>IF(BM99=0,0,IF((BM99-BM22)/BM99&lt;ABS('Release Calculations'!BU62),(BM99-BM22)/BM99,'Release Calculations'!BU62))</f>
        <v>0</v>
      </c>
      <c r="BN102" s="3117">
        <f>IF(BN99=0,0,IF((BN99-BN22)/BN99&lt;ABS('Release Calculations'!BW62),(BN99-BN22)/BN99,'Release Calculations'!BW62))</f>
        <v>0</v>
      </c>
      <c r="BO102" s="3117">
        <f>IF(BO99=0,0,IF((BO99-BO22)/BO99&lt;ABS('Release Calculations'!BY62),(BO99-BO22)/BO99,'Release Calculations'!BY62))</f>
        <v>0</v>
      </c>
      <c r="BP102" s="3117">
        <f>IF(BP99=0,0,IF((BP99-BP22)/BP99&lt;ABS('Release Calculations'!CA62),(BP99-BP22)/BP99,'Release Calculations'!CA62))</f>
        <v>0</v>
      </c>
      <c r="BQ102" s="3117">
        <f>IF(BQ99=0,0,IF((BQ99-BQ22)/BQ99&lt;ABS('Release Calculations'!CC62),(BQ99-BQ22)/BQ99,'Release Calculations'!CC62))</f>
        <v>0</v>
      </c>
      <c r="BR102" s="3117">
        <f>IF(BR99=0,0,IF((BR99-BR22)/BR99&lt;ABS('Release Calculations'!BZ62),(BR99-BR22)/BR99,'Release Calculations'!BZ62))</f>
        <v>0</v>
      </c>
      <c r="BS102" s="3117"/>
    </row>
    <row r="103" spans="12:71" x14ac:dyDescent="0.25">
      <c r="X103" s="338" t="s">
        <v>5170</v>
      </c>
      <c r="Y103" s="3117">
        <f>1-'Release Calculations'!D82</f>
        <v>0</v>
      </c>
      <c r="Z103" s="3117">
        <f>1-'Release Calculations'!D455</f>
        <v>0</v>
      </c>
      <c r="AA103" s="3117">
        <f>1-'Release Calculations'!F82</f>
        <v>0</v>
      </c>
      <c r="AB103" s="3117">
        <f>1-'Release Calculations'!F455</f>
        <v>0</v>
      </c>
      <c r="AC103" s="3241">
        <f>1-'Release Calculations'!H82</f>
        <v>0</v>
      </c>
      <c r="AD103" s="3241">
        <f>1-'Release Calculations'!H455</f>
        <v>0</v>
      </c>
      <c r="AE103" s="3117">
        <f>1-'Release Calculations'!J82</f>
        <v>0</v>
      </c>
      <c r="AF103" s="3117">
        <f>1-'Release Calculations'!J455</f>
        <v>0</v>
      </c>
      <c r="AG103" s="3117">
        <f>1-'Release Calculations'!L82</f>
        <v>0</v>
      </c>
      <c r="AH103" s="3117">
        <f>1-'Release Calculations'!L455</f>
        <v>0</v>
      </c>
      <c r="AI103" s="3117">
        <f>1-'Release Calculations'!N82</f>
        <v>0</v>
      </c>
      <c r="AJ103" s="3117">
        <f>1-'Release Calculations'!N455</f>
        <v>0</v>
      </c>
      <c r="AK103" s="3117">
        <f>1-'Release Calculations'!P82</f>
        <v>0</v>
      </c>
      <c r="AL103" s="3117">
        <f>1-'Release Calculations'!R82</f>
        <v>0</v>
      </c>
      <c r="AM103" s="3117">
        <f>1-'Release Calculations'!R455</f>
        <v>0</v>
      </c>
      <c r="AN103" s="3117">
        <f>1-'Release Calculations'!T82</f>
        <v>0</v>
      </c>
      <c r="AO103" s="3117">
        <f>1-'Release Calculations'!T455</f>
        <v>0</v>
      </c>
      <c r="AP103" s="3117">
        <f>1-'Release Calculations'!V82</f>
        <v>0</v>
      </c>
      <c r="AQ103" s="3117">
        <f>1-'Release Calculations'!V455</f>
        <v>0</v>
      </c>
      <c r="AR103" s="3117">
        <f>1-'Release Calculations'!X82</f>
        <v>0</v>
      </c>
      <c r="AS103" s="3117">
        <f>1-'Release Calculations'!X455</f>
        <v>0</v>
      </c>
      <c r="AT103" s="3117">
        <f>1-'Release Calculations'!AE82</f>
        <v>0</v>
      </c>
      <c r="AU103" s="3117">
        <f>1-'Release Calculations'!AG82</f>
        <v>0</v>
      </c>
      <c r="AV103" s="3117">
        <f>1-'Release Calculations'!AI82</f>
        <v>0</v>
      </c>
      <c r="AW103" s="3117">
        <f>1-'Release Calculations'!AK82</f>
        <v>0</v>
      </c>
      <c r="AX103" s="3117">
        <f>1-'Release Calculations'!AM82</f>
        <v>0</v>
      </c>
      <c r="AY103" s="3117">
        <f>1-'Release Calculations'!AO82</f>
        <v>0</v>
      </c>
      <c r="AZ103" s="3117">
        <f>1-'Release Calculations'!AE469</f>
        <v>0</v>
      </c>
      <c r="BA103" s="3117">
        <f>1-'Release Calculations'!AG469</f>
        <v>0</v>
      </c>
      <c r="BB103" s="3117">
        <f>1-'Release Calculations'!AI469</f>
        <v>0</v>
      </c>
      <c r="BC103" s="3117">
        <f>1-'Release Calculations'!AV65</f>
        <v>0</v>
      </c>
      <c r="BD103" s="3117">
        <f>1-'Release Calculations'!AX65</f>
        <v>0</v>
      </c>
      <c r="BE103" s="3117">
        <f>1-'Release Calculations'!AZ65</f>
        <v>0</v>
      </c>
      <c r="BF103" s="3117">
        <f>1-'Release Calculations'!BB65</f>
        <v>0</v>
      </c>
      <c r="BG103" s="3117">
        <f>1-'Release Calculations'!BD65</f>
        <v>0</v>
      </c>
      <c r="BH103" s="3117">
        <f>1-'Release Calculations'!BF65</f>
        <v>0</v>
      </c>
      <c r="BI103" s="3117">
        <f>1-'Release Calculations'!BH65</f>
        <v>0</v>
      </c>
      <c r="BJ103" s="3117">
        <f>1-'Release Calculations'!BJ65</f>
        <v>0</v>
      </c>
      <c r="BK103" s="3117">
        <f>1-'Release Calculations'!BL65</f>
        <v>0</v>
      </c>
      <c r="BL103" s="3117">
        <f>1-'Release Calculations'!BN65</f>
        <v>0</v>
      </c>
      <c r="BM103" s="3117">
        <f>1-'Release Calculations'!BU82</f>
        <v>0</v>
      </c>
      <c r="BN103" s="3117">
        <f>1-'Release Calculations'!BW82</f>
        <v>0</v>
      </c>
      <c r="BO103" s="3117">
        <f>1-'Release Calculations'!BY82</f>
        <v>0</v>
      </c>
      <c r="BP103" s="3117">
        <f>1-'Release Calculations'!CA82</f>
        <v>0</v>
      </c>
      <c r="BQ103" s="3117">
        <f>1-'Release Calculations'!CC82</f>
        <v>0</v>
      </c>
      <c r="BR103" s="3117">
        <f>1-'Release Calculations'!BY82</f>
        <v>0</v>
      </c>
      <c r="BS103" s="3117"/>
    </row>
    <row r="104" spans="12:71" x14ac:dyDescent="0.25">
      <c r="X104" s="338" t="s">
        <v>5181</v>
      </c>
      <c r="Y104" s="3171">
        <f t="shared" ref="Y104:BR104" si="12">MAX(Y100:Y103)</f>
        <v>0</v>
      </c>
      <c r="Z104" s="3171">
        <f t="shared" si="12"/>
        <v>0</v>
      </c>
      <c r="AA104" s="3171">
        <f t="shared" si="12"/>
        <v>0</v>
      </c>
      <c r="AB104" s="3171">
        <f t="shared" si="12"/>
        <v>0</v>
      </c>
      <c r="AC104" s="3241">
        <f t="shared" ref="AC104:AD104" si="13">MAX(AC100:AC103)</f>
        <v>0</v>
      </c>
      <c r="AD104" s="3241">
        <f t="shared" si="13"/>
        <v>0</v>
      </c>
      <c r="AE104" s="3171">
        <f t="shared" si="12"/>
        <v>0</v>
      </c>
      <c r="AF104" s="3171">
        <f t="shared" si="12"/>
        <v>0</v>
      </c>
      <c r="AG104" s="3171">
        <f t="shared" si="12"/>
        <v>0</v>
      </c>
      <c r="AH104" s="3171">
        <f t="shared" si="12"/>
        <v>0</v>
      </c>
      <c r="AI104" s="3171">
        <f t="shared" si="12"/>
        <v>0</v>
      </c>
      <c r="AJ104" s="3171">
        <f t="shared" si="12"/>
        <v>0</v>
      </c>
      <c r="AK104" s="3171">
        <f t="shared" si="12"/>
        <v>0</v>
      </c>
      <c r="AL104" s="3171">
        <f t="shared" si="12"/>
        <v>0</v>
      </c>
      <c r="AM104" s="3171">
        <f t="shared" si="12"/>
        <v>0</v>
      </c>
      <c r="AN104" s="3171">
        <f t="shared" si="12"/>
        <v>0</v>
      </c>
      <c r="AO104" s="3171">
        <f t="shared" si="12"/>
        <v>0</v>
      </c>
      <c r="AP104" s="3171">
        <f t="shared" si="12"/>
        <v>0</v>
      </c>
      <c r="AQ104" s="3171">
        <f t="shared" si="12"/>
        <v>0</v>
      </c>
      <c r="AR104" s="3171">
        <f t="shared" si="12"/>
        <v>0</v>
      </c>
      <c r="AS104" s="3171">
        <f t="shared" si="12"/>
        <v>0</v>
      </c>
      <c r="AT104" s="3171">
        <f t="shared" si="12"/>
        <v>0</v>
      </c>
      <c r="AU104" s="3171">
        <f t="shared" si="12"/>
        <v>0</v>
      </c>
      <c r="AV104" s="3171">
        <f t="shared" si="12"/>
        <v>0</v>
      </c>
      <c r="AW104" s="3171">
        <f t="shared" si="12"/>
        <v>0</v>
      </c>
      <c r="AX104" s="3171">
        <f t="shared" si="12"/>
        <v>0</v>
      </c>
      <c r="AY104" s="3171">
        <f t="shared" si="12"/>
        <v>0</v>
      </c>
      <c r="AZ104" s="3171">
        <f t="shared" si="12"/>
        <v>0</v>
      </c>
      <c r="BA104" s="3171">
        <f t="shared" si="12"/>
        <v>0</v>
      </c>
      <c r="BB104" s="3171">
        <f t="shared" si="12"/>
        <v>0</v>
      </c>
      <c r="BC104" s="3171">
        <f t="shared" si="12"/>
        <v>0</v>
      </c>
      <c r="BD104" s="3171">
        <f t="shared" si="12"/>
        <v>0</v>
      </c>
      <c r="BE104" s="3171">
        <f t="shared" si="12"/>
        <v>0</v>
      </c>
      <c r="BF104" s="3171">
        <f t="shared" si="12"/>
        <v>0</v>
      </c>
      <c r="BG104" s="3171">
        <f t="shared" si="12"/>
        <v>0</v>
      </c>
      <c r="BH104" s="3171">
        <f t="shared" si="12"/>
        <v>0</v>
      </c>
      <c r="BI104" s="3171">
        <f t="shared" si="12"/>
        <v>0</v>
      </c>
      <c r="BJ104" s="3171">
        <f t="shared" si="12"/>
        <v>0</v>
      </c>
      <c r="BK104" s="3171">
        <f t="shared" si="12"/>
        <v>0</v>
      </c>
      <c r="BL104" s="3171">
        <f t="shared" si="12"/>
        <v>0</v>
      </c>
      <c r="BM104" s="3171">
        <f t="shared" si="12"/>
        <v>0</v>
      </c>
      <c r="BN104" s="3171">
        <f t="shared" si="12"/>
        <v>0</v>
      </c>
      <c r="BO104" s="3171">
        <f t="shared" si="12"/>
        <v>0</v>
      </c>
      <c r="BP104" s="3171">
        <f t="shared" si="12"/>
        <v>0</v>
      </c>
      <c r="BQ104" s="3171">
        <f t="shared" si="12"/>
        <v>0</v>
      </c>
      <c r="BR104" s="3171">
        <f t="shared" si="12"/>
        <v>0</v>
      </c>
      <c r="BS104" s="3172"/>
    </row>
    <row r="106" spans="12:71" x14ac:dyDescent="0.25">
      <c r="X106" s="592" t="s">
        <v>5207</v>
      </c>
      <c r="Y106" s="3173">
        <f>IF(Y23="Indoors",'Release Calculations'!$D396,'Release Calculations'!$D406)</f>
        <v>0</v>
      </c>
      <c r="Z106" s="3173">
        <f>IF(Z23="Indoors",'Release Calculations'!$D773,'Release Calculations'!$D783)</f>
        <v>0</v>
      </c>
      <c r="AA106" s="3173">
        <f>IF(AA23="Indoors",'Release Calculations'!$F396,'Release Calculations'!$F406)</f>
        <v>0</v>
      </c>
      <c r="AB106" s="3173">
        <f>IF(AB23="Indoors",'Release Calculations'!$F773,'Release Calculations'!$F783)</f>
        <v>0</v>
      </c>
      <c r="AC106" s="3245">
        <f>IF(AC23="Indoors",'Release Calculations'!$H396,'Release Calculations'!$H406)</f>
        <v>0</v>
      </c>
      <c r="AD106" s="3245">
        <f>IF(AD23="Indoors",'Release Calculations'!$H773,'Release Calculations'!$H783)</f>
        <v>0</v>
      </c>
      <c r="AE106" s="3173">
        <f>IF(AE23="Indoors",'Release Calculations'!$J396,'Release Calculations'!$J406)</f>
        <v>0</v>
      </c>
      <c r="AF106" s="3173">
        <f>IF(AF23="Indoors",'Release Calculations'!$J773,'Release Calculations'!$J783)</f>
        <v>0</v>
      </c>
      <c r="AG106" s="3173">
        <f>IF(AG23="Indoors",'Release Calculations'!$L396,'Release Calculations'!$L406)</f>
        <v>0</v>
      </c>
      <c r="AH106" s="3173">
        <f>IF(AH23="Indoors",'Release Calculations'!$L773,'Release Calculations'!$L783)</f>
        <v>0</v>
      </c>
      <c r="AI106" s="3173">
        <f>IF(AI23="Indoors",'Release Calculations'!$N396,'Release Calculations'!$N406)</f>
        <v>0</v>
      </c>
      <c r="AJ106" s="3173">
        <f>IF(AJ23="Indoors",'Release Calculations'!$N773,'Release Calculations'!$N783)</f>
        <v>0</v>
      </c>
      <c r="AK106" s="3173">
        <f>IF(AK23="Indoors",'Release Calculations'!$P396,'Release Calculations'!$P406)</f>
        <v>0</v>
      </c>
      <c r="AL106" s="3173">
        <f>IF(AL23="Indoors",'Release Calculations'!$R396,'Release Calculations'!$R406)</f>
        <v>0</v>
      </c>
      <c r="AM106" s="3173">
        <f>IF(AM23="Indoors",'Release Calculations'!$R773,'Release Calculations'!$R783)</f>
        <v>0</v>
      </c>
      <c r="AN106" s="3173">
        <f>IF(AN23="Indoors",'Release Calculations'!$T396,'Release Calculations'!$T406)</f>
        <v>0</v>
      </c>
      <c r="AO106" s="3173">
        <f>IF(AO23="Indoors",'Release Calculations'!$T773,'Release Calculations'!$T783)</f>
        <v>0</v>
      </c>
      <c r="AP106" s="3173">
        <f>IF(AP23="Indoors",'Release Calculations'!$V396,'Release Calculations'!$V406)</f>
        <v>0</v>
      </c>
      <c r="AQ106" s="3173">
        <f>IF(AQ23="Indoors",'Release Calculations'!$V773,'Release Calculations'!$V783)</f>
        <v>0</v>
      </c>
      <c r="AR106" s="3173">
        <f>IF(AR23="Indoors",'Release Calculations'!$X396,'Release Calculations'!$X406)</f>
        <v>0</v>
      </c>
      <c r="AS106" s="3173">
        <f>IF(AS23="Indoors",'Release Calculations'!$X773,'Release Calculations'!$X783)</f>
        <v>0</v>
      </c>
      <c r="AT106" s="3173">
        <f>IF(AT23="Indoors",'Release Calculations'!$AE410,'Release Calculations'!$AE420)</f>
        <v>0</v>
      </c>
      <c r="AU106" s="3173">
        <f>IF(AU23="Indoors",'Release Calculations'!$AG410,'Release Calculations'!$AG420)</f>
        <v>0</v>
      </c>
      <c r="AV106" s="3173">
        <f>IF(AV23="Indoors",'Release Calculations'!$AI410,'Release Calculations'!$AI420)</f>
        <v>0</v>
      </c>
      <c r="AW106" s="3173">
        <f>IF(AW23="Indoors",'Release Calculations'!$AK410,'Release Calculations'!$AK420)</f>
        <v>0</v>
      </c>
      <c r="AX106" s="3173">
        <f>IF(AX23="Indoors",'Release Calculations'!$AM410,'Release Calculations'!$AM420)</f>
        <v>0</v>
      </c>
      <c r="AY106" s="3173">
        <f>IF(AY23="Indoors",'Release Calculations'!$AO410,'Release Calculations'!$AO420)</f>
        <v>0</v>
      </c>
      <c r="AZ106" s="3173">
        <f>IF(AZ23="Indoors",'Release Calculations'!$AE801,'Release Calculations'!$AE811)</f>
        <v>0</v>
      </c>
      <c r="BA106" s="3173">
        <f>IF(BA23="Indoors",'Release Calculations'!$AG801,'Release Calculations'!$AG811)</f>
        <v>0</v>
      </c>
      <c r="BB106" s="3173">
        <f>IF(BB23="Indoors",'Release Calculations'!$AI801,'Release Calculations'!$AI811)</f>
        <v>0</v>
      </c>
      <c r="BC106" s="3173">
        <f>IF(BC23="Indoors",'Release Calculations'!$AV394,'Release Calculations'!$AV404)</f>
        <v>0</v>
      </c>
      <c r="BD106" s="3173">
        <f>IF(BD23="Indoors",'Release Calculations'!$AX394,'Release Calculations'!$AX404)</f>
        <v>0</v>
      </c>
      <c r="BE106" s="3173">
        <f>IF(BE23="Indoors",'Release Calculations'!$AZ394,'Release Calculations'!$AZ404)</f>
        <v>0</v>
      </c>
      <c r="BF106" s="3173">
        <f>IF(BF23="Indoors",'Release Calculations'!$BB394,'Release Calculations'!$BB404)</f>
        <v>0</v>
      </c>
      <c r="BG106" s="3173">
        <f>IF(BG23="Indoors",'Release Calculations'!$BD394,'Release Calculations'!$BD404)</f>
        <v>0</v>
      </c>
      <c r="BH106" s="3173">
        <f>IF(BH23="Indoors",'Release Calculations'!$BF394,'Release Calculations'!$BF404)</f>
        <v>0</v>
      </c>
      <c r="BI106" s="3173">
        <f>IF(BI23="Indoors",'Release Calculations'!$BH394,'Release Calculations'!$BH404)</f>
        <v>0</v>
      </c>
      <c r="BJ106" s="3173">
        <f>IF(BJ23="Indoors",'Release Calculations'!$BJ394,'Release Calculations'!$BJ404)</f>
        <v>0</v>
      </c>
      <c r="BK106" s="3173">
        <f>IF(BK23="Indoors",'Release Calculations'!$BL394,'Release Calculations'!$BL404)</f>
        <v>0</v>
      </c>
      <c r="BL106" s="3173">
        <f>IF(BL23="Indoors",'Release Calculations'!$BN394,'Release Calculations'!$BN404)</f>
        <v>0</v>
      </c>
      <c r="BM106" s="3173">
        <f>IF(BM23="Indoors",'Release Calculations'!$BU424,'Release Calculations'!$BU434)</f>
        <v>0</v>
      </c>
      <c r="BN106" s="3173">
        <f>IF(BN23="Indoors",'Release Calculations'!$BW424,'Release Calculations'!$BW434)</f>
        <v>0</v>
      </c>
      <c r="BO106" s="3173">
        <f>IF(BO23="Indoors",'Release Calculations'!$BY424,'Release Calculations'!$BY434)</f>
        <v>0</v>
      </c>
      <c r="BP106" s="3173">
        <f>IF(BP23="Indoors",'Release Calculations'!$CA424,'Release Calculations'!$CA434)</f>
        <v>0</v>
      </c>
      <c r="BQ106" s="3173">
        <f>IF(BQ23="Indoors",'Release Calculations'!$CC424,'Release Calculations'!$CC434)</f>
        <v>0</v>
      </c>
      <c r="BR106" s="3173">
        <f>IF(BR23="Indoors",'Release Calculations'!$BY424,'Release Calculations'!$BY434)</f>
        <v>0</v>
      </c>
      <c r="BS106" s="3173">
        <f>IF(BS23="Indoors",'Release Calculations'!$CJ246,'Release Calculations'!$CJ254)</f>
        <v>0</v>
      </c>
    </row>
    <row r="107" spans="12:71" x14ac:dyDescent="0.25">
      <c r="X107" s="592" t="s">
        <v>5208</v>
      </c>
      <c r="Y107" s="3174"/>
      <c r="Z107" s="3174"/>
      <c r="AA107" s="3175"/>
      <c r="AB107" s="3175"/>
      <c r="AC107" s="3246"/>
      <c r="AD107" s="3246"/>
      <c r="AE107" s="3175"/>
      <c r="AF107" s="3175"/>
      <c r="AG107" s="3175"/>
      <c r="AH107" s="3175"/>
      <c r="AI107" s="3175"/>
      <c r="AJ107" s="3175"/>
      <c r="AK107" s="3175"/>
      <c r="AL107" s="3175"/>
      <c r="AM107" s="3175"/>
      <c r="AN107" s="3175"/>
      <c r="AO107" s="3175"/>
      <c r="AP107" s="3175"/>
      <c r="AQ107" s="3175"/>
      <c r="AR107" s="3175"/>
      <c r="AS107" s="3175"/>
      <c r="AT107" s="3175"/>
      <c r="AU107" s="3175"/>
      <c r="AV107" s="3175"/>
      <c r="AW107" s="3175"/>
      <c r="AX107" s="3175"/>
      <c r="AY107" s="3175"/>
      <c r="AZ107" s="3175"/>
      <c r="BA107" s="3175"/>
      <c r="BB107" s="3175"/>
      <c r="BC107" s="3175"/>
      <c r="BD107" s="3175"/>
      <c r="BE107" s="3175"/>
      <c r="BF107" s="3175"/>
      <c r="BG107" s="3175"/>
      <c r="BH107" s="3175"/>
      <c r="BI107" s="3175"/>
      <c r="BJ107" s="3175"/>
      <c r="BK107" s="3175"/>
      <c r="BL107" s="3175"/>
      <c r="BM107" s="3176">
        <f>'Release Calculations'!$BU451</f>
        <v>0</v>
      </c>
      <c r="BN107" s="3176">
        <f>'Release Calculations'!$BW451</f>
        <v>0</v>
      </c>
      <c r="BO107" s="3280">
        <f>'Release Calculations'!$BY451</f>
        <v>0</v>
      </c>
      <c r="BP107" s="3280">
        <f>'Release Calculations'!$CA451</f>
        <v>0</v>
      </c>
      <c r="BQ107" s="3280">
        <f>'Release Calculations'!$CC451</f>
        <v>0</v>
      </c>
      <c r="BR107" s="3280">
        <f>'Release Calculations'!$BY467</f>
        <v>0</v>
      </c>
      <c r="BS107" s="3176">
        <f>'Release Calculations'!$CJ269</f>
        <v>0</v>
      </c>
    </row>
    <row r="108" spans="12:71" x14ac:dyDescent="0.25">
      <c r="X108" s="592" t="s">
        <v>5229</v>
      </c>
      <c r="Y108" s="3261">
        <f>'Release Calculations'!D361</f>
        <v>4.500000000000001E-6</v>
      </c>
      <c r="Z108" s="3261">
        <f>'Release Calculations'!D744</f>
        <v>4.500000000000001E-6</v>
      </c>
      <c r="AA108" s="3261">
        <f>'Release Calculations'!F361</f>
        <v>4.500000000000001E-6</v>
      </c>
      <c r="AB108" s="3261">
        <f>'Release Calculations'!F744</f>
        <v>4.500000000000001E-6</v>
      </c>
      <c r="AC108" s="3261">
        <f>'Release Calculations'!H361</f>
        <v>4.500000000000001E-6</v>
      </c>
      <c r="AD108" s="3261">
        <f>'Release Calculations'!H744</f>
        <v>4.500000000000001E-6</v>
      </c>
      <c r="AE108" s="3261">
        <f>'Release Calculations'!J361</f>
        <v>4.500000000000001E-6</v>
      </c>
      <c r="AF108" s="3261">
        <f>'Release Calculations'!J744</f>
        <v>4.500000000000001E-6</v>
      </c>
      <c r="AG108" s="3261">
        <f>'Release Calculations'!L361</f>
        <v>4.500000000000001E-6</v>
      </c>
      <c r="AH108" s="3261">
        <f>'Release Calculations'!L744</f>
        <v>4.500000000000001E-6</v>
      </c>
      <c r="AI108" s="3261">
        <f>'Release Calculations'!N361</f>
        <v>4.500000000000001E-6</v>
      </c>
      <c r="AJ108" s="3261">
        <f>'Release Calculations'!N744</f>
        <v>4.500000000000001E-6</v>
      </c>
      <c r="AK108" s="3261">
        <f>'Release Calculations'!P361</f>
        <v>4.500000000000001E-6</v>
      </c>
      <c r="AL108" s="3261">
        <f>'Release Calculations'!R361</f>
        <v>4.500000000000001E-6</v>
      </c>
      <c r="AM108" s="3261">
        <f>'Release Calculations'!R744</f>
        <v>4.500000000000001E-6</v>
      </c>
      <c r="AN108" s="3261">
        <f>'Release Calculations'!T361</f>
        <v>4.500000000000001E-6</v>
      </c>
      <c r="AO108" s="3261">
        <f>'Release Calculations'!T744</f>
        <v>4.500000000000001E-6</v>
      </c>
      <c r="AP108" s="3261">
        <f>'Release Calculations'!V361</f>
        <v>4.500000000000001E-6</v>
      </c>
      <c r="AQ108" s="3261">
        <f>'Release Calculations'!V744</f>
        <v>4.500000000000001E-6</v>
      </c>
      <c r="AR108" s="3261">
        <f>'Release Calculations'!X361</f>
        <v>4.500000000000001E-6</v>
      </c>
      <c r="AS108" s="3261">
        <f>'Release Calculations'!X744</f>
        <v>4.500000000000001E-6</v>
      </c>
      <c r="AT108" s="3261">
        <f>'Release Calculations'!AE375</f>
        <v>4.500000000000001E-6</v>
      </c>
      <c r="AU108" s="3261">
        <f>'Release Calculations'!AG375</f>
        <v>4.500000000000001E-6</v>
      </c>
      <c r="AV108" s="3261">
        <f>'Release Calculations'!AI375</f>
        <v>4.500000000000001E-6</v>
      </c>
      <c r="AW108" s="3261">
        <f>'Release Calculations'!AK375</f>
        <v>4.500000000000001E-6</v>
      </c>
      <c r="AX108" s="3261">
        <f>'Release Calculations'!AM375</f>
        <v>4.500000000000001E-6</v>
      </c>
      <c r="AY108" s="3261">
        <f>'Release Calculations'!AO375</f>
        <v>4.500000000000001E-6</v>
      </c>
      <c r="AZ108" s="3261">
        <f>'Release Calculations'!AE772</f>
        <v>4.500000000000001E-6</v>
      </c>
      <c r="BA108" s="3261">
        <f>'Release Calculations'!AG772</f>
        <v>4.500000000000001E-6</v>
      </c>
      <c r="BB108" s="3261">
        <f>'Release Calculations'!AI772</f>
        <v>4.500000000000001E-6</v>
      </c>
      <c r="BC108" s="3261" t="e">
        <f>'Release Calculations'!AV359</f>
        <v>#DIV/0!</v>
      </c>
      <c r="BD108" s="3261" t="e">
        <f>'Release Calculations'!AX359</f>
        <v>#DIV/0!</v>
      </c>
      <c r="BE108" s="3261" t="e">
        <f>'Release Calculations'!AZ359</f>
        <v>#DIV/0!</v>
      </c>
      <c r="BF108" s="3261" t="e">
        <f>'Release Calculations'!BB359</f>
        <v>#DIV/0!</v>
      </c>
      <c r="BG108" s="3261" t="e">
        <f>'Release Calculations'!BD359</f>
        <v>#DIV/0!</v>
      </c>
      <c r="BH108" s="3261" t="e">
        <f>'Release Calculations'!BF359</f>
        <v>#DIV/0!</v>
      </c>
      <c r="BI108" s="3261" t="e">
        <f>'Release Calculations'!BH359</f>
        <v>#DIV/0!</v>
      </c>
      <c r="BJ108" s="3261" t="e">
        <f>'Release Calculations'!BJ359</f>
        <v>#DIV/0!</v>
      </c>
      <c r="BK108" s="3261" t="e">
        <f>'Release Calculations'!BL359</f>
        <v>#DIV/0!</v>
      </c>
      <c r="BL108" s="3261" t="e">
        <f>'Release Calculations'!BN359</f>
        <v>#DIV/0!</v>
      </c>
      <c r="BM108" s="3261" t="e">
        <f>'Release Calculations'!BU391</f>
        <v>#DIV/0!</v>
      </c>
      <c r="BN108" s="3261" t="e">
        <f>'Release Calculations'!BW391</f>
        <v>#DIV/0!</v>
      </c>
      <c r="BO108" s="3261" t="e">
        <f>'Release Calculations'!BY391</f>
        <v>#DIV/0!</v>
      </c>
      <c r="BP108" s="3261" t="e">
        <f>'Release Calculations'!CA391</f>
        <v>#DIV/0!</v>
      </c>
      <c r="BQ108" s="3261" t="e">
        <f>'Release Calculations'!CC391</f>
        <v>#DIV/0!</v>
      </c>
      <c r="BR108" s="3261" t="e">
        <f>'Release Calculations'!BY391</f>
        <v>#DIV/0!</v>
      </c>
      <c r="BS108" s="3261">
        <f>'Release Calculations'!CJ212</f>
        <v>4.500000000000001E-6</v>
      </c>
    </row>
  </sheetData>
  <sheetProtection sheet="1" objects="1" scenarios="1"/>
  <mergeCells count="48">
    <mergeCell ref="N73:O74"/>
    <mergeCell ref="Q73:Q74"/>
    <mergeCell ref="Q75:Q76"/>
    <mergeCell ref="O75:P76"/>
    <mergeCell ref="H63:I65"/>
    <mergeCell ref="C80:D81"/>
    <mergeCell ref="C75:H77"/>
    <mergeCell ref="H78:I80"/>
    <mergeCell ref="H81:I82"/>
    <mergeCell ref="H55:I56"/>
    <mergeCell ref="H58:I59"/>
    <mergeCell ref="C79:D79"/>
    <mergeCell ref="H66:I68"/>
    <mergeCell ref="C64:G65"/>
    <mergeCell ref="C68:D69"/>
    <mergeCell ref="D4:H4"/>
    <mergeCell ref="G16:I17"/>
    <mergeCell ref="G19:I20"/>
    <mergeCell ref="G22:I23"/>
    <mergeCell ref="S36:T38"/>
    <mergeCell ref="O4:S4"/>
    <mergeCell ref="S5:U5"/>
    <mergeCell ref="P6:S6"/>
    <mergeCell ref="H5:I5"/>
    <mergeCell ref="N6:O6"/>
    <mergeCell ref="F6:I6"/>
    <mergeCell ref="G25:I26"/>
    <mergeCell ref="H28:I29"/>
    <mergeCell ref="S31:T34"/>
    <mergeCell ref="O7:T7"/>
    <mergeCell ref="R9:U9"/>
    <mergeCell ref="R8:U8"/>
    <mergeCell ref="S27:T29"/>
    <mergeCell ref="S11:T11"/>
    <mergeCell ref="S13:T13"/>
    <mergeCell ref="S22:T25"/>
    <mergeCell ref="R15:U15"/>
    <mergeCell ref="R17:U17"/>
    <mergeCell ref="S20:T21"/>
    <mergeCell ref="S42:T45"/>
    <mergeCell ref="S47:T50"/>
    <mergeCell ref="S52:T55"/>
    <mergeCell ref="R74:T75"/>
    <mergeCell ref="R57:U57"/>
    <mergeCell ref="S59:T62"/>
    <mergeCell ref="S66:T69"/>
    <mergeCell ref="R64:U64"/>
    <mergeCell ref="R72:T73"/>
  </mergeCells>
  <conditionalFormatting sqref="G83:H83">
    <cfRule type="expression" dxfId="479" priority="38">
      <formula>IF($H$83="Yes",TRUE,FALSE)</formula>
    </cfRule>
  </conditionalFormatting>
  <conditionalFormatting sqref="G84:H85">
    <cfRule type="expression" dxfId="478" priority="37">
      <formula>IF($H$84="Yes",TRUE,FALSE)</formula>
    </cfRule>
  </conditionalFormatting>
  <conditionalFormatting sqref="G53:H53">
    <cfRule type="expression" dxfId="477" priority="35">
      <formula>IF($H$53="Yes",TRUE,FALSE)</formula>
    </cfRule>
  </conditionalFormatting>
  <conditionalFormatting sqref="G51:H51">
    <cfRule type="expression" dxfId="476" priority="34">
      <formula>IF($H$51="Yes",TRUE,FALSE)</formula>
    </cfRule>
  </conditionalFormatting>
  <conditionalFormatting sqref="G47:H47">
    <cfRule type="expression" dxfId="475" priority="33">
      <formula>IF($H$47="Yes",TRUE,FALSE)</formula>
    </cfRule>
  </conditionalFormatting>
  <conditionalFormatting sqref="G45:H45">
    <cfRule type="expression" dxfId="474" priority="32">
      <formula>IF($H$45="Yes",TRUE,FALSE)</formula>
    </cfRule>
  </conditionalFormatting>
  <conditionalFormatting sqref="G31:H31">
    <cfRule type="expression" dxfId="473" priority="31">
      <formula>IF($H$31="Yes",TRUE,FALSE)</formula>
    </cfRule>
  </conditionalFormatting>
  <conditionalFormatting sqref="G38:H38">
    <cfRule type="expression" dxfId="472" priority="28">
      <formula>IF($H$38="Yes",TRUE,FALSE)</formula>
    </cfRule>
  </conditionalFormatting>
  <conditionalFormatting sqref="G37:H37">
    <cfRule type="expression" dxfId="471" priority="27">
      <formula>IF($H$37="Yes",TRUE,FALSE)</formula>
    </cfRule>
  </conditionalFormatting>
  <conditionalFormatting sqref="G43:H44">
    <cfRule type="expression" dxfId="470" priority="26">
      <formula>IF($H$43="Yes",TRUE,FALSE)</formula>
    </cfRule>
  </conditionalFormatting>
  <conditionalFormatting sqref="G40:H40">
    <cfRule type="expression" dxfId="469" priority="24">
      <formula>IF($H$40="Yes",TRUE,FALSE)</formula>
    </cfRule>
  </conditionalFormatting>
  <conditionalFormatting sqref="F18">
    <cfRule type="expression" dxfId="468" priority="22">
      <formula>IF(ER3_Mix&lt;=1000,TRUE,FALSE)</formula>
    </cfRule>
  </conditionalFormatting>
  <conditionalFormatting sqref="F19">
    <cfRule type="expression" dxfId="467" priority="21">
      <formula>IF(OR(Dermal_Tox="Toxic",Dermal_Tox="Very Toxic"),TRUE,FALSE)</formula>
    </cfRule>
  </conditionalFormatting>
  <conditionalFormatting sqref="F20">
    <cfRule type="expression" dxfId="466" priority="20">
      <formula>IF(OR(Aquatic_Tox="Toxic",Aquatic_Tox="Very Toxic"),TRUE,FALSE)</formula>
    </cfRule>
  </conditionalFormatting>
  <conditionalFormatting sqref="F21">
    <cfRule type="expression" dxfId="465" priority="19">
      <formula>IF($F$21="Yes",TRUE,FALSE)</formula>
    </cfRule>
  </conditionalFormatting>
  <conditionalFormatting sqref="F16">
    <cfRule type="expression" dxfId="464" priority="17">
      <formula>IF($F$16="Yes",TRUE,FALSE)</formula>
    </cfRule>
  </conditionalFormatting>
  <conditionalFormatting sqref="F22">
    <cfRule type="expression" dxfId="463" priority="15">
      <formula>IF(Rx_Heat&lt;-12,TRUE,FALSE)</formula>
    </cfRule>
  </conditionalFormatting>
  <conditionalFormatting sqref="G41:H41">
    <cfRule type="expression" dxfId="462" priority="14">
      <formula>IF($H$41="Yes",TRUE,FALSE)</formula>
    </cfRule>
  </conditionalFormatting>
  <conditionalFormatting sqref="G69:H69 G70:G72">
    <cfRule type="expression" dxfId="461" priority="13">
      <formula>IF($H$69="Yes",TRUE,FALSE)</formula>
    </cfRule>
  </conditionalFormatting>
  <conditionalFormatting sqref="F23">
    <cfRule type="expression" dxfId="460" priority="56">
      <formula>IF(AND($F$23="Yes",$G$22&lt;&gt;""),TRUE,FALSE)</formula>
    </cfRule>
  </conditionalFormatting>
  <conditionalFormatting sqref="F14">
    <cfRule type="expression" dxfId="459" priority="72">
      <formula>IF(AND($G$16&lt;&gt;"",State&lt;&gt;"Solid"),TRUE,FALSE)</formula>
    </cfRule>
  </conditionalFormatting>
  <conditionalFormatting sqref="P6:T6">
    <cfRule type="expression" dxfId="458" priority="10">
      <formula>IF($P$6="",TRUE,FALSE)</formula>
    </cfRule>
  </conditionalFormatting>
  <conditionalFormatting sqref="G83">
    <cfRule type="expression" dxfId="457" priority="9">
      <formula>IF($H$84="Yes",TRUE,FALSE)</formula>
    </cfRule>
  </conditionalFormatting>
  <conditionalFormatting sqref="Q12">
    <cfRule type="expression" dxfId="456" priority="8">
      <formula>IF($Q$12="Two-Phase",TRUE,FALSE)</formula>
    </cfRule>
  </conditionalFormatting>
  <conditionalFormatting sqref="G42:H42">
    <cfRule type="expression" dxfId="455" priority="7">
      <formula>IF($H$42="Yes",TRUE,FALSE)</formula>
    </cfRule>
  </conditionalFormatting>
  <conditionalFormatting sqref="D34">
    <cfRule type="expression" dxfId="454" priority="5">
      <formula>IF(Vacuum_Rated="No",TRUE,FALSE)</formula>
    </cfRule>
  </conditionalFormatting>
  <conditionalFormatting sqref="D36">
    <cfRule type="expression" dxfId="453" priority="4">
      <formula>IF(Vacuum_Rated="No",TRUE,FALSE)</formula>
    </cfRule>
  </conditionalFormatting>
  <conditionalFormatting sqref="O75:P76">
    <cfRule type="expression" dxfId="452" priority="1">
      <formula>IF(Conseq_Criteria="Hazard Distance",FALSE,TRUE)</formula>
    </cfRule>
  </conditionalFormatting>
  <dataValidations count="1">
    <dataValidation type="list" allowBlank="1" showInputMessage="1" showErrorMessage="1" sqref="P6:T6" xr:uid="{00000000-0002-0000-1000-000000000000}">
      <formula1>$Y$6:$BS$6</formula1>
    </dataValidation>
  </dataValidations>
  <pageMargins left="1.25" right="0.25" top="0.25" bottom="0" header="0.25" footer="0.25"/>
  <pageSetup scale="90" orientation="portrait" r:id="rId1"/>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12762" r:id="rId4" name="Button 26">
              <controlPr defaultSize="0" print="0" autoFill="0" autoPict="0" macro="[0]!Go_To_Main_Menu">
                <anchor moveWithCells="1" sizeWithCells="1">
                  <from>
                    <xdr:col>1</xdr:col>
                    <xdr:colOff>12700</xdr:colOff>
                    <xdr:row>0</xdr:row>
                    <xdr:rowOff>69850</xdr:rowOff>
                  </from>
                  <to>
                    <xdr:col>3</xdr:col>
                    <xdr:colOff>1028700</xdr:colOff>
                    <xdr:row>2</xdr:row>
                    <xdr:rowOff>69850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tabColor rgb="FFFFC000"/>
    <pageSetUpPr autoPageBreaks="0"/>
  </sheetPr>
  <dimension ref="B1:AP52"/>
  <sheetViews>
    <sheetView showRowColHeaders="0" showZeros="0" topLeftCell="B1" zoomScale="80" zoomScaleNormal="80" workbookViewId="0">
      <selection activeCell="B7" sqref="B7"/>
    </sheetView>
  </sheetViews>
  <sheetFormatPr defaultColWidth="9.1796875" defaultRowHeight="12.5" x14ac:dyDescent="0.25"/>
  <cols>
    <col min="1" max="1" width="2.1796875" style="264" customWidth="1"/>
    <col min="2" max="2" width="10.81640625" style="264" customWidth="1"/>
    <col min="3" max="3" width="45.81640625" style="264" customWidth="1"/>
    <col min="4" max="4" width="11.81640625" style="264" customWidth="1"/>
    <col min="5" max="5" width="11.453125" style="264" customWidth="1"/>
    <col min="6" max="6" width="19.81640625" style="264" customWidth="1"/>
    <col min="7" max="7" width="9.81640625" style="264" customWidth="1"/>
    <col min="8" max="8" width="19.81640625" style="264" customWidth="1"/>
    <col min="9" max="9" width="9.81640625" style="264" customWidth="1"/>
    <col min="10" max="10" width="19.81640625" style="264" customWidth="1"/>
    <col min="11" max="11" width="9.81640625" style="264" customWidth="1"/>
    <col min="12" max="12" width="19.81640625" style="264" customWidth="1"/>
    <col min="13" max="13" width="9.81640625" style="264" customWidth="1"/>
    <col min="14" max="14" width="19.81640625" style="264" customWidth="1"/>
    <col min="15" max="15" width="9.81640625" style="264" customWidth="1"/>
    <col min="16" max="16" width="19.81640625" style="264" customWidth="1"/>
    <col min="17" max="17" width="9.81640625" style="264" customWidth="1"/>
    <col min="18" max="18" width="19.81640625" style="264" customWidth="1"/>
    <col min="19" max="19" width="9.81640625" style="264" customWidth="1"/>
    <col min="20" max="20" width="19.81640625" style="264" customWidth="1"/>
    <col min="21" max="22" width="9.81640625" style="264" customWidth="1"/>
    <col min="23" max="23" width="12.1796875" style="264" customWidth="1"/>
    <col min="24" max="24" width="3" style="264" hidden="1" customWidth="1"/>
    <col min="25" max="25" width="37.81640625" style="1151" hidden="1" customWidth="1"/>
    <col min="26" max="26" width="12.81640625" style="1151" hidden="1" customWidth="1"/>
    <col min="27" max="27" width="14.1796875" style="1151" hidden="1" customWidth="1"/>
    <col min="28" max="28" width="19.453125" style="1151" hidden="1" customWidth="1"/>
    <col min="29" max="29" width="16.453125" style="1151" hidden="1" customWidth="1"/>
    <col min="30" max="30" width="16.81640625" style="1151" hidden="1" customWidth="1"/>
    <col min="31" max="31" width="13" style="1151" hidden="1" customWidth="1"/>
    <col min="32" max="32" width="15.453125" style="1151" hidden="1" customWidth="1"/>
    <col min="33" max="33" width="14" style="1151" customWidth="1"/>
    <col min="34" max="36" width="9.1796875" style="1151" customWidth="1"/>
    <col min="37" max="37" width="9.1796875" style="1151" bestFit="1" customWidth="1"/>
    <col min="38" max="40" width="9.1796875" style="1151"/>
    <col min="41" max="16384" width="9.1796875" style="264"/>
  </cols>
  <sheetData>
    <row r="1" spans="2:42" ht="13" thickBot="1" x14ac:dyDescent="0.3">
      <c r="AO1" s="1151"/>
    </row>
    <row r="2" spans="2:42" ht="13" x14ac:dyDescent="0.3">
      <c r="B2" s="1944"/>
      <c r="C2" s="1945"/>
      <c r="D2" s="2015"/>
      <c r="E2" s="2015"/>
      <c r="F2" s="1945"/>
      <c r="G2" s="2015"/>
      <c r="H2" s="1945"/>
      <c r="I2" s="2015"/>
      <c r="J2" s="2015"/>
      <c r="K2" s="2015"/>
      <c r="L2" s="2015"/>
      <c r="M2" s="2015"/>
      <c r="N2" s="2015"/>
      <c r="O2" s="2015"/>
      <c r="P2" s="2015"/>
      <c r="Q2" s="2015"/>
      <c r="R2" s="2015"/>
      <c r="S2" s="2015"/>
      <c r="T2" s="2015"/>
      <c r="U2" s="2015"/>
      <c r="V2" s="2015"/>
      <c r="W2" s="2016"/>
      <c r="AO2" s="1151"/>
      <c r="AP2" s="1151"/>
    </row>
    <row r="3" spans="2:42" ht="13" x14ac:dyDescent="0.3">
      <c r="B3" s="1943"/>
      <c r="C3" s="1946"/>
      <c r="D3" s="1966"/>
      <c r="E3" s="1966"/>
      <c r="F3" s="1946"/>
      <c r="G3" s="1966"/>
      <c r="H3" s="1946"/>
      <c r="I3" s="1966"/>
      <c r="J3" s="1966"/>
      <c r="K3" s="1966"/>
      <c r="L3" s="1966"/>
      <c r="M3" s="1966"/>
      <c r="N3" s="1966"/>
      <c r="O3" s="1966"/>
      <c r="P3" s="1966"/>
      <c r="Q3" s="1966"/>
      <c r="R3" s="1966"/>
      <c r="S3" s="1966"/>
      <c r="T3" s="1966"/>
      <c r="U3" s="1966"/>
      <c r="V3" s="1966"/>
      <c r="W3" s="2017"/>
      <c r="AO3" s="1151"/>
      <c r="AP3" s="1151"/>
    </row>
    <row r="4" spans="2:42" ht="13" x14ac:dyDescent="0.3">
      <c r="B4" s="1943"/>
      <c r="C4" s="1946"/>
      <c r="D4" s="1966"/>
      <c r="E4" s="1966"/>
      <c r="F4" s="1946"/>
      <c r="G4" s="1966"/>
      <c r="H4" s="1946"/>
      <c r="I4" s="1966"/>
      <c r="J4" s="1966"/>
      <c r="K4" s="1949"/>
      <c r="L4" s="1949"/>
      <c r="M4" s="1949"/>
      <c r="N4" s="1966"/>
      <c r="O4" s="1966"/>
      <c r="P4" s="1966"/>
      <c r="Q4" s="1966"/>
      <c r="R4" s="1966"/>
      <c r="S4" s="1966"/>
      <c r="T4" s="1966"/>
      <c r="U4" s="1966"/>
      <c r="V4" s="1966"/>
      <c r="W4" s="2017"/>
      <c r="AO4" s="1151"/>
      <c r="AP4" s="1151"/>
    </row>
    <row r="5" spans="2:42" ht="15" customHeight="1" x14ac:dyDescent="0.4">
      <c r="B5" s="1943"/>
      <c r="C5" s="1946"/>
      <c r="D5" s="1966"/>
      <c r="E5" s="1966"/>
      <c r="F5" s="1946"/>
      <c r="G5" s="1967"/>
      <c r="H5" s="1949"/>
      <c r="I5" s="2018" t="s">
        <v>2927</v>
      </c>
      <c r="J5" s="1967"/>
      <c r="K5" s="1949"/>
      <c r="L5" s="1949"/>
      <c r="M5" s="1949"/>
      <c r="N5" s="1965"/>
      <c r="O5" s="1965"/>
      <c r="P5" s="1967"/>
      <c r="Q5" s="1965"/>
      <c r="R5" s="2018" t="s">
        <v>2927</v>
      </c>
      <c r="S5" s="1967"/>
      <c r="T5" s="1967"/>
      <c r="U5" s="1967"/>
      <c r="V5" s="1967"/>
      <c r="W5" s="2017"/>
      <c r="Y5" s="1155"/>
      <c r="Z5" s="400"/>
      <c r="AA5" s="338"/>
      <c r="AB5" s="26"/>
      <c r="AD5" s="338"/>
      <c r="AG5" s="264"/>
      <c r="AH5" s="264"/>
      <c r="AI5" s="264"/>
      <c r="AK5" s="264"/>
      <c r="AL5" s="264"/>
      <c r="AM5" s="264"/>
      <c r="AN5" s="264"/>
    </row>
    <row r="6" spans="2:42" ht="15" customHeight="1" x14ac:dyDescent="0.3">
      <c r="B6" s="1943"/>
      <c r="C6" s="1947" t="s">
        <v>2241</v>
      </c>
      <c r="D6" s="3952"/>
      <c r="E6" s="3952"/>
      <c r="F6" s="3952"/>
      <c r="G6" s="1949"/>
      <c r="H6" s="1949"/>
      <c r="I6" s="1949"/>
      <c r="J6" s="1949"/>
      <c r="K6" s="1949"/>
      <c r="L6" s="1949"/>
      <c r="M6" s="1949"/>
      <c r="N6" s="1949"/>
      <c r="O6" s="1949"/>
      <c r="P6" s="1965"/>
      <c r="Q6" s="1965"/>
      <c r="R6" s="2019" t="s">
        <v>2905</v>
      </c>
      <c r="S6" s="1949"/>
      <c r="T6" s="1949"/>
      <c r="U6" s="1978"/>
      <c r="V6" s="1963"/>
      <c r="W6" s="1970"/>
      <c r="Y6" s="264"/>
      <c r="Z6" s="264"/>
      <c r="AA6" s="338"/>
      <c r="AB6" s="338"/>
      <c r="AD6" s="1152"/>
      <c r="AG6" s="264"/>
      <c r="AH6" s="264"/>
      <c r="AI6" s="264"/>
      <c r="AK6" s="264"/>
      <c r="AL6" s="264"/>
      <c r="AM6" s="264"/>
      <c r="AN6" s="264"/>
    </row>
    <row r="7" spans="2:42" ht="15" customHeight="1" x14ac:dyDescent="0.3">
      <c r="B7" s="1943"/>
      <c r="C7" s="1948" t="s">
        <v>3016</v>
      </c>
      <c r="D7" s="3953"/>
      <c r="E7" s="3952"/>
      <c r="F7" s="1949"/>
      <c r="G7" s="1949"/>
      <c r="H7" s="1949"/>
      <c r="I7" s="1949"/>
      <c r="J7" s="1949"/>
      <c r="K7" s="1949"/>
      <c r="L7" s="1949"/>
      <c r="M7" s="1949"/>
      <c r="N7" s="1949"/>
      <c r="O7" s="1949"/>
      <c r="P7" s="1965"/>
      <c r="Q7" s="1965"/>
      <c r="R7" s="2019"/>
      <c r="S7" s="1949"/>
      <c r="T7" s="1949"/>
      <c r="U7" s="1978"/>
      <c r="V7" s="1963"/>
      <c r="W7" s="1970"/>
      <c r="AA7" s="338"/>
      <c r="AB7" s="338"/>
      <c r="AD7" s="1152"/>
      <c r="AG7" s="264"/>
      <c r="AH7" s="264"/>
      <c r="AI7" s="264"/>
      <c r="AK7" s="264"/>
      <c r="AL7" s="264"/>
      <c r="AM7" s="264"/>
      <c r="AN7" s="264"/>
    </row>
    <row r="8" spans="2:42" ht="15" customHeight="1" x14ac:dyDescent="0.3">
      <c r="B8" s="1943"/>
      <c r="C8" s="1948"/>
      <c r="D8" s="1149"/>
      <c r="E8" s="1149"/>
      <c r="F8" s="1949"/>
      <c r="G8" s="2020" t="str">
        <f>IF(OR(LFL_Mix="",Flash_Pt_Feed=""),"No LFL or Flash Point Data Entered - Material Considered Non-Flammable",IF(AND(Flash_Pt_Feed&gt;93.3,Flash_Pt_Feed-T&gt;IF(WFeed_1=1,5,15)),"Flash Point &gt; 200 F and Operating Tempeture &gt; "&amp;IF(WFeed_1=1,5,15)&amp;" C above "&amp;IF(WFeed_1=1,"","Mixture ")&amp;"Flash Point - Material Considered Non-Flammable",""))</f>
        <v>No LFL or Flash Point Data Entered - Material Considered Non-Flammable</v>
      </c>
      <c r="H8" s="1949"/>
      <c r="I8" s="1949"/>
      <c r="J8" s="1949"/>
      <c r="K8" s="1949"/>
      <c r="L8" s="1949"/>
      <c r="M8" s="1949"/>
      <c r="N8" s="1949"/>
      <c r="O8" s="1949"/>
      <c r="P8" s="1965"/>
      <c r="Q8" s="1953" t="s">
        <v>2906</v>
      </c>
      <c r="R8" s="1982">
        <f>ROUND(Fire_Heat_Rate/Lat_Ht_atTBp,2)</f>
        <v>0</v>
      </c>
      <c r="S8" s="1955" t="s">
        <v>1069</v>
      </c>
      <c r="T8" s="1963"/>
      <c r="U8" s="1949"/>
      <c r="V8" s="1963"/>
      <c r="W8" s="1970"/>
      <c r="Y8" s="397" t="s">
        <v>2919</v>
      </c>
      <c r="Z8" s="1156" t="str">
        <f>IF(AND(G8&lt;&gt;"",Flam_In_Area&lt;Flammable_inArea_Limit),"Yes","No")</f>
        <v>Yes</v>
      </c>
      <c r="AA8" s="338"/>
      <c r="AB8" s="338"/>
      <c r="AD8" s="400"/>
      <c r="AG8" s="264"/>
      <c r="AH8" s="264"/>
      <c r="AI8" s="264"/>
      <c r="AK8" s="264"/>
      <c r="AL8" s="264"/>
      <c r="AM8" s="264"/>
      <c r="AN8" s="264"/>
    </row>
    <row r="9" spans="2:42" ht="15" customHeight="1" x14ac:dyDescent="0.3">
      <c r="B9" s="1943"/>
      <c r="C9" s="1566" t="s">
        <v>2868</v>
      </c>
      <c r="D9" s="3959">
        <f>Equipment_Tag</f>
        <v>0</v>
      </c>
      <c r="E9" s="3959"/>
      <c r="F9" s="1949"/>
      <c r="G9" s="1949"/>
      <c r="H9" s="1949"/>
      <c r="I9" s="2021" t="s">
        <v>2904</v>
      </c>
      <c r="J9" s="1978" t="str">
        <f>IF(OR(Storage="Yes",MAWP&lt;0.95),"Storage or Low Pressure Tank","Process Vessel or Equipment")</f>
        <v>Storage or Low Pressure Tank</v>
      </c>
      <c r="K9" s="1978"/>
      <c r="L9" s="1965"/>
      <c r="M9" s="1965"/>
      <c r="N9" s="1965"/>
      <c r="O9" s="1949"/>
      <c r="P9" s="1949"/>
      <c r="Q9" s="1949"/>
      <c r="R9" s="1949"/>
      <c r="S9" s="1949"/>
      <c r="T9" s="1949"/>
      <c r="U9" s="1949"/>
      <c r="V9" s="1963"/>
      <c r="W9" s="1970"/>
      <c r="Y9" s="397" t="s">
        <v>2920</v>
      </c>
      <c r="Z9" s="1157">
        <f>MAWP*Failure_Fire</f>
        <v>0</v>
      </c>
      <c r="AA9" s="1158" t="s">
        <v>1067</v>
      </c>
      <c r="AD9" s="400"/>
      <c r="AG9" s="264"/>
      <c r="AH9" s="264"/>
      <c r="AI9" s="264"/>
      <c r="AK9" s="264"/>
      <c r="AL9" s="264"/>
      <c r="AM9" s="264"/>
      <c r="AN9" s="264"/>
    </row>
    <row r="10" spans="2:42" ht="15" customHeight="1" x14ac:dyDescent="0.3">
      <c r="B10" s="1943"/>
      <c r="C10" s="1566" t="s">
        <v>2869</v>
      </c>
      <c r="D10" s="3959">
        <f>Equipment</f>
        <v>0</v>
      </c>
      <c r="E10" s="3959"/>
      <c r="F10" s="1949"/>
      <c r="G10" s="1953" t="s">
        <v>2887</v>
      </c>
      <c r="H10" s="1949" t="str">
        <f>IF(Fire_Potential="No","Contents are not Flammable and no Flammables in the Area",IF(Equipment_Elevation&gt;IF(J9&lt;&gt;"Storage or Low Pressure Tank",7.62,9.15),"vessel or equipment greater than 30 ft elevation above pool fire",IF(J9&lt;&gt;"Storage or Low Pressure Tank",IF(OR(Indirect="Yes",Drainage_Credit="Yes"),"21000 "&amp;IF(Insulation="Fireproof","( "&amp;IF(Insulation_Factor="",0.05,Insulation_Factor)&amp;" ) ( "&amp;ROUND((10.764*Sur_Area),0)&amp;" sq ft )^0.82"," ( "&amp;ROUND((10.764*Sur_Area),0)&amp;" sq ft )^0.82"),"34500 "&amp;IF(Insulation="Fireproof","( "&amp;IF(Insulation_Factor="",0.05,Insulation_Factor)&amp;" ) ( "&amp;ROUND((10.764*Sur_Area),0)&amp;" sq ft )^0.82"," ( "&amp;ROUND((10.764*Sur_Area),0)&amp;" sq ft )^0.82")),IF((10.764*Sur_Area)&lt;200,"20000 "&amp;IF(OR(Indirect="Yes",Drainage_Credit="Yes"),"( 0.5 ) ","")&amp;IF(Insulation="Fireproof","( 0.3 ) ","")&amp;"( "&amp;ROUND((10.764*Sur_Area),0)&amp;" sq ft )",IF((10.764*Sur_Area)&lt;1000,"199300 "&amp;IF(OR(Indirect="Yes",Drainage_Credit="Yes"),"( 0.5 ) ","")&amp;IF(Insulation="Fireproof","( 0.3 ) ","")&amp;"( "&amp;ROUND((10.764*Sur_Area),0)&amp;" sq ft )^0.566",IF((10.764*Sur_Area)&lt;2800,"963400 "&amp;IF(OR(Indirect="Yes",Drainage_Credit="Yes"),"( 0.5 ) ","")&amp;IF(Insulation="Fireproof","( 0.3 ) ","")&amp;"( "&amp;ROUND((10.764*Sur_Area),0)&amp;" sq ft )^0.338",IF(MAWP&gt;0.95,"21000 "&amp;IF(Insulation="Fireproof","( 0.3 ) ","")&amp;"( "&amp;ROUND((10.764*Sur_Area),0)&amp;" sq ft )^0.82","14090000 "&amp;IF(OR(Indirect="Yes",Drainage_Credit="Yes"),"( 0.5 ) ","")&amp;IF(Insulation="Fireproof","( 0.3 )",""))))))))</f>
        <v>Contents are not Flammable and no Flammables in the Area</v>
      </c>
      <c r="I10" s="1949"/>
      <c r="J10" s="1949"/>
      <c r="K10" s="1949"/>
      <c r="L10" s="1949"/>
      <c r="M10" s="1965"/>
      <c r="N10" s="1949"/>
      <c r="O10" s="1949"/>
      <c r="P10" s="2019"/>
      <c r="Q10" s="2022" t="str">
        <f>"Heat-up Times for "&amp;100*Fill_Min_Limit&amp;" % Full Vessel or Equipment = "</f>
        <v xml:space="preserve">Heat-up Times for 20 % Full Vessel or Equipment = </v>
      </c>
      <c r="R10" s="1983"/>
      <c r="S10" s="1983"/>
      <c r="T10" s="1983"/>
      <c r="U10" s="1978"/>
      <c r="V10" s="1963"/>
      <c r="W10" s="1979"/>
      <c r="Y10" s="397" t="s">
        <v>2909</v>
      </c>
      <c r="Z10" s="1153">
        <f>R12*Q14+R15*Q17</f>
        <v>0</v>
      </c>
      <c r="AA10" s="338"/>
      <c r="AB10" s="338"/>
      <c r="AC10" s="338"/>
      <c r="AD10" s="400"/>
      <c r="AG10" s="264"/>
      <c r="AH10" s="264"/>
      <c r="AI10" s="264"/>
      <c r="AK10" s="264"/>
      <c r="AL10" s="264"/>
      <c r="AM10" s="264"/>
      <c r="AN10" s="264"/>
    </row>
    <row r="11" spans="2:42" ht="15" customHeight="1" x14ac:dyDescent="0.3">
      <c r="B11" s="1943"/>
      <c r="C11" s="1566" t="s">
        <v>2886</v>
      </c>
      <c r="D11" s="1143">
        <f>Storage</f>
        <v>0</v>
      </c>
      <c r="E11" s="1972"/>
      <c r="F11" s="1949"/>
      <c r="G11" s="1973" t="s">
        <v>2888</v>
      </c>
      <c r="H11" s="1974">
        <f>IF(OR(Fire_Potential="No",Equipment_Elevation&gt;IF(J9&lt;&gt;"Storage or Low Pressure  Tank",7.62,9.15)),0,IF((10.764*Sur_Area)&gt;0,IF(J9&lt;&gt;"Storage or Low Pressure Tank",IF(OR(Indirect="Yes",Drainage_Credit="Yes"),21000*(10.764*Sur_Area)^0.82*IF(Insulation="Fireproof",IF(Insulation_Factor="",0.05,Insulation_Factor),1),34500*(10.764*Sur_Area)^0.82*IF(Insulation="Fireproof",IF(Insulation_Factor="",0.05,Insulation_Factor),1)),IF((10.764*Sur_Area)&lt;200,20000*(10.764*Sur_Area)*IF(OR(Indirect="Yes",Drainage_Credit="Yes"),0.5,1)*IF(Insulation="Fireproof",0.3,1),IF((10.764*Sur_Area)&lt;1000,199300*(10.764*Sur_Area)^0.566*IF(OR(Indirect="Yes",Drainage_Credit="Yes"),0.5,1)*IF(Insulation="Fireproof",0.3,1),IF((10.764*Sur_Area)&lt;2800,963400*(10.764*Sur_Area)^0.338*IF(OR(Indirect="Yes",Drainage_Credit="Yes"),0.5,1)*IF(Insulation="Fireproof",0.3,1),IF(MAWP&gt;1,21000*(10.764*Sur_Area)^0.82*IF(Insulation="Fireproof",0.3,1),14090000*IF(OR(Indirect="Yes",Drainage_Credit="Yes"),0.5,1)*IF(Insulation="Fireproof",0.3,1)))))),0))</f>
        <v>0</v>
      </c>
      <c r="I11" s="1975" t="s">
        <v>3013</v>
      </c>
      <c r="J11" s="1976">
        <f>IF(Fire_Potential="Yes",H11/14286,0)</f>
        <v>0</v>
      </c>
      <c r="K11" s="1977" t="s">
        <v>1498</v>
      </c>
      <c r="L11" s="1977"/>
      <c r="M11" s="1965"/>
      <c r="N11" s="1949"/>
      <c r="O11" s="1949"/>
      <c r="P11" s="1978" t="str">
        <f>"(with Heat Transfer Area = "&amp;Area_Fraction&amp;" times Maximum Wetted Area)"</f>
        <v>(with Heat Transfer Area = 0.34 times Maximum Wetted Area)</v>
      </c>
      <c r="Q11" s="1978"/>
      <c r="R11" s="1978"/>
      <c r="S11" s="1978"/>
      <c r="T11" s="1978"/>
      <c r="U11" s="1978"/>
      <c r="V11" s="1963"/>
      <c r="W11" s="1979"/>
      <c r="Y11" s="397" t="s">
        <v>3978</v>
      </c>
      <c r="Z11" s="1847">
        <f>ROUND(Fill_Min_Limit^IF(OR(Geometry="Flat Bottom",Geometry="Non-Anchored Flat Bottom"),1,IF(Geometry="Horizontal",0.5, 0.67)),2)</f>
        <v>0.34</v>
      </c>
      <c r="AA11" s="338"/>
      <c r="AB11" s="338"/>
      <c r="AC11" s="338"/>
      <c r="AD11" s="400"/>
      <c r="AG11" s="264"/>
      <c r="AH11" s="264"/>
      <c r="AI11" s="264"/>
      <c r="AK11" s="264"/>
      <c r="AL11" s="264"/>
      <c r="AM11" s="264"/>
      <c r="AN11" s="264"/>
    </row>
    <row r="12" spans="2:42" ht="15" customHeight="1" x14ac:dyDescent="0.3">
      <c r="B12" s="1943"/>
      <c r="C12" s="1566" t="s">
        <v>2870</v>
      </c>
      <c r="D12" s="1143">
        <f>Location</f>
        <v>0</v>
      </c>
      <c r="E12" s="1972"/>
      <c r="F12" s="1949"/>
      <c r="G12" s="1973"/>
      <c r="H12" s="1980" t="str">
        <f>IF(J9&lt;&gt;"Storage or Low Pressure Tank","per API 521 for "&amp;J9,"per API 2000 or NFPA 30 for "&amp;J9)</f>
        <v>per API 2000 or NFPA 30 for Storage or Low Pressure Tank</v>
      </c>
      <c r="I12" s="1949"/>
      <c r="J12" s="1949"/>
      <c r="K12" s="1949"/>
      <c r="L12" s="1949"/>
      <c r="M12" s="1965"/>
      <c r="N12" s="1949"/>
      <c r="O12" s="1949"/>
      <c r="P12" s="1949"/>
      <c r="Q12" s="1953" t="str">
        <f>"Mass of Contents at "&amp;100*Fill_Min_Limit&amp; "% Full = "</f>
        <v xml:space="preserve">Mass of Contents at 20% Full = </v>
      </c>
      <c r="R12" s="1981">
        <f>Fill_Min_Limit*Volume*Liq_rho</f>
        <v>0</v>
      </c>
      <c r="S12" s="1949" t="s">
        <v>2908</v>
      </c>
      <c r="T12" s="1982"/>
      <c r="U12" s="1983"/>
      <c r="V12" s="1963"/>
      <c r="W12" s="1970"/>
      <c r="Y12" s="1161" t="s">
        <v>2910</v>
      </c>
      <c r="Z12" s="1153">
        <f>R13*Q14+R16*Q17</f>
        <v>0</v>
      </c>
      <c r="AA12" s="1159" t="s">
        <v>2911</v>
      </c>
      <c r="AB12" s="1159" t="s">
        <v>2912</v>
      </c>
      <c r="AC12" s="1159" t="s">
        <v>2913</v>
      </c>
      <c r="AD12" s="400"/>
      <c r="AK12" s="264"/>
      <c r="AL12" s="264"/>
      <c r="AM12" s="264"/>
      <c r="AN12" s="264"/>
    </row>
    <row r="13" spans="2:42" ht="15" customHeight="1" x14ac:dyDescent="0.3">
      <c r="B13" s="1943"/>
      <c r="C13" s="1566" t="s">
        <v>2871</v>
      </c>
      <c r="D13" s="1145">
        <f>Volume/1000</f>
        <v>0</v>
      </c>
      <c r="E13" s="1984" t="s">
        <v>2230</v>
      </c>
      <c r="F13" s="1949"/>
      <c r="G13" s="1973"/>
      <c r="H13" s="1980" t="str">
        <f>IF(Fire_Potential="No","",IF(H11=0,IF(J9&lt;&gt;"Storage or Low Pressure Tank","with Elevation greater than 25 ft above Liquid Pool","with Elevation greater than 30 ft above Liquid Pool"),IF(AND(Insulation="Fireproof",OR(Indirect="Yes",Drainage_Credit="Yes")),"with Credit for Insulation and Drainage (or Indirect Fire)",IF(Insulation="Fireproof","with Credit for Insulation",IF(OR(Indirect="Yes",Drainage_Credit="Yes"),"with Credit for Drainage (or Indirect Fire)","")))))</f>
        <v/>
      </c>
      <c r="I13" s="1949"/>
      <c r="J13" s="1949"/>
      <c r="K13" s="1949"/>
      <c r="L13" s="1949"/>
      <c r="M13" s="1965"/>
      <c r="N13" s="1949"/>
      <c r="O13" s="1949"/>
      <c r="P13" s="1949"/>
      <c r="Q13" s="1985" t="s">
        <v>2896</v>
      </c>
      <c r="R13" s="1981">
        <f>0.5*(Fill_Min_Limit+Fill_Max_Limit)*Volume*Liq_rho</f>
        <v>0</v>
      </c>
      <c r="S13" s="1949" t="s">
        <v>2908</v>
      </c>
      <c r="T13" s="1982"/>
      <c r="U13" s="1983"/>
      <c r="V13" s="1963"/>
      <c r="W13" s="1970"/>
      <c r="Y13" s="397" t="s">
        <v>2914</v>
      </c>
      <c r="Z13" s="1153">
        <f>IF(R18&gt;0,Z10/(60*R18),0)</f>
        <v>0</v>
      </c>
      <c r="AA13" s="1160">
        <f>IF(D$28="",0,IF(D$28="&gt;TNR",0.001,IF(D$28&gt;D$30,0,IF(D$28&gt;D$27,(D$28-D$27)*Z13,0))))</f>
        <v>0</v>
      </c>
      <c r="AB13" s="1153">
        <f>IF(D$29&gt;D$27,(D$29-D$27)*Z13,0)</f>
        <v>0</v>
      </c>
      <c r="AC13" s="1153">
        <f>IF(D$30&gt;D$27,(D$30-D$27)*Z13,0)</f>
        <v>0</v>
      </c>
      <c r="AK13" s="264"/>
      <c r="AL13" s="264"/>
      <c r="AM13" s="264"/>
      <c r="AN13" s="264"/>
    </row>
    <row r="14" spans="2:42" ht="15" customHeight="1" x14ac:dyDescent="0.3">
      <c r="B14" s="1943"/>
      <c r="C14" s="1566" t="s">
        <v>2872</v>
      </c>
      <c r="D14" s="1143">
        <f>Mass_Equip</f>
        <v>0</v>
      </c>
      <c r="E14" s="1984" t="s">
        <v>1497</v>
      </c>
      <c r="F14" s="1949"/>
      <c r="G14" s="1986" t="s">
        <v>3060</v>
      </c>
      <c r="H14" s="1986"/>
      <c r="I14" s="1986"/>
      <c r="J14" s="1987">
        <f>IF(OR(Fire_Potential="No",Equipment_Elevation&gt;IF(J9&lt;&gt;"Storage or Low Pressure  Tank",7.62,9.15)),0,IF((10.764*Sur_Area)&gt;0,IF(J9&lt;&gt;"Storage or Low Pressure Tank",(34500/14286)*(10.764*Sur_Area)^0.82*IF(Insulation="Fireproof",IF(Insulation_Factor="",0.05,Insulation_Factor),1),IF((10.764*Sur_Area)&lt;200,(20000/14286)*(10.764*Sur_Area)*IF(Insulation="Fireproof",0.3,1),IF((10.764*Sur_Area)&lt;1000,(199300/14286)*(10.764*Sur_Area)^0.566*IF(Insulation="Fireproof",0.3,1),IF((10.764*Sur_Area)&lt;2800,(963400/14286)*(10.764*Sur_Area)^0.338*IF(Insulation="Fireproof",0.3,1),IF(MAWP&gt;1,(21000/14286)*(10.764*Sur_Area)^0.82*IF(Insulation="Fireproof",0.3,1),(14090000/14286)*IF(Insulation="Fireproof",0.3,1)))))),0))</f>
        <v>0</v>
      </c>
      <c r="K14" s="1988" t="s">
        <v>1498</v>
      </c>
      <c r="L14" s="1949"/>
      <c r="M14" s="1965"/>
      <c r="N14" s="1989"/>
      <c r="O14" s="1990"/>
      <c r="P14" s="1953" t="s">
        <v>2897</v>
      </c>
      <c r="Q14" s="1991">
        <f>(Liq_C+Liq_C_atTBp)/2</f>
        <v>0</v>
      </c>
      <c r="R14" s="1955" t="s">
        <v>2918</v>
      </c>
      <c r="S14" s="1949"/>
      <c r="T14" s="1949"/>
      <c r="U14" s="1949"/>
      <c r="V14" s="1963"/>
      <c r="W14" s="1970"/>
      <c r="Y14" s="397" t="s">
        <v>2915</v>
      </c>
      <c r="Z14" s="1153">
        <f>IF(R19&gt;0,Z12/(60*R19),0)</f>
        <v>0</v>
      </c>
      <c r="AA14" s="1160">
        <f>IF(D$28="",0,IF(D$28="&gt;TNR",0.001,IF(D$28&gt;D$30,0,IF(D$28&gt;D$27,(D$28-D$27)*Z14,0))))</f>
        <v>0</v>
      </c>
      <c r="AB14" s="1153">
        <f>IF(D$29&gt;D$27,(D$29-D$27)*Z14,0)</f>
        <v>0</v>
      </c>
      <c r="AC14" s="1153">
        <f>IF(D$30&gt;D$27,(D$30-D$27)*Z14,0)</f>
        <v>0</v>
      </c>
      <c r="AK14" s="264"/>
      <c r="AL14" s="264"/>
      <c r="AM14" s="264"/>
      <c r="AN14" s="264"/>
    </row>
    <row r="15" spans="2:42" ht="15" customHeight="1" x14ac:dyDescent="0.3">
      <c r="B15" s="1943"/>
      <c r="C15" s="1566" t="s">
        <v>2873</v>
      </c>
      <c r="D15" s="1146">
        <f>1.01325*MAWP</f>
        <v>0</v>
      </c>
      <c r="E15" s="1984" t="s">
        <v>2985</v>
      </c>
      <c r="F15" s="1949"/>
      <c r="G15" s="1952" t="s">
        <v>2907</v>
      </c>
      <c r="H15" s="1949"/>
      <c r="I15" s="1949"/>
      <c r="J15" s="1949"/>
      <c r="K15" s="1949"/>
      <c r="L15" s="1949"/>
      <c r="M15" s="1965"/>
      <c r="N15" s="1992"/>
      <c r="O15" s="1949"/>
      <c r="P15" s="1949"/>
      <c r="Q15" s="1953" t="str">
        <f>"Wetted Mass of Equipment at "&amp;100*Fill_Min_Limit&amp;" % Full = "</f>
        <v xml:space="preserve">Wetted Mass of Equipment at 20 % Full = </v>
      </c>
      <c r="R15" s="1982">
        <f>Area_Fraction*Mass_Equip</f>
        <v>0</v>
      </c>
      <c r="S15" s="1949" t="s">
        <v>2908</v>
      </c>
      <c r="T15" s="1982"/>
      <c r="U15" s="1983"/>
      <c r="V15" s="1963"/>
      <c r="W15" s="1970"/>
      <c r="Y15" s="397" t="s">
        <v>2916</v>
      </c>
      <c r="Z15" s="1153">
        <f>IF(R20&gt;0,Z10/(60*R20),0)</f>
        <v>0</v>
      </c>
      <c r="AA15" s="1160">
        <f>IF(D$28="",0,IF(D$28="&gt;TNR",0.001,IF(D$28&gt;D$30,0,IF(D$28&gt;D$27,(D$28-D$27)*Z15,0))))</f>
        <v>0</v>
      </c>
      <c r="AB15" s="1153">
        <f>IF(D$29&gt;D$27,(D$29-D$27)*Z15,0)</f>
        <v>0</v>
      </c>
      <c r="AC15" s="1153">
        <f>IF(D$30&gt;D$27,(D$30-D$27)*Z15,0)</f>
        <v>0</v>
      </c>
      <c r="AK15" s="264"/>
      <c r="AL15" s="264"/>
      <c r="AM15" s="264"/>
      <c r="AN15" s="264"/>
    </row>
    <row r="16" spans="2:42" ht="15" customHeight="1" x14ac:dyDescent="0.3">
      <c r="B16" s="1943"/>
      <c r="C16" s="1566" t="s">
        <v>3971</v>
      </c>
      <c r="D16" s="1143">
        <f>Geometry</f>
        <v>0</v>
      </c>
      <c r="E16" s="1984"/>
      <c r="F16" s="1949"/>
      <c r="G16" s="1949"/>
      <c r="H16" s="1949"/>
      <c r="I16" s="1953" t="s">
        <v>2892</v>
      </c>
      <c r="J16" s="1993">
        <f>IF(G8&lt;&gt;"",0,IF(AND(Dike_Area&gt;0,Dike_Area&lt;Pool_Coefficient*(Volume/1000)^0.667),Dike_Area,Pool_Coefficient*(Volume/1000)^0.667))</f>
        <v>0</v>
      </c>
      <c r="K16" s="1990" t="s">
        <v>2926</v>
      </c>
      <c r="L16" s="1990"/>
      <c r="M16" s="1965"/>
      <c r="N16" s="1992"/>
      <c r="O16" s="1994"/>
      <c r="P16" s="1949"/>
      <c r="Q16" s="1985" t="s">
        <v>2898</v>
      </c>
      <c r="R16" s="1982">
        <f>(0.5*(Fill_Min_Limit+Fill_Max_Limit))^IF(OR(Geometry="Flat Bottom",Geometry="Non-Anchored Flat Bottom"),1,IF(Geometry="Horizontal",0.5, 0.67))*Mass_Equip</f>
        <v>0</v>
      </c>
      <c r="S16" s="1949" t="s">
        <v>2908</v>
      </c>
      <c r="T16" s="1982"/>
      <c r="U16" s="1983"/>
      <c r="V16" s="1963"/>
      <c r="W16" s="1970"/>
      <c r="Y16" s="1163" t="s">
        <v>2917</v>
      </c>
      <c r="Z16" s="1153" t="str">
        <f>IF(I33=0,"Direct",IF(AND(I19=0,I29=0),"Indirect",IF(IF(R19*I19&gt;R18*I29,R19*I19,R18*I29)&gt;R20*I33,"Direct","Indirect")))</f>
        <v>Direct</v>
      </c>
      <c r="AA16" s="1153" t="str">
        <f>IF(OR($Z16="Indirect",Indirect="Yes"),"Indirect",IF(OR(AA14=0,AA13&lt;$I$29),"Direct","Self Leakage"))</f>
        <v>Indirect</v>
      </c>
      <c r="AB16" s="1153" t="str">
        <f>IF(OR($Z16="Indirect",Indirect="Yes"),"Indirect",IF(OR(AB14=0,AB13&lt;$I$29),"Direct","Self Leakage"))</f>
        <v>Indirect</v>
      </c>
      <c r="AC16" s="1153" t="str">
        <f>IF(OR($Z16="Indirect",Indirect="Yes"),"Indirect",IF(OR(AC14=0,AC13&lt;$I$29),"Direct","Self Leakage"))</f>
        <v>Indirect</v>
      </c>
      <c r="AK16" s="264"/>
      <c r="AL16" s="264"/>
      <c r="AM16" s="264"/>
      <c r="AN16" s="264"/>
    </row>
    <row r="17" spans="2:40" ht="15" customHeight="1" x14ac:dyDescent="0.3">
      <c r="B17" s="1943"/>
      <c r="C17" s="1566" t="s">
        <v>2874</v>
      </c>
      <c r="D17" s="1146">
        <f>Sur_Area</f>
        <v>0.01</v>
      </c>
      <c r="E17" s="1984" t="s">
        <v>2196</v>
      </c>
      <c r="F17" s="1949"/>
      <c r="G17" s="1949"/>
      <c r="H17" s="1949"/>
      <c r="I17" s="1953" t="s">
        <v>2893</v>
      </c>
      <c r="J17" s="1995">
        <f>0.0602*J16*Liq_rho</f>
        <v>0</v>
      </c>
      <c r="K17" s="1955" t="s">
        <v>1069</v>
      </c>
      <c r="L17" s="1955"/>
      <c r="M17" s="1965"/>
      <c r="N17" s="1992"/>
      <c r="O17" s="1949"/>
      <c r="P17" s="1953" t="s">
        <v>2897</v>
      </c>
      <c r="Q17" s="1991">
        <v>0.1</v>
      </c>
      <c r="R17" s="1955" t="s">
        <v>2918</v>
      </c>
      <c r="S17" s="1949"/>
      <c r="T17" s="1949"/>
      <c r="U17" s="1949"/>
      <c r="V17" s="1963"/>
      <c r="W17" s="1970"/>
      <c r="Y17" s="397" t="s">
        <v>1729</v>
      </c>
      <c r="Z17" s="1162">
        <f>IF(Z16="Indirect",I33,MAX(I19,I24,I29))</f>
        <v>0</v>
      </c>
      <c r="AA17" s="400" t="s">
        <v>262</v>
      </c>
      <c r="AK17" s="264"/>
      <c r="AL17" s="264"/>
      <c r="AM17" s="264"/>
      <c r="AN17" s="264"/>
    </row>
    <row r="18" spans="2:40" ht="15" customHeight="1" x14ac:dyDescent="0.3">
      <c r="B18" s="1943"/>
      <c r="C18" s="1566" t="s">
        <v>2875</v>
      </c>
      <c r="D18" s="1145">
        <f>Equipment_Elevation</f>
        <v>1.2</v>
      </c>
      <c r="E18" s="1984" t="s">
        <v>1068</v>
      </c>
      <c r="F18" s="1949"/>
      <c r="G18" s="1955"/>
      <c r="H18" s="1955"/>
      <c r="I18" s="1996" t="s">
        <v>829</v>
      </c>
      <c r="J18" s="1997">
        <f>IF(Flash_Pt_Feed="",0,IF(AND(Tmax&lt;Flash_Pt_Feed-FlashPt_Difference_Limit,Flash_Pt_Feed&gt;Flammable_FP_Limit),0,MAX(IF(Feed_Type="Continuous",Inventory,ContainedMass),ContainedMass)))</f>
        <v>0</v>
      </c>
      <c r="K18" s="1955" t="s">
        <v>1497</v>
      </c>
      <c r="L18" s="1955"/>
      <c r="M18" s="1965"/>
      <c r="N18" s="1992"/>
      <c r="O18" s="1949"/>
      <c r="P18" s="1949"/>
      <c r="Q18" s="1953" t="str">
        <f>"Heat Adsorption at "&amp;100*Fill_Min_Limit&amp;" % Full = "</f>
        <v xml:space="preserve">Heat Adsorption at 20 % Full = </v>
      </c>
      <c r="R18" s="1981">
        <f>IF(Indirect="Yes",0,Area_Fraction*Fire_Heat_Rate_Max)</f>
        <v>0</v>
      </c>
      <c r="S18" s="1955" t="s">
        <v>1498</v>
      </c>
      <c r="T18" s="1998"/>
      <c r="U18" s="1998"/>
      <c r="V18" s="1963"/>
      <c r="W18" s="1999"/>
      <c r="Y18" s="397" t="s">
        <v>4028</v>
      </c>
      <c r="Z18" s="2339" t="str">
        <f>IF(S27="","",IF(S27="Contents Reach Temperature of No Return at Pool Fire Duration","Yes","No"))</f>
        <v/>
      </c>
      <c r="AK18" s="264"/>
      <c r="AL18" s="264"/>
      <c r="AM18" s="264"/>
      <c r="AN18" s="264"/>
    </row>
    <row r="19" spans="2:40" ht="15" customHeight="1" x14ac:dyDescent="0.3">
      <c r="B19" s="1943"/>
      <c r="C19" s="1949"/>
      <c r="D19" s="1149"/>
      <c r="E19" s="1949"/>
      <c r="F19" s="1949"/>
      <c r="G19" s="2000"/>
      <c r="H19" s="2001" t="s">
        <v>1729</v>
      </c>
      <c r="I19" s="2002">
        <f>IF(AND(J17&gt;0,J18&gt;0),J18/(60*J17),0)</f>
        <v>0</v>
      </c>
      <c r="J19" s="2003" t="s">
        <v>262</v>
      </c>
      <c r="K19" s="2003"/>
      <c r="L19" s="2003"/>
      <c r="M19" s="1965"/>
      <c r="N19" s="1992"/>
      <c r="O19" s="1949"/>
      <c r="P19" s="1949"/>
      <c r="Q19" s="1985" t="s">
        <v>2899</v>
      </c>
      <c r="R19" s="1981">
        <f>IF(OR(G8&lt;&gt;"",Indirect="Yes"),0,(0.5*(Fill_Min+Fill_Max))^IF(OR(Geometry="Flat Bottom Non-Anchored",WeakSeam_Roof="Yes",Equipment="Vessel/Tank (flat bottom)"),1,0.6)*Fire_Heat_Rate)</f>
        <v>0</v>
      </c>
      <c r="S19" s="1955" t="s">
        <v>1498</v>
      </c>
      <c r="T19" s="1998"/>
      <c r="U19" s="1998"/>
      <c r="V19" s="1963"/>
      <c r="W19" s="1999"/>
      <c r="Y19" s="397" t="s">
        <v>4029</v>
      </c>
      <c r="Z19" s="2340" t="str">
        <f>IF(S28="","",IF(S28="Contents Reach Relief Conditions at Pool Fire Duration","Yes","No"))</f>
        <v/>
      </c>
      <c r="AK19" s="264"/>
      <c r="AL19" s="264"/>
      <c r="AM19" s="264"/>
      <c r="AN19" s="264"/>
    </row>
    <row r="20" spans="2:40" ht="15" customHeight="1" x14ac:dyDescent="0.3">
      <c r="B20" s="1943"/>
      <c r="C20" s="1566" t="s">
        <v>2876</v>
      </c>
      <c r="D20" s="1143">
        <f>Insulation</f>
        <v>0</v>
      </c>
      <c r="E20" s="1984"/>
      <c r="F20" s="1949"/>
      <c r="G20" s="2000"/>
      <c r="H20" s="2001"/>
      <c r="I20" s="2002"/>
      <c r="J20" s="2003"/>
      <c r="K20" s="2003"/>
      <c r="L20" s="2003"/>
      <c r="M20" s="1965"/>
      <c r="N20" s="1992"/>
      <c r="O20" s="1949"/>
      <c r="P20" s="1949"/>
      <c r="Q20" s="1953" t="str">
        <f>"Indurect Heat Adsorption at "&amp;100*Fill_Min_Limit&amp;" % Full = "</f>
        <v xml:space="preserve">Indurect Heat Adsorption at 20 % Full = </v>
      </c>
      <c r="R20" s="1998">
        <f>IF(Flam_Adjacent&gt;Flammable_inArea_Limit,0.5*Area_Fraction*Fire_Heat_Rate_Max,0)</f>
        <v>0</v>
      </c>
      <c r="S20" s="1955" t="s">
        <v>1498</v>
      </c>
      <c r="T20" s="1998"/>
      <c r="U20" s="1998"/>
      <c r="V20" s="1963"/>
      <c r="W20" s="1999"/>
      <c r="Y20" s="397" t="s">
        <v>4030</v>
      </c>
      <c r="Z20" s="2340" t="str">
        <f>IF(S29="","",IF(S29="Contents Reach Failure or Rupture Conditions at Pool Fire Duration","Yes","No"))</f>
        <v/>
      </c>
      <c r="AK20" s="264"/>
      <c r="AL20" s="264"/>
      <c r="AM20" s="264"/>
      <c r="AN20" s="264"/>
    </row>
    <row r="21" spans="2:40" ht="15" customHeight="1" x14ac:dyDescent="0.3">
      <c r="B21" s="1943"/>
      <c r="C21" s="1566" t="s">
        <v>2877</v>
      </c>
      <c r="D21" s="1143">
        <f>Drainage_Credit</f>
        <v>0</v>
      </c>
      <c r="E21" s="1984"/>
      <c r="F21" s="1949"/>
      <c r="G21" s="1978" t="s">
        <v>3979</v>
      </c>
      <c r="H21" s="1949"/>
      <c r="I21" s="1953"/>
      <c r="J21" s="1982"/>
      <c r="K21" s="1955"/>
      <c r="L21" s="1955"/>
      <c r="M21" s="1965"/>
      <c r="N21" s="1949"/>
      <c r="O21" s="1949"/>
      <c r="P21" s="1949"/>
      <c r="Q21" s="1949"/>
      <c r="R21" s="1949"/>
      <c r="S21" s="1949"/>
      <c r="T21" s="1998"/>
      <c r="U21" s="1998"/>
      <c r="V21" s="1963"/>
      <c r="W21" s="1999"/>
      <c r="Y21" s="1165" t="s">
        <v>2921</v>
      </c>
      <c r="Z21" s="1156" t="str">
        <f>IF(Equipment_Elevation&gt;IF(J9&lt;&gt;"Storage or Low Pressure  Tank",7.62,9.15),"Yes","No")</f>
        <v>No</v>
      </c>
      <c r="AK21" s="264"/>
      <c r="AL21" s="264"/>
      <c r="AM21" s="264"/>
      <c r="AN21" s="264"/>
    </row>
    <row r="22" spans="2:40" ht="15" customHeight="1" x14ac:dyDescent="0.3">
      <c r="B22" s="1943"/>
      <c r="C22" s="1566" t="s">
        <v>2882</v>
      </c>
      <c r="D22" s="1145">
        <f>Dike_Area</f>
        <v>0</v>
      </c>
      <c r="E22" s="1984" t="s">
        <v>2196</v>
      </c>
      <c r="F22" s="1949"/>
      <c r="G22" s="1992"/>
      <c r="H22" s="1565"/>
      <c r="I22" s="2004" t="s">
        <v>3974</v>
      </c>
      <c r="J22" s="1983">
        <f>Flam_In_Area</f>
        <v>0</v>
      </c>
      <c r="K22" s="1955" t="s">
        <v>1497</v>
      </c>
      <c r="L22" s="1949"/>
      <c r="M22" s="1965"/>
      <c r="N22" s="1949"/>
      <c r="O22" s="1949"/>
      <c r="P22" s="1949"/>
      <c r="Q22" s="1949"/>
      <c r="R22" s="2005" t="s">
        <v>2900</v>
      </c>
      <c r="S22" s="1998"/>
      <c r="T22" s="2006" t="s">
        <v>2902</v>
      </c>
      <c r="U22" s="1949"/>
      <c r="V22" s="1963"/>
      <c r="W22" s="1970"/>
      <c r="Y22" s="2341" t="s">
        <v>4582</v>
      </c>
      <c r="Z22" s="2343">
        <f>D27+IF(Z13=0,0,MAX(I24,I29)/Z13)</f>
        <v>0</v>
      </c>
      <c r="AK22" s="264"/>
      <c r="AL22" s="264"/>
      <c r="AM22" s="264"/>
      <c r="AN22" s="264"/>
    </row>
    <row r="23" spans="2:40" ht="15" customHeight="1" x14ac:dyDescent="0.3">
      <c r="B23" s="1943"/>
      <c r="C23" s="1950" t="s">
        <v>2883</v>
      </c>
      <c r="D23" s="1145">
        <f>Adjacent_Dike</f>
        <v>0</v>
      </c>
      <c r="E23" s="1984" t="s">
        <v>2196</v>
      </c>
      <c r="F23" s="1949"/>
      <c r="G23" s="1992"/>
      <c r="H23" s="1992"/>
      <c r="I23" s="1953" t="s">
        <v>2893</v>
      </c>
      <c r="J23" s="1995">
        <f>0.0602*J16*IF(Density_Other="",0.8,Density_Other)</f>
        <v>0</v>
      </c>
      <c r="K23" s="1955" t="s">
        <v>1069</v>
      </c>
      <c r="L23" s="1955"/>
      <c r="M23" s="1965"/>
      <c r="N23" s="1954"/>
      <c r="O23" s="1955"/>
      <c r="P23" s="1949"/>
      <c r="Q23" s="2007" t="s">
        <v>2901</v>
      </c>
      <c r="R23" s="2008" t="str">
        <f>IF(OR(D28="",AND(R18=0,R19=0,R20=0),AND(AA13=0,AA14=0,AA15=0)),"",IF(AA16="Indirect",AA15,IF(AA16="Direct",AA13,AA14)))</f>
        <v/>
      </c>
      <c r="S23" s="1997" t="s">
        <v>262</v>
      </c>
      <c r="T23" s="2009" t="str">
        <f>AA16</f>
        <v>Indirect</v>
      </c>
      <c r="U23" s="1949"/>
      <c r="V23" s="1963"/>
      <c r="W23" s="1970"/>
      <c r="Y23" s="2341" t="s">
        <v>4583</v>
      </c>
      <c r="Z23" s="2343">
        <f>D27+IF(Z14=0,0,I19/Z14)</f>
        <v>0</v>
      </c>
      <c r="AK23" s="264"/>
      <c r="AL23" s="264"/>
      <c r="AM23" s="264"/>
      <c r="AN23" s="264"/>
    </row>
    <row r="24" spans="2:40" ht="15" customHeight="1" x14ac:dyDescent="0.3">
      <c r="B24" s="1943"/>
      <c r="C24" s="1950" t="s">
        <v>2884</v>
      </c>
      <c r="D24" s="1147">
        <f>Flam_In_Area</f>
        <v>0</v>
      </c>
      <c r="E24" s="1984" t="s">
        <v>2822</v>
      </c>
      <c r="F24" s="1949"/>
      <c r="G24" s="1992"/>
      <c r="H24" s="2001" t="s">
        <v>1729</v>
      </c>
      <c r="I24" s="2002">
        <f>IF(AND(J22&gt;0,J23&gt;0),J22/(60*J23),0)</f>
        <v>0</v>
      </c>
      <c r="J24" s="2003" t="s">
        <v>262</v>
      </c>
      <c r="K24" s="1992"/>
      <c r="L24" s="1955"/>
      <c r="M24" s="1965"/>
      <c r="N24" s="1992"/>
      <c r="O24" s="1949"/>
      <c r="P24" s="1949"/>
      <c r="Q24" s="2007" t="s">
        <v>3420</v>
      </c>
      <c r="R24" s="2008" t="str">
        <f>IF(AND(R18=0,R19=0,R20=0),"",IF(AB16="Indirect",AB15,IF(AB16="Direct",AB13,AB14)))</f>
        <v/>
      </c>
      <c r="S24" s="1997" t="s">
        <v>262</v>
      </c>
      <c r="T24" s="2009" t="str">
        <f>AB16</f>
        <v>Indirect</v>
      </c>
      <c r="U24" s="2008"/>
      <c r="V24" s="1963"/>
      <c r="W24" s="1970"/>
      <c r="Y24" s="2341" t="s">
        <v>4584</v>
      </c>
      <c r="Z24" s="2343">
        <f>D27+IF(Z15=0,0,I33/Z15)</f>
        <v>0</v>
      </c>
      <c r="AK24" s="264"/>
      <c r="AL24" s="264"/>
      <c r="AM24" s="264"/>
      <c r="AN24" s="264"/>
    </row>
    <row r="25" spans="2:40" ht="15" customHeight="1" x14ac:dyDescent="0.3">
      <c r="B25" s="1943"/>
      <c r="C25" s="1950" t="s">
        <v>2885</v>
      </c>
      <c r="D25" s="1147">
        <f>Flam_Adjacent</f>
        <v>0</v>
      </c>
      <c r="E25" s="1984" t="s">
        <v>2822</v>
      </c>
      <c r="F25" s="1949"/>
      <c r="G25" s="1992"/>
      <c r="H25" s="1992"/>
      <c r="I25" s="1992"/>
      <c r="J25" s="1992"/>
      <c r="K25" s="1992"/>
      <c r="L25" s="1962"/>
      <c r="M25" s="1965"/>
      <c r="N25" s="2010"/>
      <c r="O25" s="2011"/>
      <c r="P25" s="1949"/>
      <c r="Q25" s="2007" t="s">
        <v>3421</v>
      </c>
      <c r="R25" s="2008" t="str">
        <f>IF(AND(R18=0,R19=0,R20=0),"",IF(AC16="Indirect",AC15,IF(AC16="Direct",AC13,AC14)))</f>
        <v/>
      </c>
      <c r="S25" s="1997" t="s">
        <v>262</v>
      </c>
      <c r="T25" s="2009" t="str">
        <f>AC16</f>
        <v>Indirect</v>
      </c>
      <c r="U25" s="2008"/>
      <c r="V25" s="1963"/>
      <c r="W25" s="1970"/>
      <c r="Y25" s="2342" t="s">
        <v>4585</v>
      </c>
      <c r="Z25" s="2343">
        <f>MAX(Z22:Z24)</f>
        <v>0</v>
      </c>
      <c r="AK25" s="264"/>
      <c r="AL25" s="264"/>
      <c r="AM25" s="264"/>
      <c r="AN25" s="264"/>
    </row>
    <row r="26" spans="2:40" ht="15" customHeight="1" x14ac:dyDescent="0.3">
      <c r="B26" s="1943"/>
      <c r="C26" s="1949"/>
      <c r="D26" s="1149"/>
      <c r="E26" s="1949"/>
      <c r="F26" s="1949"/>
      <c r="G26" s="1952" t="s">
        <v>2889</v>
      </c>
      <c r="H26" s="1949"/>
      <c r="I26" s="1949"/>
      <c r="J26" s="1949"/>
      <c r="K26" s="1949"/>
      <c r="L26" s="2011"/>
      <c r="M26" s="1965"/>
      <c r="N26" s="1949"/>
      <c r="O26" s="1949"/>
      <c r="P26" s="1949"/>
      <c r="Q26" s="1949"/>
      <c r="R26" s="1949"/>
      <c r="S26" s="1949"/>
      <c r="T26" s="1949"/>
      <c r="U26" s="2008"/>
      <c r="V26" s="1963"/>
      <c r="W26" s="1970"/>
      <c r="AJ26" s="264"/>
      <c r="AK26" s="264"/>
      <c r="AL26" s="264"/>
      <c r="AM26" s="264"/>
      <c r="AN26" s="264"/>
    </row>
    <row r="27" spans="2:40" ht="15" customHeight="1" x14ac:dyDescent="0.3">
      <c r="B27" s="1943"/>
      <c r="C27" s="1566" t="s">
        <v>2878</v>
      </c>
      <c r="D27" s="1145">
        <f>T</f>
        <v>0</v>
      </c>
      <c r="E27" s="1984" t="s">
        <v>1836</v>
      </c>
      <c r="F27" s="1949"/>
      <c r="G27" s="1949"/>
      <c r="H27" s="1949"/>
      <c r="I27" s="1953" t="s">
        <v>2894</v>
      </c>
      <c r="J27" s="2012">
        <f>IF(OR(H11=0,AND(Flash_Pt_Feed="",Flam_In_Area&lt;Flammable_inArea_Limit)),0,IF(Flash_Pt_Feed="",Flam_In_Area,IF(AND(AND(Tmax&lt;Flash_Pt_Feed-FlashPt_Difference_Limit,Flash_Pt_Feed&gt;Flammable_FP_Limit)),Flam_In_Area,IF(Flam_In_Area&gt;MAX(IF(Feed_Type="Continuous",Inventory,ContainedMass),ContainedMass),Flam_In_Area,MAX(IF(Feed_Type="Continuous",Inventory,ContainedMass),ContainedMass)))))</f>
        <v>0</v>
      </c>
      <c r="K27" s="1955" t="s">
        <v>1497</v>
      </c>
      <c r="L27" s="1949"/>
      <c r="M27" s="1965"/>
      <c r="N27" s="1954">
        <v>0</v>
      </c>
      <c r="O27" s="1955"/>
      <c r="P27" s="1949"/>
      <c r="Q27" s="1949"/>
      <c r="R27" s="1949"/>
      <c r="S27" s="1971" t="str">
        <f>IF(R23="","",IF(Z16="Direct",IF(AND(R23&gt;MAX(I19,I24),R23&gt;I29),"Contents Do Not Reach Temperature of No Return at Pool Fire Duration","Contents Reach Temperature of No Return at Pool Fire Duration"),IF(I33="","",IF(R23&gt;I33,"Contents Do Not Reach Temperature of No Return at Pool Fire Duration","Contents Reach Temperature of No Return at Pool Fire Duration"))))</f>
        <v/>
      </c>
      <c r="T27" s="1949"/>
      <c r="U27" s="1949"/>
      <c r="V27" s="1963"/>
      <c r="W27" s="1970"/>
    </row>
    <row r="28" spans="2:40" ht="15" customHeight="1" x14ac:dyDescent="0.3">
      <c r="B28" s="1943"/>
      <c r="C28" s="1566" t="s">
        <v>2879</v>
      </c>
      <c r="D28" s="1145" t="str">
        <f>IF(ABS(DHR)&gt;1,TNR,"")</f>
        <v/>
      </c>
      <c r="E28" s="1984" t="s">
        <v>1836</v>
      </c>
      <c r="F28" s="1949"/>
      <c r="G28" s="1949"/>
      <c r="H28" s="1949"/>
      <c r="I28" s="1953" t="s">
        <v>2895</v>
      </c>
      <c r="J28" s="1954">
        <f>IF(Dike_Area&gt;0,Flam_Inventory/(Dike_Area*Liq_rho*1000),0)</f>
        <v>0</v>
      </c>
      <c r="K28" s="1955" t="s">
        <v>1068</v>
      </c>
      <c r="L28" s="1955"/>
      <c r="M28" s="1965"/>
      <c r="N28" s="1992"/>
      <c r="O28" s="1949"/>
      <c r="P28" s="1949"/>
      <c r="Q28" s="1949"/>
      <c r="R28" s="1949"/>
      <c r="S28" s="1971" t="str">
        <f>IF(Z16="Direct",IF(R24="","",IF(AND(R24&gt;MAX(I19,I24),R24&gt;I29),"Contents Do Not Reach Relief Conditions at Pool Fire Duration","Contents Reach Relief Conditions at Pool Fire Duration")),IF(I33="","",IF(R24&gt;I33,"Contents Do Not Reach Relief Conditions at Pool Fire Duration","Contents Reach Relief Conditions at Pool Fire Duration")))</f>
        <v/>
      </c>
      <c r="T28" s="1949"/>
      <c r="U28" s="1949"/>
      <c r="V28" s="1963"/>
      <c r="W28" s="1970"/>
    </row>
    <row r="29" spans="2:40" ht="15" customHeight="1" x14ac:dyDescent="0.4">
      <c r="B29" s="1943"/>
      <c r="C29" s="1566" t="s">
        <v>2880</v>
      </c>
      <c r="D29" s="1145">
        <f>T_atRelief</f>
        <v>0</v>
      </c>
      <c r="E29" s="1984" t="s">
        <v>1836</v>
      </c>
      <c r="F29" s="1949"/>
      <c r="G29" s="1949"/>
      <c r="H29" s="1960" t="s">
        <v>2890</v>
      </c>
      <c r="I29" s="1961">
        <f>IF(J28&gt;0,J28/0.00362,0)</f>
        <v>0</v>
      </c>
      <c r="J29" s="1962" t="s">
        <v>262</v>
      </c>
      <c r="K29" s="1962"/>
      <c r="L29" s="1962"/>
      <c r="M29" s="1965"/>
      <c r="N29" s="1965"/>
      <c r="O29" s="1966"/>
      <c r="P29" s="1967"/>
      <c r="Q29" s="1949"/>
      <c r="R29" s="1949"/>
      <c r="S29" s="1971" t="str">
        <f>IF(Z16="Direct",IF(R25="","",IF(AND(R25&gt;MAX(I19,I24),R25&gt;I29),"Contents Do Not Reach Failure or Rupture Conditions at Pool Fire Duration","Contents Reach Failure or Rupture Conditions at Pool Fire Duration")),IF(I33="","",IF(R25&gt;I33,"Contents Do Not Reach Failure or Rupture Conditions at Pool Fire Duration","Contents Reach Failure or Rupture Conditions at Pool Fire Duration")))</f>
        <v/>
      </c>
      <c r="T29" s="1949"/>
      <c r="U29" s="1949"/>
      <c r="V29" s="1963"/>
      <c r="W29" s="1970"/>
    </row>
    <row r="30" spans="2:40" ht="15" customHeight="1" x14ac:dyDescent="0.4">
      <c r="B30" s="1943"/>
      <c r="C30" s="1566" t="s">
        <v>2881</v>
      </c>
      <c r="D30" s="1148">
        <f>T_atBurst</f>
        <v>0</v>
      </c>
      <c r="E30" s="1984" t="s">
        <v>1836</v>
      </c>
      <c r="F30" s="1949"/>
      <c r="G30" s="1949"/>
      <c r="H30" s="1949"/>
      <c r="I30" s="2013"/>
      <c r="J30" s="2014"/>
      <c r="K30" s="2011"/>
      <c r="L30" s="1962"/>
      <c r="M30" s="1965"/>
      <c r="N30" s="1965"/>
      <c r="O30" s="1966"/>
      <c r="P30" s="1967"/>
      <c r="Q30" s="1949"/>
      <c r="R30" s="1949"/>
      <c r="S30" s="1971"/>
      <c r="T30" s="1949"/>
      <c r="U30" s="1949"/>
      <c r="V30" s="1963"/>
      <c r="W30" s="1970"/>
    </row>
    <row r="31" spans="2:40" ht="15" customHeight="1" x14ac:dyDescent="0.3">
      <c r="B31" s="1943"/>
      <c r="C31" s="3960" t="str">
        <f>IF(AND(MAWP&lt;0.95,Geometry="Flat Bottom Non-Anchored"),"Based on Catastrophic Failure at 1.1*MAWP",IF(MAWP&lt;0.95,"Based on Catastrophic Failure at 1.5*MAWP","Based on Catastrophic Failure at 2*MAWP"))</f>
        <v>Based on Catastrophic Failure at 1.5*MAWP</v>
      </c>
      <c r="D31" s="3960"/>
      <c r="E31" s="3961"/>
      <c r="F31" s="1949"/>
      <c r="G31" s="1952" t="s">
        <v>2891</v>
      </c>
      <c r="H31" s="1949"/>
      <c r="I31" s="1949"/>
      <c r="J31" s="1949"/>
      <c r="K31" s="1949"/>
      <c r="L31" s="2023"/>
      <c r="M31" s="2024"/>
      <c r="N31" s="3954" t="str">
        <f>"Estimated Pool Fire Thermal Radiation Distances based on dike surface area of "&amp;ROUND(Dike_Area,1)&amp;" m2, typical burning rate of 0.05 kg/m2 s, 42000 kJ/kg heat of combustion and 0.35 fraction of combustion energy radiated."</f>
        <v>Estimated Pool Fire Thermal Radiation Distances based on dike surface area of 0 m2, typical burning rate of 0.05 kg/m2 s, 42000 kJ/kg heat of combustion and 0.35 fraction of combustion energy radiated.</v>
      </c>
      <c r="O31" s="3609"/>
      <c r="P31" s="3609"/>
      <c r="Q31" s="3609"/>
      <c r="R31" s="3957" t="s">
        <v>3075</v>
      </c>
      <c r="S31" s="1243">
        <v>4</v>
      </c>
      <c r="T31" s="1949"/>
      <c r="U31" s="1244" t="str">
        <f>IF(OR(S31="",Dike_Area=0),"",(58.5*Dike_Area/S31)^0.5-0.56*Dike_Area^0.5)</f>
        <v/>
      </c>
      <c r="V31" s="3955" t="s">
        <v>3076</v>
      </c>
      <c r="W31" s="1970"/>
      <c r="Y31" s="264"/>
      <c r="Z31" s="264"/>
      <c r="AA31" s="264"/>
    </row>
    <row r="32" spans="2:40" ht="15" customHeight="1" x14ac:dyDescent="0.3">
      <c r="B32" s="1943"/>
      <c r="C32" s="1951" t="str">
        <f>IF(CT_Void_Fraction&gt;0.1,"Potential for Two-Phase Release.  Churn-Turbulent Void Fraction of "&amp;ROUND(CT_Void_Fraction,2),"")</f>
        <v/>
      </c>
      <c r="D32" s="1951"/>
      <c r="E32" s="1949"/>
      <c r="F32" s="1949"/>
      <c r="G32" s="1949"/>
      <c r="H32" s="1949"/>
      <c r="I32" s="1953" t="s">
        <v>2895</v>
      </c>
      <c r="J32" s="1954">
        <f>IF(AND(Flam_Adjacent&gt;0,Adjacent_Dike&gt;0),Flam_Adjacent/(Adjacent_Dike*800),0)</f>
        <v>0</v>
      </c>
      <c r="K32" s="1955" t="s">
        <v>1068</v>
      </c>
      <c r="L32" s="2024"/>
      <c r="M32" s="2024"/>
      <c r="N32" s="3609"/>
      <c r="O32" s="3609"/>
      <c r="P32" s="3609"/>
      <c r="Q32" s="3609"/>
      <c r="R32" s="3958"/>
      <c r="S32" s="1243">
        <v>12.5</v>
      </c>
      <c r="T32" s="1949"/>
      <c r="U32" s="1244" t="str">
        <f>IF(OR(S32="",Dike_Area=0),"",(58.5*Dike_Area/S32)^0.5-0.56*Dike_Area^0.5)</f>
        <v/>
      </c>
      <c r="V32" s="3956"/>
      <c r="W32" s="1970"/>
      <c r="Y32" s="264"/>
      <c r="Z32" s="264"/>
      <c r="AA32" s="264"/>
    </row>
    <row r="33" spans="2:40" ht="15" customHeight="1" x14ac:dyDescent="0.3">
      <c r="B33" s="1943"/>
      <c r="C33" s="1956" t="s">
        <v>3975</v>
      </c>
      <c r="D33" s="1957"/>
      <c r="E33" s="1958" t="s">
        <v>3976</v>
      </c>
      <c r="F33" s="1949"/>
      <c r="G33" s="1959"/>
      <c r="H33" s="1960" t="s">
        <v>2890</v>
      </c>
      <c r="I33" s="1961">
        <f>IF(J32&lt;&gt;"",J32/0.00362,0)</f>
        <v>0</v>
      </c>
      <c r="J33" s="1962" t="s">
        <v>262</v>
      </c>
      <c r="K33" s="1962"/>
      <c r="L33" s="2024"/>
      <c r="M33" s="2024"/>
      <c r="N33" s="3609"/>
      <c r="O33" s="3609"/>
      <c r="P33" s="3609"/>
      <c r="Q33" s="3609"/>
      <c r="R33" s="3958"/>
      <c r="S33" s="1243">
        <v>37.5</v>
      </c>
      <c r="T33" s="1949"/>
      <c r="U33" s="1244" t="str">
        <f>IF(OR(S33="",Dike_Area=0),"",(58.5*Dike_Area/S33)^0.5-0.56*Dike_Area^0.5)</f>
        <v/>
      </c>
      <c r="V33" s="3956"/>
      <c r="W33" s="1970"/>
      <c r="Y33" s="264"/>
      <c r="Z33" s="264"/>
      <c r="AA33" s="264"/>
    </row>
    <row r="34" spans="2:40" ht="15" customHeight="1" x14ac:dyDescent="0.3">
      <c r="B34" s="1943"/>
      <c r="C34" s="1951"/>
      <c r="D34" s="1951"/>
      <c r="E34" s="1949"/>
      <c r="F34" s="1949"/>
      <c r="G34" s="1959"/>
      <c r="H34" s="1960"/>
      <c r="I34" s="1961"/>
      <c r="J34" s="1962"/>
      <c r="K34" s="1962"/>
      <c r="L34" s="1963"/>
      <c r="M34" s="1963"/>
      <c r="N34" s="3609"/>
      <c r="O34" s="3609"/>
      <c r="P34" s="3609"/>
      <c r="Q34" s="3609"/>
      <c r="R34" s="1964"/>
      <c r="S34" s="1963"/>
      <c r="T34" s="1949"/>
      <c r="U34" s="1963"/>
      <c r="V34" s="1964"/>
      <c r="W34" s="1970"/>
      <c r="Y34" s="264"/>
      <c r="Z34" s="264"/>
      <c r="AA34" s="264"/>
    </row>
    <row r="35" spans="2:40" ht="15" customHeight="1" x14ac:dyDescent="0.4">
      <c r="B35" s="1943"/>
      <c r="C35" s="1951"/>
      <c r="D35" s="1951"/>
      <c r="E35" s="1949"/>
      <c r="F35" s="1949"/>
      <c r="G35" s="1959"/>
      <c r="H35" s="1960"/>
      <c r="I35" s="1961"/>
      <c r="J35" s="1962"/>
      <c r="K35" s="1962"/>
      <c r="L35" s="1962"/>
      <c r="M35" s="1965"/>
      <c r="N35" s="1965"/>
      <c r="O35" s="1966"/>
      <c r="P35" s="1967"/>
      <c r="Q35" s="1949"/>
      <c r="R35" s="1949"/>
      <c r="S35" s="1971"/>
      <c r="T35" s="1949"/>
      <c r="U35" s="1949"/>
      <c r="V35" s="1963"/>
      <c r="W35" s="1970"/>
    </row>
    <row r="36" spans="2:40" ht="25" customHeight="1" x14ac:dyDescent="0.4">
      <c r="B36" s="1943"/>
      <c r="C36" s="1951"/>
      <c r="D36" s="1968"/>
      <c r="E36" s="1949"/>
      <c r="F36" s="1969" t="s">
        <v>3021</v>
      </c>
      <c r="G36" s="1949"/>
      <c r="H36" s="1949"/>
      <c r="I36" s="1949"/>
      <c r="J36" s="1949"/>
      <c r="K36" s="1949"/>
      <c r="L36" s="1949"/>
      <c r="M36" s="1949"/>
      <c r="N36" s="1965"/>
      <c r="O36" s="1949"/>
      <c r="P36" s="1949"/>
      <c r="Q36" s="1969" t="s">
        <v>3021</v>
      </c>
      <c r="R36" s="1963"/>
      <c r="S36" s="1971"/>
      <c r="T36" s="1949"/>
      <c r="U36" s="1949"/>
      <c r="V36" s="1963"/>
      <c r="W36" s="1970"/>
    </row>
    <row r="37" spans="2:40" ht="70" customHeight="1" x14ac:dyDescent="0.25">
      <c r="B37" s="1848" t="s">
        <v>37</v>
      </c>
      <c r="C37" s="1848" t="s">
        <v>38</v>
      </c>
      <c r="D37" s="1848" t="s">
        <v>310</v>
      </c>
      <c r="E37" s="1848" t="s">
        <v>4093</v>
      </c>
      <c r="F37" s="1848" t="s">
        <v>4094</v>
      </c>
      <c r="G37" s="1848" t="s">
        <v>4095</v>
      </c>
      <c r="H37" s="1848" t="s">
        <v>4096</v>
      </c>
      <c r="I37" s="1848" t="s">
        <v>4097</v>
      </c>
      <c r="J37" s="1848" t="s">
        <v>4098</v>
      </c>
      <c r="K37" s="1848" t="s">
        <v>4099</v>
      </c>
      <c r="L37" s="1848" t="s">
        <v>4100</v>
      </c>
      <c r="M37" s="1848" t="s">
        <v>4101</v>
      </c>
      <c r="N37" s="1848" t="s">
        <v>4102</v>
      </c>
      <c r="O37" s="1848" t="s">
        <v>4103</v>
      </c>
      <c r="P37" s="1848" t="s">
        <v>4105</v>
      </c>
      <c r="Q37" s="1848" t="s">
        <v>4104</v>
      </c>
      <c r="R37" s="1848" t="s">
        <v>4107</v>
      </c>
      <c r="S37" s="1848" t="s">
        <v>4106</v>
      </c>
      <c r="T37" s="1848" t="s">
        <v>4109</v>
      </c>
      <c r="U37" s="1848" t="s">
        <v>4108</v>
      </c>
      <c r="V37" s="1848" t="s">
        <v>39</v>
      </c>
      <c r="W37" s="1849" t="s">
        <v>40</v>
      </c>
      <c r="Y37" s="1848" t="s">
        <v>1084</v>
      </c>
      <c r="Z37" s="1848" t="s">
        <v>151</v>
      </c>
      <c r="AA37" s="1848" t="s">
        <v>152</v>
      </c>
      <c r="AB37" s="1848" t="s">
        <v>4745</v>
      </c>
      <c r="AC37" s="1848" t="s">
        <v>1019</v>
      </c>
      <c r="AD37" s="1848" t="s">
        <v>4092</v>
      </c>
      <c r="AE37" s="1848" t="s">
        <v>1799</v>
      </c>
      <c r="AF37" s="1848" t="s">
        <v>308</v>
      </c>
    </row>
    <row r="38" spans="2:40" ht="70" customHeight="1" x14ac:dyDescent="0.25">
      <c r="B38" s="332"/>
      <c r="C38" s="334" t="str">
        <f>IF(B38="","",Z38&amp;", "&amp;Y38&amp;", is involved in a "&amp;AA38&amp;IF(ISNUMBER(SEARCH("Rupture",AB38))," with Equipment Rupture","")&amp;" scenario caused by "&amp;AC38&amp;" resulting in a "&amp;AD38&amp;" release of "&amp;AE38&amp;" with "&amp;AF38&amp;IF(AF38="Toxic Infiltration"," to an Occupied Building",""))</f>
        <v/>
      </c>
      <c r="D38" s="1598" t="str">
        <f ca="1">IF($B38="","",VLOOKUP($B38,INDIRECT("'Scenario Results'!$A$3:$hn$5000"),MATCH(D$37,'Scenario Results'!$A$2:$HN$2,0),FALSE))</f>
        <v/>
      </c>
      <c r="E38" s="1598" t="str">
        <f ca="1">IF($B38="","",IF(VLOOKUP($B38,INDIRECT("'Scenario Results'!$A$3:$hn$5000"),MATCH(E$37,'Scenario Results'!$A$2:$HN$2,0),FALSE)="",0,VLOOKUP($B38,INDIRECT("'Scenario Results'!$A$3:$hn$5000"),MATCH(E$37,'Scenario Results'!$A$2:$HN$2,0),FALSE)))</f>
        <v/>
      </c>
      <c r="F38" s="1599" t="str">
        <f ca="1">IF($B38="","",VLOOKUP($B38,INDIRECT("'Scenario Results'!$A$3:$hn$5000"),MATCH(F$37,'Scenario Results'!$A$2:$HN$2,0),FALSE))</f>
        <v/>
      </c>
      <c r="G38" s="1598" t="str">
        <f ca="1">IF($B38="","",VLOOKUP($B38,INDIRECT("'Scenario Results'!$A$3:$hn$5000"),MATCH(G$37,'Scenario Results'!$A$2:$HN$2,0),FALSE))</f>
        <v/>
      </c>
      <c r="H38" s="1599" t="str">
        <f ca="1">IF($B38="","",VLOOKUP($B38,INDIRECT("'Scenario Results'!$A$3:$hn$5000"),MATCH(H$37,'Scenario Results'!$A$2:$HN$2,0),FALSE))</f>
        <v/>
      </c>
      <c r="I38" s="1598" t="str">
        <f ca="1">IF($B38="","",VLOOKUP($B38,INDIRECT("'Scenario Results'!$A$3:$hn$5000"),MATCH(I$37,'Scenario Results'!$A$2:$HN$2,0),FALSE))</f>
        <v/>
      </c>
      <c r="J38" s="1599" t="str">
        <f ca="1">IF($B38="","",VLOOKUP($B38,INDIRECT("'Scenario Results'!$A$3:$hn$5000"),MATCH(J$37,'Scenario Results'!$A$2:$HN$2,0),FALSE))</f>
        <v/>
      </c>
      <c r="K38" s="1598" t="str">
        <f ca="1">IF($B38="","",VLOOKUP($B38,INDIRECT("'Scenario Results'!$A$3:$hn$5000"),MATCH(K$37,'Scenario Results'!$A$2:$HN$2,0),FALSE))</f>
        <v/>
      </c>
      <c r="L38" s="1599" t="str">
        <f ca="1">IF($B38="","",VLOOKUP($B38,INDIRECT("'Scenario Results'!$A$3:$hn$5000"),MATCH(L$37,'Scenario Results'!$A$2:$HN$2,0),FALSE))</f>
        <v/>
      </c>
      <c r="M38" s="1598" t="str">
        <f ca="1">IF($B38="","",VLOOKUP($B38,INDIRECT("'Scenario Results'!$A$3:$hn$5000"),MATCH(M$37,'Scenario Results'!$A$2:$HN$2,0),FALSE))</f>
        <v/>
      </c>
      <c r="N38" s="1599" t="str">
        <f ca="1">IF($B38="","",VLOOKUP($B38,INDIRECT("'Scenario Results'!$A$3:$hn$5000"),MATCH(N$37,'Scenario Results'!$A$2:$HN$2,0),FALSE))</f>
        <v/>
      </c>
      <c r="O38" s="1598" t="str">
        <f ca="1">IF($B38="","",VLOOKUP($B38,INDIRECT("'Scenario Results'!$A$3:$hn$5000"),MATCH(O$37,'Scenario Results'!$A$2:$HN$2,0),FALSE))</f>
        <v/>
      </c>
      <c r="P38" s="1599" t="str">
        <f ca="1">IF($B38="","",VLOOKUP($B38,INDIRECT("'Scenario Results'!$A$3:$hn$5000"),MATCH(P$37,'Scenario Results'!$A$2:$HN$2,0),FALSE))</f>
        <v/>
      </c>
      <c r="Q38" s="1598" t="str">
        <f ca="1">IF($B38="","",IF(VLOOKUP($B38,INDIRECT("'Scenario Results'!$A$3:$hn$5000"),MATCH(Q$37,'Scenario Results'!$A$2:$HN$2,0),FALSE)="Mitigation System (Deluge, Foam, etc.) that results in ten-fold reduction in the consequence",0,VLOOKUP($B38,INDIRECT("'Scenario Results'!$A$3:$hn$5000"),MATCH(Q$37,'Scenario Results'!$A$2:$HN$2,0),FALSE)))</f>
        <v/>
      </c>
      <c r="R38" s="1599" t="str">
        <f ca="1">IF($B38="","",VLOOKUP($B38,INDIRECT("'Scenario Results'!$A$3:$hn$5000"),MATCH(R$37,'Scenario Results'!$A$2:$HN$2,0),FALSE))</f>
        <v/>
      </c>
      <c r="S38" s="1598" t="str">
        <f ca="1">IF($B38="","",IF(VLOOKUP($B38,INDIRECT("'Scenario Results'!$A$3:$hn$5000"),MATCH(S$37,'Scenario Results'!$A$2:$HN$2,0),FALSE)="Mitigation System (Deluge, Foam, etc.) that results in ten-fold reduction in the consequence",0,VLOOKUP($B38,INDIRECT("'Scenario Results'!$A$3:$hn$5000"),MATCH(S$37,'Scenario Results'!$A$2:$HN$2,0),FALSE)))</f>
        <v/>
      </c>
      <c r="T38" s="1599" t="str">
        <f ca="1">IF($B38="","",VLOOKUP($B38,INDIRECT("'Scenario Results'!$A$3:$hn$5000"),MATCH(T$37,'Scenario Results'!$A$2:$HN$2,0),FALSE))</f>
        <v/>
      </c>
      <c r="U38" s="1598" t="str">
        <f ca="1">IF($B38="","",IF(VLOOKUP($B38,INDIRECT("'Scenario Results'!$A$3:$hn$5000"),MATCH(U$37,'Scenario Results'!$A$2:$HN$2,0),FALSE)="Mitigation System (Deluge, Foam, etc.) that results in ten-fold reduction in the consequence",0,VLOOKUP($B38,INDIRECT("'Scenario Results'!$A$3:$hn$5000"),MATCH(U$37,'Scenario Results'!$A$2:$HN$2,0),FALSE)))</f>
        <v/>
      </c>
      <c r="V38" s="333" t="str">
        <f>IF($B38="","",D38+E38+G38+I38+K38+M38+O38+Q38+S38+U38)</f>
        <v/>
      </c>
      <c r="W38" s="270">
        <f>IF(ISNUMBER(V38),10^(-V38),0)</f>
        <v>0</v>
      </c>
      <c r="Y38" s="1154" t="str">
        <f ca="1">IF($B38="","",VLOOKUP($B38,INDIRECT("'Scenario Results'!$A$3:$HN$5000"),MATCH("Equipment Tag",'Scenario Results'!$A$2:$HN$2,0),FALSE))</f>
        <v/>
      </c>
      <c r="Z38" s="1154" t="str">
        <f ca="1">IF($B38="","",VLOOKUP($B38,INDIRECT("'Scenario Results'!$A$3:$hn$5000"),MATCH("Equipment Type",'Scenario Results'!$A$2:$HN$2,0),FALSE))</f>
        <v/>
      </c>
      <c r="AA38" s="1154" t="str">
        <f ca="1">IF($B38="","",VLOOKUP($B38,INDIRECT("'Scenario Results'!$A$3:$hn$5000"),MATCH("Scenario Type",'Scenario Results'!$A$2:$HN$2,0),FALSE))</f>
        <v/>
      </c>
      <c r="AB38" s="1376" t="str">
        <f ca="1">IF($B38="","",VLOOKUP($B38,INDIRECT("'Scenario Results'!$A$3:$hn$5000"),MATCH("Incident Type",'Scenario Results'!$A$2:$HN$2,0),FALSE))</f>
        <v/>
      </c>
      <c r="AC38" s="1154" t="str">
        <f ca="1">IF($B38="","",VLOOKUP($B38,INDIRECT("'Scenario Results'!$A$3:$hn$5000"),MATCH("Initiating Event General Description",'Scenario Results'!$A$2:$HN$2,0),FALSE))</f>
        <v/>
      </c>
      <c r="AD38" s="1154" t="str">
        <f ca="1">IF($B38="","",VLOOKUP($B38,INDIRECT("'Scenario Results'!$A$3:$hn$5000"),MATCH("Total Release Quantity",'Scenario Results'!$A$2:$HN$2,0),FALSE)&amp;" "&amp;VLOOKUP($B38,INDIRECT("'Scenario Results'!$A$3:$hn$5000"),MATCH("Total Release Quantity Units",'Scenario Results'!$A$2:$HN$2,0),FALSE))</f>
        <v/>
      </c>
      <c r="AE38" s="1154" t="str">
        <f ca="1">IF($B38="","",VLOOKUP($B38,INDIRECT("'Scenario Results'!$A$3:$hn$5000"),MATCH("Key Chemical",'Scenario Results'!$A$2:$HN$2,0),FALSE)&amp;IF(WFeed_1&lt;1," Mix",IF(Pseudo_Chem="Yes"," Pseudo Mix","")))</f>
        <v/>
      </c>
      <c r="AF38" s="1154" t="str">
        <f ca="1">IF($B38="","",VLOOKUP($B38,INDIRECT("'Scenario Results'!$A$3:$hn$5000"),MATCH("Outcome",'Scenario Results'!$A$2:$HN$2,0),FALSE))</f>
        <v/>
      </c>
    </row>
    <row r="39" spans="2:40" ht="70" customHeight="1" x14ac:dyDescent="0.25">
      <c r="B39" s="332"/>
      <c r="C39" s="334" t="str">
        <f t="shared" ref="C39:C47" si="0">IF(B39="","",Z39&amp;", "&amp;Y39&amp;", is involved in a "&amp;AA39&amp;IF(ISNUMBER(SEARCH("Rupture",AB39))," with Equipment Rupture","")&amp;" scenario caused by "&amp;AC39&amp;" resulting in a "&amp;AD39&amp;" release of "&amp;AE39&amp;" with "&amp;AF39&amp;IF(AF39="Toxic Infiltration"," to an Occupied Building",""))</f>
        <v/>
      </c>
      <c r="D39" s="1598" t="str">
        <f ca="1">IF($B39="","",VLOOKUP($B39,INDIRECT("'Scenario Results'!$A$3:$hn$5000"),MATCH(D$37,'Scenario Results'!$A$2:$HN$2,0),FALSE))</f>
        <v/>
      </c>
      <c r="E39" s="1598" t="str">
        <f ca="1">IF($B39="","",IF(VLOOKUP($B39,INDIRECT("'Scenario Results'!$A$3:$hn$5000"),MATCH(E$37,'Scenario Results'!$A$2:$HN$2,0),FALSE)="",0,VLOOKUP($B39,INDIRECT("'Scenario Results'!$A$3:$hn$5000"),MATCH(E$37,'Scenario Results'!$A$2:$HN$2,0),FALSE)))</f>
        <v/>
      </c>
      <c r="F39" s="1599" t="str">
        <f ca="1">IF($B39="","",VLOOKUP($B39,INDIRECT("'Scenario Results'!$A$3:$hn$5000"),MATCH(F$37,'Scenario Results'!$A$2:$HN$2,0),FALSE))</f>
        <v/>
      </c>
      <c r="G39" s="1598" t="str">
        <f ca="1">IF($B39="","",VLOOKUP($B39,INDIRECT("'Scenario Results'!$A$3:$hn$5000"),MATCH(G$37,'Scenario Results'!$A$2:$HN$2,0),FALSE))</f>
        <v/>
      </c>
      <c r="H39" s="1599" t="str">
        <f ca="1">IF($B39="","",VLOOKUP($B39,INDIRECT("'Scenario Results'!$A$3:$hn$5000"),MATCH(H$37,'Scenario Results'!$A$2:$HN$2,0),FALSE))</f>
        <v/>
      </c>
      <c r="I39" s="1598" t="str">
        <f ca="1">IF($B39="","",VLOOKUP($B39,INDIRECT("'Scenario Results'!$A$3:$hn$5000"),MATCH(I$37,'Scenario Results'!$A$2:$HN$2,0),FALSE))</f>
        <v/>
      </c>
      <c r="J39" s="1599" t="str">
        <f ca="1">IF($B39="","",VLOOKUP($B39,INDIRECT("'Scenario Results'!$A$3:$hn$5000"),MATCH(J$37,'Scenario Results'!$A$2:$HN$2,0),FALSE))</f>
        <v/>
      </c>
      <c r="K39" s="1598" t="str">
        <f ca="1">IF($B39="","",VLOOKUP($B39,INDIRECT("'Scenario Results'!$A$3:$hn$5000"),MATCH(K$37,'Scenario Results'!$A$2:$HN$2,0),FALSE))</f>
        <v/>
      </c>
      <c r="L39" s="1599" t="str">
        <f ca="1">IF($B39="","",VLOOKUP($B39,INDIRECT("'Scenario Results'!$A$3:$hn$5000"),MATCH(L$37,'Scenario Results'!$A$2:$HN$2,0),FALSE))</f>
        <v/>
      </c>
      <c r="M39" s="1598" t="str">
        <f ca="1">IF($B39="","",VLOOKUP($B39,INDIRECT("'Scenario Results'!$A$3:$hn$5000"),MATCH(M$37,'Scenario Results'!$A$2:$HN$2,0),FALSE))</f>
        <v/>
      </c>
      <c r="N39" s="1599" t="str">
        <f ca="1">IF($B39="","",VLOOKUP($B39,INDIRECT("'Scenario Results'!$A$3:$hn$5000"),MATCH(N$37,'Scenario Results'!$A$2:$HN$2,0),FALSE))</f>
        <v/>
      </c>
      <c r="O39" s="1598" t="str">
        <f ca="1">IF($B39="","",VLOOKUP($B39,INDIRECT("'Scenario Results'!$A$3:$hn$5000"),MATCH(O$37,'Scenario Results'!$A$2:$HN$2,0),FALSE))</f>
        <v/>
      </c>
      <c r="P39" s="1599" t="str">
        <f ca="1">IF($B39="","",VLOOKUP($B39,INDIRECT("'Scenario Results'!$A$3:$hn$5000"),MATCH(P$37,'Scenario Results'!$A$2:$HN$2,0),FALSE))</f>
        <v/>
      </c>
      <c r="Q39" s="1598" t="str">
        <f ca="1">IF($B39="","",IF(VLOOKUP($B39,INDIRECT("'Scenario Results'!$A$3:$hn$5000"),MATCH(Q$37,'Scenario Results'!$A$2:$HN$2,0),FALSE)="Mitigation System (Deluge, Foam, etc.) that results in ten-fold reduction in the consequence",0,VLOOKUP($B39,INDIRECT("'Scenario Results'!$A$3:$hn$5000"),MATCH(Q$37,'Scenario Results'!$A$2:$HN$2,0),FALSE)))</f>
        <v/>
      </c>
      <c r="R39" s="1599" t="str">
        <f ca="1">IF($B39="","",VLOOKUP($B39,INDIRECT("'Scenario Results'!$A$3:$hn$5000"),MATCH(R$37,'Scenario Results'!$A$2:$HN$2,0),FALSE))</f>
        <v/>
      </c>
      <c r="S39" s="1598" t="str">
        <f ca="1">IF($B39="","",IF(VLOOKUP($B39,INDIRECT("'Scenario Results'!$A$3:$hn$5000"),MATCH(S$37,'Scenario Results'!$A$2:$HN$2,0),FALSE)="Mitigation System (Deluge, Foam, etc.) that results in ten-fold reduction in the consequence",0,VLOOKUP($B39,INDIRECT("'Scenario Results'!$A$3:$hn$5000"),MATCH(S$37,'Scenario Results'!$A$2:$HN$2,0),FALSE)))</f>
        <v/>
      </c>
      <c r="T39" s="1599" t="str">
        <f ca="1">IF($B39="","",VLOOKUP($B39,INDIRECT("'Scenario Results'!$A$3:$hn$5000"),MATCH(T$37,'Scenario Results'!$A$2:$HN$2,0),FALSE))</f>
        <v/>
      </c>
      <c r="U39" s="1598" t="str">
        <f ca="1">IF($B39="","",IF(VLOOKUP($B39,INDIRECT("'Scenario Results'!$A$3:$hn$5000"),MATCH(U$37,'Scenario Results'!$A$2:$HN$2,0),FALSE)="Mitigation System (Deluge, Foam, etc.) that results in ten-fold reduction in the consequence",0,VLOOKUP($B39,INDIRECT("'Scenario Results'!$A$3:$hn$5000"),MATCH(U$37,'Scenario Results'!$A$2:$HN$2,0),FALSE)))</f>
        <v/>
      </c>
      <c r="V39" s="333" t="str">
        <f t="shared" ref="V39:V47" si="1">IF($B39="","",D39+E39+G39+I39+K39+M39+O39+Q39+S39+U39)</f>
        <v/>
      </c>
      <c r="W39" s="270">
        <f t="shared" ref="W39:W47" si="2">IF(ISNUMBER(V39),10^(-V39),0)</f>
        <v>0</v>
      </c>
      <c r="Y39" s="1154" t="str">
        <f ca="1">IF($B39="","",VLOOKUP($B39,INDIRECT("'Scenario Results'!$A$3:$HN$5000"),MATCH("Equipment Tag",'Scenario Results'!$A$2:$HN$2,0),FALSE))</f>
        <v/>
      </c>
      <c r="Z39" s="1154" t="str">
        <f ca="1">IF($B39="","",VLOOKUP($B39,INDIRECT("'Scenario Results'!$A$3:$hn$5000"),MATCH("Equipment Type",'Scenario Results'!$A$2:$HN$2,0),FALSE))</f>
        <v/>
      </c>
      <c r="AA39" s="1154" t="str">
        <f ca="1">IF($B39="","",VLOOKUP($B39,INDIRECT("'Scenario Results'!$A$3:$hn$5000"),MATCH("Scenario Type",'Scenario Results'!$A$2:$HN$2,0),FALSE))</f>
        <v/>
      </c>
      <c r="AB39" s="1376" t="str">
        <f ca="1">IF($B39="","",VLOOKUP($B39,INDIRECT("'Scenario Results'!$A$3:$hn$5000"),MATCH("Incident Type",'Scenario Results'!$A$2:$HN$2,0),FALSE))</f>
        <v/>
      </c>
      <c r="AC39" s="1154" t="str">
        <f ca="1">IF($B39="","",VLOOKUP($B39,INDIRECT("'Scenario Results'!$A$3:$hn$5000"),MATCH("Initiating Event General Description",'Scenario Results'!$A$2:$HN$2,0),FALSE))</f>
        <v/>
      </c>
      <c r="AD39" s="1154" t="str">
        <f ca="1">IF($B39="","",VLOOKUP($B39,INDIRECT("'Scenario Results'!$A$3:$hn$5000"),MATCH("Total Release Quantity",'Scenario Results'!$A$2:$HN$2,0),FALSE)&amp;" "&amp;VLOOKUP($B39,INDIRECT("'Scenario Results'!$A$3:$hn$5000"),MATCH("Total Release Quantity Units",'Scenario Results'!$A$2:$HN$2,0),FALSE))</f>
        <v/>
      </c>
      <c r="AE39" s="1154" t="str">
        <f ca="1">IF($B39="","",VLOOKUP($B39,INDIRECT("'Scenario Results'!$A$3:$hn$5000"),MATCH("Key Chemical",'Scenario Results'!$A$2:$HN$2,0),FALSE)&amp;IF(WFeed_1&lt;1," Mix",IF(Pseudo_Chem="Yes"," Pseudo Mix","")))</f>
        <v/>
      </c>
      <c r="AF39" s="1154" t="str">
        <f ca="1">IF($B39="","",VLOOKUP($B39,INDIRECT("'Scenario Results'!$A$3:$hn$5000"),MATCH("Outcome",'Scenario Results'!$A$2:$HN$2,0),FALSE))</f>
        <v/>
      </c>
    </row>
    <row r="40" spans="2:40" ht="70" customHeight="1" x14ac:dyDescent="0.25">
      <c r="B40" s="332"/>
      <c r="C40" s="334" t="str">
        <f t="shared" si="0"/>
        <v/>
      </c>
      <c r="D40" s="1598" t="str">
        <f ca="1">IF($B40="","",VLOOKUP($B40,INDIRECT("'Scenario Results'!$A$3:$hn$5000"),MATCH(D$37,'Scenario Results'!$A$2:$HN$2,0),FALSE))</f>
        <v/>
      </c>
      <c r="E40" s="1598" t="str">
        <f ca="1">IF($B40="","",IF(VLOOKUP($B40,INDIRECT("'Scenario Results'!$A$3:$hn$5000"),MATCH(E$37,'Scenario Results'!$A$2:$HN$2,0),FALSE)="",0,VLOOKUP($B40,INDIRECT("'Scenario Results'!$A$3:$hn$5000"),MATCH(E$37,'Scenario Results'!$A$2:$HN$2,0),FALSE)))</f>
        <v/>
      </c>
      <c r="F40" s="1599" t="str">
        <f ca="1">IF($B40="","",VLOOKUP($B40,INDIRECT("'Scenario Results'!$A$3:$hn$5000"),MATCH(F$37,'Scenario Results'!$A$2:$HN$2,0),FALSE))</f>
        <v/>
      </c>
      <c r="G40" s="1598" t="str">
        <f ca="1">IF($B40="","",VLOOKUP($B40,INDIRECT("'Scenario Results'!$A$3:$hn$5000"),MATCH(G$37,'Scenario Results'!$A$2:$HN$2,0),FALSE))</f>
        <v/>
      </c>
      <c r="H40" s="1599" t="str">
        <f ca="1">IF($B40="","",VLOOKUP($B40,INDIRECT("'Scenario Results'!$A$3:$hn$5000"),MATCH(H$37,'Scenario Results'!$A$2:$HN$2,0),FALSE))</f>
        <v/>
      </c>
      <c r="I40" s="1598" t="str">
        <f ca="1">IF($B40="","",VLOOKUP($B40,INDIRECT("'Scenario Results'!$A$3:$hn$5000"),MATCH(I$37,'Scenario Results'!$A$2:$HN$2,0),FALSE))</f>
        <v/>
      </c>
      <c r="J40" s="1599" t="str">
        <f ca="1">IF($B40="","",VLOOKUP($B40,INDIRECT("'Scenario Results'!$A$3:$hn$5000"),MATCH(J$37,'Scenario Results'!$A$2:$HN$2,0),FALSE))</f>
        <v/>
      </c>
      <c r="K40" s="1598" t="str">
        <f ca="1">IF($B40="","",VLOOKUP($B40,INDIRECT("'Scenario Results'!$A$3:$hn$5000"),MATCH(K$37,'Scenario Results'!$A$2:$HN$2,0),FALSE))</f>
        <v/>
      </c>
      <c r="L40" s="1599" t="str">
        <f ca="1">IF($B40="","",VLOOKUP($B40,INDIRECT("'Scenario Results'!$A$3:$hn$5000"),MATCH(L$37,'Scenario Results'!$A$2:$HN$2,0),FALSE))</f>
        <v/>
      </c>
      <c r="M40" s="1598" t="str">
        <f ca="1">IF($B40="","",VLOOKUP($B40,INDIRECT("'Scenario Results'!$A$3:$hn$5000"),MATCH(M$37,'Scenario Results'!$A$2:$HN$2,0),FALSE))</f>
        <v/>
      </c>
      <c r="N40" s="1599" t="str">
        <f ca="1">IF($B40="","",VLOOKUP($B40,INDIRECT("'Scenario Results'!$A$3:$hn$5000"),MATCH(N$37,'Scenario Results'!$A$2:$HN$2,0),FALSE))</f>
        <v/>
      </c>
      <c r="O40" s="1598" t="str">
        <f ca="1">IF($B40="","",VLOOKUP($B40,INDIRECT("'Scenario Results'!$A$3:$hn$5000"),MATCH(O$37,'Scenario Results'!$A$2:$HN$2,0),FALSE))</f>
        <v/>
      </c>
      <c r="P40" s="1599" t="str">
        <f ca="1">IF($B40="","",VLOOKUP($B40,INDIRECT("'Scenario Results'!$A$3:$hn$5000"),MATCH(P$37,'Scenario Results'!$A$2:$HN$2,0),FALSE))</f>
        <v/>
      </c>
      <c r="Q40" s="1598" t="str">
        <f ca="1">IF($B40="","",IF(VLOOKUP($B40,INDIRECT("'Scenario Results'!$A$3:$hn$5000"),MATCH(Q$37,'Scenario Results'!$A$2:$HN$2,0),FALSE)="Mitigation System (Deluge, Foam, etc.) that results in ten-fold reduction in the consequence",0,VLOOKUP($B40,INDIRECT("'Scenario Results'!$A$3:$hn$5000"),MATCH(Q$37,'Scenario Results'!$A$2:$HN$2,0),FALSE)))</f>
        <v/>
      </c>
      <c r="R40" s="1599" t="str">
        <f ca="1">IF($B40="","",VLOOKUP($B40,INDIRECT("'Scenario Results'!$A$3:$hn$5000"),MATCH(R$37,'Scenario Results'!$A$2:$HN$2,0),FALSE))</f>
        <v/>
      </c>
      <c r="S40" s="1598" t="str">
        <f ca="1">IF($B40="","",IF(VLOOKUP($B40,INDIRECT("'Scenario Results'!$A$3:$hn$5000"),MATCH(S$37,'Scenario Results'!$A$2:$HN$2,0),FALSE)="Mitigation System (Deluge, Foam, etc.) that results in ten-fold reduction in the consequence",0,VLOOKUP($B40,INDIRECT("'Scenario Results'!$A$3:$hn$5000"),MATCH(S$37,'Scenario Results'!$A$2:$HN$2,0),FALSE)))</f>
        <v/>
      </c>
      <c r="T40" s="1599" t="str">
        <f ca="1">IF($B40="","",VLOOKUP($B40,INDIRECT("'Scenario Results'!$A$3:$hn$5000"),MATCH(T$37,'Scenario Results'!$A$2:$HN$2,0),FALSE))</f>
        <v/>
      </c>
      <c r="U40" s="1598" t="str">
        <f ca="1">IF($B40="","",IF(VLOOKUP($B40,INDIRECT("'Scenario Results'!$A$3:$hn$5000"),MATCH(U$37,'Scenario Results'!$A$2:$HN$2,0),FALSE)="Mitigation System (Deluge, Foam, etc.) that results in ten-fold reduction in the consequence",0,VLOOKUP($B40,INDIRECT("'Scenario Results'!$A$3:$hn$5000"),MATCH(U$37,'Scenario Results'!$A$2:$HN$2,0),FALSE)))</f>
        <v/>
      </c>
      <c r="V40" s="333" t="str">
        <f t="shared" si="1"/>
        <v/>
      </c>
      <c r="W40" s="270">
        <f t="shared" si="2"/>
        <v>0</v>
      </c>
      <c r="Y40" s="1154" t="str">
        <f ca="1">IF($B40="","",VLOOKUP($B40,INDIRECT("'Scenario Results'!$A$3:$HN$5000"),MATCH("Equipment Tag",'Scenario Results'!$A$2:$HN$2,0),FALSE))</f>
        <v/>
      </c>
      <c r="Z40" s="1154" t="str">
        <f ca="1">IF($B40="","",VLOOKUP($B40,INDIRECT("'Scenario Results'!$A$3:$hn$5000"),MATCH("Equipment Type",'Scenario Results'!$A$2:$HN$2,0),FALSE))</f>
        <v/>
      </c>
      <c r="AA40" s="1154" t="str">
        <f ca="1">IF($B40="","",VLOOKUP($B40,INDIRECT("'Scenario Results'!$A$3:$hn$5000"),MATCH("Scenario Type",'Scenario Results'!$A$2:$HN$2,0),FALSE))</f>
        <v/>
      </c>
      <c r="AB40" s="1376" t="str">
        <f ca="1">IF($B40="","",VLOOKUP($B40,INDIRECT("'Scenario Results'!$A$3:$hn$5000"),MATCH("Incident Type",'Scenario Results'!$A$2:$HN$2,0),FALSE))</f>
        <v/>
      </c>
      <c r="AC40" s="1154" t="str">
        <f ca="1">IF($B40="","",VLOOKUP($B40,INDIRECT("'Scenario Results'!$A$3:$hn$5000"),MATCH("Initiating Event General Description",'Scenario Results'!$A$2:$HN$2,0),FALSE))</f>
        <v/>
      </c>
      <c r="AD40" s="1154" t="str">
        <f ca="1">IF($B40="","",VLOOKUP($B40,INDIRECT("'Scenario Results'!$A$3:$hn$5000"),MATCH("Total Release Quantity",'Scenario Results'!$A$2:$HN$2,0),FALSE)&amp;" "&amp;VLOOKUP($B40,INDIRECT("'Scenario Results'!$A$3:$hn$5000"),MATCH("Total Release Quantity Units",'Scenario Results'!$A$2:$HN$2,0),FALSE))</f>
        <v/>
      </c>
      <c r="AE40" s="1154" t="str">
        <f ca="1">IF($B40="","",VLOOKUP($B40,INDIRECT("'Scenario Results'!$A$3:$hn$5000"),MATCH("Key Chemical",'Scenario Results'!$A$2:$HN$2,0),FALSE)&amp;IF(WFeed_1&lt;1," Mix",IF(Pseudo_Chem="Yes"," Pseudo Mix","")))</f>
        <v/>
      </c>
      <c r="AF40" s="1154" t="str">
        <f ca="1">IF($B40="","",VLOOKUP($B40,INDIRECT("'Scenario Results'!$A$3:$hn$5000"),MATCH("Outcome",'Scenario Results'!$A$2:$HN$2,0),FALSE))</f>
        <v/>
      </c>
    </row>
    <row r="41" spans="2:40" ht="70" customHeight="1" x14ac:dyDescent="0.25">
      <c r="B41" s="332"/>
      <c r="C41" s="334" t="str">
        <f t="shared" si="0"/>
        <v/>
      </c>
      <c r="D41" s="1598" t="str">
        <f ca="1">IF($B41="","",VLOOKUP($B41,INDIRECT("'Scenario Results'!$A$3:$hn$5000"),MATCH(D$37,'Scenario Results'!$A$2:$HN$2,0),FALSE))</f>
        <v/>
      </c>
      <c r="E41" s="1598" t="str">
        <f ca="1">IF($B41="","",IF(VLOOKUP($B41,INDIRECT("'Scenario Results'!$A$3:$hn$5000"),MATCH(E$37,'Scenario Results'!$A$2:$HN$2,0),FALSE)="",0,VLOOKUP($B41,INDIRECT("'Scenario Results'!$A$3:$hn$5000"),MATCH(E$37,'Scenario Results'!$A$2:$HN$2,0),FALSE)))</f>
        <v/>
      </c>
      <c r="F41" s="1599" t="str">
        <f ca="1">IF($B41="","",VLOOKUP($B41,INDIRECT("'Scenario Results'!$A$3:$hn$5000"),MATCH(F$37,'Scenario Results'!$A$2:$HN$2,0),FALSE))</f>
        <v/>
      </c>
      <c r="G41" s="1598" t="str">
        <f ca="1">IF($B41="","",VLOOKUP($B41,INDIRECT("'Scenario Results'!$A$3:$hn$5000"),MATCH(G$37,'Scenario Results'!$A$2:$HN$2,0),FALSE))</f>
        <v/>
      </c>
      <c r="H41" s="1599" t="str">
        <f ca="1">IF($B41="","",VLOOKUP($B41,INDIRECT("'Scenario Results'!$A$3:$hn$5000"),MATCH(H$37,'Scenario Results'!$A$2:$HN$2,0),FALSE))</f>
        <v/>
      </c>
      <c r="I41" s="1598" t="str">
        <f ca="1">IF($B41="","",VLOOKUP($B41,INDIRECT("'Scenario Results'!$A$3:$hn$5000"),MATCH(I$37,'Scenario Results'!$A$2:$HN$2,0),FALSE))</f>
        <v/>
      </c>
      <c r="J41" s="1599" t="str">
        <f ca="1">IF($B41="","",VLOOKUP($B41,INDIRECT("'Scenario Results'!$A$3:$hn$5000"),MATCH(J$37,'Scenario Results'!$A$2:$HN$2,0),FALSE))</f>
        <v/>
      </c>
      <c r="K41" s="1598" t="str">
        <f ca="1">IF($B41="","",VLOOKUP($B41,INDIRECT("'Scenario Results'!$A$3:$hn$5000"),MATCH(K$37,'Scenario Results'!$A$2:$HN$2,0),FALSE))</f>
        <v/>
      </c>
      <c r="L41" s="1599" t="str">
        <f ca="1">IF($B41="","",VLOOKUP($B41,INDIRECT("'Scenario Results'!$A$3:$hn$5000"),MATCH(L$37,'Scenario Results'!$A$2:$HN$2,0),FALSE))</f>
        <v/>
      </c>
      <c r="M41" s="1598" t="str">
        <f ca="1">IF($B41="","",VLOOKUP($B41,INDIRECT("'Scenario Results'!$A$3:$hn$5000"),MATCH(M$37,'Scenario Results'!$A$2:$HN$2,0),FALSE))</f>
        <v/>
      </c>
      <c r="N41" s="1599" t="str">
        <f ca="1">IF($B41="","",VLOOKUP($B41,INDIRECT("'Scenario Results'!$A$3:$hn$5000"),MATCH(N$37,'Scenario Results'!$A$2:$HN$2,0),FALSE))</f>
        <v/>
      </c>
      <c r="O41" s="1598" t="str">
        <f ca="1">IF($B41="","",VLOOKUP($B41,INDIRECT("'Scenario Results'!$A$3:$hn$5000"),MATCH(O$37,'Scenario Results'!$A$2:$HN$2,0),FALSE))</f>
        <v/>
      </c>
      <c r="P41" s="1599" t="str">
        <f ca="1">IF($B41="","",VLOOKUP($B41,INDIRECT("'Scenario Results'!$A$3:$hn$5000"),MATCH(P$37,'Scenario Results'!$A$2:$HN$2,0),FALSE))</f>
        <v/>
      </c>
      <c r="Q41" s="1598" t="str">
        <f ca="1">IF($B41="","",IF(VLOOKUP($B41,INDIRECT("'Scenario Results'!$A$3:$hn$5000"),MATCH(Q$37,'Scenario Results'!$A$2:$HN$2,0),FALSE)="Mitigation System (Deluge, Foam, etc.) that results in ten-fold reduction in the consequence",0,VLOOKUP($B41,INDIRECT("'Scenario Results'!$A$3:$hn$5000"),MATCH(Q$37,'Scenario Results'!$A$2:$HN$2,0),FALSE)))</f>
        <v/>
      </c>
      <c r="R41" s="1599" t="str">
        <f ca="1">IF($B41="","",VLOOKUP($B41,INDIRECT("'Scenario Results'!$A$3:$hn$5000"),MATCH(R$37,'Scenario Results'!$A$2:$HN$2,0),FALSE))</f>
        <v/>
      </c>
      <c r="S41" s="1598" t="str">
        <f ca="1">IF($B41="","",IF(VLOOKUP($B41,INDIRECT("'Scenario Results'!$A$3:$hn$5000"),MATCH(S$37,'Scenario Results'!$A$2:$HN$2,0),FALSE)="Mitigation System (Deluge, Foam, etc.) that results in ten-fold reduction in the consequence",0,VLOOKUP($B41,INDIRECT("'Scenario Results'!$A$3:$hn$5000"),MATCH(S$37,'Scenario Results'!$A$2:$HN$2,0),FALSE)))</f>
        <v/>
      </c>
      <c r="T41" s="1599" t="str">
        <f ca="1">IF($B41="","",VLOOKUP($B41,INDIRECT("'Scenario Results'!$A$3:$hn$5000"),MATCH(T$37,'Scenario Results'!$A$2:$HN$2,0),FALSE))</f>
        <v/>
      </c>
      <c r="U41" s="1598" t="str">
        <f ca="1">IF($B41="","",IF(VLOOKUP($B41,INDIRECT("'Scenario Results'!$A$3:$hn$5000"),MATCH(U$37,'Scenario Results'!$A$2:$HN$2,0),FALSE)="Mitigation System (Deluge, Foam, etc.) that results in ten-fold reduction in the consequence",0,VLOOKUP($B41,INDIRECT("'Scenario Results'!$A$3:$hn$5000"),MATCH(U$37,'Scenario Results'!$A$2:$HN$2,0),FALSE)))</f>
        <v/>
      </c>
      <c r="V41" s="333" t="str">
        <f t="shared" si="1"/>
        <v/>
      </c>
      <c r="W41" s="270">
        <f t="shared" si="2"/>
        <v>0</v>
      </c>
      <c r="Y41" s="1154" t="str">
        <f ca="1">IF($B41="","",VLOOKUP($B41,INDIRECT("'Scenario Results'!$A$3:$HN$5000"),MATCH("Equipment Tag",'Scenario Results'!$A$2:$HN$2,0),FALSE))</f>
        <v/>
      </c>
      <c r="Z41" s="1154" t="str">
        <f ca="1">IF($B41="","",VLOOKUP($B41,INDIRECT("'Scenario Results'!$A$3:$hn$5000"),MATCH("Equipment Type",'Scenario Results'!$A$2:$HN$2,0),FALSE))</f>
        <v/>
      </c>
      <c r="AA41" s="1154" t="str">
        <f ca="1">IF($B41="","",VLOOKUP($B41,INDIRECT("'Scenario Results'!$A$3:$hn$5000"),MATCH("Scenario Type",'Scenario Results'!$A$2:$HN$2,0),FALSE))</f>
        <v/>
      </c>
      <c r="AB41" s="1376" t="str">
        <f ca="1">IF($B41="","",VLOOKUP($B41,INDIRECT("'Scenario Results'!$A$3:$hn$5000"),MATCH("Incident Type",'Scenario Results'!$A$2:$HN$2,0),FALSE))</f>
        <v/>
      </c>
      <c r="AC41" s="1154" t="str">
        <f ca="1">IF($B41="","",VLOOKUP($B41,INDIRECT("'Scenario Results'!$A$3:$hn$5000"),MATCH("Initiating Event General Description",'Scenario Results'!$A$2:$HN$2,0),FALSE))</f>
        <v/>
      </c>
      <c r="AD41" s="1154" t="str">
        <f ca="1">IF($B41="","",VLOOKUP($B41,INDIRECT("'Scenario Results'!$A$3:$hn$5000"),MATCH("Total Release Quantity",'Scenario Results'!$A$2:$HN$2,0),FALSE)&amp;" "&amp;VLOOKUP($B41,INDIRECT("'Scenario Results'!$A$3:$hn$5000"),MATCH("Total Release Quantity Units",'Scenario Results'!$A$2:$HN$2,0),FALSE))</f>
        <v/>
      </c>
      <c r="AE41" s="1154" t="str">
        <f ca="1">IF($B41="","",VLOOKUP($B41,INDIRECT("'Scenario Results'!$A$3:$hn$5000"),MATCH("Key Chemical",'Scenario Results'!$A$2:$HN$2,0),FALSE)&amp;IF(WFeed_1&lt;1," Mix",IF(Pseudo_Chem="Yes"," Pseudo Mix","")))</f>
        <v/>
      </c>
      <c r="AF41" s="1154" t="str">
        <f ca="1">IF($B41="","",VLOOKUP($B41,INDIRECT("'Scenario Results'!$A$3:$hn$5000"),MATCH("Outcome",'Scenario Results'!$A$2:$HN$2,0),FALSE))</f>
        <v/>
      </c>
    </row>
    <row r="42" spans="2:40" ht="70" customHeight="1" x14ac:dyDescent="0.25">
      <c r="B42" s="332"/>
      <c r="C42" s="334" t="str">
        <f t="shared" si="0"/>
        <v/>
      </c>
      <c r="D42" s="1598" t="str">
        <f ca="1">IF($B42="","",VLOOKUP($B42,INDIRECT("'Scenario Results'!$A$3:$hn$5000"),MATCH(D$37,'Scenario Results'!$A$2:$HN$2,0),FALSE))</f>
        <v/>
      </c>
      <c r="E42" s="1598" t="str">
        <f ca="1">IF($B42="","",IF(VLOOKUP($B42,INDIRECT("'Scenario Results'!$A$3:$hn$5000"),MATCH(E$37,'Scenario Results'!$A$2:$HN$2,0),FALSE)="",0,VLOOKUP($B42,INDIRECT("'Scenario Results'!$A$3:$hn$5000"),MATCH(E$37,'Scenario Results'!$A$2:$HN$2,0),FALSE)))</f>
        <v/>
      </c>
      <c r="F42" s="1599" t="str">
        <f ca="1">IF($B42="","",VLOOKUP($B42,INDIRECT("'Scenario Results'!$A$3:$hn$5000"),MATCH(F$37,'Scenario Results'!$A$2:$HN$2,0),FALSE))</f>
        <v/>
      </c>
      <c r="G42" s="1598" t="str">
        <f ca="1">IF($B42="","",VLOOKUP($B42,INDIRECT("'Scenario Results'!$A$3:$hn$5000"),MATCH(G$37,'Scenario Results'!$A$2:$HN$2,0),FALSE))</f>
        <v/>
      </c>
      <c r="H42" s="1599" t="str">
        <f ca="1">IF($B42="","",VLOOKUP($B42,INDIRECT("'Scenario Results'!$A$3:$hn$5000"),MATCH(H$37,'Scenario Results'!$A$2:$HN$2,0),FALSE))</f>
        <v/>
      </c>
      <c r="I42" s="1598" t="str">
        <f ca="1">IF($B42="","",VLOOKUP($B42,INDIRECT("'Scenario Results'!$A$3:$hn$5000"),MATCH(I$37,'Scenario Results'!$A$2:$HN$2,0),FALSE))</f>
        <v/>
      </c>
      <c r="J42" s="1599" t="str">
        <f ca="1">IF($B42="","",VLOOKUP($B42,INDIRECT("'Scenario Results'!$A$3:$hn$5000"),MATCH(J$37,'Scenario Results'!$A$2:$HN$2,0),FALSE))</f>
        <v/>
      </c>
      <c r="K42" s="1598" t="str">
        <f ca="1">IF($B42="","",VLOOKUP($B42,INDIRECT("'Scenario Results'!$A$3:$hn$5000"),MATCH(K$37,'Scenario Results'!$A$2:$HN$2,0),FALSE))</f>
        <v/>
      </c>
      <c r="L42" s="1599" t="str">
        <f ca="1">IF($B42="","",VLOOKUP($B42,INDIRECT("'Scenario Results'!$A$3:$hn$5000"),MATCH(L$37,'Scenario Results'!$A$2:$HN$2,0),FALSE))</f>
        <v/>
      </c>
      <c r="M42" s="1598" t="str">
        <f ca="1">IF($B42="","",VLOOKUP($B42,INDIRECT("'Scenario Results'!$A$3:$hn$5000"),MATCH(M$37,'Scenario Results'!$A$2:$HN$2,0),FALSE))</f>
        <v/>
      </c>
      <c r="N42" s="1599" t="str">
        <f ca="1">IF($B42="","",VLOOKUP($B42,INDIRECT("'Scenario Results'!$A$3:$hn$5000"),MATCH(N$37,'Scenario Results'!$A$2:$HN$2,0),FALSE))</f>
        <v/>
      </c>
      <c r="O42" s="1598" t="str">
        <f ca="1">IF($B42="","",VLOOKUP($B42,INDIRECT("'Scenario Results'!$A$3:$hn$5000"),MATCH(O$37,'Scenario Results'!$A$2:$HN$2,0),FALSE))</f>
        <v/>
      </c>
      <c r="P42" s="1599" t="str">
        <f ca="1">IF($B42="","",VLOOKUP($B42,INDIRECT("'Scenario Results'!$A$3:$hn$5000"),MATCH(P$37,'Scenario Results'!$A$2:$HN$2,0),FALSE))</f>
        <v/>
      </c>
      <c r="Q42" s="1598" t="str">
        <f ca="1">IF($B42="","",IF(VLOOKUP($B42,INDIRECT("'Scenario Results'!$A$3:$hn$5000"),MATCH(Q$37,'Scenario Results'!$A$2:$HN$2,0),FALSE)="Mitigation System (Deluge, Foam, etc.) that results in ten-fold reduction in the consequence",0,VLOOKUP($B42,INDIRECT("'Scenario Results'!$A$3:$hn$5000"),MATCH(Q$37,'Scenario Results'!$A$2:$HN$2,0),FALSE)))</f>
        <v/>
      </c>
      <c r="R42" s="1599" t="str">
        <f ca="1">IF($B42="","",VLOOKUP($B42,INDIRECT("'Scenario Results'!$A$3:$hn$5000"),MATCH(R$37,'Scenario Results'!$A$2:$HN$2,0),FALSE))</f>
        <v/>
      </c>
      <c r="S42" s="1598" t="str">
        <f ca="1">IF($B42="","",IF(VLOOKUP($B42,INDIRECT("'Scenario Results'!$A$3:$hn$5000"),MATCH(S$37,'Scenario Results'!$A$2:$HN$2,0),FALSE)="Mitigation System (Deluge, Foam, etc.) that results in ten-fold reduction in the consequence",0,VLOOKUP($B42,INDIRECT("'Scenario Results'!$A$3:$hn$5000"),MATCH(S$37,'Scenario Results'!$A$2:$HN$2,0),FALSE)))</f>
        <v/>
      </c>
      <c r="T42" s="1599" t="str">
        <f ca="1">IF($B42="","",VLOOKUP($B42,INDIRECT("'Scenario Results'!$A$3:$hn$5000"),MATCH(T$37,'Scenario Results'!$A$2:$HN$2,0),FALSE))</f>
        <v/>
      </c>
      <c r="U42" s="1598" t="str">
        <f ca="1">IF($B42="","",IF(VLOOKUP($B42,INDIRECT("'Scenario Results'!$A$3:$hn$5000"),MATCH(U$37,'Scenario Results'!$A$2:$HN$2,0),FALSE)="Mitigation System (Deluge, Foam, etc.) that results in ten-fold reduction in the consequence",0,VLOOKUP($B42,INDIRECT("'Scenario Results'!$A$3:$hn$5000"),MATCH(U$37,'Scenario Results'!$A$2:$HN$2,0),FALSE)))</f>
        <v/>
      </c>
      <c r="V42" s="333" t="str">
        <f t="shared" si="1"/>
        <v/>
      </c>
      <c r="W42" s="270">
        <f t="shared" si="2"/>
        <v>0</v>
      </c>
      <c r="Y42" s="1154" t="str">
        <f ca="1">IF($B42="","",VLOOKUP($B42,INDIRECT("'Scenario Results'!$A$3:$HN$5000"),MATCH("Equipment Tag",'Scenario Results'!$A$2:$HN$2,0),FALSE))</f>
        <v/>
      </c>
      <c r="Z42" s="1154" t="str">
        <f ca="1">IF($B42="","",VLOOKUP($B42,INDIRECT("'Scenario Results'!$A$3:$hn$5000"),MATCH("Equipment Type",'Scenario Results'!$A$2:$HN$2,0),FALSE))</f>
        <v/>
      </c>
      <c r="AA42" s="1154" t="str">
        <f ca="1">IF($B42="","",VLOOKUP($B42,INDIRECT("'Scenario Results'!$A$3:$hn$5000"),MATCH("Scenario Type",'Scenario Results'!$A$2:$HN$2,0),FALSE))</f>
        <v/>
      </c>
      <c r="AB42" s="1376" t="str">
        <f ca="1">IF($B42="","",VLOOKUP($B42,INDIRECT("'Scenario Results'!$A$3:$hn$5000"),MATCH("Incident Type",'Scenario Results'!$A$2:$HN$2,0),FALSE))</f>
        <v/>
      </c>
      <c r="AC42" s="1154" t="str">
        <f ca="1">IF($B42="","",VLOOKUP($B42,INDIRECT("'Scenario Results'!$A$3:$hn$5000"),MATCH("Initiating Event General Description",'Scenario Results'!$A$2:$HN$2,0),FALSE))</f>
        <v/>
      </c>
      <c r="AD42" s="1154" t="str">
        <f ca="1">IF($B42="","",VLOOKUP($B42,INDIRECT("'Scenario Results'!$A$3:$hn$5000"),MATCH("Total Release Quantity",'Scenario Results'!$A$2:$HN$2,0),FALSE)&amp;" "&amp;VLOOKUP($B42,INDIRECT("'Scenario Results'!$A$3:$hn$5000"),MATCH("Total Release Quantity Units",'Scenario Results'!$A$2:$HN$2,0),FALSE))</f>
        <v/>
      </c>
      <c r="AE42" s="1154" t="str">
        <f ca="1">IF($B42="","",VLOOKUP($B42,INDIRECT("'Scenario Results'!$A$3:$hn$5000"),MATCH("Key Chemical",'Scenario Results'!$A$2:$HN$2,0),FALSE)&amp;IF(WFeed_1&lt;1," Mix",IF(Pseudo_Chem="Yes"," Pseudo Mix","")))</f>
        <v/>
      </c>
      <c r="AF42" s="1154" t="str">
        <f ca="1">IF($B42="","",VLOOKUP($B42,INDIRECT("'Scenario Results'!$A$3:$hn$5000"),MATCH("Outcome",'Scenario Results'!$A$2:$HN$2,0),FALSE))</f>
        <v/>
      </c>
    </row>
    <row r="43" spans="2:40" ht="70" customHeight="1" x14ac:dyDescent="0.25">
      <c r="B43" s="332"/>
      <c r="C43" s="334" t="str">
        <f t="shared" si="0"/>
        <v/>
      </c>
      <c r="D43" s="1598" t="str">
        <f ca="1">IF($B43="","",VLOOKUP($B43,INDIRECT("'Scenario Results'!$A$3:$hn$5000"),MATCH(D$37,'Scenario Results'!$A$2:$HN$2,0),FALSE))</f>
        <v/>
      </c>
      <c r="E43" s="1598" t="str">
        <f ca="1">IF($B43="","",IF(VLOOKUP($B43,INDIRECT("'Scenario Results'!$A$3:$hn$5000"),MATCH(E$37,'Scenario Results'!$A$2:$HN$2,0),FALSE)="",0,VLOOKUP($B43,INDIRECT("'Scenario Results'!$A$3:$hn$5000"),MATCH(E$37,'Scenario Results'!$A$2:$HN$2,0),FALSE)))</f>
        <v/>
      </c>
      <c r="F43" s="1599" t="str">
        <f ca="1">IF($B43="","",VLOOKUP($B43,INDIRECT("'Scenario Results'!$A$3:$hn$5000"),MATCH(F$37,'Scenario Results'!$A$2:$HN$2,0),FALSE))</f>
        <v/>
      </c>
      <c r="G43" s="1598" t="str">
        <f ca="1">IF($B43="","",VLOOKUP($B43,INDIRECT("'Scenario Results'!$A$3:$hn$5000"),MATCH(G$37,'Scenario Results'!$A$2:$HN$2,0),FALSE))</f>
        <v/>
      </c>
      <c r="H43" s="1599" t="str">
        <f ca="1">IF($B43="","",VLOOKUP($B43,INDIRECT("'Scenario Results'!$A$3:$hn$5000"),MATCH(H$37,'Scenario Results'!$A$2:$HN$2,0),FALSE))</f>
        <v/>
      </c>
      <c r="I43" s="1598" t="str">
        <f ca="1">IF($B43="","",VLOOKUP($B43,INDIRECT("'Scenario Results'!$A$3:$hn$5000"),MATCH(I$37,'Scenario Results'!$A$2:$HN$2,0),FALSE))</f>
        <v/>
      </c>
      <c r="J43" s="1599" t="str">
        <f ca="1">IF($B43="","",VLOOKUP($B43,INDIRECT("'Scenario Results'!$A$3:$hn$5000"),MATCH(J$37,'Scenario Results'!$A$2:$HN$2,0),FALSE))</f>
        <v/>
      </c>
      <c r="K43" s="1598" t="str">
        <f ca="1">IF($B43="","",VLOOKUP($B43,INDIRECT("'Scenario Results'!$A$3:$hn$5000"),MATCH(K$37,'Scenario Results'!$A$2:$HN$2,0),FALSE))</f>
        <v/>
      </c>
      <c r="L43" s="1599" t="str">
        <f ca="1">IF($B43="","",VLOOKUP($B43,INDIRECT("'Scenario Results'!$A$3:$hn$5000"),MATCH(L$37,'Scenario Results'!$A$2:$HN$2,0),FALSE))</f>
        <v/>
      </c>
      <c r="M43" s="1598" t="str">
        <f ca="1">IF($B43="","",VLOOKUP($B43,INDIRECT("'Scenario Results'!$A$3:$hn$5000"),MATCH(M$37,'Scenario Results'!$A$2:$HN$2,0),FALSE))</f>
        <v/>
      </c>
      <c r="N43" s="1599" t="str">
        <f ca="1">IF($B43="","",VLOOKUP($B43,INDIRECT("'Scenario Results'!$A$3:$hn$5000"),MATCH(N$37,'Scenario Results'!$A$2:$HN$2,0),FALSE))</f>
        <v/>
      </c>
      <c r="O43" s="1598" t="str">
        <f ca="1">IF($B43="","",VLOOKUP($B43,INDIRECT("'Scenario Results'!$A$3:$hn$5000"),MATCH(O$37,'Scenario Results'!$A$2:$HN$2,0),FALSE))</f>
        <v/>
      </c>
      <c r="P43" s="1599" t="str">
        <f ca="1">IF($B43="","",VLOOKUP($B43,INDIRECT("'Scenario Results'!$A$3:$hn$5000"),MATCH(P$37,'Scenario Results'!$A$2:$HN$2,0),FALSE))</f>
        <v/>
      </c>
      <c r="Q43" s="1598" t="str">
        <f ca="1">IF($B43="","",IF(VLOOKUP($B43,INDIRECT("'Scenario Results'!$A$3:$hn$5000"),MATCH(Q$37,'Scenario Results'!$A$2:$HN$2,0),FALSE)="Mitigation System (Deluge, Foam, etc.) that results in ten-fold reduction in the consequence",0,VLOOKUP($B43,INDIRECT("'Scenario Results'!$A$3:$hn$5000"),MATCH(Q$37,'Scenario Results'!$A$2:$HN$2,0),FALSE)))</f>
        <v/>
      </c>
      <c r="R43" s="1599" t="str">
        <f ca="1">IF($B43="","",VLOOKUP($B43,INDIRECT("'Scenario Results'!$A$3:$hn$5000"),MATCH(R$37,'Scenario Results'!$A$2:$HN$2,0),FALSE))</f>
        <v/>
      </c>
      <c r="S43" s="1598" t="str">
        <f ca="1">IF($B43="","",IF(VLOOKUP($B43,INDIRECT("'Scenario Results'!$A$3:$hn$5000"),MATCH(S$37,'Scenario Results'!$A$2:$HN$2,0),FALSE)="Mitigation System (Deluge, Foam, etc.) that results in ten-fold reduction in the consequence",0,VLOOKUP($B43,INDIRECT("'Scenario Results'!$A$3:$hn$5000"),MATCH(S$37,'Scenario Results'!$A$2:$HN$2,0),FALSE)))</f>
        <v/>
      </c>
      <c r="T43" s="1599" t="str">
        <f ca="1">IF($B43="","",VLOOKUP($B43,INDIRECT("'Scenario Results'!$A$3:$hn$5000"),MATCH(T$37,'Scenario Results'!$A$2:$HN$2,0),FALSE))</f>
        <v/>
      </c>
      <c r="U43" s="1598" t="str">
        <f ca="1">IF($B43="","",IF(VLOOKUP($B43,INDIRECT("'Scenario Results'!$A$3:$hn$5000"),MATCH(U$37,'Scenario Results'!$A$2:$HN$2,0),FALSE)="Mitigation System (Deluge, Foam, etc.) that results in ten-fold reduction in the consequence",0,VLOOKUP($B43,INDIRECT("'Scenario Results'!$A$3:$hn$5000"),MATCH(U$37,'Scenario Results'!$A$2:$HN$2,0),FALSE)))</f>
        <v/>
      </c>
      <c r="V43" s="333" t="str">
        <f t="shared" si="1"/>
        <v/>
      </c>
      <c r="W43" s="270">
        <f t="shared" si="2"/>
        <v>0</v>
      </c>
      <c r="Y43" s="1154" t="str">
        <f ca="1">IF($B43="","",VLOOKUP($B43,INDIRECT("'Scenario Results'!$A$3:$HN$5000"),MATCH("Equipment Tag",'Scenario Results'!$A$2:$HN$2,0),FALSE))</f>
        <v/>
      </c>
      <c r="Z43" s="1154" t="str">
        <f ca="1">IF($B43="","",VLOOKUP($B43,INDIRECT("'Scenario Results'!$A$3:$hn$5000"),MATCH("Equipment Type",'Scenario Results'!$A$2:$HN$2,0),FALSE))</f>
        <v/>
      </c>
      <c r="AA43" s="1154" t="str">
        <f ca="1">IF($B43="","",VLOOKUP($B43,INDIRECT("'Scenario Results'!$A$3:$hn$5000"),MATCH("Scenario Type",'Scenario Results'!$A$2:$HN$2,0),FALSE))</f>
        <v/>
      </c>
      <c r="AB43" s="1376" t="str">
        <f ca="1">IF($B43="","",VLOOKUP($B43,INDIRECT("'Scenario Results'!$A$3:$hn$5000"),MATCH("Incident Type",'Scenario Results'!$A$2:$HN$2,0),FALSE))</f>
        <v/>
      </c>
      <c r="AC43" s="1154" t="str">
        <f ca="1">IF($B43="","",VLOOKUP($B43,INDIRECT("'Scenario Results'!$A$3:$hn$5000"),MATCH("Initiating Event General Description",'Scenario Results'!$A$2:$HN$2,0),FALSE))</f>
        <v/>
      </c>
      <c r="AD43" s="1154" t="str">
        <f ca="1">IF($B43="","",VLOOKUP($B43,INDIRECT("'Scenario Results'!$A$3:$hn$5000"),MATCH("Total Release Quantity",'Scenario Results'!$A$2:$HN$2,0),FALSE)&amp;" "&amp;VLOOKUP($B43,INDIRECT("'Scenario Results'!$A$3:$hn$5000"),MATCH("Total Release Quantity Units",'Scenario Results'!$A$2:$HN$2,0),FALSE))</f>
        <v/>
      </c>
      <c r="AE43" s="1154" t="str">
        <f ca="1">IF($B43="","",VLOOKUP($B43,INDIRECT("'Scenario Results'!$A$3:$hn$5000"),MATCH("Key Chemical",'Scenario Results'!$A$2:$HN$2,0),FALSE)&amp;IF(WFeed_1&lt;1," Mix",IF(Pseudo_Chem="Yes"," Pseudo Mix","")))</f>
        <v/>
      </c>
      <c r="AF43" s="1154" t="str">
        <f ca="1">IF($B43="","",VLOOKUP($B43,INDIRECT("'Scenario Results'!$A$3:$hn$5000"),MATCH("Outcome",'Scenario Results'!$A$2:$HN$2,0),FALSE))</f>
        <v/>
      </c>
    </row>
    <row r="44" spans="2:40" ht="70" customHeight="1" x14ac:dyDescent="0.25">
      <c r="B44" s="332"/>
      <c r="C44" s="334" t="str">
        <f t="shared" si="0"/>
        <v/>
      </c>
      <c r="D44" s="1598" t="str">
        <f ca="1">IF($B44="","",VLOOKUP($B44,INDIRECT("'Scenario Results'!$A$3:$hn$5000"),MATCH(D$37,'Scenario Results'!$A$2:$HN$2,0),FALSE))</f>
        <v/>
      </c>
      <c r="E44" s="1598" t="str">
        <f ca="1">IF($B44="","",IF(VLOOKUP($B44,INDIRECT("'Scenario Results'!$A$3:$hn$5000"),MATCH(E$37,'Scenario Results'!$A$2:$HN$2,0),FALSE)="",0,VLOOKUP($B44,INDIRECT("'Scenario Results'!$A$3:$hn$5000"),MATCH(E$37,'Scenario Results'!$A$2:$HN$2,0),FALSE)))</f>
        <v/>
      </c>
      <c r="F44" s="1599" t="str">
        <f ca="1">IF($B44="","",VLOOKUP($B44,INDIRECT("'Scenario Results'!$A$3:$hn$5000"),MATCH(F$37,'Scenario Results'!$A$2:$HN$2,0),FALSE))</f>
        <v/>
      </c>
      <c r="G44" s="1598" t="str">
        <f ca="1">IF($B44="","",VLOOKUP($B44,INDIRECT("'Scenario Results'!$A$3:$hn$5000"),MATCH(G$37,'Scenario Results'!$A$2:$HN$2,0),FALSE))</f>
        <v/>
      </c>
      <c r="H44" s="1599" t="str">
        <f ca="1">IF($B44="","",VLOOKUP($B44,INDIRECT("'Scenario Results'!$A$3:$hn$5000"),MATCH(H$37,'Scenario Results'!$A$2:$HN$2,0),FALSE))</f>
        <v/>
      </c>
      <c r="I44" s="1598" t="str">
        <f ca="1">IF($B44="","",VLOOKUP($B44,INDIRECT("'Scenario Results'!$A$3:$hn$5000"),MATCH(I$37,'Scenario Results'!$A$2:$HN$2,0),FALSE))</f>
        <v/>
      </c>
      <c r="J44" s="1599" t="str">
        <f ca="1">IF($B44="","",VLOOKUP($B44,INDIRECT("'Scenario Results'!$A$3:$hn$5000"),MATCH(J$37,'Scenario Results'!$A$2:$HN$2,0),FALSE))</f>
        <v/>
      </c>
      <c r="K44" s="1598" t="str">
        <f ca="1">IF($B44="","",VLOOKUP($B44,INDIRECT("'Scenario Results'!$A$3:$hn$5000"),MATCH(K$37,'Scenario Results'!$A$2:$HN$2,0),FALSE))</f>
        <v/>
      </c>
      <c r="L44" s="1599" t="str">
        <f ca="1">IF($B44="","",VLOOKUP($B44,INDIRECT("'Scenario Results'!$A$3:$hn$5000"),MATCH(L$37,'Scenario Results'!$A$2:$HN$2,0),FALSE))</f>
        <v/>
      </c>
      <c r="M44" s="1598" t="str">
        <f ca="1">IF($B44="","",VLOOKUP($B44,INDIRECT("'Scenario Results'!$A$3:$hn$5000"),MATCH(M$37,'Scenario Results'!$A$2:$HN$2,0),FALSE))</f>
        <v/>
      </c>
      <c r="N44" s="1599" t="str">
        <f ca="1">IF($B44="","",VLOOKUP($B44,INDIRECT("'Scenario Results'!$A$3:$hn$5000"),MATCH(N$37,'Scenario Results'!$A$2:$HN$2,0),FALSE))</f>
        <v/>
      </c>
      <c r="O44" s="1598" t="str">
        <f ca="1">IF($B44="","",VLOOKUP($B44,INDIRECT("'Scenario Results'!$A$3:$hn$5000"),MATCH(O$37,'Scenario Results'!$A$2:$HN$2,0),FALSE))</f>
        <v/>
      </c>
      <c r="P44" s="1599" t="str">
        <f ca="1">IF($B44="","",VLOOKUP($B44,INDIRECT("'Scenario Results'!$A$3:$hn$5000"),MATCH(P$37,'Scenario Results'!$A$2:$HN$2,0),FALSE))</f>
        <v/>
      </c>
      <c r="Q44" s="1598" t="str">
        <f ca="1">IF($B44="","",IF(VLOOKUP($B44,INDIRECT("'Scenario Results'!$A$3:$hn$5000"),MATCH(Q$37,'Scenario Results'!$A$2:$HN$2,0),FALSE)="Mitigation System (Deluge, Foam, etc.) that results in ten-fold reduction in the consequence",0,VLOOKUP($B44,INDIRECT("'Scenario Results'!$A$3:$hn$5000"),MATCH(Q$37,'Scenario Results'!$A$2:$HN$2,0),FALSE)))</f>
        <v/>
      </c>
      <c r="R44" s="1599" t="str">
        <f ca="1">IF($B44="","",VLOOKUP($B44,INDIRECT("'Scenario Results'!$A$3:$hn$5000"),MATCH(R$37,'Scenario Results'!$A$2:$HN$2,0),FALSE))</f>
        <v/>
      </c>
      <c r="S44" s="1598" t="str">
        <f ca="1">IF($B44="","",IF(VLOOKUP($B44,INDIRECT("'Scenario Results'!$A$3:$hn$5000"),MATCH(S$37,'Scenario Results'!$A$2:$HN$2,0),FALSE)="Mitigation System (Deluge, Foam, etc.) that results in ten-fold reduction in the consequence",0,VLOOKUP($B44,INDIRECT("'Scenario Results'!$A$3:$hn$5000"),MATCH(S$37,'Scenario Results'!$A$2:$HN$2,0),FALSE)))</f>
        <v/>
      </c>
      <c r="T44" s="1599" t="str">
        <f ca="1">IF($B44="","",VLOOKUP($B44,INDIRECT("'Scenario Results'!$A$3:$hn$5000"),MATCH(T$37,'Scenario Results'!$A$2:$HN$2,0),FALSE))</f>
        <v/>
      </c>
      <c r="U44" s="1598" t="str">
        <f ca="1">IF($B44="","",IF(VLOOKUP($B44,INDIRECT("'Scenario Results'!$A$3:$hn$5000"),MATCH(U$37,'Scenario Results'!$A$2:$HN$2,0),FALSE)="Mitigation System (Deluge, Foam, etc.) that results in ten-fold reduction in the consequence",0,VLOOKUP($B44,INDIRECT("'Scenario Results'!$A$3:$hn$5000"),MATCH(U$37,'Scenario Results'!$A$2:$HN$2,0),FALSE)))</f>
        <v/>
      </c>
      <c r="V44" s="333" t="str">
        <f t="shared" si="1"/>
        <v/>
      </c>
      <c r="W44" s="270">
        <f t="shared" si="2"/>
        <v>0</v>
      </c>
      <c r="Y44" s="1154" t="str">
        <f ca="1">IF($B44="","",VLOOKUP($B44,INDIRECT("'Scenario Results'!$A$3:$HN$5000"),MATCH("Equipment Tag",'Scenario Results'!$A$2:$HN$2,0),FALSE))</f>
        <v/>
      </c>
      <c r="Z44" s="1154" t="str">
        <f ca="1">IF($B44="","",VLOOKUP($B44,INDIRECT("'Scenario Results'!$A$3:$hn$5000"),MATCH("Equipment Type",'Scenario Results'!$A$2:$HN$2,0),FALSE))</f>
        <v/>
      </c>
      <c r="AA44" s="1154" t="str">
        <f ca="1">IF($B44="","",VLOOKUP($B44,INDIRECT("'Scenario Results'!$A$3:$hn$5000"),MATCH("Scenario Type",'Scenario Results'!$A$2:$HN$2,0),FALSE))</f>
        <v/>
      </c>
      <c r="AB44" s="1376" t="str">
        <f ca="1">IF($B44="","",VLOOKUP($B44,INDIRECT("'Scenario Results'!$A$3:$hn$5000"),MATCH("Incident Type",'Scenario Results'!$A$2:$HN$2,0),FALSE))</f>
        <v/>
      </c>
      <c r="AC44" s="1154" t="str">
        <f ca="1">IF($B44="","",VLOOKUP($B44,INDIRECT("'Scenario Results'!$A$3:$hn$5000"),MATCH("Initiating Event General Description",'Scenario Results'!$A$2:$HN$2,0),FALSE))</f>
        <v/>
      </c>
      <c r="AD44" s="1154" t="str">
        <f ca="1">IF($B44="","",VLOOKUP($B44,INDIRECT("'Scenario Results'!$A$3:$hn$5000"),MATCH("Total Release Quantity",'Scenario Results'!$A$2:$HN$2,0),FALSE)&amp;" "&amp;VLOOKUP($B44,INDIRECT("'Scenario Results'!$A$3:$hn$5000"),MATCH("Total Release Quantity Units",'Scenario Results'!$A$2:$HN$2,0),FALSE))</f>
        <v/>
      </c>
      <c r="AE44" s="1154" t="str">
        <f ca="1">IF($B44="","",VLOOKUP($B44,INDIRECT("'Scenario Results'!$A$3:$hn$5000"),MATCH("Key Chemical",'Scenario Results'!$A$2:$HN$2,0),FALSE)&amp;IF(WFeed_1&lt;1," Mix",IF(Pseudo_Chem="Yes"," Pseudo Mix","")))</f>
        <v/>
      </c>
      <c r="AF44" s="1154" t="str">
        <f ca="1">IF($B44="","",VLOOKUP($B44,INDIRECT("'Scenario Results'!$A$3:$hn$5000"),MATCH("Outcome",'Scenario Results'!$A$2:$HN$2,0),FALSE))</f>
        <v/>
      </c>
    </row>
    <row r="45" spans="2:40" ht="70" customHeight="1" x14ac:dyDescent="0.25">
      <c r="B45" s="332"/>
      <c r="C45" s="334" t="str">
        <f t="shared" si="0"/>
        <v/>
      </c>
      <c r="D45" s="1598" t="str">
        <f ca="1">IF($B45="","",VLOOKUP($B45,INDIRECT("'Scenario Results'!$A$3:$hn$5000"),MATCH(D$37,'Scenario Results'!$A$2:$HN$2,0),FALSE))</f>
        <v/>
      </c>
      <c r="E45" s="1598" t="str">
        <f ca="1">IF($B45="","",IF(VLOOKUP($B45,INDIRECT("'Scenario Results'!$A$3:$hn$5000"),MATCH(E$37,'Scenario Results'!$A$2:$HN$2,0),FALSE)="",0,VLOOKUP($B45,INDIRECT("'Scenario Results'!$A$3:$hn$5000"),MATCH(E$37,'Scenario Results'!$A$2:$HN$2,0),FALSE)))</f>
        <v/>
      </c>
      <c r="F45" s="1599" t="str">
        <f ca="1">IF($B45="","",VLOOKUP($B45,INDIRECT("'Scenario Results'!$A$3:$hn$5000"),MATCH(F$37,'Scenario Results'!$A$2:$HN$2,0),FALSE))</f>
        <v/>
      </c>
      <c r="G45" s="1598" t="str">
        <f ca="1">IF($B45="","",VLOOKUP($B45,INDIRECT("'Scenario Results'!$A$3:$hn$5000"),MATCH(G$37,'Scenario Results'!$A$2:$HN$2,0),FALSE))</f>
        <v/>
      </c>
      <c r="H45" s="1599" t="str">
        <f ca="1">IF($B45="","",VLOOKUP($B45,INDIRECT("'Scenario Results'!$A$3:$hn$5000"),MATCH(H$37,'Scenario Results'!$A$2:$HN$2,0),FALSE))</f>
        <v/>
      </c>
      <c r="I45" s="1598" t="str">
        <f ca="1">IF($B45="","",VLOOKUP($B45,INDIRECT("'Scenario Results'!$A$3:$hn$5000"),MATCH(I$37,'Scenario Results'!$A$2:$HN$2,0),FALSE))</f>
        <v/>
      </c>
      <c r="J45" s="1599" t="str">
        <f ca="1">IF($B45="","",VLOOKUP($B45,INDIRECT("'Scenario Results'!$A$3:$hn$5000"),MATCH(J$37,'Scenario Results'!$A$2:$HN$2,0),FALSE))</f>
        <v/>
      </c>
      <c r="K45" s="1598" t="str">
        <f ca="1">IF($B45="","",VLOOKUP($B45,INDIRECT("'Scenario Results'!$A$3:$hn$5000"),MATCH(K$37,'Scenario Results'!$A$2:$HN$2,0),FALSE))</f>
        <v/>
      </c>
      <c r="L45" s="1599" t="str">
        <f ca="1">IF($B45="","",VLOOKUP($B45,INDIRECT("'Scenario Results'!$A$3:$hn$5000"),MATCH(L$37,'Scenario Results'!$A$2:$HN$2,0),FALSE))</f>
        <v/>
      </c>
      <c r="M45" s="1598" t="str">
        <f ca="1">IF($B45="","",VLOOKUP($B45,INDIRECT("'Scenario Results'!$A$3:$hn$5000"),MATCH(M$37,'Scenario Results'!$A$2:$HN$2,0),FALSE))</f>
        <v/>
      </c>
      <c r="N45" s="1599" t="str">
        <f ca="1">IF($B45="","",VLOOKUP($B45,INDIRECT("'Scenario Results'!$A$3:$hn$5000"),MATCH(N$37,'Scenario Results'!$A$2:$HN$2,0),FALSE))</f>
        <v/>
      </c>
      <c r="O45" s="1598" t="str">
        <f ca="1">IF($B45="","",VLOOKUP($B45,INDIRECT("'Scenario Results'!$A$3:$hn$5000"),MATCH(O$37,'Scenario Results'!$A$2:$HN$2,0),FALSE))</f>
        <v/>
      </c>
      <c r="P45" s="1599" t="str">
        <f ca="1">IF($B45="","",VLOOKUP($B45,INDIRECT("'Scenario Results'!$A$3:$hn$5000"),MATCH(P$37,'Scenario Results'!$A$2:$HN$2,0),FALSE))</f>
        <v/>
      </c>
      <c r="Q45" s="1598" t="str">
        <f ca="1">IF($B45="","",IF(VLOOKUP($B45,INDIRECT("'Scenario Results'!$A$3:$hn$5000"),MATCH(Q$37,'Scenario Results'!$A$2:$HN$2,0),FALSE)="Mitigation System (Deluge, Foam, etc.) that results in ten-fold reduction in the consequence",0,VLOOKUP($B45,INDIRECT("'Scenario Results'!$A$3:$hn$5000"),MATCH(Q$37,'Scenario Results'!$A$2:$HN$2,0),FALSE)))</f>
        <v/>
      </c>
      <c r="R45" s="1599" t="str">
        <f ca="1">IF($B45="","",VLOOKUP($B45,INDIRECT("'Scenario Results'!$A$3:$hn$5000"),MATCH(R$37,'Scenario Results'!$A$2:$HN$2,0),FALSE))</f>
        <v/>
      </c>
      <c r="S45" s="1598" t="str">
        <f ca="1">IF($B45="","",IF(VLOOKUP($B45,INDIRECT("'Scenario Results'!$A$3:$hn$5000"),MATCH(S$37,'Scenario Results'!$A$2:$HN$2,0),FALSE)="Mitigation System (Deluge, Foam, etc.) that results in ten-fold reduction in the consequence",0,VLOOKUP($B45,INDIRECT("'Scenario Results'!$A$3:$hn$5000"),MATCH(S$37,'Scenario Results'!$A$2:$HN$2,0),FALSE)))</f>
        <v/>
      </c>
      <c r="T45" s="1599" t="str">
        <f ca="1">IF($B45="","",VLOOKUP($B45,INDIRECT("'Scenario Results'!$A$3:$hn$5000"),MATCH(T$37,'Scenario Results'!$A$2:$HN$2,0),FALSE))</f>
        <v/>
      </c>
      <c r="U45" s="1598" t="str">
        <f ca="1">IF($B45="","",IF(VLOOKUP($B45,INDIRECT("'Scenario Results'!$A$3:$hn$5000"),MATCH(U$37,'Scenario Results'!$A$2:$HN$2,0),FALSE)="Mitigation System (Deluge, Foam, etc.) that results in ten-fold reduction in the consequence",0,VLOOKUP($B45,INDIRECT("'Scenario Results'!$A$3:$hn$5000"),MATCH(U$37,'Scenario Results'!$A$2:$HN$2,0),FALSE)))</f>
        <v/>
      </c>
      <c r="V45" s="333" t="str">
        <f t="shared" si="1"/>
        <v/>
      </c>
      <c r="W45" s="270">
        <f t="shared" si="2"/>
        <v>0</v>
      </c>
      <c r="Y45" s="1154" t="str">
        <f ca="1">IF($B45="","",VLOOKUP($B45,INDIRECT("'Scenario Results'!$A$3:$HN$5000"),MATCH("Equipment Tag",'Scenario Results'!$A$2:$HN$2,0),FALSE))</f>
        <v/>
      </c>
      <c r="Z45" s="1154" t="str">
        <f ca="1">IF($B45="","",VLOOKUP($B45,INDIRECT("'Scenario Results'!$A$3:$hn$5000"),MATCH("Equipment Type",'Scenario Results'!$A$2:$HN$2,0),FALSE))</f>
        <v/>
      </c>
      <c r="AA45" s="1154" t="str">
        <f ca="1">IF($B45="","",VLOOKUP($B45,INDIRECT("'Scenario Results'!$A$3:$hn$5000"),MATCH("Scenario Type",'Scenario Results'!$A$2:$HN$2,0),FALSE))</f>
        <v/>
      </c>
      <c r="AB45" s="1376" t="str">
        <f ca="1">IF($B45="","",VLOOKUP($B45,INDIRECT("'Scenario Results'!$A$3:$hn$5000"),MATCH("Incident Type",'Scenario Results'!$A$2:$HN$2,0),FALSE))</f>
        <v/>
      </c>
      <c r="AC45" s="1154" t="str">
        <f ca="1">IF($B45="","",VLOOKUP($B45,INDIRECT("'Scenario Results'!$A$3:$hn$5000"),MATCH("Initiating Event General Description",'Scenario Results'!$A$2:$HN$2,0),FALSE))</f>
        <v/>
      </c>
      <c r="AD45" s="1154" t="str">
        <f ca="1">IF($B45="","",VLOOKUP($B45,INDIRECT("'Scenario Results'!$A$3:$hn$5000"),MATCH("Total Release Quantity",'Scenario Results'!$A$2:$HN$2,0),FALSE)&amp;" "&amp;VLOOKUP($B45,INDIRECT("'Scenario Results'!$A$3:$hn$5000"),MATCH("Total Release Quantity Units",'Scenario Results'!$A$2:$HN$2,0),FALSE))</f>
        <v/>
      </c>
      <c r="AE45" s="1154" t="str">
        <f ca="1">IF($B45="","",VLOOKUP($B45,INDIRECT("'Scenario Results'!$A$3:$hn$5000"),MATCH("Key Chemical",'Scenario Results'!$A$2:$HN$2,0),FALSE)&amp;IF(WFeed_1&lt;1," Mix",IF(Pseudo_Chem="Yes"," Pseudo Mix","")))</f>
        <v/>
      </c>
      <c r="AF45" s="1154" t="str">
        <f ca="1">IF($B45="","",VLOOKUP($B45,INDIRECT("'Scenario Results'!$A$3:$hn$5000"),MATCH("Outcome",'Scenario Results'!$A$2:$HN$2,0),FALSE))</f>
        <v/>
      </c>
    </row>
    <row r="46" spans="2:40" ht="70" customHeight="1" x14ac:dyDescent="0.25">
      <c r="B46" s="332"/>
      <c r="C46" s="334" t="str">
        <f t="shared" si="0"/>
        <v/>
      </c>
      <c r="D46" s="1598" t="str">
        <f ca="1">IF($B46="","",VLOOKUP($B46,INDIRECT("'Scenario Results'!$A$3:$hn$5000"),MATCH(D$37,'Scenario Results'!$A$2:$HN$2,0),FALSE))</f>
        <v/>
      </c>
      <c r="E46" s="1598" t="str">
        <f ca="1">IF($B46="","",IF(VLOOKUP($B46,INDIRECT("'Scenario Results'!$A$3:$hn$5000"),MATCH(E$37,'Scenario Results'!$A$2:$HN$2,0),FALSE)="",0,VLOOKUP($B46,INDIRECT("'Scenario Results'!$A$3:$hn$5000"),MATCH(E$37,'Scenario Results'!$A$2:$HN$2,0),FALSE)))</f>
        <v/>
      </c>
      <c r="F46" s="1599" t="str">
        <f ca="1">IF($B46="","",VLOOKUP($B46,INDIRECT("'Scenario Results'!$A$3:$hn$5000"),MATCH(F$37,'Scenario Results'!$A$2:$HN$2,0),FALSE))</f>
        <v/>
      </c>
      <c r="G46" s="1598" t="str">
        <f ca="1">IF($B46="","",VLOOKUP($B46,INDIRECT("'Scenario Results'!$A$3:$hn$5000"),MATCH(G$37,'Scenario Results'!$A$2:$HN$2,0),FALSE))</f>
        <v/>
      </c>
      <c r="H46" s="1599" t="str">
        <f ca="1">IF($B46="","",VLOOKUP($B46,INDIRECT("'Scenario Results'!$A$3:$hn$5000"),MATCH(H$37,'Scenario Results'!$A$2:$HN$2,0),FALSE))</f>
        <v/>
      </c>
      <c r="I46" s="1598" t="str">
        <f ca="1">IF($B46="","",VLOOKUP($B46,INDIRECT("'Scenario Results'!$A$3:$hn$5000"),MATCH(I$37,'Scenario Results'!$A$2:$HN$2,0),FALSE))</f>
        <v/>
      </c>
      <c r="J46" s="1599" t="str">
        <f ca="1">IF($B46="","",VLOOKUP($B46,INDIRECT("'Scenario Results'!$A$3:$hn$5000"),MATCH(J$37,'Scenario Results'!$A$2:$HN$2,0),FALSE))</f>
        <v/>
      </c>
      <c r="K46" s="1598" t="str">
        <f ca="1">IF($B46="","",VLOOKUP($B46,INDIRECT("'Scenario Results'!$A$3:$hn$5000"),MATCH(K$37,'Scenario Results'!$A$2:$HN$2,0),FALSE))</f>
        <v/>
      </c>
      <c r="L46" s="1599" t="str">
        <f ca="1">IF($B46="","",VLOOKUP($B46,INDIRECT("'Scenario Results'!$A$3:$hn$5000"),MATCH(L$37,'Scenario Results'!$A$2:$HN$2,0),FALSE))</f>
        <v/>
      </c>
      <c r="M46" s="1598" t="str">
        <f ca="1">IF($B46="","",VLOOKUP($B46,INDIRECT("'Scenario Results'!$A$3:$hn$5000"),MATCH(M$37,'Scenario Results'!$A$2:$HN$2,0),FALSE))</f>
        <v/>
      </c>
      <c r="N46" s="1599" t="str">
        <f ca="1">IF($B46="","",VLOOKUP($B46,INDIRECT("'Scenario Results'!$A$3:$hn$5000"),MATCH(N$37,'Scenario Results'!$A$2:$HN$2,0),FALSE))</f>
        <v/>
      </c>
      <c r="O46" s="1598" t="str">
        <f ca="1">IF($B46="","",VLOOKUP($B46,INDIRECT("'Scenario Results'!$A$3:$hn$5000"),MATCH(O$37,'Scenario Results'!$A$2:$HN$2,0),FALSE))</f>
        <v/>
      </c>
      <c r="P46" s="1599" t="str">
        <f ca="1">IF($B46="","",VLOOKUP($B46,INDIRECT("'Scenario Results'!$A$3:$hn$5000"),MATCH(P$37,'Scenario Results'!$A$2:$HN$2,0),FALSE))</f>
        <v/>
      </c>
      <c r="Q46" s="1598" t="str">
        <f ca="1">IF($B46="","",IF(VLOOKUP($B46,INDIRECT("'Scenario Results'!$A$3:$hn$5000"),MATCH(Q$37,'Scenario Results'!$A$2:$HN$2,0),FALSE)="Mitigation System (Deluge, Foam, etc.) that results in ten-fold reduction in the consequence",0,VLOOKUP($B46,INDIRECT("'Scenario Results'!$A$3:$hn$5000"),MATCH(Q$37,'Scenario Results'!$A$2:$HN$2,0),FALSE)))</f>
        <v/>
      </c>
      <c r="R46" s="1599" t="str">
        <f ca="1">IF($B46="","",VLOOKUP($B46,INDIRECT("'Scenario Results'!$A$3:$hn$5000"),MATCH(R$37,'Scenario Results'!$A$2:$HN$2,0),FALSE))</f>
        <v/>
      </c>
      <c r="S46" s="1598" t="str">
        <f ca="1">IF($B46="","",IF(VLOOKUP($B46,INDIRECT("'Scenario Results'!$A$3:$hn$5000"),MATCH(S$37,'Scenario Results'!$A$2:$HN$2,0),FALSE)="Mitigation System (Deluge, Foam, etc.) that results in ten-fold reduction in the consequence",0,VLOOKUP($B46,INDIRECT("'Scenario Results'!$A$3:$hn$5000"),MATCH(S$37,'Scenario Results'!$A$2:$HN$2,0),FALSE)))</f>
        <v/>
      </c>
      <c r="T46" s="1599" t="str">
        <f ca="1">IF($B46="","",VLOOKUP($B46,INDIRECT("'Scenario Results'!$A$3:$hn$5000"),MATCH(T$37,'Scenario Results'!$A$2:$HN$2,0),FALSE))</f>
        <v/>
      </c>
      <c r="U46" s="1598" t="str">
        <f ca="1">IF($B46="","",IF(VLOOKUP($B46,INDIRECT("'Scenario Results'!$A$3:$hn$5000"),MATCH(U$37,'Scenario Results'!$A$2:$HN$2,0),FALSE)="Mitigation System (Deluge, Foam, etc.) that results in ten-fold reduction in the consequence",0,VLOOKUP($B46,INDIRECT("'Scenario Results'!$A$3:$hn$5000"),MATCH(U$37,'Scenario Results'!$A$2:$HN$2,0),FALSE)))</f>
        <v/>
      </c>
      <c r="V46" s="333" t="str">
        <f t="shared" si="1"/>
        <v/>
      </c>
      <c r="W46" s="270">
        <f t="shared" si="2"/>
        <v>0</v>
      </c>
      <c r="Y46" s="1154" t="str">
        <f ca="1">IF($B46="","",VLOOKUP($B46,INDIRECT("'Scenario Results'!$A$3:$HN$5000"),MATCH("Equipment Tag",'Scenario Results'!$A$2:$HN$2,0),FALSE))</f>
        <v/>
      </c>
      <c r="Z46" s="1154" t="str">
        <f ca="1">IF($B46="","",VLOOKUP($B46,INDIRECT("'Scenario Results'!$A$3:$hn$5000"),MATCH("Equipment Type",'Scenario Results'!$A$2:$HN$2,0),FALSE))</f>
        <v/>
      </c>
      <c r="AA46" s="1154" t="str">
        <f ca="1">IF($B46="","",VLOOKUP($B46,INDIRECT("'Scenario Results'!$A$3:$hn$5000"),MATCH("Scenario Type",'Scenario Results'!$A$2:$HN$2,0),FALSE))</f>
        <v/>
      </c>
      <c r="AB46" s="1376" t="str">
        <f ca="1">IF($B46="","",VLOOKUP($B46,INDIRECT("'Scenario Results'!$A$3:$hn$5000"),MATCH("Incident Type",'Scenario Results'!$A$2:$HN$2,0),FALSE))</f>
        <v/>
      </c>
      <c r="AC46" s="1154" t="str">
        <f ca="1">IF($B46="","",VLOOKUP($B46,INDIRECT("'Scenario Results'!$A$3:$hn$5000"),MATCH("Initiating Event General Description",'Scenario Results'!$A$2:$HN$2,0),FALSE))</f>
        <v/>
      </c>
      <c r="AD46" s="1154" t="str">
        <f ca="1">IF($B46="","",VLOOKUP($B46,INDIRECT("'Scenario Results'!$A$3:$hn$5000"),MATCH("Total Release Quantity",'Scenario Results'!$A$2:$HN$2,0),FALSE)&amp;" "&amp;VLOOKUP($B46,INDIRECT("'Scenario Results'!$A$3:$hn$5000"),MATCH("Total Release Quantity Units",'Scenario Results'!$A$2:$HN$2,0),FALSE))</f>
        <v/>
      </c>
      <c r="AE46" s="1154" t="str">
        <f ca="1">IF($B46="","",VLOOKUP($B46,INDIRECT("'Scenario Results'!$A$3:$hn$5000"),MATCH("Key Chemical",'Scenario Results'!$A$2:$HN$2,0),FALSE)&amp;IF(WFeed_1&lt;1," Mix",IF(Pseudo_Chem="Yes"," Pseudo Mix","")))</f>
        <v/>
      </c>
      <c r="AF46" s="1154" t="str">
        <f ca="1">IF($B46="","",VLOOKUP($B46,INDIRECT("'Scenario Results'!$A$3:$hn$5000"),MATCH("Outcome",'Scenario Results'!$A$2:$HN$2,0),FALSE))</f>
        <v/>
      </c>
    </row>
    <row r="47" spans="2:40" ht="70" customHeight="1" x14ac:dyDescent="0.25">
      <c r="B47" s="332"/>
      <c r="C47" s="334" t="str">
        <f t="shared" si="0"/>
        <v/>
      </c>
      <c r="D47" s="1598" t="str">
        <f ca="1">IF($B47="","",VLOOKUP($B47,INDIRECT("'Scenario Results'!$A$3:$hn$5000"),MATCH(D$37,'Scenario Results'!$A$2:$HN$2,0),FALSE))</f>
        <v/>
      </c>
      <c r="E47" s="1598" t="str">
        <f ca="1">IF($B47="","",IF(VLOOKUP($B47,INDIRECT("'Scenario Results'!$A$3:$hn$5000"),MATCH(E$37,'Scenario Results'!$A$2:$HN$2,0),FALSE)="",0,VLOOKUP($B47,INDIRECT("'Scenario Results'!$A$3:$hn$5000"),MATCH(E$37,'Scenario Results'!$A$2:$HN$2,0),FALSE)))</f>
        <v/>
      </c>
      <c r="F47" s="1599" t="str">
        <f ca="1">IF($B47="","",VLOOKUP($B47,INDIRECT("'Scenario Results'!$A$3:$hn$5000"),MATCH(F$37,'Scenario Results'!$A$2:$HN$2,0),FALSE))</f>
        <v/>
      </c>
      <c r="G47" s="1598" t="str">
        <f ca="1">IF($B47="","",VLOOKUP($B47,INDIRECT("'Scenario Results'!$A$3:$hn$5000"),MATCH(G$37,'Scenario Results'!$A$2:$HN$2,0),FALSE))</f>
        <v/>
      </c>
      <c r="H47" s="1599" t="str">
        <f ca="1">IF($B47="","",VLOOKUP($B47,INDIRECT("'Scenario Results'!$A$3:$hn$5000"),MATCH(H$37,'Scenario Results'!$A$2:$HN$2,0),FALSE))</f>
        <v/>
      </c>
      <c r="I47" s="1598" t="str">
        <f ca="1">IF($B47="","",VLOOKUP($B47,INDIRECT("'Scenario Results'!$A$3:$hn$5000"),MATCH(I$37,'Scenario Results'!$A$2:$HN$2,0),FALSE))</f>
        <v/>
      </c>
      <c r="J47" s="1599" t="str">
        <f ca="1">IF($B47="","",VLOOKUP($B47,INDIRECT("'Scenario Results'!$A$3:$hn$5000"),MATCH(J$37,'Scenario Results'!$A$2:$HN$2,0),FALSE))</f>
        <v/>
      </c>
      <c r="K47" s="1598" t="str">
        <f ca="1">IF($B47="","",VLOOKUP($B47,INDIRECT("'Scenario Results'!$A$3:$hn$5000"),MATCH(K$37,'Scenario Results'!$A$2:$HN$2,0),FALSE))</f>
        <v/>
      </c>
      <c r="L47" s="1599" t="str">
        <f ca="1">IF($B47="","",VLOOKUP($B47,INDIRECT("'Scenario Results'!$A$3:$hn$5000"),MATCH(L$37,'Scenario Results'!$A$2:$HN$2,0),FALSE))</f>
        <v/>
      </c>
      <c r="M47" s="1598" t="str">
        <f ca="1">IF($B47="","",VLOOKUP($B47,INDIRECT("'Scenario Results'!$A$3:$hn$5000"),MATCH(M$37,'Scenario Results'!$A$2:$HN$2,0),FALSE))</f>
        <v/>
      </c>
      <c r="N47" s="1599" t="str">
        <f ca="1">IF($B47="","",VLOOKUP($B47,INDIRECT("'Scenario Results'!$A$3:$hn$5000"),MATCH(N$37,'Scenario Results'!$A$2:$HN$2,0),FALSE))</f>
        <v/>
      </c>
      <c r="O47" s="1598" t="str">
        <f ca="1">IF($B47="","",VLOOKUP($B47,INDIRECT("'Scenario Results'!$A$3:$hn$5000"),MATCH(O$37,'Scenario Results'!$A$2:$HN$2,0),FALSE))</f>
        <v/>
      </c>
      <c r="P47" s="1599" t="str">
        <f ca="1">IF($B47="","",VLOOKUP($B47,INDIRECT("'Scenario Results'!$A$3:$hn$5000"),MATCH(P$37,'Scenario Results'!$A$2:$HN$2,0),FALSE))</f>
        <v/>
      </c>
      <c r="Q47" s="1598" t="str">
        <f ca="1">IF($B47="","",IF(VLOOKUP($B47,INDIRECT("'Scenario Results'!$A$3:$hn$5000"),MATCH(Q$37,'Scenario Results'!$A$2:$HN$2,0),FALSE)="Mitigation System (Deluge, Foam, etc.) that results in ten-fold reduction in the consequence",0,VLOOKUP($B47,INDIRECT("'Scenario Results'!$A$3:$hn$5000"),MATCH(Q$37,'Scenario Results'!$A$2:$HN$2,0),FALSE)))</f>
        <v/>
      </c>
      <c r="R47" s="1599" t="str">
        <f ca="1">IF($B47="","",VLOOKUP($B47,INDIRECT("'Scenario Results'!$A$3:$hn$5000"),MATCH(R$37,'Scenario Results'!$A$2:$HN$2,0),FALSE))</f>
        <v/>
      </c>
      <c r="S47" s="1598" t="str">
        <f ca="1">IF($B47="","",IF(VLOOKUP($B47,INDIRECT("'Scenario Results'!$A$3:$hn$5000"),MATCH(S$37,'Scenario Results'!$A$2:$HN$2,0),FALSE)="Mitigation System (Deluge, Foam, etc.) that results in ten-fold reduction in the consequence",0,VLOOKUP($B47,INDIRECT("'Scenario Results'!$A$3:$hn$5000"),MATCH(S$37,'Scenario Results'!$A$2:$HN$2,0),FALSE)))</f>
        <v/>
      </c>
      <c r="T47" s="1599" t="str">
        <f ca="1">IF($B47="","",VLOOKUP($B47,INDIRECT("'Scenario Results'!$A$3:$hn$5000"),MATCH(T$37,'Scenario Results'!$A$2:$HN$2,0),FALSE))</f>
        <v/>
      </c>
      <c r="U47" s="1598" t="str">
        <f ca="1">IF($B47="","",IF(VLOOKUP($B47,INDIRECT("'Scenario Results'!$A$3:$hn$5000"),MATCH(U$37,'Scenario Results'!$A$2:$HN$2,0),FALSE)="Mitigation System (Deluge, Foam, etc.) that results in ten-fold reduction in the consequence",0,VLOOKUP($B47,INDIRECT("'Scenario Results'!$A$3:$hn$5000"),MATCH(U$37,'Scenario Results'!$A$2:$HN$2,0),FALSE)))</f>
        <v/>
      </c>
      <c r="V47" s="333" t="str">
        <f t="shared" si="1"/>
        <v/>
      </c>
      <c r="W47" s="270">
        <f t="shared" si="2"/>
        <v>0</v>
      </c>
      <c r="Y47" s="1154" t="str">
        <f ca="1">IF($B47="","",VLOOKUP($B47,INDIRECT("'Scenario Results'!$A$3:$HN$5000"),MATCH("Equipment Tag",'Scenario Results'!$A$2:$HN$2,0),FALSE))</f>
        <v/>
      </c>
      <c r="Z47" s="1154" t="str">
        <f ca="1">IF($B47="","",VLOOKUP($B47,INDIRECT("'Scenario Results'!$A$3:$hn$5000"),MATCH("Equipment Type",'Scenario Results'!$A$2:$HN$2,0),FALSE))</f>
        <v/>
      </c>
      <c r="AA47" s="1154" t="str">
        <f ca="1">IF($B47="","",VLOOKUP($B47,INDIRECT("'Scenario Results'!$A$3:$hn$5000"),MATCH("Scenario Type",'Scenario Results'!$A$2:$HN$2,0),FALSE))</f>
        <v/>
      </c>
      <c r="AB47" s="1376" t="str">
        <f ca="1">IF($B47="","",VLOOKUP($B47,INDIRECT("'Scenario Results'!$A$3:$hn$5000"),MATCH("Incident Type",'Scenario Results'!$A$2:$HN$2,0),FALSE))</f>
        <v/>
      </c>
      <c r="AC47" s="1154" t="str">
        <f ca="1">IF($B47="","",VLOOKUP($B47,INDIRECT("'Scenario Results'!$A$3:$hn$5000"),MATCH("Initiating Event General Description",'Scenario Results'!$A$2:$HN$2,0),FALSE))</f>
        <v/>
      </c>
      <c r="AD47" s="1154" t="str">
        <f ca="1">IF($B47="","",VLOOKUP($B47,INDIRECT("'Scenario Results'!$A$3:$hn$5000"),MATCH("Total Release Quantity",'Scenario Results'!$A$2:$HN$2,0),FALSE)&amp;" "&amp;VLOOKUP($B47,INDIRECT("'Scenario Results'!$A$3:$hn$5000"),MATCH("Total Release Quantity Units",'Scenario Results'!$A$2:$HN$2,0),FALSE))</f>
        <v/>
      </c>
      <c r="AE47" s="1154" t="str">
        <f ca="1">IF($B47="","",VLOOKUP($B47,INDIRECT("'Scenario Results'!$A$3:$hn$5000"),MATCH("Key Chemical",'Scenario Results'!$A$2:$HN$2,0),FALSE)&amp;IF(WFeed_1&lt;1," Mix",IF(Pseudo_Chem="Yes"," Pseudo Mix","")))</f>
        <v/>
      </c>
      <c r="AF47" s="1154" t="str">
        <f ca="1">IF($B47="","",VLOOKUP($B47,INDIRECT("'Scenario Results'!$A$3:$hn$5000"),MATCH("Outcome",'Scenario Results'!$A$2:$HN$2,0),FALSE))</f>
        <v/>
      </c>
      <c r="AN47" s="264"/>
    </row>
    <row r="48" spans="2:40" ht="15" customHeight="1" thickBot="1" x14ac:dyDescent="0.3">
      <c r="B48" s="271"/>
      <c r="C48" s="272"/>
      <c r="D48" s="271"/>
      <c r="E48" s="271"/>
      <c r="F48" s="272"/>
      <c r="G48" s="271"/>
      <c r="H48" s="272"/>
      <c r="I48" s="271"/>
      <c r="J48" s="271"/>
      <c r="K48" s="271"/>
      <c r="L48" s="271"/>
      <c r="M48" s="271"/>
      <c r="N48" s="271"/>
      <c r="O48" s="271"/>
      <c r="P48" s="271"/>
      <c r="Q48" s="271"/>
      <c r="R48" s="271"/>
      <c r="S48" s="271"/>
      <c r="T48" s="271"/>
      <c r="U48" s="271"/>
      <c r="V48" s="271"/>
      <c r="W48" s="273"/>
      <c r="AN48" s="264"/>
    </row>
    <row r="49" spans="2:40" ht="15" customHeight="1" thickBot="1" x14ac:dyDescent="0.35">
      <c r="B49" s="271"/>
      <c r="C49" s="272"/>
      <c r="D49" s="271"/>
      <c r="E49" s="271"/>
      <c r="F49" s="272"/>
      <c r="G49" s="271"/>
      <c r="H49" s="272"/>
      <c r="I49" s="271"/>
      <c r="J49" s="271"/>
      <c r="K49" s="271"/>
      <c r="L49" s="271"/>
      <c r="M49" s="271"/>
      <c r="N49" s="271"/>
      <c r="O49" s="271"/>
      <c r="P49" s="271"/>
      <c r="Q49" s="271"/>
      <c r="R49" s="271"/>
      <c r="S49" s="271"/>
      <c r="T49" s="271"/>
      <c r="U49" s="271"/>
      <c r="V49" s="274" t="s">
        <v>1214</v>
      </c>
      <c r="W49" s="2032">
        <f>SUM(W38:W47)</f>
        <v>0</v>
      </c>
      <c r="AG49" s="2323" t="s">
        <v>4550</v>
      </c>
      <c r="AN49" s="264"/>
    </row>
    <row r="50" spans="2:40" ht="15" customHeight="1" thickBot="1" x14ac:dyDescent="0.3">
      <c r="B50" s="271"/>
      <c r="C50" s="272"/>
      <c r="D50" s="271"/>
      <c r="E50" s="271"/>
      <c r="F50" s="272"/>
      <c r="G50" s="271"/>
      <c r="H50" s="272"/>
      <c r="I50" s="271"/>
      <c r="J50" s="271"/>
      <c r="K50" s="271"/>
      <c r="L50" s="271"/>
      <c r="M50" s="271"/>
      <c r="N50" s="271"/>
      <c r="O50" s="271"/>
      <c r="P50" s="271"/>
      <c r="Q50" s="271"/>
      <c r="R50" s="271"/>
      <c r="S50" s="271"/>
      <c r="T50" s="271"/>
      <c r="U50" s="271"/>
      <c r="V50" s="275" t="s">
        <v>1215</v>
      </c>
      <c r="W50" s="2033">
        <f>IF(W49&gt;0,-LOG(W49),0)</f>
        <v>0</v>
      </c>
      <c r="AN50" s="264"/>
    </row>
    <row r="51" spans="2:40" ht="15" customHeight="1" x14ac:dyDescent="0.25"/>
    <row r="52" spans="2:40" ht="15" customHeight="1" x14ac:dyDescent="0.25"/>
  </sheetData>
  <sheetProtection sheet="1" objects="1" scenarios="1"/>
  <mergeCells count="8">
    <mergeCell ref="D6:F6"/>
    <mergeCell ref="D7:E7"/>
    <mergeCell ref="N31:Q34"/>
    <mergeCell ref="V31:V33"/>
    <mergeCell ref="R31:R33"/>
    <mergeCell ref="D10:E10"/>
    <mergeCell ref="D9:E9"/>
    <mergeCell ref="C31:E31"/>
  </mergeCells>
  <phoneticPr fontId="3" type="noConversion"/>
  <conditionalFormatting sqref="B38">
    <cfRule type="expression" dxfId="451" priority="55">
      <formula>IF($B$38="",TRUE,FALSE)</formula>
    </cfRule>
  </conditionalFormatting>
  <conditionalFormatting sqref="B40">
    <cfRule type="expression" dxfId="450" priority="53">
      <formula>IF($B$40="",TRUE,FALSE)</formula>
    </cfRule>
  </conditionalFormatting>
  <conditionalFormatting sqref="B41">
    <cfRule type="expression" dxfId="449" priority="52">
      <formula>IF($B$41="",TRUE,FALSE)</formula>
    </cfRule>
  </conditionalFormatting>
  <conditionalFormatting sqref="B42">
    <cfRule type="expression" dxfId="448" priority="51">
      <formula>IF($B$42="",TRUE,FALSE)</formula>
    </cfRule>
  </conditionalFormatting>
  <conditionalFormatting sqref="B43">
    <cfRule type="expression" dxfId="447" priority="50">
      <formula>IF($B$43="",TRUE,FALSE)</formula>
    </cfRule>
  </conditionalFormatting>
  <conditionalFormatting sqref="S27">
    <cfRule type="expression" dxfId="446" priority="66">
      <formula>IF($S$27="Contents Reach Temperature of No Return at Pool Fire Duration",TRUE,FALSE)</formula>
    </cfRule>
  </conditionalFormatting>
  <conditionalFormatting sqref="S28">
    <cfRule type="expression" dxfId="445" priority="67">
      <formula>IF($S$28="Contents Reach Relief Conditions at Pool Fire Duration",TRUE,FALSE)</formula>
    </cfRule>
  </conditionalFormatting>
  <conditionalFormatting sqref="S29:S30 S35:S36">
    <cfRule type="expression" dxfId="444" priority="68">
      <formula>IF($S$29="Contents Reach Failure or Rupture Conditions at Pool Fire Duration",TRUE,FALSE)</formula>
    </cfRule>
  </conditionalFormatting>
  <conditionalFormatting sqref="B39">
    <cfRule type="expression" dxfId="443" priority="19">
      <formula>IF($B$39="",TRUE,FALSE)</formula>
    </cfRule>
  </conditionalFormatting>
  <conditionalFormatting sqref="D6:F6">
    <cfRule type="expression" dxfId="442" priority="18">
      <formula>IF($D$6="",TRUE,FALSE)</formula>
    </cfRule>
  </conditionalFormatting>
  <conditionalFormatting sqref="D7:E7">
    <cfRule type="expression" dxfId="441" priority="17">
      <formula>IF($D$7="",TRUE,FALSE)</formula>
    </cfRule>
  </conditionalFormatting>
  <conditionalFormatting sqref="W38:W47">
    <cfRule type="expression" dxfId="440" priority="16">
      <formula>IF(W38=MAX($W$38:$W$47),TRUE,FALSE)</formula>
    </cfRule>
  </conditionalFormatting>
  <conditionalFormatting sqref="B44">
    <cfRule type="expression" dxfId="439" priority="6">
      <formula>IF($B$43="",TRUE,FALSE)</formula>
    </cfRule>
  </conditionalFormatting>
  <conditionalFormatting sqref="B45">
    <cfRule type="expression" dxfId="438" priority="5">
      <formula>IF($B$41="",TRUE,FALSE)</formula>
    </cfRule>
  </conditionalFormatting>
  <conditionalFormatting sqref="B46">
    <cfRule type="expression" dxfId="437" priority="4">
      <formula>IF($B$41="",TRUE,FALSE)</formula>
    </cfRule>
  </conditionalFormatting>
  <conditionalFormatting sqref="B47">
    <cfRule type="expression" dxfId="436" priority="3">
      <formula>IF($B$41="",TRUE,FALSE)</formula>
    </cfRule>
  </conditionalFormatting>
  <conditionalFormatting sqref="D33">
    <cfRule type="expression" dxfId="435" priority="1">
      <formula>IF($D$33="",TRUE,FALSE)</formula>
    </cfRule>
  </conditionalFormatting>
  <hyperlinks>
    <hyperlink ref="L4:M5" display="Link to Pressure Relief Design web page" xr:uid="{00000000-0004-0000-1200-000000000000}"/>
  </hyperlinks>
  <printOptions horizontalCentered="1" verticalCentered="1"/>
  <pageMargins left="0.25" right="0.25" top="0.25" bottom="0.25" header="0" footer="0.25"/>
  <pageSetup scale="55" fitToWidth="0"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5746" r:id="rId4" name="Button 2">
              <controlPr defaultSize="0" print="0" autoFill="0" autoPict="0" macro="[0]!Save_Equipment">
                <anchor moveWithCells="1" sizeWithCells="1">
                  <from>
                    <xdr:col>2</xdr:col>
                    <xdr:colOff>1333500</xdr:colOff>
                    <xdr:row>1</xdr:row>
                    <xdr:rowOff>114300</xdr:rowOff>
                  </from>
                  <to>
                    <xdr:col>3</xdr:col>
                    <xdr:colOff>647700</xdr:colOff>
                    <xdr:row>3</xdr:row>
                    <xdr:rowOff>76200</xdr:rowOff>
                  </to>
                </anchor>
              </controlPr>
            </control>
          </mc:Choice>
        </mc:AlternateContent>
        <mc:AlternateContent xmlns:mc="http://schemas.openxmlformats.org/markup-compatibility/2006">
          <mc:Choice Requires="x14">
            <control shapeId="1055747" r:id="rId5" name="Button 3">
              <controlPr defaultSize="0" print="0" autoFill="0" autoPict="0" macro="[0]!Clear_PoolFire">
                <anchor moveWithCells="1" sizeWithCells="1">
                  <from>
                    <xdr:col>4</xdr:col>
                    <xdr:colOff>381000</xdr:colOff>
                    <xdr:row>1</xdr:row>
                    <xdr:rowOff>114300</xdr:rowOff>
                  </from>
                  <to>
                    <xdr:col>6</xdr:col>
                    <xdr:colOff>495300</xdr:colOff>
                    <xdr:row>3</xdr:row>
                    <xdr:rowOff>76200</xdr:rowOff>
                  </to>
                </anchor>
              </controlPr>
            </control>
          </mc:Choice>
        </mc:AlternateContent>
        <mc:AlternateContent xmlns:mc="http://schemas.openxmlformats.org/markup-compatibility/2006">
          <mc:Choice Requires="x14">
            <control shapeId="1055772" r:id="rId6" name="Button 28">
              <controlPr defaultSize="0" print="0" autoFill="0" autoPict="0" macro="[0]!Go_To_Main_Menu">
                <anchor moveWithCells="1" sizeWithCells="1">
                  <from>
                    <xdr:col>1</xdr:col>
                    <xdr:colOff>190500</xdr:colOff>
                    <xdr:row>1</xdr:row>
                    <xdr:rowOff>88900</xdr:rowOff>
                  </from>
                  <to>
                    <xdr:col>2</xdr:col>
                    <xdr:colOff>1181100</xdr:colOff>
                    <xdr:row>3</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tabColor rgb="FFFFC000"/>
  </sheetPr>
  <dimension ref="A1:AT68"/>
  <sheetViews>
    <sheetView showRowColHeaders="0" showZeros="0" zoomScale="80" zoomScaleNormal="80" workbookViewId="0">
      <selection activeCell="C8" sqref="C8"/>
    </sheetView>
  </sheetViews>
  <sheetFormatPr defaultColWidth="9.1796875" defaultRowHeight="14.25" customHeight="1" x14ac:dyDescent="0.25"/>
  <cols>
    <col min="1" max="1" width="2.81640625" style="30" customWidth="1"/>
    <col min="2" max="2" width="26" style="30" customWidth="1"/>
    <col min="3" max="3" width="2.81640625" style="30" customWidth="1"/>
    <col min="4" max="4" width="16.453125" style="30" customWidth="1"/>
    <col min="5" max="5" width="8.81640625" style="30" customWidth="1"/>
    <col min="6" max="6" width="39.453125" style="30" customWidth="1"/>
    <col min="7" max="7" width="8.81640625" style="30" customWidth="1"/>
    <col min="8" max="8" width="14.81640625" style="30" customWidth="1"/>
    <col min="9" max="9" width="4.1796875" style="30" customWidth="1"/>
    <col min="10" max="10" width="2.453125" style="30" customWidth="1"/>
    <col min="11" max="12" width="1.81640625" style="30" customWidth="1"/>
    <col min="13" max="13" width="32.81640625" style="30" customWidth="1"/>
    <col min="14" max="15" width="7.81640625" style="30" customWidth="1"/>
    <col min="16" max="16" width="8.453125" style="30" customWidth="1"/>
    <col min="17" max="19" width="7.81640625" style="30" customWidth="1"/>
    <col min="20" max="20" width="6.81640625" style="30" customWidth="1"/>
    <col min="21" max="21" width="9.1796875" style="30" customWidth="1"/>
    <col min="22" max="24" width="7.81640625" style="30" customWidth="1"/>
    <col min="25" max="25" width="1.81640625" style="30" customWidth="1"/>
    <col min="26" max="26" width="2.81640625" style="30" hidden="1" customWidth="1"/>
    <col min="27" max="27" width="48.81640625" style="30" hidden="1" customWidth="1"/>
    <col min="28" max="34" width="10.81640625" style="30" hidden="1" customWidth="1"/>
    <col min="35" max="35" width="11.453125" style="30" hidden="1" customWidth="1"/>
    <col min="36" max="36" width="12.81640625" style="30" hidden="1" customWidth="1"/>
    <col min="37" max="38" width="10.81640625" style="30" hidden="1" customWidth="1"/>
    <col min="39" max="39" width="12.1796875" style="30" hidden="1" customWidth="1"/>
    <col min="40" max="40" width="11.81640625" style="30" hidden="1" customWidth="1"/>
    <col min="41" max="43" width="10.81640625" style="30" hidden="1" customWidth="1"/>
    <col min="44" max="44" width="8.81640625" style="30" hidden="1" customWidth="1"/>
    <col min="45" max="45" width="40.81640625" style="30" hidden="1" customWidth="1"/>
    <col min="46" max="46" width="9.1796875" style="30" customWidth="1"/>
    <col min="47" max="16384" width="9.1796875" style="30"/>
  </cols>
  <sheetData>
    <row r="1" spans="1:46" ht="14.25" customHeight="1" x14ac:dyDescent="0.25">
      <c r="A1" s="345"/>
      <c r="B1" s="345"/>
      <c r="C1" s="345"/>
      <c r="D1" s="345"/>
      <c r="E1" s="345"/>
      <c r="F1" s="345"/>
      <c r="G1" s="345"/>
      <c r="H1" s="345"/>
      <c r="I1" s="345"/>
      <c r="J1" s="345"/>
      <c r="L1" s="345"/>
      <c r="M1" s="345"/>
      <c r="N1" s="345"/>
      <c r="O1" s="345"/>
      <c r="P1" s="345"/>
      <c r="Q1" s="345"/>
      <c r="R1" s="345"/>
      <c r="S1" s="345"/>
      <c r="T1" s="345"/>
      <c r="U1" s="345"/>
      <c r="V1" s="345"/>
      <c r="W1" s="345"/>
      <c r="X1" s="345"/>
      <c r="Y1" s="345"/>
    </row>
    <row r="2" spans="1:46" ht="14.25" customHeight="1" x14ac:dyDescent="0.25">
      <c r="A2" s="345"/>
      <c r="B2" s="345"/>
      <c r="C2" s="345"/>
      <c r="D2" s="3992" t="s">
        <v>2795</v>
      </c>
      <c r="E2" s="3993"/>
      <c r="F2" s="3993"/>
      <c r="G2" s="3562"/>
      <c r="H2" s="345"/>
      <c r="I2" s="345"/>
      <c r="J2" s="345"/>
      <c r="L2" s="345"/>
      <c r="M2" s="3992" t="s">
        <v>2795</v>
      </c>
      <c r="N2" s="3562"/>
      <c r="O2" s="3562"/>
      <c r="P2" s="3562"/>
      <c r="Q2" s="3562"/>
      <c r="R2" s="3562"/>
      <c r="S2" s="3562"/>
      <c r="T2" s="3562"/>
      <c r="U2" s="3562"/>
      <c r="V2" s="3562"/>
      <c r="W2" s="3562"/>
      <c r="X2" s="3562"/>
      <c r="Y2" s="345"/>
      <c r="AA2" s="338"/>
      <c r="AB2" s="3969" t="s">
        <v>2518</v>
      </c>
      <c r="AC2" s="3970"/>
      <c r="AD2" s="3970"/>
      <c r="AE2" s="3970"/>
      <c r="AF2" s="3970"/>
      <c r="AG2" s="3970"/>
      <c r="AH2" s="3970"/>
      <c r="AI2" s="3970"/>
      <c r="AJ2" s="3970"/>
      <c r="AK2" s="3970"/>
      <c r="AL2" s="3970"/>
      <c r="AM2" s="3970"/>
      <c r="AN2" s="3970"/>
      <c r="AO2" s="3970"/>
      <c r="AP2" s="3970"/>
      <c r="AQ2" s="3971"/>
    </row>
    <row r="3" spans="1:46" ht="25" customHeight="1" x14ac:dyDescent="0.25">
      <c r="A3" s="345"/>
      <c r="B3" s="345"/>
      <c r="C3" s="345"/>
      <c r="D3" s="345"/>
      <c r="E3" s="345"/>
      <c r="F3" s="1235" t="str">
        <f>"RAST Version "&amp;Version</f>
        <v>RAST Version 4.5</v>
      </c>
      <c r="G3" s="1052"/>
      <c r="H3" s="345"/>
      <c r="I3" s="345"/>
      <c r="J3" s="345"/>
      <c r="L3" s="345"/>
      <c r="M3" s="3977" t="str">
        <f>"RAST Version "&amp;Version</f>
        <v>RAST Version 4.5</v>
      </c>
      <c r="N3" s="3859"/>
      <c r="O3" s="3859"/>
      <c r="P3" s="3978"/>
      <c r="Q3" s="3978"/>
      <c r="R3" s="3978"/>
      <c r="S3" s="3978"/>
      <c r="T3" s="3978"/>
      <c r="U3" s="3978"/>
      <c r="V3" s="3978"/>
      <c r="W3" s="3978"/>
      <c r="X3" s="3978"/>
      <c r="Y3" s="1120"/>
      <c r="AA3" s="380" t="s">
        <v>2828</v>
      </c>
      <c r="AB3" s="1072" t="str">
        <f>AS4</f>
        <v>Excessive Vent Flow - Pad Gas Failure</v>
      </c>
      <c r="AC3" s="1071" t="str">
        <f>AS5</f>
        <v>Excessive Vent Flow - Displacement from Liquid Filling</v>
      </c>
      <c r="AD3" s="1071" t="str">
        <f>AS6</f>
        <v>Overfill or Overflow</v>
      </c>
      <c r="AE3" s="1071" t="str">
        <f>AS7</f>
        <v>Backflow</v>
      </c>
      <c r="AF3" s="1071" t="str">
        <f>AS8</f>
        <v>Heat Exchanger Tube Failure</v>
      </c>
      <c r="AG3" s="1071" t="str">
        <f>AS9</f>
        <v>Excessive Heat Input - Pool Fire Exposure</v>
      </c>
      <c r="AH3" s="1071" t="str">
        <f>AS10</f>
        <v>Excessive Heat Input - Heat Transfer</v>
      </c>
      <c r="AI3" s="1071" t="str">
        <f>AS11</f>
        <v>Excessive Heat Input - Mechanical Energy</v>
      </c>
      <c r="AJ3" s="1071" t="str">
        <f>AS12</f>
        <v>Uncontrolled Reaction - Adiabatic Conditions</v>
      </c>
      <c r="AK3" s="1071" t="str">
        <f>AS13</f>
        <v>Uncontrolled Reaction - with External Heat</v>
      </c>
      <c r="AL3" s="1071" t="str">
        <f>AS14</f>
        <v>Uncontrolled Reaction - Fire Induced</v>
      </c>
      <c r="AM3" s="1071" t="str">
        <f>AS15</f>
        <v>Uncontrolled Reaction - Catalyst or Impurity</v>
      </c>
      <c r="AN3" s="1071" t="str">
        <f>AS16</f>
        <v>Uncontrolled Reaction - Pooling of Reactants</v>
      </c>
      <c r="AO3" s="1071" t="str">
        <f>AS17</f>
        <v>Uncontrolled Reaction - Mis-Loading</v>
      </c>
      <c r="AP3" s="1071" t="str">
        <f>AS18</f>
        <v>User Defined Vapor Rate</v>
      </c>
      <c r="AQ3" s="1071" t="str">
        <f>AS19</f>
        <v>User Defined Liquid Rate</v>
      </c>
      <c r="AS3" s="1068" t="s">
        <v>2813</v>
      </c>
    </row>
    <row r="4" spans="1:46" ht="14.25" customHeight="1" x14ac:dyDescent="0.25">
      <c r="A4" s="345"/>
      <c r="B4" s="345"/>
      <c r="C4" s="345"/>
      <c r="D4" s="345"/>
      <c r="E4" s="345"/>
      <c r="F4" s="345"/>
      <c r="G4" s="345"/>
      <c r="H4" s="345"/>
      <c r="I4" s="345"/>
      <c r="J4" s="345"/>
      <c r="L4" s="345"/>
      <c r="M4" s="346" t="s">
        <v>296</v>
      </c>
      <c r="N4" s="3979">
        <f>Equipment_Tag</f>
        <v>0</v>
      </c>
      <c r="O4" s="3980"/>
      <c r="P4" s="3981"/>
      <c r="Q4" s="1121"/>
      <c r="R4" s="1121"/>
      <c r="S4" s="342"/>
      <c r="T4" s="342" t="s">
        <v>1466</v>
      </c>
      <c r="U4" s="3983">
        <f>Relief_Type</f>
        <v>0</v>
      </c>
      <c r="V4" s="3980"/>
      <c r="W4" s="3980"/>
      <c r="X4" s="1121"/>
      <c r="Y4" s="1120"/>
      <c r="AA4" s="1093" t="str">
        <f>Chemical_1</f>
        <v/>
      </c>
      <c r="AB4" s="1070">
        <f>IF('Release Calculations'!AE$451&gt;0,'Release Calculations'!AE452/'Release Calculations'!AE$451,0)</f>
        <v>0</v>
      </c>
      <c r="AC4" s="1070">
        <f>IF('Release Calculations'!AG$451&gt;0,'Release Calculations'!AG452/'Release Calculations'!AG$451,0)</f>
        <v>0</v>
      </c>
      <c r="AD4" s="1070">
        <f>IF('Release Calculations'!AE$83&gt;0,'Release Calculations'!AE84/'Release Calculations'!AE$83,0)</f>
        <v>0</v>
      </c>
      <c r="AE4" s="1070">
        <f>IF('Release Calculations'!AG$83&gt;0,'Release Calculations'!AG84/'Release Calculations'!AG$83,0)</f>
        <v>0</v>
      </c>
      <c r="AF4" s="1070">
        <f>IF(AND(Max_Feed_P&gt;Heating_P,'Release Calculations'!AM$83&gt;0),'Release Calculations'!AM84/'Release Calculations'!AM$83,0)</f>
        <v>0</v>
      </c>
      <c r="AG4" s="1070">
        <f>IF('Release Calculations'!AV$67&gt;0,'Release Calculations'!AV68/'Release Calculations'!AV$67,0)</f>
        <v>0</v>
      </c>
      <c r="AH4" s="1070">
        <f>IF('Release Calculations'!AX$67&gt;0,'Release Calculations'!AX68/'Release Calculations'!AX$67,0)</f>
        <v>0</v>
      </c>
      <c r="AI4" s="1070">
        <f>IF('Release Calculations'!AZ$67&gt;0,'Release Calculations'!AZ68/'Release Calculations'!AZ$67,0)</f>
        <v>0</v>
      </c>
      <c r="AJ4" s="1070">
        <f>IF('Release Calculations'!BB$67&gt;0,'Release Calculations'!BB68/'Release Calculations'!BB$67,0)</f>
        <v>0</v>
      </c>
      <c r="AK4" s="1070">
        <f>IF('Release Calculations'!BD$67&gt;0,'Release Calculations'!BD68/'Release Calculations'!BD$67,0)</f>
        <v>0</v>
      </c>
      <c r="AL4" s="1070">
        <f>IF('Release Calculations'!BF$67&gt;0,'Release Calculations'!BF68/'Release Calculations'!BF$67,0)</f>
        <v>0</v>
      </c>
      <c r="AM4" s="1070">
        <f>IF('Release Calculations'!BH$67&gt;0,'Release Calculations'!BH68/'Release Calculations'!BH$67,0)</f>
        <v>0</v>
      </c>
      <c r="AN4" s="1070">
        <f>IF('Release Calculations'!BJ$67&gt;0,'Release Calculations'!BJ68/'Release Calculations'!BJ$67,0)</f>
        <v>0</v>
      </c>
      <c r="AO4" s="1070">
        <f>IF('Release Calculations'!BL$67&gt;0,'Release Calculations'!BL68/'Release Calculations'!BL$67,0)</f>
        <v>0</v>
      </c>
      <c r="AP4" s="1070">
        <f>IF('Release Calculations'!BN$67&gt;0,'Release Calculations'!BN68/'Release Calculations'!BN$67,0)</f>
        <v>0</v>
      </c>
      <c r="AQ4" s="1070">
        <f>IF('Release Calculations'!AK$83&gt;0,'Release Calculations'!AK84/'Release Calculations'!AK$83,0)</f>
        <v>0</v>
      </c>
      <c r="AS4" s="1066" t="s">
        <v>384</v>
      </c>
    </row>
    <row r="5" spans="1:46" ht="14.25" customHeight="1" x14ac:dyDescent="0.25">
      <c r="A5" s="345"/>
      <c r="B5" s="345"/>
      <c r="C5" s="346" t="s">
        <v>2304</v>
      </c>
      <c r="D5" s="3996" t="str">
        <f ca="1">MID(CELL("filename"),SEARCH("[",CELL("filename"))+1, SEARCH("]",CELL("filename"))-SEARCH("[",CELL("filename"))-1)</f>
        <v>Risk Analysis Screening Tool V4.5.xlsm</v>
      </c>
      <c r="E5" s="3997"/>
      <c r="F5" s="1052"/>
      <c r="G5" s="346" t="s">
        <v>2975</v>
      </c>
      <c r="H5" s="1077"/>
      <c r="I5" s="1052"/>
      <c r="J5" s="345"/>
      <c r="L5" s="345"/>
      <c r="M5" s="346" t="s">
        <v>2511</v>
      </c>
      <c r="N5" s="3982">
        <f>Relief_Tag</f>
        <v>0</v>
      </c>
      <c r="O5" s="3980"/>
      <c r="P5" s="3981"/>
      <c r="Q5" s="1121"/>
      <c r="R5" s="1121"/>
      <c r="S5" s="342"/>
      <c r="T5" s="342" t="s">
        <v>2831</v>
      </c>
      <c r="U5" s="3983" t="str">
        <f>IF(Relief_Discharge_Location="","Horizontal Assumed",Relief_Discharge_Location)</f>
        <v>Horizontal Assumed</v>
      </c>
      <c r="V5" s="3980"/>
      <c r="W5" s="3980"/>
      <c r="X5" s="1121"/>
      <c r="Y5" s="1120"/>
      <c r="AA5" s="1094" t="str">
        <f>IF(Chemical_2=0,"",Chemical_2)</f>
        <v/>
      </c>
      <c r="AB5" s="1070">
        <f>IF('Release Calculations'!AE$451&gt;0,'Release Calculations'!AE453/'Release Calculations'!AE$451,0)</f>
        <v>0</v>
      </c>
      <c r="AC5" s="1070">
        <f>IF('Release Calculations'!AG$451&gt;0,'Release Calculations'!AG453/'Release Calculations'!AG$451,0)</f>
        <v>0</v>
      </c>
      <c r="AD5" s="1070">
        <f>IF('Release Calculations'!AE$83&gt;0,'Release Calculations'!AE85/'Release Calculations'!AE$83,0)</f>
        <v>0</v>
      </c>
      <c r="AE5" s="1070">
        <f>IF('Release Calculations'!AG$83&gt;0,'Release Calculations'!AG85/'Release Calculations'!AG$83,0)</f>
        <v>0</v>
      </c>
      <c r="AF5" s="1070">
        <f>IF(AND(Max_Feed_P&gt;Heating_P,'Release Calculations'!AM$83&gt;0),'Release Calculations'!AM85/'Release Calculations'!AM$83,0)</f>
        <v>0</v>
      </c>
      <c r="AG5" s="1070">
        <f>IF('Release Calculations'!AV$67&gt;0,'Release Calculations'!AV69/'Release Calculations'!AV$67,0)</f>
        <v>0</v>
      </c>
      <c r="AH5" s="1070">
        <f>IF('Release Calculations'!AX$67&gt;0,'Release Calculations'!AX69/'Release Calculations'!AX$67,0)</f>
        <v>0</v>
      </c>
      <c r="AI5" s="1070">
        <f>IF('Release Calculations'!AZ$67&gt;0,'Release Calculations'!AZ69/'Release Calculations'!AZ$67,0)</f>
        <v>0</v>
      </c>
      <c r="AJ5" s="1070">
        <f>IF('Release Calculations'!BB$67&gt;0,'Release Calculations'!BB69/'Release Calculations'!BB$67,0)</f>
        <v>0</v>
      </c>
      <c r="AK5" s="1070">
        <f>IF('Release Calculations'!BD$67&gt;0,'Release Calculations'!BD69/'Release Calculations'!BD$67,0)</f>
        <v>0</v>
      </c>
      <c r="AL5" s="1070">
        <f>IF('Release Calculations'!BF$67&gt;0,'Release Calculations'!BF69/'Release Calculations'!BF$67,0)</f>
        <v>0</v>
      </c>
      <c r="AM5" s="1070">
        <f>IF('Release Calculations'!BH$67&gt;0,'Release Calculations'!BH69/'Release Calculations'!BH$67,0)</f>
        <v>0</v>
      </c>
      <c r="AN5" s="1070">
        <f>IF('Release Calculations'!BJ$67&gt;0,'Release Calculations'!BJ69/'Release Calculations'!BJ$67,0)</f>
        <v>0</v>
      </c>
      <c r="AO5" s="1070">
        <f>IF('Release Calculations'!BL$67&gt;0,'Release Calculations'!BL69/'Release Calculations'!BL$67,0)</f>
        <v>0</v>
      </c>
      <c r="AP5" s="1070">
        <f>IF('Release Calculations'!BN$67&gt;0,'Release Calculations'!BN69/'Release Calculations'!BN$67,0)</f>
        <v>0</v>
      </c>
      <c r="AQ5" s="1070">
        <f>IF('Release Calculations'!AK$83&gt;0,'Release Calculations'!AK85/'Release Calculations'!AK$83,0)</f>
        <v>0</v>
      </c>
      <c r="AS5" s="1066" t="s">
        <v>1842</v>
      </c>
    </row>
    <row r="6" spans="1:46" ht="14.25" customHeight="1" x14ac:dyDescent="0.25">
      <c r="A6" s="345"/>
      <c r="B6" s="345"/>
      <c r="C6" s="346" t="s">
        <v>296</v>
      </c>
      <c r="D6" s="3998">
        <f>Equipment_Tag</f>
        <v>0</v>
      </c>
      <c r="E6" s="3997"/>
      <c r="F6" s="1052"/>
      <c r="G6" s="346" t="s">
        <v>4241</v>
      </c>
      <c r="H6" s="1103"/>
      <c r="I6" s="345"/>
      <c r="J6" s="345"/>
      <c r="L6" s="345"/>
      <c r="M6" s="346"/>
      <c r="N6" s="1121"/>
      <c r="O6" s="1121"/>
      <c r="P6" s="1121"/>
      <c r="Q6" s="1121"/>
      <c r="R6" s="1121"/>
      <c r="S6" s="342"/>
      <c r="T6" s="342"/>
      <c r="U6" s="1121"/>
      <c r="V6" s="1121"/>
      <c r="W6" s="1121"/>
      <c r="X6" s="1121"/>
      <c r="Y6" s="1120"/>
      <c r="AA6" s="1094" t="str">
        <f>IF(Chemical_3=0,"",Chemical_3)</f>
        <v/>
      </c>
      <c r="AB6" s="1070">
        <f>IF('Release Calculations'!AE$451&gt;0,'Release Calculations'!AE454/'Release Calculations'!AE$451,0)</f>
        <v>0</v>
      </c>
      <c r="AC6" s="1070">
        <f>IF('Release Calculations'!AG$451&gt;0,'Release Calculations'!AG454/'Release Calculations'!AG$451,0)</f>
        <v>0</v>
      </c>
      <c r="AD6" s="1070">
        <f>IF('Release Calculations'!AE$83&gt;0,'Release Calculations'!AE86/'Release Calculations'!AE$83,0)</f>
        <v>0</v>
      </c>
      <c r="AE6" s="1070">
        <f>IF('Release Calculations'!AG$83&gt;0,'Release Calculations'!AG86/'Release Calculations'!AG$83,0)</f>
        <v>0</v>
      </c>
      <c r="AF6" s="1070">
        <f>IF(AND(Max_Feed_P&gt;Heating_P,'Release Calculations'!AM$83&gt;0),'Release Calculations'!AM86/'Release Calculations'!AM$83,0)</f>
        <v>0</v>
      </c>
      <c r="AG6" s="1070">
        <f>IF('Release Calculations'!AV$67&gt;0,'Release Calculations'!AV70/'Release Calculations'!AV$67,0)</f>
        <v>0</v>
      </c>
      <c r="AH6" s="1070">
        <f>IF('Release Calculations'!AX$67&gt;0,'Release Calculations'!AX70/'Release Calculations'!AX$67,0)</f>
        <v>0</v>
      </c>
      <c r="AI6" s="1070">
        <f>IF('Release Calculations'!AZ$67&gt;0,'Release Calculations'!AZ70/'Release Calculations'!AZ$67,0)</f>
        <v>0</v>
      </c>
      <c r="AJ6" s="1070">
        <f>IF('Release Calculations'!BB$67&gt;0,'Release Calculations'!BB70/'Release Calculations'!BB$67,0)</f>
        <v>0</v>
      </c>
      <c r="AK6" s="1070">
        <f>IF('Release Calculations'!BD$67&gt;0,'Release Calculations'!BD70/'Release Calculations'!BD$67,0)</f>
        <v>0</v>
      </c>
      <c r="AL6" s="1070">
        <f>IF('Release Calculations'!BF$67&gt;0,'Release Calculations'!BF70/'Release Calculations'!BF$67,0)</f>
        <v>0</v>
      </c>
      <c r="AM6" s="1070">
        <f>IF('Release Calculations'!BH$67&gt;0,'Release Calculations'!BH70/'Release Calculations'!BH$67,0)</f>
        <v>0</v>
      </c>
      <c r="AN6" s="1070">
        <f>IF('Release Calculations'!BJ$67&gt;0,'Release Calculations'!BJ70/'Release Calculations'!BJ$67,0)</f>
        <v>0</v>
      </c>
      <c r="AO6" s="1070">
        <f>IF('Release Calculations'!BL$67&gt;0,'Release Calculations'!BL70/'Release Calculations'!BL$67,0)</f>
        <v>0</v>
      </c>
      <c r="AP6" s="1070">
        <f>IF('Release Calculations'!BN$67&gt;0,'Release Calculations'!BN70/'Release Calculations'!BN$67,0)</f>
        <v>0</v>
      </c>
      <c r="AQ6" s="1070">
        <f>IF('Release Calculations'!AK$83&gt;0,'Release Calculations'!AK86/'Release Calculations'!AK$83,0)</f>
        <v>0</v>
      </c>
      <c r="AS6" s="1066" t="str">
        <f>IF(State="Vapor","Excessive Vapor Flow","Overfill or Overflow")</f>
        <v>Overfill or Overflow</v>
      </c>
    </row>
    <row r="7" spans="1:46" ht="14.25" customHeight="1" x14ac:dyDescent="0.25">
      <c r="A7" s="345"/>
      <c r="B7" s="345"/>
      <c r="C7" s="346" t="s">
        <v>2511</v>
      </c>
      <c r="D7" s="3999">
        <f>Relief_Tag</f>
        <v>0</v>
      </c>
      <c r="E7" s="3997"/>
      <c r="F7" s="345"/>
      <c r="G7" s="2220"/>
      <c r="H7" s="2220"/>
      <c r="I7" s="345"/>
      <c r="J7" s="345"/>
      <c r="L7" s="345"/>
      <c r="M7" s="1069" t="s">
        <v>2812</v>
      </c>
      <c r="N7" s="3984" t="s">
        <v>1263</v>
      </c>
      <c r="O7" s="3985"/>
      <c r="P7" s="3985"/>
      <c r="Q7" s="3985"/>
      <c r="R7" s="3985"/>
      <c r="S7" s="3985"/>
      <c r="T7" s="1121"/>
      <c r="U7" s="1121"/>
      <c r="V7" s="1121"/>
      <c r="W7" s="1121"/>
      <c r="X7" s="1121"/>
      <c r="Y7" s="1120"/>
      <c r="AA7" s="1094" t="str">
        <f>IF(Chemical_4=0,"",Chemical_4)</f>
        <v/>
      </c>
      <c r="AB7" s="1070">
        <f>IF('Release Calculations'!AE$451&gt;0,'Release Calculations'!AE455/'Release Calculations'!AE$451,0)</f>
        <v>0</v>
      </c>
      <c r="AC7" s="1070">
        <f>IF('Release Calculations'!AG$451&gt;0,'Release Calculations'!AG455/'Release Calculations'!AG$451,0)</f>
        <v>0</v>
      </c>
      <c r="AD7" s="1070">
        <f>IF('Release Calculations'!AE$83&gt;0,'Release Calculations'!AE87/'Release Calculations'!AE$83,0)</f>
        <v>0</v>
      </c>
      <c r="AE7" s="1070">
        <f>IF('Release Calculations'!AG$83&gt;0,'Release Calculations'!AG87/'Release Calculations'!AG$83,0)</f>
        <v>0</v>
      </c>
      <c r="AF7" s="1070">
        <f>IF(AND(Max_Feed_P&gt;Heating_P,'Release Calculations'!AM$83&gt;0),'Release Calculations'!AM87/'Release Calculations'!AM$83,0)</f>
        <v>0</v>
      </c>
      <c r="AG7" s="1070">
        <f>IF('Release Calculations'!AV$67&gt;0,'Release Calculations'!AV71/'Release Calculations'!AV$67,0)</f>
        <v>0</v>
      </c>
      <c r="AH7" s="1070">
        <f>IF('Release Calculations'!AX$67&gt;0,'Release Calculations'!AX71/'Release Calculations'!AX$67,0)</f>
        <v>0</v>
      </c>
      <c r="AI7" s="1070">
        <f>IF('Release Calculations'!AZ$67&gt;0,'Release Calculations'!AZ71/'Release Calculations'!AZ$67,0)</f>
        <v>0</v>
      </c>
      <c r="AJ7" s="1070">
        <f>IF('Release Calculations'!BB$67&gt;0,'Release Calculations'!BB71/'Release Calculations'!BB$67,0)</f>
        <v>0</v>
      </c>
      <c r="AK7" s="1070">
        <f>IF('Release Calculations'!BD$67&gt;0,'Release Calculations'!BD71/'Release Calculations'!BD$67,0)</f>
        <v>0</v>
      </c>
      <c r="AL7" s="1070">
        <f>IF('Release Calculations'!BF$67&gt;0,'Release Calculations'!BF71/'Release Calculations'!BF$67,0)</f>
        <v>0</v>
      </c>
      <c r="AM7" s="1070">
        <f>IF('Release Calculations'!BH$67&gt;0,'Release Calculations'!BH71/'Release Calculations'!BH$67,0)</f>
        <v>0</v>
      </c>
      <c r="AN7" s="1070">
        <f>IF('Release Calculations'!BJ$67&gt;0,'Release Calculations'!BJ71/'Release Calculations'!BJ$67,0)</f>
        <v>0</v>
      </c>
      <c r="AO7" s="1070">
        <f>IF('Release Calculations'!BL$67&gt;0,'Release Calculations'!BL71/'Release Calculations'!BL$67,0)</f>
        <v>0</v>
      </c>
      <c r="AP7" s="1070">
        <f>IF('Release Calculations'!BN$67&gt;0,'Release Calculations'!BN71/'Release Calculations'!BN$67,0)</f>
        <v>0</v>
      </c>
      <c r="AQ7" s="1070">
        <f>IF('Release Calculations'!AK$83&gt;0,'Release Calculations'!AK87/'Release Calculations'!AK$83,0)</f>
        <v>0</v>
      </c>
      <c r="AS7" s="1066" t="s">
        <v>2561</v>
      </c>
    </row>
    <row r="8" spans="1:46" ht="14.25" customHeight="1" x14ac:dyDescent="0.25">
      <c r="A8" s="345"/>
      <c r="B8" s="345"/>
      <c r="C8" s="346" t="s">
        <v>3017</v>
      </c>
      <c r="D8" s="4000"/>
      <c r="E8" s="4001"/>
      <c r="F8" s="2221" t="s">
        <v>4487</v>
      </c>
      <c r="G8" s="2221"/>
      <c r="H8" s="2221"/>
      <c r="I8" s="345"/>
      <c r="J8" s="345"/>
      <c r="L8" s="345"/>
      <c r="M8" s="1121"/>
      <c r="N8" s="1121"/>
      <c r="O8" s="1121"/>
      <c r="P8" s="1121"/>
      <c r="Q8" s="1121"/>
      <c r="R8" s="1121"/>
      <c r="S8" s="1121"/>
      <c r="T8" s="1121"/>
      <c r="U8" s="345"/>
      <c r="V8" s="345"/>
      <c r="W8" s="345"/>
      <c r="X8" s="345"/>
      <c r="Y8" s="718"/>
      <c r="AA8" s="1094" t="str">
        <f>IF(Chemical_5=0,"",Chemical_5)</f>
        <v/>
      </c>
      <c r="AB8" s="1070">
        <f>IF('Release Calculations'!AE$451&gt;0,'Release Calculations'!AE456/'Release Calculations'!AE$451,0)</f>
        <v>0</v>
      </c>
      <c r="AC8" s="1070">
        <f>IF('Release Calculations'!AG$451&gt;0,'Release Calculations'!AG456/'Release Calculations'!AG$451,0)</f>
        <v>0</v>
      </c>
      <c r="AD8" s="1070">
        <f>IF('Release Calculations'!AE$83&gt;0,'Release Calculations'!AE88/'Release Calculations'!AE$83,0)</f>
        <v>0</v>
      </c>
      <c r="AE8" s="1070">
        <f>IF('Release Calculations'!AG$83&gt;0,'Release Calculations'!AG88/'Release Calculations'!AG$83,0)</f>
        <v>0</v>
      </c>
      <c r="AF8" s="1070">
        <f>IF(AND(Max_Feed_P&gt;Heating_P,'Release Calculations'!AM$83&gt;0),'Release Calculations'!AM88/'Release Calculations'!AM$83,0)</f>
        <v>0</v>
      </c>
      <c r="AG8" s="1070">
        <f>IF('Release Calculations'!AV$67&gt;0,'Release Calculations'!AV72/'Release Calculations'!AV$67,0)</f>
        <v>0</v>
      </c>
      <c r="AH8" s="1070">
        <f>IF('Release Calculations'!AX$67&gt;0,'Release Calculations'!AX72/'Release Calculations'!AX$67,0)</f>
        <v>0</v>
      </c>
      <c r="AI8" s="1070">
        <f>IF('Release Calculations'!AZ$67&gt;0,'Release Calculations'!AZ72/'Release Calculations'!AZ$67,0)</f>
        <v>0</v>
      </c>
      <c r="AJ8" s="1070">
        <f>IF('Release Calculations'!BB$67&gt;0,'Release Calculations'!BB72/'Release Calculations'!BB$67,0)</f>
        <v>0</v>
      </c>
      <c r="AK8" s="1070">
        <f>IF('Release Calculations'!BD$67&gt;0,'Release Calculations'!BD72/'Release Calculations'!BD$67,0)</f>
        <v>0</v>
      </c>
      <c r="AL8" s="1070">
        <f>IF('Release Calculations'!BF$67&gt;0,'Release Calculations'!BF72/'Release Calculations'!BF$67,0)</f>
        <v>0</v>
      </c>
      <c r="AM8" s="1070">
        <f>IF('Release Calculations'!BH$67&gt;0,'Release Calculations'!BH72/'Release Calculations'!BH$67,0)</f>
        <v>0</v>
      </c>
      <c r="AN8" s="1070">
        <f>IF('Release Calculations'!BJ$67&gt;0,'Release Calculations'!BJ72/'Release Calculations'!BJ$67,0)</f>
        <v>0</v>
      </c>
      <c r="AO8" s="1070">
        <f>IF('Release Calculations'!BL$67&gt;0,'Release Calculations'!BL72/'Release Calculations'!BL$67,0)</f>
        <v>0</v>
      </c>
      <c r="AP8" s="1070">
        <f>IF('Release Calculations'!BN$67&gt;0,'Release Calculations'!BN72/'Release Calculations'!BN$67,0)</f>
        <v>0</v>
      </c>
      <c r="AQ8" s="1070">
        <f>IF('Release Calculations'!AK$83&gt;0,'Release Calculations'!AK88/'Release Calculations'!AK$83,0)</f>
        <v>0</v>
      </c>
      <c r="AS8" s="1066" t="s">
        <v>1473</v>
      </c>
    </row>
    <row r="9" spans="1:46" ht="14.25" customHeight="1" x14ac:dyDescent="0.25">
      <c r="A9" s="345"/>
      <c r="B9" s="345"/>
      <c r="C9" s="346" t="s">
        <v>2974</v>
      </c>
      <c r="D9" s="4002"/>
      <c r="E9" s="4003"/>
      <c r="F9" s="2221" t="str">
        <f>"Onsite Personnel exposed to "&amp;ReliefEff_Flammable&amp;" times LFL (flammable) vapor - or - hot, corrosive or toxic liquid"</f>
        <v>Onsite Personnel exposed to 0.25 times LFL (flammable) vapor - or - hot, corrosive or toxic liquid</v>
      </c>
      <c r="G9" s="1052"/>
      <c r="H9" s="1052"/>
      <c r="I9" s="345"/>
      <c r="J9" s="345"/>
      <c r="L9" s="345"/>
      <c r="M9" s="1055"/>
      <c r="N9" s="3972" t="s">
        <v>2838</v>
      </c>
      <c r="O9" s="3972" t="s">
        <v>2517</v>
      </c>
      <c r="P9" s="3974" t="s">
        <v>2225</v>
      </c>
      <c r="Q9" s="3974" t="s">
        <v>1408</v>
      </c>
      <c r="R9" s="3974" t="s">
        <v>1409</v>
      </c>
      <c r="S9" s="3974" t="s">
        <v>2495</v>
      </c>
      <c r="T9" s="345"/>
      <c r="U9" s="345"/>
      <c r="V9" s="345"/>
      <c r="W9" s="345"/>
      <c r="X9" s="345"/>
      <c r="Y9" s="345"/>
      <c r="AA9" s="1094" t="str">
        <f>IF(Pad_Name=0,"Unspecified Pad Gas",Pad_Name)</f>
        <v>Unspecified Pad Gas</v>
      </c>
      <c r="AB9" s="1070">
        <f>IF('Release Calculations'!AE$451&gt;0,'Release Calculations'!AE457/'Release Calculations'!AE$451,0)</f>
        <v>0</v>
      </c>
      <c r="AC9" s="1070">
        <f>IF('Release Calculations'!AG$451&gt;0,'Release Calculations'!AG457/'Release Calculations'!AG$451,0)</f>
        <v>0</v>
      </c>
      <c r="AD9" s="1106"/>
      <c r="AE9" s="1106"/>
      <c r="AF9" s="1106"/>
      <c r="AG9" s="1106"/>
      <c r="AH9" s="1106"/>
      <c r="AI9" s="1106"/>
      <c r="AJ9" s="1106"/>
      <c r="AK9" s="1106"/>
      <c r="AL9" s="1106"/>
      <c r="AM9" s="1106"/>
      <c r="AN9" s="1106"/>
      <c r="AO9" s="1106"/>
      <c r="AP9" s="1106"/>
      <c r="AQ9" s="1106"/>
      <c r="AS9" s="1066" t="s">
        <v>1263</v>
      </c>
    </row>
    <row r="10" spans="1:46" ht="14.25" customHeight="1" x14ac:dyDescent="0.25">
      <c r="A10" s="345"/>
      <c r="B10" s="345"/>
      <c r="C10" s="345"/>
      <c r="D10" s="345"/>
      <c r="E10" s="345"/>
      <c r="F10" s="2221" t="str">
        <f>"Onsite Personnel exposed to "&amp;ReliefEff_Toxic&amp;" times ERPG-3 vapor concentration for short duration (toxic)"</f>
        <v>Onsite Personnel exposed to 2 times ERPG-3 vapor concentration for short duration (toxic)</v>
      </c>
      <c r="G10" s="345"/>
      <c r="H10" s="345"/>
      <c r="I10" s="1052"/>
      <c r="J10" s="345"/>
      <c r="L10" s="345"/>
      <c r="M10" s="889" t="s">
        <v>2494</v>
      </c>
      <c r="N10" s="3973"/>
      <c r="O10" s="3973"/>
      <c r="P10" s="3975"/>
      <c r="Q10" s="3975"/>
      <c r="R10" s="3976"/>
      <c r="S10" s="3976"/>
      <c r="T10" s="345"/>
      <c r="U10" s="345"/>
      <c r="V10" s="345"/>
      <c r="W10" s="345"/>
      <c r="X10" s="345"/>
      <c r="Y10" s="345"/>
      <c r="Z10" s="5"/>
      <c r="AA10" s="1095" t="str">
        <f>IF(Heating_Media_Name=0,"",Heating_Media_Name)</f>
        <v/>
      </c>
      <c r="AB10" s="1070"/>
      <c r="AC10" s="1070"/>
      <c r="AD10" s="1106"/>
      <c r="AE10" s="1106"/>
      <c r="AF10" s="1106">
        <f>IF(AND(Heating_P&gt;Relief_Set,OR(Equipment="Heat Exchanger",Tube_D_Input&lt;&gt;"")),IF(Max_Feed_P&lt;=Heating_P,1,0),0)</f>
        <v>0</v>
      </c>
      <c r="AG10" s="1106"/>
      <c r="AH10" s="1106"/>
      <c r="AI10" s="1106"/>
      <c r="AJ10" s="1106"/>
      <c r="AK10" s="1106"/>
      <c r="AL10" s="1106"/>
      <c r="AM10" s="1106"/>
      <c r="AN10" s="1106"/>
      <c r="AO10" s="1106"/>
      <c r="AP10" s="1106"/>
      <c r="AQ10" s="1106"/>
      <c r="AS10" s="1066" t="s">
        <v>26</v>
      </c>
    </row>
    <row r="11" spans="1:46" ht="14.25" customHeight="1" x14ac:dyDescent="0.25">
      <c r="A11" s="345"/>
      <c r="B11" s="345"/>
      <c r="C11" s="345"/>
      <c r="D11" s="345"/>
      <c r="E11" s="345"/>
      <c r="F11" s="2221" t="str">
        <f>"Occupied Buildings exposed to "&amp;ReliefEff_Infiltration&amp;" times ERPG-3 vapor concentration (toxic infiltration)"</f>
        <v>Occupied Buildings exposed to 1 times ERPG-3 vapor concentration (toxic infiltration)</v>
      </c>
      <c r="G11" s="345"/>
      <c r="H11" s="345"/>
      <c r="I11" s="345"/>
      <c r="J11" s="345"/>
      <c r="L11" s="345"/>
      <c r="M11" s="1076" t="str">
        <f>ChemName_1&amp;IF(Pseudo_Chem="Yes"," Pseudo Mix","")</f>
        <v/>
      </c>
      <c r="N11" s="891" t="str">
        <f>IF(WFeed_1=0,"",WFeed_1)</f>
        <v/>
      </c>
      <c r="O11" s="891">
        <f>HLOOKUP($N$7,$AA$3:$AQ$40,2,FALSE)</f>
        <v>0</v>
      </c>
      <c r="P11" s="890" t="str">
        <f>Mw_1</f>
        <v/>
      </c>
      <c r="Q11" s="890" t="str">
        <f>ER2_1</f>
        <v/>
      </c>
      <c r="R11" s="890" t="str">
        <f>ER3_1</f>
        <v/>
      </c>
      <c r="S11" s="890" t="str">
        <f>LFL_1</f>
        <v/>
      </c>
      <c r="T11" s="345"/>
      <c r="U11" s="345"/>
      <c r="V11" s="345"/>
      <c r="W11" s="345"/>
      <c r="X11" s="345"/>
      <c r="Y11" s="345"/>
      <c r="Z11" s="5"/>
      <c r="AA11" s="892" t="s">
        <v>2724</v>
      </c>
      <c r="AB11" s="890">
        <f>'Release Calculations'!AE488</f>
        <v>29</v>
      </c>
      <c r="AC11" s="890">
        <f>'Release Calculations'!AG488</f>
        <v>29</v>
      </c>
      <c r="AD11" s="890">
        <f>'Release Calculations'!AE98</f>
        <v>0</v>
      </c>
      <c r="AE11" s="890">
        <f>'Release Calculations'!AG98</f>
        <v>0</v>
      </c>
      <c r="AF11" s="890">
        <f>IF(Max_Feed_P&lt;=Heating_P,'Release Calculations'!AO98,'Release Calculations'!AM98)</f>
        <v>0</v>
      </c>
      <c r="AG11" s="890">
        <f>'Release Calculations'!AV82</f>
        <v>0</v>
      </c>
      <c r="AH11" s="890">
        <f>'Release Calculations'!AX82</f>
        <v>0</v>
      </c>
      <c r="AI11" s="890">
        <f>'Release Calculations'!AZ82</f>
        <v>0</v>
      </c>
      <c r="AJ11" s="890">
        <f>'Release Calculations'!BB82</f>
        <v>0</v>
      </c>
      <c r="AK11" s="890">
        <f>'Release Calculations'!BD82</f>
        <v>0</v>
      </c>
      <c r="AL11" s="890">
        <f>'Release Calculations'!BF82</f>
        <v>0</v>
      </c>
      <c r="AM11" s="890">
        <f>'Release Calculations'!BH82</f>
        <v>0</v>
      </c>
      <c r="AN11" s="890">
        <f>'Release Calculations'!BJ82</f>
        <v>0</v>
      </c>
      <c r="AO11" s="890">
        <f>'Release Calculations'!BL82</f>
        <v>0</v>
      </c>
      <c r="AP11" s="890">
        <f>'Release Calculations'!BN82</f>
        <v>0</v>
      </c>
      <c r="AQ11" s="890">
        <f>'Release Calculations'!AK98</f>
        <v>0</v>
      </c>
      <c r="AS11" s="1066" t="s">
        <v>385</v>
      </c>
      <c r="AT11" s="335"/>
    </row>
    <row r="12" spans="1:46" ht="14.25" customHeight="1" x14ac:dyDescent="0.25">
      <c r="A12" s="345"/>
      <c r="B12" s="345"/>
      <c r="C12" s="345"/>
      <c r="D12" s="345"/>
      <c r="E12" s="345" t="str">
        <f>IF(F14="Pump or Compressor Suction","Relief Device Noted as NOT Discharging Directly to Atmosphere.  Relief Effluent Evaluation Not Required.","")</f>
        <v/>
      </c>
      <c r="F12" s="345"/>
      <c r="G12" s="345"/>
      <c r="H12" s="345"/>
      <c r="I12" s="345"/>
      <c r="J12" s="345"/>
      <c r="L12" s="345"/>
      <c r="M12" s="1076" t="str">
        <f>IF(Pseudo_Chem="Yes","",ChemName_2)</f>
        <v/>
      </c>
      <c r="N12" s="891" t="str">
        <f>IF(WFeed_2=0,"",WFeed_2)</f>
        <v/>
      </c>
      <c r="O12" s="891">
        <f>HLOOKUP($N$7,$AA$3:$AQ$40,3,FALSE)</f>
        <v>0</v>
      </c>
      <c r="P12" s="890" t="str">
        <f>Mw_2</f>
        <v/>
      </c>
      <c r="Q12" s="890" t="str">
        <f>ER2_2</f>
        <v/>
      </c>
      <c r="R12" s="890" t="str">
        <f>ER3_2</f>
        <v/>
      </c>
      <c r="S12" s="890" t="str">
        <f>LFL_2</f>
        <v/>
      </c>
      <c r="T12" s="345"/>
      <c r="U12" s="345"/>
      <c r="V12" s="345"/>
      <c r="W12" s="345"/>
      <c r="X12" s="345"/>
      <c r="Y12" s="345"/>
      <c r="Z12" s="5"/>
      <c r="AA12" s="897" t="s">
        <v>4237</v>
      </c>
      <c r="AB12" s="915" t="str">
        <f>IF('Release Calculations'!AE629="","",'Release Calculations'!AE629)</f>
        <v/>
      </c>
      <c r="AC12" s="915" t="str">
        <f>IF('Release Calculations'!AG629="","",'Release Calculations'!AG629)</f>
        <v/>
      </c>
      <c r="AD12" s="915" t="str">
        <f>IF('Release Calculations'!AE238="","",'Release Calculations'!AE238)</f>
        <v/>
      </c>
      <c r="AE12" s="915" t="str">
        <f>IF('Release Calculations'!AG238="","",'Release Calculations'!AG238)</f>
        <v/>
      </c>
      <c r="AF12" s="722" t="str">
        <f>IF(Max_Feed_P&lt;=Heating_P,IF('Release Calculations'!AO238="","",'Release Calculations'!AO238),IF('Release Calculations'!AM238="","",'Release Calculations'!AM238))</f>
        <v/>
      </c>
      <c r="AG12" s="915" t="str">
        <f>IF('Release Calculations'!AV222="","",'Release Calculations'!AV222)</f>
        <v/>
      </c>
      <c r="AH12" s="915" t="str">
        <f>IF('Release Calculations'!AX222="","",'Release Calculations'!AX222)</f>
        <v/>
      </c>
      <c r="AI12" s="915" t="str">
        <f>IF('Release Calculations'!AZ222="","",'Release Calculations'!AZ222)</f>
        <v/>
      </c>
      <c r="AJ12" s="915" t="str">
        <f>IF('Release Calculations'!BB222="","",'Release Calculations'!BB222)</f>
        <v/>
      </c>
      <c r="AK12" s="915" t="str">
        <f>IF('Release Calculations'!BD222="","",'Release Calculations'!BD222)</f>
        <v/>
      </c>
      <c r="AL12" s="915" t="str">
        <f>IF('Release Calculations'!BF222="","",'Release Calculations'!BF222)</f>
        <v/>
      </c>
      <c r="AM12" s="915" t="str">
        <f>IF('Release Calculations'!BH222="","",'Release Calculations'!BH222)</f>
        <v/>
      </c>
      <c r="AN12" s="915" t="str">
        <f>IF('Release Calculations'!BJ222="","",'Release Calculations'!BJ222)</f>
        <v/>
      </c>
      <c r="AO12" s="915" t="str">
        <f>IF('Release Calculations'!BL222="","",'Release Calculations'!BL222)</f>
        <v/>
      </c>
      <c r="AP12" s="915" t="str">
        <f>IF('Release Calculations'!BN222="","",'Release Calculations'!BN222)</f>
        <v/>
      </c>
      <c r="AQ12" s="915" t="str">
        <f>IF('Release Calculations'!AK238="","",'Release Calculations'!AK238)</f>
        <v/>
      </c>
      <c r="AS12" s="1066" t="s">
        <v>2514</v>
      </c>
    </row>
    <row r="13" spans="1:46" ht="14.25" customHeight="1" x14ac:dyDescent="0.25">
      <c r="A13" s="345"/>
      <c r="B13" s="345"/>
      <c r="C13" s="345"/>
      <c r="D13" s="342"/>
      <c r="E13" s="342" t="s">
        <v>1466</v>
      </c>
      <c r="F13" s="1051">
        <f>Relief_Type</f>
        <v>0</v>
      </c>
      <c r="G13" s="3989" t="s">
        <v>4240</v>
      </c>
      <c r="H13" s="3990"/>
      <c r="I13" s="3990"/>
      <c r="J13" s="345"/>
      <c r="L13" s="345"/>
      <c r="M13" s="1076" t="str">
        <f>IF(Pseudo_Chem="Yes","",ChemName_3)</f>
        <v/>
      </c>
      <c r="N13" s="891" t="str">
        <f>IF(WFeed_3=0,"",WFeed_3)</f>
        <v/>
      </c>
      <c r="O13" s="891">
        <f>HLOOKUP($N$7,$AA$3:$AQ$40,4,FALSE)</f>
        <v>0</v>
      </c>
      <c r="P13" s="890" t="str">
        <f>Mw_3</f>
        <v/>
      </c>
      <c r="Q13" s="890" t="str">
        <f>ER2_3</f>
        <v/>
      </c>
      <c r="R13" s="890" t="str">
        <f>ER3_3</f>
        <v/>
      </c>
      <c r="S13" s="890" t="str">
        <f>LFL_3</f>
        <v/>
      </c>
      <c r="T13" s="345"/>
      <c r="U13" s="345"/>
      <c r="V13" s="345"/>
      <c r="W13" s="345"/>
      <c r="X13" s="345"/>
      <c r="Y13" s="345"/>
      <c r="Z13" s="5"/>
      <c r="AA13" s="897" t="s">
        <v>4238</v>
      </c>
      <c r="AB13" s="915" t="str">
        <f>IF('Release Calculations'!AE636="","",'Release Calculations'!AE636)</f>
        <v/>
      </c>
      <c r="AC13" s="915" t="str">
        <f>IF('Release Calculations'!AG636="","",'Release Calculations'!AG636)</f>
        <v/>
      </c>
      <c r="AD13" s="915" t="str">
        <f>IF('Release Calculations'!AE244="","",'Release Calculations'!AE244)</f>
        <v/>
      </c>
      <c r="AE13" s="915" t="str">
        <f>IF('Release Calculations'!AG244="","",'Release Calculations'!AG244)</f>
        <v/>
      </c>
      <c r="AF13" s="896" t="str">
        <f>IF(Max_Feed_P&lt;=Heating_P,IF('Release Calculations'!AO244="","",'Release Calculations'!AO244),IF('Release Calculations'!AM244="","",'Release Calculations'!AM244))</f>
        <v/>
      </c>
      <c r="AG13" s="915" t="str">
        <f>IF('Release Calculations'!AV228="","",'Release Calculations'!AV228)</f>
        <v/>
      </c>
      <c r="AH13" s="915" t="str">
        <f>IF('Release Calculations'!AX228="","",'Release Calculations'!AX228)</f>
        <v/>
      </c>
      <c r="AI13" s="915" t="str">
        <f>IF('Release Calculations'!AZ228="","",'Release Calculations'!AZ228)</f>
        <v/>
      </c>
      <c r="AJ13" s="915" t="str">
        <f>IF('Release Calculations'!BB228="","",'Release Calculations'!BB228)</f>
        <v/>
      </c>
      <c r="AK13" s="915" t="str">
        <f>IF('Release Calculations'!BD228="","",'Release Calculations'!BD228)</f>
        <v/>
      </c>
      <c r="AL13" s="915" t="str">
        <f>IF('Release Calculations'!BF228="","",'Release Calculations'!BF228)</f>
        <v/>
      </c>
      <c r="AM13" s="915" t="str">
        <f>IF('Release Calculations'!BH228="","",'Release Calculations'!BH228)</f>
        <v/>
      </c>
      <c r="AN13" s="915" t="str">
        <f>IF('Release Calculations'!BJ228="","",'Release Calculations'!BJ228)</f>
        <v/>
      </c>
      <c r="AO13" s="915" t="str">
        <f>IF('Release Calculations'!BL228="","",'Release Calculations'!BL228)</f>
        <v/>
      </c>
      <c r="AP13" s="915" t="str">
        <f>IF('Release Calculations'!BN228="","",'Release Calculations'!BN228)</f>
        <v/>
      </c>
      <c r="AQ13" s="915" t="str">
        <f>IF('Release Calculations'!AK244="","",'Release Calculations'!AK244)</f>
        <v/>
      </c>
      <c r="AS13" s="1066" t="s">
        <v>2513</v>
      </c>
    </row>
    <row r="14" spans="1:46" ht="14.25" customHeight="1" x14ac:dyDescent="0.25">
      <c r="A14" s="345"/>
      <c r="B14" s="345"/>
      <c r="C14" s="345"/>
      <c r="D14" s="345"/>
      <c r="E14" s="342" t="s">
        <v>2831</v>
      </c>
      <c r="F14" s="1051" t="str">
        <f>IF(Relief_Discharge_Location="","Horizontal Assumed",Relief_Discharge_Location)</f>
        <v>Horizontal Assumed</v>
      </c>
      <c r="G14" s="345"/>
      <c r="H14" s="1060" t="s">
        <v>2797</v>
      </c>
      <c r="I14" s="1054" t="str">
        <f>IF(Flash_Pt_Feed&lt;&gt;"",IF(OR(Flash_Pt_Feed&lt;60,MAX(Ambient_Temp,T,Heating_T,Tmax_MechEng,Tmax_ME_Continuous)&gt;(Flash_Pt_Feed-IF(WFeed_1&lt;1,15,5))),"þ","¨"),"¨")</f>
        <v>¨</v>
      </c>
      <c r="J14" s="345"/>
      <c r="L14" s="345"/>
      <c r="M14" s="1076" t="str">
        <f>IF(Pseudo_Chem="Yes","",ChemName_4)</f>
        <v/>
      </c>
      <c r="N14" s="891" t="str">
        <f>IF(WFeed_4=0,"",WFeed_4)</f>
        <v/>
      </c>
      <c r="O14" s="891">
        <f>HLOOKUP($N$7,$AA$3:$AQ$40,5,FALSE)</f>
        <v>0</v>
      </c>
      <c r="P14" s="890" t="str">
        <f>Mw_4</f>
        <v/>
      </c>
      <c r="Q14" s="890" t="str">
        <f>ER2_4</f>
        <v/>
      </c>
      <c r="R14" s="890" t="str">
        <f>ER3_4</f>
        <v/>
      </c>
      <c r="S14" s="890" t="str">
        <f>LFL_4</f>
        <v/>
      </c>
      <c r="T14" s="345"/>
      <c r="U14" s="345"/>
      <c r="V14" s="345"/>
      <c r="W14" s="345"/>
      <c r="X14" s="345"/>
      <c r="Y14" s="345"/>
      <c r="AA14" s="912" t="s">
        <v>2823</v>
      </c>
      <c r="AB14" s="917" t="str">
        <f>'Release Calculations'!AE657</f>
        <v/>
      </c>
      <c r="AC14" s="917" t="str">
        <f>'Release Calculations'!AG657</f>
        <v/>
      </c>
      <c r="AD14" s="917" t="str">
        <f>'Release Calculations'!AE262</f>
        <v/>
      </c>
      <c r="AE14" s="917" t="str">
        <f>'Release Calculations'!AG262</f>
        <v/>
      </c>
      <c r="AF14" s="914" t="str">
        <f>IF(Max_Feed_P&lt;=Heating_P,'Release Calculations'!AO262,'Release Calculations'!AM262)</f>
        <v/>
      </c>
      <c r="AG14" s="917" t="str">
        <f>'Release Calculations'!AV246</f>
        <v/>
      </c>
      <c r="AH14" s="917" t="str">
        <f>'Release Calculations'!AX246</f>
        <v/>
      </c>
      <c r="AI14" s="917" t="str">
        <f>'Release Calculations'!AZ246</f>
        <v/>
      </c>
      <c r="AJ14" s="917" t="str">
        <f>'Release Calculations'!BB246</f>
        <v/>
      </c>
      <c r="AK14" s="917" t="str">
        <f>'Release Calculations'!BD246</f>
        <v/>
      </c>
      <c r="AL14" s="917" t="str">
        <f>'Release Calculations'!BF246</f>
        <v/>
      </c>
      <c r="AM14" s="917" t="str">
        <f>'Release Calculations'!BH246</f>
        <v/>
      </c>
      <c r="AN14" s="917" t="str">
        <f>'Release Calculations'!BJ246</f>
        <v/>
      </c>
      <c r="AO14" s="917" t="str">
        <f>'Release Calculations'!BL246</f>
        <v/>
      </c>
      <c r="AP14" s="917" t="str">
        <f>'Release Calculations'!BN246</f>
        <v/>
      </c>
      <c r="AQ14" s="917" t="str">
        <f>'Release Calculations'!AK262</f>
        <v/>
      </c>
      <c r="AS14" s="1067" t="s">
        <v>1199</v>
      </c>
    </row>
    <row r="15" spans="1:46" ht="14.25" customHeight="1" x14ac:dyDescent="0.25">
      <c r="A15" s="345"/>
      <c r="B15" s="345"/>
      <c r="C15" s="345"/>
      <c r="D15" s="345"/>
      <c r="E15" s="345"/>
      <c r="F15" s="2222" t="str">
        <f>IF(Relief_Discharge_Location="Indoors","Warning!  System Noted as Venting inside an Enclosed Process Area","")</f>
        <v/>
      </c>
      <c r="G15" s="345"/>
      <c r="H15" s="1060" t="s">
        <v>1091</v>
      </c>
      <c r="I15" s="1054" t="str">
        <f>IF(OR(ER3_Mix&lt;=1000,Dermal_Tox_Feed="Toxic",Dermal_Tox_Feed="Very Toxic",Regulatory_Tox="Yes"),"þ","¨")</f>
        <v>¨</v>
      </c>
      <c r="J15" s="1052"/>
      <c r="L15" s="345"/>
      <c r="M15" s="1076" t="str">
        <f>IF(Pseudo_Chem="Yes","",ChemName_5)</f>
        <v/>
      </c>
      <c r="N15" s="891" t="str">
        <f>IF(WFeed_5=0,"",WFeed_5)</f>
        <v/>
      </c>
      <c r="O15" s="891">
        <f>HLOOKUP($N$7,$AA$3:$AQ$40,6,FALSE)</f>
        <v>0</v>
      </c>
      <c r="P15" s="890" t="str">
        <f>Mw_5</f>
        <v/>
      </c>
      <c r="Q15" s="890" t="str">
        <f>ER2_5</f>
        <v/>
      </c>
      <c r="R15" s="890" t="str">
        <f>ER3_5</f>
        <v/>
      </c>
      <c r="S15" s="890" t="str">
        <f>LFL_5</f>
        <v/>
      </c>
      <c r="T15" s="345"/>
      <c r="U15" s="345"/>
      <c r="V15" s="345"/>
      <c r="W15" s="345"/>
      <c r="X15" s="345"/>
      <c r="Y15" s="345"/>
      <c r="Z15" s="400"/>
      <c r="AA15" s="894" t="s">
        <v>2516</v>
      </c>
      <c r="AB15" s="719" t="s">
        <v>1382</v>
      </c>
      <c r="AC15" s="719" t="s">
        <v>1382</v>
      </c>
      <c r="AD15" s="719" t="str">
        <f>IF(State="Liquid","Liquid","No")</f>
        <v>Liquid</v>
      </c>
      <c r="AE15" s="719" t="str">
        <f>IF(State="Liquid","Liquid","No")</f>
        <v>Liquid</v>
      </c>
      <c r="AF15" s="1124" t="str">
        <f>IF(Max_Feed_P&lt;=Heating_P,Heating_Media_State,State)</f>
        <v>Liquid</v>
      </c>
      <c r="AG15" s="719" t="str">
        <f>IF('Release Calculations'!AV22&gt;ChemExp_Mass_Limit,"Two-Phase","No")</f>
        <v>No</v>
      </c>
      <c r="AH15" s="719" t="str">
        <f>IF('Release Calculations'!AX22&gt;ChemExp_Mass_Limit,"Two-Phase","No")</f>
        <v>No</v>
      </c>
      <c r="AI15" s="719" t="str">
        <f>IF('Release Calculations'!AZ22&gt;ChemExp_Mass_Limit,"Two-Phase","No")</f>
        <v>No</v>
      </c>
      <c r="AJ15" s="719" t="str">
        <f>IF('Release Calculations'!BB22&gt;ChemExp_Mass_Limit,"Two-Phase","No")</f>
        <v>No</v>
      </c>
      <c r="AK15" s="719" t="str">
        <f>IF('Release Calculations'!BD22&gt;ChemExp_Mass_Limit,"Two-Phase","No")</f>
        <v>No</v>
      </c>
      <c r="AL15" s="719" t="str">
        <f>IF('Release Calculations'!BF22&gt;ChemExp_Mass_Limit,"Two-Phase","No")</f>
        <v>No</v>
      </c>
      <c r="AM15" s="719" t="str">
        <f>IF('Release Calculations'!BH22&gt;ChemExp_Mass_Limit,"Two-Phase","No")</f>
        <v>No</v>
      </c>
      <c r="AN15" s="719" t="str">
        <f>IF('Release Calculations'!BJ22&gt;ChemExp_Mass_Limit,"Two-Phase","No")</f>
        <v>No</v>
      </c>
      <c r="AO15" s="719" t="str">
        <f>IF('Release Calculations'!BL22&gt;ChemExp_Mass_Limit,"Two-Phase","No")</f>
        <v>No</v>
      </c>
      <c r="AP15" s="719" t="str">
        <f>IF('Release Calculations'!BN22&gt;ChemExp_Mass_Limit,"Two-Phase","No")</f>
        <v>No</v>
      </c>
      <c r="AQ15" s="719" t="s">
        <v>2726</v>
      </c>
      <c r="AS15" s="1066" t="s">
        <v>927</v>
      </c>
    </row>
    <row r="16" spans="1:46" ht="14.25" customHeight="1" x14ac:dyDescent="0.25">
      <c r="A16" s="345"/>
      <c r="B16" s="345"/>
      <c r="C16" s="345"/>
      <c r="D16" s="346" t="s">
        <v>2814</v>
      </c>
      <c r="E16" s="1061">
        <f>ROUND(Relief_Size,1)</f>
        <v>0</v>
      </c>
      <c r="F16" s="346" t="s">
        <v>2819</v>
      </c>
      <c r="G16" s="1073">
        <f>ROUND(Relief_Discharge_Size,1)</f>
        <v>0</v>
      </c>
      <c r="H16" s="1060" t="s">
        <v>2798</v>
      </c>
      <c r="I16" s="1054" t="str">
        <f>IF(OR(Reactive_Risk_Feed="Extremely Explosive",Reactive_Risk_Feed="Explosive",Reactive_Risk_Feed="Oxizider",Reactive_Risk_Feed="Water Reactive"),"þ","¨")</f>
        <v>¨</v>
      </c>
      <c r="J16" s="345"/>
      <c r="L16" s="1053"/>
      <c r="M16" s="1076" t="str">
        <f>IF(Pad_Name=0,"Unspecified Pad Gas",Pad_Name)</f>
        <v>Unspecified Pad Gas</v>
      </c>
      <c r="N16" s="891"/>
      <c r="O16" s="891">
        <f>HLOOKUP($N$7,$AA$3:$AQ$40,7,FALSE)</f>
        <v>0</v>
      </c>
      <c r="P16" s="890">
        <f>IF(O16="","",Pad_MW)</f>
        <v>29</v>
      </c>
      <c r="Q16" s="890" t="str">
        <f>Pad_ER2</f>
        <v/>
      </c>
      <c r="R16" s="890" t="str">
        <f>Pad_ER3</f>
        <v/>
      </c>
      <c r="S16" s="890" t="str">
        <f>Pad_LFL</f>
        <v/>
      </c>
      <c r="T16" s="345"/>
      <c r="U16" s="345"/>
      <c r="V16" s="345"/>
      <c r="W16" s="345"/>
      <c r="X16" s="345"/>
      <c r="Y16" s="345"/>
      <c r="Z16" s="338"/>
      <c r="AA16" s="893" t="s">
        <v>2515</v>
      </c>
      <c r="AB16" s="1129">
        <f>IF(OR(Relief_Type="Rupture Disk",Relief_Type="Graphite Disk"),Mass_Fv_OpTemp*ContainedMass,0)</f>
        <v>0</v>
      </c>
      <c r="AC16" s="1129">
        <f>IF(OR(Relief_Type="Rupture Disk",Relief_Type="Graphite Disk"),Mass_Fv_OpTemp*ContainedMass,0)</f>
        <v>0</v>
      </c>
      <c r="AD16" s="1129">
        <f>IF(OR(Relief_Type="Rupture Disk",Relief_Type="Graphite Disk"),Mass_Fv_OpTemp*ContainedMass,0)</f>
        <v>0</v>
      </c>
      <c r="AE16" s="1129">
        <f>IF(OR(Relief_Type="Rupture Disk",Relief_Type="Graphite Disk"),Mass_Fv_OpTemp*ContainedMass,0)</f>
        <v>0</v>
      </c>
      <c r="AF16" s="1106"/>
      <c r="AG16" s="1129">
        <f t="shared" ref="AG16:AO16" si="0">IF(OR(Relief_Type="Rupture Disk",Relief_Type="Graphite Disk"),Mass_Fv_ReliefTemp*ContainedMass,0)</f>
        <v>0</v>
      </c>
      <c r="AH16" s="1129">
        <f t="shared" si="0"/>
        <v>0</v>
      </c>
      <c r="AI16" s="1129">
        <f t="shared" si="0"/>
        <v>0</v>
      </c>
      <c r="AJ16" s="1129">
        <f t="shared" si="0"/>
        <v>0</v>
      </c>
      <c r="AK16" s="1129">
        <f t="shared" si="0"/>
        <v>0</v>
      </c>
      <c r="AL16" s="1129">
        <f t="shared" si="0"/>
        <v>0</v>
      </c>
      <c r="AM16" s="1129">
        <f t="shared" si="0"/>
        <v>0</v>
      </c>
      <c r="AN16" s="1129">
        <f t="shared" si="0"/>
        <v>0</v>
      </c>
      <c r="AO16" s="1129">
        <f t="shared" si="0"/>
        <v>0</v>
      </c>
      <c r="AP16" s="719"/>
      <c r="AQ16" s="719"/>
      <c r="AS16" s="1066" t="s">
        <v>504</v>
      </c>
    </row>
    <row r="17" spans="1:45" ht="14.25" customHeight="1" x14ac:dyDescent="0.25">
      <c r="A17" s="345"/>
      <c r="B17" s="345"/>
      <c r="C17" s="345"/>
      <c r="D17" s="346" t="s">
        <v>2815</v>
      </c>
      <c r="E17" s="1062">
        <f>ROUND(1.01325*Relief_Set,2)</f>
        <v>0</v>
      </c>
      <c r="F17" s="346" t="s">
        <v>2820</v>
      </c>
      <c r="G17" s="1051">
        <f>ROUND(Inventory,0)</f>
        <v>0</v>
      </c>
      <c r="H17" s="1060" t="s">
        <v>2799</v>
      </c>
      <c r="I17" s="1054" t="str">
        <f>IF(Dermal_Tox_Feed="Corrosive","þ","¨")</f>
        <v>¨</v>
      </c>
      <c r="J17" s="345"/>
      <c r="L17" s="1053"/>
      <c r="M17" s="1076" t="str">
        <f>IF(Heating_Media_Name=0,"",Heating_Media_Name)</f>
        <v/>
      </c>
      <c r="N17" s="891" t="str">
        <f>IF(Heating_Media_State="Liquid",1,"")</f>
        <v/>
      </c>
      <c r="O17" s="891" t="str">
        <f>IF(Heating_Media_State="Vapor",1,"")</f>
        <v/>
      </c>
      <c r="P17" s="890" t="str">
        <f>HT_Mw</f>
        <v/>
      </c>
      <c r="Q17" s="890" t="str">
        <f>HT_ER2</f>
        <v/>
      </c>
      <c r="R17" s="890" t="str">
        <f>HT_ER3</f>
        <v/>
      </c>
      <c r="S17" s="890" t="str">
        <f>HT_LFL</f>
        <v/>
      </c>
      <c r="T17" s="345"/>
      <c r="U17" s="345"/>
      <c r="V17" s="345"/>
      <c r="W17" s="345"/>
      <c r="X17" s="345"/>
      <c r="Y17" s="345"/>
      <c r="Z17" s="338"/>
      <c r="AA17" s="1107" t="s">
        <v>2829</v>
      </c>
      <c r="AB17" s="1099" t="s">
        <v>1382</v>
      </c>
      <c r="AC17" s="1099" t="s">
        <v>1382</v>
      </c>
      <c r="AD17" s="1099" t="s">
        <v>1382</v>
      </c>
      <c r="AE17" s="1099" t="s">
        <v>1382</v>
      </c>
      <c r="AF17" s="1099" t="s">
        <v>1382</v>
      </c>
      <c r="AG17" s="1099" t="s">
        <v>289</v>
      </c>
      <c r="AH17" s="1099" t="s">
        <v>289</v>
      </c>
      <c r="AI17" s="1099" t="s">
        <v>289</v>
      </c>
      <c r="AJ17" s="1099" t="s">
        <v>289</v>
      </c>
      <c r="AK17" s="1099" t="s">
        <v>289</v>
      </c>
      <c r="AL17" s="1099" t="s">
        <v>289</v>
      </c>
      <c r="AM17" s="1099" t="s">
        <v>289</v>
      </c>
      <c r="AN17" s="1099" t="s">
        <v>289</v>
      </c>
      <c r="AO17" s="1099" t="s">
        <v>289</v>
      </c>
      <c r="AP17" s="1099" t="s">
        <v>1382</v>
      </c>
      <c r="AQ17" s="1099" t="s">
        <v>1382</v>
      </c>
      <c r="AS17" s="1066" t="s">
        <v>461</v>
      </c>
    </row>
    <row r="18" spans="1:45" ht="14.25" customHeight="1" x14ac:dyDescent="0.25">
      <c r="A18" s="345"/>
      <c r="B18" s="345"/>
      <c r="C18" s="345"/>
      <c r="D18" s="346" t="s">
        <v>2816</v>
      </c>
      <c r="E18" s="711">
        <f>ROUND(Public,0)</f>
        <v>0</v>
      </c>
      <c r="F18" s="1060" t="s">
        <v>4082</v>
      </c>
      <c r="G18" s="711">
        <f>ROUND(Relief_Elevation,1)</f>
        <v>1.2</v>
      </c>
      <c r="H18" s="1060" t="s">
        <v>2800</v>
      </c>
      <c r="I18" s="1054" t="str">
        <f>IF(OR(Aquatic_Tox_Feed="Toxic",Aquatic_Tox_Feed="Very Toxic"),"þ","¨")</f>
        <v>¨</v>
      </c>
      <c r="J18" s="345"/>
      <c r="L18" s="345"/>
      <c r="M18" s="889" t="s">
        <v>2824</v>
      </c>
      <c r="N18" s="687"/>
      <c r="O18" s="346"/>
      <c r="P18" s="1108">
        <f>HLOOKUP($N$7,$AA$3:$AQ$40,9,FALSE)</f>
        <v>0</v>
      </c>
      <c r="Q18" s="1108" t="str">
        <f>IF(HLOOKUP($N$7,$AA$3:$AQ$40,10,FALSE)&lt;&gt;"",HLOOKUP($N$7,$AA$3:$AQ$40,10,FALSE)*V18,"")</f>
        <v/>
      </c>
      <c r="R18" s="1108" t="str">
        <f>IF(HLOOKUP($N$7,$AA$3:$AQ$40,11,FALSE)&lt;&gt;"",HLOOKUP($N$7,$AA$3:$AQ$40,11,FALSE)*V18,"")</f>
        <v/>
      </c>
      <c r="S18" s="1108" t="str">
        <f>HLOOKUP($N$7,$AA$3:$AQ$40,12,FALSE)</f>
        <v/>
      </c>
      <c r="T18" s="1053"/>
      <c r="U18" s="2181" t="s">
        <v>4253</v>
      </c>
      <c r="V18" s="2182">
        <f>IF(HLOOKUP($N$7,$AA$3:$AQ$40,16,FALSE)&gt;0,HLOOKUP($N$7,$AA$3:$AQ$40,16,FALSE)^HD_Factor,1)</f>
        <v>1</v>
      </c>
      <c r="W18" s="1053"/>
      <c r="X18" s="1053"/>
      <c r="Y18" s="345"/>
      <c r="Z18" s="338"/>
      <c r="AA18" s="1098" t="s">
        <v>2821</v>
      </c>
      <c r="AB18" s="1100">
        <f>'Release Calculations'!AE613</f>
        <v>1</v>
      </c>
      <c r="AC18" s="1100">
        <f>'Release Calculations'!AG613</f>
        <v>1</v>
      </c>
      <c r="AD18" s="1100">
        <f>'Release Calculations'!AE223</f>
        <v>1</v>
      </c>
      <c r="AE18" s="1100">
        <f>'Release Calculations'!AG223</f>
        <v>1</v>
      </c>
      <c r="AF18" s="1124">
        <f>IF(Max_Feed_P&lt;=Heating_P,'Release Calculations'!AO223,'Release Calculations'!AM223)</f>
        <v>1</v>
      </c>
      <c r="AG18" s="1100">
        <f>'Release Calculations'!AV207</f>
        <v>1</v>
      </c>
      <c r="AH18" s="1100">
        <f>'Release Calculations'!AX207</f>
        <v>1</v>
      </c>
      <c r="AI18" s="1100">
        <f>'Release Calculations'!AZ207</f>
        <v>1</v>
      </c>
      <c r="AJ18" s="1100">
        <f>'Release Calculations'!BB207</f>
        <v>1</v>
      </c>
      <c r="AK18" s="1100">
        <f>'Release Calculations'!BD207</f>
        <v>1</v>
      </c>
      <c r="AL18" s="1100">
        <f>'Release Calculations'!BF207</f>
        <v>1</v>
      </c>
      <c r="AM18" s="1100">
        <f>'Release Calculations'!BH207</f>
        <v>1</v>
      </c>
      <c r="AN18" s="1100">
        <f>'Release Calculations'!BJ207</f>
        <v>1</v>
      </c>
      <c r="AO18" s="1100">
        <f>'Release Calculations'!BL207</f>
        <v>1</v>
      </c>
      <c r="AP18" s="1100">
        <f>'Release Calculations'!BN207</f>
        <v>1</v>
      </c>
      <c r="AQ18" s="1100">
        <f>'Release Calculations'!AK223</f>
        <v>1</v>
      </c>
      <c r="AS18" s="1066" t="s">
        <v>295</v>
      </c>
    </row>
    <row r="19" spans="1:45" ht="14.25" customHeight="1" x14ac:dyDescent="0.25">
      <c r="A19" s="345"/>
      <c r="B19" s="345"/>
      <c r="C19" s="345"/>
      <c r="D19" s="346" t="s">
        <v>2817</v>
      </c>
      <c r="E19" s="711" t="str">
        <f>IF(WorkArea_Distance=0,"",ROUND(WorkArea_Distance,1))</f>
        <v/>
      </c>
      <c r="F19" s="1060" t="s">
        <v>4083</v>
      </c>
      <c r="G19" s="711">
        <f>ROUND(WorkArea_Elevation,1)</f>
        <v>1.2</v>
      </c>
      <c r="H19" s="1060"/>
      <c r="I19" s="1054"/>
      <c r="J19" s="345"/>
      <c r="L19" s="1053"/>
      <c r="M19" s="889"/>
      <c r="N19" s="1058"/>
      <c r="O19" s="1058"/>
      <c r="P19" s="1059"/>
      <c r="Q19" s="1059"/>
      <c r="R19" s="1059"/>
      <c r="S19" s="1059"/>
      <c r="T19" s="1053"/>
      <c r="U19" s="345"/>
      <c r="V19" s="345"/>
      <c r="W19" s="1057"/>
      <c r="X19" s="345"/>
      <c r="Y19" s="345"/>
      <c r="Z19" s="338"/>
      <c r="AA19" s="892" t="s">
        <v>2512</v>
      </c>
      <c r="AB19" s="901">
        <f>IF(Modulating_Relief="Yes",AB20,Relief_Vapor_Capacity_Pad)</f>
        <v>0</v>
      </c>
      <c r="AC19" s="901">
        <f>IF(Modulating_Relief="Yes",AC20,Relief_Vapor_Capacity_Pad)</f>
        <v>0</v>
      </c>
      <c r="AD19" s="901">
        <f>IF(Modulating_Relief="Yes",AD20,IF(AND(State&lt;&gt;"Vapor",P+Liq_rho*Dh/10.34&gt;0),Relief_Liquid_Capacity*(Relief_Set/(P+Liq_rho*Dh/10.34))^0.5,Relief_Vapor_Capacity))</f>
        <v>0</v>
      </c>
      <c r="AE19" s="901">
        <f>IF(Modulating_Relief="Yes",AE20,IF(AND(State&lt;&gt;"Vapor",P+Liq_rho*Dh/10.34&gt;0),Relief_Liquid_Capacity*(Relief_Set/(P+Liq_rho*Dh/10.34))^0.5,Relief_Vapor_Capacity))</f>
        <v>0</v>
      </c>
      <c r="AF19" s="901">
        <f>IF(Modulating_Relief="Yes",AF20,IF(AND(AF15&lt;&gt;"Vapor",P+Liq_rho*Dh/10.34&gt;0),Relief_Liquid_Capacity*IF(AND(Max_Feed_P&lt;=Heating_P,HT_Liq_rho&lt;&gt;""),HT_Liq_rho/Liq_rho,1)^0.5*(Relief_Set/(P+Liq_rho*Dh/10.34))^0.5,Relief_Vapor_Capacity*IF(AND(Max_Feed_P&lt;=Heating_P,HT_Mw&lt;&gt;""),HT_Mw/Mw_Mix,1)^0.5))</f>
        <v>0</v>
      </c>
      <c r="AG19" s="901">
        <f t="shared" ref="AG19:AP19" si="1">IF(Modulating_Relief="Yes",AG20,Relief_Vapor_Capacity)</f>
        <v>0</v>
      </c>
      <c r="AH19" s="901">
        <f t="shared" si="1"/>
        <v>0</v>
      </c>
      <c r="AI19" s="901">
        <f t="shared" si="1"/>
        <v>0</v>
      </c>
      <c r="AJ19" s="901">
        <f t="shared" si="1"/>
        <v>0</v>
      </c>
      <c r="AK19" s="901">
        <f t="shared" si="1"/>
        <v>0</v>
      </c>
      <c r="AL19" s="901">
        <f t="shared" si="1"/>
        <v>0</v>
      </c>
      <c r="AM19" s="901">
        <f t="shared" si="1"/>
        <v>0</v>
      </c>
      <c r="AN19" s="901">
        <f t="shared" si="1"/>
        <v>0</v>
      </c>
      <c r="AO19" s="901">
        <f t="shared" si="1"/>
        <v>0</v>
      </c>
      <c r="AP19" s="901">
        <f t="shared" si="1"/>
        <v>0</v>
      </c>
      <c r="AQ19" s="901">
        <f>IF(Modulating_Relief="Yes",AQ20,Relief_Liquid_Capacity)</f>
        <v>1.0822559000000001E-2</v>
      </c>
      <c r="AS19" s="1066" t="s">
        <v>550</v>
      </c>
    </row>
    <row r="20" spans="1:45" ht="14.25" customHeight="1" x14ac:dyDescent="0.25">
      <c r="A20" s="345"/>
      <c r="B20" s="345"/>
      <c r="C20" s="345"/>
      <c r="D20" s="346" t="s">
        <v>2818</v>
      </c>
      <c r="E20" s="711">
        <f>ROUND(Occ_Bldg,0)</f>
        <v>0</v>
      </c>
      <c r="F20" s="1060" t="s">
        <v>4479</v>
      </c>
      <c r="G20" s="711">
        <f>ROUND(OccBldg_Elevation,1)</f>
        <v>0</v>
      </c>
      <c r="H20" s="345"/>
      <c r="I20" s="345"/>
      <c r="J20" s="345"/>
      <c r="L20" s="1053"/>
      <c r="M20" s="1053"/>
      <c r="N20" s="1053"/>
      <c r="O20" s="1053"/>
      <c r="P20" s="1053"/>
      <c r="Q20" s="1053"/>
      <c r="R20" s="1053"/>
      <c r="S20" s="1053"/>
      <c r="T20" s="1053"/>
      <c r="U20" s="1053"/>
      <c r="V20" s="1053"/>
      <c r="W20" s="1053"/>
      <c r="X20" s="1053"/>
      <c r="Y20" s="1053"/>
      <c r="Z20" s="338"/>
      <c r="AA20" s="892" t="s">
        <v>2493</v>
      </c>
      <c r="AB20" s="902">
        <f>Inert_FeedRate*Mw_HeadSpace/Pad_MW</f>
        <v>0</v>
      </c>
      <c r="AC20" s="902">
        <f>IF(Liq_rho&gt;0,Feedrate*Vap_rho/Liq_rho,0)</f>
        <v>0</v>
      </c>
      <c r="AD20" s="902">
        <f>IF(OR(Max_Feed_P_Input="",Max_Feed_P&gt;=Relief_Set),Feedrate,0)</f>
        <v>0</v>
      </c>
      <c r="AE20" s="902">
        <f>Backflow</f>
        <v>0</v>
      </c>
      <c r="AF20" s="1124">
        <f>IF(Max_Feed_P&lt;=Heating_P,'Release Calculations'!AO23,'Release Calculations'!AM23)</f>
        <v>0</v>
      </c>
      <c r="AG20" s="902">
        <f>Fire_Relief_Rate*Mw_Mix</f>
        <v>0</v>
      </c>
      <c r="AH20" s="902">
        <f>Ht_Relief_Rate*Mw_Mix</f>
        <v>0</v>
      </c>
      <c r="AI20" s="902">
        <f>IF(P_atMechEng+(P+1-Psat)*(Tmax_MechEng+273)/(T+273)&gt;IF(Relief_Set_Input&gt;0,Relief_Set,MAWP)+1,ME_Relief_Rate*Mw_Mix,0)</f>
        <v>0</v>
      </c>
      <c r="AJ20" s="902">
        <f>Reactive_Relief_Rate*Mw_Mix</f>
        <v>0</v>
      </c>
      <c r="AK20" s="902">
        <f>Rx_Relief_withHeat*Mw_Mix</f>
        <v>0</v>
      </c>
      <c r="AL20" s="902">
        <f>Rx_Relief_withFire*Mw_Mix</f>
        <v>0</v>
      </c>
      <c r="AM20" s="902">
        <f>Rx_Relief_withCatalyst*Mw_Mix</f>
        <v>0</v>
      </c>
      <c r="AN20" s="902">
        <f>Rx_Relief_withPooling*Mw_Mix</f>
        <v>0</v>
      </c>
      <c r="AO20" s="902">
        <f>Rx_Relief_withMisLoading*Mw_Mix</f>
        <v>0</v>
      </c>
      <c r="AP20" s="902">
        <f>'Release Calculations'!BN7</f>
        <v>0</v>
      </c>
      <c r="AQ20" s="902">
        <f>'Release Calculations'!AK10</f>
        <v>0</v>
      </c>
      <c r="AR20" s="338"/>
    </row>
    <row r="21" spans="1:45" ht="14.25" customHeight="1" x14ac:dyDescent="0.25">
      <c r="A21" s="345"/>
      <c r="B21" s="345"/>
      <c r="C21" s="345"/>
      <c r="D21" s="346"/>
      <c r="E21" s="346"/>
      <c r="F21" s="1942" t="s">
        <v>2956</v>
      </c>
      <c r="G21" s="1205">
        <f>Relief_Flowrate</f>
        <v>0</v>
      </c>
      <c r="H21" s="3967" t="s">
        <v>4221</v>
      </c>
      <c r="I21" s="3893"/>
      <c r="J21" s="345"/>
      <c r="L21" s="1053"/>
      <c r="M21" s="3986" t="s">
        <v>2516</v>
      </c>
      <c r="N21" s="4010"/>
      <c r="O21" s="3987"/>
      <c r="P21" s="1109" t="str">
        <f>HLOOKUP($N$7,$AA$3:$AQ$40,13,FALSE)</f>
        <v>No</v>
      </c>
      <c r="Q21" s="1053"/>
      <c r="R21" s="1053"/>
      <c r="S21" s="4011" t="s">
        <v>2825</v>
      </c>
      <c r="T21" s="4011"/>
      <c r="U21" s="4011"/>
      <c r="V21" s="4011"/>
      <c r="W21" s="1109" t="str">
        <f>HLOOKUP($N$7,$AA$3:$AQ$40,15,FALSE)</f>
        <v>Yes</v>
      </c>
      <c r="X21" s="1053"/>
      <c r="Y21" s="1053"/>
      <c r="Z21" s="338"/>
      <c r="AA21" s="892" t="s">
        <v>2496</v>
      </c>
      <c r="AB21" s="711">
        <f>T</f>
        <v>0</v>
      </c>
      <c r="AC21" s="711">
        <f>T</f>
        <v>0</v>
      </c>
      <c r="AD21" s="711">
        <f>T</f>
        <v>0</v>
      </c>
      <c r="AE21" s="711">
        <f>T</f>
        <v>0</v>
      </c>
      <c r="AF21" s="722"/>
      <c r="AG21" s="890">
        <f t="shared" ref="AG21:AP21" si="2">T_atRelief</f>
        <v>0</v>
      </c>
      <c r="AH21" s="890">
        <f t="shared" si="2"/>
        <v>0</v>
      </c>
      <c r="AI21" s="890">
        <f t="shared" si="2"/>
        <v>0</v>
      </c>
      <c r="AJ21" s="890">
        <f t="shared" si="2"/>
        <v>0</v>
      </c>
      <c r="AK21" s="890">
        <f t="shared" si="2"/>
        <v>0</v>
      </c>
      <c r="AL21" s="890">
        <f t="shared" si="2"/>
        <v>0</v>
      </c>
      <c r="AM21" s="890">
        <f t="shared" si="2"/>
        <v>0</v>
      </c>
      <c r="AN21" s="890">
        <f t="shared" si="2"/>
        <v>0</v>
      </c>
      <c r="AO21" s="890">
        <f t="shared" si="2"/>
        <v>0</v>
      </c>
      <c r="AP21" s="890">
        <f t="shared" si="2"/>
        <v>0</v>
      </c>
      <c r="AQ21" s="711">
        <f>T</f>
        <v>0</v>
      </c>
      <c r="AR21" s="338"/>
    </row>
    <row r="22" spans="1:45" ht="14.25" customHeight="1" x14ac:dyDescent="0.25">
      <c r="A22" s="345"/>
      <c r="B22" s="345"/>
      <c r="C22" s="345"/>
      <c r="D22" s="345"/>
      <c r="E22" s="345"/>
      <c r="F22" s="346"/>
      <c r="G22" s="345"/>
      <c r="H22" s="3893"/>
      <c r="I22" s="3893"/>
      <c r="J22" s="345"/>
      <c r="L22" s="1053"/>
      <c r="M22" s="3988" t="s">
        <v>2826</v>
      </c>
      <c r="N22" s="4012"/>
      <c r="O22" s="4012"/>
      <c r="P22" s="1109">
        <f>HLOOKUP($N$7,$AA$3:$AQ$40,14,FALSE)</f>
        <v>0</v>
      </c>
      <c r="Q22" s="1073" t="s">
        <v>2822</v>
      </c>
      <c r="R22" s="1053"/>
      <c r="S22" s="3986" t="s">
        <v>2821</v>
      </c>
      <c r="T22" s="4010"/>
      <c r="U22" s="4010"/>
      <c r="V22" s="3987"/>
      <c r="W22" s="1110">
        <f>HLOOKUP($N$7,$AA$3:$AQ$40,16,FALSE)</f>
        <v>1</v>
      </c>
      <c r="X22" s="1097" t="s">
        <v>1592</v>
      </c>
      <c r="Y22" s="1053"/>
      <c r="Z22" s="338"/>
      <c r="AA22" s="892" t="s">
        <v>2498</v>
      </c>
      <c r="AB22" s="901">
        <f>AB11/(0.08206*(273+T))</f>
        <v>1.2945053159530373</v>
      </c>
      <c r="AC22" s="901">
        <f>AC11/(0.08206*(273+T))</f>
        <v>1.2945053159530373</v>
      </c>
      <c r="AD22" s="717">
        <f>1000*'Release Calculations'!AE101</f>
        <v>0</v>
      </c>
      <c r="AE22" s="717">
        <f>1000*'Release Calculations'!AG101</f>
        <v>0</v>
      </c>
      <c r="AF22" s="1124">
        <f>IF(Max_Feed_P&lt;=Heating_P,1000*'Release Calculations'!AO101,1000*'Release Calculations'!AM101)</f>
        <v>0</v>
      </c>
      <c r="AG22" s="901">
        <f t="shared" ref="AG22:AP22" si="3">AG11/(0.08206*(273+T_atRelief))</f>
        <v>0</v>
      </c>
      <c r="AH22" s="901">
        <f t="shared" si="3"/>
        <v>0</v>
      </c>
      <c r="AI22" s="901">
        <f t="shared" si="3"/>
        <v>0</v>
      </c>
      <c r="AJ22" s="901">
        <f t="shared" si="3"/>
        <v>0</v>
      </c>
      <c r="AK22" s="901">
        <f t="shared" si="3"/>
        <v>0</v>
      </c>
      <c r="AL22" s="901">
        <f t="shared" si="3"/>
        <v>0</v>
      </c>
      <c r="AM22" s="901">
        <f t="shared" si="3"/>
        <v>0</v>
      </c>
      <c r="AN22" s="901">
        <f t="shared" si="3"/>
        <v>0</v>
      </c>
      <c r="AO22" s="901">
        <f t="shared" si="3"/>
        <v>0</v>
      </c>
      <c r="AP22" s="901">
        <f t="shared" si="3"/>
        <v>0</v>
      </c>
      <c r="AQ22" s="901">
        <f>1000*'Release Calculations'!AK101</f>
        <v>0</v>
      </c>
      <c r="AR22" s="400"/>
    </row>
    <row r="23" spans="1:45" ht="14.25" customHeight="1" x14ac:dyDescent="0.25">
      <c r="A23" s="345"/>
      <c r="B23" s="1056" t="s">
        <v>2801</v>
      </c>
      <c r="C23" s="345"/>
      <c r="D23" s="1056" t="s">
        <v>2957</v>
      </c>
      <c r="E23" s="345"/>
      <c r="F23" s="1056" t="s">
        <v>4242</v>
      </c>
      <c r="G23" s="345"/>
      <c r="H23" s="3968"/>
      <c r="I23" s="3968"/>
      <c r="J23" s="345"/>
      <c r="L23" s="1053"/>
      <c r="M23" s="1075"/>
      <c r="N23" s="1075"/>
      <c r="O23" s="1075"/>
      <c r="P23" s="1053"/>
      <c r="Q23" s="1053"/>
      <c r="R23" s="1053"/>
      <c r="S23" s="1053"/>
      <c r="T23" s="1053"/>
      <c r="U23" s="1053"/>
      <c r="V23" s="1053"/>
      <c r="W23" s="1053"/>
      <c r="X23" s="1053"/>
      <c r="Y23" s="1053"/>
      <c r="Z23" s="338"/>
      <c r="AA23" s="892" t="s">
        <v>2500</v>
      </c>
      <c r="AB23" s="902">
        <f>0.011+0.00003*AB21</f>
        <v>1.0999999999999999E-2</v>
      </c>
      <c r="AC23" s="902">
        <f>0.011+0.00003*AC21</f>
        <v>1.0999999999999999E-2</v>
      </c>
      <c r="AD23" s="902">
        <f>0.011+0.00003*AD21</f>
        <v>1.0999999999999999E-2</v>
      </c>
      <c r="AE23" s="902">
        <f>0.011+0.00003*AE21</f>
        <v>1.0999999999999999E-2</v>
      </c>
      <c r="AF23" s="902">
        <f>0.011+0.00003*AF21</f>
        <v>1.0999999999999999E-2</v>
      </c>
      <c r="AG23" s="902">
        <f t="shared" ref="AG23:AP23" si="4">0.011+0.00003*AG21</f>
        <v>1.0999999999999999E-2</v>
      </c>
      <c r="AH23" s="902">
        <f t="shared" si="4"/>
        <v>1.0999999999999999E-2</v>
      </c>
      <c r="AI23" s="902">
        <f t="shared" si="4"/>
        <v>1.0999999999999999E-2</v>
      </c>
      <c r="AJ23" s="902">
        <f t="shared" si="4"/>
        <v>1.0999999999999999E-2</v>
      </c>
      <c r="AK23" s="902">
        <f t="shared" si="4"/>
        <v>1.0999999999999999E-2</v>
      </c>
      <c r="AL23" s="902">
        <f t="shared" si="4"/>
        <v>1.0999999999999999E-2</v>
      </c>
      <c r="AM23" s="902">
        <f t="shared" si="4"/>
        <v>1.0999999999999999E-2</v>
      </c>
      <c r="AN23" s="902">
        <f t="shared" si="4"/>
        <v>1.0999999999999999E-2</v>
      </c>
      <c r="AO23" s="902">
        <f t="shared" si="4"/>
        <v>1.0999999999999999E-2</v>
      </c>
      <c r="AP23" s="902">
        <f t="shared" si="4"/>
        <v>1.0999999999999999E-2</v>
      </c>
      <c r="AQ23" s="902">
        <f>0.011+0.00003*AQ21</f>
        <v>1.0999999999999999E-2</v>
      </c>
      <c r="AR23" s="1063"/>
    </row>
    <row r="24" spans="1:45" ht="14.25" customHeight="1" x14ac:dyDescent="0.25">
      <c r="A24" s="345"/>
      <c r="B24" s="4004" t="str">
        <f>AS4</f>
        <v>Excessive Vent Flow - Pad Gas Failure</v>
      </c>
      <c r="C24" s="345"/>
      <c r="D24" s="4005"/>
      <c r="E24" s="345"/>
      <c r="F24" s="3994" t="str">
        <f>AB40</f>
        <v/>
      </c>
      <c r="G24" s="345"/>
      <c r="H24" s="3963"/>
      <c r="I24" s="3964"/>
      <c r="J24" s="345"/>
      <c r="L24" s="1053"/>
      <c r="M24" s="3986" t="s">
        <v>2811</v>
      </c>
      <c r="N24" s="3987"/>
      <c r="O24" s="3987"/>
      <c r="P24" s="1111">
        <f>HLOOKUP($N$7,$AA$3:$AQ$40,17,FALSE)</f>
        <v>0</v>
      </c>
      <c r="Q24" s="1073" t="s">
        <v>2723</v>
      </c>
      <c r="R24" s="1053"/>
      <c r="S24" s="1083"/>
      <c r="T24" s="1084"/>
      <c r="U24" s="1084"/>
      <c r="V24" s="1084"/>
      <c r="W24" s="1084"/>
      <c r="X24" s="1085"/>
      <c r="Y24" s="1053"/>
      <c r="Z24" s="338"/>
      <c r="AA24" s="892" t="s">
        <v>2502</v>
      </c>
      <c r="AB24" s="890">
        <f>IF(Relief_Vapor_Capacity_Pad&gt;0,Relief_Vapor_Velocity_Pad*AB19/Relief_Vapor_Capacity_Pad,0)</f>
        <v>0</v>
      </c>
      <c r="AC24" s="890">
        <f>IF(Relief_Vapor_Capacity_Pad&gt;0,Relief_Vapor_Velocity_Pad*AC19/Relief_Vapor_Capacity_Pad,0)</f>
        <v>0</v>
      </c>
      <c r="AD24" s="890">
        <f>IF(AD15&lt;&gt;"No",0,IF(Relief_Vapor_Capacity&gt;0,AD19*Relief_Vapor_Velocity*(273+T)/(Relief_Vapor_Capacity*(273+T_atRelief)),0))</f>
        <v>0</v>
      </c>
      <c r="AE24" s="890">
        <f>IF(AE15&lt;&gt;"No",0,IF(Relief_Vapor_Capacity&gt;0,AE19*Relief_Vapor_Velocity*(273+T)/(Relief_Vapor_Capacity*(273+T_atRelief)),0))</f>
        <v>0</v>
      </c>
      <c r="AF24" s="903">
        <f>Relief_HT_Velocity</f>
        <v>0</v>
      </c>
      <c r="AG24" s="890">
        <f t="shared" ref="AG24:AP24" si="5">IF(Relief_Vapor_Capacity&gt;0,Relief_Vapor_Velocity*AG19/Relief_Vapor_Capacity,0)</f>
        <v>0</v>
      </c>
      <c r="AH24" s="890">
        <f t="shared" si="5"/>
        <v>0</v>
      </c>
      <c r="AI24" s="890">
        <f t="shared" si="5"/>
        <v>0</v>
      </c>
      <c r="AJ24" s="890">
        <f t="shared" si="5"/>
        <v>0</v>
      </c>
      <c r="AK24" s="890">
        <f t="shared" si="5"/>
        <v>0</v>
      </c>
      <c r="AL24" s="890">
        <f t="shared" si="5"/>
        <v>0</v>
      </c>
      <c r="AM24" s="890">
        <f t="shared" si="5"/>
        <v>0</v>
      </c>
      <c r="AN24" s="890">
        <f t="shared" si="5"/>
        <v>0</v>
      </c>
      <c r="AO24" s="890">
        <f t="shared" si="5"/>
        <v>0</v>
      </c>
      <c r="AP24" s="890">
        <f t="shared" si="5"/>
        <v>0</v>
      </c>
      <c r="AQ24" s="890"/>
      <c r="AR24" s="400"/>
    </row>
    <row r="25" spans="1:45" ht="14.25" customHeight="1" x14ac:dyDescent="0.25">
      <c r="A25" s="345"/>
      <c r="B25" s="4004"/>
      <c r="C25" s="345"/>
      <c r="D25" s="4006"/>
      <c r="E25" s="345"/>
      <c r="F25" s="3995"/>
      <c r="G25" s="345"/>
      <c r="H25" s="3965"/>
      <c r="I25" s="3964"/>
      <c r="J25" s="345"/>
      <c r="L25" s="1053"/>
      <c r="M25" s="3986" t="s">
        <v>2827</v>
      </c>
      <c r="N25" s="3987"/>
      <c r="O25" s="3987"/>
      <c r="P25" s="1111">
        <f>HLOOKUP($N$7,$AA$3:$AQ$40,18,FALSE)</f>
        <v>0</v>
      </c>
      <c r="Q25" s="1073" t="s">
        <v>2723</v>
      </c>
      <c r="R25" s="1053"/>
      <c r="S25" s="1086"/>
      <c r="T25" s="1063"/>
      <c r="U25" s="1063"/>
      <c r="V25" s="1063"/>
      <c r="W25" s="1063"/>
      <c r="X25" s="1087"/>
      <c r="Y25" s="1053"/>
      <c r="Z25" s="338"/>
      <c r="AA25" s="895" t="s">
        <v>2503</v>
      </c>
      <c r="AB25" s="911">
        <f t="shared" ref="AB25:AP25" si="6">IF(AND(AB19&lt;&gt;"",AB22&lt;&gt;""),10*$G$16*AB24*AB22/AB23,0)</f>
        <v>0</v>
      </c>
      <c r="AC25" s="911">
        <f t="shared" si="6"/>
        <v>0</v>
      </c>
      <c r="AD25" s="911">
        <f t="shared" si="6"/>
        <v>0</v>
      </c>
      <c r="AE25" s="911">
        <f t="shared" si="6"/>
        <v>0</v>
      </c>
      <c r="AF25" s="911">
        <f t="shared" si="6"/>
        <v>0</v>
      </c>
      <c r="AG25" s="911">
        <f t="shared" si="6"/>
        <v>0</v>
      </c>
      <c r="AH25" s="911">
        <f t="shared" si="6"/>
        <v>0</v>
      </c>
      <c r="AI25" s="911">
        <f t="shared" si="6"/>
        <v>0</v>
      </c>
      <c r="AJ25" s="911">
        <f t="shared" si="6"/>
        <v>0</v>
      </c>
      <c r="AK25" s="911">
        <f t="shared" si="6"/>
        <v>0</v>
      </c>
      <c r="AL25" s="911">
        <f t="shared" si="6"/>
        <v>0</v>
      </c>
      <c r="AM25" s="911">
        <f t="shared" si="6"/>
        <v>0</v>
      </c>
      <c r="AN25" s="911">
        <f t="shared" si="6"/>
        <v>0</v>
      </c>
      <c r="AO25" s="911">
        <f t="shared" si="6"/>
        <v>0</v>
      </c>
      <c r="AP25" s="911">
        <f t="shared" si="6"/>
        <v>0</v>
      </c>
      <c r="AQ25" s="911"/>
      <c r="AR25" s="400"/>
    </row>
    <row r="26" spans="1:45" ht="14.25" customHeight="1" x14ac:dyDescent="0.25">
      <c r="A26" s="345"/>
      <c r="B26" s="4004" t="str">
        <f>AS5</f>
        <v>Excessive Vent Flow - Displacement from Liquid Filling</v>
      </c>
      <c r="C26" s="345"/>
      <c r="D26" s="4005"/>
      <c r="E26" s="345"/>
      <c r="F26" s="3994" t="str">
        <f>AC40</f>
        <v/>
      </c>
      <c r="G26" s="345"/>
      <c r="H26" s="3963"/>
      <c r="I26" s="3964"/>
      <c r="J26" s="345"/>
      <c r="L26" s="1053"/>
      <c r="M26" s="3986" t="s">
        <v>2496</v>
      </c>
      <c r="N26" s="3987"/>
      <c r="O26" s="3987"/>
      <c r="P26" s="1109">
        <f>ROUND(HLOOKUP($N$7,$AA$3:$AQ$40,19,FALSE),1)</f>
        <v>0</v>
      </c>
      <c r="Q26" s="1073" t="s">
        <v>1836</v>
      </c>
      <c r="R26" s="1053"/>
      <c r="S26" s="1086"/>
      <c r="T26" s="1063"/>
      <c r="U26" s="1063"/>
      <c r="V26" s="1063"/>
      <c r="W26" s="1063"/>
      <c r="X26" s="1087"/>
      <c r="Y26" s="1053"/>
      <c r="Z26" s="338"/>
      <c r="AA26" s="892" t="s">
        <v>2504</v>
      </c>
      <c r="AB26" s="901">
        <f t="shared" ref="AB26:AP26" si="7">IF(OR(AB19=0,AB20=""),0,AB24*AB20/AB19)</f>
        <v>0</v>
      </c>
      <c r="AC26" s="901">
        <f t="shared" si="7"/>
        <v>0</v>
      </c>
      <c r="AD26" s="901">
        <f t="shared" si="7"/>
        <v>0</v>
      </c>
      <c r="AE26" s="901">
        <f t="shared" si="7"/>
        <v>0</v>
      </c>
      <c r="AF26" s="901">
        <f t="shared" si="7"/>
        <v>0</v>
      </c>
      <c r="AG26" s="901">
        <f t="shared" si="7"/>
        <v>0</v>
      </c>
      <c r="AH26" s="901">
        <f t="shared" si="7"/>
        <v>0</v>
      </c>
      <c r="AI26" s="901">
        <f t="shared" si="7"/>
        <v>0</v>
      </c>
      <c r="AJ26" s="901">
        <f t="shared" si="7"/>
        <v>0</v>
      </c>
      <c r="AK26" s="901">
        <f t="shared" si="7"/>
        <v>0</v>
      </c>
      <c r="AL26" s="901">
        <f t="shared" si="7"/>
        <v>0</v>
      </c>
      <c r="AM26" s="901">
        <f t="shared" si="7"/>
        <v>0</v>
      </c>
      <c r="AN26" s="901">
        <f t="shared" si="7"/>
        <v>0</v>
      </c>
      <c r="AO26" s="901">
        <f t="shared" si="7"/>
        <v>0</v>
      </c>
      <c r="AP26" s="901">
        <f t="shared" si="7"/>
        <v>0</v>
      </c>
      <c r="AQ26" s="901"/>
      <c r="AR26" s="400"/>
    </row>
    <row r="27" spans="1:45" ht="14.25" customHeight="1" x14ac:dyDescent="0.25">
      <c r="A27" s="345"/>
      <c r="B27" s="4004"/>
      <c r="C27" s="345"/>
      <c r="D27" s="4006"/>
      <c r="E27" s="345"/>
      <c r="F27" s="3995"/>
      <c r="G27" s="345"/>
      <c r="H27" s="3965"/>
      <c r="I27" s="3964"/>
      <c r="J27" s="345"/>
      <c r="L27" s="1053"/>
      <c r="M27" s="3986" t="s">
        <v>2498</v>
      </c>
      <c r="N27" s="3987"/>
      <c r="O27" s="3987"/>
      <c r="P27" s="1112">
        <f>HLOOKUP($N$7,$AA$3:$AQ$40,20,FALSE)</f>
        <v>0</v>
      </c>
      <c r="Q27" s="1073" t="s">
        <v>4245</v>
      </c>
      <c r="R27" s="1053"/>
      <c r="S27" s="1086"/>
      <c r="T27" s="1063"/>
      <c r="U27" s="1063"/>
      <c r="V27" s="1063"/>
      <c r="W27" s="1063"/>
      <c r="X27" s="1087"/>
      <c r="Y27" s="1053"/>
      <c r="Z27" s="338"/>
      <c r="AA27" s="895" t="s">
        <v>2505</v>
      </c>
      <c r="AB27" s="911">
        <f t="shared" ref="AB27:AP27" si="8">IF(AND(AB19&lt;&gt;"",AB22&lt;&gt;""),10*$G$16*AB26*AB22/AB23,0)</f>
        <v>0</v>
      </c>
      <c r="AC27" s="911">
        <f t="shared" si="8"/>
        <v>0</v>
      </c>
      <c r="AD27" s="911">
        <f t="shared" si="8"/>
        <v>0</v>
      </c>
      <c r="AE27" s="911">
        <f t="shared" si="8"/>
        <v>0</v>
      </c>
      <c r="AF27" s="911">
        <f t="shared" si="8"/>
        <v>0</v>
      </c>
      <c r="AG27" s="911">
        <f t="shared" si="8"/>
        <v>0</v>
      </c>
      <c r="AH27" s="911">
        <f t="shared" si="8"/>
        <v>0</v>
      </c>
      <c r="AI27" s="911">
        <f t="shared" si="8"/>
        <v>0</v>
      </c>
      <c r="AJ27" s="911">
        <f t="shared" si="8"/>
        <v>0</v>
      </c>
      <c r="AK27" s="911">
        <f t="shared" si="8"/>
        <v>0</v>
      </c>
      <c r="AL27" s="911">
        <f t="shared" si="8"/>
        <v>0</v>
      </c>
      <c r="AM27" s="911">
        <f t="shared" si="8"/>
        <v>0</v>
      </c>
      <c r="AN27" s="911">
        <f t="shared" si="8"/>
        <v>0</v>
      </c>
      <c r="AO27" s="911">
        <f t="shared" si="8"/>
        <v>0</v>
      </c>
      <c r="AP27" s="911">
        <f t="shared" si="8"/>
        <v>0</v>
      </c>
      <c r="AQ27" s="911"/>
      <c r="AR27" s="400"/>
    </row>
    <row r="28" spans="1:45" ht="14.25" customHeight="1" x14ac:dyDescent="0.25">
      <c r="A28" s="345"/>
      <c r="B28" s="4004" t="str">
        <f>AS6</f>
        <v>Overfill or Overflow</v>
      </c>
      <c r="C28" s="345"/>
      <c r="D28" s="4005"/>
      <c r="E28" s="345"/>
      <c r="F28" s="3994" t="str">
        <f>AD40</f>
        <v/>
      </c>
      <c r="G28" s="345"/>
      <c r="H28" s="3963"/>
      <c r="I28" s="3964"/>
      <c r="J28" s="345"/>
      <c r="L28" s="1053"/>
      <c r="M28" s="3986" t="s">
        <v>2499</v>
      </c>
      <c r="N28" s="3987"/>
      <c r="O28" s="3987"/>
      <c r="P28" s="1109">
        <v>1.1850000000000001</v>
      </c>
      <c r="Q28" s="1073" t="s">
        <v>4245</v>
      </c>
      <c r="R28" s="1053"/>
      <c r="S28" s="1086"/>
      <c r="T28" s="1063"/>
      <c r="U28" s="1063"/>
      <c r="V28" s="1063"/>
      <c r="W28" s="1063"/>
      <c r="X28" s="1087"/>
      <c r="Y28" s="1053"/>
      <c r="Z28" s="338"/>
      <c r="AA28" s="897" t="s">
        <v>2729</v>
      </c>
      <c r="AB28" s="719" t="str">
        <f t="shared" ref="AB28:AP28" si="9">IF(OR(Relief_Type="Pilot Operated Valve",Relief_Type="ERV",Relief_Type="PVRV"),"",IF(AND(AB19&lt;&gt;"",AB25&gt;15400*IF(AB22="",0,AB22)/1.185),"Yes",IF(AB19&lt;&gt;"","No","")))</f>
        <v>No</v>
      </c>
      <c r="AC28" s="719" t="str">
        <f t="shared" si="9"/>
        <v>No</v>
      </c>
      <c r="AD28" s="719" t="str">
        <f t="shared" si="9"/>
        <v>No</v>
      </c>
      <c r="AE28" s="719" t="str">
        <f t="shared" si="9"/>
        <v>No</v>
      </c>
      <c r="AF28" s="719" t="str">
        <f t="shared" si="9"/>
        <v>No</v>
      </c>
      <c r="AG28" s="719" t="str">
        <f t="shared" si="9"/>
        <v>No</v>
      </c>
      <c r="AH28" s="719" t="str">
        <f t="shared" si="9"/>
        <v>No</v>
      </c>
      <c r="AI28" s="719" t="str">
        <f t="shared" si="9"/>
        <v>No</v>
      </c>
      <c r="AJ28" s="719" t="str">
        <f t="shared" si="9"/>
        <v>No</v>
      </c>
      <c r="AK28" s="719" t="str">
        <f t="shared" si="9"/>
        <v>No</v>
      </c>
      <c r="AL28" s="719" t="str">
        <f t="shared" si="9"/>
        <v>No</v>
      </c>
      <c r="AM28" s="719" t="str">
        <f t="shared" si="9"/>
        <v>No</v>
      </c>
      <c r="AN28" s="719" t="str">
        <f t="shared" si="9"/>
        <v>No</v>
      </c>
      <c r="AO28" s="719" t="str">
        <f t="shared" si="9"/>
        <v>No</v>
      </c>
      <c r="AP28" s="719" t="str">
        <f t="shared" si="9"/>
        <v>No</v>
      </c>
      <c r="AQ28" s="898"/>
      <c r="AR28" s="400"/>
    </row>
    <row r="29" spans="1:45" ht="14.25" customHeight="1" x14ac:dyDescent="0.25">
      <c r="A29" s="345"/>
      <c r="B29" s="4004"/>
      <c r="C29" s="345"/>
      <c r="D29" s="4006"/>
      <c r="E29" s="345"/>
      <c r="F29" s="3995"/>
      <c r="G29" s="345"/>
      <c r="H29" s="3965"/>
      <c r="I29" s="3964"/>
      <c r="J29" s="345"/>
      <c r="L29" s="1053"/>
      <c r="M29" s="3986" t="s">
        <v>2500</v>
      </c>
      <c r="N29" s="3987"/>
      <c r="O29" s="3987"/>
      <c r="P29" s="1110">
        <f>HLOOKUP($N$7,$AA$3:$AQ$40,21,FALSE)</f>
        <v>1.0999999999999999E-2</v>
      </c>
      <c r="Q29" s="1073" t="s">
        <v>2501</v>
      </c>
      <c r="R29" s="1053"/>
      <c r="S29" s="1086"/>
      <c r="T29" s="1063"/>
      <c r="U29" s="1063"/>
      <c r="V29" s="1063"/>
      <c r="W29" s="1063"/>
      <c r="X29" s="1087"/>
      <c r="Y29" s="1053"/>
      <c r="Z29" s="338"/>
      <c r="AA29" s="897" t="s">
        <v>2730</v>
      </c>
      <c r="AB29" s="913" t="str">
        <f t="shared" ref="AB29:AP29" si="10">IF(Relief_Type="Safety Valve","",IF(AND(AB20&lt;&gt;"",AB27&gt;15400*IF(AB22="",0,AB22)/1.185),"Yes",IF(AB26&gt;0,"No","")))</f>
        <v/>
      </c>
      <c r="AC29" s="913" t="str">
        <f t="shared" si="10"/>
        <v/>
      </c>
      <c r="AD29" s="913" t="str">
        <f t="shared" si="10"/>
        <v/>
      </c>
      <c r="AE29" s="913" t="str">
        <f t="shared" si="10"/>
        <v/>
      </c>
      <c r="AF29" s="913" t="str">
        <f t="shared" si="10"/>
        <v/>
      </c>
      <c r="AG29" s="913" t="str">
        <f t="shared" si="10"/>
        <v/>
      </c>
      <c r="AH29" s="913" t="str">
        <f t="shared" si="10"/>
        <v/>
      </c>
      <c r="AI29" s="913" t="str">
        <f t="shared" si="10"/>
        <v/>
      </c>
      <c r="AJ29" s="913" t="str">
        <f t="shared" si="10"/>
        <v/>
      </c>
      <c r="AK29" s="913" t="str">
        <f t="shared" si="10"/>
        <v/>
      </c>
      <c r="AL29" s="913" t="str">
        <f t="shared" si="10"/>
        <v/>
      </c>
      <c r="AM29" s="913" t="str">
        <f t="shared" si="10"/>
        <v/>
      </c>
      <c r="AN29" s="913" t="str">
        <f t="shared" si="10"/>
        <v/>
      </c>
      <c r="AO29" s="913" t="str">
        <f t="shared" si="10"/>
        <v/>
      </c>
      <c r="AP29" s="913" t="str">
        <f t="shared" si="10"/>
        <v/>
      </c>
      <c r="AQ29" s="914"/>
      <c r="AR29" s="1064"/>
    </row>
    <row r="30" spans="1:45" ht="14.25" customHeight="1" x14ac:dyDescent="0.25">
      <c r="A30" s="345"/>
      <c r="B30" s="4004" t="str">
        <f>AS7</f>
        <v>Backflow</v>
      </c>
      <c r="C30" s="345"/>
      <c r="D30" s="4005"/>
      <c r="E30" s="345"/>
      <c r="F30" s="3994" t="str">
        <f>AE40</f>
        <v/>
      </c>
      <c r="G30" s="345"/>
      <c r="H30" s="3963"/>
      <c r="I30" s="3964"/>
      <c r="J30" s="345"/>
      <c r="L30" s="1053"/>
      <c r="M30" s="3986" t="s">
        <v>2502</v>
      </c>
      <c r="N30" s="3987"/>
      <c r="O30" s="3987"/>
      <c r="P30" s="1113">
        <f>HLOOKUP($N$7,$AA$3:$AQ$40,22,FALSE)</f>
        <v>0</v>
      </c>
      <c r="Q30" s="1073" t="s">
        <v>1714</v>
      </c>
      <c r="R30" s="1053"/>
      <c r="S30" s="1086"/>
      <c r="T30" s="1063"/>
      <c r="U30" s="1063"/>
      <c r="V30" s="1063"/>
      <c r="W30" s="1063"/>
      <c r="X30" s="1087"/>
      <c r="Y30" s="1053"/>
      <c r="Z30" s="338"/>
      <c r="AA30" s="899" t="s">
        <v>4483</v>
      </c>
      <c r="AB30" s="916">
        <f>'Release Calculations'!AE693</f>
        <v>0</v>
      </c>
      <c r="AC30" s="916">
        <f>'Release Calculations'!AG693</f>
        <v>0</v>
      </c>
      <c r="AD30" s="916">
        <f>'Release Calculations'!AE295</f>
        <v>0</v>
      </c>
      <c r="AE30" s="916">
        <f>'Release Calculations'!AG295</f>
        <v>0</v>
      </c>
      <c r="AF30" s="896">
        <f>IF(Max_Feed_P&lt;=Heating_P,'Release Calculations'!AO295,'Release Calculations'!AM295)</f>
        <v>0</v>
      </c>
      <c r="AG30" s="916">
        <f>'Release Calculations'!AV279</f>
        <v>0</v>
      </c>
      <c r="AH30" s="916">
        <f>'Release Calculations'!AX279</f>
        <v>0</v>
      </c>
      <c r="AI30" s="916">
        <f>'Release Calculations'!AZ279</f>
        <v>0</v>
      </c>
      <c r="AJ30" s="916">
        <f>'Release Calculations'!BB279</f>
        <v>0</v>
      </c>
      <c r="AK30" s="916">
        <f>'Release Calculations'!BD279</f>
        <v>0</v>
      </c>
      <c r="AL30" s="916">
        <f>'Release Calculations'!BF279</f>
        <v>0</v>
      </c>
      <c r="AM30" s="916">
        <f>'Release Calculations'!BH279</f>
        <v>0</v>
      </c>
      <c r="AN30" s="916">
        <f>'Release Calculations'!BJ279</f>
        <v>0</v>
      </c>
      <c r="AO30" s="916">
        <f>'Release Calculations'!BL279</f>
        <v>0</v>
      </c>
      <c r="AP30" s="916">
        <f>'Release Calculations'!BN279</f>
        <v>0</v>
      </c>
      <c r="AQ30" s="916">
        <f>'Release Calculations'!AK295</f>
        <v>0</v>
      </c>
      <c r="AR30" s="400" t="s">
        <v>2497</v>
      </c>
    </row>
    <row r="31" spans="1:45" ht="14.25" customHeight="1" x14ac:dyDescent="0.25">
      <c r="A31" s="345"/>
      <c r="B31" s="4004"/>
      <c r="C31" s="345"/>
      <c r="D31" s="4006"/>
      <c r="E31" s="345"/>
      <c r="F31" s="3995"/>
      <c r="G31" s="345"/>
      <c r="H31" s="3965"/>
      <c r="I31" s="3964"/>
      <c r="J31" s="345"/>
      <c r="L31" s="1053"/>
      <c r="M31" s="3988" t="s">
        <v>4244</v>
      </c>
      <c r="N31" s="3987"/>
      <c r="O31" s="3987"/>
      <c r="P31" s="1114">
        <f>HLOOKUP($N$7,$AA$3:$AQ$40,23,FALSE)</f>
        <v>0</v>
      </c>
      <c r="Q31" s="1074"/>
      <c r="R31" s="1053"/>
      <c r="S31" s="1086"/>
      <c r="T31" s="1063"/>
      <c r="U31" s="1063"/>
      <c r="V31" s="1063"/>
      <c r="W31" s="1063"/>
      <c r="X31" s="1087"/>
      <c r="Y31" s="1053"/>
      <c r="Z31" s="338"/>
      <c r="AA31" s="2224" t="s">
        <v>4493</v>
      </c>
      <c r="AB31" s="916">
        <f>'Release Calculations'!AE696</f>
        <v>0</v>
      </c>
      <c r="AC31" s="916">
        <f>'Release Calculations'!AG696</f>
        <v>0</v>
      </c>
      <c r="AD31" s="916">
        <f>'Release Calculations'!AE298</f>
        <v>0</v>
      </c>
      <c r="AE31" s="916">
        <f>'Release Calculations'!AG298</f>
        <v>0</v>
      </c>
      <c r="AF31" s="896">
        <f>IF(Max_Feed_P&lt;=Heating_P,'Release Calculations'!AO298,'Release Calculations'!AM298)</f>
        <v>0</v>
      </c>
      <c r="AG31" s="916">
        <f>'Release Calculations'!AV282</f>
        <v>0</v>
      </c>
      <c r="AH31" s="916">
        <f>'Release Calculations'!AX282</f>
        <v>0</v>
      </c>
      <c r="AI31" s="916">
        <f>'Release Calculations'!AZ282</f>
        <v>0</v>
      </c>
      <c r="AJ31" s="916">
        <f>'Release Calculations'!BB282</f>
        <v>0</v>
      </c>
      <c r="AK31" s="916">
        <f>'Release Calculations'!BD282</f>
        <v>0</v>
      </c>
      <c r="AL31" s="916">
        <f>'Release Calculations'!BF282</f>
        <v>0</v>
      </c>
      <c r="AM31" s="916">
        <f>'Release Calculations'!BH282</f>
        <v>0</v>
      </c>
      <c r="AN31" s="916">
        <f>'Release Calculations'!BJ282</f>
        <v>0</v>
      </c>
      <c r="AO31" s="916">
        <f>'Release Calculations'!BL282</f>
        <v>0</v>
      </c>
      <c r="AP31" s="916">
        <f>'Release Calculations'!BN282</f>
        <v>0</v>
      </c>
      <c r="AQ31" s="916">
        <f>'Release Calculations'!AK298</f>
        <v>0</v>
      </c>
      <c r="AR31" s="400" t="s">
        <v>2497</v>
      </c>
    </row>
    <row r="32" spans="1:45" ht="14.25" customHeight="1" x14ac:dyDescent="0.25">
      <c r="A32" s="345"/>
      <c r="B32" s="4004" t="str">
        <f>AS8</f>
        <v>Heat Exchanger Tube Failure</v>
      </c>
      <c r="C32" s="345"/>
      <c r="D32" s="4005"/>
      <c r="E32" s="345"/>
      <c r="F32" s="3994" t="str">
        <f>AF40</f>
        <v/>
      </c>
      <c r="G32" s="345"/>
      <c r="H32" s="3963"/>
      <c r="I32" s="3964"/>
      <c r="J32" s="345"/>
      <c r="L32" s="1053"/>
      <c r="M32" s="3986" t="s">
        <v>2504</v>
      </c>
      <c r="N32" s="3987"/>
      <c r="O32" s="3987"/>
      <c r="P32" s="1113">
        <f>HLOOKUP($N$7,$AA$3:$AQ$40,24,FALSE)</f>
        <v>0</v>
      </c>
      <c r="Q32" s="1073" t="s">
        <v>1714</v>
      </c>
      <c r="R32" s="1053"/>
      <c r="S32" s="1086"/>
      <c r="T32" s="1063"/>
      <c r="U32" s="1063"/>
      <c r="V32" s="1063"/>
      <c r="W32" s="1063"/>
      <c r="X32" s="1087"/>
      <c r="Y32" s="1053"/>
      <c r="Z32" s="338"/>
      <c r="AA32" s="899" t="str">
        <f>"Max Distance to "&amp;LFL_Fract_FlashFIre&amp;" LFL"</f>
        <v>Max Distance to 0.5 LFL</v>
      </c>
      <c r="AB32" s="916">
        <f>'Release Calculations'!AE730</f>
        <v>0</v>
      </c>
      <c r="AC32" s="916">
        <f>'Release Calculations'!AG730</f>
        <v>0</v>
      </c>
      <c r="AD32" s="916">
        <f>'Release Calculations'!AE333</f>
        <v>0</v>
      </c>
      <c r="AE32" s="916">
        <f>'Release Calculations'!AG333</f>
        <v>0</v>
      </c>
      <c r="AF32" s="896">
        <f>IF(Max_Feed_P&lt;=Heating_P,'Release Calculations'!AO333,'Release Calculations'!AM333)</f>
        <v>0</v>
      </c>
      <c r="AG32" s="916">
        <f>'Release Calculations'!AV317</f>
        <v>0</v>
      </c>
      <c r="AH32" s="916">
        <f>'Release Calculations'!AX317</f>
        <v>0</v>
      </c>
      <c r="AI32" s="916">
        <f>'Release Calculations'!AZ317</f>
        <v>0</v>
      </c>
      <c r="AJ32" s="916">
        <f>'Release Calculations'!BB317</f>
        <v>0</v>
      </c>
      <c r="AK32" s="916">
        <f>'Release Calculations'!BD317</f>
        <v>0</v>
      </c>
      <c r="AL32" s="916">
        <f>'Release Calculations'!BF317</f>
        <v>0</v>
      </c>
      <c r="AM32" s="916">
        <f>'Release Calculations'!BH317</f>
        <v>0</v>
      </c>
      <c r="AN32" s="916">
        <f>'Release Calculations'!BJ317</f>
        <v>0</v>
      </c>
      <c r="AO32" s="916">
        <f>'Release Calculations'!BL317</f>
        <v>0</v>
      </c>
      <c r="AP32" s="916">
        <f>'Release Calculations'!BN317</f>
        <v>0</v>
      </c>
      <c r="AQ32" s="916">
        <f>'Release Calculations'!AK333</f>
        <v>0</v>
      </c>
      <c r="AR32" s="400" t="s">
        <v>2497</v>
      </c>
    </row>
    <row r="33" spans="1:44" ht="14.25" customHeight="1" x14ac:dyDescent="0.25">
      <c r="A33" s="345"/>
      <c r="B33" s="4004"/>
      <c r="C33" s="345"/>
      <c r="D33" s="4006"/>
      <c r="E33" s="345"/>
      <c r="F33" s="3995"/>
      <c r="G33" s="345"/>
      <c r="H33" s="3965"/>
      <c r="I33" s="3964"/>
      <c r="J33" s="345"/>
      <c r="L33" s="1053"/>
      <c r="M33" s="3988" t="s">
        <v>4243</v>
      </c>
      <c r="N33" s="3987"/>
      <c r="O33" s="3987"/>
      <c r="P33" s="1114">
        <f>HLOOKUP($N$7,$AA$3:$AQ$40,25,FALSE)</f>
        <v>0</v>
      </c>
      <c r="Q33" s="1074"/>
      <c r="R33" s="1053"/>
      <c r="S33" s="1086"/>
      <c r="T33" s="1063"/>
      <c r="U33" s="1063"/>
      <c r="V33" s="1063"/>
      <c r="W33" s="1063"/>
      <c r="X33" s="1087"/>
      <c r="Y33" s="1053"/>
      <c r="Z33" s="338"/>
      <c r="AA33" s="899" t="s">
        <v>2267</v>
      </c>
      <c r="AB33" s="1015">
        <f>'Release Calculations'!AE501</f>
        <v>999000</v>
      </c>
      <c r="AC33" s="1015">
        <f>'Release Calculations'!AG501</f>
        <v>999000</v>
      </c>
      <c r="AD33" s="1015">
        <f>'Release Calculations'!AE111</f>
        <v>1000000</v>
      </c>
      <c r="AE33" s="1015">
        <f>'Release Calculations'!AG111</f>
        <v>1000000</v>
      </c>
      <c r="AF33" s="896">
        <f>IF(Max_Feed_P&lt;=Heating_P,'Release Calculations'!AO111,'Release Calculations'!AM111)</f>
        <v>1000000</v>
      </c>
      <c r="AG33" s="1015" t="e">
        <f>'Release Calculations'!AV95</f>
        <v>#DIV/0!</v>
      </c>
      <c r="AH33" s="1015" t="e">
        <f>'Release Calculations'!AX95</f>
        <v>#DIV/0!</v>
      </c>
      <c r="AI33" s="1015" t="e">
        <f>'Release Calculations'!AZ95</f>
        <v>#DIV/0!</v>
      </c>
      <c r="AJ33" s="1015" t="e">
        <f>'Release Calculations'!BB95</f>
        <v>#DIV/0!</v>
      </c>
      <c r="AK33" s="1015" t="e">
        <f>'Release Calculations'!BD95</f>
        <v>#DIV/0!</v>
      </c>
      <c r="AL33" s="1015" t="e">
        <f>'Release Calculations'!BF95</f>
        <v>#DIV/0!</v>
      </c>
      <c r="AM33" s="1015" t="e">
        <f>'Release Calculations'!BH95</f>
        <v>#DIV/0!</v>
      </c>
      <c r="AN33" s="1015" t="e">
        <f>'Release Calculations'!BJ95</f>
        <v>#DIV/0!</v>
      </c>
      <c r="AO33" s="1015" t="e">
        <f>'Release Calculations'!BL95</f>
        <v>#DIV/0!</v>
      </c>
      <c r="AP33" s="1015" t="e">
        <f>'Release Calculations'!BN95</f>
        <v>#DIV/0!</v>
      </c>
      <c r="AQ33" s="1015">
        <f>'Release Calculations'!AK111</f>
        <v>1000000</v>
      </c>
      <c r="AR33" s="400" t="s">
        <v>1506</v>
      </c>
    </row>
    <row r="34" spans="1:44" ht="14.25" customHeight="1" x14ac:dyDescent="0.25">
      <c r="A34" s="345"/>
      <c r="B34" s="4004" t="str">
        <f>AS9</f>
        <v>Excessive Heat Input - Pool Fire Exposure</v>
      </c>
      <c r="C34" s="345"/>
      <c r="D34" s="4005"/>
      <c r="E34" s="345"/>
      <c r="F34" s="3994" t="str">
        <f>AG40</f>
        <v/>
      </c>
      <c r="G34" s="345"/>
      <c r="H34" s="3963"/>
      <c r="I34" s="3964"/>
      <c r="J34" s="345"/>
      <c r="L34" s="1053"/>
      <c r="M34" s="4017" t="s">
        <v>4484</v>
      </c>
      <c r="N34" s="4018"/>
      <c r="O34" s="4019"/>
      <c r="P34" s="1115">
        <f>HLOOKUP($N$7,$AA$3:$AQ$40,28,FALSE)</f>
        <v>0</v>
      </c>
      <c r="Q34" s="1073" t="s">
        <v>1068</v>
      </c>
      <c r="R34" s="1053"/>
      <c r="S34" s="1086"/>
      <c r="T34" s="1063"/>
      <c r="U34" s="1063"/>
      <c r="V34" s="1063"/>
      <c r="W34" s="1063"/>
      <c r="X34" s="1087"/>
      <c r="Y34" s="1053"/>
      <c r="Z34" s="338"/>
      <c r="AA34" s="1249" t="s">
        <v>3092</v>
      </c>
      <c r="AB34" s="1015">
        <f>'Release Calculations'!AE502</f>
        <v>999000</v>
      </c>
      <c r="AC34" s="1015">
        <f>'Release Calculations'!AG502</f>
        <v>999000</v>
      </c>
      <c r="AD34" s="1015">
        <f>'Release Calculations'!AE112</f>
        <v>1000000</v>
      </c>
      <c r="AE34" s="1015">
        <f>'Release Calculations'!AG112</f>
        <v>1000000</v>
      </c>
      <c r="AF34" s="896">
        <f>IF(Max_Feed_P&lt;=Heating_P,'Release Calculations'!AO112,'Release Calculations'!AM112)</f>
        <v>1000000</v>
      </c>
      <c r="AG34" s="1015" t="e">
        <f>'Release Calculations'!AV96</f>
        <v>#DIV/0!</v>
      </c>
      <c r="AH34" s="1015" t="e">
        <f>'Release Calculations'!AX96</f>
        <v>#DIV/0!</v>
      </c>
      <c r="AI34" s="1015" t="e">
        <f>'Release Calculations'!AZ96</f>
        <v>#DIV/0!</v>
      </c>
      <c r="AJ34" s="1015" t="e">
        <f>'Release Calculations'!BB96</f>
        <v>#DIV/0!</v>
      </c>
      <c r="AK34" s="1015" t="e">
        <f>'Release Calculations'!BD96</f>
        <v>#DIV/0!</v>
      </c>
      <c r="AL34" s="1015" t="e">
        <f>'Release Calculations'!BF96</f>
        <v>#DIV/0!</v>
      </c>
      <c r="AM34" s="1015" t="e">
        <f>'Release Calculations'!BH96</f>
        <v>#DIV/0!</v>
      </c>
      <c r="AN34" s="1015" t="e">
        <f>'Release Calculations'!BJ96</f>
        <v>#DIV/0!</v>
      </c>
      <c r="AO34" s="1015" t="e">
        <f>'Release Calculations'!BL96</f>
        <v>#DIV/0!</v>
      </c>
      <c r="AP34" s="1015" t="e">
        <f>'Release Calculations'!BN96</f>
        <v>#DIV/0!</v>
      </c>
      <c r="AQ34" s="1015">
        <f>'Release Calculations'!AK112</f>
        <v>1000000</v>
      </c>
      <c r="AR34" s="400" t="s">
        <v>1506</v>
      </c>
    </row>
    <row r="35" spans="1:44" ht="14.25" customHeight="1" x14ac:dyDescent="0.25">
      <c r="A35" s="345"/>
      <c r="B35" s="4004"/>
      <c r="C35" s="345"/>
      <c r="D35" s="4006"/>
      <c r="E35" s="345"/>
      <c r="F35" s="3995"/>
      <c r="G35" s="345"/>
      <c r="H35" s="3965"/>
      <c r="I35" s="3964"/>
      <c r="J35" s="345"/>
      <c r="L35" s="1053"/>
      <c r="M35" s="4017" t="s">
        <v>4492</v>
      </c>
      <c r="N35" s="4018"/>
      <c r="O35" s="4019"/>
      <c r="P35" s="1113">
        <f>HLOOKUP($N$7,$AA$3:$AQ$40,29,FALSE)</f>
        <v>0</v>
      </c>
      <c r="Q35" s="1073" t="s">
        <v>1068</v>
      </c>
      <c r="R35" s="1053"/>
      <c r="S35" s="1086"/>
      <c r="T35" s="1063"/>
      <c r="U35" s="1063"/>
      <c r="V35" s="1063"/>
      <c r="W35" s="1063"/>
      <c r="X35" s="1087"/>
      <c r="Y35" s="1053"/>
      <c r="Z35" s="338"/>
      <c r="AA35" s="900" t="s">
        <v>4475</v>
      </c>
      <c r="AB35" s="1011">
        <f>IF(AB12&lt;&gt;"",'Release Calculations'!AE694/AB12,0)</f>
        <v>0</v>
      </c>
      <c r="AC35" s="1011">
        <f>IF(AC12&lt;&gt;"",'Release Calculations'!AG694/AC12,0)</f>
        <v>0</v>
      </c>
      <c r="AD35" s="1011">
        <f>IF(AD12&lt;&gt;"",'Release Calculations'!AE296/AD12,0)</f>
        <v>0</v>
      </c>
      <c r="AE35" s="1011">
        <f>IF(AE12&lt;&gt;"",'Release Calculations'!AG296/AE12,0)</f>
        <v>0</v>
      </c>
      <c r="AF35" s="1012">
        <f>IF(AF12&lt;&gt;"",IF(Max_Feed_P&lt;=Heating_P,'Release Calculations'!AO296/AF12,'Release Calculations'!AM296/AF12),0)</f>
        <v>0</v>
      </c>
      <c r="AG35" s="1011">
        <f>IF(AG12&lt;&gt;"",'Release Calculations'!AV280/AG12,0)</f>
        <v>0</v>
      </c>
      <c r="AH35" s="1011">
        <f>IF(AH12&lt;&gt;"",'Release Calculations'!AX280/AH12,0)</f>
        <v>0</v>
      </c>
      <c r="AI35" s="1011">
        <f>IF(AI12&lt;&gt;"",'Release Calculations'!AZ280/AI12,0)</f>
        <v>0</v>
      </c>
      <c r="AJ35" s="1011">
        <f>IF(AJ12&lt;&gt;"",'Release Calculations'!BB280/AJ12,0)</f>
        <v>0</v>
      </c>
      <c r="AK35" s="1011">
        <f>IF(AK12&lt;&gt;"",'Release Calculations'!BD280/AK12,0)</f>
        <v>0</v>
      </c>
      <c r="AL35" s="1011">
        <f>IF(AL12&lt;&gt;"",'Release Calculations'!BF280/AL12,0)</f>
        <v>0</v>
      </c>
      <c r="AM35" s="1011">
        <f>IF(AM12&lt;&gt;"",'Release Calculations'!BH280/AM12,0)</f>
        <v>0</v>
      </c>
      <c r="AN35" s="1011">
        <f>IF(AN12&lt;&gt;"",'Release Calculations'!BJ280/AN12,0)</f>
        <v>0</v>
      </c>
      <c r="AO35" s="1011">
        <f>IF(AO12&lt;&gt;"",'Release Calculations'!BL280/AO12,0)</f>
        <v>0</v>
      </c>
      <c r="AP35" s="1011">
        <f>IF(AP12&lt;&gt;"",'Release Calculations'!BN280/AP12,0)</f>
        <v>0</v>
      </c>
      <c r="AQ35" s="1011">
        <f>IF(AQ12&lt;&gt;"",'Release Calculations'!AK296/AQ12,0)</f>
        <v>0</v>
      </c>
      <c r="AR35" s="2217" t="s">
        <v>2727</v>
      </c>
    </row>
    <row r="36" spans="1:44" ht="14.25" customHeight="1" x14ac:dyDescent="0.25">
      <c r="A36" s="345"/>
      <c r="B36" s="4004" t="str">
        <f>AS10</f>
        <v>Excessive Heat Input - Heat Transfer</v>
      </c>
      <c r="C36" s="345"/>
      <c r="D36" s="4005"/>
      <c r="E36" s="345"/>
      <c r="F36" s="3994" t="str">
        <f>AH40</f>
        <v/>
      </c>
      <c r="G36" s="345"/>
      <c r="H36" s="3963"/>
      <c r="I36" s="3964"/>
      <c r="J36" s="345"/>
      <c r="L36" s="1053"/>
      <c r="M36" s="3991" t="str">
        <f>"Maximum "&amp;LFL_Fract_FlashFIre&amp;" LFL Distance"</f>
        <v>Maximum 0.5 LFL Distance</v>
      </c>
      <c r="N36" s="3987"/>
      <c r="O36" s="3987"/>
      <c r="P36" s="1113">
        <f>HLOOKUP($N$7,$AA$3:$AQ$40,30,FALSE)</f>
        <v>0</v>
      </c>
      <c r="Q36" s="1073" t="s">
        <v>1068</v>
      </c>
      <c r="R36" s="1053"/>
      <c r="S36" s="1086"/>
      <c r="T36" s="1063"/>
      <c r="U36" s="1063"/>
      <c r="V36" s="1063"/>
      <c r="W36" s="1063"/>
      <c r="X36" s="1087"/>
      <c r="Y36" s="1053"/>
      <c r="Z36" s="338"/>
      <c r="AA36" s="1247" t="s">
        <v>4476</v>
      </c>
      <c r="AB36" s="1013">
        <f>IF(AND(AB32&gt;3,AB14&lt;&gt;""),MAX('Release Calculations'!AE703,'Release Calculations'!AE704)/(10000*AB14),0)</f>
        <v>0</v>
      </c>
      <c r="AC36" s="1013">
        <f>IF(AND(AC32&gt;3,AC14&lt;&gt;""),MAX('Release Calculations'!AG703,'Release Calculations'!AG704)/(10000*AC14),0)</f>
        <v>0</v>
      </c>
      <c r="AD36" s="1013">
        <f>IF(AND(AD32&gt;3,AD14&lt;&gt;""),MAX('Release Calculations'!AE306,'Release Calculations'!AE307)/(10000*AD14),0)</f>
        <v>0</v>
      </c>
      <c r="AE36" s="1013">
        <f>IF(AND(AE32&gt;3,AE14&lt;&gt;""),MAX('Release Calculations'!AG306,'Release Calculations'!AG307)/(10000*AE14),0)</f>
        <v>0</v>
      </c>
      <c r="AF36" s="1014">
        <f>IF(AND(AF32&gt;3,AF14&lt;&gt;""),IF(Max_Feed_P&lt;=Heating_P,MAX('Release Calculations'!AO306,'Release Calculations'!AO307)/(10000*AF14),MAX('Release Calculations'!AM306,'Release Calculations'!AM307)/(10000*AF14)),0)</f>
        <v>0</v>
      </c>
      <c r="AG36" s="1013">
        <f>IF(AND(AG32&gt;3,AG14&lt;&gt;""),MAX('Release Calculations'!AV290,'Release Calculations'!AV291)/(10000*AG14),0)</f>
        <v>0</v>
      </c>
      <c r="AH36" s="1013">
        <f>IF(AND(AH32&gt;3,AH14&lt;&gt;""),MAX('Release Calculations'!AX290,'Release Calculations'!AX291)/(10000*AH14),0)</f>
        <v>0</v>
      </c>
      <c r="AI36" s="1013">
        <f>IF(AND(AI32&gt;3,AI14&lt;&gt;""),MAX('Release Calculations'!AZ290,'Release Calculations'!AZ291)/(10000*AI14),0)</f>
        <v>0</v>
      </c>
      <c r="AJ36" s="1013">
        <f>IF(AND(AJ32&gt;3,AJ14&lt;&gt;""),MAX('Release Calculations'!BB290,'Release Calculations'!BB291)/(10000*AJ14),0)</f>
        <v>0</v>
      </c>
      <c r="AK36" s="1013">
        <f>IF(AND(AK32&gt;3,AK14&lt;&gt;""),MAX('Release Calculations'!BD290,'Release Calculations'!BD291)/(10000*AK14),0)</f>
        <v>0</v>
      </c>
      <c r="AL36" s="1013">
        <f>IF(AND(AL32&gt;3,AL14&lt;&gt;""),MAX('Release Calculations'!BF290,'Release Calculations'!BF291)/(10000*AL14),0)</f>
        <v>0</v>
      </c>
      <c r="AM36" s="1013">
        <f>IF(AND(AM32&gt;3,AM14&lt;&gt;""),MAX('Release Calculations'!BH290,'Release Calculations'!BH291)/(10000*AM14),0)</f>
        <v>0</v>
      </c>
      <c r="AN36" s="1013">
        <f>IF(AND(AN32&gt;3,AN14&lt;&gt;""),MAX('Release Calculations'!BJ290,'Release Calculations'!BJ291)/(10000*AN14),0)</f>
        <v>0</v>
      </c>
      <c r="AO36" s="1013">
        <f>IF(AND(AO32&gt;3,AO14&lt;&gt;""),MAX('Release Calculations'!BL290,'Release Calculations'!BL291)/(10000*AO14),0)</f>
        <v>0</v>
      </c>
      <c r="AP36" s="1013">
        <f>IF(AND(AP32&gt;3,AP14&lt;&gt;""),MAX('Release Calculations'!BN290,'Release Calculations'!BN291)/(10000*AP14),0)</f>
        <v>0</v>
      </c>
      <c r="AQ36" s="1013">
        <f>IF(AND(AQ32&gt;3,AQ14&lt;&gt;""),MAX('Release Calculations'!AK306,'Release Calculations'!AK307)/(10000*AQ14),0)</f>
        <v>0</v>
      </c>
      <c r="AR36" s="1158" t="s">
        <v>2506</v>
      </c>
    </row>
    <row r="37" spans="1:44" ht="14.25" customHeight="1" x14ac:dyDescent="0.25">
      <c r="A37" s="345"/>
      <c r="B37" s="4004"/>
      <c r="C37" s="345"/>
      <c r="D37" s="4006"/>
      <c r="E37" s="345"/>
      <c r="F37" s="3995"/>
      <c r="G37" s="345"/>
      <c r="H37" s="3965"/>
      <c r="I37" s="3964"/>
      <c r="J37" s="345"/>
      <c r="L37" s="1053"/>
      <c r="M37" s="3991" t="s">
        <v>2267</v>
      </c>
      <c r="N37" s="3987"/>
      <c r="O37" s="3987"/>
      <c r="P37" s="1113" t="e">
        <f>HLOOKUP($N$7,$AA$3:$AQ$40,31,FALSE)</f>
        <v>#DIV/0!</v>
      </c>
      <c r="Q37" s="1073" t="s">
        <v>1506</v>
      </c>
      <c r="R37" s="1053"/>
      <c r="S37" s="1091"/>
      <c r="T37" s="338"/>
      <c r="U37" s="338"/>
      <c r="V37" s="338"/>
      <c r="W37" s="338"/>
      <c r="X37" s="1092"/>
      <c r="Y37" s="1053"/>
      <c r="Z37" s="338"/>
      <c r="AA37" s="1247" t="s">
        <v>4476</v>
      </c>
      <c r="AB37" s="1013">
        <f>IF(AND(AB31&gt;3,AB13&lt;&gt;""),MAX('Release Calculations'!AE703,'Release Calculations'!AE704)/AB13,0)</f>
        <v>0</v>
      </c>
      <c r="AC37" s="1013">
        <f>IF(AC13&lt;&gt;"",MAX('Release Calculations'!AG703,'Release Calculations'!AG704)/AC13,0)</f>
        <v>0</v>
      </c>
      <c r="AD37" s="1013">
        <f>IF(AD13&lt;&gt;"",MAX('Release Calculations'!AE306,'Release Calculations'!AE307)/AD13,0)</f>
        <v>0</v>
      </c>
      <c r="AE37" s="1013">
        <f>IF(AE13&lt;&gt;"",MAX('Release Calculations'!AG306,'Release Calculations'!AG307)/AE13,0)</f>
        <v>0</v>
      </c>
      <c r="AF37" s="1012">
        <f>IF(AF13&lt;&gt;"",IF(Max_Feed_P&lt;=Heating_P,MAX('Release Calculations'!AO306,'Release Calculations'!AO307)/AF13,MAX('Release Calculations'!AM306,'Release Calculations'!AM307)/AF13),0)</f>
        <v>0</v>
      </c>
      <c r="AG37" s="1013">
        <f>IF(AG13&lt;&gt;"",MAX('Release Calculations'!AV290,'Release Calculations'!AV291)/AG13,0)</f>
        <v>0</v>
      </c>
      <c r="AH37" s="1013">
        <f>IF(AH13&lt;&gt;"",MAX('Release Calculations'!AX290,'Release Calculations'!AX291)/AH13,0)</f>
        <v>0</v>
      </c>
      <c r="AI37" s="1013">
        <f>IF(AI13&lt;&gt;"",MAX('Release Calculations'!AZ290,'Release Calculations'!AZ291)/AI13,0)</f>
        <v>0</v>
      </c>
      <c r="AJ37" s="1013">
        <f>IF(AJ13&lt;&gt;"",MAX('Release Calculations'!BB290,'Release Calculations'!BB291)/AJ13,0)</f>
        <v>0</v>
      </c>
      <c r="AK37" s="1013">
        <f>IF(AK13&lt;&gt;"",MAX('Release Calculations'!BD290,'Release Calculations'!BD291)/AK13,0)</f>
        <v>0</v>
      </c>
      <c r="AL37" s="1013">
        <f>IF(AL13&lt;&gt;"",MAX('Release Calculations'!BF290,'Release Calculations'!BF291)/AL13,0)</f>
        <v>0</v>
      </c>
      <c r="AM37" s="1013">
        <f>IF(AM13&lt;&gt;"",MAX('Release Calculations'!BH290,'Release Calculations'!BH291)/AM13,0)</f>
        <v>0</v>
      </c>
      <c r="AN37" s="1013">
        <f>IF(AN13&lt;&gt;"",MAX('Release Calculations'!BJ290,'Release Calculations'!BJ291)/AN13,0)</f>
        <v>0</v>
      </c>
      <c r="AO37" s="1013">
        <f>IF(AO13&lt;&gt;"",MAX('Release Calculations'!BL290,'Release Calculations'!BL291)/AO13,0)</f>
        <v>0</v>
      </c>
      <c r="AP37" s="1013">
        <f>IF(AP13&lt;&gt;"",MAX('Release Calculations'!BN290,'Release Calculations'!BN291)/AP13,0)</f>
        <v>0</v>
      </c>
      <c r="AQ37" s="1013">
        <f>IF(AQ13&lt;&gt;"",MAX('Release Calculations'!AK306,'Release Calculations'!AK307)/AQ13,0)</f>
        <v>0</v>
      </c>
      <c r="AR37" s="1158" t="s">
        <v>2507</v>
      </c>
    </row>
    <row r="38" spans="1:44" ht="14.25" customHeight="1" x14ac:dyDescent="0.25">
      <c r="A38" s="345"/>
      <c r="B38" s="4004" t="str">
        <f>AS11</f>
        <v>Excessive Heat Input - Mechanical Energy</v>
      </c>
      <c r="C38" s="345"/>
      <c r="D38" s="4005"/>
      <c r="E38" s="345"/>
      <c r="F38" s="3994" t="str">
        <f>AI40</f>
        <v/>
      </c>
      <c r="G38" s="345"/>
      <c r="H38" s="3963"/>
      <c r="I38" s="3964"/>
      <c r="J38" s="345"/>
      <c r="L38" s="1053"/>
      <c r="M38" s="3991" t="s">
        <v>3092</v>
      </c>
      <c r="N38" s="3987"/>
      <c r="O38" s="3987"/>
      <c r="P38" s="1113" t="e">
        <f>HLOOKUP($N$7,$AA$3:$AQ$40,32,FALSE)</f>
        <v>#DIV/0!</v>
      </c>
      <c r="Q38" s="1073" t="s">
        <v>1506</v>
      </c>
      <c r="R38" s="1053"/>
      <c r="S38" s="1246"/>
      <c r="T38" s="338"/>
      <c r="U38" s="338"/>
      <c r="V38" s="338"/>
      <c r="W38" s="338"/>
      <c r="X38" s="1092"/>
      <c r="Y38" s="1053"/>
      <c r="AA38" s="900" t="s">
        <v>4477</v>
      </c>
      <c r="AB38" s="1013">
        <f>IF(AB14&lt;&gt;"",MAX('Release Calculations'!AE705,'Release Calculations'!AE706)/(10000*AB14),0)</f>
        <v>0</v>
      </c>
      <c r="AC38" s="1013">
        <f>IF(AC14&lt;&gt;"",MAX('Release Calculations'!AG705,'Release Calculations'!AG706)/(10000*AC14),0)</f>
        <v>0</v>
      </c>
      <c r="AD38" s="1013">
        <f>IF(AD14&lt;&gt;"",MAX('Release Calculations'!AE308,'Release Calculations'!AE309)/(10000*AD14),0)</f>
        <v>0</v>
      </c>
      <c r="AE38" s="1013">
        <f>IF(AE14&lt;&gt;"",MAX('Release Calculations'!AG308,'Release Calculations'!AG309)/(10000*AE14),0)</f>
        <v>0</v>
      </c>
      <c r="AF38" s="1012">
        <f>IF(AF14&lt;&gt;"",IF(Max_Feed_P&lt;=Heating_P,MAX('Release Calculations'!AO308,'Release Calculations'!AO309)/(10000*AF14),MAX('Release Calculations'!AM308,'Release Calculations'!AM309)/(10000*AF14)),0)</f>
        <v>0</v>
      </c>
      <c r="AG38" s="1013">
        <f>IF(AG14&lt;&gt;"",MAX('Release Calculations'!AV292,'Release Calculations'!AV293)/(10000*AG14),0)</f>
        <v>0</v>
      </c>
      <c r="AH38" s="1013">
        <f>IF(AH14&lt;&gt;"",MAX('Release Calculations'!AX292,'Release Calculations'!AX293)/(10000*AH14),0)</f>
        <v>0</v>
      </c>
      <c r="AI38" s="1013">
        <f>IF(AI14&lt;&gt;"",MAX('Release Calculations'!AZ292,'Release Calculations'!AZ293)/(10000*AI14),0)</f>
        <v>0</v>
      </c>
      <c r="AJ38" s="1013">
        <f>IF(AJ14&lt;&gt;"",MAX('Release Calculations'!BB292,'Release Calculations'!BB293)/(10000*AJ14),0)</f>
        <v>0</v>
      </c>
      <c r="AK38" s="1013">
        <f>IF(AK14&lt;&gt;"",MAX('Release Calculations'!BD292,'Release Calculations'!BD293)/(10000*AK14),0)</f>
        <v>0</v>
      </c>
      <c r="AL38" s="1013">
        <f>IF(AL14&lt;&gt;"",MAX('Release Calculations'!BF292,'Release Calculations'!BF293)/(10000*AL14),0)</f>
        <v>0</v>
      </c>
      <c r="AM38" s="1013">
        <f>IF(AM14&lt;&gt;"",MAX('Release Calculations'!BH292,'Release Calculations'!BH293)/(10000*AM14),0)</f>
        <v>0</v>
      </c>
      <c r="AN38" s="1013">
        <f>IF(AN14&lt;&gt;"",MAX('Release Calculations'!BJ292,'Release Calculations'!BJ293)/(10000*AN14),0)</f>
        <v>0</v>
      </c>
      <c r="AO38" s="1013">
        <f>IF(AO14&lt;&gt;"",MAX('Release Calculations'!BL292,'Release Calculations'!BL293)/(10000*AO14),0)</f>
        <v>0</v>
      </c>
      <c r="AP38" s="1013">
        <f>IF(AP14&lt;&gt;"",MAX('Release Calculations'!BN292,'Release Calculations'!BN293)/(10000*AP14),0)</f>
        <v>0</v>
      </c>
      <c r="AQ38" s="1013">
        <f>IF(AQ14&lt;&gt;"",MAX('Release Calculations'!AK308,'Release Calculations'!AK309)/(10000*AQ14),0)</f>
        <v>0</v>
      </c>
      <c r="AR38" s="1158" t="s">
        <v>2506</v>
      </c>
    </row>
    <row r="39" spans="1:44" ht="14.25" customHeight="1" x14ac:dyDescent="0.25">
      <c r="A39" s="345"/>
      <c r="B39" s="4004"/>
      <c r="C39" s="345"/>
      <c r="D39" s="4006"/>
      <c r="E39" s="345"/>
      <c r="F39" s="3995"/>
      <c r="G39" s="345"/>
      <c r="H39" s="3965"/>
      <c r="I39" s="3964"/>
      <c r="J39" s="345"/>
      <c r="L39" s="1053"/>
      <c r="M39" s="4013" t="s">
        <v>4480</v>
      </c>
      <c r="N39" s="4014"/>
      <c r="O39" s="4014"/>
      <c r="P39" s="1113">
        <f>HLOOKUP($N$7,$AA$3:$AQ$40,33,FALSE)</f>
        <v>0</v>
      </c>
      <c r="Q39" s="2178" t="s">
        <v>4485</v>
      </c>
      <c r="R39" s="1053"/>
      <c r="S39" s="1088"/>
      <c r="T39" s="1089"/>
      <c r="U39" s="1089"/>
      <c r="V39" s="1089"/>
      <c r="W39" s="1089"/>
      <c r="X39" s="1090"/>
      <c r="Y39" s="1053"/>
      <c r="AA39" s="900" t="s">
        <v>4477</v>
      </c>
      <c r="AB39" s="1013">
        <f>IF(AB13&lt;&gt;"",MAX('Release Calculations'!AE705,'Release Calculations'!AE706)/AB13,0)</f>
        <v>0</v>
      </c>
      <c r="AC39" s="1013">
        <f>IF(AC13&lt;&gt;"",MAX('Release Calculations'!AG705,'Release Calculations'!AG706)/AC13,0)</f>
        <v>0</v>
      </c>
      <c r="AD39" s="1013">
        <f>IF(AD13&lt;&gt;"",MAX('Release Calculations'!AE308,'Release Calculations'!AE309)/AD13,0)</f>
        <v>0</v>
      </c>
      <c r="AE39" s="1013">
        <f>IF(AE13&lt;&gt;"",MAX('Release Calculations'!AG308,'Release Calculations'!AG309)/AE13,0)</f>
        <v>0</v>
      </c>
      <c r="AF39" s="1012">
        <f>IF(AF13&lt;&gt;"",IF(Max_Feed_P&lt;=Heating_P,MAX('Release Calculations'!AO308,'Release Calculations'!AO309)/AF13,MAX('Release Calculations'!AM308,'Release Calculations'!AM309)/AF13),0)</f>
        <v>0</v>
      </c>
      <c r="AG39" s="1013">
        <f>IF(AG13&lt;&gt;"",MAX('Release Calculations'!AV292,'Release Calculations'!AV293)/AG13,0)</f>
        <v>0</v>
      </c>
      <c r="AH39" s="1013">
        <f>IF(AH13&lt;&gt;"",MAX('Release Calculations'!AX292,'Release Calculations'!AX293)/AH13,0)</f>
        <v>0</v>
      </c>
      <c r="AI39" s="1013">
        <f>IF(AI13&lt;&gt;"",MAX('Release Calculations'!AZ292,'Release Calculations'!AZ293)/AI13,0)</f>
        <v>0</v>
      </c>
      <c r="AJ39" s="1013">
        <f>IF(AJ13&lt;&gt;"",MAX('Release Calculations'!BB292,'Release Calculations'!BB293)/AJ13,0)</f>
        <v>0</v>
      </c>
      <c r="AK39" s="1013">
        <f>IF(AK13&lt;&gt;"",MAX('Release Calculations'!BD292,'Release Calculations'!BD293)/AK13,0)</f>
        <v>0</v>
      </c>
      <c r="AL39" s="1013">
        <f>IF(AL13&lt;&gt;"",MAX('Release Calculations'!BF292,'Release Calculations'!BF293)/AL13,0)</f>
        <v>0</v>
      </c>
      <c r="AM39" s="1013">
        <f>IF(AM13&lt;&gt;"",MAX('Release Calculations'!BH292,'Release Calculations'!BH293)/AM13,0)</f>
        <v>0</v>
      </c>
      <c r="AN39" s="1013">
        <f>IF(AN13&lt;&gt;"",MAX('Release Calculations'!BJ292,'Release Calculations'!BJ293)/AN13,0)</f>
        <v>0</v>
      </c>
      <c r="AO39" s="1013">
        <f>IF(AO13&lt;&gt;"",MAX('Release Calculations'!BL292,'Release Calculations'!BL293)/AO13,0)</f>
        <v>0</v>
      </c>
      <c r="AP39" s="1013">
        <f>IF(AP13&lt;&gt;"",MAX('Release Calculations'!BN292,'Release Calculations'!BN293)/AP13,0)</f>
        <v>0</v>
      </c>
      <c r="AQ39" s="1013">
        <f>IF(AQ13&lt;&gt;"",MAX('Release Calculations'!AK308,'Release Calculations'!AK309)/AQ13,0)</f>
        <v>0</v>
      </c>
      <c r="AR39" s="2217" t="s">
        <v>2508</v>
      </c>
    </row>
    <row r="40" spans="1:44" ht="14.25" customHeight="1" x14ac:dyDescent="0.25">
      <c r="A40" s="345"/>
      <c r="B40" s="4004" t="str">
        <f>AS12</f>
        <v>Uncontrolled Reaction - Adiabatic Conditions</v>
      </c>
      <c r="C40" s="345"/>
      <c r="D40" s="4005"/>
      <c r="E40" s="345"/>
      <c r="F40" s="3994" t="str">
        <f>AJ40</f>
        <v/>
      </c>
      <c r="G40" s="345"/>
      <c r="H40" s="3963"/>
      <c r="I40" s="3964"/>
      <c r="J40" s="345"/>
      <c r="L40" s="1053"/>
      <c r="M40" s="4015" t="s">
        <v>3087</v>
      </c>
      <c r="N40" s="4016"/>
      <c r="O40" s="4016"/>
      <c r="P40" s="1113">
        <f>HLOOKUP($N$7,$AA$3:$AQ$40,34,FALSE)</f>
        <v>0</v>
      </c>
      <c r="Q40" s="2178" t="s">
        <v>2506</v>
      </c>
      <c r="R40" s="1053"/>
      <c r="S40" s="1053"/>
      <c r="T40" s="1053"/>
      <c r="U40" s="1053"/>
      <c r="V40" s="1053"/>
      <c r="W40" s="1053"/>
      <c r="X40" s="1053"/>
      <c r="Y40" s="1053"/>
      <c r="AA40" s="1171" t="s">
        <v>4252</v>
      </c>
      <c r="AB40" s="1117" t="str">
        <f t="shared" ref="AB40:AQ40" si="11">IF(OR(Relief_Set_Input="",AB20=0),"",IF(Permits="Yes","Government Permits Require Effluent Treatment",IF(TCSupport="No","Operations Does Not Support Venting to Atmosphere",IF(AND($F$15&lt;&gt;"",OR(AB31&gt;HD_Severe_Impact,AB32&gt;HD_Severe_Impact,AB30&gt;Public)),"Effluent Vents within an Enclosed Process Area - Ensure Personnel Can Not be Present",IF(AND(AB15&lt;&gt;"No",OR(AB31&gt;HD_Severe_Impact,AB32&gt;HD_Severe_Impact,AB30&gt;Public)),"Effluent may be Hazardous Liquid or Two-Phase Material - see Effluent Screeing Notes",IF($I$16="þ","Effluent may be Reactive",IF(AND(AB41="Yes",OR(Relief_Elevation_Input="",Relief_Discharge_Size=0)),"Missing Input Information",IF(OR(AB41="Yes",AB42="Yes"),"Additional Risk Evaluation or Effluent Treatment is Suggested - see Effluent Screening Notes","Relief Effluent May Not Pose Significant Risk for Release to Atmosphere"))))))))</f>
        <v/>
      </c>
      <c r="AC40" s="1117" t="str">
        <f t="shared" si="11"/>
        <v/>
      </c>
      <c r="AD40" s="1117" t="str">
        <f t="shared" si="11"/>
        <v/>
      </c>
      <c r="AE40" s="1117" t="str">
        <f t="shared" si="11"/>
        <v/>
      </c>
      <c r="AF40" s="1117" t="str">
        <f t="shared" si="11"/>
        <v/>
      </c>
      <c r="AG40" s="1117" t="str">
        <f t="shared" si="11"/>
        <v/>
      </c>
      <c r="AH40" s="1117" t="str">
        <f t="shared" si="11"/>
        <v/>
      </c>
      <c r="AI40" s="1117" t="str">
        <f t="shared" si="11"/>
        <v/>
      </c>
      <c r="AJ40" s="1117" t="str">
        <f t="shared" si="11"/>
        <v/>
      </c>
      <c r="AK40" s="1117" t="str">
        <f t="shared" si="11"/>
        <v/>
      </c>
      <c r="AL40" s="1117" t="str">
        <f t="shared" si="11"/>
        <v/>
      </c>
      <c r="AM40" s="1117" t="str">
        <f t="shared" si="11"/>
        <v/>
      </c>
      <c r="AN40" s="1117" t="str">
        <f t="shared" si="11"/>
        <v/>
      </c>
      <c r="AO40" s="1117" t="str">
        <f t="shared" si="11"/>
        <v/>
      </c>
      <c r="AP40" s="1117" t="str">
        <f t="shared" si="11"/>
        <v/>
      </c>
      <c r="AQ40" s="1117" t="str">
        <f t="shared" si="11"/>
        <v/>
      </c>
      <c r="AR40" s="338"/>
    </row>
    <row r="41" spans="1:44" ht="14.25" customHeight="1" x14ac:dyDescent="0.35">
      <c r="A41" s="345"/>
      <c r="B41" s="4004"/>
      <c r="C41" s="345"/>
      <c r="D41" s="4006"/>
      <c r="E41" s="345"/>
      <c r="F41" s="3995"/>
      <c r="G41" s="345"/>
      <c r="H41" s="3965"/>
      <c r="I41" s="3964"/>
      <c r="J41" s="345"/>
      <c r="L41" s="1053"/>
      <c r="M41" s="4015" t="s">
        <v>4481</v>
      </c>
      <c r="N41" s="4016"/>
      <c r="O41" s="4016"/>
      <c r="P41" s="1113">
        <f>HLOOKUP($N$7,$AA$3:$AQ$40,35,FALSE)</f>
        <v>0</v>
      </c>
      <c r="Q41" s="2178" t="s">
        <v>4246</v>
      </c>
      <c r="R41" s="1053"/>
      <c r="S41" s="4020" t="s">
        <v>4247</v>
      </c>
      <c r="T41" s="4021"/>
      <c r="U41" s="4021"/>
      <c r="V41" s="4021"/>
      <c r="W41" s="4022"/>
      <c r="X41" s="1109" t="str">
        <f>HLOOKUP($N$7,$AA$3:$AQ$40,26,FALSE)</f>
        <v>No</v>
      </c>
      <c r="Y41" s="1053"/>
      <c r="AA41" s="2218" t="s">
        <v>4251</v>
      </c>
      <c r="AB41" s="2219" t="str">
        <f t="shared" ref="AB41:AQ41" si="12">IF(AND(AB13="",AB14=""),"No",IF(AB13&lt;&gt;"",IF(OR(AND(ER3_Min&lt;=Toxic_Limit,OR(AND(AB33&gt;AB12,Public&lt;10*Relief_Elevation),AB35&gt;1)),AND(AB13&lt;=Toxic_Limit,AB31&gt;HD_Severe_Impact,OR(AB37&gt;ReliefEff_Toxic,AB33&gt;ReliefEff_Toxic*AB13,Relief_Discharge_Location="Outdoors to Ground"))),"Yes",IF(AB14&lt;&gt;"",IF(AND(AB32&gt;HD_Severe_Impact,OR(AB36&gt;ReliefEff_Flammable,AB33&gt;ReliefEff_Flammable*10000*AB14)),"Yes","No"),"No")),IF(AND(AB32&gt;HD_Severe_Impact,OR(AB36&gt;ReliefEff_Flammable,AB33&gt;ReliefEff_Flammable*10000*AB14)),"Yes","No")))</f>
        <v>No</v>
      </c>
      <c r="AC41" s="2219" t="str">
        <f t="shared" si="12"/>
        <v>No</v>
      </c>
      <c r="AD41" s="2219" t="str">
        <f t="shared" si="12"/>
        <v>No</v>
      </c>
      <c r="AE41" s="2219" t="str">
        <f t="shared" si="12"/>
        <v>No</v>
      </c>
      <c r="AF41" s="2219" t="str">
        <f t="shared" si="12"/>
        <v>No</v>
      </c>
      <c r="AG41" s="2219" t="str">
        <f t="shared" si="12"/>
        <v>No</v>
      </c>
      <c r="AH41" s="2219" t="str">
        <f t="shared" si="12"/>
        <v>No</v>
      </c>
      <c r="AI41" s="2219" t="str">
        <f t="shared" si="12"/>
        <v>No</v>
      </c>
      <c r="AJ41" s="2219" t="str">
        <f t="shared" si="12"/>
        <v>No</v>
      </c>
      <c r="AK41" s="2219" t="str">
        <f t="shared" si="12"/>
        <v>No</v>
      </c>
      <c r="AL41" s="2219" t="str">
        <f t="shared" si="12"/>
        <v>No</v>
      </c>
      <c r="AM41" s="2219" t="str">
        <f t="shared" si="12"/>
        <v>No</v>
      </c>
      <c r="AN41" s="2219" t="str">
        <f t="shared" si="12"/>
        <v>No</v>
      </c>
      <c r="AO41" s="2219" t="str">
        <f t="shared" si="12"/>
        <v>No</v>
      </c>
      <c r="AP41" s="2219" t="str">
        <f t="shared" si="12"/>
        <v>No</v>
      </c>
      <c r="AQ41" s="2219" t="str">
        <f t="shared" si="12"/>
        <v>No</v>
      </c>
    </row>
    <row r="42" spans="1:44" ht="14.25" customHeight="1" x14ac:dyDescent="0.35">
      <c r="A42" s="345"/>
      <c r="B42" s="4004" t="str">
        <f>AS13</f>
        <v>Uncontrolled Reaction - with External Heat</v>
      </c>
      <c r="C42" s="345"/>
      <c r="D42" s="4005"/>
      <c r="E42" s="345"/>
      <c r="F42" s="3994" t="str">
        <f>AK40</f>
        <v/>
      </c>
      <c r="G42" s="345"/>
      <c r="H42" s="3963"/>
      <c r="I42" s="3964"/>
      <c r="J42" s="345"/>
      <c r="L42" s="1053"/>
      <c r="M42" s="4013" t="s">
        <v>4482</v>
      </c>
      <c r="N42" s="4014"/>
      <c r="O42" s="4014"/>
      <c r="P42" s="1113">
        <f>HLOOKUP($N$7,$AA$3:$AQ$40,36,FALSE)</f>
        <v>0</v>
      </c>
      <c r="Q42" s="2178" t="s">
        <v>2506</v>
      </c>
      <c r="R42" s="1053"/>
      <c r="S42" s="4020" t="s">
        <v>4248</v>
      </c>
      <c r="T42" s="4021"/>
      <c r="U42" s="4021"/>
      <c r="V42" s="4021"/>
      <c r="W42" s="4022"/>
      <c r="X42" s="1109" t="str">
        <f>HLOOKUP($N$7,$AA$3:$AQ$40,27,FALSE)</f>
        <v/>
      </c>
      <c r="Y42" s="1053"/>
      <c r="AA42" s="1171" t="s">
        <v>4250</v>
      </c>
      <c r="AB42" s="1170" t="str">
        <f t="shared" ref="AB42:AQ42" si="13">IF(OR(AND(OR(AB21&gt;Thermal_Vapor_Severe,AB21&lt;Thermal_Liquid_Low),$G$18-$G$19&lt;HD_Screening_Limit,$E$20&lt;ReliefEff_Distance),AB38&gt;ReliefEff_Flammable,AB39&gt;ReliefEff_Infiltration,AND(AB15&lt;&gt;"No",OR($I$17="þ",$I$18="þ",AB21&gt;Thermal_Liquid_Severe,AB21&lt;Thermal_Liquid_Low))),"Yes","No")</f>
        <v>No</v>
      </c>
      <c r="AC42" s="1170" t="str">
        <f t="shared" si="13"/>
        <v>No</v>
      </c>
      <c r="AD42" s="1170" t="str">
        <f t="shared" si="13"/>
        <v>No</v>
      </c>
      <c r="AE42" s="1170" t="str">
        <f t="shared" si="13"/>
        <v>No</v>
      </c>
      <c r="AF42" s="1170" t="str">
        <f t="shared" si="13"/>
        <v>No</v>
      </c>
      <c r="AG42" s="1170" t="str">
        <f t="shared" si="13"/>
        <v>No</v>
      </c>
      <c r="AH42" s="1170" t="str">
        <f t="shared" si="13"/>
        <v>No</v>
      </c>
      <c r="AI42" s="1170" t="str">
        <f t="shared" si="13"/>
        <v>No</v>
      </c>
      <c r="AJ42" s="1170" t="str">
        <f t="shared" si="13"/>
        <v>No</v>
      </c>
      <c r="AK42" s="1170" t="str">
        <f t="shared" si="13"/>
        <v>No</v>
      </c>
      <c r="AL42" s="1170" t="str">
        <f t="shared" si="13"/>
        <v>No</v>
      </c>
      <c r="AM42" s="1170" t="str">
        <f t="shared" si="13"/>
        <v>No</v>
      </c>
      <c r="AN42" s="1170" t="str">
        <f t="shared" si="13"/>
        <v>No</v>
      </c>
      <c r="AO42" s="1170" t="str">
        <f t="shared" si="13"/>
        <v>No</v>
      </c>
      <c r="AP42" s="1170" t="str">
        <f t="shared" si="13"/>
        <v>No</v>
      </c>
      <c r="AQ42" s="1170" t="str">
        <f t="shared" si="13"/>
        <v>No</v>
      </c>
    </row>
    <row r="43" spans="1:44" ht="14.25" customHeight="1" x14ac:dyDescent="0.25">
      <c r="A43" s="345"/>
      <c r="B43" s="4004"/>
      <c r="C43" s="345"/>
      <c r="D43" s="4006"/>
      <c r="E43" s="345"/>
      <c r="F43" s="3995"/>
      <c r="G43" s="345"/>
      <c r="H43" s="3965"/>
      <c r="I43" s="3964"/>
      <c r="J43" s="345"/>
      <c r="L43" s="1053"/>
      <c r="M43" s="4013" t="s">
        <v>4482</v>
      </c>
      <c r="N43" s="4014"/>
      <c r="O43" s="4014"/>
      <c r="P43" s="1113">
        <f>HLOOKUP($N$7,$AA$3:$AQ$40,37,FALSE)</f>
        <v>0</v>
      </c>
      <c r="Q43" s="2178" t="s">
        <v>4246</v>
      </c>
      <c r="R43" s="1053"/>
      <c r="S43" s="1116" t="str">
        <f>IF(P30="","",IF(P30&lt;12,"Warning:  Discharge Velocity less than 12 m/sec",IF(P32="","",IF(P32&lt;12,"Warning:  Discharge Velocity less than 12 m/sec at Sizing Flow Rate",""))))</f>
        <v>Warning:  Discharge Velocity less than 12 m/sec</v>
      </c>
      <c r="T43" s="1053"/>
      <c r="U43" s="1053"/>
      <c r="V43" s="1053"/>
      <c r="W43" s="1053"/>
      <c r="X43" s="1053"/>
      <c r="Y43" s="1053"/>
      <c r="AA43" s="1171" t="s">
        <v>4249</v>
      </c>
      <c r="AB43" s="1170" t="str">
        <f t="shared" ref="AB43:AQ43" si="14">IF(OR(AB41="Yes",$I$16="þ",Permits="Yes",TCSupport="Yes",$F$15&lt;&gt;""),"Yes","No")</f>
        <v>No</v>
      </c>
      <c r="AC43" s="1170" t="str">
        <f t="shared" si="14"/>
        <v>No</v>
      </c>
      <c r="AD43" s="1170" t="str">
        <f t="shared" si="14"/>
        <v>No</v>
      </c>
      <c r="AE43" s="1170" t="str">
        <f t="shared" si="14"/>
        <v>No</v>
      </c>
      <c r="AF43" s="1170" t="str">
        <f t="shared" si="14"/>
        <v>No</v>
      </c>
      <c r="AG43" s="1170" t="str">
        <f t="shared" si="14"/>
        <v>No</v>
      </c>
      <c r="AH43" s="1170" t="str">
        <f t="shared" si="14"/>
        <v>No</v>
      </c>
      <c r="AI43" s="1170" t="str">
        <f t="shared" si="14"/>
        <v>No</v>
      </c>
      <c r="AJ43" s="1170" t="str">
        <f t="shared" si="14"/>
        <v>No</v>
      </c>
      <c r="AK43" s="1170" t="str">
        <f t="shared" si="14"/>
        <v>No</v>
      </c>
      <c r="AL43" s="1170" t="str">
        <f t="shared" si="14"/>
        <v>No</v>
      </c>
      <c r="AM43" s="1170" t="str">
        <f t="shared" si="14"/>
        <v>No</v>
      </c>
      <c r="AN43" s="1170" t="str">
        <f t="shared" si="14"/>
        <v>No</v>
      </c>
      <c r="AO43" s="1170" t="str">
        <f t="shared" si="14"/>
        <v>No</v>
      </c>
      <c r="AP43" s="1170" t="str">
        <f t="shared" si="14"/>
        <v>No</v>
      </c>
      <c r="AQ43" s="1170" t="str">
        <f t="shared" si="14"/>
        <v>No</v>
      </c>
    </row>
    <row r="44" spans="1:44" ht="14.25" customHeight="1" x14ac:dyDescent="0.25">
      <c r="A44" s="345"/>
      <c r="B44" s="4004" t="str">
        <f>AS14</f>
        <v>Uncontrolled Reaction - Fire Induced</v>
      </c>
      <c r="C44" s="345"/>
      <c r="D44" s="4005"/>
      <c r="E44" s="345"/>
      <c r="F44" s="3994" t="str">
        <f>AL40</f>
        <v/>
      </c>
      <c r="G44" s="345"/>
      <c r="H44" s="3963"/>
      <c r="I44" s="3964"/>
      <c r="J44" s="345"/>
      <c r="L44" s="1053"/>
      <c r="M44" s="1053"/>
      <c r="N44" s="1053"/>
      <c r="O44" s="1053"/>
      <c r="P44" s="1053"/>
      <c r="Q44" s="1122"/>
      <c r="R44" s="1053"/>
      <c r="S44" s="1053"/>
      <c r="T44" s="1053"/>
      <c r="U44" s="1053"/>
      <c r="V44" s="1053"/>
      <c r="W44" s="1053"/>
      <c r="X44" s="1053"/>
      <c r="Y44" s="1053"/>
      <c r="AA44" s="338"/>
      <c r="AB44" s="338"/>
      <c r="AC44" s="338"/>
      <c r="AD44" s="338"/>
      <c r="AE44" s="338"/>
      <c r="AF44" s="338"/>
      <c r="AG44" s="338"/>
      <c r="AH44" s="338"/>
      <c r="AI44" s="338"/>
      <c r="AJ44" s="338"/>
      <c r="AK44" s="338"/>
      <c r="AL44" s="338"/>
      <c r="AM44" s="338"/>
      <c r="AN44" s="338"/>
      <c r="AO44" s="338"/>
      <c r="AP44" s="338"/>
      <c r="AQ44" s="338"/>
    </row>
    <row r="45" spans="1:44" ht="14.25" customHeight="1" x14ac:dyDescent="0.25">
      <c r="A45" s="345"/>
      <c r="B45" s="4004"/>
      <c r="C45" s="345"/>
      <c r="D45" s="4006"/>
      <c r="E45" s="345"/>
      <c r="F45" s="3995"/>
      <c r="G45" s="345"/>
      <c r="H45" s="3965"/>
      <c r="I45" s="3964"/>
      <c r="J45" s="345"/>
      <c r="L45" s="1053"/>
      <c r="M45" s="1096" t="s">
        <v>2810</v>
      </c>
      <c r="N45" s="1084"/>
      <c r="O45" s="1084"/>
      <c r="P45" s="1084"/>
      <c r="Q45" s="1084"/>
      <c r="R45" s="1084"/>
      <c r="S45" s="1084"/>
      <c r="T45" s="1084"/>
      <c r="U45" s="1084"/>
      <c r="V45" s="1084"/>
      <c r="W45" s="1084"/>
      <c r="X45" s="1085"/>
      <c r="Y45" s="1053"/>
      <c r="AA45" s="1118"/>
      <c r="AB45" s="1119"/>
      <c r="AC45" s="1119"/>
      <c r="AD45" s="1119"/>
      <c r="AE45" s="1119"/>
      <c r="AF45" s="1119"/>
      <c r="AH45" s="1119"/>
      <c r="AI45" s="1119"/>
      <c r="AJ45" s="1119"/>
      <c r="AK45" s="1119"/>
      <c r="AL45" s="1119"/>
      <c r="AM45" s="1119"/>
      <c r="AN45" s="1119"/>
      <c r="AO45" s="1119"/>
      <c r="AP45" s="1119"/>
      <c r="AQ45" s="1119"/>
      <c r="AR45" s="400"/>
    </row>
    <row r="46" spans="1:44" ht="14.25" customHeight="1" x14ac:dyDescent="0.25">
      <c r="A46" s="345"/>
      <c r="B46" s="4004" t="str">
        <f>AS15</f>
        <v>Uncontrolled Reaction - Catalyst or Impurity</v>
      </c>
      <c r="C46" s="345"/>
      <c r="D46" s="4005"/>
      <c r="E46" s="345"/>
      <c r="F46" s="3994" t="str">
        <f>AM40</f>
        <v/>
      </c>
      <c r="G46" s="345"/>
      <c r="H46" s="3963"/>
      <c r="I46" s="3964"/>
      <c r="J46" s="345"/>
      <c r="L46" s="1053"/>
      <c r="M46" s="4007" t="str">
        <f>HLOOKUP($N$7,$AA$3:$AQ$40,38,FALSE)</f>
        <v/>
      </c>
      <c r="N46" s="4008"/>
      <c r="O46" s="4008"/>
      <c r="P46" s="4008"/>
      <c r="Q46" s="4008"/>
      <c r="R46" s="4008"/>
      <c r="S46" s="4008"/>
      <c r="T46" s="4008"/>
      <c r="U46" s="4008"/>
      <c r="V46" s="4008"/>
      <c r="W46" s="4008"/>
      <c r="X46" s="4009"/>
      <c r="Y46" s="1053"/>
      <c r="AA46" s="338"/>
      <c r="AB46" s="888"/>
      <c r="AC46" s="338"/>
      <c r="AD46" s="338"/>
      <c r="AE46" s="338"/>
      <c r="AF46" s="338"/>
      <c r="AH46" s="338"/>
      <c r="AI46" s="338"/>
      <c r="AJ46" s="338"/>
      <c r="AK46" s="338"/>
      <c r="AL46" s="338"/>
      <c r="AM46" s="338"/>
      <c r="AN46" s="338"/>
      <c r="AO46" s="338"/>
      <c r="AP46" s="338"/>
      <c r="AQ46" s="338"/>
    </row>
    <row r="47" spans="1:44" ht="14.25" customHeight="1" x14ac:dyDescent="0.25">
      <c r="A47" s="345"/>
      <c r="B47" s="4004"/>
      <c r="C47" s="345"/>
      <c r="D47" s="4006"/>
      <c r="E47" s="345"/>
      <c r="F47" s="3995"/>
      <c r="G47" s="345"/>
      <c r="H47" s="3965"/>
      <c r="I47" s="3964"/>
      <c r="J47" s="345"/>
      <c r="L47" s="1053"/>
      <c r="M47" s="1065" t="s">
        <v>4955</v>
      </c>
      <c r="N47" s="1053"/>
      <c r="O47" s="1053"/>
      <c r="P47" s="1053"/>
      <c r="Q47" s="1053"/>
      <c r="R47" s="1053"/>
      <c r="S47" s="1053"/>
      <c r="T47" s="1053"/>
      <c r="U47" s="1053"/>
      <c r="V47" s="1053"/>
      <c r="W47" s="1053"/>
      <c r="X47" s="1053"/>
      <c r="Y47" s="1053"/>
      <c r="AB47" s="888"/>
    </row>
    <row r="48" spans="1:44" ht="14.25" customHeight="1" x14ac:dyDescent="0.25">
      <c r="A48" s="345"/>
      <c r="B48" s="4004" t="str">
        <f>AS16</f>
        <v>Uncontrolled Reaction - Pooling of Reactants</v>
      </c>
      <c r="C48" s="345"/>
      <c r="D48" s="4005"/>
      <c r="E48" s="345"/>
      <c r="F48" s="3994" t="str">
        <f>AN40</f>
        <v/>
      </c>
      <c r="G48" s="345"/>
      <c r="H48" s="3963"/>
      <c r="I48" s="3964"/>
      <c r="J48" s="345"/>
      <c r="L48" s="1053"/>
      <c r="M48" s="2179" t="str">
        <f>IF(AND($I$14="¨",$I$15="¨",$I$16="¨",$I$17="¨",$I$18="¨",P26&lt;IF(P21&lt;&gt;"No",Thermal_Liquid_Severe,Thermal_Vapor_Severe)),"The chemical components of this effluent "&amp;IF(P21&lt;&gt;"No","liquid or two-phase","vapor")&amp;" stream may not pose a significant chemical exposure or environmental hazard.","")</f>
        <v>The chemical components of this effluent vapor stream may not pose a significant chemical exposure or environmental hazard.</v>
      </c>
      <c r="N48" s="1078"/>
      <c r="O48" s="1078"/>
      <c r="P48" s="1078"/>
      <c r="Q48" s="1078"/>
      <c r="R48" s="1078"/>
      <c r="S48" s="1078"/>
      <c r="T48" s="1078"/>
      <c r="U48" s="1078"/>
      <c r="V48" s="1078"/>
      <c r="W48" s="1078"/>
      <c r="X48" s="1079"/>
      <c r="Y48" s="1053"/>
      <c r="AB48" s="888"/>
    </row>
    <row r="49" spans="1:28" ht="14.25" customHeight="1" x14ac:dyDescent="0.25">
      <c r="A49" s="345"/>
      <c r="B49" s="4004"/>
      <c r="C49" s="345"/>
      <c r="D49" s="4006"/>
      <c r="E49" s="345"/>
      <c r="F49" s="3995"/>
      <c r="G49" s="345"/>
      <c r="H49" s="3965"/>
      <c r="I49" s="3964"/>
      <c r="J49" s="345"/>
      <c r="L49" s="1053"/>
      <c r="M49" s="1101" t="str">
        <f>IF(OR(AND(P21&lt;&gt;"No",P26&gt;Thermal_Liquid_Severe),AND(P26&gt;Thermal_Vapor_Severe,OR($G$18-$G$19&lt;ReliefEff_Elevation,$E$20&lt;ReliefEff_Distance))),"Caution! "&amp;P26&amp;" C"&amp;IF(P21&lt;&gt;"No"," Liquid or Two-Phase"," Vapor")&amp;" Release within Unrestricted Work Area Directly Above, Below, or Adjacent to the Release Location.  Ensure discharge to Safe Location.","")</f>
        <v/>
      </c>
      <c r="X49" s="1080"/>
      <c r="Y49" s="1053"/>
      <c r="AB49" s="888"/>
    </row>
    <row r="50" spans="1:28" ht="14.25" customHeight="1" x14ac:dyDescent="0.25">
      <c r="A50" s="345"/>
      <c r="B50" s="4004" t="str">
        <f>AS17</f>
        <v>Uncontrolled Reaction - Mis-Loading</v>
      </c>
      <c r="C50" s="345"/>
      <c r="D50" s="4005"/>
      <c r="E50" s="345"/>
      <c r="F50" s="3994" t="str">
        <f>AO40</f>
        <v/>
      </c>
      <c r="G50" s="345"/>
      <c r="H50" s="3966"/>
      <c r="I50" s="3964"/>
      <c r="J50" s="345"/>
      <c r="L50" s="1053"/>
      <c r="M50" s="1101" t="str">
        <f>IF(AND(P21&lt;&gt;"No",$I$17="þ"),"Caution! Release of Liquid or Two-Phase Material that is Corrosive to Human Tissue.  Ensure discharge to Appropriate Location.","")</f>
        <v/>
      </c>
      <c r="X50" s="1080"/>
      <c r="Y50" s="1053"/>
      <c r="AB50" s="888"/>
    </row>
    <row r="51" spans="1:28" ht="14.25" customHeight="1" x14ac:dyDescent="0.25">
      <c r="A51" s="345"/>
      <c r="B51" s="4004"/>
      <c r="C51" s="345"/>
      <c r="D51" s="4006"/>
      <c r="E51" s="345"/>
      <c r="F51" s="3995"/>
      <c r="G51" s="345"/>
      <c r="H51" s="3965"/>
      <c r="I51" s="3964"/>
      <c r="J51" s="345"/>
      <c r="L51" s="1053"/>
      <c r="M51" s="1101" t="str">
        <f>IF(AND(P21&lt;&gt;"No",$I$18="þ"),"Caution! Release of Liquid or Two-Phase Material that may be Toxic to Aquatic Organisms.  Evaluate the Risk of Material entering a Waterway.","")</f>
        <v/>
      </c>
      <c r="X51" s="1080"/>
      <c r="Y51" s="1053"/>
      <c r="AA51" s="335"/>
      <c r="AB51" s="1128"/>
    </row>
    <row r="52" spans="1:28" ht="14.25" customHeight="1" x14ac:dyDescent="0.25">
      <c r="A52" s="345"/>
      <c r="B52" s="4004" t="str">
        <f>AS18</f>
        <v>User Defined Vapor Rate</v>
      </c>
      <c r="C52" s="345"/>
      <c r="D52" s="4005"/>
      <c r="E52" s="345"/>
      <c r="F52" s="3994" t="str">
        <f>AP40</f>
        <v/>
      </c>
      <c r="G52" s="345"/>
      <c r="H52" s="3966"/>
      <c r="I52" s="3964"/>
      <c r="J52" s="345"/>
      <c r="L52" s="1053"/>
      <c r="M52" s="1101" t="str">
        <f>IF(P43&gt;ReliefEff_Infiltration,"Caution!   Concentration at distance and elevation of Occupied Building(s) may be greater than "&amp;ReliefEff_Infiltration&amp;" times ERPG-3.  Ensure toxic infiltration is addressed.","")</f>
        <v/>
      </c>
      <c r="X52" s="1080"/>
      <c r="Y52" s="1053"/>
    </row>
    <row r="53" spans="1:28" ht="14.25" customHeight="1" x14ac:dyDescent="0.25">
      <c r="A53" s="345"/>
      <c r="B53" s="4004"/>
      <c r="C53" s="345"/>
      <c r="D53" s="4006"/>
      <c r="E53" s="345"/>
      <c r="F53" s="3995"/>
      <c r="G53" s="345"/>
      <c r="H53" s="3965"/>
      <c r="I53" s="3964"/>
      <c r="J53" s="345"/>
      <c r="L53" s="1053"/>
      <c r="M53" s="1101" t="str">
        <f>IF(P42&gt;ReliefEff_Flammable,"Caution!  Concentration at distance and elevation of Occupied Building may be greater than "&amp;ReliefEff_Flammable&amp;" times LFL.  Ensure flammable impact is addressed.","")</f>
        <v/>
      </c>
      <c r="X53" s="1080"/>
      <c r="Y53" s="1053"/>
    </row>
    <row r="54" spans="1:28" ht="14.25" customHeight="1" x14ac:dyDescent="0.25">
      <c r="A54" s="345"/>
      <c r="B54" s="4004" t="str">
        <f>AS19</f>
        <v>User Defined Liquid Rate</v>
      </c>
      <c r="C54" s="345"/>
      <c r="D54" s="4005"/>
      <c r="E54" s="345"/>
      <c r="F54" s="3994" t="str">
        <f>AQ40</f>
        <v/>
      </c>
      <c r="G54" s="345"/>
      <c r="H54" s="3966"/>
      <c r="I54" s="3964"/>
      <c r="J54" s="345"/>
      <c r="L54" s="1053"/>
      <c r="M54" s="1101" t="e">
        <f>IF(AND(MIN(R11:R17)&lt;=Toxic_Limit,OR(AND(Public&lt;10*Relief_Elevation,P37&gt;Q18),P39&gt;1)),"Distance to ERPG-2 concentration is beyond the property limit at an elevation that could impact personnel.","")</f>
        <v>#DIV/0!</v>
      </c>
      <c r="X54" s="1080"/>
      <c r="Y54" s="1053"/>
    </row>
    <row r="55" spans="1:28" ht="14.25" customHeight="1" x14ac:dyDescent="0.25">
      <c r="A55" s="345"/>
      <c r="B55" s="4004"/>
      <c r="C55" s="345"/>
      <c r="D55" s="4006"/>
      <c r="E55" s="345"/>
      <c r="F55" s="3995"/>
      <c r="G55" s="345"/>
      <c r="H55" s="3965"/>
      <c r="I55" s="3964"/>
      <c r="J55" s="345"/>
      <c r="L55" s="1053"/>
      <c r="M55" s="1101" t="str">
        <f>IF(OR(MIN(R11:R17)&gt;Toxic_Limit,P35&lt;HD_Severe_Impact),"",IF(Relief_Discharge_Location="Outdoors to Ground","Relief Discharge directed Down and concentration at Unrestricted Personnel Area may be greater than "&amp;ReliefEff_Toxic&amp;" times ERPG-3.",IF(OR(P41&gt;ReliefEff_Toxic,P37&gt;ReliefEff_Toxic*R18),"Relief Discharge Elevation may not be sufficient to reduce concentration at Unrestricted Personnel Area below "&amp;ReliefEff_Toxic&amp;" times ERPG-3 concentration.","")))</f>
        <v/>
      </c>
      <c r="X55" s="1080"/>
      <c r="Y55" s="1053"/>
    </row>
    <row r="56" spans="1:28" ht="14.25" customHeight="1" x14ac:dyDescent="0.25">
      <c r="A56" s="345"/>
      <c r="B56" s="345"/>
      <c r="C56" s="345"/>
      <c r="D56" s="345"/>
      <c r="E56" s="345"/>
      <c r="F56" s="345"/>
      <c r="G56" s="345"/>
      <c r="H56" s="345"/>
      <c r="I56" s="345"/>
      <c r="J56" s="345"/>
      <c r="L56" s="1053"/>
      <c r="M56" s="2223" t="str">
        <f>IF(AND(P30&lt;12,P36&gt;HD_Severe_Impact),"Relief Discharge may not Meet Minimum Velocity Criteria for Flammables.",IF(AND(P36&gt;HD_Severe_Impact,OR(X41="No",X42="No"))," Relief Discharge does not Meet Reynolds Number Criteria for Flammables per API 521 criteria and no Inputs for Nearest Work Area.",""))</f>
        <v/>
      </c>
      <c r="X56" s="1080"/>
      <c r="Y56" s="1053"/>
    </row>
    <row r="57" spans="1:28" ht="14.25" customHeight="1" x14ac:dyDescent="0.25">
      <c r="A57" s="345"/>
      <c r="B57" s="345"/>
      <c r="C57" s="345"/>
      <c r="D57" s="345"/>
      <c r="E57" s="345"/>
      <c r="F57" s="1267" t="s">
        <v>3124</v>
      </c>
      <c r="G57" s="345"/>
      <c r="H57" s="345"/>
      <c r="I57" s="345"/>
      <c r="J57" s="345"/>
      <c r="L57" s="1053"/>
      <c r="M57" s="2180" t="str">
        <f>IF(P36&lt;HD_Severe_Impact,"",IF(Relief_Discharge_Location="Outdoors to Ground","Relief Discharge directed Down and concentration at Unrestricted Personnel Area may be greater than "&amp;ReliefEff_Flammable&amp;" times LFL.",IF(OR(P40&gt;ReliefEff_Flammable,P37&gt;ReliefEff_Flammable*10000*S18),"Relief Discharge Elevation may not be sufficient to reduce concentration at Unrestricted Personnel Area below "&amp;ReliefEff_Flammable&amp;" times LFL.","")))</f>
        <v/>
      </c>
      <c r="N57" s="1081"/>
      <c r="O57" s="1081"/>
      <c r="P57" s="1081"/>
      <c r="Q57" s="1081"/>
      <c r="R57" s="1081"/>
      <c r="S57" s="1081"/>
      <c r="T57" s="1081"/>
      <c r="U57" s="1081"/>
      <c r="V57" s="1081"/>
      <c r="W57" s="1081"/>
      <c r="X57" s="1082"/>
      <c r="Y57" s="1053"/>
    </row>
    <row r="58" spans="1:28" ht="14.25" customHeight="1" x14ac:dyDescent="0.25">
      <c r="A58" s="345"/>
      <c r="B58" s="345"/>
      <c r="C58" s="345"/>
      <c r="D58" s="345"/>
      <c r="E58" s="3962" t="str">
        <f>IF(Mw_Mix=0,"",IF(MAX(Reactive_Relief_Rate,Rx_Relief_withHeat,Rx_Relief_withFire,Rx_Relief_withCatalyst,Rx_Relief_withPooling,Rx_Relief_withMisLoading)&gt;Relief_Vapor_Capacity/Mw_Mix,"Warning - Relief Device may not be adequately sized for Uncontrolled Reaction",IF(Fire_Relief_Rate&gt;Relief_Vapor_Capacity/Mw_Mix,"Warning - Relief Device may not be adequately sized for Pool Fire Exposure","")))</f>
        <v/>
      </c>
      <c r="F58" s="3893"/>
      <c r="G58" s="3893"/>
      <c r="H58" s="345"/>
      <c r="I58" s="345"/>
      <c r="J58" s="345"/>
      <c r="L58" s="1053"/>
      <c r="M58" s="1053"/>
      <c r="N58" s="1053"/>
      <c r="O58" s="1053"/>
      <c r="P58" s="1053"/>
      <c r="Q58" s="1053"/>
      <c r="R58" s="1053"/>
      <c r="S58" s="1053"/>
      <c r="T58" s="1053"/>
      <c r="U58" s="1053"/>
      <c r="V58" s="1053"/>
      <c r="W58" s="1053"/>
      <c r="X58" s="1053"/>
      <c r="Y58" s="1053"/>
    </row>
    <row r="59" spans="1:28" ht="14.25" customHeight="1" x14ac:dyDescent="0.25">
      <c r="A59" s="345"/>
      <c r="B59" s="345"/>
      <c r="C59" s="345"/>
      <c r="D59" s="345"/>
      <c r="E59" s="3893"/>
      <c r="F59" s="3893"/>
      <c r="G59" s="3893"/>
      <c r="H59" s="345"/>
      <c r="I59" s="345"/>
      <c r="J59" s="345"/>
      <c r="L59" s="1053"/>
      <c r="M59" s="1053"/>
      <c r="N59" s="1053"/>
      <c r="O59" s="1053"/>
      <c r="P59" s="1053"/>
      <c r="Q59" s="1053"/>
      <c r="R59" s="1053"/>
      <c r="S59" s="1053"/>
      <c r="T59" s="1053"/>
      <c r="U59" s="1053"/>
      <c r="V59" s="1053"/>
      <c r="W59" s="1053"/>
      <c r="X59" s="1053"/>
      <c r="Y59" s="1053"/>
    </row>
    <row r="60" spans="1:28" ht="14.25" customHeight="1" x14ac:dyDescent="0.25">
      <c r="M60" s="1102"/>
    </row>
    <row r="61" spans="1:28" ht="14.25" customHeight="1" x14ac:dyDescent="0.25">
      <c r="M61" s="1102"/>
    </row>
    <row r="62" spans="1:28" ht="14.25" customHeight="1" x14ac:dyDescent="0.25">
      <c r="M62" s="1102"/>
    </row>
    <row r="63" spans="1:28" ht="14.25" customHeight="1" x14ac:dyDescent="0.25">
      <c r="M63" s="1102"/>
    </row>
    <row r="64" spans="1:28" ht="14.25" customHeight="1" x14ac:dyDescent="0.25">
      <c r="M64" s="1102"/>
    </row>
    <row r="65" spans="13:13" ht="14.25" customHeight="1" x14ac:dyDescent="0.25">
      <c r="M65" s="1102"/>
    </row>
    <row r="66" spans="13:13" ht="14.25" customHeight="1" x14ac:dyDescent="0.25">
      <c r="M66" s="1102"/>
    </row>
    <row r="67" spans="13:13" ht="14.25" customHeight="1" x14ac:dyDescent="0.25">
      <c r="M67" s="1104"/>
    </row>
    <row r="68" spans="13:13" ht="14.25" customHeight="1" x14ac:dyDescent="0.25">
      <c r="M68" s="1105"/>
    </row>
  </sheetData>
  <sheetProtection sheet="1" objects="1" scenarios="1"/>
  <mergeCells count="114">
    <mergeCell ref="M46:X46"/>
    <mergeCell ref="S22:V22"/>
    <mergeCell ref="S21:V21"/>
    <mergeCell ref="M22:O22"/>
    <mergeCell ref="M24:O24"/>
    <mergeCell ref="M43:O43"/>
    <mergeCell ref="M39:O39"/>
    <mergeCell ref="M25:O25"/>
    <mergeCell ref="M26:O26"/>
    <mergeCell ref="M27:O27"/>
    <mergeCell ref="M28:O28"/>
    <mergeCell ref="M42:O42"/>
    <mergeCell ref="M41:O41"/>
    <mergeCell ref="M40:O40"/>
    <mergeCell ref="M37:O37"/>
    <mergeCell ref="M36:O36"/>
    <mergeCell ref="M35:O35"/>
    <mergeCell ref="M34:O34"/>
    <mergeCell ref="S41:W41"/>
    <mergeCell ref="S42:W42"/>
    <mergeCell ref="M30:O30"/>
    <mergeCell ref="M29:O29"/>
    <mergeCell ref="M21:O21"/>
    <mergeCell ref="M33:O33"/>
    <mergeCell ref="B46:B47"/>
    <mergeCell ref="B48:B49"/>
    <mergeCell ref="B50:B51"/>
    <mergeCell ref="B40:B41"/>
    <mergeCell ref="B42:B43"/>
    <mergeCell ref="B44:B45"/>
    <mergeCell ref="B52:B53"/>
    <mergeCell ref="B54:B55"/>
    <mergeCell ref="F54:F55"/>
    <mergeCell ref="F46:F47"/>
    <mergeCell ref="F48:F49"/>
    <mergeCell ref="F50:F51"/>
    <mergeCell ref="D54:D55"/>
    <mergeCell ref="F40:F41"/>
    <mergeCell ref="F42:F43"/>
    <mergeCell ref="F44:F45"/>
    <mergeCell ref="F52:F53"/>
    <mergeCell ref="D40:D41"/>
    <mergeCell ref="D42:D43"/>
    <mergeCell ref="D44:D45"/>
    <mergeCell ref="D46:D47"/>
    <mergeCell ref="D48:D49"/>
    <mergeCell ref="D50:D51"/>
    <mergeCell ref="D52:D53"/>
    <mergeCell ref="B36:B37"/>
    <mergeCell ref="B38:B39"/>
    <mergeCell ref="F24:F25"/>
    <mergeCell ref="F26:F27"/>
    <mergeCell ref="F30:F31"/>
    <mergeCell ref="F32:F33"/>
    <mergeCell ref="F34:F35"/>
    <mergeCell ref="F36:F37"/>
    <mergeCell ref="F38:F39"/>
    <mergeCell ref="B32:B33"/>
    <mergeCell ref="B34:B35"/>
    <mergeCell ref="B24:B25"/>
    <mergeCell ref="B26:B27"/>
    <mergeCell ref="B28:B29"/>
    <mergeCell ref="D24:D25"/>
    <mergeCell ref="D26:D27"/>
    <mergeCell ref="D28:D29"/>
    <mergeCell ref="B30:B31"/>
    <mergeCell ref="D30:D31"/>
    <mergeCell ref="D32:D33"/>
    <mergeCell ref="D34:D35"/>
    <mergeCell ref="D36:D37"/>
    <mergeCell ref="D38:D39"/>
    <mergeCell ref="M32:O32"/>
    <mergeCell ref="M31:O31"/>
    <mergeCell ref="G13:I13"/>
    <mergeCell ref="M38:O38"/>
    <mergeCell ref="H24:I25"/>
    <mergeCell ref="H26:I27"/>
    <mergeCell ref="H28:I29"/>
    <mergeCell ref="S9:S10"/>
    <mergeCell ref="M2:X2"/>
    <mergeCell ref="D2:G2"/>
    <mergeCell ref="F28:F29"/>
    <mergeCell ref="D5:E5"/>
    <mergeCell ref="D6:E6"/>
    <mergeCell ref="D7:E7"/>
    <mergeCell ref="D8:E8"/>
    <mergeCell ref="D9:E9"/>
    <mergeCell ref="AB2:AQ2"/>
    <mergeCell ref="N9:N10"/>
    <mergeCell ref="O9:O10"/>
    <mergeCell ref="P9:P10"/>
    <mergeCell ref="Q9:Q10"/>
    <mergeCell ref="R9:R10"/>
    <mergeCell ref="M3:X3"/>
    <mergeCell ref="N4:P4"/>
    <mergeCell ref="N5:P5"/>
    <mergeCell ref="U4:W4"/>
    <mergeCell ref="U5:W5"/>
    <mergeCell ref="N7:S7"/>
    <mergeCell ref="E58:G59"/>
    <mergeCell ref="H48:I49"/>
    <mergeCell ref="H50:I51"/>
    <mergeCell ref="H52:I53"/>
    <mergeCell ref="H54:I55"/>
    <mergeCell ref="H32:I33"/>
    <mergeCell ref="H21:I23"/>
    <mergeCell ref="H34:I35"/>
    <mergeCell ref="H36:I37"/>
    <mergeCell ref="H38:I39"/>
    <mergeCell ref="H40:I41"/>
    <mergeCell ref="H42:I43"/>
    <mergeCell ref="H44:I45"/>
    <mergeCell ref="H46:I47"/>
    <mergeCell ref="H30:I31"/>
  </mergeCells>
  <phoneticPr fontId="3" type="noConversion"/>
  <conditionalFormatting sqref="N16:N17 O17">
    <cfRule type="expression" dxfId="434" priority="720" stopIfTrue="1">
      <formula>IF(#REF!="Yes",TRUE,FASLE)</formula>
    </cfRule>
  </conditionalFormatting>
  <conditionalFormatting sqref="D8">
    <cfRule type="expression" dxfId="433" priority="91">
      <formula>IF($D$8="",TRUE,FALSE)</formula>
    </cfRule>
  </conditionalFormatting>
  <conditionalFormatting sqref="D9">
    <cfRule type="expression" dxfId="432" priority="90">
      <formula>IF($D$9="",TRUE,FALSE)</formula>
    </cfRule>
  </conditionalFormatting>
  <conditionalFormatting sqref="H5">
    <cfRule type="expression" dxfId="431" priority="87">
      <formula>IF($H$5="",TRUE,FALSE)</formula>
    </cfRule>
  </conditionalFormatting>
  <conditionalFormatting sqref="H6">
    <cfRule type="expression" dxfId="430" priority="86">
      <formula>IF($H$6="",TRUE,FALSE)</formula>
    </cfRule>
  </conditionalFormatting>
  <conditionalFormatting sqref="N7:S7">
    <cfRule type="expression" dxfId="429" priority="73">
      <formula>IF($N$7="",TRUE,FALSE)</formula>
    </cfRule>
  </conditionalFormatting>
  <conditionalFormatting sqref="D24:D25">
    <cfRule type="expression" dxfId="428" priority="33">
      <formula>IF($F$24&lt;&gt;"",TRUE,FALSE)</formula>
    </cfRule>
  </conditionalFormatting>
  <conditionalFormatting sqref="D26:D27">
    <cfRule type="expression" dxfId="427" priority="32">
      <formula>IF($F$26&lt;&gt;"",TRUE,FALSE)</formula>
    </cfRule>
  </conditionalFormatting>
  <conditionalFormatting sqref="D28:D29">
    <cfRule type="expression" dxfId="426" priority="31">
      <formula>IF($F$28&lt;&gt;"",TRUE,FALSE)</formula>
    </cfRule>
  </conditionalFormatting>
  <conditionalFormatting sqref="D30:D31">
    <cfRule type="expression" dxfId="425" priority="30">
      <formula>IF($F$30&lt;&gt;"",TRUE,FALSE)</formula>
    </cfRule>
  </conditionalFormatting>
  <conditionalFormatting sqref="D32:D33">
    <cfRule type="expression" dxfId="424" priority="29">
      <formula>IF($F$32&lt;&gt;"",TRUE,FALSE)</formula>
    </cfRule>
  </conditionalFormatting>
  <conditionalFormatting sqref="D34:D35">
    <cfRule type="expression" dxfId="423" priority="28">
      <formula>IF($F$34&lt;&gt;"",TRUE,FALSE)</formula>
    </cfRule>
  </conditionalFormatting>
  <conditionalFormatting sqref="D36:D37">
    <cfRule type="expression" dxfId="422" priority="27">
      <formula>IF($F$36&lt;&gt;"",TRUE,FALSE)</formula>
    </cfRule>
  </conditionalFormatting>
  <conditionalFormatting sqref="D38:D39">
    <cfRule type="expression" dxfId="421" priority="26">
      <formula>IF($F$38&lt;&gt;"",TRUE,FALSE)</formula>
    </cfRule>
  </conditionalFormatting>
  <conditionalFormatting sqref="D40:D41">
    <cfRule type="expression" dxfId="420" priority="25">
      <formula>IF($F$40&lt;&gt;"",TRUE,FALSE)</formula>
    </cfRule>
  </conditionalFormatting>
  <conditionalFormatting sqref="D42:D43">
    <cfRule type="expression" dxfId="419" priority="24">
      <formula>IF($F$42&lt;&gt;"",TRUE,FALSE)</formula>
    </cfRule>
  </conditionalFormatting>
  <conditionalFormatting sqref="D44:D45">
    <cfRule type="expression" dxfId="418" priority="23">
      <formula>IF($F$44&lt;&gt;"",TRUE,FALSE)</formula>
    </cfRule>
  </conditionalFormatting>
  <conditionalFormatting sqref="D46:D47">
    <cfRule type="expression" dxfId="417" priority="22">
      <formula>IF($F$46&lt;&gt;"",TRUE,FALSE)</formula>
    </cfRule>
  </conditionalFormatting>
  <conditionalFormatting sqref="D48:D49">
    <cfRule type="expression" dxfId="416" priority="21">
      <formula>IF($F$48&lt;&gt;"",TRUE,FALSE)</formula>
    </cfRule>
  </conditionalFormatting>
  <conditionalFormatting sqref="D50:D51">
    <cfRule type="expression" dxfId="415" priority="20">
      <formula>IF($F$50&lt;&gt;"",TRUE,FALSE)</formula>
    </cfRule>
  </conditionalFormatting>
  <conditionalFormatting sqref="D52:D53">
    <cfRule type="expression" dxfId="414" priority="19">
      <formula>IF($F$52&lt;&gt;"",TRUE,FALSE)</formula>
    </cfRule>
  </conditionalFormatting>
  <conditionalFormatting sqref="D54:D55">
    <cfRule type="expression" dxfId="413" priority="18">
      <formula>IF($F$54&lt;&gt;"",TRUE,FALSE)</formula>
    </cfRule>
  </conditionalFormatting>
  <conditionalFormatting sqref="F26:F27">
    <cfRule type="expression" dxfId="412" priority="17">
      <formula>IF($F26="Relief Effluent May Not pose Significant Risk for Release to Atmosphere",TRUE,FALSE)</formula>
    </cfRule>
  </conditionalFormatting>
  <conditionalFormatting sqref="F24:F25">
    <cfRule type="expression" dxfId="411" priority="16">
      <formula>IF($F24="Relief Effluent May Not pose Significant Risk for Release to Atmosphere",TRUE,FALSE)</formula>
    </cfRule>
  </conditionalFormatting>
  <conditionalFormatting sqref="F28:F29">
    <cfRule type="expression" dxfId="410" priority="15">
      <formula>IF($F28="Relief Effluent May Not pose Significant Risk for Release to Atmosphere",TRUE,FALSE)</formula>
    </cfRule>
  </conditionalFormatting>
  <conditionalFormatting sqref="F30:F31">
    <cfRule type="expression" dxfId="409" priority="14">
      <formula>IF($F30="Relief Effluent May Not pose Significant Risk for Release to Atmosphere",TRUE,FALSE)</formula>
    </cfRule>
  </conditionalFormatting>
  <conditionalFormatting sqref="F32:F33">
    <cfRule type="expression" dxfId="408" priority="13">
      <formula>IF($F32="Relief Effluent May Not pose Significant Risk for Release to Atmosphere",TRUE,FALSE)</formula>
    </cfRule>
  </conditionalFormatting>
  <conditionalFormatting sqref="F34:F35">
    <cfRule type="expression" dxfId="407" priority="12">
      <formula>IF($F34="Relief Effluent May Not pose Significant Risk for Release to Atmosphere",TRUE,FALSE)</formula>
    </cfRule>
  </conditionalFormatting>
  <conditionalFormatting sqref="F36:F37">
    <cfRule type="expression" dxfId="406" priority="11">
      <formula>IF($F36="Relief Effluent May Not pose Significant Risk for Release to Atmosphere",TRUE,FALSE)</formula>
    </cfRule>
  </conditionalFormatting>
  <conditionalFormatting sqref="F38:F39">
    <cfRule type="expression" dxfId="405" priority="10">
      <formula>IF($F38="Relief Effluent May Not pose Significant Risk for Release to Atmosphere",TRUE,FALSE)</formula>
    </cfRule>
  </conditionalFormatting>
  <conditionalFormatting sqref="F40:F41">
    <cfRule type="expression" dxfId="404" priority="9">
      <formula>IF($F40="Relief Effluent May Not pose Significant Risk for Release to Atmosphere",TRUE,FALSE)</formula>
    </cfRule>
  </conditionalFormatting>
  <conditionalFormatting sqref="F42:F43">
    <cfRule type="expression" dxfId="403" priority="8">
      <formula>IF($F42="Relief Effluent May Not pose Significant Risk for Release to Atmosphere",TRUE,FALSE)</formula>
    </cfRule>
  </conditionalFormatting>
  <conditionalFormatting sqref="F44:F45">
    <cfRule type="expression" dxfId="402" priority="7">
      <formula>IF($F44="Relief Effluent May Not pose Significant Risk for Release to Atmosphere",TRUE,FALSE)</formula>
    </cfRule>
  </conditionalFormatting>
  <conditionalFormatting sqref="F46:F47">
    <cfRule type="expression" dxfId="401" priority="6">
      <formula>IF($F46="Relief Effluent May Not pose Significant Risk for Release to Atmosphere",TRUE,FALSE)</formula>
    </cfRule>
  </conditionalFormatting>
  <conditionalFormatting sqref="F48:F49">
    <cfRule type="expression" dxfId="400" priority="5">
      <formula>IF($F48="Relief Effluent May Not pose Significant Risk for Release to Atmosphere",TRUE,FALSE)</formula>
    </cfRule>
  </conditionalFormatting>
  <conditionalFormatting sqref="F50:F51">
    <cfRule type="expression" dxfId="399" priority="4">
      <formula>IF($F50="Relief Effluent May Not pose Significant Risk for Release to Atmosphere",TRUE,FALSE)</formula>
    </cfRule>
  </conditionalFormatting>
  <conditionalFormatting sqref="F52:F53">
    <cfRule type="expression" dxfId="398" priority="3">
      <formula>IF($F52="Relief Effluent May Not pose Significant Risk for Release to Atmosphere",TRUE,FALSE)</formula>
    </cfRule>
  </conditionalFormatting>
  <conditionalFormatting sqref="F54:F55">
    <cfRule type="expression" dxfId="397" priority="2">
      <formula>IF($F54="Relief Effluent May Not pose Significant Risk for Release to Atmosphere",TRUE,FALSE)</formula>
    </cfRule>
  </conditionalFormatting>
  <conditionalFormatting sqref="M46:X46">
    <cfRule type="expression" dxfId="396" priority="1">
      <formula>IF($M46="Relief Effluent May Not pose Significant Risk for Release to Atmosphere",TRUE,FALSE)</formula>
    </cfRule>
  </conditionalFormatting>
  <conditionalFormatting sqref="H24:H25">
    <cfRule type="expression" dxfId="395" priority="67302">
      <formula>IF(AND($F$24&lt;&gt;"",$AB$43="Yes"),TRUE,FALSE)</formula>
    </cfRule>
  </conditionalFormatting>
  <conditionalFormatting sqref="H26:H27">
    <cfRule type="expression" dxfId="394" priority="67303">
      <formula>IF(AND($F$26&lt;&gt;"",$AC$43="Yes"),TRUE,FALSE)</formula>
    </cfRule>
  </conditionalFormatting>
  <conditionalFormatting sqref="H28:H29">
    <cfRule type="expression" dxfId="393" priority="67304">
      <formula>IF(AND($F$28&lt;&gt;"",$AD$43="Yes"),TRUE,FALSE)</formula>
    </cfRule>
  </conditionalFormatting>
  <conditionalFormatting sqref="H30:H31">
    <cfRule type="expression" dxfId="392" priority="67305">
      <formula>IF(AND($F$30&lt;&gt;"",$AE$43="Yes"),TRUE,FALSE)</formula>
    </cfRule>
  </conditionalFormatting>
  <conditionalFormatting sqref="H32:H33">
    <cfRule type="expression" dxfId="391" priority="67306">
      <formula>IF(AND($F$32&lt;&gt;"",$AF$43="Yes"),TRUE,FALSE)</formula>
    </cfRule>
  </conditionalFormatting>
  <conditionalFormatting sqref="H34:H35">
    <cfRule type="expression" dxfId="390" priority="67307">
      <formula>IF(AND($F$34&lt;&gt;"",$AG$43="Yes"),TRUE,FALSE)</formula>
    </cfRule>
  </conditionalFormatting>
  <conditionalFormatting sqref="H36:H37">
    <cfRule type="expression" dxfId="389" priority="67308">
      <formula>IF(AND($F$36&lt;&gt;"",$AH$43="Yes"),TRUE,FALSE)</formula>
    </cfRule>
  </conditionalFormatting>
  <conditionalFormatting sqref="H38:H39">
    <cfRule type="expression" dxfId="388" priority="67309">
      <formula>IF(AND($F$38&lt;&gt;"",$AI$43="Yes"),TRUE,FALSE)</formula>
    </cfRule>
  </conditionalFormatting>
  <conditionalFormatting sqref="H40:H41">
    <cfRule type="expression" dxfId="387" priority="67310">
      <formula>IF(AND($F$40&lt;&gt;"",$AJ$43="Yes"),TRUE,FALSE)</formula>
    </cfRule>
  </conditionalFormatting>
  <conditionalFormatting sqref="H42:H43">
    <cfRule type="expression" dxfId="386" priority="67311">
      <formula>IF(AND($F$42&lt;&gt;"",$AK$43="Yes"),TRUE,FALSE)</formula>
    </cfRule>
  </conditionalFormatting>
  <conditionalFormatting sqref="H44:H45">
    <cfRule type="expression" dxfId="385" priority="67312">
      <formula>IF(AND($F$44&lt;&gt;"",$AL$43="Yes"),TRUE,FALSE)</formula>
    </cfRule>
  </conditionalFormatting>
  <conditionalFormatting sqref="H46:H47">
    <cfRule type="expression" dxfId="384" priority="67313">
      <formula>IF(AND($F$46&lt;&gt;"",$AM$43="Yes"),TRUE,FALSE)</formula>
    </cfRule>
  </conditionalFormatting>
  <conditionalFormatting sqref="H48:H49">
    <cfRule type="expression" dxfId="383" priority="67314">
      <formula>IF(AND($F$48&lt;&gt;"",$AN$43="Yes"),TRUE,FALSE)</formula>
    </cfRule>
  </conditionalFormatting>
  <conditionalFormatting sqref="H50:H51">
    <cfRule type="expression" dxfId="382" priority="67315">
      <formula>IF(AND($F$50&lt;&gt;"",$AO$43="Yes"),TRUE,FALSE)</formula>
    </cfRule>
  </conditionalFormatting>
  <conditionalFormatting sqref="H52:H53">
    <cfRule type="expression" dxfId="381" priority="67316">
      <formula>IF(AND($F$52&lt;&gt;"",$AP$43="Yes"),TRUE,FALSE)</formula>
    </cfRule>
  </conditionalFormatting>
  <conditionalFormatting sqref="H54:H55">
    <cfRule type="expression" dxfId="380" priority="67317">
      <formula>IF(AND($F$54&lt;&gt;"",$AQ$43="Yes"),TRUE,FALSE)</formula>
    </cfRule>
  </conditionalFormatting>
  <dataValidations count="2">
    <dataValidation type="list" allowBlank="1" showInputMessage="1" showErrorMessage="1" sqref="N7" xr:uid="{00000000-0002-0000-1300-000000000000}">
      <formula1>Effluent_Scenario</formula1>
    </dataValidation>
    <dataValidation type="list" allowBlank="1" showInputMessage="1" showErrorMessage="1" sqref="H5:H6" xr:uid="{00000000-0002-0000-1300-000001000000}">
      <formula1>YN_List</formula1>
    </dataValidation>
  </dataValidations>
  <pageMargins left="0.25" right="0" top="0.5" bottom="0.25" header="0" footer="0.25"/>
  <pageSetup scale="85"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28232" r:id="rId4" name="Button 200">
              <controlPr defaultSize="0" print="0" autoFill="0" autoPict="0" macro="[0]!Save_Equipment">
                <anchor moveWithCells="1" sizeWithCells="1">
                  <from>
                    <xdr:col>6</xdr:col>
                    <xdr:colOff>190500</xdr:colOff>
                    <xdr:row>0</xdr:row>
                    <xdr:rowOff>127000</xdr:rowOff>
                  </from>
                  <to>
                    <xdr:col>8</xdr:col>
                    <xdr:colOff>222250</xdr:colOff>
                    <xdr:row>1</xdr:row>
                    <xdr:rowOff>152400</xdr:rowOff>
                  </to>
                </anchor>
              </controlPr>
            </control>
          </mc:Choice>
        </mc:AlternateContent>
        <mc:AlternateContent xmlns:mc="http://schemas.openxmlformats.org/markup-compatibility/2006">
          <mc:Choice Requires="x14">
            <control shapeId="428233" r:id="rId5" name="Button 201">
              <controlPr defaultSize="0" print="0" autoFill="0" autoPict="0" macro="[0]!Go_To_Main_Menu">
                <anchor moveWithCells="1" sizeWithCells="1">
                  <from>
                    <xdr:col>0</xdr:col>
                    <xdr:colOff>127000</xdr:colOff>
                    <xdr:row>0</xdr:row>
                    <xdr:rowOff>146050</xdr:rowOff>
                  </from>
                  <to>
                    <xdr:col>1</xdr:col>
                    <xdr:colOff>1219200</xdr:colOff>
                    <xdr:row>2</xdr:row>
                    <xdr:rowOff>12700</xdr:rowOff>
                  </to>
                </anchor>
              </controlPr>
            </control>
          </mc:Choice>
        </mc:AlternateContent>
        <mc:AlternateContent xmlns:mc="http://schemas.openxmlformats.org/markup-compatibility/2006">
          <mc:Choice Requires="x14">
            <control shapeId="428234" r:id="rId6" name="Button 202">
              <controlPr defaultSize="0" print="0" autoFill="0" autoPict="0" macro="[0]!Clear_Relief_Effluent">
                <anchor moveWithCells="1" sizeWithCells="1">
                  <from>
                    <xdr:col>5</xdr:col>
                    <xdr:colOff>2260600</xdr:colOff>
                    <xdr:row>2</xdr:row>
                    <xdr:rowOff>88900</xdr:rowOff>
                  </from>
                  <to>
                    <xdr:col>8</xdr:col>
                    <xdr:colOff>228600</xdr:colOff>
                    <xdr:row>2</xdr:row>
                    <xdr:rowOff>304800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
    <pageSetUpPr autoPageBreaks="0"/>
  </sheetPr>
  <dimension ref="B1:ER316"/>
  <sheetViews>
    <sheetView showGridLines="0" zoomScale="70" zoomScaleNormal="70" workbookViewId="0">
      <pane xSplit="3" ySplit="5" topLeftCell="DR6" activePane="bottomRight" state="frozenSplit"/>
      <selection activeCell="ED17" sqref="ED17"/>
      <selection pane="topRight" activeCell="ED17" sqref="ED17"/>
      <selection pane="bottomLeft" activeCell="ED17" sqref="ED17"/>
      <selection pane="bottomRight" activeCell="EG6" sqref="EG6:EI63"/>
    </sheetView>
  </sheetViews>
  <sheetFormatPr defaultColWidth="9.1796875" defaultRowHeight="13" x14ac:dyDescent="0.25"/>
  <cols>
    <col min="1" max="1" width="1.81640625" style="19" customWidth="1"/>
    <col min="2" max="2" width="5.81640625" style="19" customWidth="1"/>
    <col min="3" max="3" width="51.1796875" style="19" customWidth="1"/>
    <col min="4" max="4" width="3" style="5" customWidth="1"/>
    <col min="5" max="5" width="2.81640625" style="19" customWidth="1"/>
    <col min="6" max="13" width="3.81640625" style="19" customWidth="1"/>
    <col min="14" max="14" width="3.453125" style="19" customWidth="1"/>
    <col min="15" max="16" width="3.81640625" style="19" customWidth="1"/>
    <col min="17" max="17" width="3.26953125" style="19" customWidth="1"/>
    <col min="18" max="24" width="3.81640625" style="19" customWidth="1"/>
    <col min="25" max="25" width="3.1796875" style="19" customWidth="1"/>
    <col min="26" max="33" width="3.81640625" style="19" customWidth="1"/>
    <col min="34" max="34" width="3.26953125" style="19" customWidth="1"/>
    <col min="35" max="36" width="3.81640625" style="19" customWidth="1"/>
    <col min="37" max="37" width="3.1796875" style="19" customWidth="1"/>
    <col min="38" max="38" width="3.81640625" style="19" customWidth="1"/>
    <col min="39" max="39" width="2.81640625" style="19" customWidth="1"/>
    <col min="40" max="64" width="3.81640625" style="19" customWidth="1"/>
    <col min="65" max="65" width="3.1796875" style="19" customWidth="1"/>
    <col min="66" max="88" width="3.81640625" style="19" customWidth="1"/>
    <col min="89" max="90" width="3.1796875" style="19" customWidth="1"/>
    <col min="91" max="100" width="3.81640625" style="19" customWidth="1"/>
    <col min="101" max="101" width="3.453125" style="19" customWidth="1"/>
    <col min="102" max="114" width="3.81640625" style="19" customWidth="1"/>
    <col min="115" max="115" width="3.1796875" style="19" customWidth="1"/>
    <col min="116" max="118" width="3.81640625" style="19" customWidth="1"/>
    <col min="119" max="119" width="3.1796875" style="19" customWidth="1"/>
    <col min="120" max="122" width="3.81640625" style="19" customWidth="1"/>
    <col min="123" max="123" width="16.1796875" style="19" customWidth="1"/>
    <col min="124" max="124" width="3.1796875" style="19" customWidth="1"/>
    <col min="125" max="125" width="3.81640625" style="19" customWidth="1"/>
    <col min="126" max="126" width="33.1796875" style="19" bestFit="1" customWidth="1"/>
    <col min="127" max="127" width="3.81640625" style="19" customWidth="1"/>
    <col min="128" max="128" width="25" style="19" customWidth="1"/>
    <col min="129" max="129" width="22.81640625" style="19" customWidth="1"/>
    <col min="130" max="130" width="43.1796875" style="19" customWidth="1"/>
    <col min="131" max="131" width="3.81640625" style="19" customWidth="1"/>
    <col min="132" max="132" width="9.1796875" style="19" bestFit="1" customWidth="1"/>
    <col min="133" max="133" width="3.81640625" style="19" customWidth="1"/>
    <col min="134" max="134" width="44.453125" style="19" customWidth="1"/>
    <col min="135" max="135" width="4" style="19" customWidth="1"/>
    <col min="136" max="136" width="8.81640625" style="19" customWidth="1"/>
    <col min="137" max="138" width="10.54296875" style="19" customWidth="1"/>
    <col min="139" max="139" width="5.1796875" style="19" customWidth="1"/>
    <col min="140" max="140" width="3.81640625" customWidth="1"/>
    <col min="141" max="141" width="13.54296875" style="19" customWidth="1"/>
    <col min="142" max="142" width="10.453125" style="19" customWidth="1"/>
    <col min="143" max="143" width="5.453125" style="19" customWidth="1"/>
    <col min="144" max="144" width="4.453125" style="19" customWidth="1"/>
    <col min="145" max="145" width="21.54296875" style="19" customWidth="1"/>
    <col min="146" max="153" width="8.54296875" style="19" customWidth="1"/>
    <col min="154" max="16384" width="9.1796875" style="19"/>
  </cols>
  <sheetData>
    <row r="1" spans="3:148" x14ac:dyDescent="0.25">
      <c r="D1" s="19"/>
      <c r="AK1" s="19" t="str">
        <f>IF(AK3=TRIM(AK3),"",1)</f>
        <v/>
      </c>
      <c r="AL1" s="19" t="str">
        <f t="shared" ref="AL1:BH1" si="0">IF(AL3=TRIM(AL3),"",1)</f>
        <v/>
      </c>
      <c r="AM1" s="19" t="str">
        <f t="shared" si="0"/>
        <v/>
      </c>
      <c r="AN1" s="19" t="str">
        <f t="shared" si="0"/>
        <v/>
      </c>
      <c r="AO1" s="19" t="str">
        <f t="shared" si="0"/>
        <v/>
      </c>
      <c r="AP1" s="19" t="str">
        <f t="shared" si="0"/>
        <v/>
      </c>
      <c r="AR1" s="19" t="str">
        <f t="shared" si="0"/>
        <v/>
      </c>
      <c r="AT1" s="19" t="str">
        <f t="shared" si="0"/>
        <v/>
      </c>
      <c r="AU1" s="19" t="str">
        <f t="shared" si="0"/>
        <v/>
      </c>
      <c r="AV1" s="19" t="str">
        <f t="shared" si="0"/>
        <v/>
      </c>
      <c r="AW1" s="19" t="str">
        <f t="shared" si="0"/>
        <v/>
      </c>
      <c r="AX1" s="19" t="str">
        <f t="shared" si="0"/>
        <v/>
      </c>
      <c r="AY1" s="19" t="str">
        <f t="shared" si="0"/>
        <v/>
      </c>
      <c r="AZ1" s="19" t="str">
        <f t="shared" si="0"/>
        <v/>
      </c>
      <c r="BB1" s="19" t="str">
        <f t="shared" si="0"/>
        <v/>
      </c>
      <c r="BC1" s="19" t="str">
        <f t="shared" si="0"/>
        <v/>
      </c>
      <c r="BD1" s="19" t="str">
        <f t="shared" si="0"/>
        <v/>
      </c>
      <c r="BE1" s="19" t="str">
        <f t="shared" si="0"/>
        <v/>
      </c>
      <c r="BF1" s="19" t="str">
        <f t="shared" si="0"/>
        <v/>
      </c>
      <c r="BG1" s="19" t="str">
        <f t="shared" si="0"/>
        <v/>
      </c>
      <c r="BH1" s="19" t="str">
        <f t="shared" si="0"/>
        <v/>
      </c>
    </row>
    <row r="2" spans="3:148" ht="16.5" customHeight="1" x14ac:dyDescent="0.25">
      <c r="D2" s="19"/>
      <c r="E2" s="3794" t="s">
        <v>151</v>
      </c>
      <c r="F2" s="3794"/>
      <c r="G2" s="4030"/>
      <c r="H2" s="4030"/>
      <c r="I2" s="4030"/>
      <c r="J2" s="4030"/>
      <c r="K2" s="4030"/>
      <c r="L2" s="4030"/>
      <c r="M2" s="4030"/>
      <c r="N2" s="4030"/>
      <c r="O2" s="4030"/>
      <c r="P2" s="4030"/>
      <c r="Q2" s="4030"/>
      <c r="R2" s="4030"/>
      <c r="S2" s="4030"/>
      <c r="T2" s="4030"/>
      <c r="U2" s="4030"/>
      <c r="V2" s="4030"/>
      <c r="W2" s="4030"/>
      <c r="X2" s="4030"/>
      <c r="Y2" s="4030"/>
      <c r="Z2" s="4030"/>
      <c r="AA2" s="4030"/>
      <c r="AB2" s="4030"/>
      <c r="AC2" s="4030"/>
      <c r="AD2" s="4030"/>
      <c r="AE2" s="4030"/>
      <c r="AF2" s="4030"/>
      <c r="AG2" s="4038"/>
      <c r="AH2" s="4030"/>
      <c r="AI2" s="4030"/>
      <c r="AJ2" s="33"/>
      <c r="AK2" s="3784" t="s">
        <v>1922</v>
      </c>
      <c r="AL2" s="3785"/>
      <c r="AM2" s="3785"/>
      <c r="AN2" s="3785"/>
      <c r="AO2" s="3785"/>
      <c r="AP2" s="3785"/>
      <c r="AQ2" s="4023"/>
      <c r="AR2" s="3785"/>
      <c r="AS2" s="4024"/>
      <c r="AT2" s="3785"/>
      <c r="AU2" s="3785"/>
      <c r="AV2" s="3785"/>
      <c r="AW2" s="3785"/>
      <c r="AX2" s="3785"/>
      <c r="AY2" s="3785"/>
      <c r="AZ2" s="3785"/>
      <c r="BA2" s="3785"/>
      <c r="BB2" s="3785"/>
      <c r="BC2" s="3785"/>
      <c r="BD2" s="3785"/>
      <c r="BE2" s="3785"/>
      <c r="BF2" s="3785"/>
      <c r="BG2" s="3785"/>
      <c r="BH2" s="3785"/>
      <c r="BI2" s="33"/>
      <c r="BJ2" s="3794" t="s">
        <v>4745</v>
      </c>
      <c r="BK2" s="4027"/>
      <c r="BL2" s="4028"/>
      <c r="BM2" s="3794"/>
      <c r="BN2" s="3794"/>
      <c r="BO2" s="4029"/>
      <c r="BP2" s="4029"/>
      <c r="BQ2" s="3794"/>
      <c r="BR2" s="3794"/>
      <c r="BS2" s="3794"/>
      <c r="BT2" s="3794"/>
      <c r="BU2" s="4028"/>
      <c r="BV2" s="4028"/>
      <c r="BW2" s="3794"/>
      <c r="BX2" s="3794"/>
      <c r="BY2" s="4030"/>
      <c r="BZ2" s="4030"/>
      <c r="CA2" s="4030"/>
      <c r="CB2" s="4030"/>
      <c r="CC2" s="4030"/>
      <c r="CD2" s="4030"/>
      <c r="CE2" s="4030"/>
      <c r="CF2" s="4031"/>
      <c r="CG2" s="4030"/>
      <c r="CH2" s="4030"/>
      <c r="CI2" s="4030"/>
      <c r="CJ2" s="4030"/>
      <c r="CK2" s="4030"/>
      <c r="CL2" s="4032"/>
      <c r="CM2" s="4033"/>
      <c r="CN2" s="4034"/>
      <c r="CO2" s="4035"/>
      <c r="CP2" s="4030"/>
      <c r="CQ2" s="4030"/>
      <c r="CR2" s="4030"/>
      <c r="CS2" s="4030"/>
      <c r="CT2" s="4030"/>
      <c r="CU2" s="4030"/>
      <c r="CV2" s="4034"/>
      <c r="CW2" s="4030"/>
      <c r="CX2" s="4030"/>
      <c r="CY2" s="4030"/>
      <c r="CZ2" s="4030"/>
      <c r="DA2" s="4030"/>
      <c r="DB2" s="4030"/>
      <c r="DC2" s="4036"/>
      <c r="DD2" s="4030"/>
      <c r="DE2" s="4030"/>
      <c r="DF2" s="4037"/>
      <c r="DG2" s="4030"/>
      <c r="DH2" s="4030"/>
      <c r="DI2" s="4030"/>
      <c r="DJ2" s="4030"/>
      <c r="DL2" s="4025" t="s">
        <v>1797</v>
      </c>
      <c r="DM2" s="4025"/>
      <c r="DN2" s="4026"/>
      <c r="DO2" s="4025"/>
      <c r="DP2" s="4025"/>
      <c r="DQ2" s="4025"/>
      <c r="DS2" s="2963" t="s">
        <v>5043</v>
      </c>
      <c r="DT2" s="3087"/>
      <c r="DW2" s="33"/>
    </row>
    <row r="3" spans="3:148" ht="217.5" customHeight="1" x14ac:dyDescent="0.25">
      <c r="C3" s="37" t="s">
        <v>686</v>
      </c>
      <c r="D3" s="35"/>
      <c r="E3" s="190" t="s">
        <v>605</v>
      </c>
      <c r="F3" s="190" t="s">
        <v>1011</v>
      </c>
      <c r="G3" s="190" t="s">
        <v>2982</v>
      </c>
      <c r="H3" s="1871" t="s">
        <v>4136</v>
      </c>
      <c r="I3" s="190" t="s">
        <v>476</v>
      </c>
      <c r="J3" s="190" t="s">
        <v>1806</v>
      </c>
      <c r="K3" s="1871" t="s">
        <v>455</v>
      </c>
      <c r="L3" s="1871" t="s">
        <v>482</v>
      </c>
      <c r="M3" s="1871" t="s">
        <v>665</v>
      </c>
      <c r="N3" s="1871" t="s">
        <v>908</v>
      </c>
      <c r="O3" s="1871" t="s">
        <v>372</v>
      </c>
      <c r="P3" s="1871" t="s">
        <v>373</v>
      </c>
      <c r="Q3" s="1871" t="s">
        <v>456</v>
      </c>
      <c r="R3" s="1871" t="s">
        <v>426</v>
      </c>
      <c r="S3" s="1871" t="s">
        <v>1045</v>
      </c>
      <c r="T3" s="1871" t="s">
        <v>1543</v>
      </c>
      <c r="U3" s="1871" t="s">
        <v>753</v>
      </c>
      <c r="V3" s="1871" t="s">
        <v>1573</v>
      </c>
      <c r="W3" s="1871" t="s">
        <v>3837</v>
      </c>
      <c r="X3" s="1871" t="s">
        <v>1269</v>
      </c>
      <c r="Y3" s="1871" t="s">
        <v>1224</v>
      </c>
      <c r="Z3" s="1871" t="s">
        <v>1259</v>
      </c>
      <c r="AA3" s="1871" t="s">
        <v>3675</v>
      </c>
      <c r="AB3" s="1871" t="s">
        <v>427</v>
      </c>
      <c r="AC3" s="1871" t="s">
        <v>1223</v>
      </c>
      <c r="AD3" s="1871" t="s">
        <v>864</v>
      </c>
      <c r="AE3" s="1871" t="s">
        <v>1246</v>
      </c>
      <c r="AF3" s="1871" t="s">
        <v>505</v>
      </c>
      <c r="AG3" s="2227" t="s">
        <v>4137</v>
      </c>
      <c r="AH3" s="1871" t="s">
        <v>150</v>
      </c>
      <c r="AI3" s="190" t="s">
        <v>1247</v>
      </c>
      <c r="AJ3" s="123"/>
      <c r="AK3" s="190" t="s">
        <v>797</v>
      </c>
      <c r="AL3" s="190" t="s">
        <v>2770</v>
      </c>
      <c r="AM3" s="190" t="s">
        <v>2766</v>
      </c>
      <c r="AN3" s="190" t="s">
        <v>2771</v>
      </c>
      <c r="AO3" s="190" t="s">
        <v>1248</v>
      </c>
      <c r="AP3" s="190" t="s">
        <v>2554</v>
      </c>
      <c r="AQ3" s="190" t="s">
        <v>2553</v>
      </c>
      <c r="AR3" s="190" t="s">
        <v>2738</v>
      </c>
      <c r="AS3" s="999" t="s">
        <v>2758</v>
      </c>
      <c r="AT3" s="190" t="s">
        <v>800</v>
      </c>
      <c r="AU3" s="190" t="s">
        <v>1004</v>
      </c>
      <c r="AV3" s="190" t="s">
        <v>2765</v>
      </c>
      <c r="AW3" s="190" t="s">
        <v>2032</v>
      </c>
      <c r="AX3" s="190" t="s">
        <v>663</v>
      </c>
      <c r="AY3" s="190" t="s">
        <v>1510</v>
      </c>
      <c r="AZ3" s="190" t="s">
        <v>801</v>
      </c>
      <c r="BA3" s="190" t="s">
        <v>1792</v>
      </c>
      <c r="BB3" s="190" t="s">
        <v>1255</v>
      </c>
      <c r="BC3" s="190" t="s">
        <v>5172</v>
      </c>
      <c r="BD3" s="190" t="s">
        <v>5173</v>
      </c>
      <c r="BE3" s="190" t="s">
        <v>5174</v>
      </c>
      <c r="BF3" s="190" t="s">
        <v>5175</v>
      </c>
      <c r="BG3" s="190" t="s">
        <v>5176</v>
      </c>
      <c r="BH3" s="190" t="s">
        <v>5177</v>
      </c>
      <c r="BI3" s="123"/>
      <c r="BJ3" s="190" t="s">
        <v>3780</v>
      </c>
      <c r="BK3" s="190" t="s">
        <v>3781</v>
      </c>
      <c r="BL3" s="1871" t="s">
        <v>4011</v>
      </c>
      <c r="BM3" s="1871" t="s">
        <v>642</v>
      </c>
      <c r="BN3" s="1871" t="s">
        <v>3782</v>
      </c>
      <c r="BO3" s="1871" t="str">
        <f>"Gasket Failure at "&amp;Failure_Gasket&amp;" MAWP"</f>
        <v>Gasket Failure at 1.3 MAWP</v>
      </c>
      <c r="BP3" s="1871" t="str">
        <f>"Gasket Failure at "&amp;Failure_Gasket&amp;" MAWP above Liquid Level"</f>
        <v>Gasket Failure at 1.3 MAWP above Liquid Level</v>
      </c>
      <c r="BQ3" s="1871" t="s">
        <v>4593</v>
      </c>
      <c r="BR3" s="1871" t="s">
        <v>4609</v>
      </c>
      <c r="BS3" s="1871" t="s">
        <v>1554</v>
      </c>
      <c r="BT3" s="1871" t="s">
        <v>3783</v>
      </c>
      <c r="BU3" s="1871" t="s">
        <v>3986</v>
      </c>
      <c r="BV3" s="1871" t="s">
        <v>3987</v>
      </c>
      <c r="BW3" s="1871" t="s">
        <v>3784</v>
      </c>
      <c r="BX3" s="1871" t="s">
        <v>3785</v>
      </c>
      <c r="BY3" s="1871" t="s">
        <v>3786</v>
      </c>
      <c r="BZ3" s="1871" t="s">
        <v>3787</v>
      </c>
      <c r="CA3" s="1871" t="s">
        <v>3788</v>
      </c>
      <c r="CB3" s="1871" t="s">
        <v>3789</v>
      </c>
      <c r="CC3" s="1871" t="s">
        <v>3790</v>
      </c>
      <c r="CD3" s="1871" t="s">
        <v>3791</v>
      </c>
      <c r="CE3" s="1871" t="s">
        <v>1103</v>
      </c>
      <c r="CF3" s="2228" t="s">
        <v>3288</v>
      </c>
      <c r="CG3" s="1871" t="s">
        <v>1574</v>
      </c>
      <c r="CH3" s="1871" t="s">
        <v>3792</v>
      </c>
      <c r="CI3" s="1871" t="s">
        <v>3793</v>
      </c>
      <c r="CJ3" s="1871" t="s">
        <v>2436</v>
      </c>
      <c r="CK3" s="1871" t="s">
        <v>2693</v>
      </c>
      <c r="CL3" s="2229" t="s">
        <v>2782</v>
      </c>
      <c r="CM3" s="1871" t="s">
        <v>3794</v>
      </c>
      <c r="CN3" s="1871" t="s">
        <v>2627</v>
      </c>
      <c r="CO3" s="1871" t="s">
        <v>2728</v>
      </c>
      <c r="CP3" s="1871" t="s">
        <v>1801</v>
      </c>
      <c r="CQ3" s="1871" t="s">
        <v>530</v>
      </c>
      <c r="CR3" s="1871" t="s">
        <v>2618</v>
      </c>
      <c r="CS3" s="1871" t="s">
        <v>2619</v>
      </c>
      <c r="CT3" s="1871" t="s">
        <v>2620</v>
      </c>
      <c r="CU3" s="1871" t="s">
        <v>2621</v>
      </c>
      <c r="CV3" s="1871" t="s">
        <v>2678</v>
      </c>
      <c r="CW3" s="1871" t="s">
        <v>2622</v>
      </c>
      <c r="CX3" s="1871" t="s">
        <v>2623</v>
      </c>
      <c r="CY3" s="1871" t="s">
        <v>2624</v>
      </c>
      <c r="CZ3" s="1871" t="s">
        <v>2625</v>
      </c>
      <c r="DA3" s="1871" t="s">
        <v>5222</v>
      </c>
      <c r="DB3" s="1871" t="s">
        <v>25</v>
      </c>
      <c r="DC3" s="1871" t="s">
        <v>4130</v>
      </c>
      <c r="DD3" s="1871" t="s">
        <v>2700</v>
      </c>
      <c r="DE3" s="1871" t="s">
        <v>2702</v>
      </c>
      <c r="DF3" s="190" t="s">
        <v>2283</v>
      </c>
      <c r="DG3" s="190" t="s">
        <v>1157</v>
      </c>
      <c r="DH3" s="190" t="s">
        <v>1425</v>
      </c>
      <c r="DI3" s="190" t="s">
        <v>1108</v>
      </c>
      <c r="DJ3" s="190" t="s">
        <v>4749</v>
      </c>
      <c r="DL3" s="190" t="s">
        <v>1424</v>
      </c>
      <c r="DM3" s="190" t="s">
        <v>1528</v>
      </c>
      <c r="DN3" s="190" t="s">
        <v>3552</v>
      </c>
      <c r="DO3" s="190" t="s">
        <v>1157</v>
      </c>
      <c r="DP3" s="190" t="s">
        <v>1425</v>
      </c>
      <c r="DQ3" s="190" t="s">
        <v>1108</v>
      </c>
      <c r="DS3" s="2990" t="str">
        <f>Equipment_Tag&amp;" is a "&amp;Equipment&amp;" containing "&amp;Chemical&amp;IF(WFeed_1&lt;1," Mix",IF(Pseudo_Chem="Yes"," Pseudo Mix",""))&amp;" that operates at "&amp;T_Input&amp;" "&amp;T_Units&amp;" and "&amp;P_Input&amp;" "&amp;P_Units&amp;".  The volume is "&amp;Equipment_Volume&amp;" "&amp;Volume_Units&amp;" with a maximum allowable working pressure of "&amp;MAWP_Input&amp;" "&amp;MAWP_Units&amp;".  The maximum feed or flow rate is "&amp;Feedrate_Input&amp;" "&amp;Feedrate_Units&amp;"."</f>
        <v xml:space="preserve"> is a  containing  Mix that operates at  C and  bar.  The volume is  liter with a maximum allowable working pressure of  bar.  The maximum feed or flow rate is  kg/min.</v>
      </c>
      <c r="DT3" s="3088" t="s">
        <v>5164</v>
      </c>
      <c r="DV3" s="190" t="s">
        <v>1960</v>
      </c>
      <c r="DW3" s="123"/>
      <c r="DX3" s="190" t="s">
        <v>4750</v>
      </c>
      <c r="DY3" s="190" t="s">
        <v>4751</v>
      </c>
      <c r="DZ3" s="190" t="s">
        <v>308</v>
      </c>
      <c r="EB3" s="190" t="s">
        <v>649</v>
      </c>
      <c r="ED3" s="190" t="s">
        <v>3314</v>
      </c>
      <c r="EF3" s="190" t="s">
        <v>5036</v>
      </c>
      <c r="EG3" s="190" t="s">
        <v>5036</v>
      </c>
      <c r="EH3" s="190" t="s">
        <v>5037</v>
      </c>
      <c r="EI3" s="190" t="s">
        <v>5159</v>
      </c>
      <c r="EK3" s="190" t="s">
        <v>5034</v>
      </c>
      <c r="EL3" s="190" t="s">
        <v>5035</v>
      </c>
      <c r="EM3" s="190" t="s">
        <v>5160</v>
      </c>
      <c r="EO3" s="190" t="s">
        <v>152</v>
      </c>
      <c r="EP3" s="190" t="s">
        <v>5038</v>
      </c>
      <c r="EQ3" s="190" t="s">
        <v>5039</v>
      </c>
      <c r="ER3" s="190" t="s">
        <v>5166</v>
      </c>
    </row>
    <row r="4" spans="3:148" x14ac:dyDescent="0.25">
      <c r="C4" s="37" t="s">
        <v>1253</v>
      </c>
      <c r="D4" s="35"/>
      <c r="E4" s="124"/>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6"/>
      <c r="AI4" s="127"/>
      <c r="AJ4" s="35"/>
      <c r="AK4" s="1744">
        <f>'IPL Credits'!N10</f>
        <v>1</v>
      </c>
      <c r="AL4" s="1744">
        <f>'IPL Credits'!N11</f>
        <v>1</v>
      </c>
      <c r="AM4" s="1744">
        <f>'IPL Credits'!N12</f>
        <v>1</v>
      </c>
      <c r="AN4" s="1744">
        <f>'IPL Credits'!N13</f>
        <v>2</v>
      </c>
      <c r="AO4" s="1744">
        <f>'IPL Credits'!N14</f>
        <v>2</v>
      </c>
      <c r="AP4" s="1744">
        <f>'IPL Credits'!N15</f>
        <v>2</v>
      </c>
      <c r="AQ4" s="2532">
        <f>'IPL Credits'!N16</f>
        <v>1</v>
      </c>
      <c r="AR4" s="1744">
        <f>'IPL Credits'!N17</f>
        <v>1</v>
      </c>
      <c r="AS4" s="2533">
        <f>'IPL Credits'!N18</f>
        <v>1</v>
      </c>
      <c r="AT4" s="1744">
        <f>'IPL Credits'!N19</f>
        <v>1</v>
      </c>
      <c r="AU4" s="1744">
        <f>'IPL Credits'!N20</f>
        <v>2</v>
      </c>
      <c r="AV4" s="1744">
        <f>'IPL Credits'!N21</f>
        <v>1</v>
      </c>
      <c r="AW4" s="1744">
        <f>'IPL Credits'!N22</f>
        <v>1</v>
      </c>
      <c r="AX4" s="1744">
        <f>'IPL Credits'!N23</f>
        <v>2</v>
      </c>
      <c r="AY4" s="1744">
        <f>'IPL Credits'!N24</f>
        <v>2</v>
      </c>
      <c r="AZ4" s="1744">
        <f>'IPL Credits'!N25</f>
        <v>2</v>
      </c>
      <c r="BA4" s="1744">
        <f>'IPL Credits'!N26</f>
        <v>1</v>
      </c>
      <c r="BB4" s="1744">
        <f>'IPL Credits'!N27</f>
        <v>3</v>
      </c>
      <c r="BC4" s="1744">
        <f>'IPL Credits'!N28</f>
        <v>0</v>
      </c>
      <c r="BD4" s="1744">
        <f>'IPL Credits'!N29</f>
        <v>1</v>
      </c>
      <c r="BE4" s="1744">
        <f>'IPL Credits'!N30</f>
        <v>2</v>
      </c>
      <c r="BF4" s="1744">
        <f>'IPL Credits'!N31</f>
        <v>3</v>
      </c>
      <c r="BG4" s="1744">
        <f>'IPL Credits'!N32</f>
        <v>4</v>
      </c>
      <c r="BH4" s="1744">
        <f>'IPL Credits'!N33</f>
        <v>5</v>
      </c>
      <c r="BI4" s="11"/>
      <c r="BJ4" s="124"/>
      <c r="BK4" s="126"/>
      <c r="BL4" s="1478"/>
      <c r="BM4" s="126"/>
      <c r="BN4" s="126"/>
      <c r="BO4" s="3177"/>
      <c r="BP4" s="3177"/>
      <c r="BQ4" s="126"/>
      <c r="BR4" s="126"/>
      <c r="BS4" s="126"/>
      <c r="BT4" s="126"/>
      <c r="BU4" s="1478"/>
      <c r="BV4" s="1478"/>
      <c r="BW4" s="126"/>
      <c r="BX4" s="126"/>
      <c r="BY4" s="126"/>
      <c r="BZ4" s="126"/>
      <c r="CA4" s="126"/>
      <c r="CB4" s="126"/>
      <c r="CC4" s="126"/>
      <c r="CD4" s="126"/>
      <c r="CE4" s="126"/>
      <c r="CF4" s="1478"/>
      <c r="CG4" s="126"/>
      <c r="CH4" s="126"/>
      <c r="CI4" s="126"/>
      <c r="CJ4" s="126"/>
      <c r="CK4" s="126"/>
      <c r="CL4" s="1034"/>
      <c r="CM4" s="744"/>
      <c r="CN4" s="744"/>
      <c r="CO4" s="126"/>
      <c r="CP4" s="126"/>
      <c r="CQ4" s="126"/>
      <c r="CR4" s="126"/>
      <c r="CS4" s="126"/>
      <c r="CT4" s="126"/>
      <c r="CU4" s="126"/>
      <c r="CV4" s="780"/>
      <c r="CW4" s="126"/>
      <c r="CX4" s="126"/>
      <c r="CY4" s="126"/>
      <c r="CZ4" s="126"/>
      <c r="DA4" s="126"/>
      <c r="DB4" s="126"/>
      <c r="DC4" s="1478"/>
      <c r="DD4" s="126"/>
      <c r="DE4" s="126"/>
      <c r="DF4" s="498"/>
      <c r="DG4" s="126"/>
      <c r="DH4" s="126"/>
      <c r="DI4" s="126"/>
      <c r="DJ4" s="127"/>
      <c r="DL4" s="124"/>
      <c r="DM4" s="126"/>
      <c r="DN4" s="1478"/>
      <c r="DO4" s="126"/>
      <c r="DP4" s="126"/>
      <c r="DQ4" s="127"/>
      <c r="DV4" s="2931"/>
      <c r="DW4" s="2935"/>
      <c r="DX4" s="2936"/>
      <c r="DY4" s="2937"/>
      <c r="DZ4" s="2938"/>
      <c r="EB4" s="2931"/>
      <c r="ED4" s="2931"/>
      <c r="EF4" s="2933"/>
      <c r="EG4" s="2934"/>
      <c r="EH4" s="2931"/>
      <c r="EI4" s="2931"/>
      <c r="EK4" s="2933"/>
      <c r="EL4" s="2933"/>
      <c r="EM4" s="2933"/>
      <c r="EO4" s="2935"/>
      <c r="EP4" s="2933"/>
      <c r="EQ4" s="2933"/>
      <c r="ER4" s="2933"/>
    </row>
    <row r="5" spans="3:148" x14ac:dyDescent="0.25">
      <c r="C5" s="37" t="s">
        <v>4752</v>
      </c>
      <c r="D5" s="35"/>
      <c r="E5" s="128"/>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9"/>
      <c r="AI5" s="130"/>
      <c r="AJ5" s="35"/>
      <c r="AK5" s="1874"/>
      <c r="AL5" s="1874"/>
      <c r="AM5" s="1874"/>
      <c r="AN5" s="1874"/>
      <c r="AO5" s="1874"/>
      <c r="AP5" s="1874"/>
      <c r="AQ5" s="1874"/>
      <c r="AR5" s="1874"/>
      <c r="AS5" s="1874"/>
      <c r="AT5" s="1874"/>
      <c r="AU5" s="1874"/>
      <c r="AV5" s="1874"/>
      <c r="AW5" s="1874"/>
      <c r="AX5" s="1874"/>
      <c r="AY5" s="1874"/>
      <c r="AZ5" s="1874"/>
      <c r="BA5" s="1874"/>
      <c r="BB5" s="1874"/>
      <c r="BC5" s="1874"/>
      <c r="BD5" s="1874"/>
      <c r="BE5" s="1874"/>
      <c r="BF5" s="1874"/>
      <c r="BG5" s="1874"/>
      <c r="BH5" s="1874"/>
      <c r="BI5" s="11"/>
      <c r="BJ5" s="1744" t="s">
        <v>144</v>
      </c>
      <c r="BK5" s="1744" t="s">
        <v>144</v>
      </c>
      <c r="BL5" s="1744" t="s">
        <v>144</v>
      </c>
      <c r="BM5" s="1744" t="s">
        <v>144</v>
      </c>
      <c r="BN5" s="1744" t="s">
        <v>144</v>
      </c>
      <c r="BO5" s="1744" t="s">
        <v>144</v>
      </c>
      <c r="BP5" s="1744" t="s">
        <v>144</v>
      </c>
      <c r="BQ5" s="1744" t="s">
        <v>144</v>
      </c>
      <c r="BR5" s="1744" t="s">
        <v>144</v>
      </c>
      <c r="BS5" s="1744" t="s">
        <v>144</v>
      </c>
      <c r="BT5" s="1744" t="s">
        <v>144</v>
      </c>
      <c r="BU5" s="1744" t="s">
        <v>144</v>
      </c>
      <c r="BV5" s="1744" t="s">
        <v>144</v>
      </c>
      <c r="BW5" s="1744" t="s">
        <v>144</v>
      </c>
      <c r="BX5" s="1744" t="s">
        <v>144</v>
      </c>
      <c r="BY5" s="1744" t="s">
        <v>144</v>
      </c>
      <c r="BZ5" s="1744" t="s">
        <v>144</v>
      </c>
      <c r="CA5" s="1744" t="s">
        <v>144</v>
      </c>
      <c r="CB5" s="1744" t="s">
        <v>144</v>
      </c>
      <c r="CC5" s="1744" t="s">
        <v>144</v>
      </c>
      <c r="CD5" s="1744" t="s">
        <v>144</v>
      </c>
      <c r="CE5" s="1744" t="s">
        <v>144</v>
      </c>
      <c r="CF5" s="1744" t="s">
        <v>144</v>
      </c>
      <c r="CG5" s="1744" t="s">
        <v>144</v>
      </c>
      <c r="CH5" s="1744" t="s">
        <v>144</v>
      </c>
      <c r="CI5" s="1744" t="s">
        <v>144</v>
      </c>
      <c r="CJ5" s="1744" t="s">
        <v>4046</v>
      </c>
      <c r="CK5" s="1744" t="s">
        <v>4046</v>
      </c>
      <c r="CL5" s="1744" t="s">
        <v>144</v>
      </c>
      <c r="CM5" s="1744" t="s">
        <v>4046</v>
      </c>
      <c r="CN5" s="1744" t="s">
        <v>4046</v>
      </c>
      <c r="CO5" s="1744" t="s">
        <v>4046</v>
      </c>
      <c r="CP5" s="1744" t="s">
        <v>4046</v>
      </c>
      <c r="CQ5" s="1744" t="s">
        <v>144</v>
      </c>
      <c r="CR5" s="1744" t="s">
        <v>4046</v>
      </c>
      <c r="CS5" s="1744" t="s">
        <v>4046</v>
      </c>
      <c r="CT5" s="1744" t="s">
        <v>4046</v>
      </c>
      <c r="CU5" s="1744" t="s">
        <v>4046</v>
      </c>
      <c r="CV5" s="1744" t="s">
        <v>4046</v>
      </c>
      <c r="CW5" s="1744" t="s">
        <v>4046</v>
      </c>
      <c r="CX5" s="1744" t="s">
        <v>4046</v>
      </c>
      <c r="CY5" s="1744" t="s">
        <v>4046</v>
      </c>
      <c r="CZ5" s="1744" t="s">
        <v>4046</v>
      </c>
      <c r="DA5" s="1744" t="s">
        <v>4046</v>
      </c>
      <c r="DB5" s="1744" t="s">
        <v>144</v>
      </c>
      <c r="DC5" s="2534" t="s">
        <v>144</v>
      </c>
      <c r="DD5" s="1744" t="s">
        <v>144</v>
      </c>
      <c r="DE5" s="1744" t="s">
        <v>144</v>
      </c>
      <c r="DF5" s="1744" t="s">
        <v>144</v>
      </c>
      <c r="DG5" s="1744" t="s">
        <v>144</v>
      </c>
      <c r="DH5" s="1744" t="s">
        <v>144</v>
      </c>
      <c r="DI5" s="1744" t="s">
        <v>144</v>
      </c>
      <c r="DJ5" s="1744" t="s">
        <v>144</v>
      </c>
      <c r="DL5" s="128"/>
      <c r="DM5" s="129"/>
      <c r="DN5" s="745"/>
      <c r="DO5" s="129"/>
      <c r="DP5" s="129"/>
      <c r="DQ5" s="131"/>
      <c r="DV5" s="2939"/>
      <c r="DW5" s="2935"/>
      <c r="DX5" s="2940"/>
      <c r="DY5" s="2941"/>
      <c r="DZ5" s="2942"/>
      <c r="EB5" s="2939"/>
      <c r="ED5" s="2932"/>
      <c r="EF5" s="2933"/>
      <c r="EG5" s="2932"/>
      <c r="EH5" s="2932"/>
      <c r="EI5" s="2932"/>
      <c r="EK5" s="2933"/>
      <c r="EL5" s="2933"/>
      <c r="EM5" s="2933"/>
      <c r="EO5" s="2935"/>
      <c r="EP5" s="2933"/>
      <c r="EQ5" s="2933"/>
      <c r="ER5" s="2933"/>
    </row>
    <row r="6" spans="3:148" x14ac:dyDescent="0.25">
      <c r="C6" s="39" t="s">
        <v>1875</v>
      </c>
      <c r="D6" s="35"/>
      <c r="E6" s="34"/>
      <c r="F6" s="34"/>
      <c r="G6" s="34"/>
      <c r="H6" s="34"/>
      <c r="I6" s="34"/>
      <c r="J6" s="34"/>
      <c r="K6" s="34"/>
      <c r="L6" s="34"/>
      <c r="M6" s="34"/>
      <c r="N6" s="34"/>
      <c r="O6" s="34"/>
      <c r="P6" s="34"/>
      <c r="Q6" s="34"/>
      <c r="R6" s="34"/>
      <c r="S6" s="34"/>
      <c r="T6" s="34"/>
      <c r="U6" s="39" t="str">
        <f>IF(Exclude_MI&lt;&gt;"Only MI","X","")</f>
        <v>X</v>
      </c>
      <c r="V6" s="34"/>
      <c r="W6" s="39" t="str">
        <f>IF(Exclude_MI&lt;&gt;"Only MI","X","")</f>
        <v>X</v>
      </c>
      <c r="X6" s="34"/>
      <c r="Y6" s="34"/>
      <c r="Z6" s="34"/>
      <c r="AA6" s="34"/>
      <c r="AB6" s="34"/>
      <c r="AC6" s="34"/>
      <c r="AD6" s="34"/>
      <c r="AE6" s="34"/>
      <c r="AF6" s="34"/>
      <c r="AG6" s="2048"/>
      <c r="AH6" s="63"/>
      <c r="AI6" s="34"/>
      <c r="AJ6" s="35"/>
      <c r="AK6" s="1875" t="s">
        <v>1742</v>
      </c>
      <c r="AL6" s="1876"/>
      <c r="AM6" s="1876"/>
      <c r="AN6" s="1876"/>
      <c r="AO6" s="1876"/>
      <c r="AP6" s="1876"/>
      <c r="AQ6" s="1876"/>
      <c r="AR6" s="1876"/>
      <c r="AS6" s="1876"/>
      <c r="AT6" s="1876"/>
      <c r="AU6" s="1876"/>
      <c r="AV6" s="1876"/>
      <c r="AW6" s="1876"/>
      <c r="AX6" s="1876"/>
      <c r="AY6" s="1876"/>
      <c r="AZ6" s="1876"/>
      <c r="BA6" s="1876"/>
      <c r="BB6" s="1876"/>
      <c r="BC6" s="1876"/>
      <c r="BD6" s="1876"/>
      <c r="BE6" s="1876"/>
      <c r="BF6" s="1876"/>
      <c r="BG6" s="1876"/>
      <c r="BH6" s="1876"/>
      <c r="BI6" s="35"/>
      <c r="BJ6" s="34"/>
      <c r="BK6" s="34"/>
      <c r="BL6" s="1853"/>
      <c r="BM6" s="34"/>
      <c r="BN6" s="34"/>
      <c r="BO6" s="3178"/>
      <c r="BP6" s="3178"/>
      <c r="BQ6" s="34"/>
      <c r="BR6" s="34"/>
      <c r="BS6" s="34"/>
      <c r="BT6" s="34"/>
      <c r="BU6" s="1853"/>
      <c r="BV6" s="1853"/>
      <c r="BW6" s="34"/>
      <c r="BX6" s="34"/>
      <c r="BY6" s="34"/>
      <c r="BZ6" s="34"/>
      <c r="CA6" s="34"/>
      <c r="CB6" s="34"/>
      <c r="CC6" s="34"/>
      <c r="CD6" s="34"/>
      <c r="CE6" s="34"/>
      <c r="CF6" s="1476"/>
      <c r="CG6" s="34"/>
      <c r="CH6" s="34"/>
      <c r="CI6" s="34"/>
      <c r="CJ6" s="39" t="str">
        <f>IF(AND(State&lt;&gt;"Vapor",Reactive_Only&lt;&gt;"Yes"),"X","")</f>
        <v>X</v>
      </c>
      <c r="CK6" s="34"/>
      <c r="CL6" s="39" t="str">
        <f>IF(AND(State="Vapor",Reactive_Only&lt;&gt;"Yes"),"X","")</f>
        <v/>
      </c>
      <c r="CM6" s="739"/>
      <c r="CN6" s="739"/>
      <c r="CO6" s="34"/>
      <c r="CP6" s="34"/>
      <c r="CQ6" s="34"/>
      <c r="CR6" s="34"/>
      <c r="CS6" s="34"/>
      <c r="CT6" s="34"/>
      <c r="CU6" s="34"/>
      <c r="CV6" s="781"/>
      <c r="CW6" s="34"/>
      <c r="CX6" s="34"/>
      <c r="CY6" s="34"/>
      <c r="CZ6" s="34"/>
      <c r="DA6" s="34"/>
      <c r="DB6" s="34"/>
      <c r="DC6" s="2038"/>
      <c r="DD6" s="34"/>
      <c r="DE6" s="34"/>
      <c r="DF6" s="499"/>
      <c r="DG6" s="34"/>
      <c r="DH6" s="34"/>
      <c r="DI6" s="34"/>
      <c r="DJ6" s="34"/>
      <c r="DL6" s="34"/>
      <c r="DM6" s="34"/>
      <c r="DN6" s="1700"/>
      <c r="DO6" s="34"/>
      <c r="DP6" s="34"/>
      <c r="DQ6" s="34"/>
      <c r="DT6" s="3089" t="str">
        <f>IF(EI6="Yes","X","")</f>
        <v/>
      </c>
      <c r="DV6" s="39" t="s">
        <v>1980</v>
      </c>
      <c r="DW6" s="35"/>
      <c r="DX6" s="4" t="e">
        <f>LEFT(INDEX('Scenario Analysis'!GR$5:GR$47,MATCH("X",BJ6:CZ6,0)),LEN(INDEX('Scenario Analysis'!GR$5:GR$47,MATCH("X",BJ6:CZ6,0)))-2)</f>
        <v>#VALUE!</v>
      </c>
      <c r="DY6" s="4" t="e">
        <f>LEFT(INDEX('Scenario Analysis'!GR$49:GR$56,MATCH("X",DB6:DI6,0)),LEN(INDEX('Scenario Analysis'!GR$49:GR$56,MATCH("X",DB6:DI6,0)))-2)</f>
        <v>#N/A</v>
      </c>
      <c r="DZ6" s="39" t="str">
        <f>IF(AND(ISERROR(DX6),ISERROR(DY6)),"Consequence Does Not Exceed Threshold Criteria for Continuing with LOPA",IF(ISERROR(DX6),IF(DY6="","Consequence Does Not Exceed Threshold Criteria for Continuing with LOPA",DY6),IF(ISERROR(DY6),IF(DX6="","Consequence Does Not Exceed Threshold Criteria for Continuing with LOPA",DX6),DX6&amp;"; "&amp;DY6)))</f>
        <v>Consequence Does Not Exceed Threshold Criteria for Continuing with LOPA</v>
      </c>
      <c r="EB6" s="39" t="e">
        <f>IF(INDEX($E$6:$AI$63,ROW(E6:AI$63)-5,MATCH(Equipment,Equipment_Type,0))="X",IF(DZ6&lt;&gt;"Consequence Does Not Exceed Threshold Criteria for Continuing with LOPA","Included","Excluded"),"")</f>
        <v>#N/A</v>
      </c>
      <c r="ED6" s="2906" t="str">
        <f>CHAR(7)&amp;IPLD_Gen_42&amp;CHAR(7)&amp;IPLD_FE_1&amp;CHAR(10)&amp;CHAR(7)&amp;IPLD_FE_4&amp;CHAR(10)&amp;CHAR(7)&amp;IPLD_FE_6&amp;CHAR(10)&amp;IF('Workbook Notes'!D55&lt;&gt;"",CHAR(7)&amp;'Workbook Notes'!D55,"")</f>
        <v xml:space="preserve">_x0007_Discharge to Scrubber Reduces Release to Atmosphere_x0007_Flame Detector Closes all Fuel Valves if no flame detected within time interval
_x0007_Proper position on Primary Fuel Valve necessary for Fuel Block Valves to remain open
_x0007_Feed Control Valve Closes on Blower Failure or Loss of Air Flow (low air/fuel ratio)
</v>
      </c>
      <c r="EE6" s="2930"/>
      <c r="EF6" s="2930" t="str">
        <f t="shared" ref="EF6:EF62" si="1">C6</f>
        <v>Accumulation of Untreated Vent or Waste</v>
      </c>
      <c r="EG6" s="2943"/>
      <c r="EH6" s="2943"/>
      <c r="EI6" s="2943"/>
      <c r="EK6" s="2907" t="str">
        <f ca="1">IF(ISTEXT(VLOOKUP(C6,INDIRECT("'Scenario List'!A11"):INDIRECT("'Scenario List'!V60"),20,FALSE))=TRUE,VLOOKUP(C6,INDIRECT("'Scenario List'!A11"):INDIRECT("'Scenario List'!V60"),20,FALSE),"")</f>
        <v/>
      </c>
      <c r="EL6" s="2907" t="str">
        <f ca="1">IF(ISTEXT(VLOOKUP(C6,INDIRECT("'Scenario List'!A11"):INDIRECT("'Scenario List'!V60"),21,FALSE))=TRUE,VLOOKUP(C6,INDIRECT("'Scenario List'!A11"):INDIRECT("'Scenario List'!V60"),21,FALSE),"")</f>
        <v/>
      </c>
      <c r="EM6" s="2907" t="str">
        <f ca="1">IF(ISTEXT(VLOOKUP(C6,INDIRECT("'Scenario List'!A11"):INDIRECT("'Scenario List'!V60"),22,FALSE))=TRUE,VLOOKUP(C6,INDIRECT("'Scenario List'!A11"):INDIRECT("'Scenario List'!V60"),22,FALSE),"")</f>
        <v/>
      </c>
      <c r="EO6" s="2907" t="str">
        <f ca="1">IF(INDIRECT("'Scenario List'!A11")="","",INDIRECT("'Scenario List'!A11"))</f>
        <v/>
      </c>
      <c r="EP6" s="2907" t="str">
        <f t="shared" ref="EP6:EP28" ca="1" si="2">IF(ISTEXT(VLOOKUP(EO6,EF$6:EI$63,2,FALSE))=TRUE,VLOOKUP(EO6,EF$6:EI$63,2,FALSE),"")</f>
        <v/>
      </c>
      <c r="EQ6" s="2907" t="str">
        <f t="shared" ref="EQ6:EQ28" ca="1" si="3">IF(ISTEXT(VLOOKUP(EO6,EF$6:EI$63,3,FALSE))=TRUE,VLOOKUP(EO6,EF$6:EI$63,3,FALSE),"")</f>
        <v/>
      </c>
      <c r="ER6" s="2907" t="str">
        <f t="shared" ref="ER6:ER28" ca="1" si="4">IF(ISTEXT(VLOOKUP(EO6,EF$6:EI$63,4,FALSE))=TRUE,VLOOKUP(EO6,EF$6:EI$63,4,FALSE),"")</f>
        <v/>
      </c>
    </row>
    <row r="7" spans="3:148" x14ac:dyDescent="0.25">
      <c r="C7" s="39" t="s">
        <v>358</v>
      </c>
      <c r="D7" s="35"/>
      <c r="E7" s="34"/>
      <c r="F7" s="34"/>
      <c r="G7" s="34"/>
      <c r="H7" s="34"/>
      <c r="I7" s="34"/>
      <c r="J7" s="34"/>
      <c r="K7" s="34"/>
      <c r="L7" s="39" t="str">
        <f>IF(AND(Exclude_MI&lt;&gt;"Only MI",OR(Tracing="Yes",AND(Heating_T_Input&lt;&gt;"",Heating_T&gt;Ambient_Temp+Thermal_Expand_DT))),"X","")</f>
        <v/>
      </c>
      <c r="M7" s="39" t="str">
        <f>IF(Exclude_MI&lt;&gt;"Only MI","X","")</f>
        <v>X</v>
      </c>
      <c r="N7" s="34"/>
      <c r="O7" s="34"/>
      <c r="P7" s="34"/>
      <c r="Q7" s="34"/>
      <c r="R7" s="34"/>
      <c r="S7" s="34"/>
      <c r="T7" s="34"/>
      <c r="U7" s="34"/>
      <c r="V7" s="34"/>
      <c r="W7" s="34"/>
      <c r="X7" s="39" t="str">
        <f>IF(AND(Exclude_MI&lt;&gt;"Only MI",State="Liquid",OR(Fill="",Fill&gt;Fill_Max_Limit)),"X","")</f>
        <v>X</v>
      </c>
      <c r="Y7" s="39" t="str">
        <f>IF(AND(Exclude_MI&lt;&gt;"Only MI",State="Liquid",OR(Fill="",Fill&gt;Fill_Max_Limit)),"X","")</f>
        <v>X</v>
      </c>
      <c r="Z7" s="34"/>
      <c r="AA7" s="34"/>
      <c r="AB7" s="39" t="str">
        <f>IF(AND(Exclude_MI&lt;&gt;"Only MI",State="Liquid"),"X","")</f>
        <v>X</v>
      </c>
      <c r="AC7" s="39" t="str">
        <f>IF(AND(Exclude_MI&lt;&gt;"Only MI",State="Liquid"),"X","")</f>
        <v>X</v>
      </c>
      <c r="AD7" s="34"/>
      <c r="AE7" s="34"/>
      <c r="AF7" s="34"/>
      <c r="AG7" s="2048"/>
      <c r="AH7" s="63"/>
      <c r="AI7" s="34"/>
      <c r="AJ7" s="35"/>
      <c r="AK7" s="34"/>
      <c r="AL7" s="459" t="str">
        <f>IF(OR(Equipment="Drum/IBC Handling",Equipment="Drum Oven"),"X","")</f>
        <v/>
      </c>
      <c r="AM7" s="34"/>
      <c r="AN7" s="459" t="str">
        <f>IF(AND(Equipment&lt;&gt;"Drum/IBC Handling",Equipment&lt;&gt;"Drum Oven"),"X","")</f>
        <v>X</v>
      </c>
      <c r="AO7" s="34"/>
      <c r="AP7" s="34"/>
      <c r="AQ7" s="739"/>
      <c r="AR7" s="34"/>
      <c r="AS7" s="1000"/>
      <c r="AT7" s="34"/>
      <c r="AU7" s="34"/>
      <c r="AV7" s="34"/>
      <c r="AW7" s="34"/>
      <c r="AX7" s="34"/>
      <c r="AY7" s="34"/>
      <c r="AZ7" s="34"/>
      <c r="BA7" s="39" t="str">
        <f>IF(OR(Tracing="Yes",AND(TM_Feed&lt;&gt;"",TM_Feed&gt;Ambient_Tmin,Equipment&lt;&gt;"Drum/IBC Handling",Equipment&lt;&gt;"Drum Oven",Equipment&lt;&gt;"Fired Equipment - Process Heater")),"X","")</f>
        <v/>
      </c>
      <c r="BB7" s="34"/>
      <c r="BC7" s="34"/>
      <c r="BD7" s="34"/>
      <c r="BE7" s="34"/>
      <c r="BF7" s="34"/>
      <c r="BG7" s="34"/>
      <c r="BH7" s="34"/>
      <c r="BI7" s="35"/>
      <c r="BJ7" s="34"/>
      <c r="BK7" s="34"/>
      <c r="BL7" s="1853"/>
      <c r="BM7" s="39" t="str">
        <f>IF(AND(Reactive_Only&lt;&gt;"Yes",OR(Thermal_Expand="Yes",AND(TM_Feed&lt;&gt;"",TM_Feed&gt;Ambient_Tmin)),OR(Equipment="Drum Oven",Equipment="Heat Exchanger",Equipment="Piping",Equipment="Pump")),"X","")</f>
        <v/>
      </c>
      <c r="BN7" s="34"/>
      <c r="BO7" s="3178"/>
      <c r="BP7" s="3178"/>
      <c r="BQ7" s="34"/>
      <c r="BR7" s="34"/>
      <c r="BS7" s="34"/>
      <c r="BT7" s="34"/>
      <c r="BU7" s="1853"/>
      <c r="BV7" s="1853"/>
      <c r="BW7" s="34"/>
      <c r="BX7" s="34"/>
      <c r="BY7" s="34"/>
      <c r="BZ7" s="34"/>
      <c r="CA7" s="34"/>
      <c r="CB7" s="34"/>
      <c r="CC7" s="34"/>
      <c r="CD7" s="34"/>
      <c r="CE7" s="34"/>
      <c r="CF7" s="1476"/>
      <c r="CG7" s="34"/>
      <c r="CH7" s="34"/>
      <c r="CI7" s="34"/>
      <c r="CJ7" s="34"/>
      <c r="CK7" s="34"/>
      <c r="CL7" s="1035"/>
      <c r="CM7" s="739"/>
      <c r="CN7" s="739"/>
      <c r="CO7" s="34"/>
      <c r="CP7" s="34"/>
      <c r="CQ7" s="34"/>
      <c r="CR7" s="34"/>
      <c r="CS7" s="34"/>
      <c r="CT7" s="34"/>
      <c r="CU7" s="34"/>
      <c r="CV7" s="781"/>
      <c r="CW7" s="34"/>
      <c r="CX7" s="34"/>
      <c r="CY7" s="34"/>
      <c r="CZ7" s="34"/>
      <c r="DA7" s="34"/>
      <c r="DB7" s="39" t="str">
        <f>IF(AND(Equipment="Fired Equipment - Process Heater",Reactive_Only&lt;&gt;"Yes"),"X","")</f>
        <v/>
      </c>
      <c r="DC7" s="34"/>
      <c r="DD7" s="34"/>
      <c r="DE7" s="34"/>
      <c r="DF7" s="499"/>
      <c r="DG7" s="34"/>
      <c r="DH7" s="459" t="str">
        <f>IF(AND(Fire_Potential="Yes",Equipment="Drum Oven"),"X","")</f>
        <v/>
      </c>
      <c r="DI7" s="34"/>
      <c r="DJ7" s="34"/>
      <c r="DL7" s="34"/>
      <c r="DM7" s="34"/>
      <c r="DN7" s="1700"/>
      <c r="DO7" s="34"/>
      <c r="DP7" s="34"/>
      <c r="DQ7" s="34"/>
      <c r="DT7" s="3089" t="str">
        <f t="shared" ref="DT7:DT63" si="5">IF(EI7="Yes","X","")</f>
        <v/>
      </c>
      <c r="DV7" s="39" t="s">
        <v>1981</v>
      </c>
      <c r="DW7" s="35"/>
      <c r="DX7" s="4" t="e">
        <f>LEFT(INDEX('Scenario Analysis'!GR$5:GR$47,MATCH("X",BJ7:CZ7,0)),LEN(INDEX('Scenario Analysis'!GR$5:GR$47,MATCH("X",BJ7:CZ7,0)))-2)</f>
        <v>#N/A</v>
      </c>
      <c r="DY7" s="4" t="e">
        <f>LEFT(INDEX('Scenario Analysis'!GR$49:GR$56,MATCH("X",DB7:DI7,0)),LEN(INDEX('Scenario Analysis'!GR$49:GR$56,MATCH("X",DB7:DI7,0)))-2)</f>
        <v>#N/A</v>
      </c>
      <c r="DZ7" s="39" t="str">
        <f t="shared" ref="DZ7:DZ62" si="6">IF(AND(ISERROR(DX7),ISERROR(DY7)),"Consequence Does Not Exceed Threshold Criteria for Continuing with LOPA",IF(ISERROR(DX7),IF(DY7="","Consequence Does Not Exceed Threshold Criteria for Continuing with LOPA",DY7),IF(ISERROR(DY7),IF(DX7="","Consequence Does Not Exceed Threshold Criteria for Continuing with LOPA",DX7),DX7&amp;"; "&amp;DY7)))</f>
        <v>Consequence Does Not Exceed Threshold Criteria for Continuing with LOPA</v>
      </c>
      <c r="EB7" s="39" t="e">
        <f>IF(INDEX($E$6:$AI$63,ROW(E7:AI$63)-5,MATCH(Equipment,Equipment_Type,0))="X",IF(DZ7&lt;&gt;"Consequence Does Not Exceed Threshold Criteria for Continuing with LOPA","Included","Excluded"),"")</f>
        <v>#N/A</v>
      </c>
      <c r="ED7" s="2906" t="str">
        <f>CHAR(7)&amp;IPLD_Gen_1&amp;CHAR(10)&amp;IF('Workbook Notes'!D56&lt;&gt;"",CHAR(7)&amp;'Workbook Notes'!D56,"")</f>
        <v xml:space="preserve">_x0007_Pressure Relief Device Sized for Scenario and verified by qualified Relief Designer
</v>
      </c>
      <c r="EE7" s="2930"/>
      <c r="EF7" s="2930" t="str">
        <f t="shared" si="1"/>
        <v>Blocked-In with Thermal Expansion</v>
      </c>
      <c r="EG7" s="2943"/>
      <c r="EH7" s="2943"/>
      <c r="EI7" s="2943"/>
      <c r="EK7" s="2907" t="str">
        <f ca="1">IF(ISTEXT(VLOOKUP(C7,INDIRECT("'Scenario List'!A11"):INDIRECT("'Scenario List'!V60"),20,FALSE))=TRUE,VLOOKUP(C7,INDIRECT("'Scenario List'!A11"):INDIRECT("'Scenario List'!V60"),20,FALSE),"")</f>
        <v/>
      </c>
      <c r="EL7" s="2907" t="str">
        <f ca="1">IF(ISTEXT(VLOOKUP(C7,INDIRECT("'Scenario List'!A11"):INDIRECT("'Scenario List'!V60"),21,FALSE))=TRUE,VLOOKUP(C7,INDIRECT("'Scenario List'!A11"):INDIRECT("'Scenario List'!V60"),21,FALSE),"")</f>
        <v/>
      </c>
      <c r="EM7" s="2907" t="str">
        <f ca="1">IF(ISTEXT(VLOOKUP(C7,INDIRECT("'Scenario List'!A11"):INDIRECT("'Scenario List'!V60"),22,FALSE))=TRUE,VLOOKUP(C7,INDIRECT("'Scenario List'!A11"):INDIRECT("'Scenario List'!V60"),22,FALSE),"")</f>
        <v/>
      </c>
      <c r="EO7" s="2907" t="str">
        <f ca="1">IF(INDIRECT("'Scenario List'!A12")="","",INDIRECT("'Scenario List'!A12"))</f>
        <v/>
      </c>
      <c r="EP7" s="2907" t="str">
        <f t="shared" ca="1" si="2"/>
        <v/>
      </c>
      <c r="EQ7" s="2907" t="str">
        <f t="shared" ca="1" si="3"/>
        <v/>
      </c>
      <c r="ER7" s="2907" t="str">
        <f t="shared" ca="1" si="4"/>
        <v/>
      </c>
    </row>
    <row r="8" spans="3:148" x14ac:dyDescent="0.25">
      <c r="C8" s="1824" t="s">
        <v>3801</v>
      </c>
      <c r="D8" s="35"/>
      <c r="E8" s="1825"/>
      <c r="F8" s="1825"/>
      <c r="G8" s="1825"/>
      <c r="H8" s="1825"/>
      <c r="I8" s="1825"/>
      <c r="J8" s="1825"/>
      <c r="K8" s="1825"/>
      <c r="L8" s="1825"/>
      <c r="M8" s="1825"/>
      <c r="N8" s="1825"/>
      <c r="O8" s="1825"/>
      <c r="P8" s="1825"/>
      <c r="Q8" s="1825"/>
      <c r="R8" s="1825"/>
      <c r="S8" s="1825"/>
      <c r="T8" s="1825"/>
      <c r="U8" s="1825"/>
      <c r="V8" s="1825"/>
      <c r="W8" s="1825"/>
      <c r="X8" s="1825"/>
      <c r="Y8" s="1825"/>
      <c r="Z8" s="1825"/>
      <c r="AA8" s="1825"/>
      <c r="AB8" s="1825"/>
      <c r="AC8" s="1850" t="str">
        <f>IF(AND(Exclude_MI&lt;&gt;"Only MI",OR(Seal_Type="Mag Drive or Canned",Seal_Type="Double Containment")),"X","")</f>
        <v/>
      </c>
      <c r="AD8" s="1825"/>
      <c r="AE8" s="1825"/>
      <c r="AF8" s="1825"/>
      <c r="AG8" s="2048"/>
      <c r="AH8" s="1826"/>
      <c r="AI8" s="1825"/>
      <c r="AJ8" s="35"/>
      <c r="AK8" s="1825"/>
      <c r="AL8" s="1825"/>
      <c r="AM8" s="1825"/>
      <c r="AN8" s="1825"/>
      <c r="AO8" s="1825"/>
      <c r="AP8" s="1825"/>
      <c r="AQ8" s="1825"/>
      <c r="AR8" s="1825"/>
      <c r="AS8" s="1825"/>
      <c r="AT8" s="1825"/>
      <c r="AU8" s="1825"/>
      <c r="AV8" s="1825"/>
      <c r="AW8" s="1825"/>
      <c r="AX8" s="1825"/>
      <c r="AY8" s="1825"/>
      <c r="AZ8" s="459" t="s">
        <v>1742</v>
      </c>
      <c r="BA8" s="1825"/>
      <c r="BB8" s="1825"/>
      <c r="BC8" s="1825"/>
      <c r="BD8" s="1825"/>
      <c r="BE8" s="1825"/>
      <c r="BF8" s="1825"/>
      <c r="BG8" s="1825"/>
      <c r="BH8" s="1825"/>
      <c r="BI8" s="35"/>
      <c r="BJ8" s="1825"/>
      <c r="BK8" s="1825"/>
      <c r="BL8" s="1853"/>
      <c r="BM8" s="1853"/>
      <c r="BN8" s="1825"/>
      <c r="BO8" s="3178"/>
      <c r="BP8" s="3178"/>
      <c r="BQ8" s="1825"/>
      <c r="BR8" s="1825"/>
      <c r="BS8" s="1825"/>
      <c r="BT8" s="1825"/>
      <c r="BU8" s="39" t="str">
        <f>IF(Reactive_Only&lt;&gt;"Yes","X","")</f>
        <v>X</v>
      </c>
      <c r="BV8" s="1853"/>
      <c r="BW8" s="1825"/>
      <c r="BX8" s="1825"/>
      <c r="BY8" s="1825"/>
      <c r="BZ8" s="1825"/>
      <c r="CA8" s="1825"/>
      <c r="CB8" s="1825"/>
      <c r="CC8" s="1825"/>
      <c r="CD8" s="1825"/>
      <c r="CE8" s="1825"/>
      <c r="CF8" s="1825"/>
      <c r="CG8" s="1825"/>
      <c r="CH8" s="1825"/>
      <c r="CI8" s="1825"/>
      <c r="CJ8" s="1825"/>
      <c r="CK8" s="1825"/>
      <c r="CL8" s="1825"/>
      <c r="CM8" s="1825"/>
      <c r="CN8" s="1825"/>
      <c r="CO8" s="1825"/>
      <c r="CP8" s="1825"/>
      <c r="CQ8" s="1825"/>
      <c r="CR8" s="1825"/>
      <c r="CS8" s="1825"/>
      <c r="CT8" s="1825"/>
      <c r="CU8" s="1825"/>
      <c r="CV8" s="1825"/>
      <c r="CW8" s="1825"/>
      <c r="CX8" s="1825"/>
      <c r="CY8" s="1825"/>
      <c r="CZ8" s="1825"/>
      <c r="DA8" s="1825"/>
      <c r="DB8" s="1825"/>
      <c r="DC8" s="2038"/>
      <c r="DD8" s="1825"/>
      <c r="DE8" s="1825"/>
      <c r="DF8" s="1825"/>
      <c r="DG8" s="1825"/>
      <c r="DH8" s="1825"/>
      <c r="DI8" s="1825"/>
      <c r="DJ8" s="1825"/>
      <c r="DL8" s="1825"/>
      <c r="DM8" s="1825"/>
      <c r="DN8" s="1825"/>
      <c r="DO8" s="1825"/>
      <c r="DP8" s="1825"/>
      <c r="DQ8" s="1825"/>
      <c r="DT8" s="3089" t="str">
        <f t="shared" si="5"/>
        <v/>
      </c>
      <c r="DV8" s="39" t="s">
        <v>1176</v>
      </c>
      <c r="DW8" s="35"/>
      <c r="DX8" s="4" t="e">
        <f>LEFT(INDEX('Scenario Analysis'!GR$5:GR$47,MATCH("X",BJ8:CZ8,0)),LEN(INDEX('Scenario Analysis'!GR$5:GR$47,MATCH("X",BJ8:CZ8,0)))-2)</f>
        <v>#VALUE!</v>
      </c>
      <c r="DY8" s="4" t="e">
        <f>LEFT(INDEX('Scenario Analysis'!GR$49:GR$56,MATCH("X",DB8:DI8,0)),LEN(INDEX('Scenario Analysis'!GR$49:GR$56,MATCH("X",DB8:DI8,0)))-2)</f>
        <v>#N/A</v>
      </c>
      <c r="DZ8" s="39" t="str">
        <f t="shared" si="6"/>
        <v>Consequence Does Not Exceed Threshold Criteria for Continuing with LOPA</v>
      </c>
      <c r="EB8" s="39" t="e">
        <f>IF(INDEX($E$6:$AI$63,ROW(E8:AI$63)-5,MATCH(Equipment,Equipment_Type,0))="X",IF(DZ8&lt;&gt;"Consequence Does Not Exceed Threshold Criteria for Continuing with LOPA","Included","Excluded"),"")</f>
        <v>#N/A</v>
      </c>
      <c r="ED8" s="2906" t="str">
        <f>IF(Seal_Type="Double Containment",CHAR(7)&amp;IPLD_Gen_17,"")&amp;IF('Workbook Notes'!D57&lt;&gt;"",CHAR(7)&amp;'Workbook Notes'!D57,"")</f>
        <v/>
      </c>
      <c r="EE8" s="2930"/>
      <c r="EF8" s="2930" t="str">
        <f t="shared" si="1"/>
        <v>Casing or Containment Failure</v>
      </c>
      <c r="EG8" s="2943"/>
      <c r="EH8" s="2943"/>
      <c r="EI8" s="2943"/>
      <c r="EK8" s="2907" t="str">
        <f ca="1">IF(ISTEXT(VLOOKUP(C8,INDIRECT("'Scenario List'!A11"):INDIRECT("'Scenario List'!V60"),20,FALSE))=TRUE,VLOOKUP(C8,INDIRECT("'Scenario List'!A11"):INDIRECT("'Scenario List'!V60"),20,FALSE),"")</f>
        <v/>
      </c>
      <c r="EL8" s="2907" t="str">
        <f ca="1">IF(ISTEXT(VLOOKUP(C8,INDIRECT("'Scenario List'!A11"):INDIRECT("'Scenario List'!V60"),21,FALSE))=TRUE,VLOOKUP(C8,INDIRECT("'Scenario List'!A11"):INDIRECT("'Scenario List'!V60"),21,FALSE),"")</f>
        <v/>
      </c>
      <c r="EM8" s="2907" t="str">
        <f ca="1">IF(ISTEXT(VLOOKUP(C8,INDIRECT("'Scenario List'!A11"):INDIRECT("'Scenario List'!V60"),22,FALSE))=TRUE,VLOOKUP(C8,INDIRECT("'Scenario List'!A11"):INDIRECT("'Scenario List'!V60"),22,FALSE),"")</f>
        <v/>
      </c>
      <c r="EO8" s="2907" t="str">
        <f ca="1">IF(INDIRECT("'Scenario List'!A13")="","",INDIRECT("'Scenario List'!A13"))</f>
        <v/>
      </c>
      <c r="EP8" s="2907" t="str">
        <f t="shared" ca="1" si="2"/>
        <v/>
      </c>
      <c r="EQ8" s="2907" t="str">
        <f t="shared" ca="1" si="3"/>
        <v/>
      </c>
      <c r="ER8" s="2907" t="str">
        <f t="shared" ca="1" si="4"/>
        <v/>
      </c>
    </row>
    <row r="9" spans="3:148" x14ac:dyDescent="0.25">
      <c r="C9" s="39" t="s">
        <v>1154</v>
      </c>
      <c r="D9" s="35"/>
      <c r="E9" s="34"/>
      <c r="F9" s="39" t="str">
        <f>IF(Exclude_MI&lt;&gt;"Only MI","X","")</f>
        <v>X</v>
      </c>
      <c r="G9" s="39" t="str">
        <f>IF(Exclude_MI&lt;&gt;"Only MI","X","")</f>
        <v>X</v>
      </c>
      <c r="H9" s="34"/>
      <c r="I9" s="39" t="str">
        <f>IF(Exclude_MI&lt;&gt;"Only MI","X","")</f>
        <v>X</v>
      </c>
      <c r="J9" s="39" t="str">
        <f>IF(Exclude_MI&lt;&gt;"Only MI","X","")</f>
        <v>X</v>
      </c>
      <c r="K9" s="34"/>
      <c r="L9" s="34"/>
      <c r="M9" s="34"/>
      <c r="N9" s="39" t="str">
        <f>IF(AND(Exclude_MI&lt;&gt;"Only MI",State="Solid"),"X","")</f>
        <v/>
      </c>
      <c r="O9" s="39" t="str">
        <f t="shared" ref="N9:P11" si="7">IF(AND(Exclude_MI&lt;&gt;"Only MI",State="Solid"),"X","")</f>
        <v/>
      </c>
      <c r="P9" s="39" t="str">
        <f t="shared" si="7"/>
        <v/>
      </c>
      <c r="Q9" s="34"/>
      <c r="R9" s="39" t="str">
        <f>IF(Exclude_MI&lt;&gt;"Only MI","X","")</f>
        <v>X</v>
      </c>
      <c r="S9" s="34"/>
      <c r="T9" s="34"/>
      <c r="U9" s="34"/>
      <c r="V9" s="34"/>
      <c r="W9" s="34"/>
      <c r="X9" s="34"/>
      <c r="Y9" s="34"/>
      <c r="Z9" s="39" t="str">
        <f>IF(AND(Exclude_MI&lt;&gt;"Only MI",State="Solid"),"X","")</f>
        <v/>
      </c>
      <c r="AA9" s="39" t="str">
        <f>IF(AND(Exclude_MI&lt;&gt;"Only MI",State="Solid"),"X","")</f>
        <v/>
      </c>
      <c r="AB9" s="34"/>
      <c r="AC9" s="34"/>
      <c r="AD9" s="39" t="str">
        <f>IF(AND(Exclude_MI&lt;&gt;"Only MI",State="Solid"),"X","")</f>
        <v/>
      </c>
      <c r="AE9" s="34"/>
      <c r="AF9" s="34"/>
      <c r="AG9" s="2048"/>
      <c r="AH9" s="63"/>
      <c r="AI9" s="34"/>
      <c r="AJ9" s="35"/>
      <c r="AK9" s="34"/>
      <c r="AL9" s="459" t="str">
        <f>IF(OR(Equipment="Filter/Centrifuge",Equipment="Bag/Pak Dumping (Solids)"),"X","")</f>
        <v/>
      </c>
      <c r="AM9" s="459" t="str">
        <f>IF(AND(Equipment&lt;&gt;"Filter/Centrifuge",Equipment&lt;&gt;"Bag/Pak Dumping (Solids)"),"X","")</f>
        <v>X</v>
      </c>
      <c r="AN9" s="34"/>
      <c r="AO9" s="34"/>
      <c r="AP9" s="34"/>
      <c r="AQ9" s="739"/>
      <c r="AR9" s="34"/>
      <c r="AS9" s="1000"/>
      <c r="AT9" s="34"/>
      <c r="AU9" s="34"/>
      <c r="AV9" s="34"/>
      <c r="AW9" s="34"/>
      <c r="AX9" s="34"/>
      <c r="AY9" s="34"/>
      <c r="AZ9" s="34"/>
      <c r="BA9" s="34"/>
      <c r="BB9" s="34"/>
      <c r="BC9" s="34"/>
      <c r="BD9" s="34"/>
      <c r="BE9" s="34"/>
      <c r="BF9" s="34"/>
      <c r="BG9" s="34"/>
      <c r="BH9" s="34"/>
      <c r="BI9" s="35"/>
      <c r="BJ9" s="34"/>
      <c r="BK9" s="34"/>
      <c r="BL9" s="1853"/>
      <c r="BM9" s="39" t="str">
        <f>IF(AND(Reactive_Only&lt;&gt;"Yes",State&lt;&gt;"Solid"),"X","")</f>
        <v>X</v>
      </c>
      <c r="BN9" s="34"/>
      <c r="BO9" s="3178"/>
      <c r="BP9" s="3178"/>
      <c r="BQ9" s="34"/>
      <c r="BR9" s="34"/>
      <c r="BS9" s="34"/>
      <c r="BT9" s="34"/>
      <c r="BU9" s="1853"/>
      <c r="BV9" s="1853"/>
      <c r="BW9" s="34"/>
      <c r="BX9" s="34"/>
      <c r="BY9" s="34"/>
      <c r="BZ9" s="34"/>
      <c r="CA9" s="34"/>
      <c r="CB9" s="34"/>
      <c r="CC9" s="34"/>
      <c r="CD9" s="34"/>
      <c r="CE9" s="39" t="str">
        <f>IF(AND(Reactive_Only&lt;&gt;"Yes",State="Solid"),"X","")</f>
        <v/>
      </c>
      <c r="CF9" s="34"/>
      <c r="CG9" s="34"/>
      <c r="CH9" s="34"/>
      <c r="CI9" s="34"/>
      <c r="CJ9" s="34"/>
      <c r="CK9" s="34"/>
      <c r="CL9" s="1035"/>
      <c r="CM9" s="739"/>
      <c r="CN9" s="739"/>
      <c r="CO9" s="34"/>
      <c r="CP9" s="34"/>
      <c r="CQ9" s="34"/>
      <c r="CR9" s="34"/>
      <c r="CS9" s="34"/>
      <c r="CT9" s="34"/>
      <c r="CU9" s="34"/>
      <c r="CV9" s="781"/>
      <c r="CW9" s="34"/>
      <c r="CX9" s="34"/>
      <c r="CY9" s="34"/>
      <c r="CZ9" s="34"/>
      <c r="DA9" s="34"/>
      <c r="DB9" s="34"/>
      <c r="DC9" s="2038"/>
      <c r="DD9" s="34"/>
      <c r="DE9" s="34"/>
      <c r="DF9" s="499"/>
      <c r="DG9" s="34"/>
      <c r="DH9" s="34"/>
      <c r="DI9" s="34"/>
      <c r="DJ9" s="34"/>
      <c r="DL9" s="34"/>
      <c r="DM9" s="34"/>
      <c r="DN9" s="1700"/>
      <c r="DO9" s="34"/>
      <c r="DP9" s="34"/>
      <c r="DQ9" s="34"/>
      <c r="DT9" s="3089" t="str">
        <f t="shared" si="5"/>
        <v/>
      </c>
      <c r="DV9" s="39" t="s">
        <v>1176</v>
      </c>
      <c r="DW9" s="35"/>
      <c r="DX9" s="4" t="e">
        <f>LEFT(INDEX('Scenario Analysis'!GR$5:GR$47,MATCH("X",BJ9:CZ9,0)),LEN(INDEX('Scenario Analysis'!GR$5:GR$47,MATCH("X",BJ9:CZ9,0)))-2)</f>
        <v>#VALUE!</v>
      </c>
      <c r="DY9" s="4" t="e">
        <f>LEFT(INDEX('Scenario Analysis'!GR$49:GR$56,MATCH("X",DB9:DI9,0)),LEN(INDEX('Scenario Analysis'!GR$49:GR$56,MATCH("X",DB9:DI9,0)))-2)</f>
        <v>#N/A</v>
      </c>
      <c r="DZ9" s="39" t="str">
        <f t="shared" si="6"/>
        <v>Consequence Does Not Exceed Threshold Criteria for Continuing with LOPA</v>
      </c>
      <c r="EB9" s="39" t="e">
        <f>IF(INDEX($E$6:$AI$63,ROW(E9:AI$63)-5,MATCH(Equipment,Equipment_Type,0))="X",IF(DZ9&lt;&gt;"Consequence Does Not Exceed Threshold Criteria for Continuing with LOPA","Included","Excluded"),"")</f>
        <v>#N/A</v>
      </c>
      <c r="ED9" s="2906" t="str">
        <f>IF('Workbook Notes'!D58&lt;&gt;"",CHAR(7)&amp;'Workbook Notes'!D58,"")</f>
        <v/>
      </c>
      <c r="EE9" s="2930"/>
      <c r="EF9" s="2930" t="str">
        <f t="shared" si="1"/>
        <v>Connection Failure</v>
      </c>
      <c r="EG9" s="2943"/>
      <c r="EH9" s="2943"/>
      <c r="EI9" s="2943"/>
      <c r="EK9" s="2907" t="str">
        <f ca="1">IF(ISTEXT(VLOOKUP(C9,INDIRECT("'Scenario List'!A11"):INDIRECT("'Scenario List'!V60"),20,FALSE))=TRUE,VLOOKUP(C9,INDIRECT("'Scenario List'!A11"):INDIRECT("'Scenario List'!V60"),20,FALSE),"")</f>
        <v/>
      </c>
      <c r="EL9" s="2907" t="str">
        <f ca="1">IF(ISTEXT(VLOOKUP(C9,INDIRECT("'Scenario List'!A11"):INDIRECT("'Scenario List'!V60"),21,FALSE))=TRUE,VLOOKUP(C9,INDIRECT("'Scenario List'!A11"):INDIRECT("'Scenario List'!V60"),21,FALSE),"")</f>
        <v/>
      </c>
      <c r="EM9" s="2907" t="str">
        <f ca="1">IF(ISTEXT(VLOOKUP(C9,INDIRECT("'Scenario List'!A11"):INDIRECT("'Scenario List'!V60"),22,FALSE))=TRUE,VLOOKUP(C9,INDIRECT("'Scenario List'!A11"):INDIRECT("'Scenario List'!V60"),22,FALSE),"")</f>
        <v/>
      </c>
      <c r="EO9" s="2907" t="str">
        <f ca="1">IF(INDIRECT("'Scenario List'!A14")="","",INDIRECT("'Scenario List'!A14"))</f>
        <v/>
      </c>
      <c r="EP9" s="2907" t="str">
        <f t="shared" ca="1" si="2"/>
        <v/>
      </c>
      <c r="EQ9" s="2907" t="str">
        <f t="shared" ca="1" si="3"/>
        <v/>
      </c>
      <c r="ER9" s="2907" t="str">
        <f t="shared" ca="1" si="4"/>
        <v/>
      </c>
    </row>
    <row r="10" spans="3:148" x14ac:dyDescent="0.25">
      <c r="C10" s="39" t="s">
        <v>153</v>
      </c>
      <c r="D10" s="35"/>
      <c r="E10" s="39" t="str">
        <f>IF(Exclude_MI&lt;&gt;"Only MI","X","")</f>
        <v>X</v>
      </c>
      <c r="F10" s="34"/>
      <c r="G10" s="34"/>
      <c r="H10" s="39" t="str">
        <f>IF(Exclude_MI&lt;&gt;"Only MI","X","")</f>
        <v>X</v>
      </c>
      <c r="I10" s="34"/>
      <c r="J10" s="34"/>
      <c r="K10" s="39" t="str">
        <f>IF(Exclude_MI&lt;&gt;"Only MI","X","")</f>
        <v>X</v>
      </c>
      <c r="L10" s="34"/>
      <c r="M10" s="34"/>
      <c r="N10" s="34"/>
      <c r="O10" s="34"/>
      <c r="P10" s="34"/>
      <c r="Q10" s="39" t="str">
        <f>IF(Exclude_MI&lt;&gt;"Only MI","X","")</f>
        <v>X</v>
      </c>
      <c r="R10" s="39" t="str">
        <f>IF(Exclude_MI&lt;&gt;"Only MI","X","")</f>
        <v>X</v>
      </c>
      <c r="S10" s="34"/>
      <c r="T10" s="34"/>
      <c r="U10" s="34"/>
      <c r="V10" s="34"/>
      <c r="W10" s="34"/>
      <c r="X10" s="39" t="str">
        <f>IF(Exclude_MI&lt;&gt;"Only MI","X","")</f>
        <v>X</v>
      </c>
      <c r="Y10" s="39" t="str">
        <f>IF(Exclude_MI&lt;&gt;"Only MI","X","")</f>
        <v>X</v>
      </c>
      <c r="Z10" s="34"/>
      <c r="AA10" s="34"/>
      <c r="AB10" s="39" t="str">
        <f>IF(Exclude_MI&lt;&gt;"Only MI","X","")</f>
        <v>X</v>
      </c>
      <c r="AC10" s="39" t="str">
        <f>IF(Exclude_MI&lt;&gt;"Only MI","X","")</f>
        <v>X</v>
      </c>
      <c r="AD10" s="34"/>
      <c r="AE10" s="39" t="str">
        <f>IF(Exclude_MI&lt;&gt;"Only MI","X","")</f>
        <v>X</v>
      </c>
      <c r="AF10" s="39" t="str">
        <f>IF(Exclude_MI&lt;&gt;"Only MI","X","")</f>
        <v>X</v>
      </c>
      <c r="AG10" s="39" t="str">
        <f>IF(Exclude_MI&lt;&gt;"Only MI","X","")</f>
        <v>X</v>
      </c>
      <c r="AH10" s="225" t="str">
        <f>IF(Exclude_MI&lt;&gt;"Only MI","X","")</f>
        <v>X</v>
      </c>
      <c r="AI10" s="34"/>
      <c r="AJ10" s="35"/>
      <c r="AK10" s="34"/>
      <c r="AL10" s="459" t="str">
        <f>IF(OR(Equipment="Tank Truck/Rail Car/Tote",Equipment="Drum/IBC Handling",Equipment="Filter/Centrifuge",Frequent_Turnaround="Yes"),"X","")</f>
        <v/>
      </c>
      <c r="AM10" s="34"/>
      <c r="AN10" s="459" t="str">
        <f>IF(AND(Equipment&lt;&gt;"Tank Truck/Rail Car/Tote",Equipment&lt;&gt;"Drum/IBC Handling",Equipment&lt;&gt;"Filter/Centrifuge",Frequent_Turnaround&lt;&gt;"Yes"),"X","")</f>
        <v>X</v>
      </c>
      <c r="AO10" s="34"/>
      <c r="AP10" s="34"/>
      <c r="AQ10" s="739"/>
      <c r="AR10" s="34"/>
      <c r="AS10" s="1000"/>
      <c r="AT10" s="34"/>
      <c r="AU10" s="34"/>
      <c r="AV10" s="34"/>
      <c r="AW10" s="34"/>
      <c r="AX10" s="34"/>
      <c r="AY10" s="34"/>
      <c r="AZ10" s="34"/>
      <c r="BA10" s="34"/>
      <c r="BB10" s="34"/>
      <c r="BC10" s="34"/>
      <c r="BD10" s="34"/>
      <c r="BE10" s="34"/>
      <c r="BF10" s="34"/>
      <c r="BG10" s="34"/>
      <c r="BH10" s="34"/>
      <c r="BI10" s="35"/>
      <c r="BJ10" s="34"/>
      <c r="BK10" s="34"/>
      <c r="BL10" s="1853"/>
      <c r="BM10" s="1853"/>
      <c r="BN10" s="34"/>
      <c r="BO10" s="3178"/>
      <c r="BP10" s="3178"/>
      <c r="BQ10" s="39" t="str">
        <f>IF(Reactive_Only&lt;&gt;"Yes","X","")</f>
        <v>X</v>
      </c>
      <c r="BR10" s="34"/>
      <c r="BS10" s="34"/>
      <c r="BT10" s="34"/>
      <c r="BU10" s="1853"/>
      <c r="BV10" s="1853"/>
      <c r="BW10" s="34"/>
      <c r="BX10" s="34"/>
      <c r="BY10" s="34"/>
      <c r="BZ10" s="34"/>
      <c r="CA10" s="34"/>
      <c r="CB10" s="34"/>
      <c r="CC10" s="34"/>
      <c r="CD10" s="34"/>
      <c r="CE10" s="34"/>
      <c r="CF10" s="1476"/>
      <c r="CG10" s="34"/>
      <c r="CH10" s="34"/>
      <c r="CI10" s="34"/>
      <c r="CJ10" s="34"/>
      <c r="CK10" s="34"/>
      <c r="CL10" s="1035"/>
      <c r="CM10" s="739"/>
      <c r="CN10" s="739"/>
      <c r="CO10" s="34"/>
      <c r="CP10" s="34"/>
      <c r="CQ10" s="34"/>
      <c r="CR10" s="34"/>
      <c r="CS10" s="34"/>
      <c r="CT10" s="34"/>
      <c r="CU10" s="34"/>
      <c r="CV10" s="781"/>
      <c r="CW10" s="34"/>
      <c r="CX10" s="34"/>
      <c r="CY10" s="34"/>
      <c r="CZ10" s="34"/>
      <c r="DA10" s="34"/>
      <c r="DB10" s="34"/>
      <c r="DC10" s="2038"/>
      <c r="DD10" s="34"/>
      <c r="DE10" s="34"/>
      <c r="DF10" s="499"/>
      <c r="DG10" s="34"/>
      <c r="DH10" s="34"/>
      <c r="DI10" s="34"/>
      <c r="DJ10" s="34"/>
      <c r="DL10" s="34"/>
      <c r="DM10" s="34"/>
      <c r="DN10" s="1700"/>
      <c r="DO10" s="34"/>
      <c r="DP10" s="34"/>
      <c r="DQ10" s="34"/>
      <c r="DT10" s="3089" t="str">
        <f t="shared" si="5"/>
        <v/>
      </c>
      <c r="DV10" s="39" t="s">
        <v>1176</v>
      </c>
      <c r="DW10" s="35"/>
      <c r="DX10" s="4" t="e">
        <f>LEFT(INDEX('Scenario Analysis'!GR$5:GR$47,MATCH("X",BJ10:CZ10,0)),LEN(INDEX('Scenario Analysis'!GR$5:GR$47,MATCH("X",BJ10:CZ10,0)))-2)</f>
        <v>#VALUE!</v>
      </c>
      <c r="DY10" s="4" t="e">
        <f>LEFT(INDEX('Scenario Analysis'!GR$49:GR$56,MATCH("X",DB10:DI10,0)),LEN(INDEX('Scenario Analysis'!GR$49:GR$56,MATCH("X",DB10:DI10,0)))-2)</f>
        <v>#N/A</v>
      </c>
      <c r="DZ10" s="39" t="str">
        <f t="shared" si="6"/>
        <v>Consequence Does Not Exceed Threshold Criteria for Continuing with LOPA</v>
      </c>
      <c r="EB10" s="39" t="e">
        <f>IF(INDEX($E$6:$AI$63,ROW(E10:AI$63)-5,MATCH(Equipment,Equipment_Type,0))="X",IF(DZ10&lt;&gt;"Consequence Does Not Exceed Threshold Criteria for Continuing with LOPA","Included","Excluded"),"")</f>
        <v>#N/A</v>
      </c>
      <c r="ED10" s="2906" t="str">
        <f>IF('Workbook Notes'!D59&lt;&gt;"",CHAR(7)&amp;'Workbook Notes'!D59,"")</f>
        <v/>
      </c>
      <c r="EE10" s="2930"/>
      <c r="EF10" s="2930" t="str">
        <f t="shared" si="1"/>
        <v>Drain or Vent Valve Open</v>
      </c>
      <c r="EG10" s="2943"/>
      <c r="EH10" s="2943"/>
      <c r="EI10" s="2943"/>
      <c r="EK10" s="2907" t="str">
        <f ca="1">IF(ISTEXT(VLOOKUP(C10,INDIRECT("'Scenario List'!A11"):INDIRECT("'Scenario List'!V60"),20,FALSE))=TRUE,VLOOKUP(C10,INDIRECT("'Scenario List'!A11"):INDIRECT("'Scenario List'!V60"),20,FALSE),"")</f>
        <v/>
      </c>
      <c r="EL10" s="2907" t="str">
        <f ca="1">IF(ISTEXT(VLOOKUP(C10,INDIRECT("'Scenario List'!A11"):INDIRECT("'Scenario List'!V60"),21,FALSE))=TRUE,VLOOKUP(C10,INDIRECT("'Scenario List'!A11"):INDIRECT("'Scenario List'!V60"),21,FALSE),"")</f>
        <v/>
      </c>
      <c r="EM10" s="2907" t="str">
        <f ca="1">IF(ISTEXT(VLOOKUP(C10,INDIRECT("'Scenario List'!A11"):INDIRECT("'Scenario List'!V60"),22,FALSE))=TRUE,VLOOKUP(C10,INDIRECT("'Scenario List'!A11"):INDIRECT("'Scenario List'!V60"),22,FALSE),"")</f>
        <v/>
      </c>
      <c r="EO10" s="2907" t="str">
        <f ca="1">IF(INDIRECT("'Scenario List'!A15")="","",INDIRECT("'Scenario List'!A15"))</f>
        <v/>
      </c>
      <c r="EP10" s="2907" t="str">
        <f t="shared" ca="1" si="2"/>
        <v/>
      </c>
      <c r="EQ10" s="2907" t="str">
        <f t="shared" ca="1" si="3"/>
        <v/>
      </c>
      <c r="ER10" s="2907" t="str">
        <f t="shared" ca="1" si="4"/>
        <v/>
      </c>
    </row>
    <row r="11" spans="3:148" x14ac:dyDescent="0.25">
      <c r="C11" s="1475" t="s">
        <v>3286</v>
      </c>
      <c r="D11" s="35"/>
      <c r="E11" s="34"/>
      <c r="F11" s="39" t="str">
        <f>IF(AND(Exclude_MI&lt;&gt;"Only MI",State="Solid"),"X","")</f>
        <v/>
      </c>
      <c r="G11" s="39" t="str">
        <f>IF(AND(Exclude_MI&lt;&gt;"Only MI",State="Solid"),"X","")</f>
        <v/>
      </c>
      <c r="H11" s="34"/>
      <c r="I11" s="39" t="str">
        <f>IF(AND(Exclude_MI&lt;&gt;"Only MI",State="Solid"),"X","")</f>
        <v/>
      </c>
      <c r="J11" s="39" t="str">
        <f>IF(AND(Exclude_MI&lt;&gt;"Only MI",State="Solid"),"X","")</f>
        <v/>
      </c>
      <c r="K11" s="34"/>
      <c r="L11" s="34"/>
      <c r="M11" s="34"/>
      <c r="N11" s="39" t="str">
        <f t="shared" si="7"/>
        <v/>
      </c>
      <c r="O11" s="39" t="str">
        <f t="shared" si="7"/>
        <v/>
      </c>
      <c r="P11" s="39" t="str">
        <f t="shared" si="7"/>
        <v/>
      </c>
      <c r="Q11" s="34"/>
      <c r="R11" s="34"/>
      <c r="S11" s="34"/>
      <c r="T11" s="34"/>
      <c r="U11" s="34"/>
      <c r="V11" s="34"/>
      <c r="W11" s="34"/>
      <c r="X11" s="34"/>
      <c r="Y11" s="34"/>
      <c r="Z11" s="39" t="str">
        <f>IF(AND(Exclude_MI&lt;&gt;"Only MI",State="Solid"),"X","")</f>
        <v/>
      </c>
      <c r="AA11" s="39" t="str">
        <f>IF(AND(Exclude_MI&lt;&gt;"Only MI",State="Solid"),"X","")</f>
        <v/>
      </c>
      <c r="AB11" s="34"/>
      <c r="AC11" s="34"/>
      <c r="AD11" s="39" t="str">
        <f>IF(AND(Exclude_MI&lt;&gt;"Only MI",State="Solid"),"X","")</f>
        <v/>
      </c>
      <c r="AE11" s="34"/>
      <c r="AF11" s="34"/>
      <c r="AG11" s="2048"/>
      <c r="AH11" s="63"/>
      <c r="AI11" s="34"/>
      <c r="AJ11" s="35"/>
      <c r="AK11" s="1476"/>
      <c r="AL11" s="1476"/>
      <c r="AM11" s="1476"/>
      <c r="AN11" s="1476"/>
      <c r="AO11" s="1476"/>
      <c r="AP11" s="1476"/>
      <c r="AQ11" s="1476"/>
      <c r="AR11" s="1476"/>
      <c r="AS11" s="1476"/>
      <c r="AT11" s="1476"/>
      <c r="AU11" s="1476"/>
      <c r="AV11" s="1476"/>
      <c r="AW11" s="1476"/>
      <c r="AX11" s="1476"/>
      <c r="AY11" s="1476"/>
      <c r="AZ11" s="1476"/>
      <c r="BA11" s="1476"/>
      <c r="BB11" s="1476"/>
      <c r="BC11" s="1476"/>
      <c r="BD11" s="1476"/>
      <c r="BE11" s="459" t="s">
        <v>1742</v>
      </c>
      <c r="BF11" s="1476"/>
      <c r="BG11" s="1476"/>
      <c r="BH11" s="1476"/>
      <c r="BI11" s="35"/>
      <c r="BJ11" s="1476"/>
      <c r="BK11" s="1476"/>
      <c r="BL11" s="1853"/>
      <c r="BM11" s="1853"/>
      <c r="BN11" s="1476"/>
      <c r="BO11" s="3178"/>
      <c r="BP11" s="3178"/>
      <c r="BQ11" s="1476"/>
      <c r="BR11" s="1476"/>
      <c r="BS11" s="1476"/>
      <c r="BT11" s="1476"/>
      <c r="BU11" s="1853"/>
      <c r="BV11" s="1853"/>
      <c r="BW11" s="1476"/>
      <c r="BX11" s="1476"/>
      <c r="BY11" s="1476"/>
      <c r="BZ11" s="1476"/>
      <c r="CA11" s="1476"/>
      <c r="CB11" s="1476"/>
      <c r="CC11" s="1476"/>
      <c r="CD11" s="1476"/>
      <c r="CE11" s="1476"/>
      <c r="CF11" s="39" t="str">
        <f>IF(AND(Dust_Explosion="Yes",Reactive_Only&lt;&gt;"Yes"),"X","")</f>
        <v/>
      </c>
      <c r="CG11" s="1476"/>
      <c r="CH11" s="1476"/>
      <c r="CI11" s="1476"/>
      <c r="CJ11" s="1476"/>
      <c r="CK11" s="1476"/>
      <c r="CL11" s="1476"/>
      <c r="CM11" s="1476"/>
      <c r="CN11" s="1476"/>
      <c r="CO11" s="1476"/>
      <c r="CP11" s="1476"/>
      <c r="CQ11" s="1476"/>
      <c r="CR11" s="1476"/>
      <c r="CS11" s="1476"/>
      <c r="CT11" s="1476"/>
      <c r="CU11" s="1476"/>
      <c r="CV11" s="1476"/>
      <c r="CW11" s="1476"/>
      <c r="CX11" s="1476"/>
      <c r="CY11" s="1476"/>
      <c r="CZ11" s="1476"/>
      <c r="DA11" s="1476"/>
      <c r="DB11" s="1476"/>
      <c r="DC11" s="2038"/>
      <c r="DD11" s="1476"/>
      <c r="DE11" s="1476"/>
      <c r="DF11" s="1476"/>
      <c r="DG11" s="1476"/>
      <c r="DH11" s="1476"/>
      <c r="DI11" s="1476"/>
      <c r="DJ11" s="1476"/>
      <c r="DL11" s="1476"/>
      <c r="DM11" s="1476"/>
      <c r="DN11" s="1700"/>
      <c r="DO11" s="1476"/>
      <c r="DP11" s="1476"/>
      <c r="DQ11" s="1476"/>
      <c r="DT11" s="3089" t="str">
        <f t="shared" si="5"/>
        <v/>
      </c>
      <c r="DV11" s="39" t="s">
        <v>1176</v>
      </c>
      <c r="DW11" s="35"/>
      <c r="DX11" s="4" t="e">
        <f>LEFT(INDEX('Scenario Analysis'!GR$5:GR$47,MATCH("X",BJ11:CZ11,0)),LEN(INDEX('Scenario Analysis'!GR$5:GR$47,MATCH("X",BJ11:CZ11,0)))-2)</f>
        <v>#N/A</v>
      </c>
      <c r="DY11" s="4" t="e">
        <f>LEFT(INDEX('Scenario Analysis'!GR$49:GR$56,MATCH("X",DB11:DI11,0)),LEN(INDEX('Scenario Analysis'!GR$49:GR$56,MATCH("X",DB11:DI11,0)))-2)</f>
        <v>#N/A</v>
      </c>
      <c r="DZ11" s="39" t="str">
        <f>IF(AND(ISERROR(DX11),ISERROR(DY11)),"Consequence Does Not Exceed Threshold Criteria for Continuing with LOPA",IF(ISERROR(DX11),IF(DY11="","Consequence Does Not Exceed Threshold Criteria for Continuing with LOPA",DY11),IF(ISERROR(DY11),IF(DX11="","Consequence Does Not Exceed Threshold Criteria for Continuing with LOPA",DX11),DX11&amp;"; "&amp;DY11)))</f>
        <v>Consequence Does Not Exceed Threshold Criteria for Continuing with LOPA</v>
      </c>
      <c r="EB11" s="39" t="e">
        <f>IF(INDEX($E$6:$AI$63,ROW(E11:AI$63)-5,MATCH(Equipment,Equipment_Type,0))="X",IF(DZ11&lt;&gt;"Consequence Does Not Exceed Threshold Criteria for Continuing with LOPA","Included","Excluded"),"")</f>
        <v>#N/A</v>
      </c>
      <c r="ED11" s="2906" t="str">
        <f>CHAR(7)&amp;IPLD_D_1&amp;CHAR(10)&amp;IF('Workbook Notes'!D60&lt;&gt;"",CHAR(7)&amp;'Workbook Notes'!D60,"")</f>
        <v xml:space="preserve">_x0007_Comprehensive housekeeping program that ensures minimal dust accumulation and includes areas that may not normally be visible
</v>
      </c>
      <c r="EE11" s="2930"/>
      <c r="EF11" s="2930" t="str">
        <f t="shared" si="1"/>
        <v>Dust Accumulation in Process Area</v>
      </c>
      <c r="EG11" s="2943"/>
      <c r="EH11" s="2943"/>
      <c r="EI11" s="2943"/>
      <c r="EK11" s="2907" t="str">
        <f ca="1">IF(ISTEXT(VLOOKUP(C11,INDIRECT("'Scenario List'!A11"):INDIRECT("'Scenario List'!V60"),20,FALSE))=TRUE,VLOOKUP(C11,INDIRECT("'Scenario List'!A11"):INDIRECT("'Scenario List'!V60"),20,FALSE),"")</f>
        <v/>
      </c>
      <c r="EL11" s="2907" t="str">
        <f ca="1">IF(ISTEXT(VLOOKUP(C11,INDIRECT("'Scenario List'!A11"):INDIRECT("'Scenario List'!V60"),21,FALSE))=TRUE,VLOOKUP(C11,INDIRECT("'Scenario List'!A11"):INDIRECT("'Scenario List'!V60"),21,FALSE),"")</f>
        <v/>
      </c>
      <c r="EM11" s="2907" t="str">
        <f ca="1">IF(ISTEXT(VLOOKUP(C11,INDIRECT("'Scenario List'!A11"):INDIRECT("'Scenario List'!V60"),22,FALSE))=TRUE,VLOOKUP(C11,INDIRECT("'Scenario List'!A11"):INDIRECT("'Scenario List'!V60"),22,FALSE),"")</f>
        <v/>
      </c>
      <c r="EO11" s="2907" t="str">
        <f ca="1">IF(INDIRECT("'Scenario List'!A16")="","",INDIRECT("'Scenario List'!A16"))</f>
        <v/>
      </c>
      <c r="EP11" s="2907" t="str">
        <f t="shared" ca="1" si="2"/>
        <v/>
      </c>
      <c r="EQ11" s="2907" t="str">
        <f t="shared" ca="1" si="3"/>
        <v/>
      </c>
      <c r="ER11" s="2907" t="str">
        <f t="shared" ca="1" si="4"/>
        <v/>
      </c>
    </row>
    <row r="12" spans="3:148" x14ac:dyDescent="0.25">
      <c r="C12" s="39" t="s">
        <v>3811</v>
      </c>
      <c r="D12" s="35"/>
      <c r="E12" s="39" t="str">
        <f>IF(AND(Exclude_MI&lt;&gt;"Only MI",HeadSpace_Deflag_Potential="Yes"),"X","")</f>
        <v/>
      </c>
      <c r="F12" s="39" t="str">
        <f>IF(AND(Exclude_MI&lt;&gt;"Only MI",Dust_Deflagration="Yes"),"X","")</f>
        <v/>
      </c>
      <c r="G12" s="39" t="str">
        <f>IF(AND(Exclude_MI&lt;&gt;"Only MI",Dust_Deflagration="Yes"),"X","")</f>
        <v/>
      </c>
      <c r="H12" s="34"/>
      <c r="I12" s="39" t="str">
        <f>IF(AND(Exclude_MI&lt;&gt;"Only MI",Dust_Deflagration="Yes"),"X","")</f>
        <v/>
      </c>
      <c r="J12" s="39" t="str">
        <f>IF(AND(Exclude_MI&lt;&gt;"Only MI",Dust_Deflagration="Yes"),"X","")</f>
        <v/>
      </c>
      <c r="K12" s="39" t="str">
        <f>IF(AND(Exclude_MI&lt;&gt;"Only MI",HeadSpace_Deflag_Potential="Yes"),"X","")</f>
        <v/>
      </c>
      <c r="L12" s="39" t="str">
        <f>IF(AND(Exclude_MI&lt;&gt;"Only MI",HeadSpace_Deflag_Potential="Yes"),"X","")</f>
        <v/>
      </c>
      <c r="M12" s="39" t="str">
        <f>IF(AND(Exclude_MI&lt;&gt;"Only MI",HeadSpace_Deflag_Potential="Yes"),"X","")</f>
        <v/>
      </c>
      <c r="N12" s="39" t="str">
        <f>IF(AND(Exclude_MI&lt;&gt;"Only MI",Dust_Deflagration="Yes"),"X","")</f>
        <v/>
      </c>
      <c r="O12" s="39" t="str">
        <f>IF(AND(Exclude_MI&lt;&gt;"Only MI",Dust_Deflagration="Yes"),"X","")</f>
        <v/>
      </c>
      <c r="P12" s="39" t="str">
        <f>IF(AND(Exclude_MI&lt;&gt;"Only MI",Dust_Deflagration="Yes"),"X","")</f>
        <v/>
      </c>
      <c r="Q12" s="34"/>
      <c r="R12" s="39" t="str">
        <f>IF(AND(Exclude_MI&lt;&gt;"Only MI",HeadSpace_Deflag_Potential="Yes"),"X","")</f>
        <v/>
      </c>
      <c r="S12" s="34"/>
      <c r="T12" s="34"/>
      <c r="U12" s="34"/>
      <c r="V12" s="34"/>
      <c r="W12" s="34"/>
      <c r="X12" s="34"/>
      <c r="Y12" s="39" t="str">
        <f>IF(AND(Exclude_MI&lt;&gt;"Only MI",State="Liquid",Fill&lt;&gt;"",Fill&lt;Fill_Max_Limit),"X","")</f>
        <v/>
      </c>
      <c r="Z12" s="39" t="str">
        <f>IF(AND(Exclude_MI&lt;&gt;"Only MI",Dust_Deflagration="Yes"),"X","")</f>
        <v/>
      </c>
      <c r="AA12" s="39" t="str">
        <f>IF(AND(Exclude_MI&lt;&gt;"Only MI",Dust_Deflagration="Yes"),"X","")</f>
        <v/>
      </c>
      <c r="AB12" s="34"/>
      <c r="AC12" s="34"/>
      <c r="AD12" s="39" t="str">
        <f>IF(AND(Exclude_MI&lt;&gt;"Only MI",Dust_Deflagration="Yes"),"X","")</f>
        <v/>
      </c>
      <c r="AE12" s="39" t="str">
        <f>IF(AND(Exclude_MI&lt;&gt;"Only MI",HeadSpace_Deflag_Potential="Yes"),"X","")</f>
        <v/>
      </c>
      <c r="AF12" s="39" t="str">
        <f>IF(AND(Exclude_MI&lt;&gt;"Only MI",HeadSpace_Deflag_Potential="Yes"),"X","")</f>
        <v/>
      </c>
      <c r="AG12" s="2048"/>
      <c r="AH12" s="39" t="str">
        <f>IF(AND(Exclude_MI&lt;&gt;"Only MI",HeadSpace_Deflag_Potential="Yes"),"X","")</f>
        <v/>
      </c>
      <c r="AI12" s="34"/>
      <c r="AJ12" s="35"/>
      <c r="AK12" s="459" t="s">
        <v>1742</v>
      </c>
      <c r="AL12" s="459" t="str">
        <f>IF(AND(OR(Dust_Hybrid_Feed="Yes",Dust_MIE_Feed&lt;Dust_Low_MIE),Equipment="Bag/Pak Dumping (Solids)"),"X","")</f>
        <v/>
      </c>
      <c r="AM12" s="39" t="str">
        <f>IF(OR(Overflow_Location="Floating Roof Tank",AND(State="Solid",Equipment&lt;&gt;"Bag/Pak Dumping (Solids)"),AND(Feedrate&gt;0,OR(Equipment="Drum/IBC Handling",Equipment="Tank Truck/Rail Car/Tote"))),"X","")</f>
        <v/>
      </c>
      <c r="AN12" s="34"/>
      <c r="AO12" s="34"/>
      <c r="AP12" s="34"/>
      <c r="AQ12" s="739"/>
      <c r="AR12" s="34"/>
      <c r="AS12" s="1000"/>
      <c r="AT12" s="34"/>
      <c r="AU12" s="34"/>
      <c r="AV12" s="34"/>
      <c r="AW12" s="34"/>
      <c r="AX12" s="34"/>
      <c r="AY12" s="34"/>
      <c r="AZ12" s="34"/>
      <c r="BA12" s="34"/>
      <c r="BB12" s="34"/>
      <c r="BC12" s="34"/>
      <c r="BD12" s="34"/>
      <c r="BE12" s="34"/>
      <c r="BF12" s="34"/>
      <c r="BG12" s="34"/>
      <c r="BH12" s="34"/>
      <c r="BI12" s="35"/>
      <c r="BJ12" s="34"/>
      <c r="BK12" s="34"/>
      <c r="BL12" s="1853"/>
      <c r="BM12" s="39" t="str">
        <f>IF(AND(Reactive_Only&lt;&gt;"Yes",State="Liquid",Psat&lt;UFL_Fraction_Limit,Peak_Deflag&gt;Failure_Gasket*MAWP,Peak_Deflag&lt;=Burst_P),"X","")</f>
        <v/>
      </c>
      <c r="BN12" s="34"/>
      <c r="BO12" s="3178"/>
      <c r="BP12" s="3178"/>
      <c r="BQ12" s="34"/>
      <c r="BR12" s="34"/>
      <c r="BS12" s="34"/>
      <c r="BT12" s="34"/>
      <c r="BU12" s="1853"/>
      <c r="BV12" s="1853"/>
      <c r="BW12" s="34"/>
      <c r="BX12" s="34"/>
      <c r="BY12" s="34"/>
      <c r="BZ12" s="34"/>
      <c r="CA12" s="34"/>
      <c r="CB12" s="34"/>
      <c r="CC12" s="34"/>
      <c r="CD12" s="34"/>
      <c r="CE12" s="34"/>
      <c r="CF12" s="34"/>
      <c r="CG12" s="34"/>
      <c r="CH12" s="34"/>
      <c r="CI12" s="34"/>
      <c r="CJ12" s="34"/>
      <c r="CK12" s="34"/>
      <c r="CL12" s="1035"/>
      <c r="CM12" s="739"/>
      <c r="CN12" s="739"/>
      <c r="CO12" s="34"/>
      <c r="CP12" s="34"/>
      <c r="CQ12" s="34"/>
      <c r="CR12" s="34"/>
      <c r="CS12" s="34"/>
      <c r="CT12" s="34"/>
      <c r="CU12" s="34"/>
      <c r="CV12" s="781"/>
      <c r="CW12" s="34"/>
      <c r="CX12" s="34"/>
      <c r="CY12" s="34"/>
      <c r="CZ12" s="34"/>
      <c r="DA12" s="34"/>
      <c r="DB12" s="39" t="str">
        <f>IF(AND(Reactive_Only&lt;&gt;"Yes",State="Solid",OR(Dust_Deflagration="Yes",Psat&lt;UFL_Fraction_Limit),Peak_Deflag&gt;MAWP,Peak_Deflag&lt;=Burst_P),"X","")</f>
        <v/>
      </c>
      <c r="DC12" s="34"/>
      <c r="DD12" s="34"/>
      <c r="DE12" s="34"/>
      <c r="DF12" s="499"/>
      <c r="DG12" s="34"/>
      <c r="DH12" s="39" t="str">
        <f>IF(AND(Reactive_Only&lt;&gt;"Yes",OR(Dust_Deflagration="Yes",Psat&lt;UFL_Fraction_Limit),Peak_Deflag&gt;Burst_P),"X","")</f>
        <v>X</v>
      </c>
      <c r="DI12" s="34"/>
      <c r="DJ12" s="34"/>
      <c r="DL12" s="34"/>
      <c r="DM12" s="34"/>
      <c r="DN12" s="1700"/>
      <c r="DO12" s="34"/>
      <c r="DP12" s="34"/>
      <c r="DQ12" s="34"/>
      <c r="DT12" s="3089" t="str">
        <f t="shared" si="5"/>
        <v/>
      </c>
      <c r="DV12" s="39" t="s">
        <v>514</v>
      </c>
      <c r="DW12" s="35"/>
      <c r="DX12" s="4" t="e">
        <f>LEFT(INDEX('Scenario Analysis'!GR$5:GR$47,MATCH("X",BJ12:CZ12,0)),LEN(INDEX('Scenario Analysis'!GR$5:GR$47,MATCH("X",BJ12:CZ12,0)))-2)</f>
        <v>#N/A</v>
      </c>
      <c r="DY12" s="4" t="e">
        <f>LEFT(INDEX('Scenario Analysis'!GR$49:GR$56,MATCH("X",DB12:DI12,0)),LEN(INDEX('Scenario Analysis'!GR$49:GR$56,MATCH("X",DB12:DI12,0)))-2)</f>
        <v>#VALUE!</v>
      </c>
      <c r="DZ12" s="39" t="str">
        <f t="shared" si="6"/>
        <v>Consequence Does Not Exceed Threshold Criteria for Continuing with LOPA</v>
      </c>
      <c r="EB12" s="39" t="e">
        <f>IF(INDEX($E$6:$AI$63,ROW(E12:AI$63)-5,MATCH(Equipment,Equipment_Type,0))="X",IF(DZ12&lt;&gt;"Consequence Does Not Exceed Threshold Criteria for Continuing with LOPA","Included","Excluded"),"")</f>
        <v>#N/A</v>
      </c>
      <c r="ED12" s="2906" t="str">
        <f>IF('Workbook Notes'!D61&lt;&gt;"",CHAR(7)&amp;'Workbook Notes'!D61,"")</f>
        <v/>
      </c>
      <c r="EE12" s="2930"/>
      <c r="EF12" s="2930" t="str">
        <f t="shared" si="1"/>
        <v>Ignitable Headspace</v>
      </c>
      <c r="EG12" s="2943"/>
      <c r="EH12" s="2943"/>
      <c r="EI12" s="2943"/>
      <c r="EK12" s="2907" t="str">
        <f ca="1">IF(ISTEXT(VLOOKUP(C12,INDIRECT("'Scenario List'!A11"):INDIRECT("'Scenario List'!V60"),20,FALSE))=TRUE,VLOOKUP(C12,INDIRECT("'Scenario List'!A11"):INDIRECT("'Scenario List'!V60"),20,FALSE),"")</f>
        <v/>
      </c>
      <c r="EL12" s="2907" t="str">
        <f ca="1">IF(ISTEXT(VLOOKUP(C12,INDIRECT("'Scenario List'!A11"):INDIRECT("'Scenario List'!V60"),21,FALSE))=TRUE,VLOOKUP(C12,INDIRECT("'Scenario List'!A11"):INDIRECT("'Scenario List'!V60"),21,FALSE),"")</f>
        <v/>
      </c>
      <c r="EM12" s="2907" t="str">
        <f ca="1">IF(ISTEXT(VLOOKUP(C12,INDIRECT("'Scenario List'!A11"):INDIRECT("'Scenario List'!V60"),22,FALSE))=TRUE,VLOOKUP(C12,INDIRECT("'Scenario List'!A11"):INDIRECT("'Scenario List'!V60"),22,FALSE),"")</f>
        <v/>
      </c>
      <c r="EO12" s="2907" t="str">
        <f ca="1">IF(INDIRECT("'Scenario List'!A17")="","",INDIRECT("'Scenario List'!A17"))</f>
        <v/>
      </c>
      <c r="EP12" s="2907" t="str">
        <f t="shared" ca="1" si="2"/>
        <v/>
      </c>
      <c r="EQ12" s="2907" t="str">
        <f t="shared" ca="1" si="3"/>
        <v/>
      </c>
      <c r="ER12" s="2907" t="str">
        <f t="shared" ca="1" si="4"/>
        <v/>
      </c>
    </row>
    <row r="13" spans="3:148" x14ac:dyDescent="0.25">
      <c r="C13" s="39" t="s">
        <v>26</v>
      </c>
      <c r="D13" s="35"/>
      <c r="E13" s="39" t="str">
        <f>IF(Exclude_MI&lt;&gt;"Only MI","X","")</f>
        <v>X</v>
      </c>
      <c r="F13" s="34"/>
      <c r="G13" s="34"/>
      <c r="H13" s="34"/>
      <c r="I13" s="34"/>
      <c r="J13" s="34"/>
      <c r="K13" s="39" t="str">
        <f>IF(Exclude_MI&lt;&gt;"Only MI","X","")</f>
        <v>X</v>
      </c>
      <c r="L13" s="39" t="str">
        <f>IF(Exclude_MI&lt;&gt;"Only MI","X","")</f>
        <v>X</v>
      </c>
      <c r="M13" s="34"/>
      <c r="N13" s="34"/>
      <c r="O13" s="34"/>
      <c r="P13" s="34"/>
      <c r="Q13" s="39" t="str">
        <f>IF(Exclude_MI&lt;&gt;"Only MI","X","")</f>
        <v>X</v>
      </c>
      <c r="R13" s="34"/>
      <c r="S13" s="34"/>
      <c r="T13" s="34"/>
      <c r="U13" s="34"/>
      <c r="V13" s="34"/>
      <c r="W13" s="34"/>
      <c r="X13" s="39" t="str">
        <f>IF(Exclude_MI&lt;&gt;"Only MI","X","")</f>
        <v>X</v>
      </c>
      <c r="Y13" s="39" t="str">
        <f>IF(Exclude_MI&lt;&gt;"Only MI","X","")</f>
        <v>X</v>
      </c>
      <c r="Z13" s="34"/>
      <c r="AA13" s="34"/>
      <c r="AB13" s="34"/>
      <c r="AC13" s="34"/>
      <c r="AD13" s="34"/>
      <c r="AE13" s="39" t="str">
        <f>IF(Exclude_MI&lt;&gt;"Only MI","X","")</f>
        <v>X</v>
      </c>
      <c r="AF13" s="39" t="str">
        <f>IF(Exclude_MI&lt;&gt;"Only MI","X","")</f>
        <v>X</v>
      </c>
      <c r="AG13" s="2048"/>
      <c r="AH13" s="39" t="str">
        <f>IF(Exclude_MI&lt;&gt;"Only MI","X","")</f>
        <v>X</v>
      </c>
      <c r="AI13" s="34"/>
      <c r="AJ13" s="35"/>
      <c r="AK13" s="459" t="s">
        <v>1742</v>
      </c>
      <c r="AL13" s="34"/>
      <c r="AM13" s="34"/>
      <c r="AN13" s="34"/>
      <c r="AO13" s="34"/>
      <c r="AP13" s="34"/>
      <c r="AQ13" s="739"/>
      <c r="AR13" s="34"/>
      <c r="AS13" s="1000"/>
      <c r="AT13" s="34"/>
      <c r="AU13" s="34"/>
      <c r="AV13" s="34"/>
      <c r="AW13" s="34"/>
      <c r="AX13" s="34"/>
      <c r="AY13" s="34"/>
      <c r="AZ13" s="34"/>
      <c r="BA13" s="34"/>
      <c r="BB13" s="34"/>
      <c r="BC13" s="34"/>
      <c r="BD13" s="34"/>
      <c r="BE13" s="34"/>
      <c r="BF13" s="34"/>
      <c r="BG13" s="34"/>
      <c r="BH13" s="34"/>
      <c r="BI13" s="35"/>
      <c r="BJ13" s="34"/>
      <c r="BK13" s="34"/>
      <c r="BL13" s="1853"/>
      <c r="BM13" s="34"/>
      <c r="BN13" s="34"/>
      <c r="BO13" s="3178"/>
      <c r="BP13" s="3178"/>
      <c r="BQ13" s="34"/>
      <c r="BR13" s="34"/>
      <c r="BS13" s="34"/>
      <c r="BT13" s="34"/>
      <c r="BU13" s="1853"/>
      <c r="BV13" s="1853"/>
      <c r="BW13" s="34"/>
      <c r="BX13" s="34"/>
      <c r="BY13" s="34"/>
      <c r="BZ13" s="34"/>
      <c r="CA13" s="34"/>
      <c r="CB13" s="34"/>
      <c r="CC13" s="34"/>
      <c r="CD13" s="34"/>
      <c r="CE13" s="34"/>
      <c r="CF13" s="1476"/>
      <c r="CG13" s="34"/>
      <c r="CH13" s="34"/>
      <c r="CI13" s="34"/>
      <c r="CJ13" s="34"/>
      <c r="CK13" s="34"/>
      <c r="CL13" s="1035"/>
      <c r="CM13" s="739"/>
      <c r="CN13" s="739"/>
      <c r="CO13" s="34"/>
      <c r="CP13" s="34"/>
      <c r="CQ13" s="34"/>
      <c r="CR13" s="34"/>
      <c r="CS13" s="39" t="e">
        <f>IF(AND(Reactive_Only&lt;&gt;"Yes",OR(Equipment="Fired Equipment - Process Heater",AND(Reaction_withExtHeat&lt;&gt;"Yes",Relief_HtTrans="Yes"))),"X","")</f>
        <v>#DIV/0!</v>
      </c>
      <c r="CT13" s="34"/>
      <c r="CU13" s="34"/>
      <c r="CV13" s="781"/>
      <c r="CW13" s="34"/>
      <c r="CX13" s="34"/>
      <c r="CY13" s="34"/>
      <c r="CZ13" s="34"/>
      <c r="DA13" s="34"/>
      <c r="DB13" s="34"/>
      <c r="DC13" s="2039" t="str">
        <f>IF(AND(Reactive_Only&lt;&gt;"Yes",Heating_T&gt;Failure_T,Pmax_HtTrans&lt;Burst_P+1),"X","")</f>
        <v/>
      </c>
      <c r="DD13" s="34"/>
      <c r="DE13" s="39" t="e">
        <f>IF(Reactive_Only="Yes","",IF(AND(Equipment&lt;&gt;"Fired Equipment - Process Heater",Reaction_withExtHeat&lt;&gt;"Yes",State="Liquid",MAX(PVap,P_atHeatMedia)&gt;Burst_P+1),"X",""))</f>
        <v>#DIV/0!</v>
      </c>
      <c r="DF13" s="500" t="e">
        <f>IF(Reactive_Only="Yes","",IF(AND(Equipment&lt;&gt;"Fired Equipment - Process Heater",Reaction_withExtHeat&lt;&gt;"Yes",Pmax_HtTrans&gt;Burst_P+1,IF(State="Liquid",MAX(P_atHeatMedia,PVap),0)&lt;=Burst_P+1),"X",""))</f>
        <v>#DIV/0!</v>
      </c>
      <c r="DG13" s="39" t="str">
        <f>IF(Equipment="Fired Equipment - Process Heater","X","")</f>
        <v/>
      </c>
      <c r="DH13" s="34"/>
      <c r="DI13" s="34"/>
      <c r="DJ13" s="34"/>
      <c r="DL13" s="34"/>
      <c r="DM13" s="39" t="str">
        <f>IF(AND(Feed_Type&lt;&gt;"Continuous",'Special Calcs'!G151&lt;'Special Calcs'!G149),sig('Special Calcs'!G152,2,10,1)&amp;" "&amp;'Special Calcs'!H152,sig('Special Calcs'!G150,2,10,1)&amp;" "&amp;'Special Calcs'!H150)</f>
        <v>0 sec</v>
      </c>
      <c r="DN13" s="1701"/>
      <c r="DO13" s="34"/>
      <c r="DP13" s="34"/>
      <c r="DQ13" s="34"/>
      <c r="DT13" s="3089" t="str">
        <f t="shared" si="5"/>
        <v/>
      </c>
      <c r="DV13" s="39" t="s">
        <v>942</v>
      </c>
      <c r="DW13" s="35"/>
      <c r="DX13" s="4" t="e">
        <f>LEFT(INDEX('Scenario Analysis'!GR$5:GR$47,MATCH("X",BJ13:CZ13,0)),LEN(INDEX('Scenario Analysis'!GR$5:GR$47,MATCH("X",BJ13:CZ13,0)))-2)</f>
        <v>#N/A</v>
      </c>
      <c r="DY13" s="4" t="e">
        <f>LEFT(INDEX('Scenario Analysis'!GR$49:GR$56,MATCH("X",DB13:DI13,0)),LEN(INDEX('Scenario Analysis'!GR$49:GR$56,MATCH("X",DB13:DI13,0)))-2)</f>
        <v>#N/A</v>
      </c>
      <c r="DZ13" s="39" t="str">
        <f t="shared" si="6"/>
        <v>Consequence Does Not Exceed Threshold Criteria for Continuing with LOPA</v>
      </c>
      <c r="EB13" s="39" t="e">
        <f>IF(INDEX($E$6:$AI$63,ROW(E13:AI$63)-5,MATCH(Equipment,Equipment_Type,0))="X",IF(DZ13&lt;&gt;"Consequence Does Not Exceed Threshold Criteria for Continuing with LOPA","Included","Excluded"),"")</f>
        <v>#N/A</v>
      </c>
      <c r="ED13" s="2906" t="str">
        <f>CHAR(7)&amp;IPLD_Gen_10&amp;CHAR(10)&amp;IF('Workbook Notes'!D62&lt;&gt;"",CHAR(7)&amp;'Workbook Notes'!D62,"")</f>
        <v xml:space="preserve">_x0007_High Temperature Closes Heating Media Valve
</v>
      </c>
      <c r="EE13" s="2930"/>
      <c r="EF13" s="2930" t="str">
        <f t="shared" si="1"/>
        <v>Excessive Heat Input - Heat Transfer</v>
      </c>
      <c r="EG13" s="2943"/>
      <c r="EH13" s="2943"/>
      <c r="EI13" s="2943"/>
      <c r="EK13" s="2907" t="str">
        <f ca="1">IF(ISTEXT(VLOOKUP(C13,INDIRECT("'Scenario List'!A11"):INDIRECT("'Scenario List'!V60"),20,FALSE))=TRUE,VLOOKUP(C13,INDIRECT("'Scenario List'!A11"):INDIRECT("'Scenario List'!V60"),20,FALSE),"")</f>
        <v/>
      </c>
      <c r="EL13" s="2907" t="str">
        <f ca="1">IF(ISTEXT(VLOOKUP(C13,INDIRECT("'Scenario List'!A11"):INDIRECT("'Scenario List'!V60"),21,FALSE))=TRUE,VLOOKUP(C13,INDIRECT("'Scenario List'!A11"):INDIRECT("'Scenario List'!V60"),21,FALSE),"")</f>
        <v/>
      </c>
      <c r="EM13" s="2907" t="str">
        <f ca="1">IF(ISTEXT(VLOOKUP(C13,INDIRECT("'Scenario List'!A11"):INDIRECT("'Scenario List'!V60"),22,FALSE))=TRUE,VLOOKUP(C13,INDIRECT("'Scenario List'!A11"):INDIRECT("'Scenario List'!V60"),22,FALSE),"")</f>
        <v/>
      </c>
      <c r="EO13" s="2907" t="str">
        <f ca="1">IF(INDIRECT("'Scenario List'!A18")="","",INDIRECT("'Scenario List'!A18"))</f>
        <v/>
      </c>
      <c r="EP13" s="2907" t="str">
        <f t="shared" ca="1" si="2"/>
        <v/>
      </c>
      <c r="EQ13" s="2907" t="str">
        <f t="shared" ca="1" si="3"/>
        <v/>
      </c>
      <c r="ER13" s="2907" t="str">
        <f t="shared" ca="1" si="4"/>
        <v/>
      </c>
    </row>
    <row r="14" spans="3:148" x14ac:dyDescent="0.25">
      <c r="C14" s="39" t="s">
        <v>1904</v>
      </c>
      <c r="D14" s="35"/>
      <c r="E14" s="39" t="str">
        <f>IF(AND(Exclude_MI&lt;&gt;"Only MI",Motor&gt;0),"X","")</f>
        <v/>
      </c>
      <c r="F14" s="34"/>
      <c r="G14" s="39" t="str">
        <f>IF(Exclude_MI&lt;&gt;"Only MI","X","")</f>
        <v>X</v>
      </c>
      <c r="H14" s="34"/>
      <c r="I14" s="39" t="str">
        <f>IF(Exclude_MI&lt;&gt;"Only MI","X","")</f>
        <v>X</v>
      </c>
      <c r="J14" s="34"/>
      <c r="K14" s="39" t="str">
        <f>IF(AND(Exclude_MI&lt;&gt;"Only MI",Motor&gt;0),"X","")</f>
        <v/>
      </c>
      <c r="L14" s="34"/>
      <c r="M14" s="34"/>
      <c r="N14" s="39" t="str">
        <f>IF(Exclude_MI&lt;&gt;"Only MI","X","")</f>
        <v>X</v>
      </c>
      <c r="O14" s="34"/>
      <c r="P14" s="34"/>
      <c r="Q14" s="39" t="str">
        <f>IF(AND(Exclude_MI&lt;&gt;"Only MI",Motor&gt;0),"X","")</f>
        <v/>
      </c>
      <c r="R14" s="34"/>
      <c r="S14" s="34"/>
      <c r="T14" s="34"/>
      <c r="U14" s="34"/>
      <c r="V14" s="34"/>
      <c r="W14" s="34"/>
      <c r="X14" s="34"/>
      <c r="Y14" s="39" t="str">
        <f>IF(AND(Exclude_MI&lt;&gt;"Only MI",Motor&gt;0),"X","")</f>
        <v/>
      </c>
      <c r="Z14" s="34"/>
      <c r="AA14" s="39" t="str">
        <f>IF(Exclude_MI&lt;&gt;"Only MI","X","")</f>
        <v>X</v>
      </c>
      <c r="AB14" s="34"/>
      <c r="AC14" s="34"/>
      <c r="AD14" s="34"/>
      <c r="AE14" s="39" t="str">
        <f>IF(AND(Exclude_MI&lt;&gt;"Only MI",Motor&gt;0),"X","")</f>
        <v/>
      </c>
      <c r="AF14" s="39" t="str">
        <f>IF(AND(Exclude_MI&lt;&gt;"Only MI",Motor&gt;0),"X","")</f>
        <v/>
      </c>
      <c r="AG14" s="2048"/>
      <c r="AH14" s="39" t="str">
        <f>IF(AND(Exclude_MI&lt;&gt;"Only MI",Motor&gt;0),"X","")</f>
        <v/>
      </c>
      <c r="AI14" s="34"/>
      <c r="AJ14" s="35"/>
      <c r="AK14" s="459" t="str">
        <f>IF(Equipment="Heat Exchanger","X","")</f>
        <v/>
      </c>
      <c r="AL14" s="34"/>
      <c r="AM14" s="2395"/>
      <c r="AN14" s="459" t="str">
        <f>IF(AND(State&lt;&gt;"Solid",Equipment&lt;&gt;"Heat Exchanger"),"X","")</f>
        <v>X</v>
      </c>
      <c r="AO14" s="34"/>
      <c r="AP14" s="34"/>
      <c r="AQ14" s="739"/>
      <c r="AR14" s="34"/>
      <c r="AS14" s="1000"/>
      <c r="AT14" s="34"/>
      <c r="AU14" s="34"/>
      <c r="AV14" s="34"/>
      <c r="AW14" s="34"/>
      <c r="AX14" s="34"/>
      <c r="AY14" s="34"/>
      <c r="AZ14" s="34"/>
      <c r="BA14" s="34"/>
      <c r="BB14" s="34"/>
      <c r="BC14" s="34"/>
      <c r="BD14" s="34"/>
      <c r="BE14" s="34"/>
      <c r="BF14" s="34"/>
      <c r="BG14" s="34"/>
      <c r="BH14" s="34"/>
      <c r="BI14" s="35"/>
      <c r="BJ14" s="34"/>
      <c r="BK14" s="34"/>
      <c r="BL14" s="1853"/>
      <c r="BM14" s="34"/>
      <c r="BN14" s="34"/>
      <c r="BO14" s="3178"/>
      <c r="BP14" s="3178"/>
      <c r="BQ14" s="34"/>
      <c r="BR14" s="34"/>
      <c r="BS14" s="34"/>
      <c r="BT14" s="34"/>
      <c r="BU14" s="1853"/>
      <c r="BV14" s="1853"/>
      <c r="BW14" s="34"/>
      <c r="BX14" s="34"/>
      <c r="BY14" s="34"/>
      <c r="BZ14" s="34"/>
      <c r="CA14" s="34"/>
      <c r="CB14" s="34"/>
      <c r="CC14" s="34"/>
      <c r="CD14" s="34"/>
      <c r="CE14" s="34"/>
      <c r="CF14" s="1476"/>
      <c r="CG14" s="34"/>
      <c r="CH14" s="34"/>
      <c r="CI14" s="34"/>
      <c r="CJ14" s="34"/>
      <c r="CK14" s="34"/>
      <c r="CL14" s="1035"/>
      <c r="CM14" s="739"/>
      <c r="CN14" s="739"/>
      <c r="CO14" s="34"/>
      <c r="CP14" s="34"/>
      <c r="CQ14" s="34"/>
      <c r="CR14" s="34"/>
      <c r="CS14" s="34"/>
      <c r="CT14" s="39" t="e">
        <f>IF(AND(Reactive_Only&lt;&gt;"Yes",Reaction_withExtHeat&lt;&gt;"Yes",Relief_MechEng="Yes",State&lt;&gt;"Solid"),"X","")</f>
        <v>#DIV/0!</v>
      </c>
      <c r="CU14" s="34"/>
      <c r="CV14" s="781"/>
      <c r="CW14" s="34"/>
      <c r="CX14" s="34"/>
      <c r="CY14" s="34"/>
      <c r="CZ14" s="34"/>
      <c r="DA14" s="34"/>
      <c r="DB14" s="34"/>
      <c r="DC14" s="2039" t="str">
        <f>IF(AND(Reactive_Only&lt;&gt;"Yes",Tmax_MechEng&gt;Failure_T,Pmax_MechEng&lt;Burst_P+1,State&lt;&gt;"Solid"),"X","")</f>
        <v/>
      </c>
      <c r="DD14" s="34"/>
      <c r="DE14" s="39" t="e">
        <f>IF(AND(Reactive_Only&lt;&gt;"Yes",Reaction_withExtHeat&lt;&gt;"Yes",State="Liquid",P_atMechEng&gt;Burst_P+1,Equipment&lt;&gt;"Conveyor-Mechanical (Solids)"),"X","")</f>
        <v>#DIV/0!</v>
      </c>
      <c r="DF14" s="500" t="e">
        <f>IF(AND(Reactive_Only&lt;&gt;"Yes",Reaction_withExtHeat&lt;&gt;"Yes",Pmax_MechEng&gt;Burst_P+1,P_atMechEng&lt;=Burst_P+1,State&lt;&gt;"Solid"),"X","")</f>
        <v>#DIV/0!</v>
      </c>
      <c r="DG14" s="34"/>
      <c r="DH14" s="39" t="str">
        <f>IF(State="Solid","X","")</f>
        <v/>
      </c>
      <c r="DI14" s="34"/>
      <c r="DJ14" s="34"/>
      <c r="DL14" s="34"/>
      <c r="DM14" s="39" t="str">
        <f>IF(AND(Feed_Type&lt;&gt;"Continuous",OR('Special Calcs'!G131&lt;'Special Calcs'!G138,'Special Calcs'!G138=0)),sig('Special Calcs'!G132,2,10,1)&amp;" "&amp;'Special Calcs'!H132,IF('Special Calcs'!G139=0,"",sig('Special Calcs'!G139,2,10,1)&amp;" "&amp;'Special Calcs'!H139))</f>
        <v>0 sec</v>
      </c>
      <c r="DN14" s="1701"/>
      <c r="DO14" s="34"/>
      <c r="DP14" s="34"/>
      <c r="DQ14" s="34"/>
      <c r="DT14" s="3089" t="str">
        <f t="shared" si="5"/>
        <v/>
      </c>
      <c r="DV14" s="39" t="str">
        <f>IF(OR(Equipment="Conveyor-Mechanical (Solids)",Equipment="Dryer-Mechanical (Solids)"),"Temperature=High","Pressure-High")</f>
        <v>Pressure-High</v>
      </c>
      <c r="DW14" s="35"/>
      <c r="DX14" s="4" t="e">
        <f>LEFT(INDEX('Scenario Analysis'!GR$5:GR$47,MATCH("X",BJ14:CZ14,0)),LEN(INDEX('Scenario Analysis'!GR$5:GR$47,MATCH("X",BJ14:CZ14,0)))-2)</f>
        <v>#N/A</v>
      </c>
      <c r="DY14" s="4" t="e">
        <f>LEFT(INDEX('Scenario Analysis'!GR$49:GR$56,MATCH("X",DB14:DI14,0)),LEN(INDEX('Scenario Analysis'!GR$49:GR$56,MATCH("X",DB14:DI14,0)))-2)</f>
        <v>#N/A</v>
      </c>
      <c r="DZ14" s="39" t="str">
        <f t="shared" si="6"/>
        <v>Consequence Does Not Exceed Threshold Criteria for Continuing with LOPA</v>
      </c>
      <c r="EB14" s="39" t="e">
        <f>IF(INDEX($E$6:$AI$63,ROW(E14:AI$63)-5,MATCH(Equipment,Equipment_Type,0))="X",IF(DZ14&lt;&gt;"Consequence Does Not Exceed Threshold Criteria for Continuing with LOPA","Included","Excluded"),"")</f>
        <v>#N/A</v>
      </c>
      <c r="ED14" s="2906" t="str">
        <f>CHAR(7)&amp;IPLD_Gen_20&amp;CHAR(10)&amp;IF('Workbook Notes'!D63&lt;&gt;"",CHAR(7)&amp;'Workbook Notes'!D63,"")</f>
        <v xml:space="preserve">_x0007_High Temperature Alarm with Operator Response to Turn Off Heat Sources
</v>
      </c>
      <c r="EE14" s="2930"/>
      <c r="EF14" s="2930" t="str">
        <f t="shared" si="1"/>
        <v>Excessive Heat Input - Mechanical</v>
      </c>
      <c r="EG14" s="3302"/>
      <c r="EH14" s="2943"/>
      <c r="EI14" s="2943"/>
      <c r="EK14" s="2907" t="str">
        <f ca="1">IF(ISTEXT(VLOOKUP(C14,INDIRECT("'Scenario List'!A11"):INDIRECT("'Scenario List'!V60"),20,FALSE))=TRUE,VLOOKUP(C14,INDIRECT("'Scenario List'!A11"):INDIRECT("'Scenario List'!V60"),20,FALSE),"")</f>
        <v/>
      </c>
      <c r="EL14" s="2907" t="str">
        <f ca="1">IF(ISTEXT(VLOOKUP(C14,INDIRECT("'Scenario List'!A11"):INDIRECT("'Scenario List'!V60"),21,FALSE))=TRUE,VLOOKUP(C14,INDIRECT("'Scenario List'!A11"):INDIRECT("'Scenario List'!V60"),21,FALSE),"")</f>
        <v/>
      </c>
      <c r="EM14" s="2907" t="str">
        <f ca="1">IF(ISTEXT(VLOOKUP(C14,INDIRECT("'Scenario List'!A11"):INDIRECT("'Scenario List'!V60"),22,FALSE))=TRUE,VLOOKUP(C14,INDIRECT("'Scenario List'!A11"):INDIRECT("'Scenario List'!V60"),22,FALSE),"")</f>
        <v/>
      </c>
      <c r="EO14" s="2907" t="str">
        <f ca="1">IF(INDIRECT("'Scenario List'!A19")="","",INDIRECT("'Scenario List'!A19"))</f>
        <v/>
      </c>
      <c r="EP14" s="2907" t="str">
        <f t="shared" ca="1" si="2"/>
        <v/>
      </c>
      <c r="EQ14" s="2907" t="str">
        <f t="shared" ca="1" si="3"/>
        <v/>
      </c>
      <c r="ER14" s="2907" t="str">
        <f t="shared" ca="1" si="4"/>
        <v/>
      </c>
    </row>
    <row r="15" spans="3:148" x14ac:dyDescent="0.25">
      <c r="C15" s="39" t="s">
        <v>1263</v>
      </c>
      <c r="D15" s="35"/>
      <c r="E15" s="225" t="str">
        <f>IF(AND(Exclude_MI&lt;&gt;"Only MI",Fire_Potential="Yes",State="Liquid"),"X","")</f>
        <v/>
      </c>
      <c r="F15" s="34"/>
      <c r="G15" s="34"/>
      <c r="H15" s="34"/>
      <c r="I15" s="34"/>
      <c r="J15" s="34"/>
      <c r="K15" s="225" t="str">
        <f>IF(AND(Exclude_MI&lt;&gt;"Only MI",Fire_Potential="Yes",State="Liquid"),"X","")</f>
        <v/>
      </c>
      <c r="L15" s="34"/>
      <c r="M15" s="34"/>
      <c r="N15" s="34"/>
      <c r="O15" s="34"/>
      <c r="P15" s="34"/>
      <c r="Q15" s="225" t="str">
        <f>IF(AND(Exclude_MI&lt;&gt;"Only MI",Fire_Potential="Yes",State="Liquid"),"X","")</f>
        <v/>
      </c>
      <c r="R15" s="225" t="str">
        <f>IF(AND(Exclude_MI&lt;&gt;"Only MI",Fire_Potential="Yes",State="Liquid"),"X","")</f>
        <v/>
      </c>
      <c r="S15" s="34"/>
      <c r="T15" s="34"/>
      <c r="U15" s="34"/>
      <c r="V15" s="34"/>
      <c r="W15" s="34"/>
      <c r="X15" s="34"/>
      <c r="Y15" s="225" t="str">
        <f>IF(AND(Exclude_MI&lt;&gt;"Only MI",Fire_Potential="Yes",State="Liquid"),"X","")</f>
        <v/>
      </c>
      <c r="Z15" s="34"/>
      <c r="AA15" s="34"/>
      <c r="AB15" s="34"/>
      <c r="AC15" s="34"/>
      <c r="AD15" s="34"/>
      <c r="AE15" s="225" t="str">
        <f>IF(AND(Exclude_MI&lt;&gt;"Only MI",Fire_Potential="Yes",State="Liquid"),"X","")</f>
        <v/>
      </c>
      <c r="AF15" s="225" t="str">
        <f>IF(AND(Exclude_MI&lt;&gt;"Only MI",Fire_Potential="Yes",State="Liquid"),"X","")</f>
        <v/>
      </c>
      <c r="AG15" s="2048"/>
      <c r="AH15" s="225" t="str">
        <f>IF(AND(Exclude_MI&lt;&gt;"Only MI",Fire_Potential="Yes",State="Liquid"),"X","")</f>
        <v/>
      </c>
      <c r="AI15" s="34"/>
      <c r="AJ15" s="35"/>
      <c r="AK15" s="34"/>
      <c r="AL15" s="34"/>
      <c r="AM15" s="34"/>
      <c r="AN15" s="34"/>
      <c r="AO15" s="34"/>
      <c r="AP15" s="34"/>
      <c r="AQ15" s="739"/>
      <c r="AR15" s="34"/>
      <c r="AS15" s="1000"/>
      <c r="AT15" s="34"/>
      <c r="AU15" s="34"/>
      <c r="AV15" s="34"/>
      <c r="AW15" s="34"/>
      <c r="AX15" s="34"/>
      <c r="AY15" s="34"/>
      <c r="AZ15" s="34"/>
      <c r="BA15" s="34"/>
      <c r="BB15" s="34"/>
      <c r="BC15" s="34"/>
      <c r="BD15" s="39" t="str">
        <f>IF(Equipment="Fired Equipment - Process Heat Transfer","X","")</f>
        <v/>
      </c>
      <c r="BE15" s="39" t="str">
        <f>IF(AND(Equipment&lt;&gt;"Fired Equipment - Process Heat Transfer",OR(Ease_of_Ignition_Feed="High",Ease_of_Ignition_Feed="Elevated",Location="Indoors")),"X","")</f>
        <v/>
      </c>
      <c r="BF15" s="39" t="str">
        <f>IF(AND(Equipment&lt;&gt;"Fired Equipment - Process Heat Transfer",Ease_of_Ignition_Feed&lt;&gt;"High",Ease_of_Ignition_Feed&lt;&gt;"Elevated",Location&lt;&gt;"Indoors"),"X","")</f>
        <v>X</v>
      </c>
      <c r="BG15" s="34"/>
      <c r="BH15" s="34"/>
      <c r="BI15" s="35"/>
      <c r="BJ15" s="34"/>
      <c r="BK15" s="34"/>
      <c r="BL15" s="1853"/>
      <c r="BM15" s="34"/>
      <c r="BN15" s="34"/>
      <c r="BO15" s="3178"/>
      <c r="BP15" s="3178"/>
      <c r="BQ15" s="34"/>
      <c r="BR15" s="34"/>
      <c r="BS15" s="34"/>
      <c r="BT15" s="34"/>
      <c r="BU15" s="1853"/>
      <c r="BV15" s="1853"/>
      <c r="BW15" s="34"/>
      <c r="BX15" s="34"/>
      <c r="BY15" s="34"/>
      <c r="BZ15" s="34"/>
      <c r="CA15" s="34"/>
      <c r="CB15" s="34"/>
      <c r="CC15" s="34"/>
      <c r="CD15" s="34"/>
      <c r="CE15" s="34"/>
      <c r="CF15" s="1476"/>
      <c r="CG15" s="34"/>
      <c r="CH15" s="34"/>
      <c r="CI15" s="34"/>
      <c r="CJ15" s="34"/>
      <c r="CK15" s="34"/>
      <c r="CL15" s="1035"/>
      <c r="CM15" s="739"/>
      <c r="CN15" s="739"/>
      <c r="CO15" s="34"/>
      <c r="CP15" s="34"/>
      <c r="CQ15" s="34"/>
      <c r="CR15" s="39" t="str">
        <f>IF(AND(Reactive_Only&lt;&gt;"Yes",Elevation_30ft&lt;&gt;"Yes",Fire_Duration="Yes",Reactive_Potential_Fire&lt;&gt;"Yes"),"X","")</f>
        <v/>
      </c>
      <c r="CS15" s="34"/>
      <c r="CT15" s="34"/>
      <c r="CU15" s="34"/>
      <c r="CV15" s="781"/>
      <c r="CW15" s="34"/>
      <c r="CX15" s="34"/>
      <c r="CY15" s="34"/>
      <c r="CZ15" s="34"/>
      <c r="DA15" s="34"/>
      <c r="DB15" s="34"/>
      <c r="DC15" s="2038"/>
      <c r="DD15" s="34"/>
      <c r="DE15" s="34"/>
      <c r="DF15" s="499"/>
      <c r="DG15" s="39" t="str">
        <f>IF(AND(Reactive_Only&lt;&gt;"Yes",Fire_Duration_Rupture="Yes",Elevation_30ft&lt;&gt;"Yes",Reactive_Potential_Fire&lt;&gt;"Yes"),"X","")</f>
        <v/>
      </c>
      <c r="DH15" s="34"/>
      <c r="DI15" s="34"/>
      <c r="DJ15" s="34"/>
      <c r="DL15" s="34"/>
      <c r="DM15" s="66"/>
      <c r="DN15" s="1702"/>
      <c r="DO15" s="39" t="str">
        <f>IF('Pool Fire Frequency'!R25="","0 sec",IF('Pool Fire Frequency'!R25&gt;2000,sig('Pool Fire Frequency'!R25/1440,2,10,1)&amp;" day",IF('Pool Fire Frequency'!R25&gt;100,sig('Pool Fire Frequency'!R25/60,2,10,1)&amp;" hour",IF('Pool Fire Frequency'!R25&gt;2,sig('Pool Fire Frequency'!R25*60,2,10,1)&amp;" sec",sig('Pool Fire Frequency'!R25,2,10,1)&amp;" min"))))</f>
        <v>0 sec</v>
      </c>
      <c r="DP15" s="34"/>
      <c r="DQ15" s="34"/>
      <c r="DT15" s="3089" t="str">
        <f t="shared" si="5"/>
        <v/>
      </c>
      <c r="DV15" s="39" t="s">
        <v>942</v>
      </c>
      <c r="DW15" s="35"/>
      <c r="DX15" s="4" t="e">
        <f>LEFT(INDEX('Scenario Analysis'!GR$5:GR$47,MATCH("X",BJ15:CZ15,0)),LEN(INDEX('Scenario Analysis'!GR$5:GR$47,MATCH("X",BJ15:CZ15,0)))-2)</f>
        <v>#N/A</v>
      </c>
      <c r="DY15" s="4" t="e">
        <f>LEFT(INDEX('Scenario Analysis'!GR$49:GR$56,MATCH("X",DB15:DI15,0)),LEN(INDEX('Scenario Analysis'!GR$49:GR$56,MATCH("X",DB15:DI15,0)))-2)</f>
        <v>#N/A</v>
      </c>
      <c r="DZ15" s="39" t="str">
        <f t="shared" si="6"/>
        <v>Consequence Does Not Exceed Threshold Criteria for Continuing with LOPA</v>
      </c>
      <c r="EB15" s="39" t="e">
        <f>IF(INDEX($E$6:$AI$63,ROW(E15:AI$63)-5,MATCH(Equipment,Equipment_Type,0))="X",IF(DZ15&lt;&gt;"Consequence Does Not Exceed Threshold Criteria for Continuing with LOPA","Included","Excluded"),"")</f>
        <v>#N/A</v>
      </c>
      <c r="ED15" s="2906" t="str">
        <f>CHAR(7)&amp;IPLD_Gen_37&amp;CHAR(10)&amp;CHAR(7)&amp;IPLD_Gen_22&amp;CHAR(10)&amp;IF('Workbook Notes'!D64&lt;&gt;"",CHAR(7)&amp;'Workbook Notes'!D64,"")</f>
        <v xml:space="preserve">_x0007_Sprinkler, Deluge or Foam system that effectively extinguishes a fire that may overheat chemicals contained in process or storage equipment.
_x0007_Dike or Bund with Drainage to Remote Impoundment with sufficient Distance  to Eliminate Fire heat adsorption
</v>
      </c>
      <c r="EE15" s="2930"/>
      <c r="EF15" s="2930" t="str">
        <f t="shared" si="1"/>
        <v>Excessive Heat Input - Pool Fire Exposure</v>
      </c>
      <c r="EG15" s="2943"/>
      <c r="EH15" s="2943"/>
      <c r="EI15" s="2943"/>
      <c r="EK15" s="2907" t="str">
        <f ca="1">IF(ISTEXT(VLOOKUP(C15,INDIRECT("'Scenario List'!A11"):INDIRECT("'Scenario List'!V60"),20,FALSE))=TRUE,VLOOKUP(C15,INDIRECT("'Scenario List'!A11"):INDIRECT("'Scenario List'!V60"),20,FALSE),"")</f>
        <v/>
      </c>
      <c r="EL15" s="2907" t="str">
        <f ca="1">IF(ISTEXT(VLOOKUP(C15,INDIRECT("'Scenario List'!A11"):INDIRECT("'Scenario List'!V60"),21,FALSE))=TRUE,VLOOKUP(C15,INDIRECT("'Scenario List'!A11"):INDIRECT("'Scenario List'!V60"),21,FALSE),"")</f>
        <v/>
      </c>
      <c r="EM15" s="2907" t="str">
        <f ca="1">IF(ISTEXT(VLOOKUP(C15,INDIRECT("'Scenario List'!A11"):INDIRECT("'Scenario List'!V60"),22,FALSE))=TRUE,VLOOKUP(C15,INDIRECT("'Scenario List'!A11"):INDIRECT("'Scenario List'!V60"),22,FALSE),"")</f>
        <v/>
      </c>
      <c r="EO15" s="2907" t="str">
        <f ca="1">IF(INDIRECT("'Scenario List'!A20")="","",INDIRECT("'Scenario List'!A20"))</f>
        <v/>
      </c>
      <c r="EP15" s="2907" t="str">
        <f t="shared" ca="1" si="2"/>
        <v/>
      </c>
      <c r="EQ15" s="2907" t="str">
        <f t="shared" ca="1" si="3"/>
        <v/>
      </c>
      <c r="ER15" s="2907" t="str">
        <f t="shared" ca="1" si="4"/>
        <v/>
      </c>
    </row>
    <row r="16" spans="3:148" x14ac:dyDescent="0.25">
      <c r="C16" s="39" t="s">
        <v>4618</v>
      </c>
      <c r="D16" s="35"/>
      <c r="E16" s="2395"/>
      <c r="F16" s="34"/>
      <c r="G16" s="34"/>
      <c r="H16" s="34"/>
      <c r="I16" s="34"/>
      <c r="J16" s="34"/>
      <c r="K16" s="34"/>
      <c r="L16" s="39" t="str">
        <f>IF(AND(State="Liquid",Exclude_MI&lt;&gt;"Only MI"),"X","")</f>
        <v>X</v>
      </c>
      <c r="M16" s="34"/>
      <c r="N16" s="34"/>
      <c r="O16" s="34"/>
      <c r="P16" s="34"/>
      <c r="Q16" s="34"/>
      <c r="R16" s="34"/>
      <c r="S16" s="34"/>
      <c r="T16" s="34"/>
      <c r="U16" s="34"/>
      <c r="V16" s="34"/>
      <c r="W16" s="34"/>
      <c r="X16" s="34"/>
      <c r="Y16" s="39" t="str">
        <f>IF(AND(State="Liquid",Exclude_MI&lt;&gt;"Only MI"),"X","")</f>
        <v>X</v>
      </c>
      <c r="Z16" s="34"/>
      <c r="AA16" s="34"/>
      <c r="AB16" s="34"/>
      <c r="AC16" s="34"/>
      <c r="AD16" s="34"/>
      <c r="AE16" s="39" t="str">
        <f>IF(AND(State="Liquid",Exclude_MI&lt;&gt;"Only MI"),"X","")</f>
        <v>X</v>
      </c>
      <c r="AF16" s="39" t="str">
        <f>IF(AND(State="Liquid",Exclude_MI&lt;&gt;"Only MI"),"X","")</f>
        <v>X</v>
      </c>
      <c r="AG16" s="2048"/>
      <c r="AH16" s="39" t="str">
        <f>IF(AND(State="Liquid",Exclude_MI&lt;&gt;"Only MI"),"X","")</f>
        <v>X</v>
      </c>
      <c r="AI16" s="34"/>
      <c r="AJ16" s="35"/>
      <c r="AK16" s="34"/>
      <c r="AL16" s="34"/>
      <c r="AM16" s="39" t="str">
        <f>IF(Overflow_Location="Floating Roof Tank","X","")</f>
        <v/>
      </c>
      <c r="AN16" s="34"/>
      <c r="AO16" s="34"/>
      <c r="AP16" s="34"/>
      <c r="AQ16" s="739"/>
      <c r="AR16" s="34"/>
      <c r="AS16" s="1000"/>
      <c r="AT16" s="34"/>
      <c r="AU16" s="34"/>
      <c r="AV16" s="34"/>
      <c r="AW16" s="459" t="str">
        <f>IF(Overflow_Location&lt;&gt;"Floating Roof Tank","X","")</f>
        <v>X</v>
      </c>
      <c r="AX16" s="34"/>
      <c r="AY16" s="34"/>
      <c r="AZ16" s="34"/>
      <c r="BA16" s="34"/>
      <c r="BB16" s="34"/>
      <c r="BC16" s="34"/>
      <c r="BD16" s="34"/>
      <c r="BE16" s="34"/>
      <c r="BF16" s="34"/>
      <c r="BG16" s="34"/>
      <c r="BH16" s="34"/>
      <c r="BI16" s="35"/>
      <c r="BJ16" s="34"/>
      <c r="BK16" s="34"/>
      <c r="BL16" s="1853"/>
      <c r="BM16" s="1853"/>
      <c r="BN16" s="34"/>
      <c r="BO16" s="39" t="str">
        <f>IF(AND(Reactive_Only&lt;&gt;"Yes",OR(AND(Max_Inert_P&gt;Failure_Gasket*MAWP,Max_Inert_P&lt;=Burst_P),AND(State="Vapor",Max_Feed_P&gt;Failure_Gasket*MAWP,Max_Feed_P&lt;=Burst_P))),"X","")</f>
        <v/>
      </c>
      <c r="BP16" s="3178"/>
      <c r="BQ16" s="34"/>
      <c r="BR16" s="34"/>
      <c r="BS16" s="34"/>
      <c r="BT16" s="34"/>
      <c r="BU16" s="1853"/>
      <c r="BV16" s="1853"/>
      <c r="BW16" s="34"/>
      <c r="BX16" s="34"/>
      <c r="BY16" s="34"/>
      <c r="BZ16" s="34"/>
      <c r="CA16" s="34"/>
      <c r="CB16" s="34"/>
      <c r="CC16" s="34"/>
      <c r="CD16" s="34"/>
      <c r="CE16" s="34"/>
      <c r="CF16" s="1476"/>
      <c r="CG16" s="34"/>
      <c r="CH16" s="34"/>
      <c r="CI16" s="34"/>
      <c r="CJ16" s="34"/>
      <c r="CK16" s="34"/>
      <c r="CL16" s="1035"/>
      <c r="CM16" s="739"/>
      <c r="CN16" s="739"/>
      <c r="CO16" s="459" t="str">
        <f>IF(AND(Reactive_Only&lt;&gt;"Yes",Max_Inert_P&gt;IF(Relief_Set_Input="",MAWP,Relief_Set)),"X","")</f>
        <v>X</v>
      </c>
      <c r="CP16" s="2395"/>
      <c r="CQ16" s="34"/>
      <c r="CR16" s="34"/>
      <c r="CS16" s="34"/>
      <c r="CT16" s="34"/>
      <c r="CU16" s="34"/>
      <c r="CV16" s="781"/>
      <c r="CW16" s="34"/>
      <c r="CX16" s="34"/>
      <c r="CY16" s="34"/>
      <c r="CZ16" s="34"/>
      <c r="DA16" s="34"/>
      <c r="DB16" s="39" t="str">
        <f>IF(AND(Reactive_Only&lt;&gt;"Yes",Max_Inert_P&gt;MAWP,WeakSeam_Roof="Yes"),"X","")</f>
        <v/>
      </c>
      <c r="DC16" s="2038"/>
      <c r="DD16" s="39" t="str">
        <f>IF(AND(Reactive_Only&lt;&gt;"Yes",Max_Inert_P&gt;Burst_P),"X","")</f>
        <v>X</v>
      </c>
      <c r="DE16" s="34"/>
      <c r="DF16" s="499"/>
      <c r="DG16" s="34"/>
      <c r="DH16" s="34"/>
      <c r="DI16" s="34"/>
      <c r="DJ16" s="34"/>
      <c r="DL16" s="34"/>
      <c r="DM16" s="34"/>
      <c r="DN16" s="1700"/>
      <c r="DO16" s="34"/>
      <c r="DP16" s="34"/>
      <c r="DQ16" s="34"/>
      <c r="DT16" s="3089" t="str">
        <f t="shared" si="5"/>
        <v/>
      </c>
      <c r="DV16" s="39" t="s">
        <v>1980</v>
      </c>
      <c r="DW16" s="35"/>
      <c r="DX16" s="4" t="e">
        <f>LEFT(INDEX('Scenario Analysis'!GR$5:GR$47,MATCH("X",BJ16:CZ16,0)),LEN(INDEX('Scenario Analysis'!GR$5:GR$47,MATCH("X",BJ16:CZ16,0)))-2)</f>
        <v>#VALUE!</v>
      </c>
      <c r="DY16" s="4" t="e">
        <f>LEFT(INDEX('Scenario Analysis'!GR$49:GR$56,MATCH("X",DB16:DI16,0)),LEN(INDEX('Scenario Analysis'!GR$49:GR$56,MATCH("X",DB16:DI16,0)))-2)</f>
        <v>#VALUE!</v>
      </c>
      <c r="DZ16" s="39" t="str">
        <f t="shared" si="6"/>
        <v>Consequence Does Not Exceed Threshold Criteria for Continuing with LOPA</v>
      </c>
      <c r="EB16" s="39" t="e">
        <f>IF(INDEX($E$6:$AI$63,ROW(E16:AI$63)-5,MATCH(Equipment,Equipment_Type,0))="X",IF(DZ16&lt;&gt;"Consequence Does Not Exceed Threshold Criteria for Continuing with LOPA","Included","Excluded"),"")</f>
        <v>#N/A</v>
      </c>
      <c r="ED16" s="2906" t="str">
        <f>CHAR(7)&amp;IPLD_Gen_1&amp;CHAR(10)&amp;IF('Workbook Notes'!D65&lt;&gt;"",CHAR(7)&amp;'Workbook Notes'!D65,"")</f>
        <v xml:space="preserve">_x0007_Pressure Relief Device Sized for Scenario and verified by qualified Relief Designer
</v>
      </c>
      <c r="EE16" s="2930"/>
      <c r="EF16" s="2930" t="str">
        <f t="shared" si="1"/>
        <v>Excessive Pad Gas Pressure</v>
      </c>
      <c r="EG16" s="2943"/>
      <c r="EH16" s="2943"/>
      <c r="EI16" s="2943"/>
      <c r="EK16" s="2907" t="str">
        <f ca="1">IF(ISTEXT(VLOOKUP(C16,INDIRECT("'Scenario List'!A11"):INDIRECT("'Scenario List'!V60"),20,FALSE))=TRUE,VLOOKUP(C16,INDIRECT("'Scenario List'!A11"):INDIRECT("'Scenario List'!V60"),20,FALSE),"")</f>
        <v/>
      </c>
      <c r="EL16" s="2907" t="str">
        <f ca="1">IF(ISTEXT(VLOOKUP(C16,INDIRECT("'Scenario List'!A11"):INDIRECT("'Scenario List'!V60"),21,FALSE))=TRUE,VLOOKUP(C16,INDIRECT("'Scenario List'!A11"):INDIRECT("'Scenario List'!V60"),21,FALSE),"")</f>
        <v/>
      </c>
      <c r="EM16" s="2907" t="str">
        <f ca="1">IF(ISTEXT(VLOOKUP(C16,INDIRECT("'Scenario List'!A11"):INDIRECT("'Scenario List'!V60"),22,FALSE))=TRUE,VLOOKUP(C16,INDIRECT("'Scenario List'!A11"):INDIRECT("'Scenario List'!V60"),22,FALSE),"")</f>
        <v/>
      </c>
      <c r="EO16" s="2907" t="str">
        <f ca="1">IF(INDIRECT("'Scenario List'!A21")="","",INDIRECT("'Scenario List'!A21"))</f>
        <v/>
      </c>
      <c r="EP16" s="2907" t="str">
        <f t="shared" ca="1" si="2"/>
        <v/>
      </c>
      <c r="EQ16" s="2907" t="str">
        <f t="shared" ca="1" si="3"/>
        <v/>
      </c>
      <c r="ER16" s="2907" t="str">
        <f t="shared" ca="1" si="4"/>
        <v/>
      </c>
    </row>
    <row r="17" spans="3:148" x14ac:dyDescent="0.25">
      <c r="C17" s="39" t="s">
        <v>4617</v>
      </c>
      <c r="D17" s="35"/>
      <c r="E17" s="2395"/>
      <c r="F17" s="34"/>
      <c r="G17" s="34"/>
      <c r="H17" s="34"/>
      <c r="I17" s="34"/>
      <c r="J17" s="34"/>
      <c r="K17" s="34"/>
      <c r="L17" s="39" t="str">
        <f>IF(AND(State="Vapor",Exclude_MI&lt;&gt;"Only MI"),"X","")</f>
        <v/>
      </c>
      <c r="M17" s="34"/>
      <c r="N17" s="34"/>
      <c r="O17" s="34"/>
      <c r="P17" s="34"/>
      <c r="Q17" s="34"/>
      <c r="R17" s="34"/>
      <c r="S17" s="34"/>
      <c r="T17" s="34"/>
      <c r="U17" s="34"/>
      <c r="V17" s="34"/>
      <c r="W17" s="34"/>
      <c r="X17" s="34"/>
      <c r="Y17" s="39" t="str">
        <f>IF(AND(State="Vapor",Exclude_MI&lt;&gt;"Only MI"),"X","")</f>
        <v/>
      </c>
      <c r="Z17" s="34"/>
      <c r="AA17" s="34"/>
      <c r="AB17" s="34"/>
      <c r="AC17" s="34"/>
      <c r="AD17" s="34"/>
      <c r="AE17" s="39" t="str">
        <f>IF(AND(State="Vapor",Exclude_MI&lt;&gt;"Only MI"),"X","")</f>
        <v/>
      </c>
      <c r="AF17" s="39" t="str">
        <f>IF(AND(State="Vapor",Exclude_MI&lt;&gt;"Only MI"),"X","")</f>
        <v/>
      </c>
      <c r="AG17" s="2048"/>
      <c r="AH17" s="39" t="str">
        <f>IF(AND(State="Vapor",Exclude_MI&lt;&gt;"Only MI"),"X","")</f>
        <v/>
      </c>
      <c r="AI17" s="34"/>
      <c r="AJ17" s="35"/>
      <c r="AK17" s="2230" t="s">
        <v>1742</v>
      </c>
      <c r="AL17" s="34"/>
      <c r="AM17" s="2395"/>
      <c r="AN17" s="34"/>
      <c r="AO17" s="34"/>
      <c r="AP17" s="34"/>
      <c r="AQ17" s="739"/>
      <c r="AR17" s="34"/>
      <c r="AS17" s="1000"/>
      <c r="AT17" s="34"/>
      <c r="AU17" s="34"/>
      <c r="AV17" s="34"/>
      <c r="AW17" s="2395"/>
      <c r="AX17" s="34"/>
      <c r="AY17" s="34"/>
      <c r="AZ17" s="34"/>
      <c r="BA17" s="34"/>
      <c r="BB17" s="34"/>
      <c r="BC17" s="34"/>
      <c r="BD17" s="34"/>
      <c r="BE17" s="34"/>
      <c r="BF17" s="34"/>
      <c r="BG17" s="34"/>
      <c r="BH17" s="34"/>
      <c r="BI17" s="35"/>
      <c r="BJ17" s="34"/>
      <c r="BK17" s="34"/>
      <c r="BL17" s="1853"/>
      <c r="BM17" s="1853"/>
      <c r="BN17" s="34"/>
      <c r="BO17" s="39" t="str">
        <f>IF(AND(Reactive_Only&lt;&gt;"Yes",AND(Max_Feed_P&gt;Failure_Gasket*MAWP,Max_Feed_P&lt;=Burst_P)),"X","")</f>
        <v/>
      </c>
      <c r="BP17" s="3178"/>
      <c r="BQ17" s="34"/>
      <c r="BR17" s="34"/>
      <c r="BS17" s="34"/>
      <c r="BT17" s="34"/>
      <c r="BU17" s="1853"/>
      <c r="BV17" s="1853"/>
      <c r="BW17" s="34"/>
      <c r="BX17" s="34"/>
      <c r="BY17" s="34"/>
      <c r="BZ17" s="34"/>
      <c r="CA17" s="34"/>
      <c r="CB17" s="34"/>
      <c r="CC17" s="34"/>
      <c r="CD17" s="34"/>
      <c r="CE17" s="34"/>
      <c r="CF17" s="1476"/>
      <c r="CG17" s="34"/>
      <c r="CH17" s="34"/>
      <c r="CI17" s="34"/>
      <c r="CJ17" s="34"/>
      <c r="CK17" s="34"/>
      <c r="CL17" s="459" t="str">
        <f>IF(AND(Reactive_Only&lt;&gt;"Yes",Max_Feed_P&gt;IF(Relief_Set_Input="",MAWP,Relief_Set)),"X","")</f>
        <v>X</v>
      </c>
      <c r="CM17" s="739"/>
      <c r="CN17" s="739"/>
      <c r="CO17" s="34"/>
      <c r="CP17" s="2395"/>
      <c r="CQ17" s="34"/>
      <c r="CR17" s="34"/>
      <c r="CS17" s="34"/>
      <c r="CT17" s="34"/>
      <c r="CU17" s="34"/>
      <c r="CV17" s="781"/>
      <c r="CW17" s="34"/>
      <c r="CX17" s="34"/>
      <c r="CY17" s="34"/>
      <c r="CZ17" s="34"/>
      <c r="DA17" s="34"/>
      <c r="DB17" s="34"/>
      <c r="DC17" s="2038"/>
      <c r="DD17" s="39" t="str">
        <f>IF(AND(Reactive_Only&lt;&gt;"Yes",Max_Feed_P&gt;Burst_P),"X","")</f>
        <v>X</v>
      </c>
      <c r="DE17" s="34"/>
      <c r="DF17" s="499"/>
      <c r="DG17" s="34"/>
      <c r="DH17" s="34"/>
      <c r="DI17" s="34"/>
      <c r="DJ17" s="34"/>
      <c r="DL17" s="34"/>
      <c r="DM17" s="34"/>
      <c r="DN17" s="1700"/>
      <c r="DO17" s="34"/>
      <c r="DP17" s="34"/>
      <c r="DQ17" s="34"/>
      <c r="DT17" s="3089" t="str">
        <f t="shared" si="5"/>
        <v/>
      </c>
      <c r="DV17" s="39" t="s">
        <v>1980</v>
      </c>
      <c r="DW17" s="35"/>
      <c r="DX17" s="4" t="e">
        <f>LEFT(INDEX('Scenario Analysis'!GR$5:GR$47,MATCH("X",BJ17:CZ17,0)),LEN(INDEX('Scenario Analysis'!GR$5:GR$47,MATCH("X",BJ17:CZ17,0)))-2)</f>
        <v>#VALUE!</v>
      </c>
      <c r="DY17" s="4" t="e">
        <f>LEFT(INDEX('Scenario Analysis'!GR$49:GR$56,MATCH("X",DB17:DI17,0)),LEN(INDEX('Scenario Analysis'!GR$49:GR$56,MATCH("X",DB17:DI17,0)))-2)</f>
        <v>#VALUE!</v>
      </c>
      <c r="DZ17" s="39" t="str">
        <f t="shared" ref="DZ17" si="8">IF(AND(ISERROR(DX17),ISERROR(DY17)),"Consequence Does Not Exceed Threshold Criteria for Continuing with LOPA",IF(ISERROR(DX17),IF(DY17="","Consequence Does Not Exceed Threshold Criteria for Continuing with LOPA",DY17),IF(ISERROR(DY17),IF(DX17="","Consequence Does Not Exceed Threshold Criteria for Continuing with LOPA",DX17),DX17&amp;"; "&amp;DY17)))</f>
        <v>Consequence Does Not Exceed Threshold Criteria for Continuing with LOPA</v>
      </c>
      <c r="EB17" s="39" t="e">
        <f>IF(INDEX($E$6:$AI$63,ROW(E17:AI$63)-5,MATCH(Equipment,Equipment_Type,0))="X",IF(DZ17&lt;&gt;"Consequence Does Not Exceed Threshold Criteria for Continuing with LOPA","Included","Excluded"),"")</f>
        <v>#N/A</v>
      </c>
      <c r="ED17" s="2906" t="str">
        <f>CHAR(7)&amp;IPLD_Gen_1&amp;CHAR(10)&amp;IF('Workbook Notes'!D66&lt;&gt;"",CHAR(7)&amp;'Workbook Notes'!D66,"")</f>
        <v xml:space="preserve">_x0007_Pressure Relief Device Sized for Scenario and verified by qualified Relief Designer
</v>
      </c>
      <c r="EE17" s="2930"/>
      <c r="EF17" s="2930" t="str">
        <f t="shared" si="1"/>
        <v>Excessive Vapor Feed Flow</v>
      </c>
      <c r="EG17" s="2943"/>
      <c r="EH17" s="2943"/>
      <c r="EI17" s="2943"/>
      <c r="EK17" s="2907" t="str">
        <f ca="1">IF(ISTEXT(VLOOKUP(C17,INDIRECT("'Scenario List'!A11"):INDIRECT("'Scenario List'!V60"),20,FALSE))=TRUE,VLOOKUP(C17,INDIRECT("'Scenario List'!A11"):INDIRECT("'Scenario List'!V60"),20,FALSE),"")</f>
        <v/>
      </c>
      <c r="EL17" s="2907" t="str">
        <f ca="1">IF(ISTEXT(VLOOKUP(C17,INDIRECT("'Scenario List'!A11"):INDIRECT("'Scenario List'!V60"),21,FALSE))=TRUE,VLOOKUP(C17,INDIRECT("'Scenario List'!A11"):INDIRECT("'Scenario List'!V60"),21,FALSE),"")</f>
        <v/>
      </c>
      <c r="EM17" s="2907" t="str">
        <f ca="1">IF(ISTEXT(VLOOKUP(C17,INDIRECT("'Scenario List'!A11"):INDIRECT("'Scenario List'!V60"),22,FALSE))=TRUE,VLOOKUP(C17,INDIRECT("'Scenario List'!A11"):INDIRECT("'Scenario List'!V60"),22,FALSE),"")</f>
        <v/>
      </c>
      <c r="EO17" s="2907" t="str">
        <f ca="1">IF(INDIRECT("'Scenario List'!A22")="","",INDIRECT("'Scenario List'!A22"))</f>
        <v/>
      </c>
      <c r="EP17" s="2907" t="str">
        <f t="shared" ca="1" si="2"/>
        <v/>
      </c>
      <c r="EQ17" s="2907" t="str">
        <f t="shared" ca="1" si="3"/>
        <v/>
      </c>
      <c r="ER17" s="2907" t="str">
        <f t="shared" ca="1" si="4"/>
        <v/>
      </c>
    </row>
    <row r="18" spans="3:148" x14ac:dyDescent="0.25">
      <c r="C18" s="39" t="s">
        <v>4626</v>
      </c>
      <c r="D18" s="35"/>
      <c r="E18" s="2395"/>
      <c r="F18" s="2395"/>
      <c r="G18" s="2395"/>
      <c r="H18" s="2395"/>
      <c r="I18" s="2395"/>
      <c r="J18" s="2395"/>
      <c r="K18" s="2395"/>
      <c r="L18" s="39" t="str">
        <f>IF(AND(State="Liquid",Exclude_MI&lt;&gt;"Only MI"),"X","")</f>
        <v>X</v>
      </c>
      <c r="M18" s="2395"/>
      <c r="N18" s="2395"/>
      <c r="O18" s="2395"/>
      <c r="P18" s="2395"/>
      <c r="Q18" s="2395"/>
      <c r="R18" s="2395"/>
      <c r="S18" s="2395"/>
      <c r="T18" s="2395"/>
      <c r="U18" s="2395"/>
      <c r="V18" s="2395"/>
      <c r="W18" s="2395"/>
      <c r="X18" s="2395"/>
      <c r="Y18" s="39" t="str">
        <f>IF(AND(State="Liquid",Exclude_MI&lt;&gt;"Only MI"),"X","")</f>
        <v>X</v>
      </c>
      <c r="Z18" s="2395"/>
      <c r="AA18" s="2395"/>
      <c r="AB18" s="2395"/>
      <c r="AC18" s="2395"/>
      <c r="AD18" s="2395"/>
      <c r="AE18" s="39" t="str">
        <f>IF(AND(State="Liquid",Exclude_MI&lt;&gt;"Only MI"),"X","")</f>
        <v>X</v>
      </c>
      <c r="AF18" s="39" t="str">
        <f>IF(AND(State="Liquid",Exclude_MI&lt;&gt;"Only MI"),"X","")</f>
        <v>X</v>
      </c>
      <c r="AG18" s="2395"/>
      <c r="AH18" s="39" t="str">
        <f>IF(AND(State="Liquid",Exclude_MI&lt;&gt;"Only MI"),"X","")</f>
        <v>X</v>
      </c>
      <c r="AI18" s="2395"/>
      <c r="AJ18" s="35"/>
      <c r="AK18" s="2230" t="s">
        <v>1742</v>
      </c>
      <c r="AL18" s="2395"/>
      <c r="AM18" s="2395"/>
      <c r="AN18" s="2395"/>
      <c r="AO18" s="2395"/>
      <c r="AP18" s="2395"/>
      <c r="AQ18" s="2395"/>
      <c r="AR18" s="2395"/>
      <c r="AS18" s="2395"/>
      <c r="AT18" s="2395"/>
      <c r="AU18" s="2395"/>
      <c r="AV18" s="2395"/>
      <c r="AW18" s="2395"/>
      <c r="AX18" s="2395"/>
      <c r="AY18" s="2395"/>
      <c r="AZ18" s="2395"/>
      <c r="BA18" s="2395"/>
      <c r="BB18" s="2395"/>
      <c r="BC18" s="2395"/>
      <c r="BD18" s="2395"/>
      <c r="BE18" s="2395"/>
      <c r="BF18" s="2395"/>
      <c r="BG18" s="2395"/>
      <c r="BH18" s="2395"/>
      <c r="BI18" s="35"/>
      <c r="BJ18" s="2395"/>
      <c r="BK18" s="2395"/>
      <c r="BL18" s="2395"/>
      <c r="BM18" s="1853"/>
      <c r="BN18" s="2395"/>
      <c r="BO18" s="2394" t="str">
        <f>IF(AND(Reactive_Only&lt;&gt;"Yes",,MAWP&lt;=1,CM3&gt;Failure_Gasket*MAWP,Max_Feed_P&lt;=Burst_P),"X","")</f>
        <v/>
      </c>
      <c r="BP18" s="3178"/>
      <c r="BQ18" s="2395"/>
      <c r="BR18" s="2395"/>
      <c r="BS18" s="2395"/>
      <c r="BT18" s="2395"/>
      <c r="BU18" s="2395"/>
      <c r="BV18" s="2395"/>
      <c r="BW18" s="2395"/>
      <c r="BX18" s="2395"/>
      <c r="BY18" s="2395"/>
      <c r="BZ18" s="2395"/>
      <c r="CA18" s="2395"/>
      <c r="CB18" s="2395"/>
      <c r="CC18" s="2395"/>
      <c r="CD18" s="2395"/>
      <c r="CE18" s="2395"/>
      <c r="CF18" s="2395"/>
      <c r="CG18" s="2395"/>
      <c r="CH18" s="2395"/>
      <c r="CI18" s="2395"/>
      <c r="CJ18" s="34"/>
      <c r="CK18" s="2395"/>
      <c r="CL18" s="2395"/>
      <c r="CM18" s="2395"/>
      <c r="CN18" s="2395"/>
      <c r="CO18" s="2395"/>
      <c r="CP18" s="459" t="str">
        <f>IF(AND(Reactive_Only&lt;&gt;"Yes",Feedrate_Input&gt;0,MAWP&lt;=1,MAX(Max_Feed_P,Downstr_P)&gt;=IF(Relief_Set_Input="",MAWP,Relief_Set)),"X","")</f>
        <v/>
      </c>
      <c r="CQ18" s="2395"/>
      <c r="CR18" s="2395"/>
      <c r="CS18" s="2395"/>
      <c r="CT18" s="2395"/>
      <c r="CU18" s="2395"/>
      <c r="CV18" s="2395"/>
      <c r="CW18" s="2395"/>
      <c r="CX18" s="2395"/>
      <c r="CY18" s="2395"/>
      <c r="CZ18" s="2395"/>
      <c r="DA18" s="2395"/>
      <c r="DB18" s="2395"/>
      <c r="DC18" s="2395"/>
      <c r="DD18" s="2369" t="str">
        <f>IF(AND(Reactive_Only&lt;&gt;"Yes",MAWP&lt;=1,MAX(Max_Feed_P,Downstr_P)&gt;Burst_P),"X","")</f>
        <v>X</v>
      </c>
      <c r="DE18" s="2395"/>
      <c r="DF18" s="2395"/>
      <c r="DG18" s="2395"/>
      <c r="DH18" s="2395"/>
      <c r="DI18" s="2395"/>
      <c r="DJ18" s="2395"/>
      <c r="DL18" s="2395"/>
      <c r="DM18" s="2395"/>
      <c r="DN18" s="2395"/>
      <c r="DO18" s="2395"/>
      <c r="DP18" s="2395"/>
      <c r="DQ18" s="2395"/>
      <c r="DT18" s="3089" t="str">
        <f t="shared" si="5"/>
        <v/>
      </c>
      <c r="DV18" s="39" t="s">
        <v>942</v>
      </c>
      <c r="DW18" s="35"/>
      <c r="DX18" s="4" t="e">
        <f>LEFT(INDEX('Scenario Analysis'!GR$5:GR$47,MATCH("X",BJ18:CZ18,0)),LEN(INDEX('Scenario Analysis'!GR$5:GR$47,MATCH("X",BJ18:CZ18,0)))-2)</f>
        <v>#N/A</v>
      </c>
      <c r="DY18" s="4" t="e">
        <f>LEFT(INDEX('Scenario Analysis'!GR$49:GR$56,MATCH("X",DB18:DI18,0)),LEN(INDEX('Scenario Analysis'!GR$49:GR$56,MATCH("X",DB18:DI18,0)))-2)</f>
        <v>#VALUE!</v>
      </c>
      <c r="DZ18" s="39" t="str">
        <f t="shared" ref="DZ18" si="9">IF(AND(ISERROR(DX18),ISERROR(DY18)),"Consequence Does Not Exceed Threshold Criteria for Continuing with LOPA",IF(ISERROR(DX18),IF(DY18="","Consequence Does Not Exceed Threshold Criteria for Continuing with LOPA",DY18),IF(ISERROR(DY18),IF(DX18="","Consequence Does Not Exceed Threshold Criteria for Continuing with LOPA",DX18),DX18&amp;"; "&amp;DY18)))</f>
        <v>Consequence Does Not Exceed Threshold Criteria for Continuing with LOPA</v>
      </c>
      <c r="EB18" s="39" t="e">
        <f>IF(INDEX($E$6:$AI$63,ROW(E18:AI$63)-5,MATCH(Equipment,Equipment_Type,0))="X",IF(DZ18&lt;&gt;"Consequence Does Not Exceed Threshold Criteria for Continuing with LOPA","Included","Excluded"),"")</f>
        <v>#N/A</v>
      </c>
      <c r="ED18" s="2906" t="str">
        <f>CHAR(7)&amp;IPLD_Gen_1&amp;CHAR(10)&amp;IF('Workbook Notes'!D67&lt;&gt;"",CHAR(7)&amp;'Workbook Notes'!D67,"")</f>
        <v xml:space="preserve">_x0007_Pressure Relief Device Sized for Scenario and verified by qualified Relief Designer
</v>
      </c>
      <c r="EE18" s="2930"/>
      <c r="EF18" s="2930" t="str">
        <f t="shared" si="1"/>
        <v>Pad Gas Compression</v>
      </c>
      <c r="EG18" s="2943"/>
      <c r="EH18" s="2943"/>
      <c r="EI18" s="2943"/>
      <c r="EK18" s="2907" t="str">
        <f ca="1">IF(ISTEXT(VLOOKUP(C18,INDIRECT("'Scenario List'!A11"):INDIRECT("'Scenario List'!V60"),20,FALSE))=TRUE,VLOOKUP(C18,INDIRECT("'Scenario List'!A11"):INDIRECT("'Scenario List'!V60"),20,FALSE),"")</f>
        <v/>
      </c>
      <c r="EL18" s="2907" t="str">
        <f ca="1">IF(ISTEXT(VLOOKUP(C18,INDIRECT("'Scenario List'!A11"):INDIRECT("'Scenario List'!V60"),21,FALSE))=TRUE,VLOOKUP(C18,INDIRECT("'Scenario List'!A11"):INDIRECT("'Scenario List'!V60"),21,FALSE),"")</f>
        <v/>
      </c>
      <c r="EM18" s="2907" t="str">
        <f ca="1">IF(ISTEXT(VLOOKUP(C18,INDIRECT("'Scenario List'!A11"):INDIRECT("'Scenario List'!V60"),22,FALSE))=TRUE,VLOOKUP(C18,INDIRECT("'Scenario List'!A11"):INDIRECT("'Scenario List'!V60"),22,FALSE),"")</f>
        <v/>
      </c>
      <c r="EO18" s="2907" t="str">
        <f ca="1">IF(INDIRECT("'Scenario List'!A23")="","",INDIRECT("'Scenario List'!A23"))</f>
        <v/>
      </c>
      <c r="EP18" s="2907" t="str">
        <f t="shared" ca="1" si="2"/>
        <v/>
      </c>
      <c r="EQ18" s="2907" t="str">
        <f t="shared" ca="1" si="3"/>
        <v/>
      </c>
      <c r="ER18" s="2907" t="str">
        <f t="shared" ca="1" si="4"/>
        <v/>
      </c>
    </row>
    <row r="19" spans="3:148" x14ac:dyDescent="0.25">
      <c r="C19" s="2060" t="s">
        <v>4159</v>
      </c>
      <c r="D19" s="35"/>
      <c r="E19" s="39" t="str">
        <f>IF(Exclude_MI&lt;&gt;"Only MI","X","")</f>
        <v>X</v>
      </c>
      <c r="F19" s="2061"/>
      <c r="G19" s="2061"/>
      <c r="H19" s="2061"/>
      <c r="I19" s="2061"/>
      <c r="J19" s="2061"/>
      <c r="K19" s="2061"/>
      <c r="L19" s="2061"/>
      <c r="M19" s="2061"/>
      <c r="N19" s="2061"/>
      <c r="O19" s="2061"/>
      <c r="P19" s="2061"/>
      <c r="Q19" s="2061"/>
      <c r="R19" s="2061"/>
      <c r="S19" s="2061"/>
      <c r="T19" s="2061"/>
      <c r="U19" s="2061"/>
      <c r="V19" s="2061"/>
      <c r="W19" s="39" t="str">
        <f>IF(Exclude_MI&lt;&gt;"Only MI","X","")</f>
        <v>X</v>
      </c>
      <c r="X19" s="2061"/>
      <c r="Y19" s="2061"/>
      <c r="Z19" s="2061"/>
      <c r="AA19" s="2061"/>
      <c r="AB19" s="2061"/>
      <c r="AC19" s="2061"/>
      <c r="AD19" s="2061"/>
      <c r="AE19" s="2061"/>
      <c r="AF19" s="2061"/>
      <c r="AG19" s="2061"/>
      <c r="AH19" s="2061"/>
      <c r="AI19" s="2061"/>
      <c r="AJ19" s="35"/>
      <c r="AK19" s="2230" t="s">
        <v>1742</v>
      </c>
      <c r="AL19" s="2061"/>
      <c r="AM19" s="2061"/>
      <c r="AN19" s="2061"/>
      <c r="AO19" s="2061"/>
      <c r="AP19" s="2061"/>
      <c r="AQ19" s="2061"/>
      <c r="AR19" s="2061"/>
      <c r="AS19" s="2061"/>
      <c r="AT19" s="2061"/>
      <c r="AU19" s="2061"/>
      <c r="AV19" s="2061"/>
      <c r="AW19" s="2061"/>
      <c r="AX19" s="2061"/>
      <c r="AY19" s="2061"/>
      <c r="AZ19" s="2061"/>
      <c r="BA19" s="2061"/>
      <c r="BB19" s="2061"/>
      <c r="BC19" s="2061"/>
      <c r="BD19" s="2061"/>
      <c r="BE19" s="2061"/>
      <c r="BF19" s="2061"/>
      <c r="BG19" s="2061"/>
      <c r="BH19" s="2061"/>
      <c r="BI19" s="35"/>
      <c r="BJ19" s="2061"/>
      <c r="BK19" s="2061"/>
      <c r="BL19" s="2061"/>
      <c r="BM19" s="2061"/>
      <c r="BN19" s="2061"/>
      <c r="BO19" s="3178"/>
      <c r="BP19" s="3178"/>
      <c r="BQ19" s="2061"/>
      <c r="BR19" s="2061"/>
      <c r="BS19" s="2061"/>
      <c r="BT19" s="2061"/>
      <c r="BU19" s="2061"/>
      <c r="BV19" s="2061"/>
      <c r="BW19" s="2061"/>
      <c r="BX19" s="2061"/>
      <c r="BY19" s="2061"/>
      <c r="BZ19" s="2061"/>
      <c r="CA19" s="2061"/>
      <c r="CB19" s="2061"/>
      <c r="CC19" s="2061"/>
      <c r="CD19" s="2061"/>
      <c r="CE19" s="2061"/>
      <c r="CF19" s="2061"/>
      <c r="CG19" s="2061"/>
      <c r="CH19" s="2061"/>
      <c r="CI19" s="2061"/>
      <c r="CJ19" s="2061"/>
      <c r="CK19" s="2061"/>
      <c r="CL19" s="39" t="str">
        <f>IF(AND(State="Vapor",Reactive_Only&lt;&gt;"Yes",Overflow_Location&lt;&gt;"Does Not Vent to Atmosphere"),"X","")</f>
        <v/>
      </c>
      <c r="CM19" s="2061"/>
      <c r="CN19" s="2061"/>
      <c r="CO19" s="2061"/>
      <c r="CP19" s="2061"/>
      <c r="CQ19" s="2061"/>
      <c r="CR19" s="2061"/>
      <c r="CS19" s="2061"/>
      <c r="CT19" s="2061"/>
      <c r="CU19" s="2061"/>
      <c r="CV19" s="2061"/>
      <c r="CW19" s="2061"/>
      <c r="CX19" s="2061"/>
      <c r="CY19" s="2061"/>
      <c r="CZ19" s="2061"/>
      <c r="DA19" s="2061"/>
      <c r="DB19" s="2061"/>
      <c r="DC19" s="2061"/>
      <c r="DD19" s="2061"/>
      <c r="DE19" s="2061"/>
      <c r="DF19" s="2061"/>
      <c r="DG19" s="2061"/>
      <c r="DH19" s="2061"/>
      <c r="DI19" s="2061"/>
      <c r="DJ19" s="2061"/>
      <c r="DL19" s="2061"/>
      <c r="DM19" s="2061"/>
      <c r="DN19" s="2061"/>
      <c r="DO19" s="2061"/>
      <c r="DP19" s="2061"/>
      <c r="DQ19" s="2061"/>
      <c r="DT19" s="3089" t="str">
        <f t="shared" si="5"/>
        <v/>
      </c>
      <c r="DV19" s="39" t="s">
        <v>514</v>
      </c>
      <c r="DW19" s="35"/>
      <c r="DX19" s="4" t="e">
        <f>LEFT(INDEX('Scenario Analysis'!GR$5:GR$47,MATCH("X",BJ19:CZ19,0)),LEN(INDEX('Scenario Analysis'!GR$5:GR$47,MATCH("X",BJ19:CZ19,0)))-2)</f>
        <v>#N/A</v>
      </c>
      <c r="DY19" s="4" t="e">
        <f>LEFT(INDEX('Scenario Analysis'!GR$49:GR$56,MATCH("X",DB19:DI19,0)),LEN(INDEX('Scenario Analysis'!GR$49:GR$56,MATCH("X",DB19:DI19,0)))-2)</f>
        <v>#N/A</v>
      </c>
      <c r="DZ19" s="39" t="str">
        <f>IF(AND(ISERROR(DX19),ISERROR(DY19)),"Consequence Does Not Exceed Threshold Criteria for Continuing with LOPA",IF(ISERROR(DX19),IF(DY19="","Consequence Does Not Exceed Threshold Criteria for Continuing with LOPA",DY19),IF(ISERROR(DY19),IF(DX19="","Consequence Does Not Exceed Threshold Criteria for Continuing with LOPA",DX19),DX19&amp;"; "&amp;DY19)))</f>
        <v>Consequence Does Not Exceed Threshold Criteria for Continuing with LOPA</v>
      </c>
      <c r="EB19" s="39" t="e">
        <f>IF(INDEX($E$6:$AI$63,ROW(E19:AI$63)-5,MATCH(Equipment,Equipment_Type,0))="X",IF(DZ19&lt;&gt;"Consequence Does Not Exceed Threshold Criteria for Continuing with LOPA","Included","Excluded"),"")</f>
        <v>#N/A</v>
      </c>
      <c r="ED19" s="2906" t="str">
        <f>IF('Workbook Notes'!D68&lt;&gt;"",CHAR(7)&amp;'Workbook Notes'!D68,"")</f>
        <v/>
      </c>
      <c r="EE19" s="2930"/>
      <c r="EF19" s="2930" t="str">
        <f t="shared" si="1"/>
        <v>Exhaustion of Scrubbing Media</v>
      </c>
      <c r="EG19" s="2943"/>
      <c r="EH19" s="2943"/>
      <c r="EI19" s="2943"/>
      <c r="EK19" s="2907" t="str">
        <f ca="1">IF(ISTEXT(VLOOKUP(C19,INDIRECT("'Scenario List'!A11"):INDIRECT("'Scenario List'!V60"),20,FALSE))=TRUE,VLOOKUP(C19,INDIRECT("'Scenario List'!A11"):INDIRECT("'Scenario List'!V60"),20,FALSE),"")</f>
        <v/>
      </c>
      <c r="EL19" s="2907" t="str">
        <f ca="1">IF(ISTEXT(VLOOKUP(C19,INDIRECT("'Scenario List'!A11"):INDIRECT("'Scenario List'!V60"),21,FALSE))=TRUE,VLOOKUP(C19,INDIRECT("'Scenario List'!A11"):INDIRECT("'Scenario List'!V60"),21,FALSE),"")</f>
        <v/>
      </c>
      <c r="EM19" s="2907" t="str">
        <f ca="1">IF(ISTEXT(VLOOKUP(C19,INDIRECT("'Scenario List'!A11"):INDIRECT("'Scenario List'!V60"),22,FALSE))=TRUE,VLOOKUP(C19,INDIRECT("'Scenario List'!A11"):INDIRECT("'Scenario List'!V60"),22,FALSE),"")</f>
        <v/>
      </c>
      <c r="EO19" s="2907" t="str">
        <f ca="1">IF(INDIRECT("'Scenario List'!A24")="","",INDIRECT("'Scenario List'!A24"))</f>
        <v/>
      </c>
      <c r="EP19" s="2907" t="str">
        <f t="shared" ca="1" si="2"/>
        <v/>
      </c>
      <c r="EQ19" s="2907" t="str">
        <f t="shared" ca="1" si="3"/>
        <v/>
      </c>
      <c r="ER19" s="2907" t="str">
        <f t="shared" ca="1" si="4"/>
        <v/>
      </c>
    </row>
    <row r="20" spans="3:148" x14ac:dyDescent="0.25">
      <c r="C20" s="39" t="s">
        <v>4002</v>
      </c>
      <c r="D20" s="35"/>
      <c r="E20" s="39" t="str">
        <f>IF(AND(Flammable_Potential="Yes",Overflow_Location="Fired Equip (TOX- Flare)"),"X","")</f>
        <v/>
      </c>
      <c r="F20" s="39" t="str">
        <f>IF(AND(Dust_Deflagration="Yes",Overflow_Location="Fired Equip (TOX- Flare)"),"X","")</f>
        <v/>
      </c>
      <c r="G20" s="39" t="str">
        <f>IF(AND(Dust_Deflagration="Yes",Overflow_Location="Fired Equip (TOX- Flare)"),"X","")</f>
        <v/>
      </c>
      <c r="H20" s="34"/>
      <c r="I20" s="39" t="str">
        <f>IF(AND(Dust_Deflagration="Yes",Overflow_Location="Fired Equip (TOX- Flare)"),"X","")</f>
        <v/>
      </c>
      <c r="J20" s="39" t="str">
        <f>IF(AND(Dust_Deflagration="Yes",Overflow_Location="Fired Equip (TOX- Flare)"),"X","")</f>
        <v/>
      </c>
      <c r="K20" s="39" t="str">
        <f>IF(AND(Flammable_Potential="Yes",Overflow_Location="Fired Equip (TOX- Flare)"),"X","")</f>
        <v/>
      </c>
      <c r="L20" s="39" t="str">
        <f>IF(AND(Flammable_Potential="Yes",Overflow_Location="Fired Equip (TOX- Flare)"),"X","")</f>
        <v/>
      </c>
      <c r="M20" s="34"/>
      <c r="N20" s="39" t="str">
        <f>IF(AND(Dust_Deflagration="Yes",Overflow_Location="Fired Equip (TOX- Flare)"),"X","")</f>
        <v/>
      </c>
      <c r="O20" s="39" t="str">
        <f>IF(AND(Dust_Deflagration="Yes",Overflow_Location="Fired Equip (TOX- Flare)"),"X","")</f>
        <v/>
      </c>
      <c r="P20" s="39" t="str">
        <f>IF(AND(Dust_Deflagration="Yes",Overflow_Location="Fired Equip (TOX- Flare)"),"X","")</f>
        <v/>
      </c>
      <c r="Q20" s="39" t="str">
        <f>IF(AND(Flammable_Potential="Yes",Overflow_Location="Fired Equip (TOX- Flare)"),"X","")</f>
        <v/>
      </c>
      <c r="R20" s="39" t="str">
        <f>IF(AND(Flammable_Potential="Yes",Overflow_Location="Fired Equip (TOX- Flare)"),"X","")</f>
        <v/>
      </c>
      <c r="S20" s="39"/>
      <c r="T20" s="34"/>
      <c r="U20" s="34"/>
      <c r="V20" s="34"/>
      <c r="W20" s="34"/>
      <c r="X20" s="34"/>
      <c r="Y20" s="39" t="str">
        <f>IF(AND(Flammable_Potential="Yes",Overflow_Location="Fired Equip (TOX- Flare)"),"X","")</f>
        <v/>
      </c>
      <c r="Z20" s="39" t="str">
        <f>IF(AND(Dust_Deflagration="Yes",Overflow_Location="Fired Equip (TOX- Flare)"),"X","")</f>
        <v/>
      </c>
      <c r="AA20" s="39" t="str">
        <f>IF(AND(Dust_Deflagration="Yes",Overflow_Location="Fired Equip (TOX- Flare)"),"X","")</f>
        <v/>
      </c>
      <c r="AB20" s="34"/>
      <c r="AC20" s="34"/>
      <c r="AD20" s="39" t="str">
        <f>IF(AND(Dust_Deflagration="Yes",Overflow_Location="Fired Equip (TOX- Flare)"),"X","")</f>
        <v/>
      </c>
      <c r="AE20" s="39" t="str">
        <f>IF(AND(Flammable_Potential="Yes",Overflow_Location="Fired Equip (TOX- Flare)"),"X","")</f>
        <v/>
      </c>
      <c r="AF20" s="39" t="str">
        <f>IF(AND(Flammable_Potential="Yes",Overflow_Location="Fired Equip (TOX- Flare)"),"X","")</f>
        <v/>
      </c>
      <c r="AG20" s="2048"/>
      <c r="AH20" s="39" t="str">
        <f>IF(AND(Flammable_Potential="Yes",Overflow_Location="Fired Equip (TOX- Flare)"),"X","")</f>
        <v/>
      </c>
      <c r="AI20" s="34"/>
      <c r="AJ20" s="35"/>
      <c r="AK20" s="459" t="s">
        <v>1742</v>
      </c>
      <c r="AL20" s="34"/>
      <c r="AM20" s="34"/>
      <c r="AN20" s="34"/>
      <c r="AO20" s="34"/>
      <c r="AP20" s="34"/>
      <c r="AQ20" s="739"/>
      <c r="AR20" s="34"/>
      <c r="AS20" s="1000"/>
      <c r="AT20" s="34"/>
      <c r="AU20" s="34"/>
      <c r="AV20" s="34"/>
      <c r="AW20" s="34"/>
      <c r="AX20" s="34"/>
      <c r="AY20" s="34"/>
      <c r="AZ20" s="34"/>
      <c r="BA20" s="34"/>
      <c r="BB20" s="34"/>
      <c r="BC20" s="34"/>
      <c r="BD20" s="34"/>
      <c r="BE20" s="34"/>
      <c r="BF20" s="34"/>
      <c r="BG20" s="34"/>
      <c r="BH20" s="34"/>
      <c r="BI20" s="35"/>
      <c r="BJ20" s="34"/>
      <c r="BK20" s="34"/>
      <c r="BL20" s="1853"/>
      <c r="BM20" s="34"/>
      <c r="BN20" s="34"/>
      <c r="BO20" s="3178"/>
      <c r="BP20" s="3178"/>
      <c r="BQ20" s="34"/>
      <c r="BR20" s="34"/>
      <c r="BS20" s="34"/>
      <c r="BT20" s="34"/>
      <c r="BU20" s="1853"/>
      <c r="BV20" s="1853"/>
      <c r="BW20" s="34"/>
      <c r="BX20" s="34"/>
      <c r="BY20" s="34"/>
      <c r="BZ20" s="34"/>
      <c r="CA20" s="34"/>
      <c r="CB20" s="34"/>
      <c r="CC20" s="34"/>
      <c r="CD20" s="34"/>
      <c r="CE20" s="34"/>
      <c r="CF20" s="1476"/>
      <c r="CG20" s="34"/>
      <c r="CH20" s="34"/>
      <c r="CI20" s="34"/>
      <c r="CJ20" s="34"/>
      <c r="CK20" s="34"/>
      <c r="CL20" s="1035"/>
      <c r="CM20" s="739"/>
      <c r="CN20" s="739"/>
      <c r="CO20" s="34"/>
      <c r="CP20" s="34"/>
      <c r="CQ20" s="34"/>
      <c r="CR20" s="34"/>
      <c r="CS20" s="34"/>
      <c r="CT20" s="34"/>
      <c r="CU20" s="34"/>
      <c r="CV20" s="781"/>
      <c r="CW20" s="34"/>
      <c r="CX20" s="34"/>
      <c r="CY20" s="34"/>
      <c r="CZ20" s="34"/>
      <c r="DA20" s="34"/>
      <c r="DB20" s="39" t="str">
        <f>IF(AND(Reactive_Only&lt;&gt;"Yes",Peak_Deflag&lt;=Burst_P),"X","")</f>
        <v/>
      </c>
      <c r="DC20" s="34"/>
      <c r="DD20" s="34"/>
      <c r="DE20" s="34"/>
      <c r="DF20" s="499"/>
      <c r="DG20" s="34"/>
      <c r="DH20" s="2585" t="str">
        <f>IF(AND(Reactive_Only&lt;&gt;"Yes",Peak_Deflag&gt;Burst_P),"X","")</f>
        <v>X</v>
      </c>
      <c r="DI20" s="34"/>
      <c r="DJ20" s="34"/>
      <c r="DL20" s="34"/>
      <c r="DM20" s="34"/>
      <c r="DN20" s="1700"/>
      <c r="DO20" s="34"/>
      <c r="DP20" s="34"/>
      <c r="DQ20" s="34"/>
      <c r="DT20" s="3089" t="str">
        <f t="shared" si="5"/>
        <v/>
      </c>
      <c r="DV20" s="39" t="s">
        <v>514</v>
      </c>
      <c r="DW20" s="35"/>
      <c r="DX20" s="4" t="e">
        <f>LEFT(INDEX('Scenario Analysis'!GR$5:GR$47,MATCH("X",BJ20:CZ20,0)),LEN(INDEX('Scenario Analysis'!GR$5:GR$47,MATCH("X",BJ20:CZ20,0)))-2)</f>
        <v>#N/A</v>
      </c>
      <c r="DY20" s="4" t="e">
        <f>LEFT(INDEX('Scenario Analysis'!GR$49:GR$56,MATCH("X",DB20:DI20,0)),LEN(INDEX('Scenario Analysis'!GR$49:GR$56,MATCH("X",DB20:DI20,0)))-2)</f>
        <v>#VALUE!</v>
      </c>
      <c r="DZ20" s="39" t="str">
        <f t="shared" si="6"/>
        <v>Consequence Does Not Exceed Threshold Criteria for Continuing with LOPA</v>
      </c>
      <c r="EB20" s="39" t="e">
        <f>IF(INDEX($E$6:$AI$63,ROW(E20:AI$63)-5,MATCH(Equipment,Equipment_Type,0))="X",IF(DZ20&lt;&gt;"Consequence Does Not Exceed Threshold Criteria for Continuing with LOPA","Included","Excluded"),"")</f>
        <v>#N/A</v>
      </c>
      <c r="ED20" s="2906" t="str">
        <f>CHAR(7)&amp;IPLD_FE_30&amp;CHAR(10)&amp;IF('Workbook Notes'!D68&lt;&gt;"",CHAR(7)&amp;'Workbook Notes'!D68,"")</f>
        <v xml:space="preserve">_x0007_Low vent pressure or high temperature at flame arrestor closes feed valve
</v>
      </c>
      <c r="EE20" s="2930"/>
      <c r="EF20" s="2930" t="str">
        <f t="shared" si="1"/>
        <v>Flash Back of Vent to Fired Equipment</v>
      </c>
      <c r="EG20" s="2943"/>
      <c r="EH20" s="2943"/>
      <c r="EI20" s="2943"/>
      <c r="EK20" s="2907" t="str">
        <f ca="1">IF(ISTEXT(VLOOKUP(C20,INDIRECT("'Scenario List'!A11"):INDIRECT("'Scenario List'!V60"),20,FALSE))=TRUE,VLOOKUP(C20,INDIRECT("'Scenario List'!A11"):INDIRECT("'Scenario List'!V60"),20,FALSE),"")</f>
        <v/>
      </c>
      <c r="EL20" s="2907" t="str">
        <f ca="1">IF(ISTEXT(VLOOKUP(C20,INDIRECT("'Scenario List'!A11"):INDIRECT("'Scenario List'!V60"),21,FALSE))=TRUE,VLOOKUP(C20,INDIRECT("'Scenario List'!A11"):INDIRECT("'Scenario List'!V60"),21,FALSE),"")</f>
        <v/>
      </c>
      <c r="EM20" s="2907" t="str">
        <f ca="1">IF(ISTEXT(VLOOKUP(C20,INDIRECT("'Scenario List'!A11"):INDIRECT("'Scenario List'!V60"),22,FALSE))=TRUE,VLOOKUP(C20,INDIRECT("'Scenario List'!A11"):INDIRECT("'Scenario List'!V60"),22,FALSE),"")</f>
        <v/>
      </c>
      <c r="EO20" s="2907" t="str">
        <f ca="1">IF(INDIRECT("'Scenario List'!A25")="","",INDIRECT("'Scenario List'!A25"))</f>
        <v/>
      </c>
      <c r="EP20" s="2907" t="str">
        <f t="shared" ca="1" si="2"/>
        <v/>
      </c>
      <c r="EQ20" s="2907" t="str">
        <f t="shared" ca="1" si="3"/>
        <v/>
      </c>
      <c r="ER20" s="2907" t="str">
        <f t="shared" ca="1" si="4"/>
        <v/>
      </c>
    </row>
    <row r="21" spans="3:148" x14ac:dyDescent="0.25">
      <c r="C21" s="39" t="s">
        <v>24</v>
      </c>
      <c r="D21" s="35"/>
      <c r="E21" s="34"/>
      <c r="F21" s="34"/>
      <c r="G21" s="34"/>
      <c r="H21" s="34"/>
      <c r="I21" s="34"/>
      <c r="J21" s="34"/>
      <c r="K21" s="34"/>
      <c r="L21" s="34"/>
      <c r="M21" s="34"/>
      <c r="N21" s="34"/>
      <c r="O21" s="34"/>
      <c r="P21" s="34"/>
      <c r="Q21" s="34"/>
      <c r="R21" s="34"/>
      <c r="S21" s="39" t="str">
        <f t="shared" ref="S21:U24" si="10">IF(Exclude_MI&lt;&gt;"Only MI","X","")</f>
        <v>X</v>
      </c>
      <c r="T21" s="39" t="str">
        <f t="shared" si="10"/>
        <v>X</v>
      </c>
      <c r="U21" s="39" t="str">
        <f t="shared" si="10"/>
        <v>X</v>
      </c>
      <c r="V21" s="34"/>
      <c r="W21" s="34"/>
      <c r="X21" s="34"/>
      <c r="Y21" s="34"/>
      <c r="Z21" s="34"/>
      <c r="AA21" s="34"/>
      <c r="AB21" s="34"/>
      <c r="AC21" s="34"/>
      <c r="AD21" s="34"/>
      <c r="AE21" s="34"/>
      <c r="AF21" s="34"/>
      <c r="AG21" s="2048"/>
      <c r="AH21" s="63"/>
      <c r="AI21" s="34"/>
      <c r="AJ21" s="35"/>
      <c r="AK21" s="459" t="s">
        <v>1742</v>
      </c>
      <c r="AL21" s="34"/>
      <c r="AM21" s="459" t="s">
        <v>1742</v>
      </c>
      <c r="AN21" s="34"/>
      <c r="AO21" s="34"/>
      <c r="AP21" s="34"/>
      <c r="AQ21" s="739"/>
      <c r="AR21" s="34"/>
      <c r="AS21" s="1000"/>
      <c r="AT21" s="34"/>
      <c r="AU21" s="34"/>
      <c r="AV21" s="34"/>
      <c r="AW21" s="34"/>
      <c r="AX21" s="34"/>
      <c r="AY21" s="34"/>
      <c r="AZ21" s="34"/>
      <c r="BA21" s="34"/>
      <c r="BB21" s="34"/>
      <c r="BC21" s="34"/>
      <c r="BD21" s="34"/>
      <c r="BE21" s="34"/>
      <c r="BF21" s="34"/>
      <c r="BG21" s="34"/>
      <c r="BH21" s="34"/>
      <c r="BI21" s="35"/>
      <c r="BJ21" s="34"/>
      <c r="BK21" s="34"/>
      <c r="BL21" s="1853"/>
      <c r="BM21" s="34"/>
      <c r="BN21" s="34"/>
      <c r="BO21" s="3178"/>
      <c r="BP21" s="3178"/>
      <c r="BQ21" s="34"/>
      <c r="BR21" s="34"/>
      <c r="BS21" s="34"/>
      <c r="BT21" s="34"/>
      <c r="BU21" s="1853"/>
      <c r="BV21" s="1853"/>
      <c r="BW21" s="34"/>
      <c r="BX21" s="34"/>
      <c r="BY21" s="34"/>
      <c r="BZ21" s="34"/>
      <c r="CA21" s="34"/>
      <c r="CB21" s="34"/>
      <c r="CC21" s="34"/>
      <c r="CD21" s="34"/>
      <c r="CE21" s="34"/>
      <c r="CF21" s="1476"/>
      <c r="CG21" s="34"/>
      <c r="CH21" s="34"/>
      <c r="CI21" s="34"/>
      <c r="CJ21" s="34"/>
      <c r="CK21" s="34"/>
      <c r="CL21" s="1035"/>
      <c r="CM21" s="739"/>
      <c r="CN21" s="739"/>
      <c r="CO21" s="34"/>
      <c r="CP21" s="34"/>
      <c r="CQ21" s="34"/>
      <c r="CR21" s="34"/>
      <c r="CS21" s="34"/>
      <c r="CT21" s="34"/>
      <c r="CU21" s="34"/>
      <c r="CV21" s="781"/>
      <c r="CW21" s="34"/>
      <c r="CX21" s="34"/>
      <c r="CY21" s="34"/>
      <c r="CZ21" s="34"/>
      <c r="DA21" s="34"/>
      <c r="DB21" s="39" t="str">
        <f>IF(AND(Reactive_Only&lt;&gt;"Yes",Peak_Deflag&lt;=Burst_P),"X","")</f>
        <v/>
      </c>
      <c r="DC21" s="34"/>
      <c r="DD21" s="34"/>
      <c r="DE21" s="34"/>
      <c r="DF21" s="499"/>
      <c r="DG21" s="34"/>
      <c r="DH21" s="39" t="str">
        <f>IF(AND(Reactive_Only&lt;&gt;"Yes",Peak_Deflag&gt;Burst_P),"X","")</f>
        <v>X</v>
      </c>
      <c r="DI21" s="34"/>
      <c r="DJ21" s="34"/>
      <c r="DL21" s="34"/>
      <c r="DM21" s="34"/>
      <c r="DN21" s="1700"/>
      <c r="DO21" s="34"/>
      <c r="DP21" s="34"/>
      <c r="DQ21" s="34"/>
      <c r="DT21" s="3089" t="str">
        <f t="shared" si="5"/>
        <v/>
      </c>
      <c r="DV21" s="39" t="s">
        <v>1980</v>
      </c>
      <c r="DW21" s="35"/>
      <c r="DX21" s="4" t="e">
        <f>LEFT(INDEX('Scenario Analysis'!GR$5:GR$47,MATCH("X",BJ21:CZ21,0)),LEN(INDEX('Scenario Analysis'!GR$5:GR$47,MATCH("X",BJ21:CZ21,0)))-2)</f>
        <v>#N/A</v>
      </c>
      <c r="DY21" s="4" t="e">
        <f>LEFT(INDEX('Scenario Analysis'!GR$49:GR$56,MATCH("X",DB21:DI21,0)),LEN(INDEX('Scenario Analysis'!GR$49:GR$56,MATCH("X",DB21:DI21,0)))-2)</f>
        <v>#VALUE!</v>
      </c>
      <c r="DZ21" s="39" t="str">
        <f t="shared" si="6"/>
        <v>Consequence Does Not Exceed Threshold Criteria for Continuing with LOPA</v>
      </c>
      <c r="EB21" s="39" t="e">
        <f>IF(INDEX($E$6:$AI$63,ROW(E21:AI$63)-5,MATCH(Equipment,Equipment_Type,0))="X",IF(DZ21&lt;&gt;"Consequence Does Not Exceed Threshold Criteria for Continuing with LOPA","Included","Excluded"),"")</f>
        <v>#N/A</v>
      </c>
      <c r="ED21" s="2906" t="str">
        <f>CHAR(7)&amp;IPLD_FE_1&amp;CHAR(10)&amp;CHAR(7)&amp;IPLD_FE_4&amp;CHAR(10)&amp;IF('Workbook Notes'!D69&lt;&gt;"",CHAR(7)&amp;'Workbook Notes'!D69,"")</f>
        <v xml:space="preserve">_x0007_Flame Detector Closes all Fuel Valves if no flame detected within time interval
_x0007_Proper position on Primary Fuel Valve necessary for Fuel Block Valves to remain open
</v>
      </c>
      <c r="EE21" s="2930"/>
      <c r="EF21" s="2930" t="str">
        <f t="shared" si="1"/>
        <v>Fuel Accumulation during Light Off</v>
      </c>
      <c r="EG21" s="2943"/>
      <c r="EH21" s="2943"/>
      <c r="EI21" s="2943"/>
      <c r="EK21" s="2907" t="str">
        <f ca="1">IF(ISTEXT(VLOOKUP(C21,INDIRECT("'Scenario List'!A11"):INDIRECT("'Scenario List'!V60"),20,FALSE))=TRUE,VLOOKUP(C21,INDIRECT("'Scenario List'!A11"):INDIRECT("'Scenario List'!V60"),20,FALSE),"")</f>
        <v/>
      </c>
      <c r="EL21" s="2907" t="str">
        <f ca="1">IF(ISTEXT(VLOOKUP(C21,INDIRECT("'Scenario List'!A11"):INDIRECT("'Scenario List'!V60"),21,FALSE))=TRUE,VLOOKUP(C21,INDIRECT("'Scenario List'!A11"):INDIRECT("'Scenario List'!V60"),21,FALSE),"")</f>
        <v/>
      </c>
      <c r="EM21" s="2907" t="str">
        <f ca="1">IF(ISTEXT(VLOOKUP(C21,INDIRECT("'Scenario List'!A11"):INDIRECT("'Scenario List'!V60"),22,FALSE))=TRUE,VLOOKUP(C21,INDIRECT("'Scenario List'!A11"):INDIRECT("'Scenario List'!V60"),22,FALSE),"")</f>
        <v/>
      </c>
      <c r="EO21" s="2907" t="str">
        <f ca="1">IF(INDIRECT("'Scenario List'!A26")="","",INDIRECT("'Scenario List'!A26"))</f>
        <v/>
      </c>
      <c r="EP21" s="2907" t="str">
        <f t="shared" ca="1" si="2"/>
        <v/>
      </c>
      <c r="EQ21" s="2907" t="str">
        <f t="shared" ca="1" si="3"/>
        <v/>
      </c>
      <c r="ER21" s="2907" t="str">
        <f t="shared" ca="1" si="4"/>
        <v/>
      </c>
    </row>
    <row r="22" spans="3:148" x14ac:dyDescent="0.25">
      <c r="C22" s="39" t="s">
        <v>1202</v>
      </c>
      <c r="D22" s="35"/>
      <c r="E22" s="34"/>
      <c r="F22" s="34"/>
      <c r="G22" s="34"/>
      <c r="H22" s="34"/>
      <c r="I22" s="34"/>
      <c r="J22" s="34"/>
      <c r="K22" s="34"/>
      <c r="L22" s="34"/>
      <c r="M22" s="34"/>
      <c r="N22" s="34"/>
      <c r="O22" s="34"/>
      <c r="P22" s="34"/>
      <c r="Q22" s="34"/>
      <c r="R22" s="34"/>
      <c r="S22" s="39" t="str">
        <f t="shared" si="10"/>
        <v>X</v>
      </c>
      <c r="T22" s="39" t="str">
        <f t="shared" si="10"/>
        <v>X</v>
      </c>
      <c r="U22" s="39" t="str">
        <f t="shared" si="10"/>
        <v>X</v>
      </c>
      <c r="V22" s="34"/>
      <c r="W22" s="34"/>
      <c r="X22" s="34"/>
      <c r="Y22" s="34"/>
      <c r="Z22" s="34"/>
      <c r="AA22" s="34"/>
      <c r="AB22" s="34"/>
      <c r="AC22" s="34"/>
      <c r="AD22" s="34"/>
      <c r="AE22" s="34"/>
      <c r="AF22" s="34"/>
      <c r="AG22" s="2048"/>
      <c r="AH22" s="63"/>
      <c r="AI22" s="34"/>
      <c r="AJ22" s="35"/>
      <c r="AK22" s="459" t="s">
        <v>1742</v>
      </c>
      <c r="AL22" s="34"/>
      <c r="AM22" s="459" t="s">
        <v>1742</v>
      </c>
      <c r="AN22" s="34"/>
      <c r="AO22" s="34"/>
      <c r="AP22" s="34"/>
      <c r="AQ22" s="739"/>
      <c r="AR22" s="34"/>
      <c r="AS22" s="1000"/>
      <c r="AT22" s="34"/>
      <c r="AU22" s="34"/>
      <c r="AV22" s="34"/>
      <c r="AW22" s="34"/>
      <c r="AX22" s="34"/>
      <c r="AY22" s="34"/>
      <c r="AZ22" s="34"/>
      <c r="BA22" s="34"/>
      <c r="BB22" s="34"/>
      <c r="BC22" s="34"/>
      <c r="BD22" s="34"/>
      <c r="BE22" s="34"/>
      <c r="BF22" s="34"/>
      <c r="BG22" s="34"/>
      <c r="BH22" s="34"/>
      <c r="BI22" s="35"/>
      <c r="BJ22" s="34"/>
      <c r="BK22" s="34"/>
      <c r="BL22" s="1853"/>
      <c r="BM22" s="34"/>
      <c r="BN22" s="34"/>
      <c r="BO22" s="3178"/>
      <c r="BP22" s="3178"/>
      <c r="BQ22" s="34"/>
      <c r="BR22" s="34"/>
      <c r="BS22" s="34"/>
      <c r="BT22" s="34"/>
      <c r="BU22" s="1853"/>
      <c r="BV22" s="1853"/>
      <c r="BW22" s="34"/>
      <c r="BX22" s="34"/>
      <c r="BY22" s="34"/>
      <c r="BZ22" s="34"/>
      <c r="CA22" s="34"/>
      <c r="CB22" s="34"/>
      <c r="CC22" s="34"/>
      <c r="CD22" s="34"/>
      <c r="CE22" s="34"/>
      <c r="CF22" s="1476"/>
      <c r="CG22" s="34"/>
      <c r="CH22" s="34"/>
      <c r="CI22" s="34"/>
      <c r="CJ22" s="34"/>
      <c r="CK22" s="34"/>
      <c r="CL22" s="1035"/>
      <c r="CM22" s="739"/>
      <c r="CN22" s="739"/>
      <c r="CO22" s="34"/>
      <c r="CP22" s="34"/>
      <c r="CQ22" s="34"/>
      <c r="CR22" s="34"/>
      <c r="CS22" s="34"/>
      <c r="CT22" s="34"/>
      <c r="CU22" s="34"/>
      <c r="CV22" s="781"/>
      <c r="CW22" s="34"/>
      <c r="CX22" s="34"/>
      <c r="CY22" s="34"/>
      <c r="CZ22" s="34"/>
      <c r="DA22" s="34"/>
      <c r="DB22" s="39" t="str">
        <f>IF(AND(Reactive_Only&lt;&gt;"Yes",Peak_Deflag&lt;=Burst_P),"X","")</f>
        <v/>
      </c>
      <c r="DC22" s="34"/>
      <c r="DD22" s="34"/>
      <c r="DE22" s="34"/>
      <c r="DF22" s="499"/>
      <c r="DG22" s="34"/>
      <c r="DH22" s="39" t="str">
        <f>IF(AND(Reactive_Only&lt;&gt;"Yes",Peak_Deflag&gt;Burst_P),"X","")</f>
        <v>X</v>
      </c>
      <c r="DI22" s="34"/>
      <c r="DJ22" s="34"/>
      <c r="DL22" s="34"/>
      <c r="DM22" s="34"/>
      <c r="DN22" s="1700"/>
      <c r="DO22" s="34"/>
      <c r="DP22" s="34"/>
      <c r="DQ22" s="34"/>
      <c r="DT22" s="3089" t="str">
        <f t="shared" si="5"/>
        <v/>
      </c>
      <c r="DV22" s="39" t="s">
        <v>1980</v>
      </c>
      <c r="DW22" s="35"/>
      <c r="DX22" s="4" t="e">
        <f>LEFT(INDEX('Scenario Analysis'!GR$5:GR$47,MATCH("X",BJ22:CZ22,0)),LEN(INDEX('Scenario Analysis'!GR$5:GR$47,MATCH("X",BJ22:CZ22,0)))-2)</f>
        <v>#N/A</v>
      </c>
      <c r="DY22" s="4" t="e">
        <f>LEFT(INDEX('Scenario Analysis'!GR$49:GR$56,MATCH("X",DB22:DI22,0)),LEN(INDEX('Scenario Analysis'!GR$49:GR$56,MATCH("X",DB22:DI22,0)))-2)</f>
        <v>#VALUE!</v>
      </c>
      <c r="DZ22" s="39" t="str">
        <f t="shared" si="6"/>
        <v>Consequence Does Not Exceed Threshold Criteria for Continuing with LOPA</v>
      </c>
      <c r="EB22" s="39" t="e">
        <f>IF(INDEX($E$6:$AI$63,ROW(E22:AI$63)-5,MATCH(Equipment,Equipment_Type,0))="X",IF(DZ22&lt;&gt;"Consequence Does Not Exceed Threshold Criteria for Continuing with LOPA","Included","Excluded"),"")</f>
        <v>#N/A</v>
      </c>
      <c r="ED22" s="2906" t="str">
        <f>CHAR(7)&amp;IPLD_FE_1&amp;CHAR(10)&amp;CHAR(7)&amp;IPLD_FE_6&amp;CHAR(10)&amp;IF('Workbook Notes'!D70&lt;&gt;"",CHAR(7)&amp;'Workbook Notes'!D70,"")</f>
        <v xml:space="preserve">_x0007_Flame Detector Closes all Fuel Valves if no flame detected within time interval
_x0007_Feed Control Valve Closes on Blower Failure or Loss of Air Flow (low air/fuel ratio)
</v>
      </c>
      <c r="EE22" s="2930"/>
      <c r="EF22" s="2930" t="str">
        <f t="shared" si="1"/>
        <v>Fuel Accumulation during Operation</v>
      </c>
      <c r="EG22" s="2943"/>
      <c r="EH22" s="2943"/>
      <c r="EI22" s="2943"/>
      <c r="EK22" s="2907" t="str">
        <f ca="1">IF(ISTEXT(VLOOKUP(C22,INDIRECT("'Scenario List'!A11"):INDIRECT("'Scenario List'!V60"),20,FALSE))=TRUE,VLOOKUP(C22,INDIRECT("'Scenario List'!A11"):INDIRECT("'Scenario List'!V60"),20,FALSE),"")</f>
        <v/>
      </c>
      <c r="EL22" s="2907" t="str">
        <f ca="1">IF(ISTEXT(VLOOKUP(C22,INDIRECT("'Scenario List'!A11"):INDIRECT("'Scenario List'!V60"),21,FALSE))=TRUE,VLOOKUP(C22,INDIRECT("'Scenario List'!A11"):INDIRECT("'Scenario List'!V60"),21,FALSE),"")</f>
        <v/>
      </c>
      <c r="EM22" s="2907" t="str">
        <f ca="1">IF(ISTEXT(VLOOKUP(C22,INDIRECT("'Scenario List'!A11"):INDIRECT("'Scenario List'!V60"),22,FALSE))=TRUE,VLOOKUP(C22,INDIRECT("'Scenario List'!A11"):INDIRECT("'Scenario List'!V60"),22,FALSE),"")</f>
        <v/>
      </c>
      <c r="EO22" s="2907" t="str">
        <f ca="1">IF(INDIRECT("'Scenario List'!A27")="","",INDIRECT("'Scenario List'!A27"))</f>
        <v/>
      </c>
      <c r="EP22" s="2907" t="str">
        <f t="shared" ca="1" si="2"/>
        <v/>
      </c>
      <c r="EQ22" s="2907" t="str">
        <f t="shared" ca="1" si="3"/>
        <v/>
      </c>
      <c r="ER22" s="2907" t="str">
        <f t="shared" ca="1" si="4"/>
        <v/>
      </c>
    </row>
    <row r="23" spans="3:148" x14ac:dyDescent="0.25">
      <c r="C23" s="39" t="s">
        <v>664</v>
      </c>
      <c r="D23" s="35"/>
      <c r="E23" s="34"/>
      <c r="F23" s="34"/>
      <c r="G23" s="34"/>
      <c r="H23" s="34"/>
      <c r="I23" s="34"/>
      <c r="J23" s="34"/>
      <c r="K23" s="34"/>
      <c r="L23" s="34"/>
      <c r="M23" s="34"/>
      <c r="N23" s="34"/>
      <c r="O23" s="34"/>
      <c r="P23" s="34"/>
      <c r="Q23" s="34"/>
      <c r="R23" s="34"/>
      <c r="S23" s="39" t="str">
        <f t="shared" si="10"/>
        <v>X</v>
      </c>
      <c r="T23" s="39" t="str">
        <f t="shared" si="10"/>
        <v>X</v>
      </c>
      <c r="U23" s="39" t="str">
        <f t="shared" si="10"/>
        <v>X</v>
      </c>
      <c r="V23" s="34"/>
      <c r="W23" s="34"/>
      <c r="X23" s="34"/>
      <c r="Y23" s="34"/>
      <c r="Z23" s="34"/>
      <c r="AA23" s="34"/>
      <c r="AB23" s="34"/>
      <c r="AC23" s="34"/>
      <c r="AD23" s="34"/>
      <c r="AE23" s="34"/>
      <c r="AF23" s="34"/>
      <c r="AG23" s="2048"/>
      <c r="AH23" s="63"/>
      <c r="AI23" s="34"/>
      <c r="AJ23" s="35"/>
      <c r="AK23" s="459" t="s">
        <v>1742</v>
      </c>
      <c r="AL23" s="34"/>
      <c r="AM23" s="34"/>
      <c r="AN23" s="34"/>
      <c r="AO23" s="34"/>
      <c r="AP23" s="34"/>
      <c r="AQ23" s="739"/>
      <c r="AR23" s="34"/>
      <c r="AS23" s="1000"/>
      <c r="AT23" s="34"/>
      <c r="AU23" s="34"/>
      <c r="AV23" s="34"/>
      <c r="AW23" s="34"/>
      <c r="AX23" s="34"/>
      <c r="AY23" s="34"/>
      <c r="AZ23" s="34"/>
      <c r="BA23" s="34"/>
      <c r="BB23" s="34"/>
      <c r="BC23" s="34"/>
      <c r="BD23" s="34"/>
      <c r="BE23" s="34"/>
      <c r="BF23" s="34"/>
      <c r="BG23" s="34"/>
      <c r="BH23" s="34"/>
      <c r="BI23" s="35"/>
      <c r="BJ23" s="34"/>
      <c r="BK23" s="34"/>
      <c r="BL23" s="1853"/>
      <c r="BM23" s="34"/>
      <c r="BN23" s="34"/>
      <c r="BO23" s="3178"/>
      <c r="BP23" s="3178"/>
      <c r="BQ23" s="34"/>
      <c r="BR23" s="34"/>
      <c r="BS23" s="34"/>
      <c r="BT23" s="34"/>
      <c r="BU23" s="1853"/>
      <c r="BV23" s="1853"/>
      <c r="BW23" s="34"/>
      <c r="BX23" s="34"/>
      <c r="BY23" s="34"/>
      <c r="BZ23" s="34"/>
      <c r="CA23" s="34"/>
      <c r="CB23" s="34"/>
      <c r="CC23" s="34"/>
      <c r="CD23" s="34"/>
      <c r="CE23" s="34"/>
      <c r="CF23" s="1476"/>
      <c r="CG23" s="34"/>
      <c r="CH23" s="34"/>
      <c r="CI23" s="34"/>
      <c r="CJ23" s="39" t="str">
        <f>IF(AND(State&lt;&gt;"Vapor",Reactive_Only&lt;&gt;"Yes"),"X","")</f>
        <v>X</v>
      </c>
      <c r="CK23" s="34"/>
      <c r="CL23" s="39" t="str">
        <f>IF(AND(State="Vapor",Reactive_Only&lt;&gt;"Yes"),"X","")</f>
        <v/>
      </c>
      <c r="CM23" s="739"/>
      <c r="CN23" s="739"/>
      <c r="CO23" s="34"/>
      <c r="CP23" s="34"/>
      <c r="CQ23" s="34"/>
      <c r="CR23" s="34"/>
      <c r="CS23" s="34"/>
      <c r="CT23" s="34"/>
      <c r="CU23" s="34"/>
      <c r="CV23" s="781"/>
      <c r="CW23" s="34"/>
      <c r="CX23" s="34"/>
      <c r="CY23" s="34"/>
      <c r="CZ23" s="34"/>
      <c r="DA23" s="34"/>
      <c r="DB23" s="39" t="str">
        <f>IF(AND(Reactive_Only&lt;&gt;"Yes",Peak_Deflag&lt;=Burst_P),"X","")</f>
        <v/>
      </c>
      <c r="DC23" s="34"/>
      <c r="DD23" s="34"/>
      <c r="DE23" s="34"/>
      <c r="DF23" s="499"/>
      <c r="DG23" s="34"/>
      <c r="DH23" s="39" t="str">
        <f>IF(AND(Reactive_Only&lt;&gt;"Yes",Peak_Deflag&gt;Burst_P),"X","")</f>
        <v>X</v>
      </c>
      <c r="DI23" s="34"/>
      <c r="DJ23" s="34"/>
      <c r="DL23" s="34"/>
      <c r="DM23" s="34"/>
      <c r="DN23" s="1700"/>
      <c r="DO23" s="34"/>
      <c r="DP23" s="34"/>
      <c r="DQ23" s="34"/>
      <c r="DT23" s="3089" t="str">
        <f t="shared" si="5"/>
        <v/>
      </c>
      <c r="DV23" s="39" t="s">
        <v>1980</v>
      </c>
      <c r="DW23" s="35"/>
      <c r="DX23" s="4" t="e">
        <f>LEFT(INDEX('Scenario Analysis'!GR$5:GR$47,MATCH("X",BJ23:CZ23,0)),LEN(INDEX('Scenario Analysis'!GR$5:GR$47,MATCH("X",BJ23:CZ23,0)))-2)</f>
        <v>#VALUE!</v>
      </c>
      <c r="DY23" s="4" t="e">
        <f>LEFT(INDEX('Scenario Analysis'!GR$49:GR$56,MATCH("X",DB23:DI23,0)),LEN(INDEX('Scenario Analysis'!GR$49:GR$56,MATCH("X",DB23:DI23,0)))-2)</f>
        <v>#VALUE!</v>
      </c>
      <c r="DZ23" s="39" t="str">
        <f t="shared" si="6"/>
        <v>Consequence Does Not Exceed Threshold Criteria for Continuing with LOPA</v>
      </c>
      <c r="EB23" s="39" t="e">
        <f>IF(INDEX($E$6:$AI$63,ROW(E23:AI$63)-5,MATCH(Equipment,Equipment_Type,0))="X",IF(DZ23&lt;&gt;"Consequence Does Not Exceed Threshold Criteria for Continuing with LOPA","Included","Excluded"),"")</f>
        <v>#N/A</v>
      </c>
      <c r="ED23" s="2906" t="str">
        <f>CHAR(7)&amp;IPLD_FE_10&amp;CHAR(10)&amp;CHAR(7)&amp;IPLD_FE_2&amp;CHAR(10)&amp;IF('Workbook Notes'!D71&lt;&gt;"",CHAR(7)&amp;'Workbook Notes'!D71,"")</f>
        <v xml:space="preserve">_x0007_Primary Fuel Block Valves are Closed and Bleed Open while down.
_x0007_Automated purge immediately prior to light off (5 volumes) - burner and stack dampers must be verified open
</v>
      </c>
      <c r="EE23" s="2930"/>
      <c r="EF23" s="2930" t="str">
        <f t="shared" si="1"/>
        <v>Fuel Accumulation while Down</v>
      </c>
      <c r="EG23" s="2943"/>
      <c r="EH23" s="2943"/>
      <c r="EI23" s="2943"/>
      <c r="EK23" s="2907" t="str">
        <f ca="1">IF(ISTEXT(VLOOKUP(C23,INDIRECT("'Scenario List'!A11"):INDIRECT("'Scenario List'!V60"),20,FALSE))=TRUE,VLOOKUP(C23,INDIRECT("'Scenario List'!A11"):INDIRECT("'Scenario List'!V60"),20,FALSE),"")</f>
        <v/>
      </c>
      <c r="EL23" s="2907" t="str">
        <f ca="1">IF(ISTEXT(VLOOKUP(C23,INDIRECT("'Scenario List'!A11"):INDIRECT("'Scenario List'!V60"),21,FALSE))=TRUE,VLOOKUP(C23,INDIRECT("'Scenario List'!A11"):INDIRECT("'Scenario List'!V60"),21,FALSE),"")</f>
        <v/>
      </c>
      <c r="EM23" s="2907" t="str">
        <f ca="1">IF(ISTEXT(VLOOKUP(C23,INDIRECT("'Scenario List'!A11"):INDIRECT("'Scenario List'!V60"),22,FALSE))=TRUE,VLOOKUP(C23,INDIRECT("'Scenario List'!A11"):INDIRECT("'Scenario List'!V60"),22,FALSE),"")</f>
        <v/>
      </c>
      <c r="EO23" s="2907" t="str">
        <f ca="1">IF(INDIRECT("'Scenario List'!A28")="","",INDIRECT("'Scenario List'!A28"))</f>
        <v/>
      </c>
      <c r="EP23" s="2907" t="str">
        <f t="shared" ca="1" si="2"/>
        <v/>
      </c>
      <c r="EQ23" s="2907" t="str">
        <f t="shared" ca="1" si="3"/>
        <v/>
      </c>
      <c r="ER23" s="2907" t="str">
        <f t="shared" ca="1" si="4"/>
        <v/>
      </c>
    </row>
    <row r="24" spans="3:148" x14ac:dyDescent="0.25">
      <c r="C24" s="39" t="s">
        <v>1410</v>
      </c>
      <c r="D24" s="35"/>
      <c r="E24" s="34"/>
      <c r="F24" s="34"/>
      <c r="G24" s="34"/>
      <c r="H24" s="34"/>
      <c r="I24" s="34"/>
      <c r="J24" s="34"/>
      <c r="K24" s="34"/>
      <c r="L24" s="34"/>
      <c r="M24" s="34"/>
      <c r="N24" s="34"/>
      <c r="O24" s="34"/>
      <c r="P24" s="34"/>
      <c r="Q24" s="34"/>
      <c r="R24" s="34"/>
      <c r="S24" s="39" t="str">
        <f t="shared" si="10"/>
        <v>X</v>
      </c>
      <c r="T24" s="39" t="str">
        <f t="shared" si="10"/>
        <v>X</v>
      </c>
      <c r="U24" s="39" t="str">
        <f t="shared" si="10"/>
        <v>X</v>
      </c>
      <c r="V24" s="34"/>
      <c r="W24" s="34"/>
      <c r="X24" s="34"/>
      <c r="Y24" s="34"/>
      <c r="Z24" s="34"/>
      <c r="AA24" s="34"/>
      <c r="AB24" s="34"/>
      <c r="AC24" s="34"/>
      <c r="AD24" s="34"/>
      <c r="AE24" s="34"/>
      <c r="AF24" s="34"/>
      <c r="AG24" s="2048"/>
      <c r="AH24" s="63"/>
      <c r="AI24" s="34"/>
      <c r="AJ24" s="35"/>
      <c r="AK24" s="459" t="s">
        <v>1742</v>
      </c>
      <c r="AL24" s="34"/>
      <c r="AM24" s="34"/>
      <c r="AN24" s="34"/>
      <c r="AO24" s="34"/>
      <c r="AP24" s="34"/>
      <c r="AQ24" s="739"/>
      <c r="AR24" s="34"/>
      <c r="AS24" s="1000"/>
      <c r="AT24" s="34"/>
      <c r="AU24" s="34"/>
      <c r="AV24" s="34"/>
      <c r="AW24" s="34"/>
      <c r="AX24" s="34"/>
      <c r="AY24" s="34"/>
      <c r="AZ24" s="34"/>
      <c r="BA24" s="34"/>
      <c r="BB24" s="34"/>
      <c r="BC24" s="34"/>
      <c r="BD24" s="34"/>
      <c r="BE24" s="34"/>
      <c r="BF24" s="34"/>
      <c r="BG24" s="34"/>
      <c r="BH24" s="34"/>
      <c r="BI24" s="35"/>
      <c r="BJ24" s="34"/>
      <c r="BK24" s="34"/>
      <c r="BL24" s="1853"/>
      <c r="BM24" s="34"/>
      <c r="BN24" s="34"/>
      <c r="BO24" s="3178"/>
      <c r="BP24" s="3178"/>
      <c r="BQ24" s="34"/>
      <c r="BR24" s="34"/>
      <c r="BS24" s="34"/>
      <c r="BT24" s="34"/>
      <c r="BU24" s="1853"/>
      <c r="BV24" s="1853"/>
      <c r="BW24" s="34"/>
      <c r="BX24" s="34"/>
      <c r="BY24" s="34"/>
      <c r="BZ24" s="34"/>
      <c r="CA24" s="34"/>
      <c r="CB24" s="34"/>
      <c r="CC24" s="34"/>
      <c r="CD24" s="34"/>
      <c r="CE24" s="34"/>
      <c r="CF24" s="1476"/>
      <c r="CG24" s="34"/>
      <c r="CH24" s="34"/>
      <c r="CI24" s="34"/>
      <c r="CJ24" s="34"/>
      <c r="CK24" s="34"/>
      <c r="CL24" s="1035"/>
      <c r="CM24" s="739"/>
      <c r="CN24" s="739"/>
      <c r="CO24" s="34"/>
      <c r="CP24" s="34"/>
      <c r="CQ24" s="34"/>
      <c r="CR24" s="34"/>
      <c r="CS24" s="34"/>
      <c r="CT24" s="34"/>
      <c r="CU24" s="34"/>
      <c r="CV24" s="781"/>
      <c r="CW24" s="34"/>
      <c r="CX24" s="34"/>
      <c r="CY24" s="34"/>
      <c r="CZ24" s="34"/>
      <c r="DA24" s="34"/>
      <c r="DB24" s="39" t="str">
        <f>IF(Reactive_Only&lt;&gt;"Yes","X","")</f>
        <v>X</v>
      </c>
      <c r="DC24" s="34"/>
      <c r="DD24" s="34"/>
      <c r="DE24" s="34"/>
      <c r="DF24" s="499"/>
      <c r="DG24" s="34"/>
      <c r="DH24" s="34"/>
      <c r="DI24" s="34"/>
      <c r="DJ24" s="34"/>
      <c r="DL24" s="34"/>
      <c r="DM24" s="34"/>
      <c r="DN24" s="1700"/>
      <c r="DO24" s="34"/>
      <c r="DP24" s="34"/>
      <c r="DQ24" s="34"/>
      <c r="DT24" s="3089" t="str">
        <f t="shared" si="5"/>
        <v/>
      </c>
      <c r="DV24" s="39" t="s">
        <v>1980</v>
      </c>
      <c r="DW24" s="35"/>
      <c r="DX24" s="4" t="e">
        <f>LEFT(INDEX('Scenario Analysis'!GR$5:GR$47,MATCH("X",BJ24:CZ24,0)),LEN(INDEX('Scenario Analysis'!GR$5:GR$47,MATCH("X",BJ24:CZ24,0)))-2)</f>
        <v>#N/A</v>
      </c>
      <c r="DY24" s="4" t="str">
        <f>LEFT(INDEX('Scenario Analysis'!GR$49:GR$56,MATCH("X",DB24:DI24,0)),LEN(INDEX('Scenario Analysis'!GR$49:GR$56,MATCH("X",DB24:DI24,0)))-2)</f>
        <v>Property Damage or Business Loss</v>
      </c>
      <c r="DZ24" s="39" t="str">
        <f t="shared" si="6"/>
        <v>Property Damage or Business Loss</v>
      </c>
      <c r="EB24" s="39" t="e">
        <f>IF(INDEX($E$6:$AI$63,ROW(E24:AI$63)-5,MATCH(Equipment,Equipment_Type,0))="X",IF(DZ24&lt;&gt;"Consequence Does Not Exceed Threshold Criteria for Continuing with LOPA","Included","Excluded"),"")</f>
        <v>#N/A</v>
      </c>
      <c r="ED24" s="2906" t="str">
        <f>CHAR(7)&amp;IPLD_FE_9&amp;CHAR(10)&amp;CHAR(7)&amp;IPLD_FE_5&amp;CHAR(10)&amp;IF('Workbook Notes'!D72&lt;&gt;"",CHAR(7)&amp;'Workbook Notes'!D72,"")</f>
        <v xml:space="preserve">_x0007_High Outlet Temperature Alarm with Operator Response to check fuel flow.
_x0007_Fuel Valves close on High Nozzle Pressure
</v>
      </c>
      <c r="EE24" s="2930"/>
      <c r="EF24" s="2930" t="str">
        <f t="shared" si="1"/>
        <v>High Fuel Flow or Energy Content</v>
      </c>
      <c r="EG24" s="2943"/>
      <c r="EH24" s="2943"/>
      <c r="EI24" s="2943"/>
      <c r="EK24" s="2907" t="str">
        <f ca="1">IF(ISTEXT(VLOOKUP(C24,INDIRECT("'Scenario List'!A11"):INDIRECT("'Scenario List'!V60"),20,FALSE))=TRUE,VLOOKUP(C24,INDIRECT("'Scenario List'!A11"):INDIRECT("'Scenario List'!V60"),20,FALSE),"")</f>
        <v/>
      </c>
      <c r="EL24" s="2907" t="str">
        <f ca="1">IF(ISTEXT(VLOOKUP(C24,INDIRECT("'Scenario List'!A11"):INDIRECT("'Scenario List'!V60"),21,FALSE))=TRUE,VLOOKUP(C24,INDIRECT("'Scenario List'!A11"):INDIRECT("'Scenario List'!V60"),21,FALSE),"")</f>
        <v/>
      </c>
      <c r="EM24" s="2907" t="str">
        <f ca="1">IF(ISTEXT(VLOOKUP(C24,INDIRECT("'Scenario List'!A11"):INDIRECT("'Scenario List'!V60"),22,FALSE))=TRUE,VLOOKUP(C24,INDIRECT("'Scenario List'!A11"):INDIRECT("'Scenario List'!V60"),22,FALSE),"")</f>
        <v/>
      </c>
      <c r="EO24" s="2907" t="str">
        <f ca="1">IF(INDIRECT("'Scenario List'!A29")="","",INDIRECT("'Scenario List'!A29"))</f>
        <v/>
      </c>
      <c r="EP24" s="2907" t="str">
        <f t="shared" ca="1" si="2"/>
        <v/>
      </c>
      <c r="EQ24" s="2907" t="str">
        <f t="shared" ca="1" si="3"/>
        <v/>
      </c>
      <c r="ER24" s="2907" t="str">
        <f t="shared" ca="1" si="4"/>
        <v/>
      </c>
    </row>
    <row r="25" spans="3:148" x14ac:dyDescent="0.25">
      <c r="C25" s="1824" t="s">
        <v>3802</v>
      </c>
      <c r="D25" s="35"/>
      <c r="E25" s="1824" t="str">
        <f>IF(Exclude_MI&lt;&gt;"Only MI","X","")</f>
        <v>X</v>
      </c>
      <c r="F25" s="1825"/>
      <c r="G25" s="1825"/>
      <c r="H25" s="1825"/>
      <c r="I25" s="1825"/>
      <c r="J25" s="1825"/>
      <c r="K25" s="1824" t="str">
        <f>IF(Exclude_MI&lt;&gt;"Only MI","X","")</f>
        <v>X</v>
      </c>
      <c r="L25" s="1825"/>
      <c r="M25" s="1825"/>
      <c r="N25" s="1825"/>
      <c r="O25" s="1825"/>
      <c r="P25" s="1825"/>
      <c r="Q25" s="1824" t="str">
        <f>IF(Exclude_MI&lt;&gt;"Only MI","X","")</f>
        <v>X</v>
      </c>
      <c r="R25" s="1825"/>
      <c r="S25" s="1825"/>
      <c r="T25" s="1825"/>
      <c r="U25" s="1825"/>
      <c r="V25" s="1825"/>
      <c r="W25" s="1824" t="str">
        <f>IF(Exclude_MI&lt;&gt;"Only MI","X","")</f>
        <v>X</v>
      </c>
      <c r="X25" s="1825"/>
      <c r="Y25" s="1824" t="str">
        <f>IF(Exclude_MI&lt;&gt;"Only MI","X","")</f>
        <v>X</v>
      </c>
      <c r="Z25" s="1825"/>
      <c r="AA25" s="1825"/>
      <c r="AB25" s="1825"/>
      <c r="AC25" s="1825"/>
      <c r="AD25" s="1825"/>
      <c r="AE25" s="1824" t="str">
        <f>IF(Exclude_MI&lt;&gt;"Only MI","X","")</f>
        <v>X</v>
      </c>
      <c r="AF25" s="2048"/>
      <c r="AG25" s="2048"/>
      <c r="AH25" s="1824" t="str">
        <f>IF(Exclude_MI&lt;&gt;"Only MI","X","")</f>
        <v>X</v>
      </c>
      <c r="AI25" s="1825"/>
      <c r="AJ25" s="35"/>
      <c r="AK25" s="39" t="s">
        <v>1742</v>
      </c>
      <c r="AL25" s="1825"/>
      <c r="AM25" s="1825"/>
      <c r="AN25" s="1825"/>
      <c r="AO25" s="1825"/>
      <c r="AP25" s="1825"/>
      <c r="AQ25" s="1825"/>
      <c r="AR25" s="1825"/>
      <c r="AS25" s="1825"/>
      <c r="AT25" s="1825"/>
      <c r="AU25" s="1825"/>
      <c r="AV25" s="1825"/>
      <c r="AW25" s="1825"/>
      <c r="AX25" s="1825"/>
      <c r="AY25" s="1825"/>
      <c r="AZ25" s="1825"/>
      <c r="BA25" s="1825"/>
      <c r="BB25" s="1825"/>
      <c r="BC25" s="1825"/>
      <c r="BD25" s="1825"/>
      <c r="BE25" s="1825"/>
      <c r="BF25" s="1825"/>
      <c r="BG25" s="1825"/>
      <c r="BH25" s="1825"/>
      <c r="BI25" s="35"/>
      <c r="BJ25" s="1825"/>
      <c r="BK25" s="1825"/>
      <c r="BL25" s="1853"/>
      <c r="BM25" s="1825"/>
      <c r="BN25" s="1825"/>
      <c r="BO25" s="3178"/>
      <c r="BP25" s="3178"/>
      <c r="BQ25" s="1825"/>
      <c r="BR25" s="1825"/>
      <c r="BS25" s="1825"/>
      <c r="BT25" s="1825"/>
      <c r="BU25" s="1853"/>
      <c r="BV25" s="1853"/>
      <c r="BW25" s="1825"/>
      <c r="BX25" s="1825"/>
      <c r="BY25" s="1825"/>
      <c r="BZ25" s="1825"/>
      <c r="CA25" s="1825"/>
      <c r="CB25" s="1825"/>
      <c r="CC25" s="1825"/>
      <c r="CD25" s="1825"/>
      <c r="CE25" s="1825"/>
      <c r="CF25" s="1825"/>
      <c r="CG25" s="1825"/>
      <c r="CH25" s="1825"/>
      <c r="CI25" s="1825"/>
      <c r="CJ25" s="1825"/>
      <c r="CK25" s="1825"/>
      <c r="CL25" s="1825"/>
      <c r="CM25" s="1825"/>
      <c r="CN25" s="1825"/>
      <c r="CO25" s="1825"/>
      <c r="CP25" s="1825"/>
      <c r="CQ25" s="1825"/>
      <c r="CR25" s="1825"/>
      <c r="CS25" s="1825"/>
      <c r="CT25" s="1825"/>
      <c r="CU25" s="1825"/>
      <c r="CV25" s="1825"/>
      <c r="CW25" s="1825"/>
      <c r="CX25" s="1825"/>
      <c r="CY25" s="1825"/>
      <c r="CZ25" s="1825"/>
      <c r="DA25" s="1825"/>
      <c r="DB25" s="1825"/>
      <c r="DC25" s="39" t="str">
        <f>IF(AND(Feed_T&gt;=Failure_T,Reactive_Only&lt;&gt;"Yes"),"X","")</f>
        <v/>
      </c>
      <c r="DD25" s="1825"/>
      <c r="DE25" s="1825"/>
      <c r="DF25" s="1825"/>
      <c r="DG25" s="1825"/>
      <c r="DH25" s="1825"/>
      <c r="DI25" s="1825"/>
      <c r="DJ25" s="1825"/>
      <c r="DL25" s="1825"/>
      <c r="DM25" s="1825"/>
      <c r="DN25" s="1825"/>
      <c r="DO25" s="1825"/>
      <c r="DP25" s="1825"/>
      <c r="DQ25" s="1825"/>
      <c r="DT25" s="3089" t="str">
        <f t="shared" si="5"/>
        <v/>
      </c>
      <c r="DV25" s="1824" t="s">
        <v>4110</v>
      </c>
      <c r="DW25" s="35"/>
      <c r="DX25" s="4" t="e">
        <f>LEFT(INDEX('Scenario Analysis'!GR$5:GR$47,MATCH("X",BJ25:CZ25,0)),LEN(INDEX('Scenario Analysis'!GR$5:GR$47,MATCH("X",BJ25:CZ25,0)))-2)</f>
        <v>#N/A</v>
      </c>
      <c r="DY25" s="4" t="e">
        <f>LEFT(INDEX('Scenario Analysis'!GR$49:GR$56,MATCH("X",DB25:DI25,0)),LEN(INDEX('Scenario Analysis'!GR$49:GR$56,MATCH("X",DB25:DI25,0)))-2)</f>
        <v>#N/A</v>
      </c>
      <c r="DZ25" s="39" t="str">
        <f t="shared" si="6"/>
        <v>Consequence Does Not Exceed Threshold Criteria for Continuing with LOPA</v>
      </c>
      <c r="EB25" s="39" t="e">
        <f>IF(INDEX($E$6:$AI$63,ROW(E25:AI$63)-5,MATCH(Equipment,Equipment_Type,0))="X",IF(DZ25&lt;&gt;"Consequence Does Not Exceed Threshold Criteria for Continuing with LOPA","Included","Excluded"),"")</f>
        <v>#N/A</v>
      </c>
      <c r="ED25" s="2906" t="str">
        <f>CHAR(7)&amp;IPLD_Gen_10&amp;CHAR(10)&amp;IF('Workbook Notes'!D73&lt;&gt;"",CHAR(7)&amp;'Workbook Notes'!D73,"")</f>
        <v xml:space="preserve">_x0007_High Temperature Closes Heating Media Valve
</v>
      </c>
      <c r="EE25" s="2930"/>
      <c r="EF25" s="2930" t="str">
        <f t="shared" si="1"/>
        <v>High Temperature Failure</v>
      </c>
      <c r="EG25" s="2943"/>
      <c r="EH25" s="2943"/>
      <c r="EI25" s="2943"/>
      <c r="EK25" s="2907" t="str">
        <f ca="1">IF(ISTEXT(VLOOKUP(C25,INDIRECT("'Scenario List'!A11"):INDIRECT("'Scenario List'!V60"),20,FALSE))=TRUE,VLOOKUP(C25,INDIRECT("'Scenario List'!A11"):INDIRECT("'Scenario List'!V60"),20,FALSE),"")</f>
        <v/>
      </c>
      <c r="EL25" s="2907" t="str">
        <f ca="1">IF(ISTEXT(VLOOKUP(C25,INDIRECT("'Scenario List'!A11"):INDIRECT("'Scenario List'!V60"),21,FALSE))=TRUE,VLOOKUP(C25,INDIRECT("'Scenario List'!A11"):INDIRECT("'Scenario List'!V60"),21,FALSE),"")</f>
        <v/>
      </c>
      <c r="EM25" s="2907" t="str">
        <f ca="1">IF(ISTEXT(VLOOKUP(C25,INDIRECT("'Scenario List'!A11"):INDIRECT("'Scenario List'!V60"),22,FALSE))=TRUE,VLOOKUP(C25,INDIRECT("'Scenario List'!A11"):INDIRECT("'Scenario List'!V60"),22,FALSE),"")</f>
        <v/>
      </c>
      <c r="EO25" s="2907" t="str">
        <f ca="1">IF(INDIRECT("'Scenario List'!A30")="","",INDIRECT("'Scenario List'!A30"))</f>
        <v/>
      </c>
      <c r="EP25" s="2907" t="str">
        <f t="shared" ca="1" si="2"/>
        <v/>
      </c>
      <c r="EQ25" s="2907" t="str">
        <f t="shared" ca="1" si="3"/>
        <v/>
      </c>
      <c r="ER25" s="2907" t="str">
        <f t="shared" ca="1" si="4"/>
        <v/>
      </c>
    </row>
    <row r="26" spans="3:148" x14ac:dyDescent="0.25">
      <c r="C26" s="39" t="s">
        <v>548</v>
      </c>
      <c r="D26" s="35"/>
      <c r="E26" s="34"/>
      <c r="F26" s="34"/>
      <c r="G26" s="34"/>
      <c r="H26" s="34"/>
      <c r="I26" s="34"/>
      <c r="J26" s="34"/>
      <c r="K26" s="34"/>
      <c r="L26" s="39" t="str">
        <f>IF(Exclude_MI&lt;&gt;"Only MI","X","")</f>
        <v>X</v>
      </c>
      <c r="M26" s="34"/>
      <c r="N26" s="34"/>
      <c r="O26" s="34"/>
      <c r="P26" s="34"/>
      <c r="Q26" s="34"/>
      <c r="R26" s="34"/>
      <c r="S26" s="34"/>
      <c r="T26" s="34"/>
      <c r="U26" s="34"/>
      <c r="V26" s="34"/>
      <c r="W26" s="34"/>
      <c r="X26" s="34"/>
      <c r="Y26" s="34"/>
      <c r="Z26" s="34"/>
      <c r="AA26" s="34"/>
      <c r="AB26" s="34"/>
      <c r="AC26" s="34"/>
      <c r="AD26" s="34"/>
      <c r="AE26" s="34"/>
      <c r="AF26" s="39" t="str">
        <f>IF(Exclude_MI&lt;&gt;"Only MI","X","")</f>
        <v>X</v>
      </c>
      <c r="AG26" s="2048"/>
      <c r="AH26" s="63"/>
      <c r="AI26" s="34"/>
      <c r="AJ26" s="35"/>
      <c r="AK26" s="34"/>
      <c r="AL26" s="459" t="s">
        <v>1742</v>
      </c>
      <c r="AM26" s="34"/>
      <c r="AN26" s="34"/>
      <c r="AO26" s="34"/>
      <c r="AP26" s="34"/>
      <c r="AQ26" s="739"/>
      <c r="AR26" s="34"/>
      <c r="AS26" s="1000"/>
      <c r="AT26" s="34"/>
      <c r="AU26" s="34"/>
      <c r="AV26" s="34"/>
      <c r="AW26" s="34"/>
      <c r="AX26" s="34"/>
      <c r="AY26" s="34"/>
      <c r="AZ26" s="34"/>
      <c r="BA26" s="34"/>
      <c r="BB26" s="34"/>
      <c r="BC26" s="34"/>
      <c r="BD26" s="34"/>
      <c r="BE26" s="34"/>
      <c r="BF26" s="34"/>
      <c r="BG26" s="34"/>
      <c r="BH26" s="34"/>
      <c r="BI26" s="35"/>
      <c r="BJ26" s="34"/>
      <c r="BK26" s="34"/>
      <c r="BL26" s="1853"/>
      <c r="BM26" s="39" t="str">
        <f>IF(Reactive_Only&lt;&gt;"Yes","X","")</f>
        <v>X</v>
      </c>
      <c r="BN26" s="34"/>
      <c r="BO26" s="3178"/>
      <c r="BP26" s="3178"/>
      <c r="BQ26" s="34"/>
      <c r="BR26" s="34"/>
      <c r="BS26" s="34"/>
      <c r="BT26" s="34"/>
      <c r="BU26" s="1853"/>
      <c r="BV26" s="1853"/>
      <c r="BW26" s="34"/>
      <c r="BX26" s="34"/>
      <c r="BY26" s="34"/>
      <c r="BZ26" s="34"/>
      <c r="CA26" s="34"/>
      <c r="CB26" s="34"/>
      <c r="CC26" s="34"/>
      <c r="CD26" s="34"/>
      <c r="CE26" s="34"/>
      <c r="CF26" s="1476"/>
      <c r="CG26" s="34"/>
      <c r="CH26" s="34"/>
      <c r="CI26" s="34"/>
      <c r="CJ26" s="34"/>
      <c r="CK26" s="34"/>
      <c r="CL26" s="1035"/>
      <c r="CM26" s="739"/>
      <c r="CN26" s="739"/>
      <c r="CO26" s="34"/>
      <c r="CP26" s="34"/>
      <c r="CQ26" s="34"/>
      <c r="CR26" s="34"/>
      <c r="CS26" s="34"/>
      <c r="CT26" s="34"/>
      <c r="CU26" s="34"/>
      <c r="CV26" s="781"/>
      <c r="CW26" s="34"/>
      <c r="CX26" s="34"/>
      <c r="CY26" s="34"/>
      <c r="CZ26" s="34"/>
      <c r="DA26" s="34"/>
      <c r="DB26" s="34"/>
      <c r="DC26" s="2038"/>
      <c r="DD26" s="34"/>
      <c r="DE26" s="34"/>
      <c r="DF26" s="499"/>
      <c r="DG26" s="34"/>
      <c r="DH26" s="34"/>
      <c r="DI26" s="34"/>
      <c r="DJ26" s="34"/>
      <c r="DL26" s="34"/>
      <c r="DM26" s="34"/>
      <c r="DN26" s="1700"/>
      <c r="DO26" s="34"/>
      <c r="DP26" s="34"/>
      <c r="DQ26" s="34"/>
      <c r="DT26" s="3089" t="str">
        <f t="shared" si="5"/>
        <v/>
      </c>
      <c r="DV26" s="39" t="s">
        <v>1176</v>
      </c>
      <c r="DW26" s="35"/>
      <c r="DX26" s="4" t="e">
        <f>LEFT(INDEX('Scenario Analysis'!GR$5:GR$47,MATCH("X",BJ26:CZ26,0)),LEN(INDEX('Scenario Analysis'!GR$5:GR$47,MATCH("X",BJ26:CZ26,0)))-2)</f>
        <v>#VALUE!</v>
      </c>
      <c r="DY26" s="4" t="e">
        <f>LEFT(INDEX('Scenario Analysis'!GR$49:GR$56,MATCH("X",DB26:DI26,0)),LEN(INDEX('Scenario Analysis'!GR$49:GR$56,MATCH("X",DB26:DI26,0)))-2)</f>
        <v>#N/A</v>
      </c>
      <c r="DZ26" s="39" t="str">
        <f t="shared" si="6"/>
        <v>Consequence Does Not Exceed Threshold Criteria for Continuing with LOPA</v>
      </c>
      <c r="EB26" s="39" t="e">
        <f>IF(INDEX($E$6:$AI$63,ROW(E26:AI$63)-5,MATCH(Equipment,Equipment_Type,0))="X",IF(DZ26&lt;&gt;"Consequence Does Not Exceed Threshold Criteria for Continuing with LOPA","Included","Excluded"),"")</f>
        <v>#N/A</v>
      </c>
      <c r="ED26" s="2906" t="str">
        <f>IF('Workbook Notes'!D74&lt;&gt;"",CHAR(7)&amp;'Workbook Notes'!D74,"")</f>
        <v/>
      </c>
      <c r="EE26" s="2930"/>
      <c r="EF26" s="2930" t="str">
        <f t="shared" si="1"/>
        <v>Hose or Loading Arm Connection</v>
      </c>
      <c r="EG26" s="2943"/>
      <c r="EH26" s="2943"/>
      <c r="EI26" s="2943"/>
      <c r="EK26" s="2907" t="str">
        <f ca="1">IF(ISTEXT(VLOOKUP(C26,INDIRECT("'Scenario List'!A11"):INDIRECT("'Scenario List'!V60"),20,FALSE))=TRUE,VLOOKUP(C26,INDIRECT("'Scenario List'!A11"):INDIRECT("'Scenario List'!V60"),20,FALSE),"")</f>
        <v/>
      </c>
      <c r="EL26" s="2907" t="str">
        <f ca="1">IF(ISTEXT(VLOOKUP(C26,INDIRECT("'Scenario List'!A11"):INDIRECT("'Scenario List'!V60"),21,FALSE))=TRUE,VLOOKUP(C26,INDIRECT("'Scenario List'!A11"):INDIRECT("'Scenario List'!V60"),21,FALSE),"")</f>
        <v/>
      </c>
      <c r="EM26" s="2907" t="str">
        <f ca="1">IF(ISTEXT(VLOOKUP(C26,INDIRECT("'Scenario List'!A11"):INDIRECT("'Scenario List'!V60"),22,FALSE))=TRUE,VLOOKUP(C26,INDIRECT("'Scenario List'!A11"):INDIRECT("'Scenario List'!V60"),22,FALSE),"")</f>
        <v/>
      </c>
      <c r="EO26" s="2907" t="str">
        <f ca="1">IF(INDIRECT("'Scenario List'!A31")="","",INDIRECT("'Scenario List'!A31"))</f>
        <v/>
      </c>
      <c r="EP26" s="2907" t="str">
        <f t="shared" ca="1" si="2"/>
        <v/>
      </c>
      <c r="EQ26" s="2907" t="str">
        <f t="shared" ca="1" si="3"/>
        <v/>
      </c>
      <c r="ER26" s="2907" t="str">
        <f t="shared" ca="1" si="4"/>
        <v/>
      </c>
    </row>
    <row r="27" spans="3:148" x14ac:dyDescent="0.25">
      <c r="C27" s="39" t="s">
        <v>2764</v>
      </c>
      <c r="D27" s="35"/>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9" t="str">
        <f>IF(Exclude_MI&lt;&gt;"Only MI","X","")</f>
        <v>X</v>
      </c>
      <c r="AG27" s="2048"/>
      <c r="AH27" s="63"/>
      <c r="AI27" s="34"/>
      <c r="AJ27" s="35"/>
      <c r="AK27" s="34"/>
      <c r="AL27" s="34"/>
      <c r="AM27" s="34"/>
      <c r="AN27" s="34"/>
      <c r="AO27" s="459" t="s">
        <v>1742</v>
      </c>
      <c r="AP27" s="34"/>
      <c r="AQ27" s="739"/>
      <c r="AR27" s="34"/>
      <c r="AS27" s="1000"/>
      <c r="AT27" s="34"/>
      <c r="AU27" s="34"/>
      <c r="AV27" s="34"/>
      <c r="AW27" s="34"/>
      <c r="AX27" s="34"/>
      <c r="AY27" s="34"/>
      <c r="AZ27" s="34"/>
      <c r="BA27" s="34"/>
      <c r="BB27" s="34"/>
      <c r="BC27" s="34"/>
      <c r="BD27" s="34"/>
      <c r="BE27" s="34"/>
      <c r="BF27" s="34"/>
      <c r="BG27" s="34"/>
      <c r="BH27" s="34"/>
      <c r="BI27" s="35"/>
      <c r="BJ27" s="34"/>
      <c r="BK27" s="34"/>
      <c r="BL27" s="1853"/>
      <c r="BM27" s="1853"/>
      <c r="BN27" s="34"/>
      <c r="BO27" s="3178"/>
      <c r="BP27" s="3178"/>
      <c r="BQ27" s="34"/>
      <c r="BR27" s="34"/>
      <c r="BS27" s="34"/>
      <c r="BT27" s="34"/>
      <c r="BU27" s="1853"/>
      <c r="BV27" s="1853"/>
      <c r="BW27" s="34"/>
      <c r="BX27" s="34"/>
      <c r="BY27" s="39" t="str">
        <f>IF(Reactive_Only&lt;&gt;"Yes","X","")</f>
        <v>X</v>
      </c>
      <c r="BZ27" s="34"/>
      <c r="CA27" s="34"/>
      <c r="CB27" s="34"/>
      <c r="CC27" s="34"/>
      <c r="CD27" s="34"/>
      <c r="CE27" s="34"/>
      <c r="CF27" s="1476"/>
      <c r="CG27" s="34"/>
      <c r="CH27" s="34"/>
      <c r="CI27" s="34"/>
      <c r="CJ27" s="34"/>
      <c r="CK27" s="34"/>
      <c r="CL27" s="1035"/>
      <c r="CM27" s="739"/>
      <c r="CN27" s="739"/>
      <c r="CO27" s="34"/>
      <c r="CP27" s="34"/>
      <c r="CQ27" s="34"/>
      <c r="CR27" s="34"/>
      <c r="CS27" s="34"/>
      <c r="CT27" s="34"/>
      <c r="CU27" s="34"/>
      <c r="CV27" s="781"/>
      <c r="CW27" s="34"/>
      <c r="CX27" s="34"/>
      <c r="CY27" s="34"/>
      <c r="CZ27" s="34"/>
      <c r="DA27" s="34"/>
      <c r="DB27" s="34"/>
      <c r="DC27" s="2038"/>
      <c r="DD27" s="34"/>
      <c r="DE27" s="34"/>
      <c r="DF27" s="499"/>
      <c r="DG27" s="34"/>
      <c r="DH27" s="34"/>
      <c r="DI27" s="34"/>
      <c r="DJ27" s="34"/>
      <c r="DL27" s="34"/>
      <c r="DM27" s="34"/>
      <c r="DN27" s="1700"/>
      <c r="DO27" s="34"/>
      <c r="DP27" s="34"/>
      <c r="DQ27" s="34"/>
      <c r="DT27" s="3089" t="str">
        <f t="shared" si="5"/>
        <v/>
      </c>
      <c r="DV27" s="39" t="s">
        <v>1176</v>
      </c>
      <c r="DW27" s="35"/>
      <c r="DX27" s="4" t="e">
        <f>LEFT(INDEX('Scenario Analysis'!GR$5:GR$47,MATCH("X",BJ27:CZ27,0)),LEN(INDEX('Scenario Analysis'!GR$5:GR$47,MATCH("X",BJ27:CZ27,0)))-2)</f>
        <v>#VALUE!</v>
      </c>
      <c r="DY27" s="4" t="e">
        <f>LEFT(INDEX('Scenario Analysis'!GR$49:GR$56,MATCH("X",DB27:DI27,0)),LEN(INDEX('Scenario Analysis'!GR$49:GR$56,MATCH("X",DB27:DI27,0)))-2)</f>
        <v>#N/A</v>
      </c>
      <c r="DZ27" s="39" t="str">
        <f t="shared" si="6"/>
        <v>Consequence Does Not Exceed Threshold Criteria for Continuing with LOPA</v>
      </c>
      <c r="EB27" s="39" t="e">
        <f>IF(INDEX($E$6:$AI$63,ROW(E27:AI$63)-5,MATCH(Equipment,Equipment_Type,0))="X",IF(DZ27&lt;&gt;"Consequence Does Not Exceed Threshold Criteria for Continuing with LOPA","Included","Excluded"),"")</f>
        <v>#N/A</v>
      </c>
      <c r="ED27" s="2906" t="str">
        <f>CHAR(7)&amp;IPLD_T_4&amp;CHAR(10)&amp;IF('Workbook Notes'!D75&lt;&gt;"",CHAR(7)&amp;'Workbook Notes'!D75,"")</f>
        <v xml:space="preserve">_x0007_Placement of wheel chocks, derail device or other device that will prevent movement of trucks or railcars
</v>
      </c>
      <c r="EE27" s="2930"/>
      <c r="EF27" s="2930" t="str">
        <f t="shared" si="1"/>
        <v>Damage from Movement</v>
      </c>
      <c r="EG27" s="2943"/>
      <c r="EH27" s="2943"/>
      <c r="EI27" s="2943"/>
      <c r="EK27" s="2907" t="str">
        <f ca="1">IF(ISTEXT(VLOOKUP(C27,INDIRECT("'Scenario List'!A11"):INDIRECT("'Scenario List'!V60"),20,FALSE))=TRUE,VLOOKUP(C27,INDIRECT("'Scenario List'!A11"):INDIRECT("'Scenario List'!V60"),20,FALSE),"")</f>
        <v/>
      </c>
      <c r="EL27" s="2907" t="str">
        <f ca="1">IF(ISTEXT(VLOOKUP(C27,INDIRECT("'Scenario List'!A11"):INDIRECT("'Scenario List'!V60"),21,FALSE))=TRUE,VLOOKUP(C27,INDIRECT("'Scenario List'!A11"):INDIRECT("'Scenario List'!V60"),21,FALSE),"")</f>
        <v/>
      </c>
      <c r="EM27" s="2907" t="str">
        <f ca="1">IF(ISTEXT(VLOOKUP(C27,INDIRECT("'Scenario List'!A11"):INDIRECT("'Scenario List'!V60"),22,FALSE))=TRUE,VLOOKUP(C27,INDIRECT("'Scenario List'!A11"):INDIRECT("'Scenario List'!V60"),22,FALSE),"")</f>
        <v/>
      </c>
      <c r="EO27" s="2907" t="str">
        <f ca="1">IF(INDIRECT("'Scenario List'!A32")="","",INDIRECT("'Scenario List'!A32"))</f>
        <v/>
      </c>
      <c r="EP27" s="2907" t="str">
        <f t="shared" ca="1" si="2"/>
        <v/>
      </c>
      <c r="EQ27" s="2907" t="str">
        <f t="shared" ca="1" si="3"/>
        <v/>
      </c>
      <c r="ER27" s="2907" t="str">
        <f t="shared" ca="1" si="4"/>
        <v/>
      </c>
    </row>
    <row r="28" spans="3:148" x14ac:dyDescent="0.25">
      <c r="C28" s="39" t="s">
        <v>1026</v>
      </c>
      <c r="D28" s="35"/>
      <c r="E28" s="34"/>
      <c r="F28" s="34"/>
      <c r="G28" s="34"/>
      <c r="H28" s="34"/>
      <c r="I28" s="34"/>
      <c r="J28" s="34"/>
      <c r="K28" s="34"/>
      <c r="L28" s="34"/>
      <c r="M28" s="34"/>
      <c r="N28" s="34"/>
      <c r="O28" s="34"/>
      <c r="P28" s="34"/>
      <c r="Q28" s="34"/>
      <c r="R28" s="34"/>
      <c r="S28" s="34"/>
      <c r="T28" s="34"/>
      <c r="U28" s="34"/>
      <c r="V28" s="34"/>
      <c r="W28" s="34"/>
      <c r="X28" s="34"/>
      <c r="Y28" s="34"/>
      <c r="Z28" s="34"/>
      <c r="AA28" s="34"/>
      <c r="AB28" s="39" t="str">
        <f>IF(AND(Exclude_MI&lt;&gt;"Only MI",State="Liquid"),"X","")</f>
        <v>X</v>
      </c>
      <c r="AC28" s="39" t="str">
        <f>IF(AND(Exclude_MI&lt;&gt;"Only MI",State="Liquid"),"X","")</f>
        <v>X</v>
      </c>
      <c r="AD28" s="34"/>
      <c r="AE28" s="34"/>
      <c r="AF28" s="34"/>
      <c r="AG28" s="2048"/>
      <c r="AH28" s="63"/>
      <c r="AI28" s="34"/>
      <c r="AJ28" s="35"/>
      <c r="AK28" s="34"/>
      <c r="AL28" s="34"/>
      <c r="AM28" s="34"/>
      <c r="AN28" s="459" t="s">
        <v>1742</v>
      </c>
      <c r="AO28" s="34"/>
      <c r="AP28" s="34"/>
      <c r="AQ28" s="739"/>
      <c r="AR28" s="34"/>
      <c r="AS28" s="1000"/>
      <c r="AT28" s="34"/>
      <c r="AU28" s="34"/>
      <c r="AV28" s="34"/>
      <c r="AW28" s="34"/>
      <c r="AX28" s="34"/>
      <c r="AY28" s="34"/>
      <c r="AZ28" s="34"/>
      <c r="BA28" s="34"/>
      <c r="BB28" s="34"/>
      <c r="BC28" s="34"/>
      <c r="BD28" s="34"/>
      <c r="BE28" s="34"/>
      <c r="BF28" s="34"/>
      <c r="BG28" s="34"/>
      <c r="BH28" s="34"/>
      <c r="BI28" s="35"/>
      <c r="BJ28" s="34"/>
      <c r="BK28" s="34"/>
      <c r="BL28" s="1853"/>
      <c r="BM28" s="39" t="str">
        <f>IF(AND(Reactive_Only&lt;&gt;"Yes",P_Surge&gt;Failure_Gasket*MAWP),"X","")</f>
        <v/>
      </c>
      <c r="BN28" s="34"/>
      <c r="BO28" s="3178"/>
      <c r="BP28" s="3178"/>
      <c r="BQ28" s="34"/>
      <c r="BR28" s="34"/>
      <c r="BS28" s="34"/>
      <c r="BT28" s="34"/>
      <c r="BU28" s="1853"/>
      <c r="BV28" s="1853"/>
      <c r="BW28" s="34"/>
      <c r="BX28" s="34"/>
      <c r="BY28" s="34"/>
      <c r="BZ28" s="34"/>
      <c r="CA28" s="34"/>
      <c r="CB28" s="34"/>
      <c r="CC28" s="34"/>
      <c r="CD28" s="34"/>
      <c r="CE28" s="34"/>
      <c r="CF28" s="1476"/>
      <c r="CG28" s="34"/>
      <c r="CH28" s="34"/>
      <c r="CI28" s="34"/>
      <c r="CJ28" s="34"/>
      <c r="CK28" s="34"/>
      <c r="CL28" s="1035"/>
      <c r="CM28" s="739"/>
      <c r="CN28" s="739"/>
      <c r="CO28" s="34"/>
      <c r="CP28" s="34"/>
      <c r="CQ28" s="34"/>
      <c r="CR28" s="34"/>
      <c r="CS28" s="34"/>
      <c r="CT28" s="34"/>
      <c r="CU28" s="34"/>
      <c r="CV28" s="781"/>
      <c r="CW28" s="34"/>
      <c r="CX28" s="34"/>
      <c r="CY28" s="34"/>
      <c r="CZ28" s="34"/>
      <c r="DA28" s="34"/>
      <c r="DB28" s="34"/>
      <c r="DC28" s="2038"/>
      <c r="DD28" s="34"/>
      <c r="DE28" s="34"/>
      <c r="DF28" s="499"/>
      <c r="DG28" s="34"/>
      <c r="DH28" s="34"/>
      <c r="DI28" s="34"/>
      <c r="DJ28" s="34"/>
      <c r="DL28" s="34"/>
      <c r="DM28" s="34"/>
      <c r="DN28" s="1700"/>
      <c r="DO28" s="34"/>
      <c r="DP28" s="34"/>
      <c r="DQ28" s="34"/>
      <c r="DT28" s="3089" t="str">
        <f t="shared" si="5"/>
        <v/>
      </c>
      <c r="DV28" s="39" t="s">
        <v>1176</v>
      </c>
      <c r="DW28" s="35"/>
      <c r="DX28" s="4" t="e">
        <f>LEFT(INDEX('Scenario Analysis'!GR$5:GR$47,MATCH("X",BJ28:CZ28,0)),LEN(INDEX('Scenario Analysis'!GR$5:GR$47,MATCH("X",BJ28:CZ28,0)))-2)</f>
        <v>#N/A</v>
      </c>
      <c r="DY28" s="4" t="e">
        <f>LEFT(INDEX('Scenario Analysis'!GR$49:GR$56,MATCH("X",DB28:DI28,0)),LEN(INDEX('Scenario Analysis'!GR$49:GR$56,MATCH("X",DB28:DI28,0)))-2)</f>
        <v>#N/A</v>
      </c>
      <c r="DZ28" s="39" t="str">
        <f t="shared" si="6"/>
        <v>Consequence Does Not Exceed Threshold Criteria for Continuing with LOPA</v>
      </c>
      <c r="EB28" s="39" t="e">
        <f>IF(INDEX($E$6:$AI$63,ROW(E28:AI$63)-5,MATCH(Equipment,Equipment_Type,0))="X",IF(DZ28&lt;&gt;"Consequence Does Not Exceed Threshold Criteria for Continuing with LOPA","Included","Excluded"),"")</f>
        <v>#N/A</v>
      </c>
      <c r="ED28" s="2906" t="str">
        <f>CHAR(7)&amp;IPLD_Gen_39&amp;CHAR(10)&amp;IF('Workbook Notes'!D76&lt;&gt;"",CHAR(7)&amp;'Workbook Notes'!D76,"")</f>
        <v xml:space="preserve">_x0007_Mechanical device to reduce flow velocity or device to increase valve closure time and eliminate potential for dynamic pressure surges in piping
</v>
      </c>
      <c r="EE28" s="2930"/>
      <c r="EF28" s="2930" t="str">
        <f t="shared" si="1"/>
        <v>Hydraulic Surge</v>
      </c>
      <c r="EG28" s="2943"/>
      <c r="EH28" s="2943"/>
      <c r="EI28" s="2943"/>
      <c r="EK28" s="2907" t="str">
        <f ca="1">IF(ISTEXT(VLOOKUP(C28,INDIRECT("'Scenario List'!A11"):INDIRECT("'Scenario List'!V60"),20,FALSE))=TRUE,VLOOKUP(C28,INDIRECT("'Scenario List'!A11"):INDIRECT("'Scenario List'!V60"),20,FALSE),"")</f>
        <v/>
      </c>
      <c r="EL28" s="2907" t="str">
        <f ca="1">IF(ISTEXT(VLOOKUP(C28,INDIRECT("'Scenario List'!A11"):INDIRECT("'Scenario List'!V60"),21,FALSE))=TRUE,VLOOKUP(C28,INDIRECT("'Scenario List'!A11"):INDIRECT("'Scenario List'!V60"),21,FALSE),"")</f>
        <v/>
      </c>
      <c r="EM28" s="2907" t="str">
        <f ca="1">IF(ISTEXT(VLOOKUP(C28,INDIRECT("'Scenario List'!A11"):INDIRECT("'Scenario List'!V60"),22,FALSE))=TRUE,VLOOKUP(C28,INDIRECT("'Scenario List'!A11"):INDIRECT("'Scenario List'!V60"),22,FALSE),"")</f>
        <v/>
      </c>
      <c r="EO28" s="2907" t="str">
        <f ca="1">IF(INDIRECT("'Scenario List'!A33")="","",INDIRECT("'Scenario List'!A33"))</f>
        <v/>
      </c>
      <c r="EP28" s="2907" t="str">
        <f t="shared" ca="1" si="2"/>
        <v/>
      </c>
      <c r="EQ28" s="2907" t="str">
        <f t="shared" ca="1" si="3"/>
        <v/>
      </c>
      <c r="ER28" s="2907" t="str">
        <f t="shared" ca="1" si="4"/>
        <v/>
      </c>
    </row>
    <row r="29" spans="3:148" x14ac:dyDescent="0.25">
      <c r="C29" s="3158" t="s">
        <v>5195</v>
      </c>
      <c r="D29" s="35"/>
      <c r="E29" s="3159"/>
      <c r="F29" s="3159"/>
      <c r="G29" s="3159"/>
      <c r="H29" s="3159"/>
      <c r="I29" s="3159"/>
      <c r="J29" s="3159"/>
      <c r="K29" s="3159"/>
      <c r="L29" s="34"/>
      <c r="M29" s="3159"/>
      <c r="N29" s="3159"/>
      <c r="O29" s="3159"/>
      <c r="P29" s="3159"/>
      <c r="Q29" s="39" t="str">
        <f>IF(AND(Exclude_MI&lt;&gt;"Only MI",State="Liquid"),"X","")</f>
        <v>X</v>
      </c>
      <c r="R29" s="3159"/>
      <c r="S29" s="3159"/>
      <c r="T29" s="3159"/>
      <c r="U29" s="3159"/>
      <c r="V29" s="3159"/>
      <c r="W29" s="3159"/>
      <c r="X29" s="3159"/>
      <c r="Y29" s="39" t="str">
        <f>IF(AND(Exclude_MI&lt;&gt;"Only MI",State="Liquid"),"X","")</f>
        <v>X</v>
      </c>
      <c r="Z29" s="3159"/>
      <c r="AA29" s="3159"/>
      <c r="AB29" s="39" t="str">
        <f>IF(AND(Exclude_MI&lt;&gt;"Only MI",State="Liquid"),"X","")</f>
        <v>X</v>
      </c>
      <c r="AC29" s="39" t="str">
        <f>IF(AND(Exclude_MI&lt;&gt;"Only MI",State="Liquid"),"X","")</f>
        <v>X</v>
      </c>
      <c r="AD29" s="3159"/>
      <c r="AE29" s="3159"/>
      <c r="AF29" s="39" t="str">
        <f>IF(AND(Exclude_MI&lt;&gt;"Only MI",State="Liquid"),"X","")</f>
        <v>X</v>
      </c>
      <c r="AG29" s="3160"/>
      <c r="AH29" s="39" t="str">
        <f>IF(AND(Exclude_MI&lt;&gt;"Only MI",State="Liquid"),"X","")</f>
        <v>X</v>
      </c>
      <c r="AI29" s="3159"/>
      <c r="AJ29" s="35"/>
      <c r="AK29" s="459" t="s">
        <v>1742</v>
      </c>
      <c r="AL29" s="3159"/>
      <c r="AM29" s="3159"/>
      <c r="AN29" s="3159"/>
      <c r="AO29" s="3159"/>
      <c r="AP29" s="3159"/>
      <c r="AQ29" s="3159"/>
      <c r="AR29" s="3159"/>
      <c r="AS29" s="3159"/>
      <c r="AT29" s="3159"/>
      <c r="AU29" s="3159"/>
      <c r="AV29" s="3159"/>
      <c r="AW29" s="3159"/>
      <c r="AX29" s="3159"/>
      <c r="AY29" s="3159"/>
      <c r="AZ29" s="3159"/>
      <c r="BA29" s="3159"/>
      <c r="BB29" s="3159"/>
      <c r="BC29" s="3159"/>
      <c r="BD29" s="3159"/>
      <c r="BE29" s="3159"/>
      <c r="BF29" s="3159"/>
      <c r="BG29" s="3159"/>
      <c r="BH29" s="3159"/>
      <c r="BI29" s="35"/>
      <c r="BJ29" s="3159"/>
      <c r="BK29" s="3159"/>
      <c r="BL29" s="3159"/>
      <c r="BM29" s="3159"/>
      <c r="BN29" s="3159"/>
      <c r="BO29" s="39" t="str">
        <f>IF(AND(Reactive_Only&lt;&gt;"Yes",OR(Max_Feed_P&gt;Failure_Gasket*MAWP,Pump_Type="Positive Displacement")),"X","")</f>
        <v>X</v>
      </c>
      <c r="BP29" s="3178"/>
      <c r="BQ29" s="3159"/>
      <c r="BR29" s="3159"/>
      <c r="BS29" s="3159"/>
      <c r="BT29" s="3159"/>
      <c r="BU29" s="3159"/>
      <c r="BV29" s="3159"/>
      <c r="BW29" s="3159"/>
      <c r="BX29" s="3159"/>
      <c r="BY29" s="3159"/>
      <c r="BZ29" s="3159"/>
      <c r="CA29" s="3159"/>
      <c r="CB29" s="3159"/>
      <c r="CC29" s="3159"/>
      <c r="CD29" s="3159"/>
      <c r="CE29" s="3159"/>
      <c r="CF29" s="3159"/>
      <c r="CG29" s="3159"/>
      <c r="CH29" s="3159"/>
      <c r="CI29" s="3159"/>
      <c r="CJ29" s="3159"/>
      <c r="CK29" s="3159"/>
      <c r="CL29" s="3159"/>
      <c r="CM29" s="3159"/>
      <c r="CN29" s="3159"/>
      <c r="CO29" s="3159"/>
      <c r="CP29" s="3159"/>
      <c r="CQ29" s="3159"/>
      <c r="CR29" s="3159"/>
      <c r="CS29" s="3159"/>
      <c r="CT29" s="3159"/>
      <c r="CU29" s="3159"/>
      <c r="CV29" s="3159"/>
      <c r="CW29" s="3159"/>
      <c r="CX29" s="3159"/>
      <c r="CY29" s="3159"/>
      <c r="CZ29" s="3159"/>
      <c r="DA29" s="3159"/>
      <c r="DB29" s="3159"/>
      <c r="DC29" s="3159"/>
      <c r="DD29" s="3161" t="str">
        <f>IF(AND(Reactive_Only&lt;&gt;"Yes",Max_Feed_P&gt;Burst_P),"X","")</f>
        <v>X</v>
      </c>
      <c r="DE29" s="3159"/>
      <c r="DF29" s="3159"/>
      <c r="DG29" s="3159"/>
      <c r="DH29" s="3159"/>
      <c r="DI29" s="3159"/>
      <c r="DJ29" s="3159"/>
      <c r="DL29" s="3159"/>
      <c r="DM29" s="3159"/>
      <c r="DN29" s="3159"/>
      <c r="DO29" s="3159"/>
      <c r="DP29" s="3159"/>
      <c r="DQ29" s="3159"/>
      <c r="DT29" s="3089" t="str">
        <f t="shared" si="5"/>
        <v/>
      </c>
      <c r="DV29" s="39" t="s">
        <v>942</v>
      </c>
      <c r="DW29" s="35"/>
      <c r="DX29" s="4" t="e">
        <f>LEFT(INDEX('Scenario Analysis'!GR$5:GR$47,MATCH("X",BJ29:CZ29,0)),LEN(INDEX('Scenario Analysis'!GR$5:GR$47,MATCH("X",BJ29:CZ29,0)))-2)</f>
        <v>#VALUE!</v>
      </c>
      <c r="DY29" s="4" t="e">
        <f>LEFT(INDEX('Scenario Analysis'!GR$49:GR$56,MATCH("X",DB29:DI29,0)),LEN(INDEX('Scenario Analysis'!GR$49:GR$56,MATCH("X",DB29:DI29,0)))-2)</f>
        <v>#VALUE!</v>
      </c>
      <c r="DZ29" s="39" t="str">
        <f t="shared" ref="DZ29" si="11">IF(AND(ISERROR(DX29),ISERROR(DY29)),"Consequence Does Not Exceed Threshold Criteria for Continuing with LOPA",IF(ISERROR(DX29),IF(DY29="","Consequence Does Not Exceed Threshold Criteria for Continuing with LOPA",DY29),IF(ISERROR(DY29),IF(DX29="","Consequence Does Not Exceed Threshold Criteria for Continuing with LOPA",DX29),DX29&amp;"; "&amp;DY29)))</f>
        <v>Consequence Does Not Exceed Threshold Criteria for Continuing with LOPA</v>
      </c>
      <c r="EB29" s="39" t="e">
        <f>IF(INDEX($E$6:$AI$63,ROW(E29:AI$63)-5,MATCH(Equipment,Equipment_Type,0))="X",IF(DZ29&lt;&gt;"Consequence Does Not Exceed Threshold Criteria for Continuing with LOPA","Included","Excluded"),"")</f>
        <v>#N/A</v>
      </c>
      <c r="ED29" s="2906" t="str">
        <f>CHAR(7)&amp;IPLD_Gen_1&amp;CHAR(10)&amp;IF('Workbook Notes'!D79&lt;&gt;"",CHAR(7)&amp;'Workbook Notes'!D79,"")</f>
        <v xml:space="preserve">_x0007_Pressure Relief Device Sized for Scenario and verified by qualified Relief Designer
</v>
      </c>
      <c r="EE29" s="2930"/>
      <c r="EF29" s="2930" t="str">
        <f t="shared" si="1"/>
        <v>Hydraulic Overpressure</v>
      </c>
      <c r="EG29" s="3162"/>
      <c r="EH29" s="3162"/>
      <c r="EI29" s="3162"/>
      <c r="EK29" s="2907" t="str">
        <f ca="1">IF(ISTEXT(VLOOKUP(C29,INDIRECT("'Scenario List'!A11"):INDIRECT("'Scenario List'!V60"),20,FALSE))=TRUE,VLOOKUP(C29,INDIRECT("'Scenario List'!A11"):INDIRECT("'Scenario List'!V60"),20,FALSE),"")</f>
        <v/>
      </c>
      <c r="EL29" s="2907" t="str">
        <f ca="1">IF(ISTEXT(VLOOKUP(C29,INDIRECT("'Scenario List'!A11"):INDIRECT("'Scenario List'!V60"),21,FALSE))=TRUE,VLOOKUP(C29,INDIRECT("'Scenario List'!A11"):INDIRECT("'Scenario List'!V60"),21,FALSE),"")</f>
        <v/>
      </c>
      <c r="EM29" s="2907" t="str">
        <f ca="1">IF(ISTEXT(VLOOKUP(C29,INDIRECT("'Scenario List'!A11"):INDIRECT("'Scenario List'!V60"),22,FALSE))=TRUE,VLOOKUP(C29,INDIRECT("'Scenario List'!A11"):INDIRECT("'Scenario List'!V60"),22,FALSE),"")</f>
        <v/>
      </c>
      <c r="EO29" s="2907" t="str">
        <f ca="1">IF(INDIRECT("'Scenario List'!A34")="","",INDIRECT("'Scenario List'!A34"))</f>
        <v/>
      </c>
      <c r="EP29" s="2907" t="str">
        <f t="shared" ref="EP29:EP55" ca="1" si="12">IF(ISTEXT(VLOOKUP(EO29,EF$6:EI$63,2,FALSE))=TRUE,VLOOKUP(EO29,EF$6:EI$63,2,FALSE),"")</f>
        <v/>
      </c>
      <c r="EQ29" s="2907" t="str">
        <f t="shared" ref="EQ29:EQ55" ca="1" si="13">IF(ISTEXT(VLOOKUP(EO29,EF$6:EI$63,3,FALSE))=TRUE,VLOOKUP(EO29,EF$6:EI$63,3,FALSE),"")</f>
        <v/>
      </c>
      <c r="ER29" s="2907" t="str">
        <f t="shared" ref="ER29:ER55" ca="1" si="14">IF(ISTEXT(VLOOKUP(EO29,EF$6:EI$63,4,FALSE))=TRUE,VLOOKUP(EO29,EF$6:EI$63,4,FALSE),"")</f>
        <v/>
      </c>
    </row>
    <row r="30" spans="3:148" x14ac:dyDescent="0.25">
      <c r="C30" s="39" t="s">
        <v>522</v>
      </c>
      <c r="D30" s="35"/>
      <c r="E30" s="34"/>
      <c r="F30" s="34"/>
      <c r="G30" s="39" t="str">
        <f>IF(AND(Exclude_MI&lt;&gt;"Only MI",State="Solid"),"X","")</f>
        <v/>
      </c>
      <c r="H30" s="34"/>
      <c r="I30" s="34"/>
      <c r="J30" s="34"/>
      <c r="K30" s="34"/>
      <c r="L30" s="34"/>
      <c r="M30" s="34"/>
      <c r="N30" s="34"/>
      <c r="O30" s="34"/>
      <c r="P30" s="34"/>
      <c r="Q30" s="34"/>
      <c r="R30" s="34"/>
      <c r="S30" s="34"/>
      <c r="T30" s="34"/>
      <c r="U30" s="34"/>
      <c r="V30" s="34"/>
      <c r="W30" s="34"/>
      <c r="X30" s="34"/>
      <c r="Y30" s="34"/>
      <c r="Z30" s="34"/>
      <c r="AA30" s="39" t="str">
        <f>IF(AND(Exclude_MI&lt;&gt;"Only MI",State="Solid"),"X","")</f>
        <v/>
      </c>
      <c r="AB30" s="34"/>
      <c r="AC30" s="34"/>
      <c r="AD30" s="34"/>
      <c r="AE30" s="34"/>
      <c r="AF30" s="34"/>
      <c r="AG30" s="2048"/>
      <c r="AH30" s="63"/>
      <c r="AI30" s="34"/>
      <c r="AJ30" s="35"/>
      <c r="AK30" s="34"/>
      <c r="AL30" s="459" t="s">
        <v>1742</v>
      </c>
      <c r="AM30" s="34"/>
      <c r="AN30" s="34"/>
      <c r="AO30" s="34"/>
      <c r="AP30" s="34"/>
      <c r="AQ30" s="739"/>
      <c r="AR30" s="34"/>
      <c r="AS30" s="1000"/>
      <c r="AT30" s="34"/>
      <c r="AU30" s="34"/>
      <c r="AV30" s="34"/>
      <c r="AW30" s="34"/>
      <c r="AX30" s="34"/>
      <c r="AY30" s="34"/>
      <c r="AZ30" s="34"/>
      <c r="BA30" s="34"/>
      <c r="BB30" s="34"/>
      <c r="BC30" s="34"/>
      <c r="BD30" s="34"/>
      <c r="BE30" s="34"/>
      <c r="BF30" s="34"/>
      <c r="BG30" s="34"/>
      <c r="BH30" s="34"/>
      <c r="BI30" s="35"/>
      <c r="BJ30" s="34"/>
      <c r="BK30" s="34"/>
      <c r="BL30" s="1853"/>
      <c r="BM30" s="34"/>
      <c r="BN30" s="34"/>
      <c r="BO30" s="3178"/>
      <c r="BP30" s="3178"/>
      <c r="BQ30" s="34"/>
      <c r="BR30" s="34"/>
      <c r="BS30" s="34"/>
      <c r="BT30" s="34"/>
      <c r="BU30" s="1853"/>
      <c r="BV30" s="1853"/>
      <c r="BW30" s="34"/>
      <c r="BX30" s="34"/>
      <c r="BY30" s="34"/>
      <c r="BZ30" s="34"/>
      <c r="CA30" s="34"/>
      <c r="CB30" s="34"/>
      <c r="CC30" s="34"/>
      <c r="CD30" s="34"/>
      <c r="CE30" s="34"/>
      <c r="CF30" s="1476"/>
      <c r="CG30" s="34"/>
      <c r="CH30" s="34"/>
      <c r="CI30" s="34"/>
      <c r="CJ30" s="34"/>
      <c r="CK30" s="34"/>
      <c r="CL30" s="1035"/>
      <c r="CM30" s="739"/>
      <c r="CN30" s="739"/>
      <c r="CO30" s="34"/>
      <c r="CP30" s="34"/>
      <c r="CQ30" s="34"/>
      <c r="CR30" s="34"/>
      <c r="CS30" s="34"/>
      <c r="CT30" s="34"/>
      <c r="CU30" s="34"/>
      <c r="CV30" s="781"/>
      <c r="CW30" s="34"/>
      <c r="CX30" s="34"/>
      <c r="CY30" s="34"/>
      <c r="CZ30" s="34"/>
      <c r="DA30" s="34"/>
      <c r="DB30" s="34"/>
      <c r="DC30" s="2038"/>
      <c r="DD30" s="34"/>
      <c r="DE30" s="34"/>
      <c r="DF30" s="499"/>
      <c r="DG30" s="34"/>
      <c r="DH30" s="39" t="str">
        <f>IF(AND(Reactive_Only&lt;&gt;"Yes",Peak_Deflag&gt;Burst_P),"X","")</f>
        <v>X</v>
      </c>
      <c r="DI30" s="34"/>
      <c r="DJ30" s="34"/>
      <c r="DL30" s="34"/>
      <c r="DM30" s="34"/>
      <c r="DN30" s="1700"/>
      <c r="DO30" s="34"/>
      <c r="DP30" s="34"/>
      <c r="DQ30" s="34"/>
      <c r="DT30" s="3089" t="str">
        <f t="shared" si="5"/>
        <v/>
      </c>
      <c r="DV30" s="39" t="s">
        <v>513</v>
      </c>
      <c r="DW30" s="35"/>
      <c r="DX30" s="4" t="e">
        <f>LEFT(INDEX('Scenario Analysis'!GR$5:GR$47,MATCH("X",BJ30:CZ30,0)),LEN(INDEX('Scenario Analysis'!GR$5:GR$47,MATCH("X",BJ30:CZ30,0)))-2)</f>
        <v>#N/A</v>
      </c>
      <c r="DY30" s="4" t="e">
        <f>LEFT(INDEX('Scenario Analysis'!GR$49:GR$56,MATCH("X",DB30:DI30,0)),LEN(INDEX('Scenario Analysis'!GR$49:GR$56,MATCH("X",DB30:DI30,0)))-2)</f>
        <v>#VALUE!</v>
      </c>
      <c r="DZ30" s="39" t="str">
        <f t="shared" si="6"/>
        <v>Consequence Does Not Exceed Threshold Criteria for Continuing with LOPA</v>
      </c>
      <c r="EB30" s="39" t="e">
        <f>IF(INDEX($E$6:$AI$63,ROW(E30:AI$63)-5,MATCH(Equipment,Equipment_Type,0))="X",IF(DZ30&lt;&gt;"Consequence Does Not Exceed Threshold Criteria for Continuing with LOPA","Included","Excluded"),"")</f>
        <v>#N/A</v>
      </c>
      <c r="ED30" s="2906" t="str">
        <f>IF('Workbook Notes'!D78&lt;&gt;"",CHAR(7)&amp;'Workbook Notes'!D78,"")</f>
        <v/>
      </c>
      <c r="EE30" s="2930"/>
      <c r="EF30" s="2930" t="str">
        <f t="shared" si="1"/>
        <v>Introduction of Foreign Material</v>
      </c>
      <c r="EG30" s="2943"/>
      <c r="EH30" s="2943"/>
      <c r="EI30" s="2943"/>
      <c r="EK30" s="2907" t="str">
        <f ca="1">IF(ISTEXT(VLOOKUP(C30,INDIRECT("'Scenario List'!A11"):INDIRECT("'Scenario List'!V60"),20,FALSE))=TRUE,VLOOKUP(C30,INDIRECT("'Scenario List'!A11"):INDIRECT("'Scenario List'!V60"),20,FALSE),"")</f>
        <v/>
      </c>
      <c r="EL30" s="2907" t="str">
        <f ca="1">IF(ISTEXT(VLOOKUP(C30,INDIRECT("'Scenario List'!A11"):INDIRECT("'Scenario List'!V60"),21,FALSE))=TRUE,VLOOKUP(C30,INDIRECT("'Scenario List'!A11"):INDIRECT("'Scenario List'!V60"),21,FALSE),"")</f>
        <v/>
      </c>
      <c r="EM30" s="2907" t="str">
        <f ca="1">IF(ISTEXT(VLOOKUP(C30,INDIRECT("'Scenario List'!A11"):INDIRECT("'Scenario List'!V60"),22,FALSE))=TRUE,VLOOKUP(C30,INDIRECT("'Scenario List'!A11"):INDIRECT("'Scenario List'!V60"),22,FALSE),"")</f>
        <v/>
      </c>
      <c r="EO30" s="2907" t="str">
        <f ca="1">IF(INDIRECT("'Scenario List'!A35")="","",INDIRECT("'Scenario List'!A35"))</f>
        <v/>
      </c>
      <c r="EP30" s="2907" t="str">
        <f t="shared" ca="1" si="12"/>
        <v/>
      </c>
      <c r="EQ30" s="2907" t="str">
        <f t="shared" ca="1" si="13"/>
        <v/>
      </c>
      <c r="ER30" s="2907" t="str">
        <f t="shared" ca="1" si="14"/>
        <v/>
      </c>
    </row>
    <row r="31" spans="3:148" x14ac:dyDescent="0.25">
      <c r="C31" s="39" t="s">
        <v>924</v>
      </c>
      <c r="D31" s="35"/>
      <c r="E31" s="34"/>
      <c r="F31" s="34"/>
      <c r="G31" s="34"/>
      <c r="H31" s="39" t="str">
        <f>IF(Exclude_MI&lt;&gt;"Only MI","X","")</f>
        <v>X</v>
      </c>
      <c r="I31" s="34"/>
      <c r="J31" s="34"/>
      <c r="K31" s="34"/>
      <c r="L31" s="34"/>
      <c r="M31" s="34"/>
      <c r="N31" s="34"/>
      <c r="O31" s="34"/>
      <c r="P31" s="34"/>
      <c r="Q31" s="34"/>
      <c r="R31" s="34"/>
      <c r="S31" s="34"/>
      <c r="T31" s="34"/>
      <c r="U31" s="39" t="str">
        <f>IF(Exclude_MI&lt;&gt;"Only MI","X","")</f>
        <v>X</v>
      </c>
      <c r="V31" s="39" t="str">
        <f>IF(Exclude_MI&lt;&gt;"Only MI","X","")</f>
        <v>X</v>
      </c>
      <c r="W31" s="34"/>
      <c r="X31" s="34"/>
      <c r="Y31" s="34"/>
      <c r="Z31" s="34"/>
      <c r="AA31" s="34"/>
      <c r="AB31" s="34"/>
      <c r="AC31" s="34"/>
      <c r="AD31" s="34"/>
      <c r="AE31" s="34"/>
      <c r="AF31" s="34"/>
      <c r="AG31" s="39" t="str">
        <f>IF(Exclude_MI&lt;&gt;"Only MI","X","")</f>
        <v>X</v>
      </c>
      <c r="AH31" s="63"/>
      <c r="AI31" s="34"/>
      <c r="AJ31" s="35"/>
      <c r="AK31" s="459" t="s">
        <v>1742</v>
      </c>
      <c r="AL31" s="34"/>
      <c r="AM31" s="34"/>
      <c r="AN31" s="34"/>
      <c r="AO31" s="34"/>
      <c r="AP31" s="34"/>
      <c r="AQ31" s="739"/>
      <c r="AR31" s="34"/>
      <c r="AS31" s="1000"/>
      <c r="AT31" s="34"/>
      <c r="AU31" s="34"/>
      <c r="AV31" s="34"/>
      <c r="AW31" s="34"/>
      <c r="AX31" s="34"/>
      <c r="AY31" s="34"/>
      <c r="AZ31" s="34"/>
      <c r="BA31" s="34"/>
      <c r="BB31" s="34"/>
      <c r="BC31" s="34"/>
      <c r="BD31" s="34"/>
      <c r="BE31" s="34"/>
      <c r="BF31" s="34"/>
      <c r="BG31" s="34"/>
      <c r="BH31" s="34"/>
      <c r="BI31" s="35"/>
      <c r="BJ31" s="34"/>
      <c r="BK31" s="34"/>
      <c r="BL31" s="1853"/>
      <c r="BM31" s="1853"/>
      <c r="BN31" s="34"/>
      <c r="BO31" s="3178"/>
      <c r="BP31" s="3178"/>
      <c r="BQ31" s="34"/>
      <c r="BR31" s="34"/>
      <c r="BS31" s="34"/>
      <c r="BT31" s="34"/>
      <c r="BU31" s="1853"/>
      <c r="BV31" s="1853"/>
      <c r="BW31" s="34"/>
      <c r="BX31" s="34"/>
      <c r="BY31" s="34"/>
      <c r="BZ31" s="34"/>
      <c r="CA31" s="34"/>
      <c r="CB31" s="34"/>
      <c r="CC31" s="34"/>
      <c r="CD31" s="34"/>
      <c r="CE31" s="34"/>
      <c r="CF31" s="1476"/>
      <c r="CG31" s="39" t="str">
        <f>IF(AND(Equipment="Fired Equipment - Flare",Reactive_Only&lt;&gt;"Yes"),"X","")</f>
        <v/>
      </c>
      <c r="CH31" s="34"/>
      <c r="CI31" s="34"/>
      <c r="CJ31" s="34"/>
      <c r="CK31" s="34"/>
      <c r="CL31" s="1035"/>
      <c r="CM31" s="739"/>
      <c r="CN31" s="739"/>
      <c r="CO31" s="34"/>
      <c r="CP31" s="34"/>
      <c r="CQ31" s="34"/>
      <c r="CR31" s="34"/>
      <c r="CS31" s="34"/>
      <c r="CT31" s="34"/>
      <c r="CU31" s="34"/>
      <c r="CV31" s="781"/>
      <c r="CW31" s="34"/>
      <c r="CX31" s="34"/>
      <c r="CY31" s="34"/>
      <c r="CZ31" s="34"/>
      <c r="DA31" s="34"/>
      <c r="DB31" s="39" t="str">
        <f>IF(AND(Equipment="Fired Equipment - Incinerator or TTU",Reactive_Only&lt;&gt;"Yes"),"X","")</f>
        <v/>
      </c>
      <c r="DC31" s="2038"/>
      <c r="DD31" s="39" t="str">
        <f>IF(AND(Reactive_Only&lt;&gt;"Yes",OR(Equipment="Compressor or Blower",Equipment="Turbine or Gas Expander")),"X","")</f>
        <v/>
      </c>
      <c r="DE31" s="34"/>
      <c r="DF31" s="499"/>
      <c r="DG31" s="34"/>
      <c r="DH31" s="34"/>
      <c r="DI31" s="34"/>
      <c r="DJ31" s="34"/>
      <c r="DL31" s="34"/>
      <c r="DM31" s="34"/>
      <c r="DN31" s="1700"/>
      <c r="DO31" s="34"/>
      <c r="DP31" s="34"/>
      <c r="DQ31" s="34"/>
      <c r="DT31" s="3089" t="str">
        <f t="shared" si="5"/>
        <v/>
      </c>
      <c r="DV31" s="39" t="s">
        <v>1256</v>
      </c>
      <c r="DW31" s="35"/>
      <c r="DX31" s="4" t="e">
        <f>LEFT(INDEX('Scenario Analysis'!GR$5:GR$47,MATCH("X",BJ31:CZ31,0)),LEN(INDEX('Scenario Analysis'!GR$5:GR$47,MATCH("X",BJ31:CZ31,0)))-2)</f>
        <v>#N/A</v>
      </c>
      <c r="DY31" s="4" t="e">
        <f>LEFT(INDEX('Scenario Analysis'!GR$49:GR$56,MATCH("X",DB31:DI31,0)),LEN(INDEX('Scenario Analysis'!GR$49:GR$56,MATCH("X",DB31:DI31,0)))-2)</f>
        <v>#N/A</v>
      </c>
      <c r="DZ31" s="39" t="str">
        <f t="shared" si="6"/>
        <v>Consequence Does Not Exceed Threshold Criteria for Continuing with LOPA</v>
      </c>
      <c r="EB31" s="39" t="e">
        <f>IF(INDEX($E$6:$AI$63,ROW(E31:AI$63)-5,MATCH(Equipment,Equipment_Type,0))="X",IF(DZ31&lt;&gt;"Consequence Does Not Exceed Threshold Criteria for Continuing with LOPA","Included","Excluded"),"")</f>
        <v>#N/A</v>
      </c>
      <c r="ED31" s="2906" t="str">
        <f>CHAR(7)&amp;IPLD_Gen_12&amp;CHAR(10)&amp;IF('Workbook Notes'!D79&lt;&gt;"",CHAR(7)&amp;'Workbook Notes'!D79,"")</f>
        <v xml:space="preserve">_x0007_High Level in Knock Out Pot closes feed valve
</v>
      </c>
      <c r="EE31" s="2930"/>
      <c r="EF31" s="2930" t="str">
        <f t="shared" si="1"/>
        <v>Liquid in Vapor Feed</v>
      </c>
      <c r="EG31" s="2943"/>
      <c r="EH31" s="2943"/>
      <c r="EI31" s="2943"/>
      <c r="EK31" s="2907" t="str">
        <f ca="1">IF(ISTEXT(VLOOKUP(C31,INDIRECT("'Scenario List'!A11"):INDIRECT("'Scenario List'!V60"),20,FALSE))=TRUE,VLOOKUP(C31,INDIRECT("'Scenario List'!A11"):INDIRECT("'Scenario List'!V60"),20,FALSE),"")</f>
        <v/>
      </c>
      <c r="EL31" s="2907" t="str">
        <f ca="1">IF(ISTEXT(VLOOKUP(C31,INDIRECT("'Scenario List'!A11"):INDIRECT("'Scenario List'!V60"),21,FALSE))=TRUE,VLOOKUP(C31,INDIRECT("'Scenario List'!A11"):INDIRECT("'Scenario List'!V60"),21,FALSE),"")</f>
        <v/>
      </c>
      <c r="EM31" s="2907" t="str">
        <f ca="1">IF(ISTEXT(VLOOKUP(C31,INDIRECT("'Scenario List'!A11"):INDIRECT("'Scenario List'!V60"),22,FALSE))=TRUE,VLOOKUP(C31,INDIRECT("'Scenario List'!A11"):INDIRECT("'Scenario List'!V60"),22,FALSE),"")</f>
        <v/>
      </c>
      <c r="EO31" s="2907" t="str">
        <f ca="1">IF(INDIRECT("'Scenario List'!A36")="","",INDIRECT("'Scenario List'!A36"))</f>
        <v/>
      </c>
      <c r="EP31" s="2907" t="str">
        <f t="shared" ca="1" si="12"/>
        <v/>
      </c>
      <c r="EQ31" s="2907" t="str">
        <f t="shared" ca="1" si="13"/>
        <v/>
      </c>
      <c r="ER31" s="2907" t="str">
        <f t="shared" ca="1" si="14"/>
        <v/>
      </c>
    </row>
    <row r="32" spans="3:148" x14ac:dyDescent="0.25">
      <c r="C32" s="39" t="s">
        <v>205</v>
      </c>
      <c r="D32" s="35"/>
      <c r="E32" s="39" t="str">
        <f>IF(Exclude_MI&lt;&gt;"Only MI","X","")</f>
        <v>X</v>
      </c>
      <c r="F32" s="34"/>
      <c r="G32" s="34"/>
      <c r="H32" s="34"/>
      <c r="I32" s="34"/>
      <c r="J32" s="34"/>
      <c r="K32" s="34"/>
      <c r="L32" s="34"/>
      <c r="M32" s="34"/>
      <c r="N32" s="34"/>
      <c r="O32" s="34"/>
      <c r="P32" s="34"/>
      <c r="Q32" s="34"/>
      <c r="R32" s="34"/>
      <c r="S32" s="34"/>
      <c r="T32" s="34"/>
      <c r="U32" s="34"/>
      <c r="V32" s="34"/>
      <c r="W32" s="39" t="str">
        <f>IF(Exclude_MI&lt;&gt;"Only MI","X","")</f>
        <v>X</v>
      </c>
      <c r="X32" s="34"/>
      <c r="Y32" s="34"/>
      <c r="Z32" s="34"/>
      <c r="AA32" s="34"/>
      <c r="AB32" s="34"/>
      <c r="AC32" s="34"/>
      <c r="AD32" s="34"/>
      <c r="AE32" s="34"/>
      <c r="AF32" s="34"/>
      <c r="AG32" s="2048"/>
      <c r="AH32" s="63"/>
      <c r="AI32" s="34"/>
      <c r="AJ32" s="35"/>
      <c r="AK32" s="459" t="s">
        <v>1742</v>
      </c>
      <c r="AL32" s="34"/>
      <c r="AM32" s="34"/>
      <c r="AN32" s="34"/>
      <c r="AO32" s="34"/>
      <c r="AP32" s="34"/>
      <c r="AQ32" s="739"/>
      <c r="AR32" s="34"/>
      <c r="AS32" s="1000"/>
      <c r="AT32" s="34"/>
      <c r="AU32" s="34"/>
      <c r="AV32" s="39" t="s">
        <v>1742</v>
      </c>
      <c r="AW32" s="34"/>
      <c r="AX32" s="34"/>
      <c r="AY32" s="34"/>
      <c r="AZ32" s="34"/>
      <c r="BA32" s="34"/>
      <c r="BB32" s="34"/>
      <c r="BC32" s="34"/>
      <c r="BD32" s="34"/>
      <c r="BE32" s="34"/>
      <c r="BF32" s="34"/>
      <c r="BG32" s="34"/>
      <c r="BH32" s="34"/>
      <c r="BI32" s="35"/>
      <c r="BJ32" s="34"/>
      <c r="BK32" s="34"/>
      <c r="BL32" s="1853"/>
      <c r="BM32" s="34"/>
      <c r="BN32" s="34"/>
      <c r="BO32" s="3178"/>
      <c r="BP32" s="3178"/>
      <c r="BQ32" s="34"/>
      <c r="BR32" s="34"/>
      <c r="BS32" s="34"/>
      <c r="BT32" s="34"/>
      <c r="BU32" s="1853"/>
      <c r="BV32" s="1853"/>
      <c r="BW32" s="34"/>
      <c r="BX32" s="34"/>
      <c r="BY32" s="34"/>
      <c r="BZ32" s="34"/>
      <c r="CA32" s="34"/>
      <c r="CB32" s="34"/>
      <c r="CC32" s="34"/>
      <c r="CD32" s="34"/>
      <c r="CE32" s="34"/>
      <c r="CF32" s="1476"/>
      <c r="CG32" s="34"/>
      <c r="CH32" s="34"/>
      <c r="CI32" s="34"/>
      <c r="CJ32" s="34"/>
      <c r="CK32" s="34"/>
      <c r="CL32" s="39" t="str">
        <f>IF(AND(State="Vapor",Reactive_Only&lt;&gt;"Yes",Overflow_Location&lt;&gt;"Does Not Vent to Atmosphere"),"X","")</f>
        <v/>
      </c>
      <c r="CM32" s="739"/>
      <c r="CN32" s="739"/>
      <c r="CO32" s="34"/>
      <c r="CP32" s="34"/>
      <c r="CQ32" s="34"/>
      <c r="CR32" s="34"/>
      <c r="CS32" s="34"/>
      <c r="CT32" s="34"/>
      <c r="CU32" s="34"/>
      <c r="CV32" s="781"/>
      <c r="CW32" s="34"/>
      <c r="CX32" s="34"/>
      <c r="CY32" s="34"/>
      <c r="CZ32" s="34"/>
      <c r="DA32" s="34"/>
      <c r="DB32" s="34"/>
      <c r="DC32" s="2038"/>
      <c r="DD32" s="34"/>
      <c r="DE32" s="34"/>
      <c r="DF32" s="499"/>
      <c r="DG32" s="34"/>
      <c r="DH32" s="34"/>
      <c r="DI32" s="34"/>
      <c r="DJ32" s="34"/>
      <c r="DL32" s="34"/>
      <c r="DM32" s="34"/>
      <c r="DN32" s="1700"/>
      <c r="DO32" s="34"/>
      <c r="DP32" s="34"/>
      <c r="DQ32" s="34"/>
      <c r="DT32" s="3089" t="str">
        <f t="shared" si="5"/>
        <v/>
      </c>
      <c r="DV32" s="39" t="s">
        <v>2041</v>
      </c>
      <c r="DW32" s="35"/>
      <c r="DX32" s="4" t="e">
        <f>LEFT(INDEX('Scenario Analysis'!GR$5:GR$47,MATCH("X",BJ32:CZ32,0)),LEN(INDEX('Scenario Analysis'!GR$5:GR$47,MATCH("X",BJ32:CZ32,0)))-2)</f>
        <v>#N/A</v>
      </c>
      <c r="DY32" s="4" t="e">
        <f>LEFT(INDEX('Scenario Analysis'!GR$49:GR$56,MATCH("X",DB32:DI32,0)),LEN(INDEX('Scenario Analysis'!GR$49:GR$56,MATCH("X",DB32:DI32,0)))-2)</f>
        <v>#N/A</v>
      </c>
      <c r="DZ32" s="39" t="str">
        <f t="shared" si="6"/>
        <v>Consequence Does Not Exceed Threshold Criteria for Continuing with LOPA</v>
      </c>
      <c r="EB32" s="39" t="e">
        <f>IF(INDEX($E$6:$AI$63,ROW(E32:AI$63)-5,MATCH(Equipment,Equipment_Type,0))="X",IF(DZ32&lt;&gt;"Consequence Does Not Exceed Threshold Criteria for Continuing with LOPA","Included","Excluded"),"")</f>
        <v>#N/A</v>
      </c>
      <c r="ED32" s="2906" t="str">
        <f>CHAR(7)&amp;IPLD_Gen_13&amp;CHAR(10)&amp;IF('Workbook Notes'!D80&lt;&gt;"",CHAR(7)&amp;'Workbook Notes'!D80,"")</f>
        <v xml:space="preserve">_x0007_Low Flow of Coolant or Scrubbing Fluid Shuts Off Feed
</v>
      </c>
      <c r="EE32" s="2930"/>
      <c r="EF32" s="2930" t="str">
        <f t="shared" si="1"/>
        <v>Loss of Flow - Adsorber or Scrubber</v>
      </c>
      <c r="EG32" s="2943"/>
      <c r="EH32" s="2943"/>
      <c r="EI32" s="2943"/>
      <c r="EK32" s="2907" t="str">
        <f ca="1">IF(ISTEXT(VLOOKUP(C32,INDIRECT("'Scenario List'!A11"):INDIRECT("'Scenario List'!V60"),20,FALSE))=TRUE,VLOOKUP(C32,INDIRECT("'Scenario List'!A11"):INDIRECT("'Scenario List'!V60"),20,FALSE),"")</f>
        <v/>
      </c>
      <c r="EL32" s="2907" t="str">
        <f ca="1">IF(ISTEXT(VLOOKUP(C32,INDIRECT("'Scenario List'!A11"):INDIRECT("'Scenario List'!V60"),21,FALSE))=TRUE,VLOOKUP(C32,INDIRECT("'Scenario List'!A11"):INDIRECT("'Scenario List'!V60"),21,FALSE),"")</f>
        <v/>
      </c>
      <c r="EM32" s="2907" t="str">
        <f ca="1">IF(ISTEXT(VLOOKUP(C32,INDIRECT("'Scenario List'!A11"):INDIRECT("'Scenario List'!V60"),22,FALSE))=TRUE,VLOOKUP(C32,INDIRECT("'Scenario List'!A11"):INDIRECT("'Scenario List'!V60"),22,FALSE),"")</f>
        <v/>
      </c>
      <c r="EO32" s="2907" t="str">
        <f ca="1">IF(INDIRECT("'Scenario List'!A37")="","",INDIRECT("'Scenario List'!A37"))</f>
        <v/>
      </c>
      <c r="EP32" s="2907" t="str">
        <f t="shared" ca="1" si="12"/>
        <v/>
      </c>
      <c r="EQ32" s="2907" t="str">
        <f t="shared" ca="1" si="13"/>
        <v/>
      </c>
      <c r="ER32" s="2907" t="str">
        <f t="shared" ca="1" si="14"/>
        <v/>
      </c>
    </row>
    <row r="33" spans="3:148" x14ac:dyDescent="0.25">
      <c r="C33" s="39" t="s">
        <v>23</v>
      </c>
      <c r="D33" s="35"/>
      <c r="E33" s="34"/>
      <c r="F33" s="34"/>
      <c r="G33" s="34"/>
      <c r="H33" s="34"/>
      <c r="I33" s="34"/>
      <c r="J33" s="34"/>
      <c r="K33" s="34"/>
      <c r="L33" s="34"/>
      <c r="M33" s="34"/>
      <c r="N33" s="34"/>
      <c r="O33" s="34"/>
      <c r="P33" s="34"/>
      <c r="Q33" s="34"/>
      <c r="R33" s="34"/>
      <c r="S33" s="34"/>
      <c r="T33" s="34"/>
      <c r="U33" s="34"/>
      <c r="V33" s="34"/>
      <c r="W33" s="34"/>
      <c r="X33" s="39" t="str">
        <f>IF(Exclude_MI&lt;&gt;"Only MI","X","")</f>
        <v>X</v>
      </c>
      <c r="Y33" s="34"/>
      <c r="Z33" s="34"/>
      <c r="AA33" s="34"/>
      <c r="AB33" s="34"/>
      <c r="AC33" s="34"/>
      <c r="AD33" s="34"/>
      <c r="AE33" s="34"/>
      <c r="AF33" s="34"/>
      <c r="AG33" s="2048"/>
      <c r="AH33" s="63"/>
      <c r="AI33" s="34"/>
      <c r="AJ33" s="35"/>
      <c r="AK33" s="459" t="s">
        <v>1742</v>
      </c>
      <c r="AL33" s="34"/>
      <c r="AM33" s="34"/>
      <c r="AN33" s="34"/>
      <c r="AO33" s="34"/>
      <c r="AP33" s="34"/>
      <c r="AQ33" s="739"/>
      <c r="AR33" s="34"/>
      <c r="AS33" s="1000"/>
      <c r="AT33" s="34"/>
      <c r="AU33" s="34"/>
      <c r="AV33" s="39" t="str">
        <f>IF(Equipment="Fired Equipment - Process Heater","X","")</f>
        <v/>
      </c>
      <c r="AW33" s="34"/>
      <c r="AX33" s="34"/>
      <c r="AY33" s="34"/>
      <c r="AZ33" s="34"/>
      <c r="BA33" s="34"/>
      <c r="BB33" s="34"/>
      <c r="BC33" s="34"/>
      <c r="BD33" s="34"/>
      <c r="BE33" s="34"/>
      <c r="BF33" s="34"/>
      <c r="BG33" s="34"/>
      <c r="BH33" s="34"/>
      <c r="BI33" s="35"/>
      <c r="BJ33" s="34"/>
      <c r="BK33" s="34"/>
      <c r="BL33" s="1853"/>
      <c r="BM33" s="34"/>
      <c r="BN33" s="34"/>
      <c r="BO33" s="3178"/>
      <c r="BP33" s="3178"/>
      <c r="BQ33" s="34"/>
      <c r="BR33" s="34"/>
      <c r="BS33" s="34"/>
      <c r="BT33" s="34"/>
      <c r="BU33" s="1853"/>
      <c r="BV33" s="1853"/>
      <c r="BW33" s="1853"/>
      <c r="BX33" s="34"/>
      <c r="BY33" s="34"/>
      <c r="BZ33" s="34"/>
      <c r="CA33" s="34"/>
      <c r="CB33" s="34"/>
      <c r="CC33" s="34"/>
      <c r="CD33" s="34"/>
      <c r="CE33" s="34"/>
      <c r="CF33" s="1476"/>
      <c r="CG33" s="34"/>
      <c r="CH33" s="34"/>
      <c r="CI33" s="34"/>
      <c r="CJ33" s="34"/>
      <c r="CK33" s="34"/>
      <c r="CL33" s="1035"/>
      <c r="CM33" s="739"/>
      <c r="CN33" s="739"/>
      <c r="CO33" s="34"/>
      <c r="CP33" s="34"/>
      <c r="CQ33" s="34"/>
      <c r="CR33" s="34"/>
      <c r="CS33" s="34"/>
      <c r="CT33" s="34"/>
      <c r="CU33" s="34"/>
      <c r="CV33" s="781"/>
      <c r="CW33" s="34"/>
      <c r="CX33" s="34"/>
      <c r="CY33" s="34"/>
      <c r="CZ33" s="34"/>
      <c r="DA33" s="34"/>
      <c r="DB33" s="34"/>
      <c r="DC33" s="39" t="str">
        <f>IF(AND(Equipment&lt;&gt;"Fired Equipment - Process Heater",Reactive_Only&lt;&gt;"Yes"),"X","")</f>
        <v>X</v>
      </c>
      <c r="DD33" s="34"/>
      <c r="DE33" s="34"/>
      <c r="DF33" s="499"/>
      <c r="DG33" s="39" t="str">
        <f>IF(AND(Equipment="Fired Equipment - Process Heater",Reactive_Only&lt;&gt;"Yes"),"X","")</f>
        <v/>
      </c>
      <c r="DH33" s="34"/>
      <c r="DI33" s="34"/>
      <c r="DJ33" s="34"/>
      <c r="DL33" s="34"/>
      <c r="DM33" s="34"/>
      <c r="DN33" s="1700"/>
      <c r="DO33" s="34"/>
      <c r="DP33" s="34"/>
      <c r="DQ33" s="34"/>
      <c r="DT33" s="3089" t="str">
        <f t="shared" si="5"/>
        <v/>
      </c>
      <c r="DV33" s="39" t="s">
        <v>2042</v>
      </c>
      <c r="DW33" s="35"/>
      <c r="DX33" s="4" t="e">
        <f>LEFT(INDEX('Scenario Analysis'!GR$5:GR$47,MATCH("X",BJ33:CZ33,0)),LEN(INDEX('Scenario Analysis'!GR$5:GR$47,MATCH("X",BJ33:CZ33,0)))-2)</f>
        <v>#N/A</v>
      </c>
      <c r="DY33" s="4" t="e">
        <f>LEFT(INDEX('Scenario Analysis'!GR$49:GR$56,MATCH("X",DB33:DI33,0)),LEN(INDEX('Scenario Analysis'!GR$49:GR$56,MATCH("X",DB33:DI33,0)))-2)</f>
        <v>#VALUE!</v>
      </c>
      <c r="DZ33" s="39" t="str">
        <f t="shared" si="6"/>
        <v>Consequence Does Not Exceed Threshold Criteria for Continuing with LOPA</v>
      </c>
      <c r="EB33" s="39" t="e">
        <f>IF(INDEX($E$6:$AI$63,ROW(E33:AI$63)-5,MATCH(Equipment,Equipment_Type,0))="X",IF(DZ33&lt;&gt;"Consequence Does Not Exceed Threshold Criteria for Continuing with LOPA","Included","Excluded"),"")</f>
        <v>#N/A</v>
      </c>
      <c r="ED33" s="2906" t="str">
        <f>CHAR(7)&amp;IPLD_FE_20&amp;CHAR(10)&amp;IF(Equipment="Vapor Quench",CHAR(7)&amp;IPLD_FE_21,CHAR(7)&amp;IPLD_FE_7)&amp;CHAR(10)&amp;IF('Workbook Notes'!D81&lt;&gt;"",CHAR(7)&amp;'Workbook Notes'!D81,"")</f>
        <v xml:space="preserve">_x0007_Close all Fuel Valves on Quench or Heating Media High Temperature
_x0007_High Firebox or Vent Stack temperature with Operator Response to check fuel flow
</v>
      </c>
      <c r="EE33" s="2930"/>
      <c r="EF33" s="2930" t="str">
        <f t="shared" si="1"/>
        <v>Loss of Flow or Level - Fired Equipment</v>
      </c>
      <c r="EG33" s="2943"/>
      <c r="EH33" s="2943"/>
      <c r="EI33" s="2943"/>
      <c r="EK33" s="2907" t="str">
        <f ca="1">IF(ISTEXT(VLOOKUP(C33,INDIRECT("'Scenario List'!A11"):INDIRECT("'Scenario List'!V60"),20,FALSE))=TRUE,VLOOKUP(C33,INDIRECT("'Scenario List'!A11"):INDIRECT("'Scenario List'!V60"),20,FALSE),"")</f>
        <v/>
      </c>
      <c r="EL33" s="2907" t="str">
        <f ca="1">IF(ISTEXT(VLOOKUP(C33,INDIRECT("'Scenario List'!A11"):INDIRECT("'Scenario List'!V60"),21,FALSE))=TRUE,VLOOKUP(C33,INDIRECT("'Scenario List'!A11"):INDIRECT("'Scenario List'!V60"),21,FALSE),"")</f>
        <v/>
      </c>
      <c r="EM33" s="2907" t="str">
        <f ca="1">IF(ISTEXT(VLOOKUP(C33,INDIRECT("'Scenario List'!A11"):INDIRECT("'Scenario List'!V60"),22,FALSE))=TRUE,VLOOKUP(C33,INDIRECT("'Scenario List'!A11"):INDIRECT("'Scenario List'!V60"),22,FALSE),"")</f>
        <v/>
      </c>
      <c r="EO33" s="2907" t="str">
        <f ca="1">IF(INDIRECT("'Scenario List'!A38")="","",INDIRECT("'Scenario List'!A38"))</f>
        <v/>
      </c>
      <c r="EP33" s="2907" t="str">
        <f t="shared" ca="1" si="12"/>
        <v/>
      </c>
      <c r="EQ33" s="2907" t="str">
        <f t="shared" ca="1" si="13"/>
        <v/>
      </c>
      <c r="ER33" s="2907" t="str">
        <f t="shared" ca="1" si="14"/>
        <v/>
      </c>
    </row>
    <row r="34" spans="3:148" x14ac:dyDescent="0.25">
      <c r="C34" s="39" t="s">
        <v>696</v>
      </c>
      <c r="D34" s="35"/>
      <c r="E34" s="34"/>
      <c r="F34" s="34"/>
      <c r="G34" s="34"/>
      <c r="H34" s="34"/>
      <c r="I34" s="34"/>
      <c r="J34" s="34"/>
      <c r="K34" s="34"/>
      <c r="L34" s="34"/>
      <c r="M34" s="34"/>
      <c r="N34" s="34"/>
      <c r="O34" s="34"/>
      <c r="P34" s="34"/>
      <c r="Q34" s="34"/>
      <c r="R34" s="34"/>
      <c r="S34" s="34"/>
      <c r="T34" s="34"/>
      <c r="U34" s="34"/>
      <c r="V34" s="39" t="str">
        <f>IF(Exclude_MI&lt;&gt;"Only MI","X","")</f>
        <v>X</v>
      </c>
      <c r="W34" s="34"/>
      <c r="X34" s="34"/>
      <c r="Y34" s="34"/>
      <c r="Z34" s="34"/>
      <c r="AA34" s="34"/>
      <c r="AB34" s="34"/>
      <c r="AC34" s="34"/>
      <c r="AD34" s="34"/>
      <c r="AE34" s="34"/>
      <c r="AF34" s="34"/>
      <c r="AG34" s="2048"/>
      <c r="AH34" s="63"/>
      <c r="AI34" s="34"/>
      <c r="AJ34" s="35"/>
      <c r="AK34" s="459" t="s">
        <v>1742</v>
      </c>
      <c r="AL34" s="34"/>
      <c r="AM34" s="34"/>
      <c r="AN34" s="34"/>
      <c r="AO34" s="34"/>
      <c r="AP34" s="34"/>
      <c r="AQ34" s="739"/>
      <c r="AR34" s="34"/>
      <c r="AS34" s="1000"/>
      <c r="AT34" s="34"/>
      <c r="AU34" s="34"/>
      <c r="AV34" s="34"/>
      <c r="AW34" s="34"/>
      <c r="AX34" s="34"/>
      <c r="AY34" s="34"/>
      <c r="AZ34" s="34"/>
      <c r="BA34" s="34"/>
      <c r="BB34" s="34"/>
      <c r="BC34" s="34"/>
      <c r="BD34" s="34"/>
      <c r="BE34" s="34"/>
      <c r="BF34" s="34"/>
      <c r="BG34" s="34"/>
      <c r="BH34" s="34"/>
      <c r="BI34" s="35"/>
      <c r="BJ34" s="34"/>
      <c r="BK34" s="34"/>
      <c r="BL34" s="1853"/>
      <c r="BM34" s="34"/>
      <c r="BN34" s="34"/>
      <c r="BO34" s="3178"/>
      <c r="BP34" s="3178"/>
      <c r="BQ34" s="34"/>
      <c r="BR34" s="34"/>
      <c r="BS34" s="34"/>
      <c r="BT34" s="34"/>
      <c r="BU34" s="1853"/>
      <c r="BV34" s="1853"/>
      <c r="BW34" s="34"/>
      <c r="BX34" s="34"/>
      <c r="BY34" s="34"/>
      <c r="BZ34" s="34"/>
      <c r="CA34" s="34"/>
      <c r="CB34" s="34"/>
      <c r="CC34" s="34"/>
      <c r="CD34" s="34"/>
      <c r="CE34" s="34"/>
      <c r="CF34" s="1476"/>
      <c r="CG34" s="34"/>
      <c r="CH34" s="34"/>
      <c r="CI34" s="34"/>
      <c r="CJ34" s="39" t="str">
        <f>IF(AND(State&lt;&gt;"Vapor",Reactive_Only&lt;&gt;"Yes"),"X","")</f>
        <v>X</v>
      </c>
      <c r="CK34" s="34"/>
      <c r="CL34" s="39" t="str">
        <f>IF(AND(State="Vapor",Reactive_Only&lt;&gt;"Yes"),"X","")</f>
        <v/>
      </c>
      <c r="CM34" s="739"/>
      <c r="CN34" s="739"/>
      <c r="CO34" s="34"/>
      <c r="CP34" s="34"/>
      <c r="CQ34" s="34"/>
      <c r="CR34" s="34"/>
      <c r="CS34" s="34"/>
      <c r="CT34" s="34"/>
      <c r="CU34" s="34"/>
      <c r="CV34" s="781"/>
      <c r="CW34" s="34"/>
      <c r="CX34" s="34"/>
      <c r="CY34" s="34"/>
      <c r="CZ34" s="34"/>
      <c r="DA34" s="34"/>
      <c r="DB34" s="34"/>
      <c r="DC34" s="2038"/>
      <c r="DD34" s="34"/>
      <c r="DE34" s="34"/>
      <c r="DF34" s="499"/>
      <c r="DG34" s="34"/>
      <c r="DH34" s="34"/>
      <c r="DI34" s="34"/>
      <c r="DJ34" s="34"/>
      <c r="DL34" s="34"/>
      <c r="DM34" s="34"/>
      <c r="DN34" s="1700"/>
      <c r="DO34" s="34"/>
      <c r="DP34" s="34"/>
      <c r="DQ34" s="34"/>
      <c r="DT34" s="3089" t="str">
        <f t="shared" si="5"/>
        <v/>
      </c>
      <c r="DV34" s="39" t="s">
        <v>514</v>
      </c>
      <c r="DW34" s="35"/>
      <c r="DX34" s="4" t="e">
        <f>LEFT(INDEX('Scenario Analysis'!GR$5:GR$47,MATCH("X",BJ34:CZ34,0)),LEN(INDEX('Scenario Analysis'!GR$5:GR$47,MATCH("X",BJ34:CZ34,0)))-2)</f>
        <v>#VALUE!</v>
      </c>
      <c r="DY34" s="4" t="e">
        <f>LEFT(INDEX('Scenario Analysis'!GR$49:GR$56,MATCH("X",DB34:DI34,0)),LEN(INDEX('Scenario Analysis'!GR$49:GR$56,MATCH("X",DB34:DI34,0)))-2)</f>
        <v>#N/A</v>
      </c>
      <c r="DZ34" s="39" t="str">
        <f t="shared" si="6"/>
        <v>Consequence Does Not Exceed Threshold Criteria for Continuing with LOPA</v>
      </c>
      <c r="EB34" s="39" t="e">
        <f>IF(INDEX($E$6:$AI$63,ROW(E34:AI$63)-5,MATCH(Equipment,Equipment_Type,0))="X",IF(DZ34&lt;&gt;"Consequence Does Not Exceed Threshold Criteria for Continuing with LOPA","Included","Excluded"),"")</f>
        <v>#N/A</v>
      </c>
      <c r="ED34" s="2906" t="str">
        <f>CHAR(7)&amp;IPLD_FE_1&amp;CHAR(10)&amp;IF('Workbook Notes'!D82&lt;&gt;"",CHAR(7)&amp;'Workbook Notes'!D82,"")</f>
        <v xml:space="preserve">_x0007_Flame Detector Closes all Fuel Valves if no flame detected within time interval
</v>
      </c>
      <c r="EE34" s="2930"/>
      <c r="EF34" s="2930" t="str">
        <f t="shared" si="1"/>
        <v>Loss of Pilot or Ignition</v>
      </c>
      <c r="EG34" s="2943"/>
      <c r="EH34" s="2943"/>
      <c r="EI34" s="2943"/>
      <c r="EK34" s="2907" t="str">
        <f ca="1">IF(ISTEXT(VLOOKUP(C34,INDIRECT("'Scenario List'!A11"):INDIRECT("'Scenario List'!V60"),20,FALSE))=TRUE,VLOOKUP(C34,INDIRECT("'Scenario List'!A11"):INDIRECT("'Scenario List'!V60"),20,FALSE),"")</f>
        <v/>
      </c>
      <c r="EL34" s="2907" t="str">
        <f ca="1">IF(ISTEXT(VLOOKUP(C34,INDIRECT("'Scenario List'!A11"):INDIRECT("'Scenario List'!V60"),21,FALSE))=TRUE,VLOOKUP(C34,INDIRECT("'Scenario List'!A11"):INDIRECT("'Scenario List'!V60"),21,FALSE),"")</f>
        <v/>
      </c>
      <c r="EM34" s="2907" t="str">
        <f ca="1">IF(ISTEXT(VLOOKUP(C34,INDIRECT("'Scenario List'!A11"):INDIRECT("'Scenario List'!V60"),22,FALSE))=TRUE,VLOOKUP(C34,INDIRECT("'Scenario List'!A11"):INDIRECT("'Scenario List'!V60"),22,FALSE),"")</f>
        <v/>
      </c>
      <c r="EO34" s="2907" t="str">
        <f ca="1">IF(INDIRECT("'Scenario List'!A39")="","",INDIRECT("'Scenario List'!A39"))</f>
        <v/>
      </c>
      <c r="EP34" s="2907" t="str">
        <f t="shared" ca="1" si="12"/>
        <v/>
      </c>
      <c r="EQ34" s="2907" t="str">
        <f t="shared" ca="1" si="13"/>
        <v/>
      </c>
      <c r="ER34" s="2907" t="str">
        <f t="shared" ca="1" si="14"/>
        <v/>
      </c>
    </row>
    <row r="35" spans="3:148" x14ac:dyDescent="0.25">
      <c r="C35" s="39" t="s">
        <v>1734</v>
      </c>
      <c r="D35" s="35"/>
      <c r="E35" s="34"/>
      <c r="F35" s="34"/>
      <c r="G35" s="34"/>
      <c r="H35" s="34"/>
      <c r="I35" s="34"/>
      <c r="J35" s="34"/>
      <c r="K35" s="34"/>
      <c r="L35" s="34"/>
      <c r="M35" s="34"/>
      <c r="N35" s="34"/>
      <c r="O35" s="34"/>
      <c r="P35" s="34"/>
      <c r="Q35" s="34"/>
      <c r="R35" s="34"/>
      <c r="S35" s="34"/>
      <c r="T35" s="34"/>
      <c r="U35" s="39" t="str">
        <f>IF(Exclude_MI&lt;&gt;"Only MI","X","")</f>
        <v>X</v>
      </c>
      <c r="V35" s="34"/>
      <c r="W35" s="34"/>
      <c r="X35" s="34"/>
      <c r="Y35" s="34"/>
      <c r="Z35" s="34"/>
      <c r="AA35" s="34"/>
      <c r="AB35" s="34"/>
      <c r="AC35" s="34"/>
      <c r="AD35" s="34"/>
      <c r="AE35" s="34"/>
      <c r="AF35" s="34"/>
      <c r="AG35" s="2048"/>
      <c r="AH35" s="63"/>
      <c r="AI35" s="34"/>
      <c r="AJ35" s="35"/>
      <c r="AK35" s="34"/>
      <c r="AL35" s="34"/>
      <c r="AM35" s="459" t="s">
        <v>1742</v>
      </c>
      <c r="AN35" s="34"/>
      <c r="AO35" s="34"/>
      <c r="AP35" s="34"/>
      <c r="AQ35" s="739"/>
      <c r="AR35" s="34"/>
      <c r="AS35" s="1000"/>
      <c r="AT35" s="34"/>
      <c r="AU35" s="34"/>
      <c r="AV35" s="34"/>
      <c r="AW35" s="34"/>
      <c r="AX35" s="34"/>
      <c r="AY35" s="34"/>
      <c r="AZ35" s="34"/>
      <c r="BA35" s="34"/>
      <c r="BB35" s="34"/>
      <c r="BC35" s="34"/>
      <c r="BD35" s="34"/>
      <c r="BE35" s="34"/>
      <c r="BF35" s="34"/>
      <c r="BG35" s="34"/>
      <c r="BH35" s="34"/>
      <c r="BI35" s="35"/>
      <c r="BJ35" s="34"/>
      <c r="BK35" s="34"/>
      <c r="BL35" s="1853"/>
      <c r="BM35" s="34"/>
      <c r="BN35" s="34"/>
      <c r="BO35" s="3178"/>
      <c r="BP35" s="3178"/>
      <c r="BQ35" s="34"/>
      <c r="BR35" s="34"/>
      <c r="BS35" s="34"/>
      <c r="BT35" s="34"/>
      <c r="BU35" s="1853"/>
      <c r="BV35" s="1853"/>
      <c r="BW35" s="34"/>
      <c r="BX35" s="34"/>
      <c r="BY35" s="34"/>
      <c r="BZ35" s="34"/>
      <c r="CA35" s="34"/>
      <c r="CB35" s="34"/>
      <c r="CC35" s="34"/>
      <c r="CD35" s="34"/>
      <c r="CE35" s="34"/>
      <c r="CF35" s="1476"/>
      <c r="CG35" s="34"/>
      <c r="CH35" s="34"/>
      <c r="CI35" s="34"/>
      <c r="CJ35" s="39" t="str">
        <f>IF(AND(State&lt;&gt;"Vapor",Reactive_Only&lt;&gt;"Yes"),"X","")</f>
        <v>X</v>
      </c>
      <c r="CK35" s="34"/>
      <c r="CL35" s="39" t="str">
        <f>IF(AND(State="Vapor",Reactive_Only&lt;&gt;"Yes"),"X","")</f>
        <v/>
      </c>
      <c r="CM35" s="739"/>
      <c r="CN35" s="739"/>
      <c r="CO35" s="34"/>
      <c r="CP35" s="34"/>
      <c r="CQ35" s="34"/>
      <c r="CR35" s="34"/>
      <c r="CS35" s="34"/>
      <c r="CT35" s="34"/>
      <c r="CU35" s="34"/>
      <c r="CV35" s="781"/>
      <c r="CW35" s="34"/>
      <c r="CX35" s="34"/>
      <c r="CY35" s="34"/>
      <c r="CZ35" s="34"/>
      <c r="DA35" s="34"/>
      <c r="DB35" s="34"/>
      <c r="DC35" s="2038"/>
      <c r="DD35" s="34"/>
      <c r="DE35" s="34"/>
      <c r="DF35" s="499"/>
      <c r="DG35" s="34"/>
      <c r="DH35" s="34"/>
      <c r="DI35" s="34"/>
      <c r="DJ35" s="34"/>
      <c r="DL35" s="34"/>
      <c r="DM35" s="34"/>
      <c r="DN35" s="1700"/>
      <c r="DO35" s="34"/>
      <c r="DP35" s="34"/>
      <c r="DQ35" s="34"/>
      <c r="DT35" s="3089" t="str">
        <f t="shared" si="5"/>
        <v/>
      </c>
      <c r="DV35" s="39" t="s">
        <v>941</v>
      </c>
      <c r="DW35" s="35"/>
      <c r="DX35" s="4" t="e">
        <f>LEFT(INDEX('Scenario Analysis'!GR$5:GR$47,MATCH("X",BJ35:CZ35,0)),LEN(INDEX('Scenario Analysis'!GR$5:GR$47,MATCH("X",BJ35:CZ35,0)))-2)</f>
        <v>#VALUE!</v>
      </c>
      <c r="DY35" s="4" t="e">
        <f>LEFT(INDEX('Scenario Analysis'!GR$49:GR$56,MATCH("X",DB35:DI35,0)),LEN(INDEX('Scenario Analysis'!GR$49:GR$56,MATCH("X",DB35:DI35,0)))-2)</f>
        <v>#N/A</v>
      </c>
      <c r="DZ35" s="39" t="str">
        <f t="shared" si="6"/>
        <v>Consequence Does Not Exceed Threshold Criteria for Continuing with LOPA</v>
      </c>
      <c r="EB35" s="39" t="e">
        <f>IF(INDEX($E$6:$AI$63,ROW(E35:AI$63)-5,MATCH(Equipment,Equipment_Type,0))="X",IF(DZ35&lt;&gt;"Consequence Does Not Exceed Threshold Criteria for Continuing with LOPA","Included","Excluded"),"")</f>
        <v>#N/A</v>
      </c>
      <c r="ED35" s="2906" t="str">
        <f>CHAR(7)&amp;IPLD_FE_6&amp;CHAR(10)&amp;IF('Workbook Notes'!D83&lt;&gt;"",CHAR(7)&amp;'Workbook Notes'!D83,"")</f>
        <v xml:space="preserve">_x0007_Feed Control Valve Closes on Blower Failure or Loss of Air Flow (low air/fuel ratio)
</v>
      </c>
      <c r="EE35" s="2930"/>
      <c r="EF35" s="2930" t="str">
        <f t="shared" si="1"/>
        <v>Loss of Vacuum - Thermal Oxidizer</v>
      </c>
      <c r="EG35" s="2943"/>
      <c r="EH35" s="2943"/>
      <c r="EI35" s="2943"/>
      <c r="EK35" s="2907" t="str">
        <f ca="1">IF(ISTEXT(VLOOKUP(C35,INDIRECT("'Scenario List'!A11"):INDIRECT("'Scenario List'!V60"),20,FALSE))=TRUE,VLOOKUP(C35,INDIRECT("'Scenario List'!A11"):INDIRECT("'Scenario List'!V60"),20,FALSE),"")</f>
        <v/>
      </c>
      <c r="EL35" s="2907" t="str">
        <f ca="1">IF(ISTEXT(VLOOKUP(C35,INDIRECT("'Scenario List'!A11"):INDIRECT("'Scenario List'!V60"),21,FALSE))=TRUE,VLOOKUP(C35,INDIRECT("'Scenario List'!A11"):INDIRECT("'Scenario List'!V60"),21,FALSE),"")</f>
        <v/>
      </c>
      <c r="EM35" s="2907" t="str">
        <f ca="1">IF(ISTEXT(VLOOKUP(C35,INDIRECT("'Scenario List'!A11"):INDIRECT("'Scenario List'!V60"),22,FALSE))=TRUE,VLOOKUP(C35,INDIRECT("'Scenario List'!A11"):INDIRECT("'Scenario List'!V60"),22,FALSE),"")</f>
        <v/>
      </c>
      <c r="EO35" s="2907" t="str">
        <f ca="1">IF(INDIRECT("'Scenario List'!A40")="","",INDIRECT("'Scenario List'!A40"))</f>
        <v/>
      </c>
      <c r="EP35" s="2907" t="str">
        <f t="shared" ca="1" si="12"/>
        <v/>
      </c>
      <c r="EQ35" s="2907" t="str">
        <f t="shared" ca="1" si="13"/>
        <v/>
      </c>
      <c r="ER35" s="2907" t="str">
        <f t="shared" ca="1" si="14"/>
        <v/>
      </c>
    </row>
    <row r="36" spans="3:148" x14ac:dyDescent="0.25">
      <c r="C36" s="885" t="s">
        <v>2720</v>
      </c>
      <c r="D36" s="35"/>
      <c r="E36" s="885" t="str">
        <f>IF(AND(Exclude_MI&lt;&gt;"Only MI",LT_Embrittlement="Yes"),"X","")</f>
        <v/>
      </c>
      <c r="F36" s="886"/>
      <c r="G36" s="886"/>
      <c r="H36" s="34"/>
      <c r="I36" s="886"/>
      <c r="J36" s="886"/>
      <c r="K36" s="885" t="str">
        <f>IF(AND(Exclude_MI&lt;&gt;"Only MI",LT_Embrittlement="Yes"),"X","")</f>
        <v/>
      </c>
      <c r="L36" s="885" t="str">
        <f>IF(AND(Exclude_MI&lt;&gt;"Only MI",LT_Embrittlement="Yes"),"X","")</f>
        <v/>
      </c>
      <c r="M36" s="886"/>
      <c r="N36" s="886"/>
      <c r="O36" s="886"/>
      <c r="P36" s="886"/>
      <c r="Q36" s="885" t="str">
        <f>IF(AND(Exclude_MI&lt;&gt;"Only MI",LT_Embrittlement="Yes"),"X","")</f>
        <v/>
      </c>
      <c r="R36" s="885" t="str">
        <f>IF(AND(Exclude_MI&lt;&gt;"Only MI",LT_Embrittlement="Yes"),"X","")</f>
        <v/>
      </c>
      <c r="S36" s="886"/>
      <c r="T36" s="886"/>
      <c r="U36" s="886"/>
      <c r="V36" s="886"/>
      <c r="W36" s="886"/>
      <c r="X36" s="886"/>
      <c r="Y36" s="885" t="str">
        <f>IF(AND(Exclude_MI&lt;&gt;"Only MI",LT_Embrittlement="Yes"),"X","")</f>
        <v/>
      </c>
      <c r="Z36" s="886"/>
      <c r="AA36" s="886"/>
      <c r="AB36" s="885" t="str">
        <f>IF(AND(Exclude_MI&lt;&gt;"Only MI",LT_Embrittlement="Yes"),"X","")</f>
        <v/>
      </c>
      <c r="AC36" s="885" t="str">
        <f>IF(AND(Exclude_MI&lt;&gt;"Only MI",LT_Embrittlement="Yes"),"X","")</f>
        <v/>
      </c>
      <c r="AD36" s="886"/>
      <c r="AE36" s="885" t="str">
        <f>IF(AND(Exclude_MI&lt;&gt;"Only MI",LT_Embrittlement="Yes"),"X","")</f>
        <v/>
      </c>
      <c r="AF36" s="885" t="str">
        <f>IF(AND(Exclude_MI&lt;&gt;"Only MI",LT_Embrittlement="Yes"),"X","")</f>
        <v/>
      </c>
      <c r="AG36" s="2048"/>
      <c r="AH36" s="885" t="str">
        <f>IF(AND(Exclude_MI&lt;&gt;"Only MI",LT_Embrittlement="Yes"),"X","")</f>
        <v/>
      </c>
      <c r="AI36" s="886"/>
      <c r="AJ36" s="35"/>
      <c r="AK36" s="459" t="s">
        <v>1742</v>
      </c>
      <c r="AL36" s="886"/>
      <c r="AM36" s="886"/>
      <c r="AN36" s="886"/>
      <c r="AO36" s="886"/>
      <c r="AP36" s="886"/>
      <c r="AQ36" s="886"/>
      <c r="AR36" s="886"/>
      <c r="AS36" s="1000"/>
      <c r="AT36" s="886"/>
      <c r="AU36" s="886"/>
      <c r="AV36" s="886"/>
      <c r="AW36" s="886"/>
      <c r="AX36" s="886"/>
      <c r="AY36" s="886"/>
      <c r="AZ36" s="886"/>
      <c r="BA36" s="886"/>
      <c r="BB36" s="886"/>
      <c r="BC36" s="886"/>
      <c r="BD36" s="886"/>
      <c r="BE36" s="886"/>
      <c r="BF36" s="886"/>
      <c r="BG36" s="886"/>
      <c r="BH36" s="886"/>
      <c r="BI36" s="35"/>
      <c r="BJ36" s="886"/>
      <c r="BK36" s="886"/>
      <c r="BL36" s="1853"/>
      <c r="BM36" s="886"/>
      <c r="BN36" s="886"/>
      <c r="BO36" s="3178"/>
      <c r="BP36" s="3178"/>
      <c r="BQ36" s="886"/>
      <c r="BR36" s="886"/>
      <c r="BS36" s="886"/>
      <c r="BT36" s="886"/>
      <c r="BU36" s="1853"/>
      <c r="BV36" s="1853"/>
      <c r="BW36" s="886"/>
      <c r="BX36" s="886"/>
      <c r="BY36" s="39" t="str">
        <f>IF(AND(LT_Embrittlement="Yes",Reactive_Only&lt;&gt;"Yes"),"X","")</f>
        <v/>
      </c>
      <c r="BZ36" s="886"/>
      <c r="CA36" s="886"/>
      <c r="CB36" s="886"/>
      <c r="CC36" s="886"/>
      <c r="CD36" s="886"/>
      <c r="CE36" s="886"/>
      <c r="CF36" s="1476"/>
      <c r="CG36" s="886"/>
      <c r="CH36" s="886"/>
      <c r="CI36" s="886"/>
      <c r="CJ36" s="886"/>
      <c r="CK36" s="886"/>
      <c r="CL36" s="1035"/>
      <c r="CM36" s="886"/>
      <c r="CN36" s="886"/>
      <c r="CO36" s="886"/>
      <c r="CP36" s="886"/>
      <c r="CQ36" s="886"/>
      <c r="CR36" s="886"/>
      <c r="CS36" s="886"/>
      <c r="CT36" s="886"/>
      <c r="CU36" s="886"/>
      <c r="CV36" s="886"/>
      <c r="CW36" s="886"/>
      <c r="CX36" s="886"/>
      <c r="CY36" s="886"/>
      <c r="CZ36" s="886"/>
      <c r="DA36" s="886"/>
      <c r="DB36" s="886"/>
      <c r="DC36" s="2038"/>
      <c r="DD36" s="886"/>
      <c r="DE36" s="886"/>
      <c r="DF36" s="886"/>
      <c r="DG36" s="886"/>
      <c r="DH36" s="886"/>
      <c r="DI36" s="886"/>
      <c r="DJ36" s="886"/>
      <c r="DL36" s="886"/>
      <c r="DM36" s="886"/>
      <c r="DN36" s="1700"/>
      <c r="DO36" s="886"/>
      <c r="DP36" s="886"/>
      <c r="DQ36" s="886"/>
      <c r="DT36" s="3089" t="str">
        <f t="shared" si="5"/>
        <v/>
      </c>
      <c r="DV36" s="39" t="s">
        <v>2989</v>
      </c>
      <c r="DW36" s="35"/>
      <c r="DX36" s="4" t="e">
        <f>LEFT(INDEX('Scenario Analysis'!GR$5:GR$47,MATCH("X",BJ36:CZ36,0)),LEN(INDEX('Scenario Analysis'!GR$5:GR$47,MATCH("X",BJ36:CZ36,0)))-2)</f>
        <v>#N/A</v>
      </c>
      <c r="DY36" s="4" t="e">
        <f>LEFT(INDEX('Scenario Analysis'!GR$49:GR$56,MATCH("X",DB36:DI36,0)),LEN(INDEX('Scenario Analysis'!GR$49:GR$56,MATCH("X",DB36:DI36,0)))-2)</f>
        <v>#N/A</v>
      </c>
      <c r="DZ36" s="39" t="str">
        <f>IF(AND(ISERROR(DX36),ISERROR(DY36)),"Consequence Does Not Exceed Threshold Criteria for Continuing with LOPA",IF(ISERROR(DX36),IF(DY36="","Consequence Does Not Exceed Threshold Criteria for Continuing with LOPA",DY36),IF(ISERROR(DY36),IF(DX36="","Consequence Does Not Exceed Threshold Criteria for Continuing with LOPA",DX36),DX36&amp;"; "&amp;DY36)))</f>
        <v>Consequence Does Not Exceed Threshold Criteria for Continuing with LOPA</v>
      </c>
      <c r="EB36" s="39" t="e">
        <f>IF(INDEX($E$6:$AI$63,ROW(E36:AI$63)-5,MATCH(Equipment,Equipment_Type,0))="X",IF(DZ36&lt;&gt;"Consequence Does Not Exceed Threshold Criteria for Continuing with LOPA","Included","Excluded"),"")</f>
        <v>#N/A</v>
      </c>
      <c r="ED36" s="2906" t="str">
        <f>IF('Workbook Notes'!D84&lt;&gt;"",CHAR(7)&amp;'Workbook Notes'!D84,"")</f>
        <v/>
      </c>
      <c r="EE36" s="2930"/>
      <c r="EF36" s="2930" t="str">
        <f t="shared" si="1"/>
        <v>Low Temperature Embrittlement</v>
      </c>
      <c r="EG36" s="2943"/>
      <c r="EH36" s="2943"/>
      <c r="EI36" s="2943"/>
      <c r="EK36" s="2907" t="str">
        <f ca="1">IF(ISTEXT(VLOOKUP(C36,INDIRECT("'Scenario List'!A11"):INDIRECT("'Scenario List'!V60"),20,FALSE))=TRUE,VLOOKUP(C36,INDIRECT("'Scenario List'!A11"):INDIRECT("'Scenario List'!V60"),20,FALSE),"")</f>
        <v/>
      </c>
      <c r="EL36" s="2907" t="str">
        <f ca="1">IF(ISTEXT(VLOOKUP(C36,INDIRECT("'Scenario List'!A11"):INDIRECT("'Scenario List'!V60"),21,FALSE))=TRUE,VLOOKUP(C36,INDIRECT("'Scenario List'!A11"):INDIRECT("'Scenario List'!V60"),21,FALSE),"")</f>
        <v/>
      </c>
      <c r="EM36" s="2907" t="str">
        <f ca="1">IF(ISTEXT(VLOOKUP(C36,INDIRECT("'Scenario List'!A11"):INDIRECT("'Scenario List'!V60"),22,FALSE))=TRUE,VLOOKUP(C36,INDIRECT("'Scenario List'!A11"):INDIRECT("'Scenario List'!V60"),22,FALSE),"")</f>
        <v/>
      </c>
      <c r="EO36" s="2907" t="str">
        <f ca="1">IF(INDIRECT("'Scenario List'!A41")="","",INDIRECT("'Scenario List'!A41"))</f>
        <v/>
      </c>
      <c r="EP36" s="2907" t="str">
        <f t="shared" ca="1" si="12"/>
        <v/>
      </c>
      <c r="EQ36" s="2907" t="str">
        <f t="shared" ca="1" si="13"/>
        <v/>
      </c>
      <c r="ER36" s="2907" t="str">
        <f t="shared" ca="1" si="14"/>
        <v/>
      </c>
    </row>
    <row r="37" spans="3:148" x14ac:dyDescent="0.25">
      <c r="C37" s="39" t="s">
        <v>91</v>
      </c>
      <c r="D37" s="35"/>
      <c r="E37" s="34"/>
      <c r="F37" s="34"/>
      <c r="G37" s="34"/>
      <c r="H37" s="34"/>
      <c r="I37" s="34"/>
      <c r="J37" s="34"/>
      <c r="K37" s="34"/>
      <c r="L37" s="39" t="str">
        <f>IF(Exclude_MI&lt;&gt;"Only MI","X","")</f>
        <v>X</v>
      </c>
      <c r="M37" s="34"/>
      <c r="N37" s="34"/>
      <c r="O37" s="34"/>
      <c r="P37" s="34"/>
      <c r="Q37" s="39" t="str">
        <f>IF(AND(Exclude_MI&lt;&gt;"Only MI",State="Liquid"),"X","")</f>
        <v>X</v>
      </c>
      <c r="R37" s="39" t="str">
        <f>IF(AND(Exclude_MI&lt;&gt;"Only MI",State="Liquid"),"X","")</f>
        <v>X</v>
      </c>
      <c r="S37" s="34"/>
      <c r="T37" s="34"/>
      <c r="U37" s="39" t="str">
        <f>IF(AND(Exclude_MI&lt;&gt;"Only MI",State="Liquid"),"X","")</f>
        <v>X</v>
      </c>
      <c r="V37" s="34"/>
      <c r="W37" s="34"/>
      <c r="X37" s="34"/>
      <c r="Y37" s="39" t="str">
        <f>IF(AND(Exclude_MI&lt;&gt;"Only MI",State="Liquid"),"X","")</f>
        <v>X</v>
      </c>
      <c r="Z37" s="34"/>
      <c r="AA37" s="34"/>
      <c r="AB37" s="34"/>
      <c r="AC37" s="34"/>
      <c r="AD37" s="34"/>
      <c r="AE37" s="39" t="str">
        <f>IF(AND(Exclude_MI&lt;&gt;"Only MI",State="Liquid"),"X","")</f>
        <v>X</v>
      </c>
      <c r="AF37" s="39" t="str">
        <f>IF(Exclude_MI&lt;&gt;"Only MI","X","")</f>
        <v>X</v>
      </c>
      <c r="AG37" s="2048"/>
      <c r="AH37" s="39" t="str">
        <f>IF(Exclude_MI&lt;&gt;"Only MI","X","")</f>
        <v>X</v>
      </c>
      <c r="AI37" s="34"/>
      <c r="AJ37" s="35"/>
      <c r="AK37" s="39" t="s">
        <v>1742</v>
      </c>
      <c r="AL37" s="39" t="s">
        <v>1742</v>
      </c>
      <c r="AM37" s="34"/>
      <c r="AN37" s="34"/>
      <c r="AO37" s="34"/>
      <c r="AP37" s="34"/>
      <c r="AQ37" s="739"/>
      <c r="AR37" s="34"/>
      <c r="AS37" s="1000"/>
      <c r="AT37" s="34"/>
      <c r="AU37" s="34"/>
      <c r="AV37" s="34"/>
      <c r="AW37" s="34"/>
      <c r="AX37" s="34"/>
      <c r="AY37" s="34"/>
      <c r="AZ37" s="34"/>
      <c r="BA37" s="34"/>
      <c r="BB37" s="34"/>
      <c r="BC37" s="34"/>
      <c r="BD37" s="34"/>
      <c r="BE37" s="34"/>
      <c r="BF37" s="34"/>
      <c r="BG37" s="34"/>
      <c r="BH37" s="34"/>
      <c r="BI37" s="35"/>
      <c r="BJ37" s="34"/>
      <c r="BK37" s="34"/>
      <c r="BL37" s="1853"/>
      <c r="BM37" s="34"/>
      <c r="BN37" s="34"/>
      <c r="BO37" s="3178"/>
      <c r="BP37" s="3178"/>
      <c r="BQ37" s="34"/>
      <c r="BR37" s="34"/>
      <c r="BS37" s="34"/>
      <c r="BT37" s="34"/>
      <c r="BU37" s="1853"/>
      <c r="BV37" s="1853"/>
      <c r="BW37" s="34"/>
      <c r="BX37" s="34"/>
      <c r="BY37" s="34"/>
      <c r="BZ37" s="34"/>
      <c r="CA37" s="34"/>
      <c r="CB37" s="34"/>
      <c r="CC37" s="34"/>
      <c r="CD37" s="34"/>
      <c r="CE37" s="34"/>
      <c r="CF37" s="1476"/>
      <c r="CG37" s="34"/>
      <c r="CH37" s="34"/>
      <c r="CI37" s="34"/>
      <c r="CJ37" s="39" t="str">
        <f>IF(AND(Reactive_Only&lt;&gt;"Yes",State="Liquid",Feedrate&gt;0,Inventory&gt;Max_ContainedMass,Equipment&lt;&gt;"Heat Exchanger"),"X","")</f>
        <v/>
      </c>
      <c r="CK37" s="1035"/>
      <c r="CL37" s="739"/>
      <c r="CM37" s="739"/>
      <c r="CN37" s="739"/>
      <c r="CO37" s="34"/>
      <c r="CP37" s="34"/>
      <c r="CQ37" s="34"/>
      <c r="CR37" s="34"/>
      <c r="CS37" s="34"/>
      <c r="CT37" s="34"/>
      <c r="CU37" s="34"/>
      <c r="CV37" s="781"/>
      <c r="CW37" s="34"/>
      <c r="CX37" s="34"/>
      <c r="CY37" s="34"/>
      <c r="CZ37" s="34"/>
      <c r="DA37" s="34"/>
      <c r="DB37" s="885" t="str">
        <f>IF(AND(Reactive_Only&lt;&gt;"Yes",State="Liquid",OR(WeakSeam_Roof="Yes",Equipment="Fired Equipment - Incinerator or TTU")),"X","")</f>
        <v/>
      </c>
      <c r="DC37" s="2038"/>
      <c r="DD37" s="885" t="str">
        <f>IF(AND(Reactive_Only&lt;&gt;"Yes",WeakSeam_Roof&lt;&gt;"Yes",State="Liquid",Inventory&gt;Max_ContainedMass,OR(Feedrate&gt;0,Backflow&gt;0),Max_Feed_P&gt;Burst_P),"X","")</f>
        <v/>
      </c>
      <c r="DE37" s="34"/>
      <c r="DF37" s="499"/>
      <c r="DG37" s="34"/>
      <c r="DH37" s="34"/>
      <c r="DI37" s="34"/>
      <c r="DJ37" s="34"/>
      <c r="DL37" s="34"/>
      <c r="DM37" s="34"/>
      <c r="DN37" s="1700"/>
      <c r="DO37" s="34"/>
      <c r="DP37" s="34"/>
      <c r="DQ37" s="34"/>
      <c r="DT37" s="3089" t="str">
        <f t="shared" si="5"/>
        <v/>
      </c>
      <c r="DV37" s="39" t="s">
        <v>1256</v>
      </c>
      <c r="DW37" s="35"/>
      <c r="DX37" s="4" t="e">
        <f>LEFT(INDEX('Scenario Analysis'!GR$5:GR$47,MATCH("X",BJ37:CZ37,0)),LEN(INDEX('Scenario Analysis'!GR$5:GR$47,MATCH("X",BJ37:CZ37,0)))-2)</f>
        <v>#N/A</v>
      </c>
      <c r="DY37" s="4" t="e">
        <f>LEFT(INDEX('Scenario Analysis'!GR$49:GR$56,MATCH("X",DB37:DI37,0)),LEN(INDEX('Scenario Analysis'!GR$49:GR$56,MATCH("X",DB37:DI37,0)))-2)</f>
        <v>#N/A</v>
      </c>
      <c r="DZ37" s="39" t="str">
        <f t="shared" si="6"/>
        <v>Consequence Does Not Exceed Threshold Criteria for Continuing with LOPA</v>
      </c>
      <c r="EB37" s="39" t="e">
        <f>IF(INDEX($E$6:$AI$63,ROW(E37:AI$63)-5,MATCH(Equipment,Equipment_Type,0))="X",IF(DZ37&lt;&gt;"Consequence Does Not Exceed Threshold Criteria for Continuing with LOPA","Included","Excluded"),"")</f>
        <v>#N/A</v>
      </c>
      <c r="ED37" s="2906" t="str">
        <f>CHAR(7)&amp;IPLD_Gen_11&amp;CHAR(10)&amp;IF('Workbook Notes'!D85&lt;&gt;"",CHAR(7)&amp;'Workbook Notes'!D85,"")</f>
        <v xml:space="preserve">_x0007_High Level closes Feed Valve or Shuts Off Feed Pump
</v>
      </c>
      <c r="EE37" s="2930"/>
      <c r="EF37" s="2930" t="str">
        <f t="shared" si="1"/>
        <v>Overfill or Overflow</v>
      </c>
      <c r="EG37" s="2943"/>
      <c r="EH37" s="2943"/>
      <c r="EI37" s="2943"/>
      <c r="EK37" s="2907" t="str">
        <f ca="1">IF(ISTEXT(VLOOKUP(C37,INDIRECT("'Scenario List'!A11"):INDIRECT("'Scenario List'!V60"),20,FALSE))=TRUE,VLOOKUP(C37,INDIRECT("'Scenario List'!A11"):INDIRECT("'Scenario List'!V60"),20,FALSE),"")</f>
        <v/>
      </c>
      <c r="EL37" s="2907" t="str">
        <f ca="1">IF(ISTEXT(VLOOKUP(C37,INDIRECT("'Scenario List'!A11"):INDIRECT("'Scenario List'!V60"),21,FALSE))=TRUE,VLOOKUP(C37,INDIRECT("'Scenario List'!A11"):INDIRECT("'Scenario List'!V60"),21,FALSE),"")</f>
        <v/>
      </c>
      <c r="EM37" s="2907" t="str">
        <f ca="1">IF(ISTEXT(VLOOKUP(C37,INDIRECT("'Scenario List'!A11"):INDIRECT("'Scenario List'!V60"),22,FALSE))=TRUE,VLOOKUP(C37,INDIRECT("'Scenario List'!A11"):INDIRECT("'Scenario List'!V60"),22,FALSE),"")</f>
        <v/>
      </c>
      <c r="EO37" s="2907" t="str">
        <f ca="1">IF(INDIRECT("'Scenario List'!A42")="","",INDIRECT("'Scenario List'!A42"))</f>
        <v/>
      </c>
      <c r="EP37" s="2907" t="str">
        <f t="shared" ca="1" si="12"/>
        <v/>
      </c>
      <c r="EQ37" s="2907" t="str">
        <f t="shared" ca="1" si="13"/>
        <v/>
      </c>
      <c r="ER37" s="2907" t="str">
        <f t="shared" ca="1" si="14"/>
        <v/>
      </c>
    </row>
    <row r="38" spans="3:148" x14ac:dyDescent="0.25">
      <c r="C38" s="39" t="s">
        <v>5018</v>
      </c>
      <c r="D38" s="35"/>
      <c r="E38" s="2893"/>
      <c r="F38" s="2893"/>
      <c r="G38" s="2893"/>
      <c r="H38" s="2893"/>
      <c r="I38" s="2893"/>
      <c r="J38" s="2893"/>
      <c r="K38" s="2893"/>
      <c r="L38" s="2892"/>
      <c r="M38" s="2893"/>
      <c r="N38" s="2893"/>
      <c r="O38" s="2893"/>
      <c r="P38" s="2893"/>
      <c r="Q38" s="2893"/>
      <c r="R38" s="2893"/>
      <c r="S38" s="2893"/>
      <c r="T38" s="2893"/>
      <c r="U38" s="2893"/>
      <c r="V38" s="2893"/>
      <c r="W38" s="2893"/>
      <c r="X38" s="39" t="str">
        <f>IF(AND(Exclude_MI&lt;&gt;"Only MI",State="Liquid"),"X","")</f>
        <v>X</v>
      </c>
      <c r="Y38" s="2893"/>
      <c r="Z38" s="2893"/>
      <c r="AA38" s="2893"/>
      <c r="AB38" s="2893"/>
      <c r="AC38" s="2893"/>
      <c r="AD38" s="2893"/>
      <c r="AE38" s="39" t="str">
        <f>IF(AND(Exclude_MI&lt;&gt;"Only MI",State="Liquid"),"X","")</f>
        <v>X</v>
      </c>
      <c r="AF38" s="39" t="str">
        <f>IF(Exclude_MI&lt;&gt;"Only MI","X","")</f>
        <v>X</v>
      </c>
      <c r="AG38" s="2048"/>
      <c r="AH38" s="39" t="str">
        <f>IF(Exclude_MI&lt;&gt;"Only MI","X","")</f>
        <v>X</v>
      </c>
      <c r="AI38" s="2893"/>
      <c r="AJ38" s="35"/>
      <c r="AK38" s="2893"/>
      <c r="AL38" s="2893"/>
      <c r="AM38" s="2893"/>
      <c r="AN38" s="2893"/>
      <c r="AO38" s="2893"/>
      <c r="AP38" s="2893"/>
      <c r="AQ38" s="2893"/>
      <c r="AR38" s="2893"/>
      <c r="AS38" s="2893"/>
      <c r="AT38" s="2893"/>
      <c r="AU38" s="2893"/>
      <c r="AV38" s="39" t="str">
        <f>IF(OR(AND(State="Liquid",Downstr_P&gt;Relief_Set),Equipment="Fired Equipment - Process Heater"),"X","")</f>
        <v/>
      </c>
      <c r="AW38" s="2893"/>
      <c r="AX38" s="2893"/>
      <c r="AY38" s="2893"/>
      <c r="AZ38" s="2893"/>
      <c r="BA38" s="2893"/>
      <c r="BB38" s="2893"/>
      <c r="BC38" s="2893"/>
      <c r="BD38" s="2893"/>
      <c r="BE38" s="2893"/>
      <c r="BF38" s="2893"/>
      <c r="BG38" s="2893"/>
      <c r="BH38" s="2893"/>
      <c r="BI38" s="35"/>
      <c r="BJ38" s="2893"/>
      <c r="BK38" s="2893"/>
      <c r="BL38" s="2893"/>
      <c r="BM38" s="2893"/>
      <c r="BN38" s="2893"/>
      <c r="BO38" s="3178"/>
      <c r="BP38" s="3178"/>
      <c r="BQ38" s="2893"/>
      <c r="BR38" s="2893"/>
      <c r="BS38" s="2893"/>
      <c r="BT38" s="2893"/>
      <c r="BU38" s="2893"/>
      <c r="BV38" s="2893"/>
      <c r="BW38" s="2893"/>
      <c r="BX38" s="2893"/>
      <c r="BY38" s="2893"/>
      <c r="BZ38" s="2893"/>
      <c r="CA38" s="2893"/>
      <c r="CB38" s="2893"/>
      <c r="CC38" s="2893"/>
      <c r="CD38" s="2893"/>
      <c r="CE38" s="2893"/>
      <c r="CF38" s="2893"/>
      <c r="CG38" s="2893"/>
      <c r="CH38" s="2893"/>
      <c r="CI38" s="2893"/>
      <c r="CJ38" s="1035"/>
      <c r="CK38" s="39" t="str">
        <f>IF(AND(Reactive_Only&lt;&gt;"Yes",State="Liquid",OR(Equipment="Fired Equipment - Process Heater",Downstr_P&gt;Relief_Set)),"X","")</f>
        <v/>
      </c>
      <c r="CL38" s="2893"/>
      <c r="CM38" s="2893"/>
      <c r="CN38" s="2893"/>
      <c r="CO38" s="2893"/>
      <c r="CP38" s="2893"/>
      <c r="CQ38" s="2893"/>
      <c r="CR38" s="2893"/>
      <c r="CS38" s="2893"/>
      <c r="CT38" s="2893"/>
      <c r="CU38" s="2893"/>
      <c r="CV38" s="2893"/>
      <c r="CW38" s="2893"/>
      <c r="CX38" s="2893"/>
      <c r="CY38" s="2893"/>
      <c r="CZ38" s="2893"/>
      <c r="DA38" s="2893"/>
      <c r="DB38" s="2893"/>
      <c r="DC38" s="2893"/>
      <c r="DD38" s="885" t="str">
        <f>IF(AND(Reactive_Only&lt;&gt;"Yes",WeakSeam_Roof&lt;&gt;"Yes",State="Liquid",Inventory&gt;Max_ContainedMass,OR(Feedrate&gt;0,Backflow&gt;0),OR(Equipment="Fired Equipment - Process Heater",Downstr_P&gt;Burst_P)),"X","")</f>
        <v/>
      </c>
      <c r="DE38" s="2893"/>
      <c r="DF38" s="2893"/>
      <c r="DG38" s="2893"/>
      <c r="DH38" s="2893"/>
      <c r="DI38" s="2893"/>
      <c r="DJ38" s="2893"/>
      <c r="DL38" s="2893"/>
      <c r="DM38" s="2893"/>
      <c r="DN38" s="2893"/>
      <c r="DO38" s="2893"/>
      <c r="DP38" s="2893"/>
      <c r="DQ38" s="2893"/>
      <c r="DT38" s="3089" t="str">
        <f t="shared" si="5"/>
        <v/>
      </c>
      <c r="DV38" s="39" t="s">
        <v>5019</v>
      </c>
      <c r="DW38" s="35"/>
      <c r="DX38" s="4" t="e">
        <f>LEFT(INDEX('Scenario Analysis'!GR$5:GR$47,MATCH("X",BJ38:CZ38,0)),LEN(INDEX('Scenario Analysis'!GR$5:GR$47,MATCH("X",BJ38:CZ38,0)))-2)</f>
        <v>#N/A</v>
      </c>
      <c r="DY38" s="4" t="e">
        <f>LEFT(INDEX('Scenario Analysis'!GR$49:GR$56,MATCH("X",DB38:DI38,0)),LEN(INDEX('Scenario Analysis'!GR$49:GR$56,MATCH("X",DB38:DI38,0)))-2)</f>
        <v>#N/A</v>
      </c>
      <c r="DZ38" s="39" t="str">
        <f t="shared" si="6"/>
        <v>Consequence Does Not Exceed Threshold Criteria for Continuing with LOPA</v>
      </c>
      <c r="EB38" s="39" t="e">
        <f>IF(INDEX($E$6:$AI$63,ROW(E38:AI$63)-5,MATCH(Equipment,Equipment_Type,0))="X",IF(DZ38&lt;&gt;"Consequence Does Not Exceed Threshold Criteria for Continuing with LOPA","Included","Excluded"),"")</f>
        <v>#N/A</v>
      </c>
      <c r="ED38" s="2906" t="str">
        <f>CHAR(7)&amp;IPLD_Gen_11&amp;CHAR(10)&amp;IF('Workbook Notes'!D86&lt;&gt;"",CHAR(7)&amp;'Workbook Notes'!D86,"")</f>
        <v xml:space="preserve">_x0007_High Level closes Feed Valve or Shuts Off Feed Pump
</v>
      </c>
      <c r="EE38" s="2930"/>
      <c r="EF38" s="2930" t="str">
        <f t="shared" si="1"/>
        <v>Overfill or Backflow</v>
      </c>
      <c r="EG38" s="2943"/>
      <c r="EH38" s="2943"/>
      <c r="EI38" s="2943"/>
      <c r="EK38" s="2907" t="str">
        <f ca="1">IF(ISTEXT(VLOOKUP(C38,INDIRECT("'Scenario List'!A11"):INDIRECT("'Scenario List'!V60"),20,FALSE))=TRUE,VLOOKUP(C38,INDIRECT("'Scenario List'!A11"):INDIRECT("'Scenario List'!V60"),20,FALSE),"")</f>
        <v/>
      </c>
      <c r="EL38" s="2907" t="str">
        <f ca="1">IF(ISTEXT(VLOOKUP(C38,INDIRECT("'Scenario List'!A11"):INDIRECT("'Scenario List'!V60"),21,FALSE))=TRUE,VLOOKUP(C38,INDIRECT("'Scenario List'!A11"):INDIRECT("'Scenario List'!V60"),21,FALSE),"")</f>
        <v/>
      </c>
      <c r="EM38" s="2907" t="str">
        <f ca="1">IF(ISTEXT(VLOOKUP(C38,INDIRECT("'Scenario List'!A11"):INDIRECT("'Scenario List'!V60"),22,FALSE))=TRUE,VLOOKUP(C38,INDIRECT("'Scenario List'!A11"):INDIRECT("'Scenario List'!V60"),22,FALSE),"")</f>
        <v/>
      </c>
      <c r="EO38" s="2907" t="str">
        <f ca="1">IF(INDIRECT("'Scenario List'!A43")="","",INDIRECT("'Scenario List'!A43"))</f>
        <v/>
      </c>
      <c r="EP38" s="2907" t="str">
        <f t="shared" ca="1" si="12"/>
        <v/>
      </c>
      <c r="EQ38" s="2907" t="str">
        <f t="shared" ca="1" si="13"/>
        <v/>
      </c>
      <c r="ER38" s="2907" t="str">
        <f t="shared" ca="1" si="14"/>
        <v/>
      </c>
    </row>
    <row r="39" spans="3:148" x14ac:dyDescent="0.25">
      <c r="C39" s="39" t="s">
        <v>1277</v>
      </c>
      <c r="D39" s="35"/>
      <c r="E39" s="39" t="str">
        <f>IF(AND(Exclude_MI&lt;&gt;"Only MI",State="Liquid"),"X","")</f>
        <v>X</v>
      </c>
      <c r="F39" s="34"/>
      <c r="G39" s="34"/>
      <c r="H39" s="34"/>
      <c r="I39" s="34"/>
      <c r="J39" s="34"/>
      <c r="K39" s="39" t="str">
        <f>IF(AND(Exclude_MI&lt;&gt;"Only MI",State="Liquid"),"X","")</f>
        <v>X</v>
      </c>
      <c r="L39" s="34"/>
      <c r="M39" s="34"/>
      <c r="N39" s="34"/>
      <c r="O39" s="34"/>
      <c r="P39" s="34"/>
      <c r="Q39" s="34"/>
      <c r="R39" s="34"/>
      <c r="S39" s="34"/>
      <c r="T39" s="34"/>
      <c r="U39" s="34"/>
      <c r="V39" s="34"/>
      <c r="W39" s="39" t="str">
        <f>IF(AND(Exclude_MI&lt;&gt;"Only MI",State="Liquid"),"X","")</f>
        <v>X</v>
      </c>
      <c r="X39" s="34"/>
      <c r="Y39" s="34"/>
      <c r="Z39" s="34"/>
      <c r="AA39" s="34"/>
      <c r="AB39" s="34"/>
      <c r="AC39" s="34"/>
      <c r="AD39" s="34"/>
      <c r="AE39" s="34"/>
      <c r="AF39" s="34"/>
      <c r="AG39" s="2048"/>
      <c r="AH39" s="63"/>
      <c r="AI39" s="34"/>
      <c r="AJ39" s="35"/>
      <c r="AK39" s="459" t="s">
        <v>1742</v>
      </c>
      <c r="AL39" s="34"/>
      <c r="AM39" s="459" t="s">
        <v>1742</v>
      </c>
      <c r="AN39" s="34"/>
      <c r="AO39" s="34"/>
      <c r="AP39" s="34"/>
      <c r="AQ39" s="739"/>
      <c r="AR39" s="34"/>
      <c r="AS39" s="1000"/>
      <c r="AT39" s="34"/>
      <c r="AU39" s="34"/>
      <c r="AV39" s="34"/>
      <c r="AW39" s="34"/>
      <c r="AX39" s="34"/>
      <c r="AY39" s="34"/>
      <c r="AZ39" s="34"/>
      <c r="BA39" s="34"/>
      <c r="BB39" s="34"/>
      <c r="BC39" s="34"/>
      <c r="BD39" s="34"/>
      <c r="BE39" s="34"/>
      <c r="BF39" s="34"/>
      <c r="BG39" s="34"/>
      <c r="BH39" s="34"/>
      <c r="BI39" s="35"/>
      <c r="BJ39" s="34"/>
      <c r="BK39" s="34"/>
      <c r="BL39" s="1853"/>
      <c r="BM39" s="34"/>
      <c r="BN39" s="34"/>
      <c r="BO39" s="3178"/>
      <c r="BP39" s="3178"/>
      <c r="BQ39" s="34"/>
      <c r="BR39" s="34"/>
      <c r="BS39" s="34"/>
      <c r="BT39" s="34"/>
      <c r="BU39" s="1853"/>
      <c r="BV39" s="1853"/>
      <c r="BW39" s="34"/>
      <c r="BX39" s="34"/>
      <c r="BY39" s="34"/>
      <c r="BZ39" s="34"/>
      <c r="CA39" s="34"/>
      <c r="CB39" s="34"/>
      <c r="CC39" s="34"/>
      <c r="CD39" s="34"/>
      <c r="CE39" s="34"/>
      <c r="CF39" s="1476"/>
      <c r="CG39" s="34"/>
      <c r="CH39" s="34"/>
      <c r="CI39" s="34"/>
      <c r="CJ39" s="39" t="str">
        <f>IF(AND(Reactive_Only&lt;&gt;"Yes",Feedrate&gt;0,Inventory&gt;Max_ContainedMass,OR(Max_Feed_P_Input="",Max_Feed_P&gt;Relief_Set)),"X","")</f>
        <v/>
      </c>
      <c r="CK39" s="739"/>
      <c r="CL39" s="739"/>
      <c r="CM39" s="739"/>
      <c r="CN39" s="739"/>
      <c r="CO39" s="34"/>
      <c r="CP39" s="34"/>
      <c r="CQ39" s="34"/>
      <c r="CR39" s="34"/>
      <c r="CS39" s="34"/>
      <c r="CT39" s="34"/>
      <c r="CU39" s="34"/>
      <c r="CV39" s="781"/>
      <c r="CW39" s="34"/>
      <c r="CX39" s="34"/>
      <c r="CY39" s="34"/>
      <c r="CZ39" s="34"/>
      <c r="DA39" s="34"/>
      <c r="DB39" s="39" t="str">
        <f>IF(AND(Reactive_Only&lt;&gt;"Yes",Equipment="Vapor Quench"),"X","")</f>
        <v/>
      </c>
      <c r="DC39" s="2038"/>
      <c r="DD39" s="459" t="str">
        <f>IF(AND(Reactive_Only&lt;&gt;"Yes",Inventory&gt;Max_ContainedMass,OR(Feedrate&gt;0,Backflow&gt;0),OR(Max_Feed_P_Input="",Max_Feed_P&gt;Burst_P,Downstr_P&gt;Burst_P)),"X","")</f>
        <v/>
      </c>
      <c r="DE39" s="34"/>
      <c r="DF39" s="499"/>
      <c r="DG39" s="34"/>
      <c r="DH39" s="34"/>
      <c r="DI39" s="34"/>
      <c r="DJ39" s="34"/>
      <c r="DL39" s="34"/>
      <c r="DM39" s="34"/>
      <c r="DN39" s="1700"/>
      <c r="DO39" s="34"/>
      <c r="DP39" s="34"/>
      <c r="DQ39" s="34"/>
      <c r="DT39" s="3089" t="str">
        <f t="shared" si="5"/>
        <v/>
      </c>
      <c r="DV39" s="39" t="s">
        <v>1256</v>
      </c>
      <c r="DW39" s="35"/>
      <c r="DX39" s="4" t="e">
        <f>LEFT(INDEX('Scenario Analysis'!GR$5:GR$47,MATCH("X",BJ39:CZ39,0)),LEN(INDEX('Scenario Analysis'!GR$5:GR$47,MATCH("X",BJ39:CZ39,0)))-2)</f>
        <v>#N/A</v>
      </c>
      <c r="DY39" s="4" t="e">
        <f>LEFT(INDEX('Scenario Analysis'!GR$49:GR$56,MATCH("X",DB39:DI39,0)),LEN(INDEX('Scenario Analysis'!GR$49:GR$56,MATCH("X",DB39:DI39,0)))-2)</f>
        <v>#N/A</v>
      </c>
      <c r="DZ39" s="39" t="str">
        <f t="shared" si="6"/>
        <v>Consequence Does Not Exceed Threshold Criteria for Continuing with LOPA</v>
      </c>
      <c r="EB39" s="39" t="e">
        <f>IF(INDEX($E$6:$AI$63,ROW(E39:AI$63)-5,MATCH(Equipment,Equipment_Type,0))="X",IF(DZ39&lt;&gt;"Consequence Does Not Exceed Threshold Criteria for Continuing with LOPA","Included","Excluded"),"")</f>
        <v>#N/A</v>
      </c>
      <c r="ED39" s="2906" t="str">
        <f>CHAR(7)&amp;IPLD_Gen_11&amp;CHAR(10)&amp;IF('Workbook Notes'!D86&lt;&gt;"",CHAR(7)&amp;'Workbook Notes'!D86,"")</f>
        <v xml:space="preserve">_x0007_High Level closes Feed Valve or Shuts Off Feed Pump
</v>
      </c>
      <c r="EE39" s="2930"/>
      <c r="EF39" s="2930" t="str">
        <f t="shared" si="1"/>
        <v>Overflow - Flooding or Plugging</v>
      </c>
      <c r="EG39" s="2943"/>
      <c r="EH39" s="2943"/>
      <c r="EI39" s="2943"/>
      <c r="EK39" s="2907" t="str">
        <f ca="1">IF(ISTEXT(VLOOKUP(C39,INDIRECT("'Scenario List'!A11"):INDIRECT("'Scenario List'!V60"),20,FALSE))=TRUE,VLOOKUP(C39,INDIRECT("'Scenario List'!A11"):INDIRECT("'Scenario List'!V60"),20,FALSE),"")</f>
        <v/>
      </c>
      <c r="EL39" s="2907" t="str">
        <f ca="1">IF(ISTEXT(VLOOKUP(C39,INDIRECT("'Scenario List'!A11"):INDIRECT("'Scenario List'!V60"),21,FALSE))=TRUE,VLOOKUP(C39,INDIRECT("'Scenario List'!A11"):INDIRECT("'Scenario List'!V60"),21,FALSE),"")</f>
        <v/>
      </c>
      <c r="EM39" s="2907" t="str">
        <f ca="1">IF(ISTEXT(VLOOKUP(C39,INDIRECT("'Scenario List'!A11"):INDIRECT("'Scenario List'!V60"),22,FALSE))=TRUE,VLOOKUP(C39,INDIRECT("'Scenario List'!A11"):INDIRECT("'Scenario List'!V60"),22,FALSE),"")</f>
        <v/>
      </c>
      <c r="EO39" s="2907" t="str">
        <f ca="1">IF(INDIRECT("'Scenario List'!A44")="","",INDIRECT("'Scenario List'!A44"))</f>
        <v/>
      </c>
      <c r="EP39" s="2907" t="str">
        <f t="shared" ca="1" si="12"/>
        <v/>
      </c>
      <c r="EQ39" s="2907" t="str">
        <f t="shared" ca="1" si="13"/>
        <v/>
      </c>
      <c r="ER39" s="2907" t="str">
        <f t="shared" ca="1" si="14"/>
        <v/>
      </c>
    </row>
    <row r="40" spans="3:148" x14ac:dyDescent="0.25">
      <c r="C40" s="39" t="s">
        <v>1383</v>
      </c>
      <c r="D40" s="35"/>
      <c r="E40" s="34"/>
      <c r="F40" s="39" t="str">
        <f>IF(Exclude_MI&lt;&gt;"Only MI","X","")</f>
        <v>X</v>
      </c>
      <c r="G40" s="34"/>
      <c r="H40" s="34"/>
      <c r="I40" s="34"/>
      <c r="J40" s="34"/>
      <c r="K40" s="34"/>
      <c r="L40" s="39" t="str">
        <f>IF(Exclude_MI&lt;&gt;"Only MI","X","")</f>
        <v>X</v>
      </c>
      <c r="M40" s="39" t="str">
        <f>IF(Exclude_MI&lt;&gt;"Only MI","X","")</f>
        <v>X</v>
      </c>
      <c r="N40" s="34"/>
      <c r="O40" s="34"/>
      <c r="P40" s="34"/>
      <c r="Q40" s="34"/>
      <c r="R40" s="34"/>
      <c r="S40" s="34"/>
      <c r="T40" s="34"/>
      <c r="U40" s="34"/>
      <c r="V40" s="34"/>
      <c r="W40" s="34"/>
      <c r="X40" s="34"/>
      <c r="Y40" s="34"/>
      <c r="Z40" s="34"/>
      <c r="AA40" s="34"/>
      <c r="AB40" s="39" t="str">
        <f>IF(Exclude_MI&lt;&gt;"Only MI","X","")</f>
        <v>X</v>
      </c>
      <c r="AC40" s="39" t="str">
        <f>IF(Exclude_MI&lt;&gt;"Only MI","X","")</f>
        <v>X</v>
      </c>
      <c r="AD40" s="34"/>
      <c r="AE40" s="34"/>
      <c r="AF40" s="34"/>
      <c r="AG40" s="2048"/>
      <c r="AH40" s="63"/>
      <c r="AI40" s="34"/>
      <c r="AJ40" s="35"/>
      <c r="AK40" s="34"/>
      <c r="AL40" s="459" t="str">
        <f>IF(AND(Equipment&lt;&gt;"Piping",Equipment&lt;&gt;"Pump"),"X","")</f>
        <v>X</v>
      </c>
      <c r="AM40" s="34"/>
      <c r="AN40" s="34"/>
      <c r="AO40" s="459" t="str">
        <f>IF(OR(Equipment="Piping",Equipment="Pump"),"X","")</f>
        <v/>
      </c>
      <c r="AP40" s="34"/>
      <c r="AQ40" s="739"/>
      <c r="AR40" s="34"/>
      <c r="AS40" s="1000"/>
      <c r="AT40" s="34"/>
      <c r="AU40" s="34"/>
      <c r="AV40" s="34"/>
      <c r="AW40" s="34"/>
      <c r="AX40" s="34"/>
      <c r="AY40" s="34"/>
      <c r="AZ40" s="34"/>
      <c r="BA40" s="34"/>
      <c r="BB40" s="34"/>
      <c r="BC40" s="34"/>
      <c r="BD40" s="34"/>
      <c r="BE40" s="34"/>
      <c r="BF40" s="34"/>
      <c r="BG40" s="34"/>
      <c r="BH40" s="34"/>
      <c r="BI40" s="35"/>
      <c r="BJ40" s="34"/>
      <c r="BK40" s="34"/>
      <c r="BL40" s="1853"/>
      <c r="BM40" s="34"/>
      <c r="BN40" s="34"/>
      <c r="BO40" s="3178"/>
      <c r="BP40" s="3178"/>
      <c r="BQ40" s="34"/>
      <c r="BR40" s="34"/>
      <c r="BS40" s="34"/>
      <c r="BT40" s="34"/>
      <c r="BU40" s="1853"/>
      <c r="BV40" s="1853"/>
      <c r="BW40" s="34"/>
      <c r="BX40" s="34"/>
      <c r="BY40" s="39" t="str">
        <f>IF(AND(Reactive_Only&lt;&gt;"Yes",OR(Equipment="Drum/IBC Handling",Equipment="Drum Oven",AND(Pipe_Vulnerable="Yes",OR(Equipment="Piping",Equipment="Pump")))),"X","")</f>
        <v/>
      </c>
      <c r="BZ40" s="34"/>
      <c r="CA40" s="34"/>
      <c r="CB40" s="34"/>
      <c r="CC40" s="34"/>
      <c r="CD40" s="34"/>
      <c r="CE40" s="39" t="str">
        <f>IF(AND(Reactive_Only&lt;&gt;"Yes",State="Solid"),"X","")</f>
        <v/>
      </c>
      <c r="CF40" s="34"/>
      <c r="CG40" s="34"/>
      <c r="CH40" s="34"/>
      <c r="CI40" s="34"/>
      <c r="CJ40" s="34"/>
      <c r="CK40" s="34"/>
      <c r="CL40" s="1035"/>
      <c r="CM40" s="739"/>
      <c r="CN40" s="739"/>
      <c r="CO40" s="34"/>
      <c r="CP40" s="34"/>
      <c r="CQ40" s="34"/>
      <c r="CR40" s="34"/>
      <c r="CS40" s="34"/>
      <c r="CT40" s="34"/>
      <c r="CU40" s="34"/>
      <c r="CV40" s="781"/>
      <c r="CW40" s="34"/>
      <c r="CX40" s="34"/>
      <c r="CY40" s="34"/>
      <c r="CZ40" s="34"/>
      <c r="DA40" s="34"/>
      <c r="DB40" s="34"/>
      <c r="DC40" s="2038"/>
      <c r="DD40" s="34"/>
      <c r="DE40" s="34"/>
      <c r="DF40" s="499"/>
      <c r="DG40" s="34"/>
      <c r="DH40" s="459" t="str">
        <f>IF(AND(Reactive_Only&lt;&gt;"Yes",Fire_Potential="Yes",Equipment="Drum Oven"),"X","")</f>
        <v/>
      </c>
      <c r="DI40" s="34"/>
      <c r="DJ40" s="34"/>
      <c r="DL40" s="34"/>
      <c r="DM40" s="34"/>
      <c r="DN40" s="1700"/>
      <c r="DO40" s="34"/>
      <c r="DP40" s="34"/>
      <c r="DQ40" s="34"/>
      <c r="DT40" s="3089" t="str">
        <f t="shared" si="5"/>
        <v/>
      </c>
      <c r="DV40" s="39" t="s">
        <v>1176</v>
      </c>
      <c r="DW40" s="35"/>
      <c r="DX40" s="4" t="e">
        <f>LEFT(INDEX('Scenario Analysis'!GR$5:GR$47,MATCH("X",BJ40:CZ40,0)),LEN(INDEX('Scenario Analysis'!GR$5:GR$47,MATCH("X",BJ40:CZ40,0)))-2)</f>
        <v>#N/A</v>
      </c>
      <c r="DY40" s="4" t="e">
        <f>LEFT(INDEX('Scenario Analysis'!GR$49:GR$56,MATCH("X",DB40:DI40,0)),LEN(INDEX('Scenario Analysis'!GR$49:GR$56,MATCH("X",DB40:DI40,0)))-2)</f>
        <v>#N/A</v>
      </c>
      <c r="DZ40" s="39" t="str">
        <f t="shared" si="6"/>
        <v>Consequence Does Not Exceed Threshold Criteria for Continuing with LOPA</v>
      </c>
      <c r="EB40" s="39" t="e">
        <f>IF(INDEX($E$6:$AI$63,ROW(E40:AI$63)-5,MATCH(Equipment,Equipment_Type,0))="X",IF(DZ40&lt;&gt;"Consequence Does Not Exceed Threshold Criteria for Continuing with LOPA","Included","Excluded"),"")</f>
        <v>#N/A</v>
      </c>
      <c r="ED40" s="2906" t="str">
        <f>IF('Workbook Notes'!D87&lt;&gt;"",CHAR(7)&amp;'Workbook Notes'!D87,"")</f>
        <v/>
      </c>
      <c r="EE40" s="2930"/>
      <c r="EF40" s="2930" t="str">
        <f t="shared" si="1"/>
        <v>Physical Damage or Puncture</v>
      </c>
      <c r="EG40" s="2943"/>
      <c r="EH40" s="2943"/>
      <c r="EI40" s="2943"/>
      <c r="EK40" s="2907" t="str">
        <f ca="1">IF(ISTEXT(VLOOKUP(C40,INDIRECT("'Scenario List'!A11"):INDIRECT("'Scenario List'!V60"),20,FALSE))=TRUE,VLOOKUP(C40,INDIRECT("'Scenario List'!A11"):INDIRECT("'Scenario List'!V60"),20,FALSE),"")</f>
        <v/>
      </c>
      <c r="EL40" s="2907" t="str">
        <f ca="1">IF(ISTEXT(VLOOKUP(C40,INDIRECT("'Scenario List'!A11"):INDIRECT("'Scenario List'!V60"),21,FALSE))=TRUE,VLOOKUP(C40,INDIRECT("'Scenario List'!A11"):INDIRECT("'Scenario List'!V60"),21,FALSE),"")</f>
        <v/>
      </c>
      <c r="EM40" s="2907" t="str">
        <f ca="1">IF(ISTEXT(VLOOKUP(C40,INDIRECT("'Scenario List'!A11"):INDIRECT("'Scenario List'!V60"),22,FALSE))=TRUE,VLOOKUP(C40,INDIRECT("'Scenario List'!A11"):INDIRECT("'Scenario List'!V60"),22,FALSE),"")</f>
        <v/>
      </c>
      <c r="EO40" s="2907" t="str">
        <f ca="1">IF(INDIRECT("'Scenario List'!A45")="","",INDIRECT("'Scenario List'!A45"))</f>
        <v/>
      </c>
      <c r="EP40" s="2907" t="str">
        <f t="shared" ca="1" si="12"/>
        <v/>
      </c>
      <c r="EQ40" s="2907" t="str">
        <f t="shared" ca="1" si="13"/>
        <v/>
      </c>
      <c r="ER40" s="2907" t="str">
        <f t="shared" ca="1" si="14"/>
        <v/>
      </c>
    </row>
    <row r="41" spans="3:148" x14ac:dyDescent="0.25">
      <c r="C41" s="39" t="s">
        <v>3829</v>
      </c>
      <c r="D41" s="35"/>
      <c r="E41" s="39" t="str">
        <f>IF(AND(Exclude_MI&lt;&gt;"Yes",OR(Volume&gt;10000,D&gt;=Hole_ExtremelyLarge)),"X","")</f>
        <v/>
      </c>
      <c r="F41" s="34"/>
      <c r="G41" s="34"/>
      <c r="H41" s="39" t="str">
        <f>IF(AND(Exclude_MI&lt;&gt;"Yes",OR(Volume&gt;10000,D&gt;=Hole_ExtremelyLarge)),"X","")</f>
        <v/>
      </c>
      <c r="I41" s="34"/>
      <c r="J41" s="34"/>
      <c r="K41" s="39" t="str">
        <f>IF(AND(Exclude_MI&lt;&gt;"Yes",OR(Volume&gt;10000,D&gt;=Hole_ExtremelyLarge)),"X","")</f>
        <v/>
      </c>
      <c r="L41" s="34"/>
      <c r="M41" s="34"/>
      <c r="N41" s="34"/>
      <c r="O41" s="34"/>
      <c r="P41" s="34"/>
      <c r="Q41" s="39" t="str">
        <f>IF(AND(Exclude_MI&lt;&gt;"Yes",OR(Volume&gt;10000,D&gt;=Hole_ExtremelyLarge)),"X","")</f>
        <v/>
      </c>
      <c r="R41" s="39" t="str">
        <f>IF(AND(Exclude_MI&lt;&gt;"Yes",OR(Volume&gt;10000,D&gt;=Hole_ExtremelyLarge)),"X","")</f>
        <v/>
      </c>
      <c r="S41" s="34"/>
      <c r="T41" s="34"/>
      <c r="U41" s="34"/>
      <c r="V41" s="34"/>
      <c r="W41" s="39" t="str">
        <f>IF(AND(Exclude_MI&lt;&gt;"Yes",OR(Volume&gt;10000,D&gt;=Hole_ExtremelyLarge)),"X","")</f>
        <v/>
      </c>
      <c r="X41" s="34"/>
      <c r="Y41" s="39" t="str">
        <f>IF(AND(Exclude_MI&lt;&gt;"Yes",OR(Volume&gt;10000,D&gt;=Hole_ExtremelyLarge)),"X","")</f>
        <v/>
      </c>
      <c r="Z41" s="34"/>
      <c r="AA41" s="34"/>
      <c r="AB41" s="39" t="str">
        <f>IF(AND(Exclude_MI&lt;&gt;"Yes",D&gt;=Hole_ExtremelyLarge),"X","")</f>
        <v/>
      </c>
      <c r="AC41" s="39" t="str">
        <f>IF(AND(Exclude_MI&lt;&gt;"Yes",D&gt;=Hole_ExtremelyLarge),"X","")</f>
        <v/>
      </c>
      <c r="AD41" s="34"/>
      <c r="AE41" s="39" t="str">
        <f>IF(AND(Exclude_MI&lt;&gt;"Yes",OR(Volume&gt;10000,D&gt;=Hole_ExtremelyLarge)),"X","")</f>
        <v/>
      </c>
      <c r="AF41" s="39" t="str">
        <f>IF(AND(Exclude_MI&lt;&gt;"Yes",OR(Volume&gt;10000,D&gt;=Hole_ExtremelyLarge)),"X","")</f>
        <v/>
      </c>
      <c r="AG41" s="39" t="str">
        <f>IF(AND(Exclude_MI&lt;&gt;"Yes",OR(Volume&gt;10000,D&gt;=Hole_ExtremelyLarge)),"X","")</f>
        <v/>
      </c>
      <c r="AH41" s="39" t="str">
        <f>IF(AND(Exclude_MI&lt;&gt;"Yes",OR(Volume&gt;10000,D&gt;=Hole_ExtremelyLarge)),"X","")</f>
        <v/>
      </c>
      <c r="AI41" s="34"/>
      <c r="AJ41" s="35"/>
      <c r="AK41" s="34"/>
      <c r="AL41" s="34"/>
      <c r="AM41" s="34"/>
      <c r="AN41" s="34"/>
      <c r="AO41" s="34"/>
      <c r="AP41" s="34"/>
      <c r="AQ41" s="739"/>
      <c r="AR41" s="34"/>
      <c r="AS41" s="1000"/>
      <c r="AT41" s="34"/>
      <c r="AU41" s="34"/>
      <c r="AV41" s="34"/>
      <c r="AW41" s="34"/>
      <c r="AX41" s="34"/>
      <c r="AY41" s="34"/>
      <c r="AZ41" s="34"/>
      <c r="BA41" s="34"/>
      <c r="BB41" s="34"/>
      <c r="BC41" s="459" t="str">
        <f>IF(MI_ExtremeLarge_Hole=0,"X","")</f>
        <v/>
      </c>
      <c r="BD41" s="459" t="str">
        <f>IF(MI_ExtremeLarge_Hole=1,"X","")</f>
        <v/>
      </c>
      <c r="BE41" s="459" t="str">
        <f>IF(MI_ExtremeLarge_Hole=2,"X","")</f>
        <v/>
      </c>
      <c r="BF41" s="459" t="str">
        <f>IF(MI_ExtremeLarge_Hole=3,"X","")</f>
        <v/>
      </c>
      <c r="BG41" s="459" t="str">
        <f>IF(MI_ExtremeLarge_Hole=4,"X","")</f>
        <v/>
      </c>
      <c r="BH41" s="459" t="str">
        <f>IF(MI_ExtremeLarge_Hole=5,"X","")</f>
        <v>X</v>
      </c>
      <c r="BI41" s="35"/>
      <c r="BJ41" s="34"/>
      <c r="BK41" s="34"/>
      <c r="BL41" s="1853"/>
      <c r="BM41" s="34"/>
      <c r="BN41" s="34"/>
      <c r="BO41" s="3178"/>
      <c r="BP41" s="3178"/>
      <c r="BQ41" s="34"/>
      <c r="BR41" s="34"/>
      <c r="BS41" s="34"/>
      <c r="BT41" s="34"/>
      <c r="BU41" s="1853"/>
      <c r="BV41" s="1853"/>
      <c r="BW41" s="34"/>
      <c r="BX41" s="34"/>
      <c r="BY41" s="34"/>
      <c r="BZ41" s="34"/>
      <c r="CA41" s="34"/>
      <c r="CB41" s="34"/>
      <c r="CC41" s="39" t="str">
        <f>IF(Reactive_Only&lt;&gt;"Yes","X","")</f>
        <v>X</v>
      </c>
      <c r="CD41" s="34"/>
      <c r="CE41" s="34"/>
      <c r="CF41" s="1476"/>
      <c r="CG41" s="34"/>
      <c r="CH41" s="34"/>
      <c r="CI41" s="34"/>
      <c r="CJ41" s="34"/>
      <c r="CK41" s="34"/>
      <c r="CL41" s="1035"/>
      <c r="CM41" s="739"/>
      <c r="CN41" s="739"/>
      <c r="CO41" s="34"/>
      <c r="CP41" s="34"/>
      <c r="CQ41" s="34"/>
      <c r="CR41" s="34"/>
      <c r="CS41" s="34"/>
      <c r="CT41" s="34"/>
      <c r="CU41" s="34"/>
      <c r="CV41" s="781"/>
      <c r="CW41" s="34"/>
      <c r="CX41" s="34"/>
      <c r="CY41" s="34"/>
      <c r="CZ41" s="34"/>
      <c r="DA41" s="34"/>
      <c r="DB41" s="34"/>
      <c r="DC41" s="2038"/>
      <c r="DD41" s="34"/>
      <c r="DE41" s="34"/>
      <c r="DF41" s="499"/>
      <c r="DG41" s="34"/>
      <c r="DH41" s="34"/>
      <c r="DI41" s="34"/>
      <c r="DJ41" s="34"/>
      <c r="DL41" s="34"/>
      <c r="DM41" s="34"/>
      <c r="DN41" s="1700"/>
      <c r="DO41" s="34"/>
      <c r="DP41" s="34"/>
      <c r="DQ41" s="34"/>
      <c r="DT41" s="3089" t="str">
        <f t="shared" si="5"/>
        <v/>
      </c>
      <c r="DV41" s="39" t="s">
        <v>1176</v>
      </c>
      <c r="DW41" s="35"/>
      <c r="DX41" s="4" t="e">
        <f>LEFT(INDEX('Scenario Analysis'!GR$5:GR$47,MATCH("X",BJ41:CZ41,0)),LEN(INDEX('Scenario Analysis'!GR$5:GR$47,MATCH("X",BJ41:CZ41,0)))-2)</f>
        <v>#VALUE!</v>
      </c>
      <c r="DY41" s="4" t="e">
        <f>LEFT(INDEX('Scenario Analysis'!GR$49:GR$56,MATCH("X",DB41:DI41,0)),LEN(INDEX('Scenario Analysis'!GR$49:GR$56,MATCH("X",DB41:DI41,0)))-2)</f>
        <v>#N/A</v>
      </c>
      <c r="DZ41" s="39" t="str">
        <f t="shared" si="6"/>
        <v>Consequence Does Not Exceed Threshold Criteria for Continuing with LOPA</v>
      </c>
      <c r="EB41" s="39" t="e">
        <f>IF(INDEX($E$6:$AI$63,ROW(E41:AI$63)-5,MATCH(Equipment,Equipment_Type,0))="X",IF(DZ41&lt;&gt;"Consequence Does Not Exceed Threshold Criteria for Continuing with LOPA","Included","Excluded"),"")</f>
        <v>#N/A</v>
      </c>
      <c r="ED41" s="2906" t="str">
        <f>CHAR(7)&amp;IPLD_MI_2&amp;CHAR(7)&amp;IPLD_MI_3&amp;CHAR(7)&amp;IPLD_MI_1&amp;CHAR(10)&amp;IF('Workbook Notes'!D88&lt;&gt;"",CHAR(7)&amp;'Workbook Notes'!D88,"")</f>
        <v xml:space="preserve">_x0007_Use of Extraordinary Inspection as API 570 Class 1 for Piping or 100% Internal and External per 10 years or less for Vessels_x0007_Use of Extraordinary Equipment or Piping Design to reduce failure frequency_x0007_Use of Extraordinary Corrosion Resistant Alloy to reduce failure frequency
</v>
      </c>
      <c r="EE41" s="2930"/>
      <c r="EF41" s="2930" t="str">
        <f t="shared" si="1"/>
        <v>Mechanical Integrity Failure - Extremely Large</v>
      </c>
      <c r="EG41" s="2943"/>
      <c r="EH41" s="2943"/>
      <c r="EI41" s="2943"/>
      <c r="EK41" s="2907" t="str">
        <f ca="1">IF(ISTEXT(VLOOKUP(C41,INDIRECT("'Scenario List'!A11"):INDIRECT("'Scenario List'!V60"),20,FALSE))=TRUE,VLOOKUP(C41,INDIRECT("'Scenario List'!A11"):INDIRECT("'Scenario List'!V60"),20,FALSE),"")</f>
        <v/>
      </c>
      <c r="EL41" s="2907" t="str">
        <f ca="1">IF(ISTEXT(VLOOKUP(C41,INDIRECT("'Scenario List'!A11"):INDIRECT("'Scenario List'!V60"),21,FALSE))=TRUE,VLOOKUP(C41,INDIRECT("'Scenario List'!A11"):INDIRECT("'Scenario List'!V60"),21,FALSE),"")</f>
        <v/>
      </c>
      <c r="EM41" s="2907" t="str">
        <f ca="1">IF(ISTEXT(VLOOKUP(C41,INDIRECT("'Scenario List'!A11"):INDIRECT("'Scenario List'!V60"),22,FALSE))=TRUE,VLOOKUP(C41,INDIRECT("'Scenario List'!A11"):INDIRECT("'Scenario List'!V60"),22,FALSE),"")</f>
        <v/>
      </c>
      <c r="EO41" s="2907" t="str">
        <f ca="1">IF(INDIRECT("'Scenario List'!A46")="","",INDIRECT("'Scenario List'!A46"))</f>
        <v/>
      </c>
      <c r="EP41" s="2907" t="str">
        <f t="shared" ca="1" si="12"/>
        <v/>
      </c>
      <c r="EQ41" s="2907" t="str">
        <f t="shared" ca="1" si="13"/>
        <v/>
      </c>
      <c r="ER41" s="2907" t="str">
        <f t="shared" ca="1" si="14"/>
        <v/>
      </c>
    </row>
    <row r="42" spans="3:148" x14ac:dyDescent="0.25">
      <c r="C42" s="39" t="s">
        <v>3830</v>
      </c>
      <c r="D42" s="35"/>
      <c r="E42" s="39" t="str">
        <f>IF(AND(Exclude_MI&lt;&gt;"Yes",OR(Volume&gt;1000,D&gt;=Hole_VeryLarge)),"X","")</f>
        <v/>
      </c>
      <c r="F42" s="34"/>
      <c r="G42" s="34"/>
      <c r="H42" s="39" t="str">
        <f>IF(AND(Exclude_MI&lt;&gt;"Yes",OR(Volume&gt;1000,D&gt;=Hole_VeryLarge)),"X","")</f>
        <v/>
      </c>
      <c r="I42" s="34"/>
      <c r="J42" s="34"/>
      <c r="K42" s="39" t="str">
        <f>IF(AND(Exclude_MI&lt;&gt;"Yes",OR(Volume&gt;1000,D&gt;=Hole_VeryLarge)),"X","")</f>
        <v/>
      </c>
      <c r="L42" s="34"/>
      <c r="M42" s="34"/>
      <c r="N42" s="34"/>
      <c r="O42" s="34"/>
      <c r="P42" s="34"/>
      <c r="Q42" s="39" t="str">
        <f>IF(AND(Exclude_MI&lt;&gt;"Yes",OR(Volume&gt;1000,D&gt;=Hole_VeryLarge)),"X","")</f>
        <v/>
      </c>
      <c r="R42" s="39" t="str">
        <f>IF(AND(Exclude_MI&lt;&gt;"Yes",OR(Volume&gt;1000,D&gt;=Hole_VeryLarge)),"X","")</f>
        <v/>
      </c>
      <c r="S42" s="34"/>
      <c r="T42" s="34"/>
      <c r="U42" s="34"/>
      <c r="V42" s="34"/>
      <c r="W42" s="39" t="str">
        <f>IF(AND(Exclude_MI&lt;&gt;"Yes",OR(Volume&gt;1000,D&gt;=Hole_VeryLarge)),"X","")</f>
        <v/>
      </c>
      <c r="X42" s="34"/>
      <c r="Y42" s="39" t="str">
        <f>IF(AND(Exclude_MI&lt;&gt;"Yes",OR(Volume&gt;1000,D&gt;=Hole_VeryLarge)),"X","")</f>
        <v/>
      </c>
      <c r="Z42" s="34"/>
      <c r="AA42" s="34"/>
      <c r="AB42" s="39" t="str">
        <f>IF(AND(Exclude_MI&lt;&gt;"Yes",D&gt;=Hole_VeryLarge),"X","")</f>
        <v/>
      </c>
      <c r="AC42" s="39" t="str">
        <f>IF(AND(Exclude_MI&lt;&gt;"Yes",D&gt;=Hole_VeryLarge),"X","")</f>
        <v/>
      </c>
      <c r="AD42" s="34"/>
      <c r="AE42" s="39" t="str">
        <f>IF(AND(Exclude_MI&lt;&gt;"Yes",OR(Volume&gt;1000,D&gt;=Hole_VeryLarge)),"X","")</f>
        <v/>
      </c>
      <c r="AF42" s="39" t="str">
        <f>IF(AND(Exclude_MI&lt;&gt;"Yes",OR(Volume&gt;1000,D&gt;=Hole_VeryLarge)),"X","")</f>
        <v/>
      </c>
      <c r="AG42" s="39" t="str">
        <f>IF(AND(Exclude_MI&lt;&gt;"Yes",OR(Volume&gt;1000,D&gt;=Hole_VeryLarge)),"X","")</f>
        <v/>
      </c>
      <c r="AH42" s="39" t="str">
        <f>IF(AND(Exclude_MI&lt;&gt;"Yes",OR(Volume&gt;1000,D&gt;=Hole_VeryLarge)),"X","")</f>
        <v/>
      </c>
      <c r="AI42" s="34"/>
      <c r="AJ42" s="35"/>
      <c r="AK42" s="34"/>
      <c r="AL42" s="34"/>
      <c r="AM42" s="34"/>
      <c r="AN42" s="34"/>
      <c r="AO42" s="34"/>
      <c r="AP42" s="34"/>
      <c r="AQ42" s="739"/>
      <c r="AR42" s="34"/>
      <c r="AS42" s="1000"/>
      <c r="AT42" s="34"/>
      <c r="AU42" s="34"/>
      <c r="AV42" s="34"/>
      <c r="AW42" s="34"/>
      <c r="AX42" s="34"/>
      <c r="AY42" s="34"/>
      <c r="AZ42" s="34"/>
      <c r="BA42" s="34"/>
      <c r="BB42" s="34"/>
      <c r="BC42" s="459" t="str">
        <f>IF(MI_VeryLarge_Hole=0,"X","")</f>
        <v/>
      </c>
      <c r="BD42" s="459" t="str">
        <f>IF(MI_VeryLarge_Hole=1,"X","")</f>
        <v/>
      </c>
      <c r="BE42" s="459" t="str">
        <f>IF(MI_VeryLarge_Hole=2,"X","")</f>
        <v/>
      </c>
      <c r="BF42" s="459" t="str">
        <f>IF(MI_VeryLarge_Hole=3,"X","")</f>
        <v/>
      </c>
      <c r="BG42" s="459" t="str">
        <f>IF(MI_VeryLarge_Hole=4,"X","")</f>
        <v>X</v>
      </c>
      <c r="BH42" s="459" t="str">
        <f>IF(MI_VeryLarge_Hole=5,"X","")</f>
        <v/>
      </c>
      <c r="BI42" s="35"/>
      <c r="BJ42" s="34"/>
      <c r="BK42" s="34"/>
      <c r="BL42" s="1853"/>
      <c r="BM42" s="34"/>
      <c r="BN42" s="34"/>
      <c r="BO42" s="3178"/>
      <c r="BP42" s="3178"/>
      <c r="BQ42" s="34"/>
      <c r="BR42" s="34"/>
      <c r="BS42" s="34"/>
      <c r="BT42" s="34"/>
      <c r="BU42" s="1853"/>
      <c r="BV42" s="1853"/>
      <c r="BW42" s="34"/>
      <c r="BX42" s="34"/>
      <c r="BY42" s="34"/>
      <c r="BZ42" s="34"/>
      <c r="CA42" s="39" t="str">
        <f>IF(Reactive_Only&lt;&gt;"Yes","X","")</f>
        <v>X</v>
      </c>
      <c r="CB42" s="34"/>
      <c r="CC42" s="34"/>
      <c r="CD42" s="34"/>
      <c r="CE42" s="34"/>
      <c r="CF42" s="1476"/>
      <c r="CG42" s="34"/>
      <c r="CH42" s="34"/>
      <c r="CI42" s="34"/>
      <c r="CJ42" s="34"/>
      <c r="CK42" s="34"/>
      <c r="CL42" s="1035"/>
      <c r="CM42" s="739"/>
      <c r="CN42" s="739"/>
      <c r="CO42" s="34"/>
      <c r="CP42" s="34"/>
      <c r="CQ42" s="34"/>
      <c r="CR42" s="34"/>
      <c r="CS42" s="34"/>
      <c r="CT42" s="34"/>
      <c r="CU42" s="34"/>
      <c r="CV42" s="781"/>
      <c r="CW42" s="34"/>
      <c r="CX42" s="34"/>
      <c r="CY42" s="34"/>
      <c r="CZ42" s="34"/>
      <c r="DA42" s="34"/>
      <c r="DB42" s="34"/>
      <c r="DC42" s="2038"/>
      <c r="DD42" s="34"/>
      <c r="DE42" s="34"/>
      <c r="DF42" s="499"/>
      <c r="DG42" s="34"/>
      <c r="DH42" s="34"/>
      <c r="DI42" s="34"/>
      <c r="DJ42" s="34"/>
      <c r="DL42" s="34"/>
      <c r="DM42" s="34"/>
      <c r="DN42" s="1700"/>
      <c r="DO42" s="34"/>
      <c r="DP42" s="34"/>
      <c r="DQ42" s="34"/>
      <c r="DT42" s="3089" t="str">
        <f t="shared" si="5"/>
        <v/>
      </c>
      <c r="DV42" s="39" t="s">
        <v>1176</v>
      </c>
      <c r="DW42" s="35"/>
      <c r="DX42" s="4" t="e">
        <f>LEFT(INDEX('Scenario Analysis'!GR$5:GR$47,MATCH("X",BJ42:CZ42,0)),LEN(INDEX('Scenario Analysis'!GR$5:GR$47,MATCH("X",BJ42:CZ42,0)))-2)</f>
        <v>#VALUE!</v>
      </c>
      <c r="DY42" s="4" t="e">
        <f>LEFT(INDEX('Scenario Analysis'!GR$49:GR$56,MATCH("X",DB42:DI42,0)),LEN(INDEX('Scenario Analysis'!GR$49:GR$56,MATCH("X",DB42:DI42,0)))-2)</f>
        <v>#N/A</v>
      </c>
      <c r="DZ42" s="39" t="str">
        <f t="shared" si="6"/>
        <v>Consequence Does Not Exceed Threshold Criteria for Continuing with LOPA</v>
      </c>
      <c r="EB42" s="39" t="e">
        <f>IF(INDEX($E$6:$AI$63,ROW(E42:AI$63)-5,MATCH(Equipment,Equipment_Type,0))="X",IF(DZ42&lt;&gt;"Consequence Does Not Exceed Threshold Criteria for Continuing with LOPA","Included","Excluded"),"")</f>
        <v>#N/A</v>
      </c>
      <c r="ED42" s="2906" t="str">
        <f>CHAR(7)&amp;IPLD_MI_2&amp;CHAR(7)&amp;IPLD_MI_3&amp;CHAR(7)&amp;IPLD_MI_1&amp;CHAR(10)&amp;IF('Workbook Notes'!D89&lt;&gt;"",CHAR(7)&amp;'Workbook Notes'!D89,"")</f>
        <v xml:space="preserve">_x0007_Use of Extraordinary Inspection as API 570 Class 1 for Piping or 100% Internal and External per 10 years or less for Vessels_x0007_Use of Extraordinary Equipment or Piping Design to reduce failure frequency_x0007_Use of Extraordinary Corrosion Resistant Alloy to reduce failure frequency
</v>
      </c>
      <c r="EE42" s="2930"/>
      <c r="EF42" s="2930" t="str">
        <f t="shared" si="1"/>
        <v>Mechanical Integrity Failure - Very Large</v>
      </c>
      <c r="EG42" s="2943"/>
      <c r="EH42" s="2943"/>
      <c r="EI42" s="2943"/>
      <c r="EK42" s="2907" t="str">
        <f ca="1">IF(ISTEXT(VLOOKUP(C42,INDIRECT("'Scenario List'!A11"):INDIRECT("'Scenario List'!V60"),20,FALSE))=TRUE,VLOOKUP(C42,INDIRECT("'Scenario List'!A11"):INDIRECT("'Scenario List'!V60"),20,FALSE),"")</f>
        <v/>
      </c>
      <c r="EL42" s="2907" t="str">
        <f ca="1">IF(ISTEXT(VLOOKUP(C42,INDIRECT("'Scenario List'!A11"):INDIRECT("'Scenario List'!V60"),21,FALSE))=TRUE,VLOOKUP(C42,INDIRECT("'Scenario List'!A11"):INDIRECT("'Scenario List'!V60"),21,FALSE),"")</f>
        <v/>
      </c>
      <c r="EM42" s="2907" t="str">
        <f ca="1">IF(ISTEXT(VLOOKUP(C42,INDIRECT("'Scenario List'!A11"):INDIRECT("'Scenario List'!V60"),22,FALSE))=TRUE,VLOOKUP(C42,INDIRECT("'Scenario List'!A11"):INDIRECT("'Scenario List'!V60"),22,FALSE),"")</f>
        <v/>
      </c>
      <c r="EO42" s="2907" t="str">
        <f ca="1">IF(INDIRECT("'Scenario List'!A47")="","",INDIRECT("'Scenario List'!A47"))</f>
        <v/>
      </c>
      <c r="EP42" s="2907" t="str">
        <f t="shared" ca="1" si="12"/>
        <v/>
      </c>
      <c r="EQ42" s="2907" t="str">
        <f t="shared" ca="1" si="13"/>
        <v/>
      </c>
      <c r="ER42" s="2907" t="str">
        <f t="shared" ca="1" si="14"/>
        <v/>
      </c>
    </row>
    <row r="43" spans="3:148" x14ac:dyDescent="0.25">
      <c r="C43" s="39" t="s">
        <v>3836</v>
      </c>
      <c r="D43" s="35"/>
      <c r="E43" s="39" t="str">
        <f>IF(Exclude_MI&lt;&gt;"Only MI","X","")</f>
        <v>X</v>
      </c>
      <c r="F43" s="34"/>
      <c r="G43" s="34"/>
      <c r="H43" s="39" t="str">
        <f>IF(Exclude_MI&lt;&gt;"Only MI","X","")</f>
        <v>X</v>
      </c>
      <c r="I43" s="34"/>
      <c r="J43" s="34"/>
      <c r="K43" s="39" t="str">
        <f>IF(Exclude_MI&lt;&gt;"Only MI","X","")</f>
        <v>X</v>
      </c>
      <c r="L43" s="39" t="str">
        <f>IF(Exclude_MI&lt;&gt;"Only MI","X","")</f>
        <v>X</v>
      </c>
      <c r="M43" s="34"/>
      <c r="N43" s="34"/>
      <c r="O43" s="34"/>
      <c r="P43" s="34"/>
      <c r="Q43" s="39" t="str">
        <f>IF(Exclude_MI&lt;&gt;"Only MI","X","")</f>
        <v>X</v>
      </c>
      <c r="R43" s="39" t="str">
        <f>IF(Exclude_MI&lt;&gt;"Only MI","X","")</f>
        <v>X</v>
      </c>
      <c r="S43" s="34"/>
      <c r="T43" s="34"/>
      <c r="U43" s="34"/>
      <c r="V43" s="34"/>
      <c r="W43" s="39" t="str">
        <f>IF(Exclude_MI&lt;&gt;"Only MI","X","")</f>
        <v>X</v>
      </c>
      <c r="X43" s="34"/>
      <c r="Y43" s="39" t="str">
        <f>IF(Exclude_MI&lt;&gt;"Only MI","X","")</f>
        <v>X</v>
      </c>
      <c r="Z43" s="34"/>
      <c r="AA43" s="34"/>
      <c r="AB43" s="39" t="str">
        <f>IF(Exclude_MI&lt;&gt;"Only MI","X","")</f>
        <v>X</v>
      </c>
      <c r="AC43" s="39" t="str">
        <f>IF(Exclude_MI&lt;&gt;"Only MI","X","")</f>
        <v>X</v>
      </c>
      <c r="AD43" s="34"/>
      <c r="AE43" s="39" t="str">
        <f>IF(Exclude_MI&lt;&gt;"Only MI","X","")</f>
        <v>X</v>
      </c>
      <c r="AF43" s="39" t="str">
        <f>IF(Exclude_MI&lt;&gt;"Only MI","X","")</f>
        <v>X</v>
      </c>
      <c r="AG43" s="39" t="str">
        <f>IF(Exclude_MI&lt;&gt;"Only MI","X","")</f>
        <v>X</v>
      </c>
      <c r="AH43" s="39" t="str">
        <f>IF(Exclude_MI&lt;&gt;"Only MI","X","")</f>
        <v>X</v>
      </c>
      <c r="AI43" s="34"/>
      <c r="AJ43" s="35"/>
      <c r="AK43" s="34"/>
      <c r="AL43" s="34"/>
      <c r="AM43" s="34"/>
      <c r="AN43" s="34"/>
      <c r="AO43" s="34"/>
      <c r="AP43" s="34"/>
      <c r="AQ43" s="739"/>
      <c r="AR43" s="459" t="str">
        <f>IF(Sight_Glass="Yes","X","")</f>
        <v/>
      </c>
      <c r="AS43" s="34"/>
      <c r="AT43" s="459" t="str">
        <f>IF(OR(Connection_Type="Hose",AND(Connection_Type="",OR(Equipment="Tank Truck/Rail Car/Tote",Equipment="Drum/IBC Handling"))),"X","")</f>
        <v/>
      </c>
      <c r="AU43" s="34"/>
      <c r="AV43" s="34"/>
      <c r="AW43" s="34"/>
      <c r="AX43" s="34"/>
      <c r="AY43" s="34"/>
      <c r="AZ43" s="34"/>
      <c r="BA43" s="34"/>
      <c r="BB43" s="34"/>
      <c r="BC43" s="34"/>
      <c r="BD43" s="34"/>
      <c r="BE43" s="34"/>
      <c r="BF43" s="34"/>
      <c r="BG43" s="34"/>
      <c r="BH43" s="34"/>
      <c r="BI43" s="35"/>
      <c r="BJ43" s="34"/>
      <c r="BK43" s="34"/>
      <c r="BL43" s="1853"/>
      <c r="BM43" s="34"/>
      <c r="BN43" s="34"/>
      <c r="BO43" s="3178"/>
      <c r="BP43" s="3178"/>
      <c r="BQ43" s="34"/>
      <c r="BR43" s="34"/>
      <c r="BS43" s="34"/>
      <c r="BT43" s="34"/>
      <c r="BU43" s="1853"/>
      <c r="BV43" s="1853"/>
      <c r="BW43" s="34"/>
      <c r="BX43" s="34"/>
      <c r="BY43" s="39" t="str">
        <f>IF(AND(Reactive_Only&lt;&gt;"Yes",OR(Equipment="Drum/IBC Handling",Equipment="Tank Truck/Rail Car/Tote",AND(Connection_Type="Hose",OR(Equipment="Piping",Equipment="Pump")))),"X","")</f>
        <v/>
      </c>
      <c r="BZ43" s="39" t="str">
        <f>IF(AND(Reactive_Only&lt;&gt;"Yes",OR(Sight_Glass="Yes",AND(State="Liquid",Rotating_Equip="No",Equipment&lt;&gt;"Piping",Equipment&lt;&gt;"Pump",Equipment&lt;&gt;"Drum/IBC Handling",Equipment&lt;&gt;"Tank Truck/Rail Car/Tote"))),"X","")</f>
        <v>X</v>
      </c>
      <c r="CA43" s="34"/>
      <c r="CB43" s="34"/>
      <c r="CC43" s="34"/>
      <c r="CD43" s="34"/>
      <c r="CE43" s="34"/>
      <c r="CF43" s="1476"/>
      <c r="CG43" s="34"/>
      <c r="CH43" s="34"/>
      <c r="CI43" s="34"/>
      <c r="CJ43" s="34"/>
      <c r="CK43" s="34"/>
      <c r="CL43" s="1035"/>
      <c r="CM43" s="739"/>
      <c r="CN43" s="739"/>
      <c r="CO43" s="34"/>
      <c r="CP43" s="34"/>
      <c r="CQ43" s="34"/>
      <c r="CR43" s="34"/>
      <c r="CS43" s="34"/>
      <c r="CT43" s="34"/>
      <c r="CU43" s="34"/>
      <c r="CV43" s="781"/>
      <c r="CW43" s="34"/>
      <c r="CX43" s="34"/>
      <c r="CY43" s="34"/>
      <c r="CZ43" s="34"/>
      <c r="DA43" s="34"/>
      <c r="DB43" s="34"/>
      <c r="DC43" s="2038"/>
      <c r="DD43" s="34"/>
      <c r="DE43" s="34"/>
      <c r="DF43" s="499"/>
      <c r="DG43" s="34"/>
      <c r="DH43" s="34"/>
      <c r="DI43" s="34"/>
      <c r="DJ43" s="34"/>
      <c r="DL43" s="34"/>
      <c r="DM43" s="34"/>
      <c r="DN43" s="1700"/>
      <c r="DO43" s="34"/>
      <c r="DP43" s="34"/>
      <c r="DQ43" s="34"/>
      <c r="DT43" s="3089" t="str">
        <f t="shared" si="5"/>
        <v/>
      </c>
      <c r="DV43" s="39" t="s">
        <v>1176</v>
      </c>
      <c r="DW43" s="35"/>
      <c r="DX43" s="4" t="e">
        <f>LEFT(INDEX('Scenario Analysis'!GR$5:GR$47,MATCH("X",BJ43:CZ43,0)),LEN(INDEX('Scenario Analysis'!GR$5:GR$47,MATCH("X",BJ43:CZ43,0)))-2)</f>
        <v>#VALUE!</v>
      </c>
      <c r="DY43" s="4" t="e">
        <f>LEFT(INDEX('Scenario Analysis'!GR$49:GR$56,MATCH("X",DB43:DI43,0)),LEN(INDEX('Scenario Analysis'!GR$49:GR$56,MATCH("X",DB43:DI43,0)))-2)</f>
        <v>#N/A</v>
      </c>
      <c r="DZ43" s="39" t="str">
        <f t="shared" si="6"/>
        <v>Consequence Does Not Exceed Threshold Criteria for Continuing with LOPA</v>
      </c>
      <c r="EB43" s="39" t="e">
        <f>IF(INDEX($E$6:$AI$63,ROW(E43:AI$63)-5,MATCH(Equipment,Equipment_Type,0))="X",IF(DZ43&lt;&gt;"Consequence Does Not Exceed Threshold Criteria for Continuing with LOPA","Included","Excluded"),"")</f>
        <v>#N/A</v>
      </c>
      <c r="ED43" s="2906" t="str">
        <f>IF('Workbook Notes'!D90&lt;&gt;"",CHAR(7)&amp;'Workbook Notes'!D90,"")</f>
        <v/>
      </c>
      <c r="EE43" s="2930"/>
      <c r="EF43" s="2930" t="str">
        <f t="shared" si="1"/>
        <v>Piping or Equipment Leak - Full Bore</v>
      </c>
      <c r="EG43" s="2943"/>
      <c r="EH43" s="2943"/>
      <c r="EI43" s="2943"/>
      <c r="EK43" s="2907" t="str">
        <f ca="1">IF(ISTEXT(VLOOKUP(C43,INDIRECT("'Scenario List'!A11"):INDIRECT("'Scenario List'!V60"),20,FALSE))=TRUE,VLOOKUP(C43,INDIRECT("'Scenario List'!A11"):INDIRECT("'Scenario List'!V60"),20,FALSE),"")</f>
        <v/>
      </c>
      <c r="EL43" s="2907" t="str">
        <f ca="1">IF(ISTEXT(VLOOKUP(C43,INDIRECT("'Scenario List'!A11"):INDIRECT("'Scenario List'!V60"),21,FALSE))=TRUE,VLOOKUP(C43,INDIRECT("'Scenario List'!A11"):INDIRECT("'Scenario List'!V60"),21,FALSE),"")</f>
        <v/>
      </c>
      <c r="EM43" s="2907" t="str">
        <f ca="1">IF(ISTEXT(VLOOKUP(C43,INDIRECT("'Scenario List'!A11"):INDIRECT("'Scenario List'!V60"),22,FALSE))=TRUE,VLOOKUP(C43,INDIRECT("'Scenario List'!A11"):INDIRECT("'Scenario List'!V60"),22,FALSE),"")</f>
        <v/>
      </c>
      <c r="EO43" s="2907" t="str">
        <f ca="1">IF(INDIRECT("'Scenario List'!A48")="","",INDIRECT("'Scenario List'!A48"))</f>
        <v/>
      </c>
      <c r="EP43" s="2907" t="str">
        <f t="shared" ca="1" si="12"/>
        <v/>
      </c>
      <c r="EQ43" s="2907" t="str">
        <f t="shared" ca="1" si="13"/>
        <v/>
      </c>
      <c r="ER43" s="2907" t="str">
        <f t="shared" ca="1" si="14"/>
        <v/>
      </c>
    </row>
    <row r="44" spans="3:148" x14ac:dyDescent="0.25">
      <c r="C44" s="39" t="s">
        <v>3831</v>
      </c>
      <c r="D44" s="35"/>
      <c r="E44" s="39" t="str">
        <f>IF(Exclude_MI&lt;&gt;"Yes","X","")</f>
        <v>X</v>
      </c>
      <c r="F44" s="34"/>
      <c r="G44" s="34"/>
      <c r="H44" s="39" t="str">
        <f>IF(Exclude_MI&lt;&gt;"Yes","X","")</f>
        <v>X</v>
      </c>
      <c r="I44" s="34"/>
      <c r="J44" s="34"/>
      <c r="K44" s="39" t="str">
        <f>IF(Exclude_MI&lt;&gt;"Yes","X","")</f>
        <v>X</v>
      </c>
      <c r="L44" s="39" t="str">
        <f>IF(Exclude_MI&lt;&gt;"Yes","X","")</f>
        <v>X</v>
      </c>
      <c r="M44" s="34"/>
      <c r="N44" s="34"/>
      <c r="O44" s="34"/>
      <c r="P44" s="34"/>
      <c r="Q44" s="39" t="str">
        <f>IF(Exclude_MI&lt;&gt;"Yes","X","")</f>
        <v>X</v>
      </c>
      <c r="R44" s="39" t="str">
        <f>IF(Exclude_MI&lt;&gt;"Yes","X","")</f>
        <v>X</v>
      </c>
      <c r="S44" s="34"/>
      <c r="T44" s="34"/>
      <c r="U44" s="34"/>
      <c r="V44" s="34"/>
      <c r="W44" s="39" t="s">
        <v>1742</v>
      </c>
      <c r="X44" s="34"/>
      <c r="Y44" s="39" t="str">
        <f>IF(Exclude_MI&lt;&gt;"Yes","X","")</f>
        <v>X</v>
      </c>
      <c r="Z44" s="34"/>
      <c r="AA44" s="34"/>
      <c r="AB44" s="39" t="str">
        <f>IF(Exclude_MI&lt;&gt;"Yes","X","")</f>
        <v>X</v>
      </c>
      <c r="AC44" s="39" t="str">
        <f>IF(Exclude_MI&lt;&gt;"Yes","X","")</f>
        <v>X</v>
      </c>
      <c r="AD44" s="34"/>
      <c r="AE44" s="39" t="str">
        <f>IF(Exclude_MI&lt;&gt;"Yes","X","")</f>
        <v>X</v>
      </c>
      <c r="AF44" s="39" t="str">
        <f>IF(Exclude_MI&lt;&gt;"Yes","X","")</f>
        <v>X</v>
      </c>
      <c r="AG44" s="39" t="str">
        <f>IF(Exclude_MI&lt;&gt;"Yes","X","")</f>
        <v>X</v>
      </c>
      <c r="AH44" s="39" t="str">
        <f>IF(Exclude_MI&lt;&gt;"Yes","X","")</f>
        <v>X</v>
      </c>
      <c r="AI44" s="34"/>
      <c r="AJ44" s="35"/>
      <c r="AK44" s="34"/>
      <c r="AL44" s="34"/>
      <c r="AM44" s="34"/>
      <c r="AN44" s="34"/>
      <c r="AO44" s="34"/>
      <c r="AP44" s="34"/>
      <c r="AQ44" s="739"/>
      <c r="AR44" s="34"/>
      <c r="AS44" s="34"/>
      <c r="AT44" s="34"/>
      <c r="AU44" s="34"/>
      <c r="AV44" s="34"/>
      <c r="AW44" s="34"/>
      <c r="AX44" s="34"/>
      <c r="AY44" s="34"/>
      <c r="AZ44" s="34"/>
      <c r="BA44" s="34"/>
      <c r="BB44" s="34"/>
      <c r="BC44" s="459" t="str">
        <f>IF(MI_Medium_Hole=0,"X","")</f>
        <v/>
      </c>
      <c r="BD44" s="459" t="str">
        <f>IF(MI_Medium_Hole=1,"X","")</f>
        <v/>
      </c>
      <c r="BE44" s="459" t="str">
        <f>IF(MI_Medium_Hole=2,"X","")</f>
        <v/>
      </c>
      <c r="BF44" s="459" t="str">
        <f>IF(MI_Medium_Hole=3,"X","")</f>
        <v/>
      </c>
      <c r="BG44" s="459" t="str">
        <f>IF(MI_Medium_Hole=4,"X","")</f>
        <v>X</v>
      </c>
      <c r="BH44" s="459" t="str">
        <f>IF(MI_Medium_Hole=5,"X","")</f>
        <v/>
      </c>
      <c r="BI44" s="35"/>
      <c r="BJ44" s="34"/>
      <c r="BK44" s="34"/>
      <c r="BL44" s="1853"/>
      <c r="BM44" s="34"/>
      <c r="BN44" s="34"/>
      <c r="BO44" s="3178"/>
      <c r="BP44" s="3178"/>
      <c r="BQ44" s="34"/>
      <c r="BR44" s="34"/>
      <c r="BS44" s="34"/>
      <c r="BT44" s="34"/>
      <c r="BU44" s="1853"/>
      <c r="BV44" s="1853"/>
      <c r="BW44" s="39" t="str">
        <f>IF(Reactive_Only&lt;&gt;"Yes","X","")</f>
        <v>X</v>
      </c>
      <c r="BX44" s="34"/>
      <c r="BY44" s="34"/>
      <c r="BZ44" s="34"/>
      <c r="CA44" s="34"/>
      <c r="CB44" s="34"/>
      <c r="CC44" s="34"/>
      <c r="CD44" s="34"/>
      <c r="CE44" s="34"/>
      <c r="CF44" s="1476"/>
      <c r="CG44" s="34"/>
      <c r="CH44" s="34"/>
      <c r="CI44" s="34"/>
      <c r="CJ44" s="34"/>
      <c r="CK44" s="34"/>
      <c r="CL44" s="1035"/>
      <c r="CM44" s="739"/>
      <c r="CN44" s="739"/>
      <c r="CO44" s="34"/>
      <c r="CP44" s="34"/>
      <c r="CQ44" s="34"/>
      <c r="CR44" s="34"/>
      <c r="CS44" s="34"/>
      <c r="CT44" s="34"/>
      <c r="CU44" s="34"/>
      <c r="CV44" s="781"/>
      <c r="CW44" s="34"/>
      <c r="CX44" s="34"/>
      <c r="CY44" s="34"/>
      <c r="CZ44" s="34"/>
      <c r="DA44" s="34"/>
      <c r="DB44" s="34"/>
      <c r="DC44" s="2038"/>
      <c r="DD44" s="34"/>
      <c r="DE44" s="34"/>
      <c r="DF44" s="499"/>
      <c r="DG44" s="34"/>
      <c r="DH44" s="34"/>
      <c r="DI44" s="34"/>
      <c r="DJ44" s="34"/>
      <c r="DL44" s="34"/>
      <c r="DM44" s="34"/>
      <c r="DN44" s="1700"/>
      <c r="DO44" s="34"/>
      <c r="DP44" s="34"/>
      <c r="DQ44" s="34"/>
      <c r="DT44" s="3089" t="str">
        <f t="shared" si="5"/>
        <v/>
      </c>
      <c r="DV44" s="39" t="s">
        <v>1176</v>
      </c>
      <c r="DW44" s="35"/>
      <c r="DX44" s="4" t="e">
        <f>LEFT(INDEX('Scenario Analysis'!GR$5:GR$47,MATCH("X",BJ44:CZ44,0)),LEN(INDEX('Scenario Analysis'!GR$5:GR$47,MATCH("X",BJ44:CZ44,0)))-2)</f>
        <v>#VALUE!</v>
      </c>
      <c r="DY44" s="4" t="e">
        <f>LEFT(INDEX('Scenario Analysis'!GR$49:GR$56,MATCH("X",DB44:DI44,0)),LEN(INDEX('Scenario Analysis'!GR$49:GR$56,MATCH("X",DB44:DI44,0)))-2)</f>
        <v>#N/A</v>
      </c>
      <c r="DZ44" s="39" t="str">
        <f t="shared" si="6"/>
        <v>Consequence Does Not Exceed Threshold Criteria for Continuing with LOPA</v>
      </c>
      <c r="EB44" s="39" t="e">
        <f>IF(INDEX($E$6:$AI$63,ROW(E44:AI$63)-5,MATCH(Equipment,Equipment_Type,0))="X",IF(DZ44&lt;&gt;"Consequence Does Not Exceed Threshold Criteria for Continuing with LOPA","Included","Excluded"),"")</f>
        <v>#N/A</v>
      </c>
      <c r="ED44" s="2906" t="str">
        <f>CHAR(7)&amp;IPLD_MI_2&amp;CHAR(7)&amp;IPLD_MI_3&amp;CHAR(7)&amp;IPLD_MI_1&amp;CHAR(10)&amp;IF('Workbook Notes'!D91&lt;&gt;"",CHAR(7)&amp;'Workbook Notes'!D91,"")</f>
        <v xml:space="preserve">_x0007_Use of Extraordinary Inspection as API 570 Class 1 for Piping or 100% Internal and External per 10 years or less for Vessels_x0007_Use of Extraordinary Equipment or Piping Design to reduce failure frequency_x0007_Use of Extraordinary Corrosion Resistant Alloy to reduce failure frequency
</v>
      </c>
      <c r="EE44" s="2930"/>
      <c r="EF44" s="2930" t="str">
        <f t="shared" si="1"/>
        <v>Mechanical Integrity Failure - Medium</v>
      </c>
      <c r="EG44" s="2943"/>
      <c r="EH44" s="2943"/>
      <c r="EI44" s="2943"/>
      <c r="EK44" s="2907" t="str">
        <f ca="1">IF(ISTEXT(VLOOKUP(C44,INDIRECT("'Scenario List'!A11"):INDIRECT("'Scenario List'!V60"),20,FALSE))=TRUE,VLOOKUP(C44,INDIRECT("'Scenario List'!A11"):INDIRECT("'Scenario List'!V60"),20,FALSE),"")</f>
        <v/>
      </c>
      <c r="EL44" s="2907" t="str">
        <f ca="1">IF(ISTEXT(VLOOKUP(C44,INDIRECT("'Scenario List'!A11"):INDIRECT("'Scenario List'!V60"),21,FALSE))=TRUE,VLOOKUP(C44,INDIRECT("'Scenario List'!A11"):INDIRECT("'Scenario List'!V60"),21,FALSE),"")</f>
        <v/>
      </c>
      <c r="EM44" s="2907" t="str">
        <f ca="1">IF(ISTEXT(VLOOKUP(C44,INDIRECT("'Scenario List'!A11"):INDIRECT("'Scenario List'!V60"),22,FALSE))=TRUE,VLOOKUP(C44,INDIRECT("'Scenario List'!A11"):INDIRECT("'Scenario List'!V60"),22,FALSE),"")</f>
        <v/>
      </c>
      <c r="EO44" s="2907" t="str">
        <f ca="1">IF(INDIRECT("'Scenario List'!A49")="","",INDIRECT("'Scenario List'!A49"))</f>
        <v/>
      </c>
      <c r="EP44" s="2907" t="str">
        <f t="shared" ca="1" si="12"/>
        <v/>
      </c>
      <c r="EQ44" s="2907" t="str">
        <f t="shared" ca="1" si="13"/>
        <v/>
      </c>
      <c r="ER44" s="2907" t="str">
        <f t="shared" ca="1" si="14"/>
        <v/>
      </c>
    </row>
    <row r="45" spans="3:148" x14ac:dyDescent="0.25">
      <c r="C45" s="39" t="s">
        <v>3835</v>
      </c>
      <c r="D45" s="35"/>
      <c r="E45" s="39" t="str">
        <f>IF(AND(Exclude_MI&lt;&gt;"Only MI",Relief_Set&gt;0,OR(Relief_Type="Rupture Disk",Relief_Type="Graphite Disk")),"X","")</f>
        <v/>
      </c>
      <c r="F45" s="34"/>
      <c r="G45" s="34"/>
      <c r="H45" s="34"/>
      <c r="I45" s="34"/>
      <c r="J45" s="34"/>
      <c r="K45" s="39" t="str">
        <f>IF(AND(Exclude_MI&lt;&gt;"Only MI",Relief_Set&gt;0,OR(Relief_Type="Rupture Disk",Relief_Type="Graphite Disk")),"X","")</f>
        <v/>
      </c>
      <c r="L45" s="34"/>
      <c r="M45" s="34"/>
      <c r="N45" s="34"/>
      <c r="O45" s="34"/>
      <c r="P45" s="34"/>
      <c r="Q45" s="39" t="str">
        <f>IF(AND(Exclude_MI&lt;&gt;"Only MI",Relief_Set&gt;0,OR(Relief_Type="Rupture Disk",Relief_Type="Graphite Disk")),"X","")</f>
        <v/>
      </c>
      <c r="R45" s="39" t="str">
        <f>IF(AND(Exclude_MI&lt;&gt;"Only MI",Relief_Set&gt;0,OR(Relief_Type="Rupture Disk",Relief_Type="Graphite Disk")),"X","")</f>
        <v/>
      </c>
      <c r="S45" s="34"/>
      <c r="T45" s="34"/>
      <c r="U45" s="34"/>
      <c r="V45" s="34"/>
      <c r="W45" s="34"/>
      <c r="X45" s="39" t="str">
        <f>IF(AND(Exclude_MI&lt;&gt;"Only MI",Relief_Set&gt;0,OR(Relief_Type="Rupture Disk",Relief_Type="Graphite Disk")),"X","")</f>
        <v/>
      </c>
      <c r="Y45" s="39" t="str">
        <f>IF(AND(Exclude_MI&lt;&gt;"Only MI",Relief_Set&gt;0,OR(Relief_Type="Rupture Disk",Relief_Type="Graphite Disk")),"X","")</f>
        <v/>
      </c>
      <c r="Z45" s="34"/>
      <c r="AA45" s="34"/>
      <c r="AB45" s="39" t="str">
        <f>IF(AND(Exclude_MI&lt;&gt;"Only MI",Relief_Set&gt;0,OR(Relief_Type="Rupture Disk",Relief_Type="Graphite Disk")),"X","")</f>
        <v/>
      </c>
      <c r="AC45" s="39" t="str">
        <f>IF(AND(Exclude_MI&lt;&gt;"Only MI",Relief_Set&gt;0,OR(Relief_Type="Rupture Disk",Relief_Type="Graphite Disk")),"X","")</f>
        <v/>
      </c>
      <c r="AD45" s="34"/>
      <c r="AE45" s="39" t="str">
        <f>IF(AND(Exclude_MI&lt;&gt;"Only MI",Relief_Set&gt;0,OR(Relief_Type="Rupture Disk",Relief_Type="Graphite Disk")),"X","")</f>
        <v/>
      </c>
      <c r="AF45" s="39" t="str">
        <f>IF(AND(Exclude_MI&lt;&gt;"Only MI",Relief_Set&gt;0,OR(Relief_Type="Rupture Disk",Relief_Type="Graphite Disk")),"X","")</f>
        <v/>
      </c>
      <c r="AG45" s="2048"/>
      <c r="AH45" s="39" t="str">
        <f>IF(AND(Exclude_MI&lt;&gt;"Only MI",Relief_Set&gt;0,OR(Relief_Type="Rupture Disk",Relief_Type="Graphite Disk")),"X","")</f>
        <v/>
      </c>
      <c r="AI45" s="34"/>
      <c r="AJ45" s="35"/>
      <c r="AK45" s="34"/>
      <c r="AL45" s="34"/>
      <c r="AM45" s="34"/>
      <c r="AN45" s="34"/>
      <c r="AO45" s="34"/>
      <c r="AP45" s="34"/>
      <c r="AQ45" s="739"/>
      <c r="AR45" s="34"/>
      <c r="AS45" s="1000"/>
      <c r="AT45" s="34"/>
      <c r="AU45" s="1375"/>
      <c r="AV45" s="34"/>
      <c r="AW45" s="34"/>
      <c r="AX45" s="34"/>
      <c r="AY45" s="34"/>
      <c r="AZ45" s="34"/>
      <c r="BA45" s="34"/>
      <c r="BB45" s="34"/>
      <c r="BC45" s="34"/>
      <c r="BD45" s="34"/>
      <c r="BE45" s="459" t="str">
        <f>IF(AND(Relief_Type="Graphite Disk",P/(Relief_Set+0.01)&gt;0.7),"X","")</f>
        <v/>
      </c>
      <c r="BF45" s="34"/>
      <c r="BG45" s="34"/>
      <c r="BH45" s="34"/>
      <c r="BI45" s="35"/>
      <c r="BJ45" s="34"/>
      <c r="BK45" s="34"/>
      <c r="BL45" s="1853"/>
      <c r="BM45" s="34"/>
      <c r="BN45" s="34"/>
      <c r="BO45" s="3178"/>
      <c r="BP45" s="3178"/>
      <c r="BQ45" s="34"/>
      <c r="BR45" s="34"/>
      <c r="BS45" s="34"/>
      <c r="BT45" s="34"/>
      <c r="BU45" s="1853"/>
      <c r="BV45" s="1853"/>
      <c r="BW45" s="34"/>
      <c r="BX45" s="34"/>
      <c r="BY45" s="34"/>
      <c r="BZ45" s="34"/>
      <c r="CA45" s="34"/>
      <c r="CB45" s="34"/>
      <c r="CC45" s="34"/>
      <c r="CD45" s="34"/>
      <c r="CE45" s="34"/>
      <c r="CF45" s="1476"/>
      <c r="CG45" s="34"/>
      <c r="CH45" s="39" t="str">
        <f>IF(AND(Reactive_Only&lt;&gt;"Yes",Equipgroup_A="No",State&lt;&gt;"Solid",Relief_Discharge_Location&lt;&gt;"Vent Hdr to Tank",Relief_Discharge_Location&lt;&gt;"Scrubber or Containment"),"X","")</f>
        <v>X</v>
      </c>
      <c r="CI45" s="39" t="str">
        <f>IF(AND(Reactive_Only&lt;&gt;"Yes",State&lt;&gt;"Solid",Equipgroup_A&lt;&gt;"No",Relief_Discharge_Location&lt;&gt;"Vent Hdr to Tank",Relief_Discharge_Location&lt;&gt;"Scrubber or Containment"),"X","")</f>
        <v/>
      </c>
      <c r="CJ45" s="34"/>
      <c r="CK45" s="34"/>
      <c r="CL45" s="1035"/>
      <c r="CM45" s="739"/>
      <c r="CN45" s="739"/>
      <c r="CO45" s="34"/>
      <c r="CP45" s="34"/>
      <c r="CQ45" s="34"/>
      <c r="CR45" s="34"/>
      <c r="CS45" s="34"/>
      <c r="CT45" s="34"/>
      <c r="CU45" s="34"/>
      <c r="CV45" s="781"/>
      <c r="CW45" s="34"/>
      <c r="CX45" s="34"/>
      <c r="CY45" s="34"/>
      <c r="CZ45" s="34"/>
      <c r="DA45" s="34"/>
      <c r="DB45" s="34"/>
      <c r="DC45" s="2038"/>
      <c r="DD45" s="34"/>
      <c r="DE45" s="34"/>
      <c r="DF45" s="499"/>
      <c r="DG45" s="34"/>
      <c r="DH45" s="34"/>
      <c r="DI45" s="34"/>
      <c r="DJ45" s="34"/>
      <c r="DL45" s="34"/>
      <c r="DM45" s="34"/>
      <c r="DN45" s="1700"/>
      <c r="DO45" s="34"/>
      <c r="DP45" s="34"/>
      <c r="DQ45" s="34"/>
      <c r="DT45" s="3089" t="str">
        <f t="shared" si="5"/>
        <v/>
      </c>
      <c r="DV45" s="39" t="s">
        <v>1176</v>
      </c>
      <c r="DW45" s="35"/>
      <c r="DX45" s="4" t="e">
        <f>LEFT(INDEX('Scenario Analysis'!GR$5:GR$47,MATCH("X",BJ45:CZ45,0)),LEN(INDEX('Scenario Analysis'!GR$5:GR$47,MATCH("X",BJ45:CZ45,0)))-2)</f>
        <v>#VALUE!</v>
      </c>
      <c r="DY45" s="4" t="e">
        <f>LEFT(INDEX('Scenario Analysis'!GR$49:GR$56,MATCH("X",DB45:DI45,0)),LEN(INDEX('Scenario Analysis'!GR$49:GR$56,MATCH("X",DB45:DI45,0)))-2)</f>
        <v>#N/A</v>
      </c>
      <c r="DZ45" s="39" t="str">
        <f t="shared" si="6"/>
        <v>Consequence Does Not Exceed Threshold Criteria for Continuing with LOPA</v>
      </c>
      <c r="EB45" s="39" t="e">
        <f>IF(INDEX($E$6:$AI$63,ROW(E45:AI$63)-5,MATCH(Equipment,Equipment_Type,0))="X",IF(DZ45&lt;&gt;"Consequence Does Not Exceed Threshold Criteria for Continuing with LOPA","Included","Excluded"),"")</f>
        <v>#N/A</v>
      </c>
      <c r="ED45" s="2906" t="str">
        <f>IF('Workbook Notes'!D92&lt;&gt;"",CHAR(7)&amp;'Workbook Notes'!D92,"")</f>
        <v/>
      </c>
      <c r="EE45" s="2930"/>
      <c r="EF45" s="2930" t="str">
        <f t="shared" si="1"/>
        <v>Relief Device Failure</v>
      </c>
      <c r="EG45" s="2943"/>
      <c r="EH45" s="2943"/>
      <c r="EI45" s="2943"/>
      <c r="EK45" s="2907" t="str">
        <f ca="1">IF(ISTEXT(VLOOKUP(C45,INDIRECT("'Scenario List'!A11"):INDIRECT("'Scenario List'!V60"),20,FALSE))=TRUE,VLOOKUP(C45,INDIRECT("'Scenario List'!A11"):INDIRECT("'Scenario List'!V60"),20,FALSE),"")</f>
        <v/>
      </c>
      <c r="EL45" s="2907" t="str">
        <f ca="1">IF(ISTEXT(VLOOKUP(C45,INDIRECT("'Scenario List'!A11"):INDIRECT("'Scenario List'!V60"),21,FALSE))=TRUE,VLOOKUP(C45,INDIRECT("'Scenario List'!A11"):INDIRECT("'Scenario List'!V60"),21,FALSE),"")</f>
        <v/>
      </c>
      <c r="EM45" s="2907" t="str">
        <f ca="1">IF(ISTEXT(VLOOKUP(C45,INDIRECT("'Scenario List'!A11"):INDIRECT("'Scenario List'!V60"),22,FALSE))=TRUE,VLOOKUP(C45,INDIRECT("'Scenario List'!A11"):INDIRECT("'Scenario List'!V60"),22,FALSE),"")</f>
        <v/>
      </c>
      <c r="EO45" s="2907" t="str">
        <f ca="1">IF(INDIRECT("'Scenario List'!A50")="","",INDIRECT("'Scenario List'!A50"))</f>
        <v/>
      </c>
      <c r="EP45" s="2907" t="str">
        <f t="shared" ca="1" si="12"/>
        <v/>
      </c>
      <c r="EQ45" s="2907" t="str">
        <f t="shared" ca="1" si="13"/>
        <v/>
      </c>
      <c r="ER45" s="2907" t="str">
        <f t="shared" ca="1" si="14"/>
        <v/>
      </c>
    </row>
    <row r="46" spans="3:148" x14ac:dyDescent="0.25">
      <c r="C46" s="39" t="s">
        <v>3833</v>
      </c>
      <c r="D46" s="35"/>
      <c r="E46" s="1375"/>
      <c r="F46" s="1375"/>
      <c r="G46" s="1374" t="str">
        <f>IF(Exclude_MI&lt;&gt;"Only MI","X","")</f>
        <v>X</v>
      </c>
      <c r="H46" s="1374" t="str">
        <f>IF(Exclude_MI&lt;&gt;"Only MI","X","")</f>
        <v>X</v>
      </c>
      <c r="I46" s="1374" t="str">
        <f>IF(Exclude_MI&lt;&gt;"Only MI","X","")</f>
        <v>X</v>
      </c>
      <c r="J46" s="1375"/>
      <c r="K46" s="1375"/>
      <c r="L46" s="1374" t="str">
        <f>IF(AND(Exclude_MI&lt;&gt;"Only MI",Connection_Type="Loading Arm"),"X","")</f>
        <v/>
      </c>
      <c r="M46" s="1375"/>
      <c r="N46" s="1374" t="str">
        <f>IF(Exclude_MI&lt;&gt;"Only MI","X","")</f>
        <v>X</v>
      </c>
      <c r="O46" s="1375"/>
      <c r="P46" s="1375"/>
      <c r="Q46" s="1374" t="str">
        <f>IF(Exclude_MI&lt;&gt;"Only MI","X","")</f>
        <v>X</v>
      </c>
      <c r="R46" s="1374" t="str">
        <f>IF(Exclude_MI&lt;&gt;"Only MI","X","")</f>
        <v>X</v>
      </c>
      <c r="S46" s="1375"/>
      <c r="T46" s="1375"/>
      <c r="U46" s="1375"/>
      <c r="V46" s="1375"/>
      <c r="W46" s="1375"/>
      <c r="X46" s="1375"/>
      <c r="Y46" s="1374" t="str">
        <f>IF(Exclude_MI&lt;&gt;"Only MI","X","")</f>
        <v>X</v>
      </c>
      <c r="Z46" s="1375"/>
      <c r="AA46" s="1374" t="str">
        <f>IF(Exclude_MI&lt;&gt;"Only MI","X","")</f>
        <v>X</v>
      </c>
      <c r="AB46" s="1374" t="str">
        <f>IF(Exclude_MI&lt;&gt;"Only MI","X","")</f>
        <v>X</v>
      </c>
      <c r="AC46" s="1374" t="str">
        <f>IF(Exclude_MI&lt;&gt;"Only MI","X","")</f>
        <v>X</v>
      </c>
      <c r="AD46" s="1374" t="str">
        <f>IF(Exclude_MI&lt;&gt;"Only MI","X","")</f>
        <v>X</v>
      </c>
      <c r="AE46" s="1374" t="str">
        <f>IF(Exclude_MI&lt;&gt;"Only MI","X","")</f>
        <v>X</v>
      </c>
      <c r="AF46" s="1374" t="str">
        <f>IF(AND(Exclude_MI&lt;&gt;"Only MI",Connection_Type="Loading Arm"),"X","")</f>
        <v/>
      </c>
      <c r="AG46" s="1374" t="str">
        <f>IF(Exclude_MI&lt;&gt;"Only MI","X","")</f>
        <v>X</v>
      </c>
      <c r="AH46" s="1374" t="str">
        <f>IF(Exclude_MI&lt;&gt;"Only MI","X","")</f>
        <v>X</v>
      </c>
      <c r="AI46" s="1375"/>
      <c r="AJ46" s="35"/>
      <c r="AK46" s="1375"/>
      <c r="AL46" s="1375"/>
      <c r="AM46" s="39" t="str">
        <f>IF(Rotating_Equip="Yes","X","")</f>
        <v/>
      </c>
      <c r="AN46" s="1375"/>
      <c r="AO46" s="1375"/>
      <c r="AP46" s="1375"/>
      <c r="AQ46" s="1375"/>
      <c r="AR46" s="1375"/>
      <c r="AS46" s="1375"/>
      <c r="AT46" s="1375"/>
      <c r="AU46" s="459" t="str">
        <f>IF(Connection_Type="Loading Arm","X","")</f>
        <v/>
      </c>
      <c r="AV46" s="1375"/>
      <c r="AW46" s="1375"/>
      <c r="AX46" s="1375"/>
      <c r="AY46" s="1375"/>
      <c r="AZ46" s="1375"/>
      <c r="BA46" s="1375"/>
      <c r="BB46" s="1375"/>
      <c r="BC46" s="1375"/>
      <c r="BD46" s="1375"/>
      <c r="BE46" s="1375"/>
      <c r="BF46" s="1375"/>
      <c r="BG46" s="1375"/>
      <c r="BH46" s="1375"/>
      <c r="BI46" s="35"/>
      <c r="BJ46" s="1375"/>
      <c r="BK46" s="1375"/>
      <c r="BL46" s="1853"/>
      <c r="BM46" s="1375"/>
      <c r="BN46" s="1375"/>
      <c r="BO46" s="3178"/>
      <c r="BP46" s="3178"/>
      <c r="BQ46" s="1375"/>
      <c r="BR46" s="1375"/>
      <c r="BS46" s="1375"/>
      <c r="BT46" s="1375"/>
      <c r="BU46" s="39" t="str">
        <f>IF(AND(Reactive_Only&lt;&gt;"Yes",OR(AND(Rotating_Equip="Yes",Motor&gt;Motor_Vibration,Vibration&lt;&gt;"No"),Vibration="Yes",Connection_Type="Loading Arm")),"X","")</f>
        <v/>
      </c>
      <c r="BV46" s="1853"/>
      <c r="BW46" s="1375"/>
      <c r="BX46" s="1375"/>
      <c r="BY46" s="1375"/>
      <c r="BZ46" s="1375"/>
      <c r="CA46" s="1375"/>
      <c r="CB46" s="1375"/>
      <c r="CC46" s="1375"/>
      <c r="CD46" s="1375"/>
      <c r="CE46" s="1375"/>
      <c r="CF46" s="1476"/>
      <c r="CG46" s="1375"/>
      <c r="CH46" s="1375"/>
      <c r="CI46" s="1375"/>
      <c r="CJ46" s="1375"/>
      <c r="CK46" s="1375"/>
      <c r="CL46" s="1375"/>
      <c r="CM46" s="1375"/>
      <c r="CN46" s="1375"/>
      <c r="CO46" s="1375"/>
      <c r="CP46" s="1375"/>
      <c r="CQ46" s="1375"/>
      <c r="CR46" s="1375"/>
      <c r="CS46" s="1375"/>
      <c r="CT46" s="1375"/>
      <c r="CU46" s="1375"/>
      <c r="CV46" s="1375"/>
      <c r="CW46" s="1375"/>
      <c r="CX46" s="1375"/>
      <c r="CY46" s="1375"/>
      <c r="CZ46" s="1375"/>
      <c r="DA46" s="1375"/>
      <c r="DB46" s="1375"/>
      <c r="DC46" s="2038"/>
      <c r="DD46" s="1375"/>
      <c r="DE46" s="1375"/>
      <c r="DF46" s="1375"/>
      <c r="DG46" s="1375"/>
      <c r="DH46" s="1375"/>
      <c r="DI46" s="1375"/>
      <c r="DJ46" s="1375"/>
      <c r="DL46" s="1375"/>
      <c r="DM46" s="1375"/>
      <c r="DN46" s="1700"/>
      <c r="DO46" s="1375"/>
      <c r="DP46" s="1375"/>
      <c r="DQ46" s="1375"/>
      <c r="DT46" s="3089" t="str">
        <f t="shared" si="5"/>
        <v/>
      </c>
      <c r="DV46" s="39" t="s">
        <v>1176</v>
      </c>
      <c r="DW46" s="35"/>
      <c r="DX46" s="4" t="e">
        <f>LEFT(INDEX('Scenario Analysis'!GR$5:GR$47,MATCH("X",BJ46:CZ46,0)),LEN(INDEX('Scenario Analysis'!GR$5:GR$47,MATCH("X",BJ46:CZ46,0)))-2)</f>
        <v>#N/A</v>
      </c>
      <c r="DY46" s="4" t="e">
        <f>LEFT(INDEX('Scenario Analysis'!GR$49:GR$56,MATCH("X",DB46:DI46,0)),LEN(INDEX('Scenario Analysis'!GR$49:GR$56,MATCH("X",DB46:DI46,0)))-2)</f>
        <v>#N/A</v>
      </c>
      <c r="DZ46" s="39" t="str">
        <f t="shared" si="6"/>
        <v>Consequence Does Not Exceed Threshold Criteria for Continuing with LOPA</v>
      </c>
      <c r="EB46" s="39" t="e">
        <f>IF(INDEX($E$6:$AI$63,ROW(E46:AI$63)-5,MATCH(Equipment,Equipment_Type,0))="X",IF(DZ46&lt;&gt;"Consequence Does Not Exceed Threshold Criteria for Continuing with LOPA","Included","Excluded"),"")</f>
        <v>#N/A</v>
      </c>
      <c r="ED46" s="2906" t="str">
        <f>IF('Workbook Notes'!D93&lt;&gt;"",CHAR(7)&amp;'Workbook Notes'!D93,"")</f>
        <v/>
      </c>
      <c r="EE46" s="2930"/>
      <c r="EF46" s="2930" t="str">
        <f t="shared" si="1"/>
        <v>Piping or Equipment Leak - Small</v>
      </c>
      <c r="EG46" s="2943"/>
      <c r="EH46" s="2943"/>
      <c r="EI46" s="2943"/>
      <c r="EK46" s="2907" t="str">
        <f ca="1">IF(ISTEXT(VLOOKUP(C46,INDIRECT("'Scenario List'!A11"):INDIRECT("'Scenario List'!V60"),20,FALSE))=TRUE,VLOOKUP(C46,INDIRECT("'Scenario List'!A11"):INDIRECT("'Scenario List'!V60"),20,FALSE),"")</f>
        <v/>
      </c>
      <c r="EL46" s="2907" t="str">
        <f ca="1">IF(ISTEXT(VLOOKUP(C46,INDIRECT("'Scenario List'!A11"):INDIRECT("'Scenario List'!V60"),21,FALSE))=TRUE,VLOOKUP(C46,INDIRECT("'Scenario List'!A11"):INDIRECT("'Scenario List'!V60"),21,FALSE),"")</f>
        <v/>
      </c>
      <c r="EM46" s="2907" t="str">
        <f ca="1">IF(ISTEXT(VLOOKUP(C46,INDIRECT("'Scenario List'!A11"):INDIRECT("'Scenario List'!V60"),22,FALSE))=TRUE,VLOOKUP(C46,INDIRECT("'Scenario List'!A11"):INDIRECT("'Scenario List'!V60"),22,FALSE),"")</f>
        <v/>
      </c>
      <c r="EO46" s="2907" t="str">
        <f ca="1">IF(INDIRECT("'Scenario List'!A51")="","",INDIRECT("'Scenario List'!A51"))</f>
        <v/>
      </c>
      <c r="EP46" s="2907" t="str">
        <f t="shared" ca="1" si="12"/>
        <v/>
      </c>
      <c r="EQ46" s="2907" t="str">
        <f t="shared" ca="1" si="13"/>
        <v/>
      </c>
      <c r="ER46" s="2907" t="str">
        <f t="shared" ca="1" si="14"/>
        <v/>
      </c>
    </row>
    <row r="47" spans="3:148" x14ac:dyDescent="0.25">
      <c r="C47" s="39" t="s">
        <v>3832</v>
      </c>
      <c r="D47" s="35"/>
      <c r="E47" s="39" t="str">
        <f>IF(Exclude_MI&lt;&gt;"Yes","X","")</f>
        <v>X</v>
      </c>
      <c r="F47" s="34"/>
      <c r="G47" s="34"/>
      <c r="H47" s="39" t="str">
        <f>IF(Exclude_MI&lt;&gt;"Yes","X","")</f>
        <v>X</v>
      </c>
      <c r="I47" s="34"/>
      <c r="J47" s="34"/>
      <c r="K47" s="39" t="str">
        <f>IF(Exclude_MI&lt;&gt;"Yes","X","")</f>
        <v>X</v>
      </c>
      <c r="L47" s="39" t="str">
        <f>IF(Exclude_MI&lt;&gt;"Yes","X","")</f>
        <v>X</v>
      </c>
      <c r="M47" s="34"/>
      <c r="N47" s="34"/>
      <c r="O47" s="34"/>
      <c r="P47" s="34"/>
      <c r="Q47" s="39" t="str">
        <f>IF(Exclude_MI&lt;&gt;"Yes","X","")</f>
        <v>X</v>
      </c>
      <c r="R47" s="39" t="str">
        <f>IF(Exclude_MI&lt;&gt;"Yes","X","")</f>
        <v>X</v>
      </c>
      <c r="S47" s="34"/>
      <c r="T47" s="34"/>
      <c r="U47" s="34"/>
      <c r="V47" s="34"/>
      <c r="W47" s="39" t="str">
        <f>IF(Exclude_MI&lt;&gt;"Yes","X","")</f>
        <v>X</v>
      </c>
      <c r="X47" s="34"/>
      <c r="Y47" s="39" t="str">
        <f>IF(Exclude_MI&lt;&gt;"Yes","X","")</f>
        <v>X</v>
      </c>
      <c r="Z47" s="34"/>
      <c r="AA47" s="34"/>
      <c r="AB47" s="39" t="str">
        <f>IF(Exclude_MI&lt;&gt;"Yes","X","")</f>
        <v>X</v>
      </c>
      <c r="AC47" s="39" t="str">
        <f>IF(Exclude_MI&lt;&gt;"Yes","X","")</f>
        <v>X</v>
      </c>
      <c r="AD47" s="34"/>
      <c r="AE47" s="39" t="str">
        <f>IF(Exclude_MI&lt;&gt;"Yes","X","")</f>
        <v>X</v>
      </c>
      <c r="AF47" s="39" t="str">
        <f>IF(Exclude_MI&lt;&gt;"Yes","X","")</f>
        <v>X</v>
      </c>
      <c r="AG47" s="39" t="str">
        <f>IF(Exclude_MI&lt;&gt;"Yes","X","")</f>
        <v>X</v>
      </c>
      <c r="AH47" s="39" t="str">
        <f>IF(Exclude_MI&lt;&gt;"Yes","X","")</f>
        <v>X</v>
      </c>
      <c r="AI47" s="39"/>
      <c r="AJ47" s="35"/>
      <c r="AK47" s="34"/>
      <c r="AL47" s="34"/>
      <c r="AM47" s="34"/>
      <c r="AN47" s="34"/>
      <c r="AO47" s="34"/>
      <c r="AP47" s="34"/>
      <c r="AQ47" s="739"/>
      <c r="AR47" s="34"/>
      <c r="AS47" s="1000"/>
      <c r="AT47" s="34"/>
      <c r="AU47" s="34"/>
      <c r="AV47" s="34"/>
      <c r="AW47" s="34"/>
      <c r="AX47" s="34"/>
      <c r="AY47" s="34"/>
      <c r="AZ47" s="34"/>
      <c r="BA47" s="34"/>
      <c r="BB47" s="34"/>
      <c r="BC47" s="459" t="str">
        <f>IF(MI_Small_Hole=0,"X","")</f>
        <v/>
      </c>
      <c r="BD47" s="459" t="str">
        <f>IF(MI_Small_Hole=1,"X","")</f>
        <v/>
      </c>
      <c r="BE47" s="459" t="str">
        <f>IF(MI_Small_Hole=2,"X","")</f>
        <v/>
      </c>
      <c r="BF47" s="459" t="str">
        <f>IF(MI_Small_Hole=3,"X","")</f>
        <v/>
      </c>
      <c r="BG47" s="459" t="str">
        <f>IF(MI_Small_Hole=4,"X","")</f>
        <v>X</v>
      </c>
      <c r="BH47" s="459" t="str">
        <f>IF(MI_Small_Hole=5,"X","")</f>
        <v/>
      </c>
      <c r="BI47" s="35"/>
      <c r="BJ47" s="39" t="str">
        <f>IF(Reactive_Only&lt;&gt;"Yes","X","")</f>
        <v>X</v>
      </c>
      <c r="BK47" s="34"/>
      <c r="BL47" s="1853"/>
      <c r="BM47" s="34"/>
      <c r="BN47" s="34"/>
      <c r="BO47" s="3178"/>
      <c r="BP47" s="3178"/>
      <c r="BQ47" s="34"/>
      <c r="BR47" s="34"/>
      <c r="BS47" s="34"/>
      <c r="BT47" s="34"/>
      <c r="BU47" s="1853"/>
      <c r="BV47" s="1853"/>
      <c r="BW47" s="34"/>
      <c r="BX47" s="34"/>
      <c r="BY47" s="34"/>
      <c r="BZ47" s="34"/>
      <c r="CA47" s="34"/>
      <c r="CB47" s="34"/>
      <c r="CC47" s="34"/>
      <c r="CD47" s="34"/>
      <c r="CE47" s="34"/>
      <c r="CF47" s="1476"/>
      <c r="CG47" s="34"/>
      <c r="CH47" s="34"/>
      <c r="CI47" s="34"/>
      <c r="CJ47" s="34"/>
      <c r="CK47" s="34"/>
      <c r="CL47" s="1035"/>
      <c r="CM47" s="739"/>
      <c r="CN47" s="739"/>
      <c r="CO47" s="34"/>
      <c r="CP47" s="34"/>
      <c r="CQ47" s="34"/>
      <c r="CR47" s="34"/>
      <c r="CS47" s="34"/>
      <c r="CT47" s="34"/>
      <c r="CU47" s="34"/>
      <c r="CV47" s="781"/>
      <c r="CW47" s="34"/>
      <c r="CX47" s="34"/>
      <c r="CY47" s="34"/>
      <c r="CZ47" s="34"/>
      <c r="DA47" s="34"/>
      <c r="DB47" s="34"/>
      <c r="DC47" s="2038"/>
      <c r="DD47" s="34"/>
      <c r="DE47" s="34"/>
      <c r="DF47" s="499"/>
      <c r="DG47" s="34"/>
      <c r="DH47" s="34"/>
      <c r="DI47" s="34"/>
      <c r="DJ47" s="34"/>
      <c r="DL47" s="34"/>
      <c r="DM47" s="34"/>
      <c r="DN47" s="1700"/>
      <c r="DO47" s="34"/>
      <c r="DP47" s="34"/>
      <c r="DQ47" s="34"/>
      <c r="DT47" s="3089" t="str">
        <f t="shared" si="5"/>
        <v/>
      </c>
      <c r="DV47" s="39" t="s">
        <v>1176</v>
      </c>
      <c r="DW47" s="35"/>
      <c r="DX47" s="4" t="e">
        <f>LEFT(INDEX('Scenario Analysis'!GR$5:GR$47,MATCH("X",BJ47:CZ47,0)),LEN(INDEX('Scenario Analysis'!GR$5:GR$47,MATCH("X",BJ47:CZ47,0)))-2)</f>
        <v>#VALUE!</v>
      </c>
      <c r="DY47" s="4" t="e">
        <f>LEFT(INDEX('Scenario Analysis'!GR$49:GR$56,MATCH("X",DB47:DI47,0)),LEN(INDEX('Scenario Analysis'!GR$49:GR$56,MATCH("X",DB47:DI47,0)))-2)</f>
        <v>#N/A</v>
      </c>
      <c r="DZ47" s="39" t="str">
        <f t="shared" si="6"/>
        <v>Consequence Does Not Exceed Threshold Criteria for Continuing with LOPA</v>
      </c>
      <c r="EB47" s="39" t="e">
        <f>IF(INDEX($E$6:$AI$63,ROW(E47:AI$63)-5,MATCH(Equipment,Equipment_Type,0))="X",IF(DZ47&lt;&gt;"Consequence Does Not Exceed Threshold Criteria for Continuing with LOPA","Included","Excluded"),"")</f>
        <v>#N/A</v>
      </c>
      <c r="ED47" s="2906" t="str">
        <f>CHAR(7)&amp;IPLD_MI_2&amp;CHAR(7)&amp;IPLD_MI_3&amp;CHAR(7)&amp;IPLD_MI_1&amp;CHAR(10)&amp;IF('Workbook Notes'!D94&lt;&gt;"",CHAR(7)&amp;'Workbook Notes'!D94,"")</f>
        <v xml:space="preserve">_x0007_Use of Extraordinary Inspection as API 570 Class 1 for Piping or 100% Internal and External per 10 years or less for Vessels_x0007_Use of Extraordinary Equipment or Piping Design to reduce failure frequency_x0007_Use of Extraordinary Corrosion Resistant Alloy to reduce failure frequency
</v>
      </c>
      <c r="EE47" s="2930"/>
      <c r="EF47" s="2930" t="str">
        <f t="shared" si="1"/>
        <v>Mechanical Integrity Failure - Very Small</v>
      </c>
      <c r="EG47" s="2943"/>
      <c r="EH47" s="2943"/>
      <c r="EI47" s="2943"/>
      <c r="EK47" s="2907" t="str">
        <f ca="1">IF(ISTEXT(VLOOKUP(C47,INDIRECT("'Scenario List'!A11"):INDIRECT("'Scenario List'!V60"),20,FALSE))=TRUE,VLOOKUP(C47,INDIRECT("'Scenario List'!A11"):INDIRECT("'Scenario List'!V60"),20,FALSE),"")</f>
        <v/>
      </c>
      <c r="EL47" s="2907" t="str">
        <f ca="1">IF(ISTEXT(VLOOKUP(C47,INDIRECT("'Scenario List'!A11"):INDIRECT("'Scenario List'!V60"),21,FALSE))=TRUE,VLOOKUP(C47,INDIRECT("'Scenario List'!A11"):INDIRECT("'Scenario List'!V60"),21,FALSE),"")</f>
        <v/>
      </c>
      <c r="EM47" s="2907" t="str">
        <f ca="1">IF(ISTEXT(VLOOKUP(C47,INDIRECT("'Scenario List'!A11"):INDIRECT("'Scenario List'!V60"),22,FALSE))=TRUE,VLOOKUP(C47,INDIRECT("'Scenario List'!A11"):INDIRECT("'Scenario List'!V60"),22,FALSE),"")</f>
        <v/>
      </c>
      <c r="EO47" s="2907" t="str">
        <f ca="1">IF(INDIRECT("'Scenario List'!A52")="","",INDIRECT("'Scenario List'!A52"))</f>
        <v/>
      </c>
      <c r="EP47" s="2907" t="str">
        <f t="shared" ca="1" si="12"/>
        <v/>
      </c>
      <c r="EQ47" s="2907" t="str">
        <f t="shared" ca="1" si="13"/>
        <v/>
      </c>
      <c r="ER47" s="2907" t="str">
        <f t="shared" ca="1" si="14"/>
        <v/>
      </c>
    </row>
    <row r="48" spans="3:148" x14ac:dyDescent="0.25">
      <c r="C48" s="39" t="s">
        <v>1519</v>
      </c>
      <c r="D48" s="35"/>
      <c r="E48" s="34"/>
      <c r="F48" s="34"/>
      <c r="G48" s="34"/>
      <c r="H48" s="34"/>
      <c r="I48" s="34"/>
      <c r="J48" s="34"/>
      <c r="K48" s="34"/>
      <c r="L48" s="34"/>
      <c r="M48" s="34"/>
      <c r="N48" s="34"/>
      <c r="O48" s="34"/>
      <c r="P48" s="34"/>
      <c r="Q48" s="34"/>
      <c r="R48" s="34"/>
      <c r="S48" s="34"/>
      <c r="T48" s="34"/>
      <c r="U48" s="34"/>
      <c r="V48" s="39" t="str">
        <f>IF(Exclude_MI&lt;&gt;"Only MI","X","")</f>
        <v>X</v>
      </c>
      <c r="W48" s="34"/>
      <c r="X48" s="34"/>
      <c r="Y48" s="34"/>
      <c r="Z48" s="34"/>
      <c r="AA48" s="34"/>
      <c r="AB48" s="34"/>
      <c r="AC48" s="34"/>
      <c r="AD48" s="34"/>
      <c r="AE48" s="34"/>
      <c r="AF48" s="34"/>
      <c r="AG48" s="2048"/>
      <c r="AH48" s="63"/>
      <c r="AI48" s="34"/>
      <c r="AJ48" s="35"/>
      <c r="AK48" s="34"/>
      <c r="AL48" s="34"/>
      <c r="AM48" s="34"/>
      <c r="AN48" s="34"/>
      <c r="AO48" s="34"/>
      <c r="AP48" s="34"/>
      <c r="AQ48" s="739"/>
      <c r="AR48" s="34"/>
      <c r="AS48" s="1000"/>
      <c r="AT48" s="34"/>
      <c r="AU48" s="34"/>
      <c r="AV48" s="34"/>
      <c r="AW48" s="34"/>
      <c r="AX48" s="34"/>
      <c r="AY48" s="34"/>
      <c r="AZ48" s="34"/>
      <c r="BA48" s="459" t="s">
        <v>1742</v>
      </c>
      <c r="BB48" s="34"/>
      <c r="BC48" s="34"/>
      <c r="BD48" s="34"/>
      <c r="BE48" s="34"/>
      <c r="BF48" s="34"/>
      <c r="BG48" s="34"/>
      <c r="BH48" s="34"/>
      <c r="BI48" s="35"/>
      <c r="BJ48" s="34"/>
      <c r="BK48" s="34"/>
      <c r="BL48" s="1853"/>
      <c r="BM48" s="34"/>
      <c r="BN48" s="34"/>
      <c r="BO48" s="3178"/>
      <c r="BP48" s="3178"/>
      <c r="BQ48" s="34"/>
      <c r="BR48" s="34"/>
      <c r="BS48" s="34"/>
      <c r="BT48" s="34"/>
      <c r="BU48" s="1853"/>
      <c r="BV48" s="1853"/>
      <c r="BW48" s="34"/>
      <c r="BX48" s="34"/>
      <c r="BY48" s="34"/>
      <c r="BZ48" s="34"/>
      <c r="CA48" s="34"/>
      <c r="CB48" s="34"/>
      <c r="CC48" s="34"/>
      <c r="CD48" s="34"/>
      <c r="CE48" s="34"/>
      <c r="CF48" s="1476"/>
      <c r="CG48" s="34"/>
      <c r="CH48" s="34"/>
      <c r="CI48" s="34"/>
      <c r="CJ48" s="34"/>
      <c r="CK48" s="34"/>
      <c r="CL48" s="1035"/>
      <c r="CM48" s="739"/>
      <c r="CN48" s="739"/>
      <c r="CO48" s="34"/>
      <c r="CP48" s="34"/>
      <c r="CQ48" s="34"/>
      <c r="CR48" s="34"/>
      <c r="CS48" s="34"/>
      <c r="CT48" s="34"/>
      <c r="CU48" s="34"/>
      <c r="CV48" s="781"/>
      <c r="CW48" s="34"/>
      <c r="CX48" s="34"/>
      <c r="CY48" s="34"/>
      <c r="CZ48" s="34"/>
      <c r="DA48" s="34"/>
      <c r="DB48" s="39" t="str">
        <f>IF(Reactive_Only&lt;&gt;"Yes","X","")</f>
        <v>X</v>
      </c>
      <c r="DC48" s="2038"/>
      <c r="DD48" s="34"/>
      <c r="DE48" s="34"/>
      <c r="DF48" s="499"/>
      <c r="DG48" s="34"/>
      <c r="DH48" s="34"/>
      <c r="DI48" s="34"/>
      <c r="DJ48" s="34"/>
      <c r="DL48" s="34"/>
      <c r="DM48" s="34"/>
      <c r="DN48" s="1700"/>
      <c r="DO48" s="34"/>
      <c r="DP48" s="34"/>
      <c r="DQ48" s="34"/>
      <c r="DT48" s="3089" t="str">
        <f t="shared" si="5"/>
        <v/>
      </c>
      <c r="DV48" s="39" t="s">
        <v>1981</v>
      </c>
      <c r="DW48" s="35"/>
      <c r="DX48" s="4" t="e">
        <f>LEFT(INDEX('Scenario Analysis'!GR$5:GR$47,MATCH("X",BJ48:CZ48,0)),LEN(INDEX('Scenario Analysis'!GR$5:GR$47,MATCH("X",BJ48:CZ48,0)))-2)</f>
        <v>#N/A</v>
      </c>
      <c r="DY48" s="4" t="str">
        <f>LEFT(INDEX('Scenario Analysis'!GR$49:GR$56,MATCH("X",DB48:DI48,0)),LEN(INDEX('Scenario Analysis'!GR$49:GR$56,MATCH("X",DB48:DI48,0)))-2)</f>
        <v>Property Damage or Business Loss</v>
      </c>
      <c r="DZ48" s="39" t="str">
        <f t="shared" si="6"/>
        <v>Property Damage or Business Loss</v>
      </c>
      <c r="EB48" s="39" t="e">
        <f>IF(INDEX($E$6:$AI$63,ROW(E48:AI$63)-5,MATCH(Equipment,Equipment_Type,0))="X",IF(DZ48&lt;&gt;"Consequence Does Not Exceed Threshold Criteria for Continuing with LOPA","Included","Excluded"),"")</f>
        <v>#N/A</v>
      </c>
      <c r="ED48" s="2906" t="str">
        <f>CHAR(7)&amp;IPLD_FE_8&amp;CHAR(10)&amp;IF('Workbook Notes'!D95&lt;&gt;"",CHAR(7)&amp;'Workbook Notes'!D95,"")</f>
        <v xml:space="preserve">_x0007_High pressure in flare header shuts off feeds
</v>
      </c>
      <c r="EE48" s="2930"/>
      <c r="EF48" s="2930" t="str">
        <f t="shared" si="1"/>
        <v>Plugged or Frozen Vent Line</v>
      </c>
      <c r="EG48" s="2943"/>
      <c r="EH48" s="2943"/>
      <c r="EI48" s="2943"/>
      <c r="EK48" s="2907" t="str">
        <f ca="1">IF(ISTEXT(VLOOKUP(C48,INDIRECT("'Scenario List'!A11"):INDIRECT("'Scenario List'!V60"),20,FALSE))=TRUE,VLOOKUP(C48,INDIRECT("'Scenario List'!A11"):INDIRECT("'Scenario List'!V60"),20,FALSE),"")</f>
        <v/>
      </c>
      <c r="EL48" s="2907" t="str">
        <f ca="1">IF(ISTEXT(VLOOKUP(C48,INDIRECT("'Scenario List'!A11"):INDIRECT("'Scenario List'!V60"),21,FALSE))=TRUE,VLOOKUP(C48,INDIRECT("'Scenario List'!A11"):INDIRECT("'Scenario List'!V60"),21,FALSE),"")</f>
        <v/>
      </c>
      <c r="EM48" s="2907" t="str">
        <f ca="1">IF(ISTEXT(VLOOKUP(C48,INDIRECT("'Scenario List'!A11"):INDIRECT("'Scenario List'!V60"),22,FALSE))=TRUE,VLOOKUP(C48,INDIRECT("'Scenario List'!A11"):INDIRECT("'Scenario List'!V60"),22,FALSE),"")</f>
        <v/>
      </c>
      <c r="EO48" s="2907" t="str">
        <f ca="1">IF(INDIRECT("'Scenario List'!A53")="","",INDIRECT("'Scenario List'!A53"))</f>
        <v/>
      </c>
      <c r="EP48" s="2907" t="str">
        <f t="shared" ca="1" si="12"/>
        <v/>
      </c>
      <c r="EQ48" s="2907" t="str">
        <f t="shared" ca="1" si="13"/>
        <v/>
      </c>
      <c r="ER48" s="2907" t="str">
        <f t="shared" ca="1" si="14"/>
        <v/>
      </c>
    </row>
    <row r="49" spans="3:148" x14ac:dyDescent="0.25">
      <c r="C49" s="39" t="s">
        <v>1147</v>
      </c>
      <c r="D49" s="35"/>
      <c r="E49" s="34"/>
      <c r="F49" s="39" t="str">
        <f>IF(AND(Exclude_MI&lt;&gt;"Only MI",State="Solid",Pmax_Source&gt;MAWP),"X","")</f>
        <v/>
      </c>
      <c r="G49" s="39" t="str">
        <f>IF(AND(Exclude_MI&lt;&gt;"Only MI",State="Solid",Pmax_Source&gt;MAWP),"X","")</f>
        <v/>
      </c>
      <c r="H49" s="34"/>
      <c r="I49" s="39" t="str">
        <f>IF(AND(Exclude_MI&lt;&gt;"Only MI",State="Solid",Pmax_Source&gt;MAWP),"X","")</f>
        <v/>
      </c>
      <c r="J49" s="39" t="str">
        <f>IF(AND(Exclude_MI&lt;&gt;"Only MI",State="Solid",Pmax_Source&gt;MAWP),"X","")</f>
        <v/>
      </c>
      <c r="K49" s="34"/>
      <c r="L49" s="34"/>
      <c r="M49" s="34"/>
      <c r="N49" s="39" t="str">
        <f>IF(AND(Exclude_MI&lt;&gt;"Only MI",State="Solid",Pmax_Source&gt;MAWP),"X","")</f>
        <v/>
      </c>
      <c r="O49" s="39" t="str">
        <f>IF(AND(Exclude_MI&lt;&gt;"Only MI",State="Solid",Pmax_Source&gt;MAWP),"X","")</f>
        <v/>
      </c>
      <c r="P49" s="39" t="str">
        <f>IF(AND(Exclude_MI&lt;&gt;"Only MI",State="Solid",Pmax_Source&gt;MAWP),"X","")</f>
        <v/>
      </c>
      <c r="Q49" s="34"/>
      <c r="R49" s="34"/>
      <c r="S49" s="34"/>
      <c r="T49" s="34"/>
      <c r="U49" s="34"/>
      <c r="V49" s="34"/>
      <c r="W49" s="34"/>
      <c r="X49" s="34"/>
      <c r="Y49" s="34"/>
      <c r="Z49" s="39" t="str">
        <f>IF(AND(Exclude_MI&lt;&gt;"Only MI",State="Solid",Pmax_Source&gt;MAWP),"X","")</f>
        <v/>
      </c>
      <c r="AA49" s="39" t="str">
        <f>IF(AND(Exclude_MI&lt;&gt;"Only MI",State="Solid",Pmax_Source&gt;MAWP),"X","")</f>
        <v/>
      </c>
      <c r="AB49" s="34"/>
      <c r="AC49" s="34"/>
      <c r="AD49" s="39" t="str">
        <f>IF(AND(Exclude_MI&lt;&gt;"Only MI",State="Solid",Pmax_Source&gt;MAWP),"X","")</f>
        <v/>
      </c>
      <c r="AE49" s="34"/>
      <c r="AF49" s="34"/>
      <c r="AG49" s="2048"/>
      <c r="AH49" s="34"/>
      <c r="AI49" s="34"/>
      <c r="AJ49" s="35"/>
      <c r="AK49" s="39" t="str">
        <f>IF(Max_Feed_P&gt;MAWP,"X","")</f>
        <v>X</v>
      </c>
      <c r="AL49" s="34"/>
      <c r="AM49" s="34"/>
      <c r="AN49" s="34"/>
      <c r="AO49" s="34"/>
      <c r="AP49" s="34"/>
      <c r="AQ49" s="739"/>
      <c r="AR49" s="34"/>
      <c r="AS49" s="1000"/>
      <c r="AT49" s="34"/>
      <c r="AU49" s="34"/>
      <c r="AV49" s="34"/>
      <c r="AW49" s="39" t="str">
        <f>IF(Max_Inert_P&gt;MAWP,"X","")</f>
        <v>X</v>
      </c>
      <c r="AX49" s="34"/>
      <c r="AY49" s="34"/>
      <c r="AZ49" s="34"/>
      <c r="BA49" s="34"/>
      <c r="BB49" s="34"/>
      <c r="BC49" s="34"/>
      <c r="BD49" s="34"/>
      <c r="BE49" s="34"/>
      <c r="BF49" s="34"/>
      <c r="BG49" s="34"/>
      <c r="BH49" s="34"/>
      <c r="BI49" s="35"/>
      <c r="BJ49" s="34"/>
      <c r="BK49" s="34"/>
      <c r="BL49" s="1853"/>
      <c r="BM49" s="34"/>
      <c r="BN49" s="34"/>
      <c r="BO49" s="3178"/>
      <c r="BP49" s="3178"/>
      <c r="BQ49" s="34"/>
      <c r="BR49" s="34"/>
      <c r="BS49" s="34"/>
      <c r="BT49" s="34"/>
      <c r="BU49" s="1853"/>
      <c r="BV49" s="1853"/>
      <c r="BW49" s="34"/>
      <c r="BX49" s="34"/>
      <c r="BY49" s="34"/>
      <c r="BZ49" s="34"/>
      <c r="CA49" s="34"/>
      <c r="CB49" s="34"/>
      <c r="CC49" s="34"/>
      <c r="CD49" s="34"/>
      <c r="CE49" s="39" t="str">
        <f>IF(AND(Reactive_Only&lt;&gt;"Yes",State="Solid",Pmax_Source&lt;=Burst_P),"X","")</f>
        <v/>
      </c>
      <c r="CF49" s="1476"/>
      <c r="CG49" s="34"/>
      <c r="CH49" s="34"/>
      <c r="CI49" s="34"/>
      <c r="CJ49" s="34"/>
      <c r="CK49" s="739"/>
      <c r="CL49" s="1035"/>
      <c r="CM49" s="739"/>
      <c r="CN49" s="739"/>
      <c r="CO49" s="34"/>
      <c r="CP49" s="34"/>
      <c r="CQ49" s="34"/>
      <c r="CR49" s="34"/>
      <c r="CS49" s="34"/>
      <c r="CT49" s="34"/>
      <c r="CU49" s="34"/>
      <c r="CV49" s="781"/>
      <c r="CW49" s="34"/>
      <c r="CX49" s="34"/>
      <c r="CY49" s="34"/>
      <c r="CZ49" s="34"/>
      <c r="DA49" s="34"/>
      <c r="DB49" s="34"/>
      <c r="DC49" s="2038"/>
      <c r="DD49" s="39" t="str">
        <f>IF(AND(Reactive_Only&lt;&gt;"Yes",State="Solid",Pmax_Source&gt;Burst_P),"X","")</f>
        <v/>
      </c>
      <c r="DE49" s="34"/>
      <c r="DF49" s="499"/>
      <c r="DG49" s="34"/>
      <c r="DH49" s="34"/>
      <c r="DI49" s="34"/>
      <c r="DJ49" s="34"/>
      <c r="DL49" s="34"/>
      <c r="DM49" s="34"/>
      <c r="DN49" s="1700"/>
      <c r="DO49" s="34"/>
      <c r="DP49" s="34"/>
      <c r="DQ49" s="34"/>
      <c r="DT49" s="3089" t="str">
        <f t="shared" si="5"/>
        <v/>
      </c>
      <c r="DV49" s="39" t="s">
        <v>942</v>
      </c>
      <c r="DW49" s="35"/>
      <c r="DX49" s="4" t="e">
        <f>LEFT(INDEX('Scenario Analysis'!GR$5:GR$47,MATCH("X",BJ49:CZ49,0)),LEN(INDEX('Scenario Analysis'!GR$5:GR$47,MATCH("X",BJ49:CZ49,0)))-2)</f>
        <v>#N/A</v>
      </c>
      <c r="DY49" s="4" t="e">
        <f>LEFT(INDEX('Scenario Analysis'!GR$49:GR$56,MATCH("X",DB49:DI49,0)),LEN(INDEX('Scenario Analysis'!GR$49:GR$56,MATCH("X",DB49:DI49,0)))-2)</f>
        <v>#N/A</v>
      </c>
      <c r="DZ49" s="39" t="str">
        <f t="shared" si="6"/>
        <v>Consequence Does Not Exceed Threshold Criteria for Continuing with LOPA</v>
      </c>
      <c r="EB49" s="39" t="e">
        <f>IF(INDEX($E$6:$AI$63,ROW(E49:AI$63)-5,MATCH(Equipment,Equipment_Type,0))="X",IF(DZ49&lt;&gt;"Consequence Does Not Exceed Threshold Criteria for Continuing with LOPA","Included","Excluded"),"")</f>
        <v>#N/A</v>
      </c>
      <c r="ED49" s="2906" t="str">
        <f>CHAR(7)&amp;IPLD_Gen_1&amp;CHAR(10)&amp;IF('Workbook Notes'!D96&lt;&gt;"",CHAR(7)&amp;'Workbook Notes'!D96,"")</f>
        <v xml:space="preserve">_x0007_Pressure Relief Device Sized for Scenario and verified by qualified Relief Designer
</v>
      </c>
      <c r="EE49" s="2930"/>
      <c r="EF49" s="2930" t="str">
        <f t="shared" si="1"/>
        <v>Pressure Damage</v>
      </c>
      <c r="EG49" s="2943"/>
      <c r="EH49" s="2943"/>
      <c r="EI49" s="2943"/>
      <c r="EK49" s="2907" t="str">
        <f ca="1">IF(ISTEXT(VLOOKUP(C49,INDIRECT("'Scenario List'!A11"):INDIRECT("'Scenario List'!V60"),20,FALSE))=TRUE,VLOOKUP(C49,INDIRECT("'Scenario List'!A11"):INDIRECT("'Scenario List'!V60"),20,FALSE),"")</f>
        <v/>
      </c>
      <c r="EL49" s="2907" t="str">
        <f ca="1">IF(ISTEXT(VLOOKUP(C49,INDIRECT("'Scenario List'!A11"):INDIRECT("'Scenario List'!V60"),21,FALSE))=TRUE,VLOOKUP(C49,INDIRECT("'Scenario List'!A11"):INDIRECT("'Scenario List'!V60"),21,FALSE),"")</f>
        <v/>
      </c>
      <c r="EM49" s="2907" t="str">
        <f ca="1">IF(ISTEXT(VLOOKUP(C49,INDIRECT("'Scenario List'!A11"):INDIRECT("'Scenario List'!V60"),22,FALSE))=TRUE,VLOOKUP(C49,INDIRECT("'Scenario List'!A11"):INDIRECT("'Scenario List'!V60"),22,FALSE),"")</f>
        <v/>
      </c>
      <c r="EO49" s="2907" t="str">
        <f ca="1">IF(INDIRECT("'Scenario List'!A54")="","",INDIRECT("'Scenario List'!A54"))</f>
        <v/>
      </c>
      <c r="EP49" s="2907" t="str">
        <f t="shared" ca="1" si="12"/>
        <v/>
      </c>
      <c r="EQ49" s="2907" t="str">
        <f t="shared" ca="1" si="13"/>
        <v/>
      </c>
      <c r="ER49" s="2907" t="str">
        <f t="shared" ca="1" si="14"/>
        <v/>
      </c>
    </row>
    <row r="50" spans="3:148" x14ac:dyDescent="0.25">
      <c r="C50" s="1475" t="s">
        <v>3287</v>
      </c>
      <c r="D50" s="35"/>
      <c r="E50" s="34"/>
      <c r="F50" s="39" t="str">
        <f>IF(AND(Exclude_MI&lt;&gt;"Only MI",State="Solid"),"X","")</f>
        <v/>
      </c>
      <c r="G50" s="39" t="str">
        <f>IF(AND(Exclude_MI&lt;&gt;"Only MI",State="Solid"),"X","")</f>
        <v/>
      </c>
      <c r="H50" s="34"/>
      <c r="I50" s="39" t="str">
        <f>IF(AND(Exclude_MI&lt;&gt;"Only MI",State="Solid"),"X","")</f>
        <v/>
      </c>
      <c r="J50" s="39" t="str">
        <f>IF(AND(Exclude_MI&lt;&gt;"Only MI",State="Solid"),"X","")</f>
        <v/>
      </c>
      <c r="K50" s="34"/>
      <c r="L50" s="34"/>
      <c r="M50" s="34"/>
      <c r="N50" s="39" t="str">
        <f>IF(AND(Exclude_MI&lt;&gt;"Only MI",State="Solid"),"X","")</f>
        <v/>
      </c>
      <c r="O50" s="39" t="str">
        <f>IF(AND(Exclude_MI&lt;&gt;"Only MI",State="Solid"),"X","")</f>
        <v/>
      </c>
      <c r="P50" s="39" t="str">
        <f>IF(AND(Exclude_MI&lt;&gt;"Only MI",State="Solid"),"X","")</f>
        <v/>
      </c>
      <c r="Q50" s="34"/>
      <c r="R50" s="34"/>
      <c r="S50" s="34"/>
      <c r="T50" s="34"/>
      <c r="U50" s="34"/>
      <c r="V50" s="34"/>
      <c r="W50" s="34"/>
      <c r="X50" s="34"/>
      <c r="Y50" s="34"/>
      <c r="Z50" s="39" t="str">
        <f>IF(AND(Exclude_MI&lt;&gt;"Only MI",State="Solid"),"X","")</f>
        <v/>
      </c>
      <c r="AA50" s="39" t="str">
        <f>IF(AND(Exclude_MI&lt;&gt;"Only MI",State="Solid"),"X","")</f>
        <v/>
      </c>
      <c r="AB50" s="34"/>
      <c r="AC50" s="34"/>
      <c r="AD50" s="39" t="str">
        <f>IF(AND(Exclude_MI&lt;&gt;"Only MI",State="Solid"),"X","")</f>
        <v/>
      </c>
      <c r="AE50" s="34"/>
      <c r="AF50" s="34"/>
      <c r="AG50" s="2048"/>
      <c r="AH50" s="63"/>
      <c r="AI50" s="34"/>
      <c r="AJ50" s="35"/>
      <c r="AK50" s="1476"/>
      <c r="AL50" s="1476"/>
      <c r="AM50" s="1476"/>
      <c r="AN50" s="1476"/>
      <c r="AO50" s="1476"/>
      <c r="AP50" s="1476"/>
      <c r="AQ50" s="1476"/>
      <c r="AR50" s="1476"/>
      <c r="AS50" s="1476"/>
      <c r="AT50" s="1476"/>
      <c r="AU50" s="1476"/>
      <c r="AV50" s="1476"/>
      <c r="AW50" s="1476"/>
      <c r="AX50" s="1476"/>
      <c r="AY50" s="1476"/>
      <c r="AZ50" s="1476"/>
      <c r="BA50" s="1476"/>
      <c r="BB50" s="1476"/>
      <c r="BC50" s="1476"/>
      <c r="BD50" s="1476"/>
      <c r="BE50" s="459" t="s">
        <v>1742</v>
      </c>
      <c r="BF50" s="1476"/>
      <c r="BG50" s="1476"/>
      <c r="BH50" s="1476"/>
      <c r="BI50" s="35"/>
      <c r="BJ50" s="1476"/>
      <c r="BK50" s="1476"/>
      <c r="BL50" s="1853"/>
      <c r="BM50" s="34"/>
      <c r="BN50" s="1476"/>
      <c r="BO50" s="3178"/>
      <c r="BP50" s="3178"/>
      <c r="BQ50" s="1476"/>
      <c r="BR50" s="1476"/>
      <c r="BS50" s="1476"/>
      <c r="BT50" s="1476"/>
      <c r="BU50" s="1853"/>
      <c r="BV50" s="1853"/>
      <c r="BW50" s="1476"/>
      <c r="BX50" s="1476"/>
      <c r="BY50" s="34"/>
      <c r="BZ50" s="1476"/>
      <c r="CA50" s="1476"/>
      <c r="CB50" s="1476"/>
      <c r="CC50" s="1476"/>
      <c r="CD50" s="1476"/>
      <c r="CE50" s="1476"/>
      <c r="CF50" s="1476"/>
      <c r="CG50" s="1476"/>
      <c r="CH50" s="1476"/>
      <c r="CI50" s="1476"/>
      <c r="CJ50" s="1476"/>
      <c r="CK50" s="1476"/>
      <c r="CL50" s="1476"/>
      <c r="CM50" s="1476"/>
      <c r="CN50" s="1476"/>
      <c r="CO50" s="1476"/>
      <c r="CP50" s="1476"/>
      <c r="CQ50" s="1476"/>
      <c r="CR50" s="1476"/>
      <c r="CS50" s="1476"/>
      <c r="CT50" s="1476"/>
      <c r="CU50" s="1476"/>
      <c r="CV50" s="1476"/>
      <c r="CW50" s="1476"/>
      <c r="CX50" s="1476"/>
      <c r="CY50" s="1476"/>
      <c r="CZ50" s="1476"/>
      <c r="DA50" s="1476"/>
      <c r="DB50" s="1476"/>
      <c r="DC50" s="2038"/>
      <c r="DD50" s="1476"/>
      <c r="DE50" s="1476"/>
      <c r="DF50" s="1476"/>
      <c r="DG50" s="1476"/>
      <c r="DH50" s="39" t="str">
        <f>IF(Reactive_Only&lt;&gt;"Yes","X","")</f>
        <v>X</v>
      </c>
      <c r="DI50" s="1476"/>
      <c r="DJ50" s="1476"/>
      <c r="DL50" s="1476"/>
      <c r="DM50" s="1476"/>
      <c r="DN50" s="1700"/>
      <c r="DO50" s="1476"/>
      <c r="DP50" s="1476"/>
      <c r="DQ50" s="1476"/>
      <c r="DT50" s="3089" t="str">
        <f t="shared" si="5"/>
        <v/>
      </c>
      <c r="DV50" s="39" t="s">
        <v>1176</v>
      </c>
      <c r="DW50" s="35"/>
      <c r="DX50" s="4" t="e">
        <f>LEFT(INDEX('Scenario Analysis'!GR$5:GR$47,MATCH("X",BJ50:CZ50,0)),LEN(INDEX('Scenario Analysis'!GR$5:GR$47,MATCH("X",BJ50:CZ50,0)))-2)</f>
        <v>#N/A</v>
      </c>
      <c r="DY50" s="4" t="e">
        <f>LEFT(INDEX('Scenario Analysis'!GR$49:GR$56,MATCH("X",DB50:DI50,0)),LEN(INDEX('Scenario Analysis'!GR$49:GR$56,MATCH("X",DB50:DI50,0)))-2)</f>
        <v>#VALUE!</v>
      </c>
      <c r="DZ50" s="39" t="str">
        <f>IF(AND(ISERROR(DX50),ISERROR(DY50)),"Consequence Does Not Exceed Threshold Criteria for Continuing with LOPA",IF(ISERROR(DX50),IF(DY50="","Consequence Does Not Exceed Threshold Criteria for Continuing with LOPA",DY50),IF(ISERROR(DY50),IF(DX50="","Consequence Does Not Exceed Threshold Criteria for Continuing with LOPA",DX50),DX50&amp;"; "&amp;DY50)))</f>
        <v>Consequence Does Not Exceed Threshold Criteria for Continuing with LOPA</v>
      </c>
      <c r="EB50" s="39" t="e">
        <f>IF(INDEX($E$6:$AI$63,ROW(E50:AI$63)-5,MATCH(Equipment,Equipment_Type,0))="X",IF(DZ50&lt;&gt;"Consequence Does Not Exceed Threshold Criteria for Continuing with LOPA","Included","Excluded"),"")</f>
        <v>#N/A</v>
      </c>
      <c r="ED50" s="2906" t="str">
        <f>CHAR(7)&amp;IPLD_FE_29&amp;CHAR(10)&amp;IF('Workbook Notes'!D97&lt;&gt;"",CHAR(7)&amp;'Workbook Notes'!D97,"")</f>
        <v xml:space="preserve">_x0007_Explosion/Flame Suppression or Isolation System that is effective in the specific vapor or dust servicer and routinely inspected
</v>
      </c>
      <c r="EE50" s="2930"/>
      <c r="EF50" s="2930" t="str">
        <f t="shared" si="1"/>
        <v>Propagation of Flame or Burning Ember</v>
      </c>
      <c r="EG50" s="2943"/>
      <c r="EH50" s="2943"/>
      <c r="EI50" s="2943"/>
      <c r="EK50" s="2907" t="str">
        <f ca="1">IF(ISTEXT(VLOOKUP(C50,INDIRECT("'Scenario List'!A11"):INDIRECT("'Scenario List'!V60"),20,FALSE))=TRUE,VLOOKUP(C50,INDIRECT("'Scenario List'!A11"):INDIRECT("'Scenario List'!V60"),20,FALSE),"")</f>
        <v/>
      </c>
      <c r="EL50" s="2907" t="str">
        <f ca="1">IF(ISTEXT(VLOOKUP(C50,INDIRECT("'Scenario List'!A11"):INDIRECT("'Scenario List'!V60"),21,FALSE))=TRUE,VLOOKUP(C50,INDIRECT("'Scenario List'!A11"):INDIRECT("'Scenario List'!V60"),21,FALSE),"")</f>
        <v/>
      </c>
      <c r="EM50" s="2907" t="str">
        <f ca="1">IF(ISTEXT(VLOOKUP(C50,INDIRECT("'Scenario List'!A11"):INDIRECT("'Scenario List'!V60"),22,FALSE))=TRUE,VLOOKUP(C50,INDIRECT("'Scenario List'!A11"):INDIRECT("'Scenario List'!V60"),22,FALSE),"")</f>
        <v/>
      </c>
      <c r="EO50" s="2907" t="str">
        <f ca="1">IF(INDIRECT("'Scenario List'!A55")="","",INDIRECT("'Scenario List'!A55"))</f>
        <v/>
      </c>
      <c r="EP50" s="2907" t="str">
        <f t="shared" ca="1" si="12"/>
        <v/>
      </c>
      <c r="EQ50" s="2907" t="str">
        <f t="shared" ca="1" si="13"/>
        <v/>
      </c>
      <c r="ER50" s="2907" t="str">
        <f t="shared" ca="1" si="14"/>
        <v/>
      </c>
    </row>
    <row r="51" spans="3:148" x14ac:dyDescent="0.25">
      <c r="C51" s="39" t="s">
        <v>2531</v>
      </c>
      <c r="D51" s="35"/>
      <c r="E51" s="34"/>
      <c r="F51" s="34"/>
      <c r="G51" s="34"/>
      <c r="H51" s="34"/>
      <c r="I51" s="34"/>
      <c r="J51" s="34"/>
      <c r="K51" s="34"/>
      <c r="L51" s="34"/>
      <c r="M51" s="34"/>
      <c r="N51" s="34"/>
      <c r="O51" s="34"/>
      <c r="P51" s="34"/>
      <c r="Q51" s="34"/>
      <c r="R51" s="34"/>
      <c r="S51" s="34"/>
      <c r="T51" s="34"/>
      <c r="U51" s="34"/>
      <c r="V51" s="34"/>
      <c r="W51" s="34"/>
      <c r="X51" s="34"/>
      <c r="Y51" s="34"/>
      <c r="Z51" s="34"/>
      <c r="AA51" s="34"/>
      <c r="AB51" s="34"/>
      <c r="AC51" s="39" t="str">
        <f>IF(Exclude_MI&lt;&gt;"Only MI","X","")</f>
        <v>X</v>
      </c>
      <c r="AD51" s="34"/>
      <c r="AE51" s="34"/>
      <c r="AF51" s="34"/>
      <c r="AG51" s="2048"/>
      <c r="AH51" s="63"/>
      <c r="AI51" s="34"/>
      <c r="AJ51" s="35"/>
      <c r="AK51" s="39" t="str">
        <f>IF(AND(Feed_Type="Batch",Pump_Valves="Both Suction &amp; Discharge"),"X","")</f>
        <v/>
      </c>
      <c r="AL51" s="34"/>
      <c r="AM51" s="34"/>
      <c r="AN51" s="459" t="s">
        <v>1742</v>
      </c>
      <c r="AO51" s="34"/>
      <c r="AP51" s="34"/>
      <c r="AQ51" s="739"/>
      <c r="AR51" s="34"/>
      <c r="AS51" s="1000"/>
      <c r="AT51" s="34"/>
      <c r="AU51" s="34"/>
      <c r="AV51" s="34"/>
      <c r="AW51" s="34"/>
      <c r="AX51" s="34"/>
      <c r="AY51" s="34"/>
      <c r="AZ51" s="34"/>
      <c r="BA51" s="39" t="str">
        <f>IF(AND(Feed_Type&lt;&gt;"Batch",Pump_Valves="Both Suction &amp; Discharge"),"X","")</f>
        <v/>
      </c>
      <c r="BB51" s="34"/>
      <c r="BC51" s="34"/>
      <c r="BD51" s="34"/>
      <c r="BE51" s="34"/>
      <c r="BF51" s="34"/>
      <c r="BG51" s="34"/>
      <c r="BH51" s="34"/>
      <c r="BI51" s="35"/>
      <c r="BJ51" s="34"/>
      <c r="BK51" s="34"/>
      <c r="BL51" s="1853"/>
      <c r="BM51" s="34"/>
      <c r="BN51" s="34"/>
      <c r="BO51" s="3178"/>
      <c r="BP51" s="3178"/>
      <c r="BQ51" s="34"/>
      <c r="BR51" s="34"/>
      <c r="BS51" s="34"/>
      <c r="BT51" s="34"/>
      <c r="BU51" s="1853"/>
      <c r="BV51" s="1853"/>
      <c r="BW51" s="34"/>
      <c r="BX51" s="34"/>
      <c r="BY51" s="34"/>
      <c r="BZ51" s="34"/>
      <c r="CA51" s="34"/>
      <c r="CB51" s="34"/>
      <c r="CC51" s="34"/>
      <c r="CD51" s="34"/>
      <c r="CE51" s="34"/>
      <c r="CF51" s="1476"/>
      <c r="CG51" s="34"/>
      <c r="CH51" s="34"/>
      <c r="CI51" s="34"/>
      <c r="CJ51" s="34"/>
      <c r="CK51" s="34"/>
      <c r="CL51" s="1035"/>
      <c r="CM51" s="739"/>
      <c r="CN51" s="739"/>
      <c r="CO51" s="34"/>
      <c r="CP51" s="34"/>
      <c r="CQ51" s="34"/>
      <c r="CR51" s="34"/>
      <c r="CS51" s="34"/>
      <c r="CT51" s="34"/>
      <c r="CU51" s="34"/>
      <c r="CV51" s="781"/>
      <c r="CW51" s="34"/>
      <c r="CX51" s="34"/>
      <c r="CY51" s="34"/>
      <c r="CZ51" s="34"/>
      <c r="DA51" s="34"/>
      <c r="DB51" s="34"/>
      <c r="DC51" s="2038"/>
      <c r="DD51" s="39" t="str">
        <f>IF(AND(Reactive_Only&lt;&gt;"Yes",Pump_Type="Positive Displacement",Motor&gt;Motor_Screen),"X","")</f>
        <v/>
      </c>
      <c r="DE51" s="39" t="str">
        <f>IF(AND(Reactive_Only&lt;&gt;"Yes",Pump_Type&lt;&gt;"Positive Displacement",Pump_Type&lt;&gt;"Diaphragm-Limited Source Pressure",Motor&gt;Motor_Screen),"X","")</f>
        <v/>
      </c>
      <c r="DF51" s="499"/>
      <c r="DG51" s="34"/>
      <c r="DH51" s="34"/>
      <c r="DI51" s="39" t="str">
        <f>IF(AND(OR(CP_Detonable="Yes",Reactive_Potential_ME),Detonation_Potential="Yes"),"X","")</f>
        <v/>
      </c>
      <c r="DJ51" s="34"/>
      <c r="DL51" s="34"/>
      <c r="DM51" s="39" t="str">
        <f>sig(DeadHead_Time,2,10,1)&amp;" min"</f>
        <v xml:space="preserve"> min</v>
      </c>
      <c r="DN51" s="1701"/>
      <c r="DO51" s="34"/>
      <c r="DP51" s="34"/>
      <c r="DQ51" s="39" t="e">
        <f>IF(#REF!=0,"",sig(#REF!,2,10,1)&amp;#REF!)</f>
        <v>#REF!</v>
      </c>
      <c r="DS51" s="132" t="e">
        <f>'Reaction Input'!AH59</f>
        <v>#DIV/0!</v>
      </c>
      <c r="DT51" s="3089" t="str">
        <f t="shared" si="5"/>
        <v/>
      </c>
      <c r="DV51" s="39" t="s">
        <v>1981</v>
      </c>
      <c r="DW51" s="35"/>
      <c r="DX51" s="4" t="e">
        <f>LEFT(INDEX('Scenario Analysis'!GR$5:GR$47,MATCH("X",BJ51:CZ51,0)),LEN(INDEX('Scenario Analysis'!GR$5:GR$47,MATCH("X",BJ51:CZ51,0)))-2)</f>
        <v>#N/A</v>
      </c>
      <c r="DY51" s="4" t="e">
        <f>LEFT(INDEX('Scenario Analysis'!GR$49:GR$56,MATCH("X",DB51:DI51,0)),LEN(INDEX('Scenario Analysis'!GR$49:GR$56,MATCH("X",DB51:DI51,0)))-2)</f>
        <v>#N/A</v>
      </c>
      <c r="DZ51" s="39" t="str">
        <f t="shared" si="6"/>
        <v>Consequence Does Not Exceed Threshold Criteria for Continuing with LOPA</v>
      </c>
      <c r="EB51" s="39" t="e">
        <f>IF(INDEX($E$6:$AI$63,ROW(E51:AI$63)-5,MATCH(Equipment,Equipment_Type,0))="X",IF(DZ51&lt;&gt;"Consequence Does Not Exceed Threshold Criteria for Continuing with LOPA","Included","Excluded"),"")</f>
        <v>#N/A</v>
      </c>
      <c r="ED51" s="2906" t="str">
        <f>CHAR(7)&amp;IPLD_Gen_16&amp;CHAR(10)&amp;IF('Workbook Notes'!D98&lt;&gt;"",CHAR(7)&amp;'Workbook Notes'!D98,"")</f>
        <v xml:space="preserve">_x0007_High Temperature, Low Current, or Low Flow Shuts off Pump
</v>
      </c>
      <c r="EE51" s="2930"/>
      <c r="EF51" s="2930" t="str">
        <f t="shared" si="1"/>
        <v>Pump Deadhead</v>
      </c>
      <c r="EG51" s="2943"/>
      <c r="EH51" s="2943"/>
      <c r="EI51" s="2943"/>
      <c r="EK51" s="2907" t="str">
        <f ca="1">IF(ISTEXT(VLOOKUP(C51,INDIRECT("'Scenario List'!A11"):INDIRECT("'Scenario List'!V60"),20,FALSE))=TRUE,VLOOKUP(C51,INDIRECT("'Scenario List'!A11"):INDIRECT("'Scenario List'!V60"),20,FALSE),"")</f>
        <v/>
      </c>
      <c r="EL51" s="2907" t="str">
        <f ca="1">IF(ISTEXT(VLOOKUP(C51,INDIRECT("'Scenario List'!A11"):INDIRECT("'Scenario List'!V60"),21,FALSE))=TRUE,VLOOKUP(C51,INDIRECT("'Scenario List'!A11"):INDIRECT("'Scenario List'!V60"),21,FALSE),"")</f>
        <v/>
      </c>
      <c r="EM51" s="2907" t="str">
        <f ca="1">IF(ISTEXT(VLOOKUP(C51,INDIRECT("'Scenario List'!A11"):INDIRECT("'Scenario List'!V60"),22,FALSE))=TRUE,VLOOKUP(C51,INDIRECT("'Scenario List'!A11"):INDIRECT("'Scenario List'!V60"),22,FALSE),"")</f>
        <v/>
      </c>
      <c r="EO51" s="2907" t="str">
        <f ca="1">IF(INDIRECT("'Scenario List'!A56")="","",INDIRECT("'Scenario List'!A56"))</f>
        <v/>
      </c>
      <c r="EP51" s="2907" t="str">
        <f t="shared" ca="1" si="12"/>
        <v/>
      </c>
      <c r="EQ51" s="2907" t="str">
        <f t="shared" ca="1" si="13"/>
        <v/>
      </c>
      <c r="ER51" s="2907" t="str">
        <f t="shared" ca="1" si="14"/>
        <v/>
      </c>
    </row>
    <row r="52" spans="3:148" x14ac:dyDescent="0.25">
      <c r="C52" s="39" t="s">
        <v>1556</v>
      </c>
      <c r="D52" s="35"/>
      <c r="E52" s="34"/>
      <c r="F52" s="34"/>
      <c r="G52" s="39" t="str">
        <f>IF(AND(Exclude_MI&lt;&gt;"Only MI",State="Solid"),"X","")</f>
        <v/>
      </c>
      <c r="H52" s="39" t="str">
        <f>IF(Exclude_MI&lt;&gt;"Only MI","X","")</f>
        <v>X</v>
      </c>
      <c r="I52" s="34"/>
      <c r="J52" s="34"/>
      <c r="K52" s="34"/>
      <c r="L52" s="34"/>
      <c r="M52" s="34"/>
      <c r="N52" s="34"/>
      <c r="O52" s="34"/>
      <c r="P52" s="34"/>
      <c r="Q52" s="34"/>
      <c r="R52" s="39" t="str">
        <f>IF(Exclude_MI&lt;&gt;"Only MI","X","")</f>
        <v>X</v>
      </c>
      <c r="S52" s="34"/>
      <c r="T52" s="34"/>
      <c r="U52" s="34"/>
      <c r="V52" s="34"/>
      <c r="W52" s="34"/>
      <c r="X52" s="34"/>
      <c r="Y52" s="34"/>
      <c r="Z52" s="34"/>
      <c r="AA52" s="39" t="str">
        <f>IF(AND(Exclude_MI&lt;&gt;"Only MI",State="Solid"),"X","")</f>
        <v/>
      </c>
      <c r="AB52" s="34"/>
      <c r="AC52" s="34"/>
      <c r="AD52" s="34"/>
      <c r="AE52" s="39" t="str">
        <f>IF(Exclude_MI&lt;&gt;"Only MI","X","")</f>
        <v>X</v>
      </c>
      <c r="AF52" s="34"/>
      <c r="AG52" s="39" t="str">
        <f>IF(Exclude_MI&lt;&gt;"Only MI","X","")</f>
        <v>X</v>
      </c>
      <c r="AH52" s="63"/>
      <c r="AI52" s="34"/>
      <c r="AJ52" s="35"/>
      <c r="AK52" s="459" t="str">
        <f>IF(Equipment="Turbine or Gas Expander","X","")</f>
        <v/>
      </c>
      <c r="AL52" s="34"/>
      <c r="AM52" s="39" t="str">
        <f>IF(Equipment&lt;&gt;"Turbine or Gas Expander","X","")</f>
        <v>X</v>
      </c>
      <c r="AN52" s="34"/>
      <c r="AO52" s="34"/>
      <c r="AP52" s="34"/>
      <c r="AQ52" s="739"/>
      <c r="AR52" s="34"/>
      <c r="AS52" s="1000"/>
      <c r="AT52" s="34"/>
      <c r="AU52" s="34"/>
      <c r="AV52" s="34"/>
      <c r="AW52" s="34"/>
      <c r="AX52" s="34"/>
      <c r="AY52" s="34"/>
      <c r="AZ52" s="34"/>
      <c r="BA52" s="34"/>
      <c r="BB52" s="34"/>
      <c r="BC52" s="34"/>
      <c r="BD52" s="34"/>
      <c r="BE52" s="34"/>
      <c r="BF52" s="34"/>
      <c r="BG52" s="34"/>
      <c r="BH52" s="34"/>
      <c r="BI52" s="35"/>
      <c r="BJ52" s="34"/>
      <c r="BK52" s="34"/>
      <c r="BL52" s="1853"/>
      <c r="BM52" s="34"/>
      <c r="BN52" s="34"/>
      <c r="BO52" s="3178"/>
      <c r="BP52" s="3178"/>
      <c r="BQ52" s="34"/>
      <c r="BR52" s="34"/>
      <c r="BS52" s="34"/>
      <c r="BT52" s="34"/>
      <c r="BU52" s="1853"/>
      <c r="BV52" s="1853"/>
      <c r="BW52" s="34"/>
      <c r="BX52" s="34"/>
      <c r="BY52" s="34"/>
      <c r="BZ52" s="34"/>
      <c r="CA52" s="34"/>
      <c r="CB52" s="34"/>
      <c r="CC52" s="34"/>
      <c r="CD52" s="34"/>
      <c r="CE52" s="34"/>
      <c r="CF52" s="1476"/>
      <c r="CG52" s="34"/>
      <c r="CH52" s="34"/>
      <c r="CI52" s="34"/>
      <c r="CJ52" s="34"/>
      <c r="CK52" s="34"/>
      <c r="CL52" s="1035"/>
      <c r="CM52" s="739"/>
      <c r="CN52" s="739"/>
      <c r="CO52" s="34"/>
      <c r="CP52" s="34"/>
      <c r="CQ52" s="34"/>
      <c r="CR52" s="34"/>
      <c r="CS52" s="34"/>
      <c r="CT52" s="34"/>
      <c r="CU52" s="34"/>
      <c r="CV52" s="781"/>
      <c r="CW52" s="34"/>
      <c r="CX52" s="34"/>
      <c r="CY52" s="34"/>
      <c r="CZ52" s="34"/>
      <c r="DA52" s="34"/>
      <c r="DB52" s="39" t="str">
        <f>IF(AND(Reactive_Only&lt;&gt;"Yes",Equipment&lt;&gt;"Compressor or Blower",Equipment&lt;&gt;"Turbine or Gas Expander",OR(Motor&gt;Motor_Vibration,Equipment="Filter/Centrifuge",AND(Peak_Deflag&lt;=Burst_P,Dust_Deflagration="Yes"))),"X","")</f>
        <v/>
      </c>
      <c r="DC52" s="2038"/>
      <c r="DD52" s="39" t="str">
        <f>IF(AND(Reactive_Only&lt;&gt;"Yes",Motor&gt;Motor_Vibration,OR(Equipment="Compressor or Blower",Equipment="Turbine or Gas Expander")),"X","")</f>
        <v/>
      </c>
      <c r="DE52" s="34"/>
      <c r="DF52" s="499"/>
      <c r="DG52" s="34"/>
      <c r="DH52" s="39" t="str">
        <f>IF(AND(Reactive_Only&lt;&gt;"Yes",Peak_Deflag&gt;Burst_P,Dust_Deflagration="Yes"),"X","")</f>
        <v/>
      </c>
      <c r="DI52" s="34"/>
      <c r="DJ52" s="34"/>
      <c r="DL52" s="34"/>
      <c r="DM52" s="34"/>
      <c r="DN52" s="1700"/>
      <c r="DO52" s="34"/>
      <c r="DP52" s="34"/>
      <c r="DQ52" s="34"/>
      <c r="DS52" s="132"/>
      <c r="DT52" s="3089" t="str">
        <f t="shared" si="5"/>
        <v/>
      </c>
      <c r="DV52" s="39" t="str">
        <f>IF(Equipment="Turbine or Gas Expander","Speed-High","Composition-Contaminants")</f>
        <v>Composition-Contaminants</v>
      </c>
      <c r="DW52" s="35"/>
      <c r="DX52" s="4" t="e">
        <f>LEFT(INDEX('Scenario Analysis'!GR$5:GR$47,MATCH("X",BJ52:CZ52,0)),LEN(INDEX('Scenario Analysis'!GR$5:GR$47,MATCH("X",BJ52:CZ52,0)))-2)</f>
        <v>#N/A</v>
      </c>
      <c r="DY52" s="4" t="e">
        <f>LEFT(INDEX('Scenario Analysis'!GR$49:GR$56,MATCH("X",DB52:DI52,0)),LEN(INDEX('Scenario Analysis'!GR$49:GR$56,MATCH("X",DB52:DI52,0)))-2)</f>
        <v>#N/A</v>
      </c>
      <c r="DZ52" s="39" t="str">
        <f t="shared" si="6"/>
        <v>Consequence Does Not Exceed Threshold Criteria for Continuing with LOPA</v>
      </c>
      <c r="EB52" s="39" t="e">
        <f>IF(INDEX($E$6:$AI$63,ROW(E52:AI$63)-5,MATCH(Equipment,Equipment_Type,0))="X",IF(DZ52&lt;&gt;"Consequence Does Not Exceed Threshold Criteria for Continuing with LOPA","Included","Excluded"),"")</f>
        <v>#N/A</v>
      </c>
      <c r="ED52" s="2906" t="str">
        <f>CHAR(7)&amp;IPLD_Gen_15&amp;CHAR(10)&amp;IF('Workbook Notes'!D99&lt;&gt;"",CHAR(7)&amp;'Workbook Notes'!D99,"")</f>
        <v xml:space="preserve">_x0007_High Speed or High Vibration Shuts Off Rotating Equipment
</v>
      </c>
      <c r="EE52" s="2930"/>
      <c r="EF52" s="2930" t="str">
        <f t="shared" si="1"/>
        <v>Rotating Equipment Damage</v>
      </c>
      <c r="EG52" s="2943"/>
      <c r="EH52" s="2943"/>
      <c r="EI52" s="2943"/>
      <c r="EK52" s="2907" t="str">
        <f ca="1">IF(ISTEXT(VLOOKUP(C52,INDIRECT("'Scenario List'!A11"):INDIRECT("'Scenario List'!V60"),20,FALSE))=TRUE,VLOOKUP(C52,INDIRECT("'Scenario List'!A11"):INDIRECT("'Scenario List'!V60"),20,FALSE),"")</f>
        <v/>
      </c>
      <c r="EL52" s="2907" t="str">
        <f ca="1">IF(ISTEXT(VLOOKUP(C52,INDIRECT("'Scenario List'!A11"):INDIRECT("'Scenario List'!V60"),21,FALSE))=TRUE,VLOOKUP(C52,INDIRECT("'Scenario List'!A11"):INDIRECT("'Scenario List'!V60"),21,FALSE),"")</f>
        <v/>
      </c>
      <c r="EM52" s="2907" t="str">
        <f ca="1">IF(ISTEXT(VLOOKUP(C52,INDIRECT("'Scenario List'!A11"):INDIRECT("'Scenario List'!V60"),22,FALSE))=TRUE,VLOOKUP(C52,INDIRECT("'Scenario List'!A11"):INDIRECT("'Scenario List'!V60"),22,FALSE),"")</f>
        <v/>
      </c>
      <c r="EO52" s="2907" t="str">
        <f ca="1">IF(INDIRECT("'Scenario List'!A57")="","",INDIRECT("'Scenario List'!A57"))</f>
        <v/>
      </c>
      <c r="EP52" s="2907" t="str">
        <f t="shared" ca="1" si="12"/>
        <v/>
      </c>
      <c r="EQ52" s="2907" t="str">
        <f t="shared" ca="1" si="13"/>
        <v/>
      </c>
      <c r="ER52" s="2907" t="str">
        <f t="shared" ca="1" si="14"/>
        <v/>
      </c>
    </row>
    <row r="53" spans="3:148" x14ac:dyDescent="0.25">
      <c r="C53" s="39" t="s">
        <v>4001</v>
      </c>
      <c r="D53" s="35"/>
      <c r="E53" s="34"/>
      <c r="F53" s="34"/>
      <c r="G53" s="34"/>
      <c r="H53" s="39" t="str">
        <f>IF(Exclude_MI&lt;&gt;"Only MI","X","")</f>
        <v>X</v>
      </c>
      <c r="I53" s="34"/>
      <c r="J53" s="34"/>
      <c r="K53" s="34"/>
      <c r="L53" s="34"/>
      <c r="M53" s="34"/>
      <c r="N53" s="34"/>
      <c r="O53" s="34"/>
      <c r="P53" s="34"/>
      <c r="Q53" s="34"/>
      <c r="R53" s="34"/>
      <c r="S53" s="34"/>
      <c r="T53" s="34"/>
      <c r="U53" s="34"/>
      <c r="V53" s="34"/>
      <c r="W53" s="34"/>
      <c r="X53" s="34"/>
      <c r="Y53" s="34"/>
      <c r="Z53" s="34"/>
      <c r="AA53" s="34"/>
      <c r="AB53" s="34"/>
      <c r="AC53" s="39" t="str">
        <f>IF(AND(Exclude_MI&lt;&gt;"Only MI",Seal_Type&lt;&gt;"Mag Drive or Canned",Seal_Type&lt;&gt;"Double Containment"),"X","")</f>
        <v>X</v>
      </c>
      <c r="AD53" s="34"/>
      <c r="AE53" s="39" t="str">
        <f>IF(Exclude_MI&lt;&gt;"Only MI","X","")</f>
        <v>X</v>
      </c>
      <c r="AF53" s="34"/>
      <c r="AG53" s="39" t="str">
        <f>IF(Exclude_MI&lt;&gt;"Only MI","X","")</f>
        <v>X</v>
      </c>
      <c r="AH53" s="63"/>
      <c r="AI53" s="34"/>
      <c r="AJ53" s="35"/>
      <c r="AK53" s="39" t="str">
        <f>IF(AND(Feed_Type="Batch",Pump_Valves="Discharge Only"),"X","")</f>
        <v/>
      </c>
      <c r="AL53" s="34"/>
      <c r="AM53" s="34"/>
      <c r="AN53" s="39" t="str">
        <f>IF(AND(Equipment="Pump",Pump_Valves&lt;&gt;"Discharge Only",Pump_Valves&lt;&gt;"Both Suction &amp; Discharge"),"X","")</f>
        <v/>
      </c>
      <c r="AO53" s="34"/>
      <c r="AP53" s="34"/>
      <c r="AQ53" s="739"/>
      <c r="AR53" s="34"/>
      <c r="AS53" s="1000"/>
      <c r="AT53" s="34"/>
      <c r="AU53" s="34"/>
      <c r="AV53" s="34"/>
      <c r="AW53" s="34"/>
      <c r="AX53" s="39" t="str">
        <f>IF(OR(Seal_Type="",Seal_Type="Single Mech",Pump_Type="Diaphragm-Limited Source Pressure"),"X","")</f>
        <v>X</v>
      </c>
      <c r="AY53" s="459" t="str">
        <f>IF(Seal_Type="Double Mech","X","")</f>
        <v/>
      </c>
      <c r="AZ53" s="459" t="str">
        <f>IF(OR(Seal_Type="Mag Drive or Canned",Seal_Type="Double Containment"),"X","")</f>
        <v/>
      </c>
      <c r="BA53" s="39" t="str">
        <f>IF(AND(Feed_Type&lt;&gt;"Batch",Pump_Valves="Discharge Only"),"X","")</f>
        <v/>
      </c>
      <c r="BB53" s="34"/>
      <c r="BC53" s="34"/>
      <c r="BD53" s="34"/>
      <c r="BE53" s="34"/>
      <c r="BF53" s="34"/>
      <c r="BG53" s="34"/>
      <c r="BH53" s="34"/>
      <c r="BI53" s="35"/>
      <c r="BJ53" s="34"/>
      <c r="BK53" s="39" t="str">
        <f>IF(AND(Reactive_Only&lt;&gt;"Yes",Equipment&lt;&gt;"Stirred Reactor/Crystallizer"),"X","")</f>
        <v>X</v>
      </c>
      <c r="BL53" s="39" t="str">
        <f>IF(AND(Reactive_Only&lt;&gt;"Yes",Equipment="Stirred Reactor/Crystallizer"),"X","")</f>
        <v/>
      </c>
      <c r="BM53" s="34"/>
      <c r="BN53" s="34"/>
      <c r="BO53" s="3178"/>
      <c r="BP53" s="3178"/>
      <c r="BQ53" s="34"/>
      <c r="BR53" s="34"/>
      <c r="BS53" s="34"/>
      <c r="BT53" s="34"/>
      <c r="BU53" s="1853"/>
      <c r="BV53" s="1853"/>
      <c r="BW53" s="34"/>
      <c r="BX53" s="34"/>
      <c r="BY53" s="34"/>
      <c r="BZ53" s="34"/>
      <c r="CA53" s="34"/>
      <c r="CB53" s="34"/>
      <c r="CC53" s="34"/>
      <c r="CD53" s="34"/>
      <c r="CE53" s="34"/>
      <c r="CF53" s="1476"/>
      <c r="CG53" s="34"/>
      <c r="CH53" s="34"/>
      <c r="CI53" s="34"/>
      <c r="CJ53" s="34"/>
      <c r="CK53" s="34"/>
      <c r="CL53" s="1035"/>
      <c r="CM53" s="739"/>
      <c r="CN53" s="739"/>
      <c r="CO53" s="34"/>
      <c r="CP53" s="34"/>
      <c r="CQ53" s="34"/>
      <c r="CR53" s="34"/>
      <c r="CS53" s="34"/>
      <c r="CT53" s="34"/>
      <c r="CU53" s="34"/>
      <c r="CV53" s="781"/>
      <c r="CW53" s="34"/>
      <c r="CX53" s="34"/>
      <c r="CY53" s="34"/>
      <c r="CZ53" s="34"/>
      <c r="DA53" s="34"/>
      <c r="DB53" s="34"/>
      <c r="DC53" s="2038"/>
      <c r="DD53" s="34"/>
      <c r="DE53" s="34"/>
      <c r="DF53" s="499"/>
      <c r="DG53" s="34"/>
      <c r="DH53" s="34"/>
      <c r="DI53" s="34"/>
      <c r="DJ53" s="34"/>
      <c r="DL53" s="34"/>
      <c r="DM53" s="34"/>
      <c r="DN53" s="1700"/>
      <c r="DO53" s="34"/>
      <c r="DP53" s="34"/>
      <c r="DQ53" s="34"/>
      <c r="DS53" s="132"/>
      <c r="DT53" s="3089" t="str">
        <f t="shared" si="5"/>
        <v/>
      </c>
      <c r="DV53" s="39" t="s">
        <v>1176</v>
      </c>
      <c r="DW53" s="35"/>
      <c r="DX53" s="4" t="e">
        <f>LEFT(INDEX('Scenario Analysis'!GR$5:GR$47,MATCH("X",BJ53:CZ53,0)),LEN(INDEX('Scenario Analysis'!GR$5:GR$47,MATCH("X",BJ53:CZ53,0)))-2)</f>
        <v>#VALUE!</v>
      </c>
      <c r="DY53" s="4" t="e">
        <f>LEFT(INDEX('Scenario Analysis'!GR$49:GR$56,MATCH("X",DB53:DI53,0)),LEN(INDEX('Scenario Analysis'!GR$49:GR$56,MATCH("X",DB53:DI53,0)))-2)</f>
        <v>#N/A</v>
      </c>
      <c r="DZ53" s="39" t="str">
        <f t="shared" si="6"/>
        <v>Consequence Does Not Exceed Threshold Criteria for Continuing with LOPA</v>
      </c>
      <c r="EB53" s="39" t="e">
        <f>IF(INDEX($E$6:$AI$63,ROW(E53:AI$63)-5,MATCH(Equipment,Equipment_Type,0))="X",IF(DZ53&lt;&gt;"Consequence Does Not Exceed Threshold Criteria for Continuing with LOPA","Included","Excluded"),"")</f>
        <v>#N/A</v>
      </c>
      <c r="ED53" s="2906" t="e">
        <f>CHAR(7)&amp;IPLD_Gen_31&amp;CHAR(10)&amp;CHAR(7)&amp;IPLD_Gen_21&amp;CHAR(10)&amp;IF('Workbook Notes'!D100&lt;&gt;"",CHAR(7)&amp;'Workbook Notes'!D100,"")</f>
        <v>#NAME?</v>
      </c>
      <c r="EE53" s="2930"/>
      <c r="EF53" s="2930" t="str">
        <f t="shared" si="1"/>
        <v>Seal Leak</v>
      </c>
      <c r="EG53" s="2943"/>
      <c r="EH53" s="2943"/>
      <c r="EI53" s="2943"/>
      <c r="EK53" s="2907" t="str">
        <f ca="1">IF(ISTEXT(VLOOKUP(C53,INDIRECT("'Scenario List'!A11"):INDIRECT("'Scenario List'!V60"),20,FALSE))=TRUE,VLOOKUP(C53,INDIRECT("'Scenario List'!A11"):INDIRECT("'Scenario List'!V60"),20,FALSE),"")</f>
        <v/>
      </c>
      <c r="EL53" s="2907" t="str">
        <f ca="1">IF(ISTEXT(VLOOKUP(C53,INDIRECT("'Scenario List'!A11"):INDIRECT("'Scenario List'!V60"),21,FALSE))=TRUE,VLOOKUP(C53,INDIRECT("'Scenario List'!A11"):INDIRECT("'Scenario List'!V60"),21,FALSE),"")</f>
        <v/>
      </c>
      <c r="EM53" s="2907" t="str">
        <f ca="1">IF(ISTEXT(VLOOKUP(C53,INDIRECT("'Scenario List'!A11"):INDIRECT("'Scenario List'!V60"),22,FALSE))=TRUE,VLOOKUP(C53,INDIRECT("'Scenario List'!A11"):INDIRECT("'Scenario List'!V60"),22,FALSE),"")</f>
        <v/>
      </c>
      <c r="EO53" s="2907" t="str">
        <f ca="1">IF(INDIRECT("'Scenario List'!A58")="","",INDIRECT("'Scenario List'!A58"))</f>
        <v/>
      </c>
      <c r="EP53" s="2907" t="str">
        <f t="shared" ca="1" si="12"/>
        <v/>
      </c>
      <c r="EQ53" s="2907" t="str">
        <f t="shared" ca="1" si="13"/>
        <v/>
      </c>
      <c r="ER53" s="2907" t="str">
        <f t="shared" ca="1" si="14"/>
        <v/>
      </c>
    </row>
    <row r="54" spans="3:148" x14ac:dyDescent="0.25">
      <c r="C54" s="738" t="s">
        <v>4022</v>
      </c>
      <c r="D54" s="35"/>
      <c r="E54" s="739"/>
      <c r="F54" s="739"/>
      <c r="G54" s="739"/>
      <c r="H54" s="739"/>
      <c r="I54" s="739"/>
      <c r="J54" s="739"/>
      <c r="K54" s="739"/>
      <c r="L54" s="739"/>
      <c r="M54" s="739"/>
      <c r="N54" s="739"/>
      <c r="O54" s="739"/>
      <c r="P54" s="739"/>
      <c r="Q54" s="739"/>
      <c r="R54" s="739"/>
      <c r="S54" s="739"/>
      <c r="T54" s="739"/>
      <c r="U54" s="739"/>
      <c r="V54" s="739"/>
      <c r="W54" s="739"/>
      <c r="X54" s="739"/>
      <c r="Y54" s="39" t="str">
        <f>IF(Exclude_MI&lt;&gt;"Only MI","X","")</f>
        <v>X</v>
      </c>
      <c r="Z54" s="739"/>
      <c r="AA54" s="739"/>
      <c r="AB54" s="739"/>
      <c r="AC54" s="739"/>
      <c r="AD54" s="739"/>
      <c r="AE54" s="739"/>
      <c r="AF54" s="739"/>
      <c r="AG54" s="2048"/>
      <c r="AH54" s="743"/>
      <c r="AI54" s="739"/>
      <c r="AJ54" s="35"/>
      <c r="AK54" s="739"/>
      <c r="AL54" s="739"/>
      <c r="AM54" s="739"/>
      <c r="AN54" s="739"/>
      <c r="AO54" s="739"/>
      <c r="AP54" s="459" t="str">
        <f>IF(Tube_No&lt;&gt;"&gt; 100","X","")</f>
        <v>X</v>
      </c>
      <c r="AQ54" s="1220" t="str">
        <f>IF(Tube_No="&gt; 100","X","")</f>
        <v/>
      </c>
      <c r="AR54" s="739"/>
      <c r="AS54" s="1000"/>
      <c r="AT54" s="739"/>
      <c r="AU54" s="739"/>
      <c r="AV54" s="739"/>
      <c r="AW54" s="739"/>
      <c r="AX54" s="34"/>
      <c r="AY54" s="34"/>
      <c r="AZ54" s="34"/>
      <c r="BA54" s="739"/>
      <c r="BB54" s="739"/>
      <c r="BC54" s="739"/>
      <c r="BD54" s="739"/>
      <c r="BE54" s="739"/>
      <c r="BF54" s="739"/>
      <c r="BG54" s="739"/>
      <c r="BH54" s="739"/>
      <c r="BI54" s="35"/>
      <c r="BJ54" s="739"/>
      <c r="BK54" s="739"/>
      <c r="BL54" s="1853"/>
      <c r="BM54" s="739"/>
      <c r="BN54" s="739"/>
      <c r="BO54" s="3178"/>
      <c r="BP54" s="3178"/>
      <c r="BQ54" s="739"/>
      <c r="BR54" s="739"/>
      <c r="BS54" s="739"/>
      <c r="BT54" s="739"/>
      <c r="BU54" s="1853"/>
      <c r="BV54" s="1853"/>
      <c r="BW54" s="739"/>
      <c r="BX54" s="739"/>
      <c r="BY54" s="739"/>
      <c r="BZ54" s="739"/>
      <c r="CA54" s="739"/>
      <c r="CB54" s="739"/>
      <c r="CC54" s="739"/>
      <c r="CD54" s="739"/>
      <c r="CE54" s="739"/>
      <c r="CF54" s="1476"/>
      <c r="CG54" s="739"/>
      <c r="CH54" s="739"/>
      <c r="CI54" s="739"/>
      <c r="CJ54" s="739"/>
      <c r="CK54" s="739"/>
      <c r="CL54" s="1035"/>
      <c r="CM54" s="39" t="str">
        <f>IF(AND(Reactive_Only&lt;&gt;"Yes",Heating_Relief_Input="Yes",Max_Feed_P&gt;=Heating_P),"X","")</f>
        <v/>
      </c>
      <c r="CN54" s="39" t="str">
        <f>IF(AND(Reactive_Only&lt;&gt;"Yes",Heating_Relief_Input="Yes",Max_Feed_P&lt;Heating_P),"X","")</f>
        <v/>
      </c>
      <c r="CO54" s="739"/>
      <c r="CP54" s="739"/>
      <c r="CQ54" s="739"/>
      <c r="CR54" s="739"/>
      <c r="CS54" s="739"/>
      <c r="CT54" s="739"/>
      <c r="CU54" s="739"/>
      <c r="CV54" s="781"/>
      <c r="CW54" s="739"/>
      <c r="CX54" s="739"/>
      <c r="CY54" s="739"/>
      <c r="CZ54" s="739"/>
      <c r="DA54" s="739"/>
      <c r="DB54" s="39" t="str">
        <f>IF(AND(Reactive_Only&lt;&gt;"Yes",Heating_Relief_Input&lt;&gt;"Yes"),"X","")</f>
        <v>X</v>
      </c>
      <c r="DC54" s="2038"/>
      <c r="DD54" s="739"/>
      <c r="DE54" s="739"/>
      <c r="DF54" s="739"/>
      <c r="DG54" s="739"/>
      <c r="DH54" s="739"/>
      <c r="DI54" s="739"/>
      <c r="DJ54" s="739"/>
      <c r="DL54" s="739"/>
      <c r="DM54" s="739"/>
      <c r="DN54" s="1700"/>
      <c r="DO54" s="739"/>
      <c r="DP54" s="739"/>
      <c r="DQ54" s="739"/>
      <c r="DS54" s="132"/>
      <c r="DT54" s="3089" t="str">
        <f t="shared" si="5"/>
        <v/>
      </c>
      <c r="DV54" s="39" t="s">
        <v>1176</v>
      </c>
      <c r="DW54" s="35"/>
      <c r="DX54" s="4" t="e">
        <f>LEFT(INDEX('Scenario Analysis'!GR$5:GR$47,MATCH("X",BJ54:CZ54,0)),LEN(INDEX('Scenario Analysis'!GR$5:GR$47,MATCH("X",BJ54:CZ54,0)))-2)</f>
        <v>#N/A</v>
      </c>
      <c r="DY54" s="4" t="str">
        <f>LEFT(INDEX('Scenario Analysis'!GR$49:GR$56,MATCH("X",DB54:DI54,0)),LEN(INDEX('Scenario Analysis'!GR$49:GR$56,MATCH("X",DB54:DI54,0)))-2)</f>
        <v>Property Damage or Business Loss</v>
      </c>
      <c r="DZ54" s="39" t="str">
        <f t="shared" si="6"/>
        <v>Property Damage or Business Loss</v>
      </c>
      <c r="EB54" s="39" t="e">
        <f>IF(INDEX($E$6:$AI$63,ROW(E54:AI$63)-5,MATCH(Equipment,Equipment_Type,0))="X",IF(DZ54&lt;&gt;"Consequence Does Not Exceed Threshold Criteria for Continuing with LOPA","Included","Excluded"),"")</f>
        <v>#N/A</v>
      </c>
      <c r="ED54" s="2906" t="str">
        <f>IF('Workbook Notes'!D101&lt;&gt;"",CHAR(7)&amp;'Workbook Notes'!D101,"")</f>
        <v/>
      </c>
      <c r="EE54" s="2930"/>
      <c r="EF54" s="2930" t="str">
        <f t="shared" si="1"/>
        <v>Tube Failure</v>
      </c>
      <c r="EG54" s="2943"/>
      <c r="EH54" s="2943"/>
      <c r="EI54" s="2943"/>
      <c r="EK54" s="2907" t="str">
        <f ca="1">IF(ISTEXT(VLOOKUP(C54,INDIRECT("'Scenario List'!A11"):INDIRECT("'Scenario List'!V60"),20,FALSE))=TRUE,VLOOKUP(C54,INDIRECT("'Scenario List'!A11"):INDIRECT("'Scenario List'!V60"),20,FALSE),"")</f>
        <v/>
      </c>
      <c r="EL54" s="2907" t="str">
        <f ca="1">IF(ISTEXT(VLOOKUP(C54,INDIRECT("'Scenario List'!A11"):INDIRECT("'Scenario List'!V60"),21,FALSE))=TRUE,VLOOKUP(C54,INDIRECT("'Scenario List'!A11"):INDIRECT("'Scenario List'!V60"),21,FALSE),"")</f>
        <v/>
      </c>
      <c r="EM54" s="2907" t="str">
        <f ca="1">IF(ISTEXT(VLOOKUP(C54,INDIRECT("'Scenario List'!A11"):INDIRECT("'Scenario List'!V60"),22,FALSE))=TRUE,VLOOKUP(C54,INDIRECT("'Scenario List'!A11"):INDIRECT("'Scenario List'!V60"),22,FALSE),"")</f>
        <v/>
      </c>
      <c r="EO54" s="2907" t="str">
        <f ca="1">IF(INDIRECT("'Scenario List'!A59")="","",INDIRECT("'Scenario List'!A59"))</f>
        <v/>
      </c>
      <c r="EP54" s="2907" t="str">
        <f t="shared" ca="1" si="12"/>
        <v/>
      </c>
      <c r="EQ54" s="2907" t="str">
        <f t="shared" ca="1" si="13"/>
        <v/>
      </c>
      <c r="ER54" s="2907" t="str">
        <f t="shared" ca="1" si="14"/>
        <v/>
      </c>
    </row>
    <row r="55" spans="3:148" x14ac:dyDescent="0.25">
      <c r="C55" s="39" t="s">
        <v>2778</v>
      </c>
      <c r="D55" s="35"/>
      <c r="E55" s="39" t="str">
        <f>IF(AND(Exclude_MI&lt;&gt;"Only MI",OR(DHR&lt;RxHeat_Limit,Gas_Gen&gt;RxGas_Limit)),"X","")</f>
        <v/>
      </c>
      <c r="F55" s="34"/>
      <c r="G55" s="39" t="str">
        <f>IF(AND(Exclude_MI&lt;&gt;"Only MI",OR(DHR&lt;RxHeat_Limit,Gas_Gen&gt;RxGas_Limit)),"X","")</f>
        <v/>
      </c>
      <c r="H55" s="34"/>
      <c r="I55" s="34"/>
      <c r="J55" s="34"/>
      <c r="K55" s="39" t="str">
        <f>IF(AND(Exclude_MI&lt;&gt;"Only MI",OR(DHR&lt;RxHeat_Limit,Gas_Gen&gt;RxGas_Limit)),"X","")</f>
        <v/>
      </c>
      <c r="L55" s="39" t="str">
        <f>IF(AND(Exclude_MI&lt;&gt;"Only MI",OR(DHR&lt;RxHeat_Limit,Gas_Gen&gt;RxGas_Limit)),"X","")</f>
        <v/>
      </c>
      <c r="M55" s="739"/>
      <c r="N55" s="739"/>
      <c r="O55" s="739"/>
      <c r="P55" s="34"/>
      <c r="Q55" s="39" t="str">
        <f>IF(AND(Exclude_MI&lt;&gt;"Only MI",OR(DHR&lt;RxHeat_Limit,Gas_Gen&gt;RxGas_Limit)),"X","")</f>
        <v/>
      </c>
      <c r="R55" s="34"/>
      <c r="S55" s="34"/>
      <c r="T55" s="34"/>
      <c r="U55" s="34"/>
      <c r="V55" s="34"/>
      <c r="W55" s="34"/>
      <c r="X55" s="34"/>
      <c r="Y55" s="39" t="str">
        <f>IF(AND(Exclude_MI&lt;&gt;"Only MI",OR(DHR&lt;RxHeat_Limit,Gas_Gen&gt;RxGas_Limit)),"X","")</f>
        <v/>
      </c>
      <c r="Z55" s="34"/>
      <c r="AA55" s="739"/>
      <c r="AB55" s="34"/>
      <c r="AC55" s="39" t="str">
        <f>IF(AND(Exclude_MI&lt;&gt;"Only MI",OR(DHR&lt;RxHeat_Limit,Gas_Gen&gt;RxGas_Limit)),"X","")</f>
        <v/>
      </c>
      <c r="AD55" s="34"/>
      <c r="AE55" s="39" t="str">
        <f>IF(AND(Exclude_MI&lt;&gt;"Only MI",OR(DHR&lt;RxHeat_Limit,Gas_Gen&gt;RxGas_Limit)),"X","")</f>
        <v/>
      </c>
      <c r="AF55" s="39" t="str">
        <f>IF(AND(Exclude_MI&lt;&gt;"Only MI",OR(DHR&lt;RxHeat_Limit,Gas_Gen&gt;RxGas_Limit)),"X","")</f>
        <v/>
      </c>
      <c r="AG55" s="2048"/>
      <c r="AH55" s="39" t="str">
        <f>IF(AND(Exclude_MI&lt;&gt;"Only MI",OR(DHR&lt;RxHeat_Limit,Gas_Gen&gt;RxGas_Limit)),"X","")</f>
        <v/>
      </c>
      <c r="AI55" s="1032"/>
      <c r="AJ55" s="35"/>
      <c r="AK55" s="459" t="s">
        <v>1742</v>
      </c>
      <c r="AL55" s="1032"/>
      <c r="AM55" s="1032"/>
      <c r="AN55" s="1032"/>
      <c r="AO55" s="1032"/>
      <c r="AP55" s="1032"/>
      <c r="AQ55" s="1032"/>
      <c r="AR55" s="1032"/>
      <c r="AS55" s="1032"/>
      <c r="AT55" s="1032"/>
      <c r="AU55" s="1032"/>
      <c r="AV55" s="1032"/>
      <c r="AW55" s="1032"/>
      <c r="AX55" s="1032"/>
      <c r="AY55" s="1032"/>
      <c r="AZ55" s="1032"/>
      <c r="BA55" s="1032"/>
      <c r="BB55" s="1032"/>
      <c r="BC55" s="1032"/>
      <c r="BD55" s="1032"/>
      <c r="BE55" s="1032"/>
      <c r="BF55" s="1032"/>
      <c r="BG55" s="1032"/>
      <c r="BH55" s="1032"/>
      <c r="BI55" s="35"/>
      <c r="BJ55" s="1032"/>
      <c r="BK55" s="1032"/>
      <c r="BL55" s="1853"/>
      <c r="BM55" s="1032"/>
      <c r="BN55" s="1032"/>
      <c r="BO55" s="3178"/>
      <c r="BP55" s="3178"/>
      <c r="BQ55" s="1032"/>
      <c r="BR55" s="125"/>
      <c r="BS55" s="1032"/>
      <c r="BT55" s="1032"/>
      <c r="BU55" s="1853"/>
      <c r="BV55" s="1853"/>
      <c r="BW55" s="1032"/>
      <c r="BX55" s="1032"/>
      <c r="BY55" s="1032"/>
      <c r="BZ55" s="1032"/>
      <c r="CA55" s="1032"/>
      <c r="CB55" s="1032"/>
      <c r="CC55" s="1032"/>
      <c r="CD55" s="1032"/>
      <c r="CE55" s="1032"/>
      <c r="CF55" s="1476"/>
      <c r="CG55" s="1032"/>
      <c r="CH55" s="1032"/>
      <c r="CI55" s="1032"/>
      <c r="CJ55" s="1032"/>
      <c r="CK55" s="1032"/>
      <c r="CL55" s="1035"/>
      <c r="CM55" s="1032"/>
      <c r="CN55" s="1032"/>
      <c r="CO55" s="1032"/>
      <c r="CP55" s="1032"/>
      <c r="CQ55" s="1032"/>
      <c r="CR55" s="1032"/>
      <c r="CS55" s="1032"/>
      <c r="CT55" s="1032"/>
      <c r="CU55" s="39" t="e">
        <f>IF(AND(Gas_Gen&gt;RxGas_Limit,Gas_Exo="Yes"),"",IF(AND(Equipment&lt;&gt;"Pump",Reactive_Potential="Yes",Prx_Max_Adiabatic&gt;IF(Relief_Set_Input&gt;0,Relief_Set,MAWP)+1),"X",""))</f>
        <v>#DIV/0!</v>
      </c>
      <c r="CV55" s="1032"/>
      <c r="CW55" s="1032"/>
      <c r="CX55" s="1032"/>
      <c r="CY55" s="1032"/>
      <c r="CZ55" s="1032"/>
      <c r="DA55" s="1032"/>
      <c r="DB55" s="1032"/>
      <c r="DC55" s="2039" t="e">
        <f>IF(AND(Reactive_Potential="Yes",Tad_max&gt;Failure_T,Prx_Max_Adiabatic&lt;=Burst_P+1),"X","")</f>
        <v>#DIV/0!</v>
      </c>
      <c r="DD55" s="34"/>
      <c r="DE55" s="39" t="e">
        <f>IF(AND(Reactive_Potential="Yes",Prx_Max_Adiabatic&gt;Burst_P+1,Gas_Exo&lt;&gt;"Yes",Detonation_Potential&lt;&gt;"Yes"),"X","")</f>
        <v>#DIV/0!</v>
      </c>
      <c r="DF55" s="39" t="e">
        <f>IF(AND(Reactive_Potential="Yes",Prx_Max_Adiabatic&gt;Burst_P+1,Gas_Exo="Yes",Detonation_Potential&lt;&gt;"Yes"),"X","")</f>
        <v>#DIV/0!</v>
      </c>
      <c r="DG55" s="1032"/>
      <c r="DH55" s="739"/>
      <c r="DI55" s="39" t="str">
        <f>IF(Detonation_Potential="Yes","X","")</f>
        <v/>
      </c>
      <c r="DJ55" s="1032"/>
      <c r="DL55" s="1032"/>
      <c r="DM55" s="39" t="e">
        <f>IF(#REF!=0,"",sig(#REF!,2,10,1)&amp;#REF!)</f>
        <v>#REF!</v>
      </c>
      <c r="DN55" s="1701"/>
      <c r="DO55" s="34"/>
      <c r="DP55" s="34"/>
      <c r="DQ55" s="39" t="e">
        <f>IF(#REF!=0,"",sig(#REF!,2,10,1)&amp;#REF!)</f>
        <v>#REF!</v>
      </c>
      <c r="DS55" s="132" t="str">
        <f>IF('Reaction Input'!Z59&lt;=0,0,'Reaction Input'!Z59)</f>
        <v>&gt;Relief Temp</v>
      </c>
      <c r="DT55" s="3089" t="str">
        <f t="shared" si="5"/>
        <v/>
      </c>
      <c r="DV55" s="39" t="str">
        <f>IF(AND(Gas_Gen&gt;RxGas_Limit,OR(Gas_Exo="Yes",DHR&gt;=RxHeat_Limit)),"Reaction-High Pressure","Reaction-High Rate")</f>
        <v>Reaction-High Rate</v>
      </c>
      <c r="DW55" s="35"/>
      <c r="DX55" s="4" t="e">
        <f>LEFT(INDEX('Scenario Analysis'!GR$5:GR$47,MATCH("X",BJ55:CZ55,0)),LEN(INDEX('Scenario Analysis'!GR$5:GR$47,MATCH("X",BJ55:CZ55,0)))-2)</f>
        <v>#N/A</v>
      </c>
      <c r="DY55" s="4" t="e">
        <f>LEFT(INDEX('Scenario Analysis'!GR$49:GR$56,MATCH("X",DB55:DI55,0)),LEN(INDEX('Scenario Analysis'!GR$49:GR$56,MATCH("X",DB55:DI55,0)))-2)</f>
        <v>#N/A</v>
      </c>
      <c r="DZ55" s="39" t="str">
        <f>IF(AND(ISERROR(DX55),ISERROR(DY55)),"Consequence Does Not Exceed Threshold Criteria for Continuing with LOPA",IF(ISERROR(DX55),IF(DY55="","Consequence Does Not Exceed Threshold Criteria for Continuing with LOPA",DY55),IF(ISERROR(DY55),IF(DX55="","Consequence Does Not Exceed Threshold Criteria for Continuing with LOPA",DX55),DX55&amp;"; "&amp;DY55)))</f>
        <v>Consequence Does Not Exceed Threshold Criteria for Continuing with LOPA</v>
      </c>
      <c r="EB55" s="39" t="e">
        <f>IF(INDEX($E$6:$AI$63,ROW(E55:AI$63)-5,MATCH(Equipment,Equipment_Type,0))="X",IF(DZ55&lt;&gt;"Consequence Does Not Exceed Threshold Criteria for Continuing with LOPA","Included","Excluded"),"")</f>
        <v>#N/A</v>
      </c>
      <c r="ED55" s="2906" t="str">
        <f>CHAR(7)&amp;IPLD_Rx_1&amp;CHAR(10)&amp;IF('Workbook Notes'!D102&lt;&gt;"",CHAR(7)&amp;'Workbook Notes'!D102,"")</f>
        <v xml:space="preserve">_x0007_High Temperature Shuts off Reaction Feeds and/or Activates Emergency Cooling
</v>
      </c>
      <c r="EE55" s="2930"/>
      <c r="EF55" s="2930" t="str">
        <f t="shared" si="1"/>
        <v>Uncontrolled Reaction - Adiabatic</v>
      </c>
      <c r="EG55" s="2943"/>
      <c r="EH55" s="2943"/>
      <c r="EI55" s="2943"/>
      <c r="EK55" s="2907" t="str">
        <f ca="1">IF(ISTEXT(VLOOKUP(C55,INDIRECT("'Scenario List'!A11"):INDIRECT("'Scenario List'!V60"),20,FALSE))=TRUE,VLOOKUP(C55,INDIRECT("'Scenario List'!A11"):INDIRECT("'Scenario List'!V60"),20,FALSE),"")</f>
        <v/>
      </c>
      <c r="EL55" s="2907" t="str">
        <f ca="1">IF(ISTEXT(VLOOKUP(C55,INDIRECT("'Scenario List'!A11"):INDIRECT("'Scenario List'!V60"),21,FALSE))=TRUE,VLOOKUP(C55,INDIRECT("'Scenario List'!A11"):INDIRECT("'Scenario List'!V60"),21,FALSE),"")</f>
        <v/>
      </c>
      <c r="EM55" s="2907" t="str">
        <f ca="1">IF(ISTEXT(VLOOKUP(C55,INDIRECT("'Scenario List'!A11"):INDIRECT("'Scenario List'!V60"),22,FALSE))=TRUE,VLOOKUP(C55,INDIRECT("'Scenario List'!A11"):INDIRECT("'Scenario List'!V60"),22,FALSE),"")</f>
        <v/>
      </c>
      <c r="EO55" s="2907" t="str">
        <f ca="1">IF(INDIRECT("'Scenario List'!A60")="","",INDIRECT("'Scenario List'!A60"))</f>
        <v/>
      </c>
      <c r="EP55" s="2907" t="str">
        <f t="shared" ca="1" si="12"/>
        <v/>
      </c>
      <c r="EQ55" s="2907" t="str">
        <f t="shared" ca="1" si="13"/>
        <v/>
      </c>
      <c r="ER55" s="2907" t="str">
        <f t="shared" ca="1" si="14"/>
        <v/>
      </c>
    </row>
    <row r="56" spans="3:148" x14ac:dyDescent="0.25">
      <c r="C56" s="39" t="s">
        <v>1201</v>
      </c>
      <c r="D56" s="35"/>
      <c r="E56" s="39" t="str">
        <f>IF(AND(Exclude_MI&lt;&gt;"Only MI",TNR_T="No",OR(DHR&lt;RxHeat_Limit,Gas_Gen&gt;RxGas_Limit)),"X","")</f>
        <v/>
      </c>
      <c r="F56" s="34"/>
      <c r="G56" s="39" t="str">
        <f>IF(AND(Exclude_MI&lt;&gt;"Only MI",TNR_T="No",OR(DHR&lt;RxHeat_Limit,Gas_Gen&gt;RxGas_Limit)),"X","")</f>
        <v/>
      </c>
      <c r="H56" s="34"/>
      <c r="I56" s="34"/>
      <c r="J56" s="34"/>
      <c r="K56" s="39" t="str">
        <f>IF(AND(Exclude_MI&lt;&gt;"Only MI",TNR_T="No",OR(DHR&lt;RxHeat_Limit,Gas_Gen&gt;RxGas_Limit)),"X","")</f>
        <v/>
      </c>
      <c r="L56" s="39" t="str">
        <f>IF(AND(Exclude_MI&lt;&gt;"Only MI",TNR_T="No",OR(DHR&lt;RxHeat_Limit,Gas_Gen&gt;RxGas_Limit)),"X","")</f>
        <v/>
      </c>
      <c r="M56" s="39" t="str">
        <f>IF(AND(Exclude_MI&lt;&gt;"Only MI",TNR_T="No",OR(DHR&lt;RxHeat_Limit,Gas_Gen&gt;RxGas_Limit)),"X","")</f>
        <v/>
      </c>
      <c r="N56" s="39" t="str">
        <f>IF(AND(Exclude_MI&lt;&gt;"Only MI",OR(DHR&lt;RxHeat_Limit,Gas_Gen&gt;RxGas_Limit)),"X","")</f>
        <v/>
      </c>
      <c r="O56" s="39" t="str">
        <f>IF(AND(Exclude_MI&lt;&gt;"Only MI",OR(DHR&lt;RxHeat_Limit,Gas_Gen&gt;RxGas_Limit)),"X","")</f>
        <v/>
      </c>
      <c r="P56" s="34"/>
      <c r="Q56" s="39" t="str">
        <f>IF(AND(Exclude_MI&lt;&gt;"Only MI",TNR_T="No",OR(DHR&lt;RxHeat_Limit,Gas_Gen&gt;RxGas_Limit)),"X","")</f>
        <v/>
      </c>
      <c r="R56" s="34"/>
      <c r="S56" s="34"/>
      <c r="T56" s="34"/>
      <c r="U56" s="34"/>
      <c r="V56" s="34"/>
      <c r="W56" s="34"/>
      <c r="X56" s="34"/>
      <c r="Y56" s="39" t="str">
        <f>IF(AND(Exclude_MI&lt;&gt;"Only MI",TNR_T="No",OR(DHR&lt;RxHeat_Limit,Gas_Gen&gt;RxGas_Limit)),"X","")</f>
        <v/>
      </c>
      <c r="Z56" s="34"/>
      <c r="AA56" s="39" t="str">
        <f>IF(AND(Exclude_MI&lt;&gt;"Only MI",OR(DHR&lt;RxHeat_Limit,Gas_Gen&gt;RxGas_Limit)),"X","")</f>
        <v/>
      </c>
      <c r="AB56" s="34"/>
      <c r="AC56" s="39" t="str">
        <f>IF(AND(Exclude_MI&lt;&gt;"Only MI",TNR_T="No",OR(DHR&lt;RxHeat_Limit,Gas_Gen&gt;RxGas_Limit)),"X","")</f>
        <v/>
      </c>
      <c r="AD56" s="34"/>
      <c r="AE56" s="39" t="str">
        <f>IF(AND(Exclude_MI&lt;&gt;"Only MI",TNR_T="No",OR(DHR&lt;RxHeat_Limit,Gas_Gen&gt;RxGas_Limit)),"X","")</f>
        <v/>
      </c>
      <c r="AF56" s="39" t="str">
        <f>IF(AND(Exclude_MI&lt;&gt;"Only MI",TNR_T="No",OR(DHR&lt;RxHeat_Limit,Gas_Gen&gt;RxGas_Limit)),"X","")</f>
        <v/>
      </c>
      <c r="AG56" s="2048"/>
      <c r="AH56" s="39" t="str">
        <f>IF(AND(Exclude_MI&lt;&gt;"Only MI",TNR_T="No",OR(DHR&lt;RxHeat_Limit,Gas_Gen&gt;RxGas_Limit)),"X","")</f>
        <v/>
      </c>
      <c r="AI56" s="34"/>
      <c r="AJ56" s="35"/>
      <c r="AK56" s="459" t="s">
        <v>1742</v>
      </c>
      <c r="AL56" s="34"/>
      <c r="AM56" s="34"/>
      <c r="AN56" s="34"/>
      <c r="AO56" s="34"/>
      <c r="AP56" s="34"/>
      <c r="AQ56" s="739"/>
      <c r="AR56" s="34"/>
      <c r="AS56" s="1000"/>
      <c r="AT56" s="34"/>
      <c r="AU56" s="34"/>
      <c r="AV56" s="34"/>
      <c r="AW56" s="34"/>
      <c r="AX56" s="34"/>
      <c r="AY56" s="34"/>
      <c r="AZ56" s="34"/>
      <c r="BA56" s="34"/>
      <c r="BB56" s="34"/>
      <c r="BC56" s="34"/>
      <c r="BD56" s="34"/>
      <c r="BE56" s="34"/>
      <c r="BF56" s="34"/>
      <c r="BG56" s="34"/>
      <c r="BH56" s="34"/>
      <c r="BI56" s="35"/>
      <c r="BJ56" s="34"/>
      <c r="BK56" s="34"/>
      <c r="BL56" s="1853"/>
      <c r="BM56" s="39" t="e">
        <f>IF(AND(Relief_Set_Input="",Prx_Max&gt;Failure_Gasket*MAWP+1,Prx_Max&lt;=Burst_P+1,Equipment&lt;&gt;"Drum Oven"),"X","")</f>
        <v>#DIV/0!</v>
      </c>
      <c r="BN56" s="34"/>
      <c r="BO56" s="3178"/>
      <c r="BP56" s="3178"/>
      <c r="BQ56" s="34"/>
      <c r="BR56" s="34"/>
      <c r="BS56" s="34"/>
      <c r="BT56" s="34"/>
      <c r="BU56" s="1853"/>
      <c r="BV56" s="1853"/>
      <c r="BW56" s="34"/>
      <c r="BX56" s="34"/>
      <c r="BY56" s="39" t="e">
        <f>IF(AND(Equipment="Pump",Prx_Max&gt;Burst_P+1,Detonation_Potential="Yes"),"X","")</f>
        <v>#DIV/0!</v>
      </c>
      <c r="BZ56" s="34"/>
      <c r="CA56" s="34"/>
      <c r="CB56" s="34"/>
      <c r="CC56" s="34"/>
      <c r="CD56" s="34"/>
      <c r="CE56" s="34"/>
      <c r="CF56" s="1476"/>
      <c r="CG56" s="34"/>
      <c r="CH56" s="34"/>
      <c r="CI56" s="34"/>
      <c r="CJ56" s="34"/>
      <c r="CK56" s="34"/>
      <c r="CL56" s="1035"/>
      <c r="CM56" s="739"/>
      <c r="CN56" s="739"/>
      <c r="CO56" s="34"/>
      <c r="CP56" s="34"/>
      <c r="CQ56" s="34"/>
      <c r="CR56" s="34"/>
      <c r="CS56" s="34"/>
      <c r="CT56" s="34"/>
      <c r="CU56" s="34"/>
      <c r="CV56" s="782" t="e">
        <f>IF(AND(Equipment&lt;&gt;"Pump",Equipment&lt;&gt;"Drum Oven",State&lt;&gt;"Solid",Reaction_withExtHeat="Yes",Prx_Max&gt;IF(Relief_Set_Input&gt;0,Relief_Set,MAWP)+1),"X","")</f>
        <v>#DIV/0!</v>
      </c>
      <c r="CW56" s="34"/>
      <c r="CX56" s="34"/>
      <c r="CY56" s="34"/>
      <c r="CZ56" s="34"/>
      <c r="DA56" s="34"/>
      <c r="DB56" s="39" t="str">
        <f>IF(AND(TNR_HT="Yes",OR(Equipment="Drum Oven",State="Solid")),"X","")</f>
        <v/>
      </c>
      <c r="DC56" s="2039" t="e">
        <f>IF(AND(Reactive_Potential="Yes",Tad_max&gt;Failure_T,Prx_Max&lt;Burst_P),"X","")</f>
        <v>#DIV/0!</v>
      </c>
      <c r="DD56" s="34"/>
      <c r="DE56" s="39" t="e">
        <f>IF(AND(Equipment&lt;&gt;"Drum Oven",Equipment&lt;&gt;"Pump",Reaction_withExtHeat="Yes",MAX(P_atMechEng,P_atHeatMedia,Prx_Max)&gt;Burst_P+1,Gas_Exo&lt;&gt;"Yes"),"X","")</f>
        <v>#DIV/0!</v>
      </c>
      <c r="DF56" s="39" t="e">
        <f>IF(OR(AND(State="Solid",Prx_Max&gt;Burst_P+1),AND(Equipment&lt;&gt;"Drum Oven",Equipment&lt;&gt;"Pump",Reaction_withExtHeat="Yes",Prx_Max&gt;Burst_P+1,Gas_Exo="Yes")),"X","")</f>
        <v>#DIV/0!</v>
      </c>
      <c r="DG56" s="34"/>
      <c r="DH56" s="459" t="e">
        <f>IF(AND(OR(Prx_Max&gt;Burst_P+1,Fire_Potential="Yes"),TNR_HT="Yes",Equipment="Drum Oven"),"X","")</f>
        <v>#DIV/0!</v>
      </c>
      <c r="DI56" s="39" t="str">
        <f>IF(AND(TNR_HT="Yes",Detonation_Potential="Yes"),"X","")</f>
        <v/>
      </c>
      <c r="DJ56" s="34"/>
      <c r="DL56" s="34"/>
      <c r="DM56" s="39" t="e">
        <f>IF(#REF!=0,"",sig(#REF!,2,10,1)&amp;#REF!)</f>
        <v>#REF!</v>
      </c>
      <c r="DN56" s="1701"/>
      <c r="DO56" s="34"/>
      <c r="DP56" s="34"/>
      <c r="DQ56" s="39" t="e">
        <f>IF(#REF!=0,"",sig(#REF!,2,10,1)&amp;#REF!)</f>
        <v>#REF!</v>
      </c>
      <c r="DS56" s="132" t="e">
        <f>IF('Reaction Input'!AI59&lt;=0,0,'Reaction Input'!AI59)</f>
        <v>#DIV/0!</v>
      </c>
      <c r="DT56" s="3089" t="str">
        <f t="shared" si="5"/>
        <v/>
      </c>
      <c r="DV56" s="39" t="s">
        <v>935</v>
      </c>
      <c r="DW56" s="35"/>
      <c r="DX56" s="4" t="e">
        <f>LEFT(INDEX('Scenario Analysis'!GR$5:GR$47,MATCH("X",BJ56:CZ56,0)),LEN(INDEX('Scenario Analysis'!GR$5:GR$47,MATCH("X",BJ56:CZ56,0)))-2)</f>
        <v>#N/A</v>
      </c>
      <c r="DY56" s="4" t="e">
        <f>LEFT(INDEX('Scenario Analysis'!GR$49:GR$56,MATCH("X",DB56:DI56,0)),LEN(INDEX('Scenario Analysis'!GR$49:GR$56,MATCH("X",DB56:DI56,0)))-2)</f>
        <v>#N/A</v>
      </c>
      <c r="DZ56" s="39" t="str">
        <f t="shared" si="6"/>
        <v>Consequence Does Not Exceed Threshold Criteria for Continuing with LOPA</v>
      </c>
      <c r="EB56" s="39" t="e">
        <f>IF(INDEX($E$6:$AI$63,ROW(E56:AI$63)-5,MATCH(Equipment,Equipment_Type,0))="X",IF(DZ56&lt;&gt;"Consequence Does Not Exceed Threshold Criteria for Continuing with LOPA","Included","Excluded"),"")</f>
        <v>#N/A</v>
      </c>
      <c r="ED56" s="2906" t="str">
        <f>CHAR(7)&amp;IPLD_Rx_1&amp;CHAR(10)&amp;IF('Workbook Notes'!D103&lt;&gt;"",CHAR(7)&amp;'Workbook Notes'!D103,"")</f>
        <v xml:space="preserve">_x0007_High Temperature Shuts off Reaction Feeds and/or Activates Emergency Cooling
</v>
      </c>
      <c r="EE56" s="2930"/>
      <c r="EF56" s="2930" t="str">
        <f t="shared" si="1"/>
        <v>Uncontrolled Reaction - Thermal Initiation</v>
      </c>
      <c r="EG56" s="2943"/>
      <c r="EH56" s="2943"/>
      <c r="EI56" s="2943"/>
      <c r="EK56" s="2907" t="str">
        <f ca="1">IF(ISTEXT(VLOOKUP(C56,INDIRECT("'Scenario List'!A11"):INDIRECT("'Scenario List'!V60"),20,FALSE))=TRUE,VLOOKUP(C56,INDIRECT("'Scenario List'!A11"):INDIRECT("'Scenario List'!V60"),20,FALSE),"")</f>
        <v/>
      </c>
      <c r="EL56" s="2907" t="str">
        <f ca="1">IF(ISTEXT(VLOOKUP(C56,INDIRECT("'Scenario List'!A11"):INDIRECT("'Scenario List'!V60"),21,FALSE))=TRUE,VLOOKUP(C56,INDIRECT("'Scenario List'!A11"):INDIRECT("'Scenario List'!V60"),21,FALSE),"")</f>
        <v/>
      </c>
      <c r="EM56" s="2907" t="str">
        <f ca="1">IF(ISTEXT(VLOOKUP(C56,INDIRECT("'Scenario List'!A11"):INDIRECT("'Scenario List'!V60"),22,FALSE))=TRUE,VLOOKUP(C56,INDIRECT("'Scenario List'!A11"):INDIRECT("'Scenario List'!V60"),22,FALSE),"")</f>
        <v/>
      </c>
      <c r="EO56" s="2907" t="str">
        <f ca="1">IF(INDIRECT("'Scenario List'!A61")="","",INDIRECT("'Scenario List'!A61"))</f>
        <v/>
      </c>
      <c r="EP56" s="2907" t="str">
        <f t="shared" ref="EP56:EP58" ca="1" si="15">IF(ISTEXT(VLOOKUP(EO56,EF$6:EI$63,2,FALSE))=TRUE,VLOOKUP(EO56,EF$6:EI$63,2,FALSE),"")</f>
        <v/>
      </c>
      <c r="EQ56" s="2907" t="str">
        <f t="shared" ref="EQ56:EQ58" ca="1" si="16">IF(ISTEXT(VLOOKUP(EO56,EF$6:EI$63,3,FALSE))=TRUE,VLOOKUP(EO56,EF$6:EI$63,3,FALSE),"")</f>
        <v/>
      </c>
      <c r="ER56" s="2907" t="str">
        <f t="shared" ref="ER56:ER58" ca="1" si="17">IF(ISTEXT(VLOOKUP(EO56,EF$6:EI$63,4,FALSE))=TRUE,VLOOKUP(EO56,EF$6:EI$63,4,FALSE),"")</f>
        <v/>
      </c>
    </row>
    <row r="57" spans="3:148" x14ac:dyDescent="0.25">
      <c r="C57" s="39" t="s">
        <v>1199</v>
      </c>
      <c r="D57" s="35"/>
      <c r="E57" s="39" t="str">
        <f>IF(AND(Exclude_MI&lt;&gt;"Only MI",Fire_Potential="Yes",OR(DHR&lt;RxHeat_Limit,Gas_Gen&gt;RxGas_Limit)),"X","")</f>
        <v/>
      </c>
      <c r="F57" s="34"/>
      <c r="G57" s="34"/>
      <c r="H57" s="34"/>
      <c r="I57" s="34"/>
      <c r="J57" s="34"/>
      <c r="K57" s="39" t="str">
        <f>IF(AND(Exclude_MI&lt;&gt;"Only MI",Fire_Potential="Yes",OR(DHR&lt;RxHeat_Limit,Gas_Gen&gt;RxGas_Limit)),"X","")</f>
        <v/>
      </c>
      <c r="L57" s="34"/>
      <c r="M57" s="34"/>
      <c r="N57" s="34"/>
      <c r="O57" s="34"/>
      <c r="P57" s="34"/>
      <c r="Q57" s="39" t="str">
        <f>IF(AND(Exclude_MI&lt;&gt;"Only MI",Fire_Potential="Yes",OR(DHR&lt;RxHeat_Limit,Gas_Gen&gt;RxGas_Limit)),"X","")</f>
        <v/>
      </c>
      <c r="R57" s="34"/>
      <c r="S57" s="34"/>
      <c r="T57" s="34"/>
      <c r="U57" s="34"/>
      <c r="V57" s="34"/>
      <c r="W57" s="34"/>
      <c r="X57" s="39" t="str">
        <f>IF(AND(Exclude_MI&lt;&gt;"Only MI",Fire_Potential="Yes",OR(DHR&lt;RxHeat_Limit,Gas_Gen&gt;RxGas_Limit)),"X","")</f>
        <v/>
      </c>
      <c r="Y57" s="39" t="str">
        <f>IF(AND(Exclude_MI&lt;&gt;"Only MI",Fire_Potential="Yes",OR(DHR&lt;RxHeat_Limit,Gas_Gen&gt;RxGas_Limit)),"X","")</f>
        <v/>
      </c>
      <c r="Z57" s="34"/>
      <c r="AA57" s="34"/>
      <c r="AB57" s="34"/>
      <c r="AC57" s="34"/>
      <c r="AD57" s="34"/>
      <c r="AE57" s="39" t="str">
        <f>IF(AND(Exclude_MI&lt;&gt;"Only MI",Fire_Potential="Yes",OR(DHR&lt;RxHeat_Limit,Gas_Gen&gt;RxGas_Limit)),"X","")</f>
        <v/>
      </c>
      <c r="AF57" s="39" t="str">
        <f>IF(AND(Exclude_MI&lt;&gt;"Only MI",Fire_Potential="Yes",OR(DHR&lt;RxHeat_Limit,Gas_Gen&gt;RxGas_Limit)),"X","")</f>
        <v/>
      </c>
      <c r="AG57" s="2048"/>
      <c r="AH57" s="39" t="str">
        <f>IF(AND(Exclude_MI&lt;&gt;"Only MI",Fire_Potential="Yes",OR(DHR&lt;RxHeat_Limit,Gas_Gen&gt;RxGas_Limit)),"X","")</f>
        <v/>
      </c>
      <c r="AI57" s="34"/>
      <c r="AJ57" s="35"/>
      <c r="AK57" s="34"/>
      <c r="AL57" s="34"/>
      <c r="AM57" s="34"/>
      <c r="AN57" s="34"/>
      <c r="AO57" s="34"/>
      <c r="AP57" s="34"/>
      <c r="AQ57" s="739"/>
      <c r="AR57" s="34"/>
      <c r="AS57" s="1000"/>
      <c r="AT57" s="34"/>
      <c r="AU57" s="34"/>
      <c r="AV57" s="34"/>
      <c r="AW57" s="34"/>
      <c r="AX57" s="34"/>
      <c r="AY57" s="34"/>
      <c r="AZ57" s="34"/>
      <c r="BA57" s="34"/>
      <c r="BB57" s="34"/>
      <c r="BC57" s="34"/>
      <c r="BD57" s="39" t="str">
        <f>IF(Equipment="Fired Equipment - Process Heat Transfer","X","")</f>
        <v/>
      </c>
      <c r="BE57" s="39" t="str">
        <f>IF(AND(Equipment&lt;&gt;"Fired Equipment - Process Heat Transfer",OR(Ease_of_Ignition_Feed="High",Ease_of_Ignition_Feed="Elevated",Location="Indoors")),"X","")</f>
        <v/>
      </c>
      <c r="BF57" s="39" t="str">
        <f>IF(AND(Equipment&lt;&gt;"Fired Equipment - Process Heat Transfer",Ease_of_Ignition_Feed&lt;&gt;"High",Ease_of_Ignition_Feed&lt;&gt;"Elevated",Location&lt;&gt;"Indoors"),"X","")</f>
        <v>X</v>
      </c>
      <c r="BG57" s="34"/>
      <c r="BH57" s="34"/>
      <c r="BI57" s="35"/>
      <c r="BJ57" s="34"/>
      <c r="BK57" s="34"/>
      <c r="BL57" s="1853"/>
      <c r="BM57" s="34"/>
      <c r="BN57" s="34"/>
      <c r="BO57" s="3178"/>
      <c r="BP57" s="3178"/>
      <c r="BQ57" s="34"/>
      <c r="BR57" s="34"/>
      <c r="BS57" s="34"/>
      <c r="BT57" s="34"/>
      <c r="BU57" s="1853"/>
      <c r="BV57" s="1853"/>
      <c r="BW57" s="34"/>
      <c r="BX57" s="34"/>
      <c r="BY57" s="34"/>
      <c r="BZ57" s="34"/>
      <c r="CA57" s="34"/>
      <c r="CB57" s="34"/>
      <c r="CC57" s="34"/>
      <c r="CD57" s="34"/>
      <c r="CE57" s="34"/>
      <c r="CF57" s="1476"/>
      <c r="CG57" s="34"/>
      <c r="CH57" s="34"/>
      <c r="CI57" s="34"/>
      <c r="CJ57" s="34"/>
      <c r="CK57" s="34"/>
      <c r="CL57" s="1035"/>
      <c r="CM57" s="739"/>
      <c r="CN57" s="739"/>
      <c r="CO57" s="34"/>
      <c r="CP57" s="34"/>
      <c r="CQ57" s="34"/>
      <c r="CR57" s="34"/>
      <c r="CS57" s="34"/>
      <c r="CT57" s="34"/>
      <c r="CU57" s="34"/>
      <c r="CV57" s="781"/>
      <c r="CW57" s="39" t="str">
        <f>IF(AND(Reactive_Potential_Fire="Yes",Elevation_30ft&lt;&gt;"Yes",Fire_Duration_TNR="Yes",OR(Prx_Max_Fire&gt;IF(Relief_Set_Input&gt;0,Relief_Set,MAWP)+1,Max_FIre_Temp+AdRx_TempRise&gt;T_atRelief)),"X","")</f>
        <v/>
      </c>
      <c r="CX57" s="34"/>
      <c r="CY57" s="34"/>
      <c r="CZ57" s="34"/>
      <c r="DA57" s="34"/>
      <c r="DB57" s="34"/>
      <c r="DC57" s="2038"/>
      <c r="DD57" s="34"/>
      <c r="DE57" s="34"/>
      <c r="DF57" s="499"/>
      <c r="DG57" s="39" t="str">
        <f>IF(AND(Reactive_Potential_Fire="Yes",Elevation_30ft&lt;&gt;"Yes",Fire_Duration_TNR="Yes",OR(Prx_Max_Fire&gt;Burst_P+1,Max_FIre_Temp+AdRx_TempRise&gt;T_atBurst)),"X","")</f>
        <v/>
      </c>
      <c r="DH57" s="34"/>
      <c r="DI57" s="34"/>
      <c r="DJ57" s="34"/>
      <c r="DL57" s="34"/>
      <c r="DM57" s="34"/>
      <c r="DN57" s="1700"/>
      <c r="DO57" s="39" t="e">
        <f>IF(#REF!=0,"",sig(#REF!,2,10,1)&amp;#REF!)</f>
        <v>#REF!</v>
      </c>
      <c r="DP57" s="34"/>
      <c r="DQ57" s="39" t="e">
        <f>IF(#REF!=0,"",sig(#REF!,2,10,1)&amp;#REF!)</f>
        <v>#REF!</v>
      </c>
      <c r="DS57" s="132" t="e">
        <f>IF(OR('Reaction Input'!AQ59&lt;=0,ABS(DHR&lt;1)),'Pool Fire Frequency'!R25,IF(AND('Reaction Input'!AQ59&gt;0,'Reaction Input'!AQ59&gt;'Pool Fire Frequency'!R25),'Pool Fire Frequency'!R25,'Reaction Input'!AQ59))</f>
        <v>#N/A</v>
      </c>
      <c r="DT57" s="3089" t="str">
        <f t="shared" si="5"/>
        <v/>
      </c>
      <c r="DV57" s="39" t="s">
        <v>935</v>
      </c>
      <c r="DW57" s="35"/>
      <c r="DX57" s="4" t="e">
        <f>LEFT(INDEX('Scenario Analysis'!GR$5:GR$47,MATCH("X",BJ57:CZ57,0)),LEN(INDEX('Scenario Analysis'!GR$5:GR$47,MATCH("X",BJ57:CZ57,0)))-2)</f>
        <v>#N/A</v>
      </c>
      <c r="DY57" s="4" t="e">
        <f>LEFT(INDEX('Scenario Analysis'!GR$49:GR$56,MATCH("X",DB57:DI57,0)),LEN(INDEX('Scenario Analysis'!GR$49:GR$56,MATCH("X",DB57:DI57,0)))-2)</f>
        <v>#N/A</v>
      </c>
      <c r="DZ57" s="39" t="str">
        <f t="shared" si="6"/>
        <v>Consequence Does Not Exceed Threshold Criteria for Continuing with LOPA</v>
      </c>
      <c r="EB57" s="39" t="e">
        <f>IF(INDEX($E$6:$AI$63,ROW(E57:AI$63)-5,MATCH(Equipment,Equipment_Type,0))="X",IF(DZ57&lt;&gt;"Consequence Does Not Exceed Threshold Criteria for Continuing with LOPA","Included","Excluded"),"")</f>
        <v>#N/A</v>
      </c>
      <c r="ED57" s="2906" t="str">
        <f>CHAR(7)&amp;IPLD_Gen_37&amp;CHAR(10)&amp;CHAR(7)&amp;IPLD_Gen_22&amp;CHAR(10)&amp;IF('Workbook Notes'!D104&lt;&gt;"",CHAR(7)&amp;'Workbook Notes'!D104,"")</f>
        <v xml:space="preserve">_x0007_Sprinkler, Deluge or Foam system that effectively extinguishes a fire that may overheat chemicals contained in process or storage equipment.
_x0007_Dike or Bund with Drainage to Remote Impoundment with sufficient Distance  to Eliminate Fire heat adsorption
</v>
      </c>
      <c r="EE57" s="2930"/>
      <c r="EF57" s="2930" t="str">
        <f t="shared" si="1"/>
        <v>Uncontrolled Reaction - Fire Induced</v>
      </c>
      <c r="EG57" s="2943"/>
      <c r="EH57" s="2943"/>
      <c r="EI57" s="2943"/>
      <c r="EK57" s="2907" t="str">
        <f ca="1">IF(ISTEXT(VLOOKUP(C57,INDIRECT("'Scenario List'!A11"):INDIRECT("'Scenario List'!V60"),20,FALSE))=TRUE,VLOOKUP(C57,INDIRECT("'Scenario List'!A11"):INDIRECT("'Scenario List'!V60"),20,FALSE),"")</f>
        <v/>
      </c>
      <c r="EL57" s="2907" t="str">
        <f ca="1">IF(ISTEXT(VLOOKUP(C57,INDIRECT("'Scenario List'!A11"):INDIRECT("'Scenario List'!V60"),21,FALSE))=TRUE,VLOOKUP(C57,INDIRECT("'Scenario List'!A11"):INDIRECT("'Scenario List'!V60"),21,FALSE),"")</f>
        <v/>
      </c>
      <c r="EM57" s="2907" t="str">
        <f ca="1">IF(ISTEXT(VLOOKUP(C57,INDIRECT("'Scenario List'!A11"):INDIRECT("'Scenario List'!V60"),22,FALSE))=TRUE,VLOOKUP(C57,INDIRECT("'Scenario List'!A11"):INDIRECT("'Scenario List'!V60"),22,FALSE),"")</f>
        <v/>
      </c>
      <c r="EO57" s="2907" t="str">
        <f ca="1">IF(INDIRECT("'Scenario List'!A62")="","",INDIRECT("'Scenario List'!A62"))</f>
        <v/>
      </c>
      <c r="EP57" s="2907" t="str">
        <f t="shared" ca="1" si="15"/>
        <v/>
      </c>
      <c r="EQ57" s="2907" t="str">
        <f t="shared" ca="1" si="16"/>
        <v/>
      </c>
      <c r="ER57" s="2907" t="str">
        <f t="shared" ca="1" si="17"/>
        <v/>
      </c>
    </row>
    <row r="58" spans="3:148" x14ac:dyDescent="0.25">
      <c r="C58" s="39" t="s">
        <v>927</v>
      </c>
      <c r="D58" s="35"/>
      <c r="E58" s="39" t="str">
        <f>IF(AND(Exclude_MI&lt;&gt;"Only MI",OR(DHR&lt;RxHeat_Limit,Gas_Gen&gt;RxGas_Limit),Catalyzed="Yes"),"X","")</f>
        <v/>
      </c>
      <c r="F58" s="34"/>
      <c r="G58" s="34"/>
      <c r="H58" s="34"/>
      <c r="I58" s="34"/>
      <c r="J58" s="34"/>
      <c r="K58" s="39" t="str">
        <f>IF(AND(Exclude_MI&lt;&gt;"Only MI",OR(DHR&lt;RxHeat_Limit,Gas_Gen&gt;RxGas_Limit),Catalyzed="Yes"),"X","")</f>
        <v/>
      </c>
      <c r="L58" s="39" t="str">
        <f>IF(AND(Exclude_MI&lt;&gt;"Only MI",OR(DHR&lt;RxHeat_Limit,Gas_Gen&gt;RxGas_Limit),Catalyzed="Yes"),"X","")</f>
        <v/>
      </c>
      <c r="M58" s="34"/>
      <c r="N58" s="34"/>
      <c r="O58" s="34"/>
      <c r="P58" s="34"/>
      <c r="Q58" s="39" t="str">
        <f>IF(AND(Exclude_MI&lt;&gt;"Only MI",OR(DHR&lt;RxHeat_Limit,Gas_Gen&gt;RxGas_Limit),Catalyzed="Yes"),"X","")</f>
        <v/>
      </c>
      <c r="R58" s="34"/>
      <c r="S58" s="34"/>
      <c r="T58" s="34"/>
      <c r="U58" s="34"/>
      <c r="V58" s="34"/>
      <c r="W58" s="34"/>
      <c r="X58" s="34"/>
      <c r="Y58" s="39" t="str">
        <f>IF(AND(Exclude_MI&lt;&gt;"Only MI",OR(DHR&lt;RxHeat_Limit,Gas_Gen&gt;RxGas_Limit),Catalyzed="Yes"),"X","")</f>
        <v/>
      </c>
      <c r="Z58" s="34"/>
      <c r="AA58" s="34"/>
      <c r="AB58" s="34"/>
      <c r="AC58" s="34"/>
      <c r="AD58" s="34"/>
      <c r="AE58" s="39" t="str">
        <f>IF(AND(Exclude_MI&lt;&gt;"Only MI",OR(DHR&lt;RxHeat_Limit,Gas_Gen&gt;RxGas_Limit),Catalyzed="Yes"),"X","")</f>
        <v/>
      </c>
      <c r="AF58" s="39" t="str">
        <f>IF(AND(Exclude_MI&lt;&gt;"Only MI",OR(DHR&lt;RxHeat_Limit,Gas_Gen&gt;RxGas_Limit),Catalyzed="Yes"),"X","")</f>
        <v/>
      </c>
      <c r="AG58" s="2048"/>
      <c r="AH58" s="39" t="str">
        <f>IF(AND(Exclude_MI&lt;&gt;"Only MI",OR(DHR&lt;RxHeat_Limit,Gas_Gen&gt;RxGas_Limit),Catalyzed="Yes"),"X","")</f>
        <v/>
      </c>
      <c r="AI58" s="34"/>
      <c r="AJ58" s="35"/>
      <c r="AK58" s="34"/>
      <c r="AL58" s="459" t="s">
        <v>1742</v>
      </c>
      <c r="AM58" s="34"/>
      <c r="AN58" s="34"/>
      <c r="AO58" s="34"/>
      <c r="AP58" s="34"/>
      <c r="AQ58" s="739"/>
      <c r="AR58" s="34"/>
      <c r="AS58" s="1000"/>
      <c r="AT58" s="34"/>
      <c r="AU58" s="34"/>
      <c r="AV58" s="34"/>
      <c r="AW58" s="34"/>
      <c r="AX58" s="34"/>
      <c r="AY58" s="34"/>
      <c r="AZ58" s="34"/>
      <c r="BA58" s="34"/>
      <c r="BB58" s="34"/>
      <c r="BC58" s="34"/>
      <c r="BD58" s="34"/>
      <c r="BE58" s="34"/>
      <c r="BF58" s="34"/>
      <c r="BG58" s="34"/>
      <c r="BH58" s="34"/>
      <c r="BI58" s="35"/>
      <c r="BJ58" s="34"/>
      <c r="BK58" s="34"/>
      <c r="BL58" s="1853"/>
      <c r="BM58" s="34"/>
      <c r="BN58" s="34"/>
      <c r="BO58" s="3178"/>
      <c r="BP58" s="3178"/>
      <c r="BQ58" s="34"/>
      <c r="BR58" s="34"/>
      <c r="BS58" s="34"/>
      <c r="BT58" s="34"/>
      <c r="BU58" s="1853"/>
      <c r="BV58" s="1853"/>
      <c r="BW58" s="34"/>
      <c r="BX58" s="34"/>
      <c r="BY58" s="34"/>
      <c r="BZ58" s="34"/>
      <c r="CA58" s="34"/>
      <c r="CB58" s="34"/>
      <c r="CC58" s="34"/>
      <c r="CD58" s="34"/>
      <c r="CE58" s="34"/>
      <c r="CF58" s="1476"/>
      <c r="CG58" s="34"/>
      <c r="CH58" s="34"/>
      <c r="CI58" s="34"/>
      <c r="CJ58" s="34"/>
      <c r="CK58" s="34"/>
      <c r="CL58" s="1035"/>
      <c r="CM58" s="739"/>
      <c r="CN58" s="739"/>
      <c r="CO58" s="34"/>
      <c r="CP58" s="34"/>
      <c r="CQ58" s="34"/>
      <c r="CR58" s="34"/>
      <c r="CS58" s="34"/>
      <c r="CT58" s="34"/>
      <c r="CU58" s="34"/>
      <c r="CV58" s="781"/>
      <c r="CW58" s="34"/>
      <c r="CX58" s="39" t="str">
        <f>IF(Prx_Max_Cat&gt;IF(Relief_Set_Input&gt;0,Relief_Set,MAWP)+1,"X","")</f>
        <v/>
      </c>
      <c r="CY58" s="34"/>
      <c r="CZ58" s="34"/>
      <c r="DA58" s="34"/>
      <c r="DB58" s="34"/>
      <c r="DC58" s="2038"/>
      <c r="DD58" s="34"/>
      <c r="DE58" s="39" t="str">
        <f>IF(Prx_Max_Cat&gt;Burst_P+1,"X","")</f>
        <v/>
      </c>
      <c r="DF58" s="739"/>
      <c r="DG58" s="34"/>
      <c r="DH58" s="34"/>
      <c r="DI58" s="34"/>
      <c r="DJ58" s="34"/>
      <c r="DL58" s="34"/>
      <c r="DM58" s="39" t="e">
        <f>IF(#REF!=0,"",sig(#REF!,2,10,1)&amp;#REF!)</f>
        <v>#REF!</v>
      </c>
      <c r="DN58" s="1701"/>
      <c r="DO58" s="34"/>
      <c r="DP58" s="34"/>
      <c r="DQ58" s="39" t="e">
        <f>IF(#REF!=0,"",sig(#REF!,2,10,1)&amp;#REF!)</f>
        <v>#REF!</v>
      </c>
      <c r="DS58" s="132">
        <f>IF('Reaction Input'!AY59&lt;=0,0,'Reaction Input'!AY59)</f>
        <v>0</v>
      </c>
      <c r="DT58" s="3089" t="str">
        <f t="shared" si="5"/>
        <v/>
      </c>
      <c r="DV58" s="39" t="s">
        <v>938</v>
      </c>
      <c r="DW58" s="35"/>
      <c r="DX58" s="4" t="e">
        <f>LEFT(INDEX('Scenario Analysis'!GR$5:GR$47,MATCH("X",BJ58:CZ58,0)),LEN(INDEX('Scenario Analysis'!GR$5:GR$47,MATCH("X",BJ58:CZ58,0)))-2)</f>
        <v>#N/A</v>
      </c>
      <c r="DY58" s="4" t="e">
        <f>LEFT(INDEX('Scenario Analysis'!GR$49:GR$56,MATCH("X",DB58:DI58,0)),LEN(INDEX('Scenario Analysis'!GR$49:GR$56,MATCH("X",DB58:DI58,0)))-2)</f>
        <v>#N/A</v>
      </c>
      <c r="DZ58" s="39" t="str">
        <f t="shared" si="6"/>
        <v>Consequence Does Not Exceed Threshold Criteria for Continuing with LOPA</v>
      </c>
      <c r="EB58" s="39" t="e">
        <f>IF(INDEX($E$6:$AI$63,ROW(E58:AI$63)-5,MATCH(Equipment,Equipment_Type,0))="X",IF(DZ58&lt;&gt;"Consequence Does Not Exceed Threshold Criteria for Continuing with LOPA","Included","Excluded"),"")</f>
        <v>#N/A</v>
      </c>
      <c r="ED58" s="2906" t="str">
        <f>CHAR(7)&amp;IPLD_Rx_1&amp;CHAR(10)&amp;IF('Workbook Notes'!D105&lt;&gt;"",CHAR(7)&amp;'Workbook Notes'!D105,"")</f>
        <v xml:space="preserve">_x0007_High Temperature Shuts off Reaction Feeds and/or Activates Emergency Cooling
</v>
      </c>
      <c r="EE58" s="2930"/>
      <c r="EF58" s="2930" t="str">
        <f t="shared" si="1"/>
        <v>Uncontrolled Reaction - Catalyst or Impurity</v>
      </c>
      <c r="EG58" s="2943"/>
      <c r="EH58" s="2943"/>
      <c r="EI58" s="2943"/>
      <c r="EK58" s="2907" t="str">
        <f ca="1">IF(ISTEXT(VLOOKUP(C58,INDIRECT("'Scenario List'!A11"):INDIRECT("'Scenario List'!V60"),20,FALSE))=TRUE,VLOOKUP(C58,INDIRECT("'Scenario List'!A11"):INDIRECT("'Scenario List'!V60"),20,FALSE),"")</f>
        <v/>
      </c>
      <c r="EL58" s="2907" t="str">
        <f ca="1">IF(ISTEXT(VLOOKUP(C58,INDIRECT("'Scenario List'!A11"):INDIRECT("'Scenario List'!V60"),21,FALSE))=TRUE,VLOOKUP(C58,INDIRECT("'Scenario List'!A11"):INDIRECT("'Scenario List'!V60"),21,FALSE),"")</f>
        <v/>
      </c>
      <c r="EM58" s="2907" t="str">
        <f ca="1">IF(ISTEXT(VLOOKUP(C58,INDIRECT("'Scenario List'!A11"):INDIRECT("'Scenario List'!V60"),22,FALSE))=TRUE,VLOOKUP(C58,INDIRECT("'Scenario List'!A11"):INDIRECT("'Scenario List'!V60"),22,FALSE),"")</f>
        <v/>
      </c>
      <c r="EO58" s="2907" t="str">
        <f ca="1">IF(INDIRECT("'Scenario List'!A63")="","",INDIRECT("'Scenario List'!A63"))</f>
        <v/>
      </c>
      <c r="EP58" s="2907" t="str">
        <f t="shared" ca="1" si="15"/>
        <v/>
      </c>
      <c r="EQ58" s="2907" t="str">
        <f t="shared" ca="1" si="16"/>
        <v/>
      </c>
      <c r="ER58" s="2907" t="str">
        <f t="shared" ca="1" si="17"/>
        <v/>
      </c>
    </row>
    <row r="59" spans="3:148" x14ac:dyDescent="0.25">
      <c r="C59" s="39" t="s">
        <v>504</v>
      </c>
      <c r="D59" s="35"/>
      <c r="E59" s="39" t="str">
        <f>IF(AND(Exclude_MI&lt;&gt;"Only MI",OR(DHR&lt;RxHeat_Limit,Gas_Gen&gt;RxGas_Limit),Rx_Pooling="Yes"),"X","")</f>
        <v/>
      </c>
      <c r="F59" s="34"/>
      <c r="G59" s="34"/>
      <c r="H59" s="34"/>
      <c r="I59" s="34"/>
      <c r="J59" s="34"/>
      <c r="K59" s="39" t="str">
        <f>IF(AND(Exclude_MI&lt;&gt;"Only MI",OR(DHR&lt;RxHeat_Limit,Gas_Gen&gt;RxGas_Limit),Rx_Pooling="Yes"),"X","")</f>
        <v/>
      </c>
      <c r="L59" s="34"/>
      <c r="M59" s="34"/>
      <c r="N59" s="34"/>
      <c r="O59" s="34"/>
      <c r="P59" s="34"/>
      <c r="Q59" s="34"/>
      <c r="R59" s="34"/>
      <c r="S59" s="34"/>
      <c r="T59" s="34"/>
      <c r="U59" s="34"/>
      <c r="V59" s="34"/>
      <c r="W59" s="34"/>
      <c r="X59" s="34"/>
      <c r="Y59" s="39" t="str">
        <f>IF(AND(Exclude_MI&lt;&gt;"Only MI",OR(DHR&lt;RxHeat_Limit,Gas_Gen&gt;RxGas_Limit),Rx_Pooling="Yes"),"X","")</f>
        <v/>
      </c>
      <c r="Z59" s="34"/>
      <c r="AA59" s="34"/>
      <c r="AB59" s="34"/>
      <c r="AC59" s="34"/>
      <c r="AD59" s="34"/>
      <c r="AE59" s="39" t="str">
        <f>IF(AND(Exclude_MI&lt;&gt;"Only MI",OR(DHR&lt;RxHeat_Limit,Gas_Gen&gt;RxGas_Limit),Rx_Pooling="Yes"),"X","")</f>
        <v/>
      </c>
      <c r="AF59" s="34"/>
      <c r="AG59" s="2048"/>
      <c r="AH59" s="39" t="str">
        <f>IF(AND(Exclude_MI&lt;&gt;"Only MI",OR(DHR&lt;RxHeat_Limit,Gas_Gen&gt;RxGas_Limit),Rx_Pooling="Yes"),"X","")</f>
        <v/>
      </c>
      <c r="AI59" s="34"/>
      <c r="AJ59" s="35"/>
      <c r="AK59" s="34"/>
      <c r="AL59" s="34"/>
      <c r="AM59" s="34"/>
      <c r="AN59" s="34"/>
      <c r="AO59" s="34"/>
      <c r="AP59" s="34"/>
      <c r="AQ59" s="739"/>
      <c r="AR59" s="34"/>
      <c r="AS59" s="459" t="s">
        <v>1742</v>
      </c>
      <c r="AT59" s="34"/>
      <c r="AU59" s="34"/>
      <c r="AV59" s="34"/>
      <c r="AW59" s="34"/>
      <c r="AX59" s="34"/>
      <c r="AY59" s="34"/>
      <c r="AZ59" s="34"/>
      <c r="BA59" s="34"/>
      <c r="BB59" s="34"/>
      <c r="BC59" s="34"/>
      <c r="BD59" s="34"/>
      <c r="BE59" s="34"/>
      <c r="BF59" s="34"/>
      <c r="BG59" s="34"/>
      <c r="BH59" s="34"/>
      <c r="BI59" s="35"/>
      <c r="BJ59" s="34"/>
      <c r="BK59" s="34"/>
      <c r="BL59" s="1853"/>
      <c r="BM59" s="34"/>
      <c r="BN59" s="34"/>
      <c r="BO59" s="3178"/>
      <c r="BP59" s="3178"/>
      <c r="BQ59" s="34"/>
      <c r="BR59" s="34"/>
      <c r="BS59" s="34"/>
      <c r="BT59" s="34"/>
      <c r="BU59" s="1853"/>
      <c r="BV59" s="1853"/>
      <c r="BW59" s="34"/>
      <c r="BX59" s="34"/>
      <c r="BY59" s="34"/>
      <c r="BZ59" s="34"/>
      <c r="CA59" s="34"/>
      <c r="CB59" s="34"/>
      <c r="CC59" s="34"/>
      <c r="CD59" s="34"/>
      <c r="CE59" s="34"/>
      <c r="CF59" s="1476"/>
      <c r="CG59" s="34"/>
      <c r="CH59" s="34"/>
      <c r="CI59" s="34"/>
      <c r="CJ59" s="34"/>
      <c r="CK59" s="34"/>
      <c r="CL59" s="1035"/>
      <c r="CM59" s="739"/>
      <c r="CN59" s="739"/>
      <c r="CO59" s="34"/>
      <c r="CP59" s="34"/>
      <c r="CQ59" s="34"/>
      <c r="CR59" s="34"/>
      <c r="CS59" s="34"/>
      <c r="CT59" s="34"/>
      <c r="CU59" s="34"/>
      <c r="CV59" s="781"/>
      <c r="CW59" s="34"/>
      <c r="CX59" s="34"/>
      <c r="CY59" s="39" t="str">
        <f>IF(AND(Reactive_Potential_Pooling="Yes",Prx_Max_Pooling&gt;IF(Relief_Set_Input&gt;0,Relief_Set,MAWP)+1),"X","")</f>
        <v/>
      </c>
      <c r="CZ59" s="34"/>
      <c r="DA59" s="34"/>
      <c r="DB59" s="34"/>
      <c r="DC59" s="2038"/>
      <c r="DD59" s="34"/>
      <c r="DE59" s="39" t="str">
        <f>IF(AND(Reactive_Potential_Pooling="Yes",Prx_Max_Pooling&gt;Burst_P+1),"X","")</f>
        <v/>
      </c>
      <c r="DF59" s="739"/>
      <c r="DG59" s="34"/>
      <c r="DH59" s="34"/>
      <c r="DI59" s="34"/>
      <c r="DJ59" s="34"/>
      <c r="DL59" s="34"/>
      <c r="DM59" s="39" t="e">
        <f>IF(#REF!=0,"",sig(#REF!,2,10,1)&amp;#REF!)</f>
        <v>#REF!</v>
      </c>
      <c r="DN59" s="1701"/>
      <c r="DO59" s="34"/>
      <c r="DP59" s="34"/>
      <c r="DQ59" s="39" t="e">
        <f>IF(#REF!=0,"",sig(#REF!,2,10,1)&amp;#REF!)</f>
        <v>#REF!</v>
      </c>
      <c r="DS59" s="132">
        <f>IF('Reaction Input'!BG59&lt;=0,0,'Reaction Input'!BG59)</f>
        <v>0</v>
      </c>
      <c r="DT59" s="3089" t="str">
        <f t="shared" si="5"/>
        <v/>
      </c>
      <c r="DV59" s="39" t="s">
        <v>936</v>
      </c>
      <c r="DW59" s="35"/>
      <c r="DX59" s="4" t="e">
        <f>LEFT(INDEX('Scenario Analysis'!GR$5:GR$47,MATCH("X",BJ59:CZ59,0)),LEN(INDEX('Scenario Analysis'!GR$5:GR$47,MATCH("X",BJ59:CZ59,0)))-2)</f>
        <v>#N/A</v>
      </c>
      <c r="DY59" s="4" t="e">
        <f>LEFT(INDEX('Scenario Analysis'!GR$49:GR$56,MATCH("X",DB59:DI59,0)),LEN(INDEX('Scenario Analysis'!GR$49:GR$56,MATCH("X",DB59:DI59,0)))-2)</f>
        <v>#N/A</v>
      </c>
      <c r="DZ59" s="39" t="str">
        <f t="shared" si="6"/>
        <v>Consequence Does Not Exceed Threshold Criteria for Continuing with LOPA</v>
      </c>
      <c r="EB59" s="39" t="e">
        <f>IF(INDEX($E$6:$AI$63,ROW(E59:AI$63)-5,MATCH(Equipment,Equipment_Type,0))="X",IF(DZ59&lt;&gt;"Consequence Does Not Exceed Threshold Criteria for Continuing with LOPA","Included","Excluded"),"")</f>
        <v>#N/A</v>
      </c>
      <c r="ED59" s="2906" t="str">
        <f>CHAR(7)&amp;IPLD_Rx_1&amp;CHAR(10)&amp;IF('Workbook Notes'!D106&lt;&gt;"",CHAR(7)&amp;'Workbook Notes'!D106,"")</f>
        <v xml:space="preserve">_x0007_High Temperature Shuts off Reaction Feeds and/or Activates Emergency Cooling
</v>
      </c>
      <c r="EE59" s="2930"/>
      <c r="EF59" s="2930" t="str">
        <f t="shared" si="1"/>
        <v>Uncontrolled Reaction - Pooling of Reactants</v>
      </c>
      <c r="EG59" s="2943"/>
      <c r="EH59" s="2943"/>
      <c r="EI59" s="2943"/>
      <c r="EK59" s="2907" t="str">
        <f ca="1">IF(ISTEXT(VLOOKUP(C59,INDIRECT("'Scenario List'!A11"):INDIRECT("'Scenario List'!V60"),20,FALSE))=TRUE,VLOOKUP(C59,INDIRECT("'Scenario List'!A11"):INDIRECT("'Scenario List'!V60"),20,FALSE),"")</f>
        <v/>
      </c>
      <c r="EL59" s="2907" t="str">
        <f ca="1">IF(ISTEXT(VLOOKUP(C59,INDIRECT("'Scenario List'!A11"):INDIRECT("'Scenario List'!V60"),21,FALSE))=TRUE,VLOOKUP(C59,INDIRECT("'Scenario List'!A11"):INDIRECT("'Scenario List'!V60"),21,FALSE),"")</f>
        <v/>
      </c>
      <c r="EM59" s="2907" t="str">
        <f ca="1">IF(ISTEXT(VLOOKUP(C59,INDIRECT("'Scenario List'!A11"):INDIRECT("'Scenario List'!V60"),22,FALSE))=TRUE,VLOOKUP(C59,INDIRECT("'Scenario List'!A11"):INDIRECT("'Scenario List'!V60"),22,FALSE),"")</f>
        <v/>
      </c>
    </row>
    <row r="60" spans="3:148" x14ac:dyDescent="0.25">
      <c r="C60" s="39" t="s">
        <v>461</v>
      </c>
      <c r="D60" s="35"/>
      <c r="E60" s="39" t="str">
        <f>IF(AND(Exclude_MI&lt;&gt;"Only MI",OR(DHR&lt;RxHeat_Limit,Gas_Gen&gt;RxGas_Limit),Rx_MisLoading="Yes"),"X","")</f>
        <v/>
      </c>
      <c r="F60" s="34"/>
      <c r="G60" s="34"/>
      <c r="H60" s="34"/>
      <c r="I60" s="34"/>
      <c r="J60" s="34"/>
      <c r="K60" s="39" t="str">
        <f>IF(AND(Exclude_MI&lt;&gt;"Only MI",OR(DHR&lt;RxHeat_Limit,Gas_Gen&gt;RxGas_Limit),Rx_MisLoading="Yes"),"X","")</f>
        <v/>
      </c>
      <c r="L60" s="34"/>
      <c r="M60" s="34"/>
      <c r="N60" s="34"/>
      <c r="O60" s="34"/>
      <c r="P60" s="34"/>
      <c r="Q60" s="34"/>
      <c r="R60" s="34"/>
      <c r="S60" s="34"/>
      <c r="T60" s="34"/>
      <c r="U60" s="34"/>
      <c r="V60" s="34"/>
      <c r="W60" s="34"/>
      <c r="X60" s="34"/>
      <c r="Y60" s="39" t="str">
        <f>IF(AND(Exclude_MI&lt;&gt;"Only MI",OR(DHR&lt;RxHeat_Limit,Gas_Gen&gt;RxGas_Limit),Rx_MisLoading="Yes"),"X","")</f>
        <v/>
      </c>
      <c r="Z60" s="34"/>
      <c r="AA60" s="34"/>
      <c r="AB60" s="34"/>
      <c r="AC60" s="34"/>
      <c r="AD60" s="34"/>
      <c r="AE60" s="39" t="str">
        <f>IF(AND(Exclude_MI&lt;&gt;"Only MI",OR(DHR&lt;RxHeat_Limit,Gas_Gen&gt;RxGas_Limit),Rx_MisLoading="Yes"),"X","")</f>
        <v/>
      </c>
      <c r="AF60" s="34"/>
      <c r="AG60" s="2048"/>
      <c r="AH60" s="39" t="str">
        <f>IF(AND(Exclude_MI&lt;&gt;"Only MI",OR(DHR&lt;RxHeat_Limit,Gas_Gen&gt;RxGas_Limit),Rx_MisLoading="Yes"),"X","")</f>
        <v/>
      </c>
      <c r="AI60" s="34"/>
      <c r="AJ60" s="35"/>
      <c r="AK60" s="459" t="s">
        <v>1742</v>
      </c>
      <c r="AL60" s="34"/>
      <c r="AM60" s="34"/>
      <c r="AN60" s="34"/>
      <c r="AO60" s="34"/>
      <c r="AP60" s="34"/>
      <c r="AQ60" s="739"/>
      <c r="AR60" s="34"/>
      <c r="AS60" s="1000"/>
      <c r="AT60" s="34"/>
      <c r="AU60" s="34"/>
      <c r="AV60" s="34"/>
      <c r="AW60" s="34"/>
      <c r="AX60" s="34"/>
      <c r="AY60" s="34"/>
      <c r="AZ60" s="34"/>
      <c r="BA60" s="34"/>
      <c r="BB60" s="34"/>
      <c r="BC60" s="34"/>
      <c r="BD60" s="34"/>
      <c r="BE60" s="34"/>
      <c r="BF60" s="34"/>
      <c r="BG60" s="34"/>
      <c r="BH60" s="34"/>
      <c r="BI60" s="35"/>
      <c r="BJ60" s="34"/>
      <c r="BK60" s="34"/>
      <c r="BL60" s="1853"/>
      <c r="BM60" s="34"/>
      <c r="BN60" s="34"/>
      <c r="BO60" s="3178"/>
      <c r="BP60" s="3178"/>
      <c r="BQ60" s="34"/>
      <c r="BR60" s="34"/>
      <c r="BS60" s="34"/>
      <c r="BT60" s="34"/>
      <c r="BU60" s="1853"/>
      <c r="BV60" s="1853"/>
      <c r="BW60" s="34"/>
      <c r="BX60" s="34"/>
      <c r="BY60" s="34"/>
      <c r="BZ60" s="34"/>
      <c r="CA60" s="34"/>
      <c r="CB60" s="34"/>
      <c r="CC60" s="34"/>
      <c r="CD60" s="34"/>
      <c r="CE60" s="34"/>
      <c r="CF60" s="1476"/>
      <c r="CG60" s="34"/>
      <c r="CH60" s="34"/>
      <c r="CI60" s="34"/>
      <c r="CJ60" s="34"/>
      <c r="CK60" s="34"/>
      <c r="CL60" s="1035"/>
      <c r="CM60" s="739"/>
      <c r="CN60" s="739"/>
      <c r="CO60" s="34"/>
      <c r="CP60" s="34"/>
      <c r="CQ60" s="34"/>
      <c r="CR60" s="34"/>
      <c r="CS60" s="34"/>
      <c r="CT60" s="34"/>
      <c r="CU60" s="34"/>
      <c r="CV60" s="781"/>
      <c r="CW60" s="34"/>
      <c r="CX60" s="34"/>
      <c r="CY60" s="34"/>
      <c r="CZ60" s="39" t="str">
        <f>IF(AND(Reactive_Potential_MisLoad="Yes",Prx_Max_MisLoading&gt;IF(Relief_Set_Input&gt;0,Relief_Set,MAWP)+1),"X","")</f>
        <v/>
      </c>
      <c r="DA60" s="34"/>
      <c r="DB60" s="34"/>
      <c r="DC60" s="2352" t="e">
        <f>IF(AND(Reactive_Potential="Yes",Tmisload_max&gt;Failure_T,Prx_Max_MisLoading&lt;Burst_P),"X","")</f>
        <v>#DIV/0!</v>
      </c>
      <c r="DD60" s="34"/>
      <c r="DE60" s="39" t="str">
        <f>IF(AND(Reactive_Potential_MisLoad="Yes",Prx_Max_MisLoading&gt;Burst_P+1),"X","")</f>
        <v/>
      </c>
      <c r="DF60" s="739"/>
      <c r="DG60" s="34"/>
      <c r="DH60" s="34"/>
      <c r="DI60" s="34"/>
      <c r="DJ60" s="34"/>
      <c r="DL60" s="34"/>
      <c r="DM60" s="39" t="e">
        <f>IF(#REF!=0,"",sig(#REF!,2,10,1)&amp;#REF!)</f>
        <v>#REF!</v>
      </c>
      <c r="DN60" s="1701"/>
      <c r="DO60" s="34"/>
      <c r="DP60" s="34"/>
      <c r="DQ60" s="39" t="e">
        <f>IF(#REF!=0,"",sig(#REF!,2,10,1)&amp;#REF!)</f>
        <v>#REF!</v>
      </c>
      <c r="DS60" s="132">
        <f>IF('Reaction Input'!BO59&lt;=0,0,'Reaction Input'!BO59)</f>
        <v>0</v>
      </c>
      <c r="DT60" s="3089" t="str">
        <f t="shared" si="5"/>
        <v/>
      </c>
      <c r="DV60" s="39" t="s">
        <v>937</v>
      </c>
      <c r="DW60" s="35"/>
      <c r="DX60" s="4" t="e">
        <f>LEFT(INDEX('Scenario Analysis'!GR$5:GR$47,MATCH("X",BJ60:CZ60,0)),LEN(INDEX('Scenario Analysis'!GR$5:GR$47,MATCH("X",BJ60:CZ60,0)))-2)</f>
        <v>#N/A</v>
      </c>
      <c r="DY60" s="4" t="e">
        <f>LEFT(INDEX('Scenario Analysis'!GR$49:GR$56,MATCH("X",DB60:DI60,0)),LEN(INDEX('Scenario Analysis'!GR$49:GR$56,MATCH("X",DB60:DI60,0)))-2)</f>
        <v>#N/A</v>
      </c>
      <c r="DZ60" s="39" t="str">
        <f t="shared" si="6"/>
        <v>Consequence Does Not Exceed Threshold Criteria for Continuing with LOPA</v>
      </c>
      <c r="EB60" s="39" t="e">
        <f>IF(INDEX($E$6:$AI$63,ROW(E60:AI$63)-5,MATCH(Equipment,Equipment_Type,0))="X",IF(DZ60&lt;&gt;"Consequence Does Not Exceed Threshold Criteria for Continuing with LOPA","Included","Excluded"),"")</f>
        <v>#N/A</v>
      </c>
      <c r="ED60" s="2906" t="str">
        <f>CHAR(7)&amp;IPLD_Rx_1&amp;CHAR(10)&amp;IF('Workbook Notes'!D107&lt;&gt;"",CHAR(7)&amp;'Workbook Notes'!D107,"")</f>
        <v xml:space="preserve">_x0007_High Temperature Shuts off Reaction Feeds and/or Activates Emergency Cooling
</v>
      </c>
      <c r="EE60" s="2930"/>
      <c r="EF60" s="2930" t="str">
        <f t="shared" si="1"/>
        <v>Uncontrolled Reaction - Mis-Loading</v>
      </c>
      <c r="EG60" s="2943"/>
      <c r="EH60" s="2943"/>
      <c r="EI60" s="2943"/>
      <c r="EK60" s="2907" t="str">
        <f ca="1">IF(ISTEXT(VLOOKUP(C60,INDIRECT("'Scenario List'!A11"):INDIRECT("'Scenario List'!V60"),20,FALSE))=TRUE,VLOOKUP(C60,INDIRECT("'Scenario List'!A11"):INDIRECT("'Scenario List'!V60"),20,FALSE),"")</f>
        <v/>
      </c>
      <c r="EL60" s="2907" t="str">
        <f ca="1">IF(ISTEXT(VLOOKUP(C60,INDIRECT("'Scenario List'!A11"):INDIRECT("'Scenario List'!V60"),21,FALSE))=TRUE,VLOOKUP(C60,INDIRECT("'Scenario List'!A11"):INDIRECT("'Scenario List'!V60"),21,FALSE),"")</f>
        <v/>
      </c>
      <c r="EM60" s="2907" t="str">
        <f ca="1">IF(ISTEXT(VLOOKUP(C60,INDIRECT("'Scenario List'!A11"):INDIRECT("'Scenario List'!V60"),22,FALSE))=TRUE,VLOOKUP(C60,INDIRECT("'Scenario List'!A11"):INDIRECT("'Scenario List'!V60"),22,FALSE),"")</f>
        <v/>
      </c>
    </row>
    <row r="61" spans="3:148" x14ac:dyDescent="0.25">
      <c r="C61" s="39" t="s">
        <v>1200</v>
      </c>
      <c r="D61" s="35"/>
      <c r="E61" s="34"/>
      <c r="F61" s="34"/>
      <c r="G61" s="34"/>
      <c r="H61" s="34"/>
      <c r="I61" s="34"/>
      <c r="J61" s="34"/>
      <c r="K61" s="34"/>
      <c r="L61" s="39" t="str">
        <f>IF(AND(Exclude_MI&lt;&gt;"Only MI",Rx_Incompatible="Yes"),"X","")</f>
        <v/>
      </c>
      <c r="M61" s="34"/>
      <c r="N61" s="34"/>
      <c r="O61" s="34"/>
      <c r="P61" s="34"/>
      <c r="Q61" s="34"/>
      <c r="R61" s="34"/>
      <c r="S61" s="34"/>
      <c r="T61" s="34"/>
      <c r="U61" s="34"/>
      <c r="V61" s="34"/>
      <c r="W61" s="34"/>
      <c r="X61" s="34"/>
      <c r="Y61" s="34"/>
      <c r="Z61" s="34"/>
      <c r="AA61" s="34"/>
      <c r="AB61" s="34"/>
      <c r="AC61" s="34"/>
      <c r="AD61" s="34"/>
      <c r="AE61" s="39" t="str">
        <f>IF(AND(Exclude_MI&lt;&gt;"Only MI",Rx_Incompatible="Yes"),"X","")</f>
        <v/>
      </c>
      <c r="AF61" s="39" t="str">
        <f>IF(AND(Exclude_MI&lt;&gt;"Only MI",Rx_Incompatible="Yes"),"X","")</f>
        <v/>
      </c>
      <c r="AG61" s="2048"/>
      <c r="AH61" s="39" t="str">
        <f>IF(AND(Exclude_MI&lt;&gt;"Only MI",Rx_Incompatible="Yes"),"X","")</f>
        <v/>
      </c>
      <c r="AI61" s="34"/>
      <c r="AJ61" s="35"/>
      <c r="AK61" s="34"/>
      <c r="AL61" s="459" t="s">
        <v>1742</v>
      </c>
      <c r="AM61" s="34"/>
      <c r="AN61" s="34"/>
      <c r="AO61" s="34"/>
      <c r="AP61" s="34"/>
      <c r="AQ61" s="739"/>
      <c r="AR61" s="34"/>
      <c r="AS61" s="1000"/>
      <c r="AT61" s="34"/>
      <c r="AU61" s="34"/>
      <c r="AV61" s="34"/>
      <c r="AW61" s="34"/>
      <c r="AX61" s="34"/>
      <c r="AY61" s="34"/>
      <c r="AZ61" s="34"/>
      <c r="BA61" s="34"/>
      <c r="BB61" s="34"/>
      <c r="BC61" s="34"/>
      <c r="BD61" s="34"/>
      <c r="BE61" s="34"/>
      <c r="BF61" s="34"/>
      <c r="BG61" s="34"/>
      <c r="BH61" s="34"/>
      <c r="BI61" s="35"/>
      <c r="BJ61" s="34"/>
      <c r="BK61" s="34"/>
      <c r="BL61" s="1853"/>
      <c r="BM61" s="34"/>
      <c r="BN61" s="34"/>
      <c r="BO61" s="3178"/>
      <c r="BP61" s="3178"/>
      <c r="BQ61" s="34"/>
      <c r="BR61" s="34"/>
      <c r="BS61" s="34"/>
      <c r="BT61" s="34"/>
      <c r="BU61" s="1853"/>
      <c r="BV61" s="1853"/>
      <c r="BW61" s="34"/>
      <c r="BX61" s="34"/>
      <c r="BY61" s="34"/>
      <c r="BZ61" s="34"/>
      <c r="CA61" s="34"/>
      <c r="CB61" s="34"/>
      <c r="CC61" s="34"/>
      <c r="CD61" s="34"/>
      <c r="CE61" s="34"/>
      <c r="CF61" s="1476"/>
      <c r="CG61" s="34"/>
      <c r="CH61" s="34"/>
      <c r="CI61" s="34"/>
      <c r="CJ61" s="34"/>
      <c r="CK61" s="34"/>
      <c r="CL61" s="1035"/>
      <c r="CM61" s="739"/>
      <c r="CN61" s="739"/>
      <c r="CO61" s="34"/>
      <c r="CP61" s="34"/>
      <c r="CQ61" s="34"/>
      <c r="CR61" s="34"/>
      <c r="CS61" s="34"/>
      <c r="CT61" s="34"/>
      <c r="CU61" s="34"/>
      <c r="CV61" s="781"/>
      <c r="CW61" s="34"/>
      <c r="CX61" s="34"/>
      <c r="CY61" s="34"/>
      <c r="CZ61" s="34"/>
      <c r="DA61" s="34"/>
      <c r="DB61" s="34"/>
      <c r="DC61" s="2038"/>
      <c r="DD61" s="34"/>
      <c r="DE61" s="739"/>
      <c r="DF61" s="739"/>
      <c r="DG61" s="34"/>
      <c r="DH61" s="34"/>
      <c r="DI61" s="39" t="s">
        <v>1742</v>
      </c>
      <c r="DJ61" s="34"/>
      <c r="DL61" s="34"/>
      <c r="DM61" s="34"/>
      <c r="DN61" s="1700"/>
      <c r="DO61" s="34"/>
      <c r="DP61" s="34"/>
      <c r="DQ61" s="34"/>
      <c r="DT61" s="3089" t="str">
        <f t="shared" si="5"/>
        <v/>
      </c>
      <c r="DV61" s="39" t="s">
        <v>1968</v>
      </c>
      <c r="DW61" s="35"/>
      <c r="DX61" s="4" t="e">
        <f>LEFT(INDEX('Scenario Analysis'!GR$5:GR$47,MATCH("X",BJ61:CZ61,0)),LEN(INDEX('Scenario Analysis'!GR$5:GR$47,MATCH("X",BJ61:CZ61,0)))-2)</f>
        <v>#N/A</v>
      </c>
      <c r="DY61" s="4" t="e">
        <f>LEFT(INDEX('Scenario Analysis'!GR$49:GR$56,MATCH("X",DB61:DI61,0)),LEN(INDEX('Scenario Analysis'!GR$49:GR$56,MATCH("X",DB61:DI61,0)))-2)</f>
        <v>#VALUE!</v>
      </c>
      <c r="DZ61" s="39" t="str">
        <f t="shared" si="6"/>
        <v>Consequence Does Not Exceed Threshold Criteria for Continuing with LOPA</v>
      </c>
      <c r="EB61" s="39" t="e">
        <f>IF(INDEX($E$6:$AI$63,ROW(E61:AI$63)-5,MATCH(Equipment,Equipment_Type,0))="X",IF(DZ61&lt;&gt;"Consequence Does Not Exceed Threshold Criteria for Continuing with LOPA","Included","Excluded"),"")</f>
        <v>#N/A</v>
      </c>
      <c r="ED61" s="2906" t="str">
        <f>IF('Workbook Notes'!D108&lt;&gt;"",CHAR(7)&amp;'Workbook Notes'!D108,"")</f>
        <v/>
      </c>
      <c r="EE61" s="2930"/>
      <c r="EF61" s="2930" t="str">
        <f t="shared" si="1"/>
        <v>Uncontrolled Reaction - Incompatible Materials</v>
      </c>
      <c r="EG61" s="2943"/>
      <c r="EH61" s="2943"/>
      <c r="EI61" s="2943"/>
      <c r="EK61" s="2907" t="str">
        <f ca="1">IF(ISTEXT(VLOOKUP(C61,INDIRECT("'Scenario List'!A11"):INDIRECT("'Scenario List'!V60"),20,FALSE))=TRUE,VLOOKUP(C61,INDIRECT("'Scenario List'!A11"):INDIRECT("'Scenario List'!V60"),20,FALSE),"")</f>
        <v/>
      </c>
      <c r="EL61" s="2907" t="str">
        <f ca="1">IF(ISTEXT(VLOOKUP(C61,INDIRECT("'Scenario List'!A11"):INDIRECT("'Scenario List'!V60"),21,FALSE))=TRUE,VLOOKUP(C61,INDIRECT("'Scenario List'!A11"):INDIRECT("'Scenario List'!V60"),21,FALSE),"")</f>
        <v/>
      </c>
      <c r="EM61" s="2907" t="str">
        <f ca="1">IF(ISTEXT(VLOOKUP(C61,INDIRECT("'Scenario List'!A11"):INDIRECT("'Scenario List'!V60"),22,FALSE))=TRUE,VLOOKUP(C61,INDIRECT("'Scenario List'!A11"):INDIRECT("'Scenario List'!V60"),22,FALSE),"")</f>
        <v/>
      </c>
    </row>
    <row r="62" spans="3:148" x14ac:dyDescent="0.25">
      <c r="C62" s="39" t="s">
        <v>1148</v>
      </c>
      <c r="D62" s="35"/>
      <c r="E62" s="225" t="str">
        <f>IF(Exclude_MI&lt;&gt;"Only MI","X","")</f>
        <v>X</v>
      </c>
      <c r="F62" s="34"/>
      <c r="G62" s="34"/>
      <c r="H62" s="34"/>
      <c r="I62" s="34"/>
      <c r="J62" s="34"/>
      <c r="K62" s="225" t="str">
        <f>IF(Exclude_MI&lt;&gt;"Only MI","X","")</f>
        <v>X</v>
      </c>
      <c r="L62" s="225" t="str">
        <f>IF(Exclude_MI&lt;&gt;"Only MI","X","")</f>
        <v>X</v>
      </c>
      <c r="M62" s="34"/>
      <c r="N62" s="34"/>
      <c r="O62" s="34"/>
      <c r="P62" s="34"/>
      <c r="Q62" s="225" t="str">
        <f>IF(Exclude_MI&lt;&gt;"Only MI","X","")</f>
        <v>X</v>
      </c>
      <c r="R62" s="225" t="str">
        <f>IF(Exclude_MI&lt;&gt;"Only MI","X","")</f>
        <v>X</v>
      </c>
      <c r="S62" s="34"/>
      <c r="T62" s="34"/>
      <c r="U62" s="34"/>
      <c r="V62" s="34"/>
      <c r="W62" s="34"/>
      <c r="X62" s="225" t="str">
        <f>IF(Exclude_MI&lt;&gt;"Only MI","X","")</f>
        <v>X</v>
      </c>
      <c r="Y62" s="225" t="str">
        <f>IF(Exclude_MI&lt;&gt;"Only MI","X","")</f>
        <v>X</v>
      </c>
      <c r="Z62" s="34"/>
      <c r="AA62" s="34"/>
      <c r="AB62" s="34"/>
      <c r="AC62" s="34"/>
      <c r="AD62" s="34"/>
      <c r="AE62" s="225" t="str">
        <f>IF(Exclude_MI&lt;&gt;"Only MI","X","")</f>
        <v>X</v>
      </c>
      <c r="AF62" s="225" t="str">
        <f>IF(Exclude_MI&lt;&gt;"Only MI","X","")</f>
        <v>X</v>
      </c>
      <c r="AG62" s="2048"/>
      <c r="AH62" s="225" t="str">
        <f>IF(Exclude_MI&lt;&gt;"Only MI","X","")</f>
        <v>X</v>
      </c>
      <c r="AI62" s="34"/>
      <c r="AJ62" s="35"/>
      <c r="AK62" s="459" t="str">
        <f>IF(AND(Equipment&lt;&gt;"Drum/IBC Handling",Equipment&lt;&gt;"Tank Truck/Rail Car/Tote"),"X","")</f>
        <v>X</v>
      </c>
      <c r="AL62" s="459" t="str">
        <f>IF(OR(Equipment="Drum/IBC Handling",Equipment="Tank Truck/Rail Car/Tote"),"X","")</f>
        <v/>
      </c>
      <c r="AM62" s="34"/>
      <c r="AN62" s="34"/>
      <c r="AO62" s="34"/>
      <c r="AP62" s="34"/>
      <c r="AQ62" s="739"/>
      <c r="AR62" s="34"/>
      <c r="AS62" s="1000"/>
      <c r="AT62" s="34"/>
      <c r="AU62" s="34"/>
      <c r="AV62" s="34"/>
      <c r="AW62" s="34"/>
      <c r="AX62" s="34"/>
      <c r="AY62" s="34"/>
      <c r="AZ62" s="34"/>
      <c r="BA62" s="34"/>
      <c r="BB62" s="34"/>
      <c r="BC62" s="34"/>
      <c r="BD62" s="34"/>
      <c r="BE62" s="34"/>
      <c r="BF62" s="34"/>
      <c r="BG62" s="34"/>
      <c r="BH62" s="34"/>
      <c r="BI62" s="35"/>
      <c r="BJ62" s="34"/>
      <c r="BK62" s="34"/>
      <c r="BL62" s="1853"/>
      <c r="BM62" s="34"/>
      <c r="BN62" s="34"/>
      <c r="BO62" s="3178"/>
      <c r="BP62" s="3178"/>
      <c r="BQ62" s="34"/>
      <c r="BR62" s="34"/>
      <c r="BS62" s="34"/>
      <c r="BT62" s="34"/>
      <c r="BU62" s="1853"/>
      <c r="BV62" s="1853"/>
      <c r="BW62" s="34"/>
      <c r="BX62" s="34"/>
      <c r="BY62" s="34"/>
      <c r="BZ62" s="39" t="str">
        <f>IF(AND(State="Liquid",Reactive_Only&lt;&gt;"Yes",OR(Vacuum_Rated="No",AND(MAWP&lt;1,Vacuum_Rated&lt;&gt;"Yes"))),"X","")</f>
        <v>X</v>
      </c>
      <c r="CA62" s="34"/>
      <c r="CB62" s="34"/>
      <c r="CC62" s="34"/>
      <c r="CD62" s="34"/>
      <c r="CE62" s="34"/>
      <c r="CF62" s="1476"/>
      <c r="CG62" s="34"/>
      <c r="CH62" s="34"/>
      <c r="CI62" s="34"/>
      <c r="CJ62" s="34"/>
      <c r="CK62" s="34"/>
      <c r="CL62" s="1035"/>
      <c r="CM62" s="739"/>
      <c r="CN62" s="739"/>
      <c r="CO62" s="34"/>
      <c r="CP62" s="34"/>
      <c r="CQ62" s="34"/>
      <c r="CR62" s="34"/>
      <c r="CS62" s="34"/>
      <c r="CT62" s="34"/>
      <c r="CU62" s="34"/>
      <c r="CV62" s="781"/>
      <c r="CW62" s="34"/>
      <c r="CX62" s="34"/>
      <c r="CY62" s="34"/>
      <c r="CZ62" s="34"/>
      <c r="DA62" s="34"/>
      <c r="DB62" s="39" t="str">
        <f>IF(AND(State&lt;&gt;"Liquid",Reactive_Only&lt;&gt;"Yes",OR(Vacuum_Rated="No",AND(MAWP&lt;1,Vacuum_Rated&lt;&gt;"Yes"))),"X","")</f>
        <v/>
      </c>
      <c r="DC62" s="2038"/>
      <c r="DD62" s="34"/>
      <c r="DE62" s="34"/>
      <c r="DF62" s="499"/>
      <c r="DG62" s="34"/>
      <c r="DH62" s="34"/>
      <c r="DI62" s="34"/>
      <c r="DJ62" s="34"/>
      <c r="DL62" s="34"/>
      <c r="DM62" s="34"/>
      <c r="DN62" s="1700"/>
      <c r="DO62" s="34"/>
      <c r="DP62" s="34"/>
      <c r="DQ62" s="34"/>
      <c r="DT62" s="3089" t="str">
        <f t="shared" si="5"/>
        <v/>
      </c>
      <c r="DV62" s="39" t="s">
        <v>941</v>
      </c>
      <c r="DW62" s="35"/>
      <c r="DX62" s="4" t="e">
        <f>LEFT(INDEX('Scenario Analysis'!GR$5:GR$47,MATCH("X",BJ62:CZ62,0)),LEN(INDEX('Scenario Analysis'!GR$5:GR$47,MATCH("X",BJ62:CZ62,0)))-2)</f>
        <v>#VALUE!</v>
      </c>
      <c r="DY62" s="4" t="e">
        <f>LEFT(INDEX('Scenario Analysis'!GR$49:GR$56,MATCH("X",DB62:DI62,0)),LEN(INDEX('Scenario Analysis'!GR$49:GR$56,MATCH("X",DB62:DI62,0)))-2)</f>
        <v>#N/A</v>
      </c>
      <c r="DZ62" s="39" t="str">
        <f t="shared" si="6"/>
        <v>Consequence Does Not Exceed Threshold Criteria for Continuing with LOPA</v>
      </c>
      <c r="EB62" s="39" t="e">
        <f>IF(INDEX($E$6:$AI$63,ROW(E62:AI$63)-5,MATCH(Equipment,Equipment_Type,0))="X",IF(DZ62&lt;&gt;"Consequence Does Not Exceed Threshold Criteria for Continuing with LOPA","Included","Excluded"),"")</f>
        <v>#N/A</v>
      </c>
      <c r="ED62" s="2906" t="str">
        <f>CHAR(7)&amp;IPLD_Gen_1&amp;CHAR(10)&amp;IF('Workbook Notes'!D109&lt;&gt;"",CHAR(7)&amp;'Workbook Notes'!D109,"")</f>
        <v xml:space="preserve">_x0007_Pressure Relief Device Sized for Scenario and verified by qualified Relief Designer
</v>
      </c>
      <c r="EE62" s="2930"/>
      <c r="EF62" s="2930" t="str">
        <f t="shared" si="1"/>
        <v>Vacuum Damage</v>
      </c>
      <c r="EG62" s="2943"/>
      <c r="EH62" s="2943"/>
      <c r="EI62" s="2943"/>
      <c r="EK62" s="2907" t="str">
        <f ca="1">IF(ISTEXT(VLOOKUP(C62,INDIRECT("'Scenario List'!A11"):INDIRECT("'Scenario List'!V60"),20,FALSE))=TRUE,VLOOKUP(C62,INDIRECT("'Scenario List'!A11"):INDIRECT("'Scenario List'!V60"),20,FALSE),"")</f>
        <v/>
      </c>
      <c r="EL62" s="2907" t="str">
        <f ca="1">IF(ISTEXT(VLOOKUP(C62,INDIRECT("'Scenario List'!A11"):INDIRECT("'Scenario List'!V60"),21,FALSE))=TRUE,VLOOKUP(C62,INDIRECT("'Scenario List'!A11"):INDIRECT("'Scenario List'!V60"),21,FALSE),"")</f>
        <v/>
      </c>
      <c r="EM62" s="2907" t="str">
        <f ca="1">IF(ISTEXT(VLOOKUP(C62,INDIRECT("'Scenario List'!A11"):INDIRECT("'Scenario List'!V60"),22,FALSE))=TRUE,VLOOKUP(C62,INDIRECT("'Scenario List'!A11"):INDIRECT("'Scenario List'!V60"),22,FALSE),"")</f>
        <v/>
      </c>
    </row>
    <row r="63" spans="3:148" x14ac:dyDescent="0.25">
      <c r="C63" s="39" t="s">
        <v>1231</v>
      </c>
      <c r="D63" s="35"/>
      <c r="E63" s="34"/>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2048"/>
      <c r="AH63" s="34"/>
      <c r="AI63" s="34"/>
      <c r="AJ63" s="35"/>
      <c r="AK63" s="34"/>
      <c r="AL63" s="34"/>
      <c r="AM63" s="34"/>
      <c r="AN63" s="34"/>
      <c r="AO63" s="34"/>
      <c r="AP63" s="34"/>
      <c r="AQ63" s="739"/>
      <c r="AR63" s="34"/>
      <c r="AS63" s="1000"/>
      <c r="AT63" s="34"/>
      <c r="AU63" s="34"/>
      <c r="AV63" s="34"/>
      <c r="AW63" s="34"/>
      <c r="AX63" s="34"/>
      <c r="AY63" s="34"/>
      <c r="AZ63" s="34"/>
      <c r="BA63" s="34"/>
      <c r="BB63" s="34"/>
      <c r="BC63" s="34"/>
      <c r="BD63" s="34"/>
      <c r="BE63" s="34"/>
      <c r="BF63" s="34"/>
      <c r="BG63" s="34"/>
      <c r="BH63" s="34"/>
      <c r="BI63" s="35"/>
      <c r="BJ63" s="34"/>
      <c r="BK63" s="34"/>
      <c r="BL63" s="1853"/>
      <c r="BM63" s="34"/>
      <c r="BN63" s="34"/>
      <c r="BO63" s="3178"/>
      <c r="BP63" s="3178"/>
      <c r="BQ63" s="34"/>
      <c r="BR63" s="34"/>
      <c r="BS63" s="34"/>
      <c r="BT63" s="34"/>
      <c r="BU63" s="1853"/>
      <c r="BV63" s="1853"/>
      <c r="BW63" s="34"/>
      <c r="BX63" s="34"/>
      <c r="BY63" s="34"/>
      <c r="BZ63" s="34"/>
      <c r="CA63" s="34"/>
      <c r="CB63" s="34"/>
      <c r="CC63" s="34"/>
      <c r="CD63" s="34"/>
      <c r="CE63" s="34"/>
      <c r="CF63" s="1476"/>
      <c r="CG63" s="34"/>
      <c r="CH63" s="34"/>
      <c r="CI63" s="34"/>
      <c r="CJ63" s="34"/>
      <c r="CK63" s="34"/>
      <c r="CL63" s="1035"/>
      <c r="CM63" s="739"/>
      <c r="CN63" s="739"/>
      <c r="CO63" s="34"/>
      <c r="CP63" s="34"/>
      <c r="CQ63" s="34"/>
      <c r="CR63" s="34"/>
      <c r="CS63" s="34"/>
      <c r="CT63" s="34"/>
      <c r="CU63" s="34"/>
      <c r="CV63" s="781"/>
      <c r="CW63" s="34"/>
      <c r="CX63" s="34"/>
      <c r="CY63" s="34"/>
      <c r="CZ63" s="34"/>
      <c r="DA63" s="34"/>
      <c r="DB63" s="34"/>
      <c r="DC63" s="2038"/>
      <c r="DD63" s="34"/>
      <c r="DE63" s="34"/>
      <c r="DF63" s="499"/>
      <c r="DG63" s="34"/>
      <c r="DH63" s="34"/>
      <c r="DI63" s="34"/>
      <c r="DJ63" s="34"/>
      <c r="DL63" s="34"/>
      <c r="DM63" s="34"/>
      <c r="DN63" s="1700"/>
      <c r="DO63" s="34"/>
      <c r="DP63" s="34"/>
      <c r="DQ63" s="34"/>
      <c r="DT63" s="3089" t="str">
        <f t="shared" si="5"/>
        <v/>
      </c>
      <c r="DV63" s="34"/>
      <c r="DW63" s="35"/>
      <c r="DX63" s="34"/>
      <c r="DY63" s="34"/>
      <c r="DZ63" s="34"/>
      <c r="EB63" s="39" t="e">
        <f>IF(AND(INDEX($E$6:$AI$63,ROW(F63:AI$63)-5,MATCH(Equipment,$E$3:$AI$3,0))="X",DZ63&lt;&gt;"Consequence Does Not Exceed Threshold Criteria for Continuing with LOPA"),"Included",IF(INDEX($E$6:$AI$63,ROW(F63:AI$63)-5,MATCH(Equipment,$E$3:$AI$3,0))=0,"","Excluded"))</f>
        <v>#N/A</v>
      </c>
      <c r="ED63" s="2906" t="str">
        <f>IF('Workbook Notes'!D110&lt;&gt;"",CHAR(7)&amp;'Workbook Notes'!D110,"")</f>
        <v/>
      </c>
      <c r="EE63" s="2930"/>
      <c r="EF63" s="2930" t="str">
        <f t="shared" ref="EF63" si="18">C63</f>
        <v>USER DEFINED - EVENT TYPE</v>
      </c>
      <c r="EG63" s="2943"/>
      <c r="EH63" s="2943"/>
      <c r="EI63" s="2943"/>
      <c r="EK63" s="2907" t="str">
        <f ca="1">IF(ISTEXT(VLOOKUP(C63,INDIRECT("'Scenario List'!A11"):INDIRECT("'Scenario List'!V60"),20,FALSE))=TRUE,VLOOKUP(C63,INDIRECT("'Scenario List'!A11"):INDIRECT("'Scenario List'!V60"),20,FALSE),"")</f>
        <v/>
      </c>
      <c r="EL63" s="2907" t="str">
        <f ca="1">IF(ISTEXT(VLOOKUP(C63,INDIRECT("'Scenario List'!A11"):INDIRECT("'Scenario List'!V60"),21,FALSE))=TRUE,VLOOKUP(C63,INDIRECT("'Scenario List'!A11"):INDIRECT("'Scenario List'!V60"),21,FALSE),"")</f>
        <v/>
      </c>
      <c r="EM63" s="2907" t="str">
        <f ca="1">IF(ISTEXT(VLOOKUP(C63,INDIRECT("'Scenario List'!A11"):INDIRECT("'Scenario List'!V60"),22,FALSE))=TRUE,VLOOKUP(C63,INDIRECT("'Scenario List'!A11"):INDIRECT("'Scenario List'!V60"),22,FALSE),"")</f>
        <v/>
      </c>
    </row>
    <row r="64" spans="3:148" x14ac:dyDescent="0.25">
      <c r="D64" s="19"/>
    </row>
    <row r="65" spans="3:114" x14ac:dyDescent="0.25">
      <c r="D65" s="19"/>
    </row>
    <row r="66" spans="3:114" x14ac:dyDescent="0.25">
      <c r="C66" s="35"/>
      <c r="D66" s="19"/>
    </row>
    <row r="67" spans="3:114" x14ac:dyDescent="0.25">
      <c r="D67" s="19"/>
    </row>
    <row r="68" spans="3:114" x14ac:dyDescent="0.25">
      <c r="D68" s="19"/>
    </row>
    <row r="69" spans="3:114" x14ac:dyDescent="0.25">
      <c r="D69" s="19"/>
    </row>
    <row r="70" spans="3:114" x14ac:dyDescent="0.25">
      <c r="D70" s="19"/>
    </row>
    <row r="71" spans="3:114" ht="16.5" customHeight="1" x14ac:dyDescent="0.25">
      <c r="D71" s="19"/>
      <c r="E71" s="3794" t="s">
        <v>1468</v>
      </c>
      <c r="F71" s="3794"/>
      <c r="G71" s="4030"/>
      <c r="H71" s="4030"/>
      <c r="I71" s="4030"/>
      <c r="J71" s="4030"/>
      <c r="K71" s="4030"/>
      <c r="L71" s="4030"/>
      <c r="M71" s="4030"/>
      <c r="N71" s="4030"/>
      <c r="O71" s="4030"/>
      <c r="P71" s="4030"/>
      <c r="Q71" s="4030"/>
      <c r="R71" s="4030"/>
      <c r="S71" s="4030"/>
      <c r="T71" s="4030"/>
      <c r="U71" s="4030"/>
      <c r="V71" s="4030"/>
      <c r="W71" s="4030"/>
      <c r="X71" s="4030"/>
      <c r="Y71" s="4030"/>
      <c r="Z71" s="4030"/>
      <c r="AA71" s="4030"/>
      <c r="AB71" s="4030"/>
      <c r="AC71" s="4030"/>
      <c r="AD71" s="4030"/>
      <c r="AE71" s="4030"/>
      <c r="AF71" s="4030"/>
      <c r="AG71" s="4038"/>
      <c r="AH71" s="4030"/>
      <c r="AI71" s="4030"/>
      <c r="AK71" s="3784" t="s">
        <v>527</v>
      </c>
      <c r="AL71" s="3785"/>
      <c r="AM71" s="3785"/>
      <c r="AN71" s="3785"/>
      <c r="AO71" s="3785"/>
      <c r="AP71" s="3785"/>
      <c r="AQ71" s="4023"/>
      <c r="AR71" s="3785"/>
      <c r="AS71" s="4024"/>
      <c r="AT71" s="3785"/>
      <c r="AU71" s="3785"/>
      <c r="AV71" s="3785"/>
      <c r="AW71" s="3785"/>
      <c r="AX71" s="3785"/>
      <c r="AY71" s="3785"/>
      <c r="AZ71" s="3785"/>
      <c r="BA71" s="3785"/>
      <c r="BB71" s="3785"/>
      <c r="BC71" s="3785"/>
      <c r="BD71" s="3785"/>
      <c r="BE71" s="3785"/>
      <c r="BF71" s="3785"/>
      <c r="BG71" s="3785"/>
      <c r="BH71" s="3785"/>
      <c r="BJ71" s="3794" t="s">
        <v>1890</v>
      </c>
      <c r="BK71" s="4027"/>
      <c r="BL71" s="4028"/>
      <c r="BM71" s="3794"/>
      <c r="BN71" s="3794"/>
      <c r="BO71" s="4029"/>
      <c r="BP71" s="4029"/>
      <c r="BQ71" s="3794"/>
      <c r="BR71" s="3794"/>
      <c r="BS71" s="3794"/>
      <c r="BT71" s="3794"/>
      <c r="BU71" s="4028"/>
      <c r="BV71" s="4028"/>
      <c r="BW71" s="3794"/>
      <c r="BX71" s="3794"/>
      <c r="BY71" s="4030"/>
      <c r="BZ71" s="4030"/>
      <c r="CA71" s="4030"/>
      <c r="CB71" s="4030"/>
      <c r="CC71" s="4030"/>
      <c r="CD71" s="4030"/>
      <c r="CE71" s="4030"/>
      <c r="CF71" s="4031"/>
      <c r="CG71" s="4030"/>
      <c r="CH71" s="4030"/>
      <c r="CI71" s="4030"/>
      <c r="CJ71" s="4030"/>
      <c r="CK71" s="4030"/>
      <c r="CL71" s="4032"/>
      <c r="CM71" s="4033"/>
      <c r="CN71" s="4034"/>
      <c r="CO71" s="4035"/>
      <c r="CP71" s="4030"/>
      <c r="CQ71" s="4030"/>
      <c r="CR71" s="4030"/>
      <c r="CS71" s="4030"/>
      <c r="CT71" s="4030"/>
      <c r="CU71" s="4030"/>
      <c r="CV71" s="4034"/>
      <c r="CW71" s="4030"/>
      <c r="CX71" s="4030"/>
      <c r="CY71" s="4030"/>
      <c r="CZ71" s="4030"/>
      <c r="DA71" s="4030"/>
      <c r="DB71" s="4030"/>
      <c r="DC71" s="4036"/>
      <c r="DD71" s="4030"/>
      <c r="DE71" s="4030"/>
      <c r="DF71" s="4037"/>
      <c r="DG71" s="4030"/>
      <c r="DH71" s="4030"/>
      <c r="DI71" s="4030"/>
      <c r="DJ71" s="4030"/>
    </row>
    <row r="72" spans="3:114" ht="219.5" x14ac:dyDescent="0.25">
      <c r="C72" s="37" t="s">
        <v>686</v>
      </c>
      <c r="D72" s="19"/>
      <c r="E72" s="190" t="s">
        <v>605</v>
      </c>
      <c r="F72" s="190" t="s">
        <v>1011</v>
      </c>
      <c r="G72" s="190" t="s">
        <v>475</v>
      </c>
      <c r="H72" s="2040" t="s">
        <v>4136</v>
      </c>
      <c r="I72" s="190" t="s">
        <v>476</v>
      </c>
      <c r="J72" s="190" t="s">
        <v>1806</v>
      </c>
      <c r="K72" s="190" t="s">
        <v>455</v>
      </c>
      <c r="L72" s="190" t="s">
        <v>482</v>
      </c>
      <c r="M72" s="190" t="s">
        <v>665</v>
      </c>
      <c r="N72" s="190" t="s">
        <v>908</v>
      </c>
      <c r="O72" s="190" t="s">
        <v>372</v>
      </c>
      <c r="P72" s="190" t="s">
        <v>373</v>
      </c>
      <c r="Q72" s="190" t="s">
        <v>456</v>
      </c>
      <c r="R72" s="190" t="s">
        <v>426</v>
      </c>
      <c r="S72" s="190" t="s">
        <v>1045</v>
      </c>
      <c r="T72" s="190" t="s">
        <v>1045</v>
      </c>
      <c r="U72" s="190" t="s">
        <v>753</v>
      </c>
      <c r="V72" s="190" t="s">
        <v>1573</v>
      </c>
      <c r="W72" s="190" t="s">
        <v>3837</v>
      </c>
      <c r="X72" s="190" t="s">
        <v>1269</v>
      </c>
      <c r="Y72" s="190" t="s">
        <v>1224</v>
      </c>
      <c r="Z72" s="190" t="s">
        <v>1259</v>
      </c>
      <c r="AA72" s="190" t="s">
        <v>1260</v>
      </c>
      <c r="AB72" s="190" t="s">
        <v>427</v>
      </c>
      <c r="AC72" s="190" t="s">
        <v>1223</v>
      </c>
      <c r="AD72" s="190" t="s">
        <v>864</v>
      </c>
      <c r="AE72" s="190" t="s">
        <v>1246</v>
      </c>
      <c r="AF72" s="190" t="s">
        <v>505</v>
      </c>
      <c r="AG72" s="2050" t="s">
        <v>4137</v>
      </c>
      <c r="AH72" s="190" t="s">
        <v>150</v>
      </c>
      <c r="AI72" s="190" t="s">
        <v>1247</v>
      </c>
      <c r="AK72" s="190" t="s">
        <v>797</v>
      </c>
      <c r="AL72" s="190" t="s">
        <v>798</v>
      </c>
      <c r="AM72" s="190" t="s">
        <v>2766</v>
      </c>
      <c r="AN72" s="190" t="s">
        <v>799</v>
      </c>
      <c r="AO72" s="190" t="s">
        <v>1248</v>
      </c>
      <c r="AP72" s="190" t="s">
        <v>2554</v>
      </c>
      <c r="AQ72" s="190" t="s">
        <v>2553</v>
      </c>
      <c r="AR72" s="190" t="s">
        <v>2738</v>
      </c>
      <c r="AS72" s="999" t="s">
        <v>2758</v>
      </c>
      <c r="AT72" s="190" t="s">
        <v>800</v>
      </c>
      <c r="AU72" s="190" t="s">
        <v>1004</v>
      </c>
      <c r="AV72" s="190" t="s">
        <v>2765</v>
      </c>
      <c r="AW72" s="190" t="s">
        <v>2032</v>
      </c>
      <c r="AX72" s="190" t="s">
        <v>663</v>
      </c>
      <c r="AY72" s="190" t="s">
        <v>1510</v>
      </c>
      <c r="AZ72" s="190" t="s">
        <v>801</v>
      </c>
      <c r="BA72" s="190" t="s">
        <v>1792</v>
      </c>
      <c r="BB72" s="190" t="s">
        <v>1255</v>
      </c>
      <c r="BC72" s="190" t="s">
        <v>1000</v>
      </c>
      <c r="BD72" s="190" t="s">
        <v>999</v>
      </c>
      <c r="BE72" s="190" t="s">
        <v>1183</v>
      </c>
      <c r="BF72" s="190" t="s">
        <v>1001</v>
      </c>
      <c r="BG72" s="190" t="s">
        <v>1002</v>
      </c>
      <c r="BH72" s="190" t="s">
        <v>1003</v>
      </c>
      <c r="BJ72" s="190" t="str">
        <f>BJ3</f>
        <v>Very Small Hole Size Leak</v>
      </c>
      <c r="BK72" s="190" t="str">
        <f t="shared" ref="BK72:DJ72" si="19">BK3</f>
        <v>Mechanical Seal Failure</v>
      </c>
      <c r="BL72" s="190" t="str">
        <f t="shared" si="19"/>
        <v>Mechanical Seal Failure above Liquid Level</v>
      </c>
      <c r="BM72" s="190" t="str">
        <f t="shared" si="19"/>
        <v>Gasket Failure</v>
      </c>
      <c r="BN72" s="190" t="str">
        <f t="shared" si="19"/>
        <v>Gasket Failure above Liquid Level</v>
      </c>
      <c r="BO72" s="190" t="str">
        <f t="shared" si="19"/>
        <v>Gasket Failure at 1.3 MAWP</v>
      </c>
      <c r="BP72" s="190" t="str">
        <f t="shared" si="19"/>
        <v>Gasket Failure at 1.3 MAWP above Liquid Level</v>
      </c>
      <c r="BQ72" s="190" t="str">
        <f t="shared" si="19"/>
        <v>Drain or Vent Leak</v>
      </c>
      <c r="BR72" s="190" t="str">
        <f t="shared" si="19"/>
        <v>Drain or Vent Leak above Liquid Level</v>
      </c>
      <c r="BS72" s="190" t="str">
        <f t="shared" si="19"/>
        <v>USER DEFINED HOLE SIZE</v>
      </c>
      <c r="BT72" s="190" t="str">
        <f t="shared" si="19"/>
        <v>USER DEFINED HOLE SIZE above Liquid Level</v>
      </c>
      <c r="BU72" s="190" t="str">
        <f t="shared" si="19"/>
        <v>Small Hole Size Leak</v>
      </c>
      <c r="BV72" s="190" t="str">
        <f t="shared" si="19"/>
        <v>Small Hole Size Leak above Liquid Level</v>
      </c>
      <c r="BW72" s="190" t="str">
        <f t="shared" si="19"/>
        <v>Medium Hole Size Leak</v>
      </c>
      <c r="BX72" s="190" t="str">
        <f t="shared" si="19"/>
        <v>Medium Hole Size Leak above Liquid Level</v>
      </c>
      <c r="BY72" s="190" t="str">
        <f t="shared" si="19"/>
        <v>Full Bore Hole Size Leak</v>
      </c>
      <c r="BZ72" s="190" t="str">
        <f t="shared" si="19"/>
        <v>Full Bore Hole Size Leak above Liquid Level</v>
      </c>
      <c r="CA72" s="190" t="str">
        <f t="shared" si="19"/>
        <v>Very Large Hole Size Leak</v>
      </c>
      <c r="CB72" s="190" t="str">
        <f t="shared" si="19"/>
        <v>Very Large Hole Size Leak above Liquid Level</v>
      </c>
      <c r="CC72" s="190" t="str">
        <f t="shared" si="19"/>
        <v>Extremely Large Hole Size Leak</v>
      </c>
      <c r="CD72" s="190" t="str">
        <f t="shared" si="19"/>
        <v>Extremely Large Hole Size Leak above Liquid Level</v>
      </c>
      <c r="CE72" s="190" t="str">
        <f t="shared" si="19"/>
        <v>Solids Spill</v>
      </c>
      <c r="CF72" s="190" t="str">
        <f t="shared" si="19"/>
        <v>Secondary Dust Release</v>
      </c>
      <c r="CG72" s="190" t="str">
        <f t="shared" si="19"/>
        <v>Flaming Liquid Release</v>
      </c>
      <c r="CH72" s="190" t="str">
        <f t="shared" si="19"/>
        <v>Relief Size Release</v>
      </c>
      <c r="CI72" s="190" t="str">
        <f t="shared" si="19"/>
        <v>Relief Size Release above Liquid Level</v>
      </c>
      <c r="CJ72" s="190" t="str">
        <f t="shared" si="19"/>
        <v>Overfill Release</v>
      </c>
      <c r="CK72" s="190" t="str">
        <f t="shared" si="19"/>
        <v>Backflow Release</v>
      </c>
      <c r="CL72" s="190" t="str">
        <f t="shared" si="19"/>
        <v>Vent Release</v>
      </c>
      <c r="CM72" s="190" t="str">
        <f t="shared" si="19"/>
        <v>Tube Hole Size Leak (Process Fluid)</v>
      </c>
      <c r="CN72" s="190" t="str">
        <f t="shared" si="19"/>
        <v>Tube Hole Size Leak (Heat Transfer Fluid)</v>
      </c>
      <c r="CO72" s="190" t="str">
        <f t="shared" si="19"/>
        <v>Pad Gas Release</v>
      </c>
      <c r="CP72" s="190" t="str">
        <f t="shared" si="19"/>
        <v>Vapor Displacement from Liquid Filling</v>
      </c>
      <c r="CQ72" s="190" t="str">
        <f t="shared" si="19"/>
        <v>USER DEFINED LEAK RATE</v>
      </c>
      <c r="CR72" s="190" t="str">
        <f t="shared" si="19"/>
        <v>Vapor Relief Vent - Fire</v>
      </c>
      <c r="CS72" s="190" t="str">
        <f t="shared" si="19"/>
        <v>Vapor Relief Vent - Heat Transfer</v>
      </c>
      <c r="CT72" s="190" t="str">
        <f t="shared" si="19"/>
        <v>Vapor Relief Vent - Mechanical Energy</v>
      </c>
      <c r="CU72" s="190" t="str">
        <f t="shared" si="19"/>
        <v>Vapor Relief Vent - Reaction</v>
      </c>
      <c r="CV72" s="190" t="str">
        <f t="shared" si="19"/>
        <v>Vapor Relief Vent - Reaction with External Heat</v>
      </c>
      <c r="CW72" s="190" t="str">
        <f t="shared" si="19"/>
        <v>Vapor Relief Vent - Reaction with Fire</v>
      </c>
      <c r="CX72" s="190" t="str">
        <f t="shared" si="19"/>
        <v>Vapor Relief Vent - Reaction with Catalyst</v>
      </c>
      <c r="CY72" s="190" t="str">
        <f t="shared" si="19"/>
        <v>Vapor Relief Vent - Reaction with Pooling</v>
      </c>
      <c r="CZ72" s="190" t="str">
        <f t="shared" si="19"/>
        <v>Vapor Relief Vent - Reaction with Mis-Loading</v>
      </c>
      <c r="DA72" s="190" t="str">
        <f t="shared" si="19"/>
        <v>USER DEFINED VAPOR VENT RATE at Relief Temp</v>
      </c>
      <c r="DB72" s="190" t="str">
        <f t="shared" si="19"/>
        <v>Equipment Damage</v>
      </c>
      <c r="DC72" s="190" t="str">
        <f t="shared" si="19"/>
        <v>Equipment Failure above Design Temperature</v>
      </c>
      <c r="DD72" s="190" t="str">
        <f t="shared" si="19"/>
        <v>Equipment Rupture at Operating Temperature</v>
      </c>
      <c r="DE72" s="190" t="str">
        <f t="shared" si="19"/>
        <v>Equipment Rupture at Saturation Temperature</v>
      </c>
      <c r="DF72" s="190" t="str">
        <f t="shared" si="19"/>
        <v>Equipment Rupture at Peak Temperature</v>
      </c>
      <c r="DG72" s="190" t="str">
        <f t="shared" si="19"/>
        <v>Equipment Rupture at Fire Conditions</v>
      </c>
      <c r="DH72" s="190" t="str">
        <f t="shared" si="19"/>
        <v>Equipment Rupture - Deflagration</v>
      </c>
      <c r="DI72" s="190" t="str">
        <f t="shared" si="19"/>
        <v>Equipment Rupture - Detonation/Deflagration</v>
      </c>
      <c r="DJ72" s="190" t="str">
        <f t="shared" si="19"/>
        <v>USER DEFINED LOSS EVENT</v>
      </c>
    </row>
    <row r="73" spans="3:114" x14ac:dyDescent="0.25">
      <c r="C73" s="39" t="str">
        <f t="shared" ref="C73:C84" si="20">C6</f>
        <v>Accumulation of Untreated Vent or Waste</v>
      </c>
      <c r="D73" s="19"/>
      <c r="E73" s="39"/>
      <c r="F73" s="39"/>
      <c r="G73" s="39"/>
      <c r="H73" s="39"/>
      <c r="I73" s="39"/>
      <c r="J73" s="39"/>
      <c r="K73" s="39"/>
      <c r="L73" s="39"/>
      <c r="M73" s="39"/>
      <c r="N73" s="39"/>
      <c r="O73" s="39"/>
      <c r="P73" s="39"/>
      <c r="Q73" s="39"/>
      <c r="R73" s="39"/>
      <c r="S73" s="39"/>
      <c r="T73" s="39"/>
      <c r="U73" s="39" t="str">
        <f>IF(Exclude_MI="Only MI",SD_Gen_1,IF(Reactive_Only="Yes",SD_Gen_3,SD_FE_20))</f>
        <v>Venting of untreated vapors</v>
      </c>
      <c r="V73" s="39"/>
      <c r="W73" s="39" t="str">
        <f>IF(Exclude_MI="Only MI",SD_Gen_1,IF(Reactive_Only="Yes",SD_Gen_3,SD_FE_20))</f>
        <v>Venting of untreated vapors</v>
      </c>
      <c r="X73" s="39"/>
      <c r="Y73" s="39"/>
      <c r="Z73" s="39"/>
      <c r="AA73" s="39"/>
      <c r="AB73" s="39"/>
      <c r="AC73" s="39"/>
      <c r="AD73" s="39"/>
      <c r="AE73" s="39"/>
      <c r="AF73" s="39"/>
      <c r="AG73" s="2049"/>
      <c r="AH73" s="39"/>
      <c r="AI73" s="39"/>
      <c r="AK73" s="39" t="str">
        <f>IED_Gen_3</f>
        <v>Failure of Flow Control</v>
      </c>
      <c r="AL73" s="39"/>
      <c r="AM73" s="39"/>
      <c r="AN73" s="39"/>
      <c r="AO73" s="39"/>
      <c r="AP73" s="39"/>
      <c r="AQ73" s="738"/>
      <c r="AR73" s="39"/>
      <c r="AS73" s="1001"/>
      <c r="AT73" s="39"/>
      <c r="AU73" s="39"/>
      <c r="AV73" s="39"/>
      <c r="AW73" s="39"/>
      <c r="AX73" s="39"/>
      <c r="AY73" s="39"/>
      <c r="AZ73" s="39"/>
      <c r="BA73" s="39"/>
      <c r="BB73" s="39"/>
      <c r="BC73" s="39"/>
      <c r="BD73" s="39"/>
      <c r="BE73" s="39"/>
      <c r="BF73" s="39"/>
      <c r="BG73" s="39"/>
      <c r="BH73" s="39"/>
      <c r="BJ73" s="39"/>
      <c r="BK73" s="39"/>
      <c r="BL73" s="1852"/>
      <c r="BM73" s="39"/>
      <c r="BN73" s="39"/>
      <c r="BO73" s="3180"/>
      <c r="BP73" s="3180"/>
      <c r="BQ73" s="39"/>
      <c r="BR73" s="39"/>
      <c r="BS73" s="39"/>
      <c r="BT73" s="39"/>
      <c r="BU73" s="1852"/>
      <c r="BV73" s="1852"/>
      <c r="BW73" s="39"/>
      <c r="BX73" s="39"/>
      <c r="BY73" s="39"/>
      <c r="BZ73" s="39"/>
      <c r="CA73" s="39"/>
      <c r="CB73" s="39"/>
      <c r="CC73" s="39"/>
      <c r="CD73" s="39"/>
      <c r="CE73" s="39"/>
      <c r="CF73" s="1475"/>
      <c r="CG73" s="39"/>
      <c r="CH73" s="39"/>
      <c r="CI73" s="39"/>
      <c r="CJ73" s="39"/>
      <c r="CK73" s="39"/>
      <c r="CL73" s="1036"/>
      <c r="CM73" s="738"/>
      <c r="CN73" s="738"/>
      <c r="CO73" s="39"/>
      <c r="CP73" s="39"/>
      <c r="CQ73" s="39"/>
      <c r="CR73" s="39"/>
      <c r="CS73" s="39"/>
      <c r="CT73" s="39"/>
      <c r="CU73" s="39"/>
      <c r="CV73" s="782"/>
      <c r="CW73" s="39"/>
      <c r="CX73" s="39"/>
      <c r="CY73" s="39"/>
      <c r="CZ73" s="39"/>
      <c r="DA73" s="39"/>
      <c r="DB73" s="39"/>
      <c r="DC73" s="2039"/>
      <c r="DD73" s="39"/>
      <c r="DE73" s="39"/>
      <c r="DF73" s="500"/>
      <c r="DG73" s="39"/>
      <c r="DH73" s="39"/>
      <c r="DI73" s="39"/>
      <c r="DJ73" s="39"/>
    </row>
    <row r="74" spans="3:114" x14ac:dyDescent="0.25">
      <c r="C74" s="39" t="str">
        <f t="shared" si="20"/>
        <v>Blocked-In with Thermal Expansion</v>
      </c>
      <c r="D74" s="19"/>
      <c r="E74" s="39"/>
      <c r="F74" s="39"/>
      <c r="G74" s="39"/>
      <c r="H74" s="39"/>
      <c r="I74" s="39"/>
      <c r="J74" s="39"/>
      <c r="K74" s="39"/>
      <c r="L74" s="39" t="str">
        <f>IF(Exclude_MI="Only MI",SD_Gen_1,IF(Reactive_Only="Yes",SD_Gen_3,IF(State&lt;&gt;"Liquid",SD_Gen_8,SD_Gen_28)))</f>
        <v>Thermal Expansion of hydraulically full equipment leading to excessive pressure</v>
      </c>
      <c r="M74" s="39" t="str">
        <f>IF(Exclude_MI="Only MI",SD_Gen_1,IF(Reactive_Only="Yes",SD_Gen_3,IF(State&lt;&gt;"Liquid",SD_Gen_8,SD_Gen_28)))</f>
        <v>Thermal Expansion of hydraulically full equipment leading to excessive pressure</v>
      </c>
      <c r="N74" s="39"/>
      <c r="O74" s="39"/>
      <c r="P74" s="39"/>
      <c r="Q74" s="39"/>
      <c r="R74" s="39"/>
      <c r="S74" s="39"/>
      <c r="T74" s="39"/>
      <c r="U74" s="39"/>
      <c r="V74" s="39"/>
      <c r="W74" s="39"/>
      <c r="X74" s="39" t="str">
        <f>IF(Exclude_MI="Only MI",SD_Gen_1,IF(Reactive_Only="Yes",SD_Gen_3,IF(State&lt;&gt;"Liquid",SD_Gen_8,SD_Gen_28)))</f>
        <v>Thermal Expansion of hydraulically full equipment leading to excessive pressure</v>
      </c>
      <c r="Y74" s="39" t="str">
        <f>IF(Exclude_MI="Only MI",SD_Gen_1,IF(Reactive_Only="Yes",SD_Gen_3,IF(State&lt;&gt;"Liquid",SD_Gen_8,SD_Gen_28)))</f>
        <v>Thermal Expansion of hydraulically full equipment leading to excessive pressure</v>
      </c>
      <c r="Z74" s="39"/>
      <c r="AA74" s="39"/>
      <c r="AB74" s="39" t="str">
        <f>IF(Exclude_MI="Only MI",SD_Gen_1,IF(Reactive_Only="Yes",SD_Gen_3,IF(State&lt;&gt;"Liquid",SD_Gen_8,IF(OR(Tracing="Yes",Heating_T&gt;T+Thermal_Expand_DT),SD_Gen_28,IF(AND(Location="Outdoors",Insulation="No",Pipe_Length&gt;Thermal_Expand_Length),SD_Gen_30,IF(T+Thermal_Expand_DT&lt;Ambient_Temp,SD_Gen_31,SD_Gen_29))))))</f>
        <v>SD_Gen_31</v>
      </c>
      <c r="AC74" s="39" t="str">
        <f>IF(Exclude_MI="Only MI",SD_Gen_1,IF(Reactive_Only="Yes",SD_Gen_3,IF(State&lt;&gt;"Liquid",SD_Gen_8,IF(OR(Tracing="Yes",Heating_T&gt;T+Thermal_Expand_DT),SD_Gen_28,IF(AND(Location="Outdoors",Insulation="No",Pipe_Length&gt;Thermal_Expand_Length),SD_Gen_30,IF(T+Thermal_Expand_DT&lt;Ambient_Temp,SD_Gen_31,SD_Gen_29))))))</f>
        <v>SD_Gen_31</v>
      </c>
      <c r="AD74" s="39"/>
      <c r="AE74" s="39"/>
      <c r="AF74" s="39"/>
      <c r="AG74" s="2049"/>
      <c r="AH74" s="39"/>
      <c r="AI74" s="39"/>
      <c r="AK74" s="39"/>
      <c r="AL74" s="39" t="str">
        <f>IED_Gen_26</f>
        <v>Operator fails to loosen bung on drum before heating</v>
      </c>
      <c r="AM74" s="39"/>
      <c r="AN74" s="39" t="str">
        <f>IED_Gen_32</f>
        <v>Operator closes valves on piping or equipment for infrequent maintenance</v>
      </c>
      <c r="AO74" s="39"/>
      <c r="AP74" s="39"/>
      <c r="AQ74" s="738"/>
      <c r="AR74" s="39"/>
      <c r="AS74" s="1001"/>
      <c r="AT74" s="39"/>
      <c r="AU74" s="39"/>
      <c r="AV74" s="39"/>
      <c r="AW74" s="39"/>
      <c r="AX74" s="39"/>
      <c r="AY74" s="39"/>
      <c r="AZ74" s="39"/>
      <c r="BA74" s="39" t="str">
        <f>IED_Gen_58</f>
        <v>Loss of tracing with melting point above the minimum ambient temperature causes frozen piping or equipment and thermal expansion during thawing</v>
      </c>
      <c r="BB74" s="39"/>
      <c r="BC74" s="39"/>
      <c r="BD74" s="39"/>
      <c r="BE74" s="39"/>
      <c r="BF74" s="39"/>
      <c r="BG74" s="39"/>
      <c r="BH74" s="39"/>
      <c r="BJ74" s="39"/>
      <c r="BK74" s="39"/>
      <c r="BL74" s="1852"/>
      <c r="BM74" s="39"/>
      <c r="BN74" s="39"/>
      <c r="BO74" s="3180"/>
      <c r="BP74" s="3180"/>
      <c r="BQ74" s="39"/>
      <c r="BR74" s="39"/>
      <c r="BS74" s="39"/>
      <c r="BT74" s="39"/>
      <c r="BU74" s="1852"/>
      <c r="BV74" s="1852"/>
      <c r="BW74" s="39"/>
      <c r="BX74" s="39"/>
      <c r="BY74" s="39"/>
      <c r="BZ74" s="39"/>
      <c r="CA74" s="39"/>
      <c r="CB74" s="39"/>
      <c r="CC74" s="39"/>
      <c r="CD74" s="39"/>
      <c r="CE74" s="39"/>
      <c r="CF74" s="1475"/>
      <c r="CG74" s="39"/>
      <c r="CH74" s="39"/>
      <c r="CI74" s="39"/>
      <c r="CJ74" s="39"/>
      <c r="CK74" s="39"/>
      <c r="CL74" s="1036"/>
      <c r="CM74" s="738"/>
      <c r="CN74" s="738"/>
      <c r="CO74" s="39"/>
      <c r="CP74" s="39"/>
      <c r="CQ74" s="39"/>
      <c r="CR74" s="39"/>
      <c r="CS74" s="39"/>
      <c r="CT74" s="39"/>
      <c r="CU74" s="39"/>
      <c r="CV74" s="782"/>
      <c r="CW74" s="39"/>
      <c r="CX74" s="39"/>
      <c r="CY74" s="39"/>
      <c r="CZ74" s="39"/>
      <c r="DA74" s="39"/>
      <c r="DB74" s="39"/>
      <c r="DC74" s="2039"/>
      <c r="DD74" s="39"/>
      <c r="DE74" s="39"/>
      <c r="DF74" s="500"/>
      <c r="DG74" s="39"/>
      <c r="DH74" s="39"/>
      <c r="DI74" s="39"/>
      <c r="DJ74" s="39"/>
    </row>
    <row r="75" spans="3:114" x14ac:dyDescent="0.25">
      <c r="C75" s="39" t="str">
        <f t="shared" si="20"/>
        <v>Casing or Containment Failure</v>
      </c>
      <c r="D75" s="19"/>
      <c r="E75" s="1824"/>
      <c r="F75" s="1824"/>
      <c r="G75" s="1824"/>
      <c r="H75" s="1824"/>
      <c r="I75" s="1824"/>
      <c r="J75" s="1824"/>
      <c r="K75" s="1824"/>
      <c r="L75" s="1824"/>
      <c r="M75" s="1824"/>
      <c r="N75" s="1824"/>
      <c r="O75" s="1824"/>
      <c r="P75" s="1824"/>
      <c r="Q75" s="1824"/>
      <c r="R75" s="1824"/>
      <c r="S75" s="1824"/>
      <c r="T75" s="1824"/>
      <c r="U75" s="1824"/>
      <c r="V75" s="1824"/>
      <c r="W75" s="1824"/>
      <c r="X75" s="1824"/>
      <c r="Y75" s="1824"/>
      <c r="Z75" s="1824"/>
      <c r="AA75" s="1824"/>
      <c r="AB75" s="1824"/>
      <c r="AC75" s="1824" t="str">
        <f>SD_Gen_32</f>
        <v>Mag Drive or Canned Pump Containment leak</v>
      </c>
      <c r="AD75" s="1824"/>
      <c r="AE75" s="1824"/>
      <c r="AF75" s="1824"/>
      <c r="AG75" s="2049"/>
      <c r="AH75" s="1824"/>
      <c r="AI75" s="1824"/>
      <c r="AK75" s="1824"/>
      <c r="AL75" s="1824"/>
      <c r="AM75" s="1824"/>
      <c r="AN75" s="1824"/>
      <c r="AO75" s="1824"/>
      <c r="AP75" s="1824"/>
      <c r="AQ75" s="1824"/>
      <c r="AR75" s="1824"/>
      <c r="AS75" s="1824"/>
      <c r="AT75" s="1824"/>
      <c r="AU75" s="1824"/>
      <c r="AV75" s="1824"/>
      <c r="AW75" s="1824"/>
      <c r="AX75" s="1824"/>
      <c r="AY75" s="1824"/>
      <c r="AZ75" s="1824" t="str">
        <f>IED_Gen_33</f>
        <v>Failure from corrosion, alignment, low flow, etc.</v>
      </c>
      <c r="BA75" s="1824"/>
      <c r="BB75" s="1824"/>
      <c r="BC75" s="1824"/>
      <c r="BD75" s="1824"/>
      <c r="BE75" s="1824"/>
      <c r="BF75" s="1824"/>
      <c r="BG75" s="1824"/>
      <c r="BH75" s="1824"/>
      <c r="BJ75" s="1824"/>
      <c r="BK75" s="1824"/>
      <c r="BL75" s="1852"/>
      <c r="BM75" s="1824"/>
      <c r="BN75" s="1824"/>
      <c r="BO75" s="3180"/>
      <c r="BP75" s="3180"/>
      <c r="BQ75" s="1824"/>
      <c r="BR75" s="1824"/>
      <c r="BS75" s="1824"/>
      <c r="BT75" s="1824"/>
      <c r="BU75" s="1852"/>
      <c r="BV75" s="1852"/>
      <c r="BW75" s="1824"/>
      <c r="BX75" s="1824"/>
      <c r="BY75" s="1824"/>
      <c r="BZ75" s="1824"/>
      <c r="CA75" s="1824"/>
      <c r="CB75" s="1824"/>
      <c r="CC75" s="1824"/>
      <c r="CD75" s="1824"/>
      <c r="CE75" s="1824"/>
      <c r="CF75" s="1824"/>
      <c r="CG75" s="1824"/>
      <c r="CH75" s="1824"/>
      <c r="CI75" s="1824"/>
      <c r="CJ75" s="1824"/>
      <c r="CK75" s="1824"/>
      <c r="CL75" s="1824"/>
      <c r="CM75" s="1824"/>
      <c r="CN75" s="1824"/>
      <c r="CO75" s="1824"/>
      <c r="CP75" s="1824"/>
      <c r="CQ75" s="1824"/>
      <c r="CR75" s="1824"/>
      <c r="CS75" s="1824"/>
      <c r="CT75" s="1824"/>
      <c r="CU75" s="1824"/>
      <c r="CV75" s="1824"/>
      <c r="CW75" s="1824"/>
      <c r="CX75" s="1824"/>
      <c r="CY75" s="1824"/>
      <c r="CZ75" s="1824"/>
      <c r="DA75" s="1824"/>
      <c r="DB75" s="1824"/>
      <c r="DC75" s="2039"/>
      <c r="DD75" s="1824"/>
      <c r="DE75" s="1824"/>
      <c r="DF75" s="1824"/>
      <c r="DG75" s="1824"/>
      <c r="DH75" s="1824"/>
      <c r="DI75" s="1824"/>
      <c r="DJ75" s="1824"/>
    </row>
    <row r="76" spans="3:114" x14ac:dyDescent="0.25">
      <c r="C76" s="39" t="str">
        <f t="shared" si="20"/>
        <v>Connection Failure</v>
      </c>
      <c r="D76" s="19"/>
      <c r="E76" s="39"/>
      <c r="F76" s="39" t="str">
        <f>IF(Exclude_MI="Only MI",SD_Gen_1,IF(Reactive_Only="Yes",SD_Gen_3,SD_D_5))</f>
        <v>Failure of flexible connection from vibration, wear, or fatigue resulting in a solids spill</v>
      </c>
      <c r="G76" s="39" t="str">
        <f>IF(Exclude_MI="Only MI",SD_Gen_1,IF(Reactive_Only="Yes",SD_Gen_3,SD_D_5))</f>
        <v>Failure of flexible connection from vibration, wear, or fatigue resulting in a solids spill</v>
      </c>
      <c r="H76" s="39"/>
      <c r="I76" s="39" t="str">
        <f>IF(Exclude_MI="Only MI",SD_Gen_1,IF(Reactive_Only="Yes",SD_Gen_3,SD_D_5))</f>
        <v>Failure of flexible connection from vibration, wear, or fatigue resulting in a solids spill</v>
      </c>
      <c r="J76" s="39" t="str">
        <f>IF(Exclude_MI="Only MI",SD_Gen_1,IF(Reactive_Only="Yes",SD_Gen_3,IF(P_Input&lt;0,SD_D_7,SD_D_5)))</f>
        <v>Failure of flexible connection from vibration, wear, or fatigue resulting in a solids spill</v>
      </c>
      <c r="K76" s="39"/>
      <c r="L76" s="39"/>
      <c r="M76" s="39"/>
      <c r="N76" s="39" t="str">
        <f>IF(Exclude_MI="Only MI",SD_Gen_1,IF(Reactive_Only="Yes",SD_Gen_3,SD_D_5))</f>
        <v>Failure of flexible connection from vibration, wear, or fatigue resulting in a solids spill</v>
      </c>
      <c r="O76" s="39" t="str">
        <f>IF(Exclude_MI="Only MI",SD_Gen_1,IF(Reactive_Only="Yes",SD_Gen_3,SD_D_5))</f>
        <v>Failure of flexible connection from vibration, wear, or fatigue resulting in a solids spill</v>
      </c>
      <c r="P76" s="39" t="str">
        <f>IF(Exclude_MI="Only MI",SD_Gen_1,IF(Reactive_Only="Yes",SD_Gen_3,SD_D_5))</f>
        <v>Failure of flexible connection from vibration, wear, or fatigue resulting in a solids spill</v>
      </c>
      <c r="Q76" s="39"/>
      <c r="R76" s="39" t="str">
        <f>IF(Exclude_MI="Only MI",SD_Gen_1,SD_Gen_79)</f>
        <v>Leak of filter gasket or seal</v>
      </c>
      <c r="S76" s="39"/>
      <c r="T76" s="39"/>
      <c r="U76" s="39"/>
      <c r="V76" s="39"/>
      <c r="W76" s="39"/>
      <c r="X76" s="39"/>
      <c r="Y76" s="39"/>
      <c r="Z76" s="39" t="str">
        <f>IF(Exclude_MI="Only MI",SD_Gen_1,IF(Reactive_Only="Yes",SD_Gen_3,SD_D_5))</f>
        <v>Failure of flexible connection from vibration, wear, or fatigue resulting in a solids spill</v>
      </c>
      <c r="AA76" s="39" t="str">
        <f>IF(Exclude_MI="Only MI",SD_Gen_1,IF(Reactive_Only="Yes",SD_Gen_3,SD_D_5))</f>
        <v>Failure of flexible connection from vibration, wear, or fatigue resulting in a solids spill</v>
      </c>
      <c r="AB76" s="39"/>
      <c r="AC76" s="39"/>
      <c r="AD76" s="39" t="str">
        <f>IF(Exclude_MI="Only MI",SD_Gen_1,IF(Reactive_Only="Yes",SD_Gen_3,SD_D_5))</f>
        <v>Failure of flexible connection from vibration, wear, or fatigue resulting in a solids spill</v>
      </c>
      <c r="AE76" s="39"/>
      <c r="AF76" s="39"/>
      <c r="AG76" s="2049"/>
      <c r="AH76" s="39"/>
      <c r="AI76" s="39"/>
      <c r="AK76" s="39"/>
      <c r="AL76" s="39" t="str">
        <f>IF(State="Solid",IED_Gen_25,IED_Gen_72)</f>
        <v>Improper alignment of gasket or seal after changing filter element or media</v>
      </c>
      <c r="AM76" s="39" t="str">
        <f>IED_MI_1</f>
        <v>Failure from corrosion, fatigue, etc.</v>
      </c>
      <c r="AN76" s="39"/>
      <c r="AO76" s="39"/>
      <c r="AP76" s="39"/>
      <c r="AQ76" s="738"/>
      <c r="AR76" s="39"/>
      <c r="AS76" s="1001"/>
      <c r="AT76" s="39"/>
      <c r="AU76" s="39"/>
      <c r="AV76" s="39"/>
      <c r="AW76" s="39"/>
      <c r="AX76" s="39"/>
      <c r="AY76" s="39"/>
      <c r="AZ76" s="39"/>
      <c r="BA76" s="39"/>
      <c r="BB76" s="39"/>
      <c r="BC76" s="39"/>
      <c r="BD76" s="39"/>
      <c r="BE76" s="39"/>
      <c r="BF76" s="39"/>
      <c r="BG76" s="39"/>
      <c r="BH76" s="39"/>
      <c r="BJ76" s="39"/>
      <c r="BK76" s="39"/>
      <c r="BL76" s="1852"/>
      <c r="BM76" s="39"/>
      <c r="BN76" s="39"/>
      <c r="BO76" s="3180"/>
      <c r="BP76" s="3180"/>
      <c r="BQ76" s="39"/>
      <c r="BR76" s="39"/>
      <c r="BS76" s="39"/>
      <c r="BT76" s="39"/>
      <c r="BU76" s="1852"/>
      <c r="BV76" s="1852"/>
      <c r="BW76" s="39"/>
      <c r="BX76" s="39"/>
      <c r="BY76" s="39"/>
      <c r="BZ76" s="39"/>
      <c r="CA76" s="39"/>
      <c r="CB76" s="39"/>
      <c r="CC76" s="39"/>
      <c r="CD76" s="39"/>
      <c r="CE76" s="39"/>
      <c r="CF76" s="1475"/>
      <c r="CG76" s="39"/>
      <c r="CH76" s="39"/>
      <c r="CI76" s="39"/>
      <c r="CJ76" s="39"/>
      <c r="CK76" s="39"/>
      <c r="CL76" s="1036"/>
      <c r="CM76" s="738"/>
      <c r="CN76" s="738"/>
      <c r="CO76" s="39"/>
      <c r="CP76" s="39"/>
      <c r="CQ76" s="39"/>
      <c r="CR76" s="39"/>
      <c r="CS76" s="39"/>
      <c r="CT76" s="39"/>
      <c r="CU76" s="39"/>
      <c r="CV76" s="782"/>
      <c r="CW76" s="39"/>
      <c r="CX76" s="39"/>
      <c r="CY76" s="39"/>
      <c r="CZ76" s="39"/>
      <c r="DA76" s="39"/>
      <c r="DB76" s="39"/>
      <c r="DC76" s="2039"/>
      <c r="DD76" s="39"/>
      <c r="DE76" s="39"/>
      <c r="DF76" s="500"/>
      <c r="DG76" s="39"/>
      <c r="DH76" s="39"/>
      <c r="DI76" s="39"/>
      <c r="DJ76" s="39"/>
    </row>
    <row r="77" spans="3:114" x14ac:dyDescent="0.25">
      <c r="C77" s="39" t="str">
        <f t="shared" si="20"/>
        <v>Drain or Vent Valve Open</v>
      </c>
      <c r="D77" s="19"/>
      <c r="E77" s="39" t="str">
        <f>IF(Exclude_MI="Only MI",SD_Gen_1,IF(Reactive_Only="Yes",SD_Gen_3,SD_Gen_54))</f>
        <v>Drain or Vent Valve left open following infrequent maintenance, purging or cleaning</v>
      </c>
      <c r="F77" s="39"/>
      <c r="G77" s="39"/>
      <c r="H77" s="39" t="str">
        <f>IF(Exclude_MI="Only MI",SD_Gen_1,IF(Reactive_Only="Yes",SD_Gen_3,SD_Gen_54))</f>
        <v>Drain or Vent Valve left open following infrequent maintenance, purging or cleaning</v>
      </c>
      <c r="I77" s="39"/>
      <c r="J77" s="39"/>
      <c r="K77" s="39" t="str">
        <f>IF(Exclude_MI="Only MI",SD_Gen_1,IF(Reactive_Only="Yes",SD_Gen_3,SD_Gen_54))</f>
        <v>Drain or Vent Valve left open following infrequent maintenance, purging or cleaning</v>
      </c>
      <c r="L77" s="39" t="str">
        <f>IF(Exclude_MI="Only MI",SD_Gen_1,IF(Reactive_Only="Yes",SD_Gen_3,SD_Gen_55))</f>
        <v>Drain or Vent Valve left open following loading/unloading or batch transfer</v>
      </c>
      <c r="M77" s="39"/>
      <c r="N77" s="39"/>
      <c r="O77" s="39"/>
      <c r="P77" s="39"/>
      <c r="Q77" s="39" t="str">
        <f>IF(Exclude_MI="Only MI",SD_Gen_1,IF(Reactive_Only="Yes",SD_Gen_3,SD_Gen_54))</f>
        <v>Drain or Vent Valve left open following infrequent maintenance, purging or cleaning</v>
      </c>
      <c r="R77" s="39" t="str">
        <f>IF(Exclude_MI="Only MI",SD_Gen_1,IF(Reactive_Only="Yes",SD_Gen_3,SD_Gen_54))</f>
        <v>Drain or Vent Valve left open following infrequent maintenance, purging or cleaning</v>
      </c>
      <c r="S77" s="39"/>
      <c r="T77" s="39"/>
      <c r="U77" s="39"/>
      <c r="V77" s="39"/>
      <c r="W77" s="39"/>
      <c r="X77" s="39" t="str">
        <f>IF(Exclude_MI="Only MI",SD_Gen_1,IF(Reactive_Only="Yes",SD_Gen_3,SD_Gen_54))</f>
        <v>Drain or Vent Valve left open following infrequent maintenance, purging or cleaning</v>
      </c>
      <c r="Y77" s="39" t="str">
        <f>IF(Exclude_MI="Only MI",SD_Gen_1,IF(Reactive_Only="Yes",SD_Gen_3,SD_Gen_54))</f>
        <v>Drain or Vent Valve left open following infrequent maintenance, purging or cleaning</v>
      </c>
      <c r="Z77" s="39"/>
      <c r="AA77" s="39"/>
      <c r="AB77" s="39" t="str">
        <f>IF(Exclude_MI="Only MI",SD_Gen_1,IF(Reactive_Only="Yes",SD_Gen_3,SD_Gen_54))</f>
        <v>Drain or Vent Valve left open following infrequent maintenance, purging or cleaning</v>
      </c>
      <c r="AC77" s="39" t="str">
        <f>IF(Exclude_MI="Only MI",SD_Gen_1,IF(Reactive_Only="Yes",SD_Gen_3,SD_Gen_54))</f>
        <v>Drain or Vent Valve left open following infrequent maintenance, purging or cleaning</v>
      </c>
      <c r="AD77" s="39"/>
      <c r="AE77" s="39" t="str">
        <f>IF(Exclude_MI="Only MI",SD_Gen_1,IF(Reactive_Only="Yes",SD_Gen_3,SD_Gen_54))</f>
        <v>Drain or Vent Valve left open following infrequent maintenance, purging or cleaning</v>
      </c>
      <c r="AF77" s="39" t="str">
        <f>IF(Exclude_MI="Only MI",SD_Gen_1,IF(Reactive_Only="Yes",SD_Gen_3,SD_Gen_55))</f>
        <v>Drain or Vent Valve left open following loading/unloading or batch transfer</v>
      </c>
      <c r="AG77" s="2049"/>
      <c r="AH77" s="39" t="str">
        <f>IF(Exclude_MI="Only MI",SD_Gen_1,IF(Reactive_Only="Yes",SD_Gen_3,SD_Gen_54))</f>
        <v>Drain or Vent Valve left open following infrequent maintenance, purging or cleaning</v>
      </c>
      <c r="AI77" s="39"/>
      <c r="AK77" s="39" t="str">
        <f>IF(Equipment="Fired Equipment - Combustion Unit",IED_FE_12,"")</f>
        <v/>
      </c>
      <c r="AL77" s="39" t="str">
        <f>IED_Gen_24</f>
        <v>Operator leaves Drain or Vent Open following unloading or clean-out</v>
      </c>
      <c r="AM77" s="39"/>
      <c r="AN77" s="39" t="str">
        <f>IED_Gen_31</f>
        <v>Operator leaves Drain or Vent Open following infrequent maintenance</v>
      </c>
      <c r="AO77" s="39"/>
      <c r="AP77" s="39"/>
      <c r="AQ77" s="738"/>
      <c r="AR77" s="39"/>
      <c r="AS77" s="1001"/>
      <c r="AT77" s="39"/>
      <c r="AU77" s="39"/>
      <c r="AV77" s="39"/>
      <c r="AW77" s="39"/>
      <c r="AX77" s="39"/>
      <c r="AY77" s="39"/>
      <c r="AZ77" s="39"/>
      <c r="BA77" s="39"/>
      <c r="BB77" s="39"/>
      <c r="BC77" s="39"/>
      <c r="BD77" s="39"/>
      <c r="BE77" s="39"/>
      <c r="BF77" s="39"/>
      <c r="BG77" s="39"/>
      <c r="BH77" s="39"/>
      <c r="BJ77" s="39"/>
      <c r="BK77" s="39"/>
      <c r="BL77" s="1852"/>
      <c r="BM77" s="39"/>
      <c r="BN77" s="39"/>
      <c r="BO77" s="3180"/>
      <c r="BP77" s="3180"/>
      <c r="BQ77" s="39"/>
      <c r="BR77" s="39"/>
      <c r="BS77" s="39"/>
      <c r="BT77" s="39"/>
      <c r="BU77" s="1852"/>
      <c r="BV77" s="1852"/>
      <c r="BW77" s="39"/>
      <c r="BX77" s="39"/>
      <c r="BY77" s="39"/>
      <c r="BZ77" s="39"/>
      <c r="CA77" s="39"/>
      <c r="CB77" s="39"/>
      <c r="CC77" s="39"/>
      <c r="CD77" s="39"/>
      <c r="CE77" s="39"/>
      <c r="CF77" s="1475"/>
      <c r="CG77" s="39"/>
      <c r="CH77" s="39"/>
      <c r="CI77" s="39"/>
      <c r="CJ77" s="39"/>
      <c r="CK77" s="39"/>
      <c r="CL77" s="1036"/>
      <c r="CM77" s="738"/>
      <c r="CN77" s="738"/>
      <c r="CO77" s="39"/>
      <c r="CP77" s="39"/>
      <c r="CQ77" s="39"/>
      <c r="CR77" s="39"/>
      <c r="CS77" s="39"/>
      <c r="CT77" s="39"/>
      <c r="CU77" s="39"/>
      <c r="CV77" s="782"/>
      <c r="CW77" s="39"/>
      <c r="CX77" s="39"/>
      <c r="CY77" s="39"/>
      <c r="CZ77" s="39"/>
      <c r="DA77" s="39"/>
      <c r="DB77" s="39"/>
      <c r="DC77" s="2039"/>
      <c r="DD77" s="39"/>
      <c r="DE77" s="39"/>
      <c r="DF77" s="500"/>
      <c r="DG77" s="39"/>
      <c r="DH77" s="39"/>
      <c r="DI77" s="39"/>
      <c r="DJ77" s="39"/>
    </row>
    <row r="78" spans="3:114" x14ac:dyDescent="0.25">
      <c r="C78" s="39" t="str">
        <f t="shared" si="20"/>
        <v>Dust Accumulation in Process Area</v>
      </c>
      <c r="D78" s="19"/>
      <c r="E78" s="1475"/>
      <c r="F78" s="1475" t="str">
        <f>IF(Dust_Explosion="Yes",SD_D_10,SD_D_11)</f>
        <v>Dust Size or Minimum Ignition Energy such that Creation of Secondary Dust Explosion Unlikely</v>
      </c>
      <c r="G78" s="1475" t="str">
        <f>IF(Dust_Explosion="Yes",SD_D_10,SD_D_11)</f>
        <v>Dust Size or Minimum Ignition Energy such that Creation of Secondary Dust Explosion Unlikely</v>
      </c>
      <c r="H78" s="1475"/>
      <c r="I78" s="1475" t="str">
        <f>IF(Dust_Explosion="Yes",SD_D_10,SD_D_11)</f>
        <v>Dust Size or Minimum Ignition Energy such that Creation of Secondary Dust Explosion Unlikely</v>
      </c>
      <c r="J78" s="1475" t="str">
        <f>IF(Dust_Explosion="Yes",SD_D_10,SD_D_11)</f>
        <v>Dust Size or Minimum Ignition Energy such that Creation of Secondary Dust Explosion Unlikely</v>
      </c>
      <c r="K78" s="1475"/>
      <c r="L78" s="1475"/>
      <c r="M78" s="1475"/>
      <c r="N78" s="1475" t="str">
        <f>IF(Dust_Explosion="Yes",SD_D_10,SD_D_11)</f>
        <v>Dust Size or Minimum Ignition Energy such that Creation of Secondary Dust Explosion Unlikely</v>
      </c>
      <c r="O78" s="1475" t="str">
        <f>IF(Dust_Explosion="Yes",SD_D_10,SD_D_11)</f>
        <v>Dust Size or Minimum Ignition Energy such that Creation of Secondary Dust Explosion Unlikely</v>
      </c>
      <c r="P78" s="1475" t="str">
        <f>IF(Dust_Explosion="Yes",SD_D_10,SD_D_11)</f>
        <v>Dust Size or Minimum Ignition Energy such that Creation of Secondary Dust Explosion Unlikely</v>
      </c>
      <c r="Q78" s="1475"/>
      <c r="R78" s="1475"/>
      <c r="S78" s="1475"/>
      <c r="T78" s="1475"/>
      <c r="U78" s="1475"/>
      <c r="V78" s="1475"/>
      <c r="W78" s="1475"/>
      <c r="X78" s="1475"/>
      <c r="Y78" s="1475"/>
      <c r="Z78" s="1475" t="str">
        <f>IF(Dust_Explosion="Yes",SD_D_10,SD_D_11)</f>
        <v>Dust Size or Minimum Ignition Energy such that Creation of Secondary Dust Explosion Unlikely</v>
      </c>
      <c r="AA78" s="1475" t="str">
        <f>IF(Dust_Explosion="Yes",SD_D_10,SD_D_11)</f>
        <v>Dust Size or Minimum Ignition Energy such that Creation of Secondary Dust Explosion Unlikely</v>
      </c>
      <c r="AB78" s="1475"/>
      <c r="AC78" s="1475"/>
      <c r="AD78" s="1475" t="str">
        <f>IF(Dust_Explosion="Yes",SD_D_10,SD_D_11)</f>
        <v>Dust Size or Minimum Ignition Energy such that Creation of Secondary Dust Explosion Unlikely</v>
      </c>
      <c r="AE78" s="1475"/>
      <c r="AF78" s="1475"/>
      <c r="AG78" s="2049"/>
      <c r="AH78" s="1475"/>
      <c r="AI78" s="1475"/>
      <c r="AK78" s="1475"/>
      <c r="AL78" s="1475"/>
      <c r="AM78" s="1475"/>
      <c r="AN78" s="1475"/>
      <c r="AO78" s="1475"/>
      <c r="AP78" s="1475"/>
      <c r="AQ78" s="1475"/>
      <c r="AR78" s="1475"/>
      <c r="AS78" s="1475"/>
      <c r="AT78" s="1475"/>
      <c r="AU78" s="1475"/>
      <c r="AV78" s="1475"/>
      <c r="AW78" s="1475"/>
      <c r="AX78" s="1475"/>
      <c r="AY78" s="1475"/>
      <c r="AZ78" s="1475"/>
      <c r="BA78" s="1475"/>
      <c r="BB78" s="1475"/>
      <c r="BC78" s="1475"/>
      <c r="BD78" s="1475"/>
      <c r="BE78" s="1475" t="str">
        <f>IED_D_7</f>
        <v>An Loss Event within Upstream Equipment that could Dislodge Accumulated Dust creating Secondary Dust Event</v>
      </c>
      <c r="BF78" s="1475"/>
      <c r="BG78" s="1475"/>
      <c r="BH78" s="1475"/>
      <c r="BJ78" s="1475"/>
      <c r="BK78" s="1475"/>
      <c r="BL78" s="1852"/>
      <c r="BM78" s="1475"/>
      <c r="BN78" s="1475"/>
      <c r="BO78" s="3180"/>
      <c r="BP78" s="3180"/>
      <c r="BQ78" s="1475"/>
      <c r="BR78" s="1475"/>
      <c r="BS78" s="1475"/>
      <c r="BT78" s="1475"/>
      <c r="BU78" s="1852"/>
      <c r="BV78" s="1852"/>
      <c r="BW78" s="1475"/>
      <c r="BX78" s="1475"/>
      <c r="BY78" s="1475"/>
      <c r="BZ78" s="1475"/>
      <c r="CA78" s="1475"/>
      <c r="CB78" s="1475"/>
      <c r="CC78" s="1475"/>
      <c r="CD78" s="1475"/>
      <c r="CE78" s="1475"/>
      <c r="CF78" s="1475"/>
      <c r="CG78" s="1475"/>
      <c r="CH78" s="1475"/>
      <c r="CI78" s="1475"/>
      <c r="CJ78" s="1475"/>
      <c r="CK78" s="1475"/>
      <c r="CL78" s="1475"/>
      <c r="CM78" s="1475"/>
      <c r="CN78" s="1475"/>
      <c r="CO78" s="1475"/>
      <c r="CP78" s="1475"/>
      <c r="CQ78" s="1475"/>
      <c r="CR78" s="1475"/>
      <c r="CS78" s="1475"/>
      <c r="CT78" s="1475"/>
      <c r="CU78" s="1475"/>
      <c r="CV78" s="1475"/>
      <c r="CW78" s="1475"/>
      <c r="CX78" s="1475"/>
      <c r="CY78" s="1475"/>
      <c r="CZ78" s="1475"/>
      <c r="DA78" s="1475"/>
      <c r="DB78" s="1475"/>
      <c r="DC78" s="2039"/>
      <c r="DD78" s="1475"/>
      <c r="DE78" s="1475"/>
      <c r="DF78" s="1475"/>
      <c r="DG78" s="1475"/>
      <c r="DH78" s="1475"/>
      <c r="DI78" s="1475"/>
      <c r="DJ78" s="1475"/>
    </row>
    <row r="79" spans="3:114" x14ac:dyDescent="0.25">
      <c r="C79" s="39" t="str">
        <f t="shared" si="20"/>
        <v>Ignitable Headspace</v>
      </c>
      <c r="D79" s="19"/>
      <c r="E79" s="39" t="str">
        <f>IF(Exclude_MI="Only MI",SD_Gen_1,IF(Reactive_Only="Yes",SD_Gen_3,IF(Flash_Pt_Feed="",SD_Gen_12,IF(AND(State&lt;&gt;"Vapor",Psat&gt;=UFL_Fraction_Limit),SD_Gen_13,IF(MAX(Tmax_ME_Continuous,Heating_T)&gt;Flash_Pt_Feed-FlashPt_Difference_Limit,SD_Gen_7,IF(AND(Flash_Pt_Feed&gt;Flammable_FP_Limit,T&lt;(Flash_Pt_Feed-FlashPt_Difference_Limit)),SD_Gen_12,IF(Peak_Deflag&lt;Burst_P,SD_Gen_20,SD_Gen_6)))))))</f>
        <v>="Chemical is Not Flammable or Combustible: Flash Point is unknown or exceeds "&amp;FlashPt_Difference_Limit&amp;" C above the Maximum Temperature"</v>
      </c>
      <c r="F79" s="39" t="str">
        <f>IF(Exclude_MI="Only MI",SD_Gen_1,IF(Reactive_Only="Yes",SD_Gen_3,IF(State&lt;&gt;"Solid",SD_Gen_9,IF(Peak_Deflag&lt;Burst_P,SD_Gen_20,IF(OR(Dust_MIE_Feed&lt;Dust_High_MIE,Dust_Hybrid_Feed="Yes"),SD_D_1,SD_D_2)))))</f>
        <v>Chemical Handled is not a Solid under specificized process conditions</v>
      </c>
      <c r="G79" s="39" t="str">
        <f>IF(Exclude_MI="Only MI",SD_Gen_1,IF(Reactive_Only="Yes",SD_Gen_3,IF(State&lt;&gt;"Solid",SD_Gen_9,IF(Peak_Deflag&lt;Burst_P,SD_Gen_20,IF(OR(Dust_MIE_Feed&lt;Dust_Screening_Limit,Dust_Hybrid_Feed="Yes"),SD_D_1,SD_D_4)))))</f>
        <v>Chemical Handled is not a Solid under specificized process conditions</v>
      </c>
      <c r="H79" s="39"/>
      <c r="I79" s="39" t="str">
        <f>IF(Exclude_MI="Only MI",SD_Gen_1,IF(Reactive_Only="Yes",SD_Gen_3,IF(State&lt;&gt;"Solid",SD_Gen_9,IF(Peak_Deflag&lt;Burst_P,SD_Gen_20,IF(OR(Dust_MIE_Feed&lt;Dust_Screening_Limit,Dust_Hybrid_Feed="Yes"),SD_D_1,SD_D_4)))))</f>
        <v>Chemical Handled is not a Solid under specificized process conditions</v>
      </c>
      <c r="J79" s="39" t="str">
        <f>IF(Exclude_MI="Only MI",SD_Gen_1,IF(Reactive_Only="Yes",SD_Gen_3,IF(State&lt;&gt;"Solid",SD_Gen_9,IF(Peak_Deflag&lt;Burst_P,SD_Gen_20,IF(OR(Dust_MIE_Feed&lt;Dust_High_MIE,Dust_Hybrid_Feed="Yes"),SD_D_1,SD_D_2)))))</f>
        <v>Chemical Handled is not a Solid under specificized process conditions</v>
      </c>
      <c r="K79" s="39" t="str">
        <f>IF(Exclude_MI="Only MI",SD_Gen_1,IF(Reactive_Only="Yes",SD_Gen_3,IF(Flash_Pt_Feed="",SD_Gen_12,IF(AND(State&lt;&gt;"Vapor",Psat&gt;=UFL_Fraction_Limit),SD_Gen_13,IF(MAX(Tmax_ME_Continuous,Heating_T)&gt;Flash_Pt_Feed-FlashPt_Difference_Limit,SD_Gen_7,IF(AND(Flash_Pt_Feed&gt;Flammable_FP_Limit,T&lt;(Flash_Pt_Feed-FlashPt_Difference_Limit)),SD_Gen_12,IF(Peak_Deflag&lt;Burst_P,SD_Gen_20,SD_Gen_6)))))))</f>
        <v>="Chemical is Not Flammable or Combustible: Flash Point is unknown or exceeds "&amp;FlashPt_Difference_Limit&amp;" C above the Maximum Temperature"</v>
      </c>
      <c r="L79" s="39" t="str">
        <f>IF(Exclude_MI="Only MI",SD_Gen_1,IF(Reactive_Only="Yes",SD_Gen_3,IF(Flash_Pt_Feed="",SD_Gen_12,IF(AND(State&lt;&gt;"Vapor",Psat&gt;=UFL_Fraction_Limit),SD_Gen_13,IF(MAX(Tmax_ME_Continuous,Heating_T)&gt;Flash_Pt_Feed-FlashPt_Difference_Limit,SD_Gen_7,IF(AND(Flash_Pt_Feed&gt;Flammable_FP_Limit,T&lt;(Flash_Pt_Feed-FlashPt_Difference_Limit)),SD_Gen_12,IF(Peak_Deflag&lt;Burst_P,SD_Gen_20,SD_Gen_6)))))))</f>
        <v>="Chemical is Not Flammable or Combustible: Flash Point is unknown or exceeds "&amp;FlashPt_Difference_Limit&amp;" C above the Maximum Temperature"</v>
      </c>
      <c r="M79" s="39" t="str">
        <f>IF(Exclude_MI="Only MI",SD_Gen_1,IF(Reactive_Only="Yes",SD_Gen_3,IF(Flash_Pt_Feed="",SD_Gen_12,IF(AND(State&lt;&gt;"Vapor",Psat&gt;=UFL_Fraction_Limit),SD_Gen_13,IF(MAX(Tmax_ME_Continuous,Heating_T)&gt;Flash_Pt_Feed-FlashPt_Difference_Limit,SD_Gen_7,IF(AND(Flash_Pt_Feed&gt;Flammable_FP_Limit,T&lt;(Flash_Pt_Feed-FlashPt_Difference_Limit)),SD_Gen_12,IF(Peak_Deflag&lt;Burst_P,SD_Gen_20,SD_Gen_6)))))))</f>
        <v>="Chemical is Not Flammable or Combustible: Flash Point is unknown or exceeds "&amp;FlashPt_Difference_Limit&amp;" C above the Maximum Temperature"</v>
      </c>
      <c r="N79" s="39" t="str">
        <f>IF(Exclude_MI="Only MI",SD_Gen_1,IF(Reactive_Only="Yes",SD_Gen_3,IF(State&lt;&gt;"Solid",SD_Gen_9,IF(Peak_Deflag&lt;Burst_P,SD_Gen_20,IF(OR(Dust_MIE_Feed&lt;Dust_Screening_Limit,Dust_Hybrid_Feed="Yes"),SD_D_1,SD_D_4)))))</f>
        <v>Chemical Handled is not a Solid under specificized process conditions</v>
      </c>
      <c r="O79" s="39" t="str">
        <f>IF(Exclude_MI="Only MI",SD_Gen_1,IF(Reactive_Only="Yes",SD_Gen_3,IF(State&lt;&gt;"Solid",SD_Gen_9,IF(Peak_Deflag&lt;Burst_P,SD_Gen_20,IF(OR(Dust_MIE_Feed&lt;Dust_High_MIE,Dust_Hybrid_Feed="Yes"),SD_D_1,SD_D_2)))))</f>
        <v>Chemical Handled is not a Solid under specificized process conditions</v>
      </c>
      <c r="P79" s="39" t="str">
        <f>IF(Exclude_MI="Only MI",SD_Gen_1,IF(Reactive_Only="Yes",SD_Gen_3,IF(State&lt;&gt;"Solid",SD_Gen_9,IF(Peak_Deflag&lt;Burst_P,SD_Gen_20,IF(OR(Dust_MIE_Feed&lt;Dust_High_MIE,Dust_Hybrid_Feed="Yes"),SD_D_1,SD_D_2)))))</f>
        <v>Chemical Handled is not a Solid under specificized process conditions</v>
      </c>
      <c r="Q79" s="39"/>
      <c r="R79" s="39" t="str">
        <f>IF(Exclude_MI="Only MI",SD_Gen_1,IF(Reactive_Only="Yes",SD_Gen_3,IF(Flash_Pt_Feed="",SD_Gen_12,IF(AND(State&lt;&gt;"Vapor",Psat&gt;=UFL_Fraction_Limit),SD_Gen_13,IF(MAX(Tmax_ME_Continuous,Heating_T)&gt;Flash_Pt_Feed-FlashPt_Difference_Limit,SD_Gen_7,IF(AND(Flash_Pt_Feed&gt;Flammable_FP_Limit,T&lt;(Flash_Pt_Feed-FlashPt_Difference_Limit)),SD_Gen_12,IF(Peak_Deflag&lt;Burst_P,SD_Gen_20,SD_Gen_6)))))))</f>
        <v>="Chemical is Not Flammable or Combustible: Flash Point is unknown or exceeds "&amp;FlashPt_Difference_Limit&amp;" C above the Maximum Temperature"</v>
      </c>
      <c r="S79" s="39" t="str">
        <f>IF(Exclude_MI="Only MI",SD_Gen_1,IF(Reactive_Only="Yes",SD_Gen_3,IF(Flash_Pt_Feed="",SD_Gen_12,IF(AND(State&lt;&gt;"Vapor",Psat&gt;=UFL_Fraction_Limit),SD_Gen_13,IF(MAX(Tmax_ME_Continuous,Heating_T)&gt;Flash_Pt_Feed-FlashPt_Difference_Limit,SD_Gen_7,IF(AND(Flash_Pt_Feed&gt;Flammable_FP_Limit,T&lt;(Flash_Pt_Feed-FlashPt_Difference_Limit)),SD_Gen_12,IF(Peak_Deflag&lt;Burst_P,SD_Gen_20,SD_Gen_6)))))))</f>
        <v>="Chemical is Not Flammable or Combustible: Flash Point is unknown or exceeds "&amp;FlashPt_Difference_Limit&amp;" C above the Maximum Temperature"</v>
      </c>
      <c r="T79" s="39"/>
      <c r="U79" s="39"/>
      <c r="V79" s="39"/>
      <c r="W79" s="39"/>
      <c r="X79" s="39"/>
      <c r="Y79" s="39" t="str">
        <f>IF(Exclude_MI="Only MI",SD_Gen_1,IF(Reactive_Only="Yes",SD_Gen_3,IF(Flash_Pt_Feed="",SD_Gen_12,IF(AND(State&lt;&gt;"Vapor",Psat&gt;=UFL_Fraction_Limit),SD_Gen_13,IF(MAX(Tmax_ME_Continuous,Heating_T)&gt;Flash_Pt_Feed-FlashPt_Difference_Limit,SD_Gen_7,IF(AND(Flash_Pt_Feed&gt;Flammable_FP_Limit,T&lt;(Flash_Pt_Feed-FlashPt_Difference_Limit)),SD_Gen_12,IF(Peak_Deflag&lt;Burst_P,SD_Gen_20,SD_Gen_6)))))))</f>
        <v>="Chemical is Not Flammable or Combustible: Flash Point is unknown or exceeds "&amp;FlashPt_Difference_Limit&amp;" C above the Maximum Temperature"</v>
      </c>
      <c r="Z79" s="39" t="str">
        <f>IF(Exclude_MI="Only MI",SD_Gen_1,IF(Reactive_Only="Yes",SD_Gen_3,IF(State&lt;&gt;"Solid",SD_Gen_9,IF(Peak_Deflag&lt;Burst_P,SD_Gen_20,IF(OR(Dust_MIE_Feed&lt;Dust_High_MIE,Dust_Hybrid_Feed="Yes"),SD_D_1,SD_D_2)))))</f>
        <v>Chemical Handled is not a Solid under specificized process conditions</v>
      </c>
      <c r="AA79" s="39" t="str">
        <f>IF(Exclude_MI="Only MI",SD_Gen_1,IF(Reactive_Only="Yes",SD_Gen_3,IF(State&lt;&gt;"Solid",SD_Gen_9,IF(Peak_Deflag&lt;Burst_P,SD_Gen_20,IF(OR(Dust_MIE_Feed&lt;Dust_Screening_Limit,Dust_Hybrid_Feed="Yes"),SD_D_1,SD_D_4)))))</f>
        <v>Chemical Handled is not a Solid under specificized process conditions</v>
      </c>
      <c r="AB79" s="39"/>
      <c r="AC79" s="39"/>
      <c r="AD79" s="39" t="str">
        <f>IF(Exclude_MI="Only MI",SD_Gen_1,IF(Reactive_Only="Yes",SD_Gen_3,IF(State&lt;&gt;"Solid",SD_Gen_9,IF(Peak_Deflag&lt;Burst_P,SD_Gen_20,IF(OR(Dust_MIE_Feed&lt;Dust_Screening_Limit,Dust_Hybrid_Feed="Yes"),SD_D_1,SD_D_4)))))</f>
        <v>Chemical Handled is not a Solid under specificized process conditions</v>
      </c>
      <c r="AE79" s="39" t="str">
        <f>IF(Exclude_MI="Only MI",SD_Gen_1,IF(Reactive_Only="Yes",SD_Gen_3,IF(Flash_Pt_Feed="",SD_Gen_12,IF(AND(State&lt;&gt;"Vapor",Psat&gt;=UFL_Fraction_Limit),SD_Gen_13,IF(MAX(Tmax_ME_Continuous,Heating_T)&gt;Flash_Pt_Feed-FlashPt_Difference_Limit,SD_Gen_7,IF(AND(Flash_Pt_Feed&gt;Flammable_FP_Limit,T&lt;(Flash_Pt_Feed-FlashPt_Difference_Limit)),SD_Gen_12,IF(Peak_Deflag&lt;Burst_P,SD_Gen_20,SD_Gen_6)))))))</f>
        <v>="Chemical is Not Flammable or Combustible: Flash Point is unknown or exceeds "&amp;FlashPt_Difference_Limit&amp;" C above the Maximum Temperature"</v>
      </c>
      <c r="AF79" s="39" t="str">
        <f>IF(Exclude_MI="Only MI",SD_Gen_1,IF(Reactive_Only="Yes",SD_Gen_3,IF(Flash_Pt_Feed="",SD_Gen_12,IF(AND(State&lt;&gt;"Vapor",Psat&gt;=UFL_Fraction_Limit),SD_Gen_13,IF(MAX(Tmax_ME_Continuous,Heating_T)&gt;Flash_Pt_Feed-FlashPt_Difference_Limit,SD_Gen_7,IF(AND(Flash_Pt_Feed&gt;Flammable_FP_Limit,T&lt;(Flash_Pt_Feed-FlashPt_Difference_Limit)),SD_Gen_12,IF(Peak_Deflag&lt;Burst_P,SD_Gen_20,SD_Gen_6)))))))</f>
        <v>="Chemical is Not Flammable or Combustible: Flash Point is unknown or exceeds "&amp;FlashPt_Difference_Limit&amp;" C above the Maximum Temperature"</v>
      </c>
      <c r="AG79" s="2049"/>
      <c r="AH79" s="39" t="str">
        <f>IF(Exclude_MI="Only MI",SD_Gen_1,IF(Reactive_Only="Yes",SD_Gen_3,IF(Flash_Pt_Feed="",SD_Gen_12,IF(AND(State&lt;&gt;"Vapor",Psat&gt;=UFL_Fraction_Limit),SD_Gen_13,IF(MAX(Tmax_ME_Continuous,Heating_T)&gt;Flash_Pt_Feed-FlashPt_Difference_Limit,SD_Gen_7,IF(AND(Flash_Pt_Feed&gt;Flammable_FP_Limit,T&lt;(Flash_Pt_Feed-FlashPt_Difference_Limit)),SD_Gen_12,IF(Peak_Deflag&lt;Burst_P,SD_Gen_20,SD_Gen_6)))))))</f>
        <v>="Chemical is Not Flammable or Combustible: Flash Point is unknown or exceeds "&amp;FlashPt_Difference_Limit&amp;" C above the Maximum Temperature"</v>
      </c>
      <c r="AI79" s="39"/>
      <c r="AK79" s="39" t="str">
        <f>IF(State="Solid",IED_Gen_12,IF(AND(Inert_Atm&lt;&gt;"No",Heating_Reqd="No"),IED_Gen_8,IF(AND(Inert_Atm="No",Flammable_Potential="Yes",Heating_Reqd="No"),IED_Gen_12,IF(Flammable_Potential_HT="Yes",IED_Gen_1,IED_Gen_30))))</f>
        <v>Failure of Pressure or NonCombustible Atmosphere Control</v>
      </c>
      <c r="AL79" s="39" t="str">
        <f>IF(Equipment="Bag/Pak Dumping (Solids)",IED_D_3,"")</f>
        <v/>
      </c>
      <c r="AM79" s="39" t="str">
        <f>IF(Overflow_Location="Floating Roof Tank",IED_Gen_68,IED_D_4)</f>
        <v>Failure of grounding or other inability of equipment to dissipate static charge</v>
      </c>
      <c r="AN79" s="39"/>
      <c r="AO79" s="39"/>
      <c r="AP79" s="39"/>
      <c r="AQ79" s="738"/>
      <c r="AR79" s="39"/>
      <c r="AS79" s="1001"/>
      <c r="AT79" s="39"/>
      <c r="AU79" s="39"/>
      <c r="AV79" s="39"/>
      <c r="AW79" s="39"/>
      <c r="AX79" s="39"/>
      <c r="AY79" s="39"/>
      <c r="AZ79" s="39"/>
      <c r="BA79" s="39"/>
      <c r="BB79" s="39"/>
      <c r="BC79" s="39"/>
      <c r="BD79" s="39"/>
      <c r="BE79" s="39"/>
      <c r="BF79" s="39"/>
      <c r="BG79" s="39"/>
      <c r="BH79" s="39"/>
      <c r="BJ79" s="39"/>
      <c r="BK79" s="39"/>
      <c r="BL79" s="1852"/>
      <c r="BM79" s="39"/>
      <c r="BN79" s="39"/>
      <c r="BO79" s="3180"/>
      <c r="BP79" s="3180"/>
      <c r="BQ79" s="39"/>
      <c r="BR79" s="39"/>
      <c r="BS79" s="39"/>
      <c r="BT79" s="39"/>
      <c r="BU79" s="1852"/>
      <c r="BV79" s="1852"/>
      <c r="BW79" s="39"/>
      <c r="BX79" s="39"/>
      <c r="BY79" s="39"/>
      <c r="BZ79" s="39"/>
      <c r="CA79" s="39"/>
      <c r="CB79" s="39"/>
      <c r="CC79" s="39"/>
      <c r="CD79" s="39"/>
      <c r="CE79" s="39"/>
      <c r="CF79" s="1475"/>
      <c r="CG79" s="39"/>
      <c r="CH79" s="39"/>
      <c r="CI79" s="39"/>
      <c r="CJ79" s="39"/>
      <c r="CK79" s="39"/>
      <c r="CL79" s="1036"/>
      <c r="CM79" s="738"/>
      <c r="CN79" s="738"/>
      <c r="CO79" s="39"/>
      <c r="CP79" s="39"/>
      <c r="CQ79" s="39"/>
      <c r="CR79" s="39"/>
      <c r="CS79" s="39"/>
      <c r="CT79" s="39"/>
      <c r="CU79" s="39"/>
      <c r="CV79" s="782"/>
      <c r="CW79" s="39"/>
      <c r="CX79" s="39"/>
      <c r="CY79" s="39"/>
      <c r="CZ79" s="39"/>
      <c r="DA79" s="39"/>
      <c r="DB79" s="39"/>
      <c r="DC79" s="2039"/>
      <c r="DD79" s="39"/>
      <c r="DE79" s="39"/>
      <c r="DF79" s="500"/>
      <c r="DG79" s="39"/>
      <c r="DH79" s="39" t="str">
        <f>IF(AND(Equipment&lt;&gt;"Bag/Pak Dumping (Solids)",State="Solid"),IPLD_Gen_4,"")</f>
        <v/>
      </c>
      <c r="DI79" s="39"/>
      <c r="DJ79" s="39"/>
    </row>
    <row r="80" spans="3:114" x14ac:dyDescent="0.25">
      <c r="C80" s="39" t="str">
        <f t="shared" si="20"/>
        <v>Excessive Heat Input - Heat Transfer</v>
      </c>
      <c r="D80" s="19"/>
      <c r="E80" s="39" t="str">
        <f>IF(Exclude_MI="Only MI",SD_Gen_1,IF(Reactive_Only="Yes",SD_Gen_3,IF(Heating_T_Input="",SD_Gen_22,IF(Reaction_withExtHeat="Yes",SD_Rx_7,IF(Relief_HtTrans="Yes",SD_Gen_23,SD_Gen_24)))))</f>
        <v>No Heating Media Temperature was noted</v>
      </c>
      <c r="F80" s="39"/>
      <c r="G80" s="39"/>
      <c r="H80" s="39"/>
      <c r="I80" s="39"/>
      <c r="J80" s="39"/>
      <c r="K80" s="39" t="str">
        <f>IF(Exclude_MI="Only MI",SD_Gen_1,IF(Reactive_Only="Yes",SD_Gen_3,IF(Heating_T_Input="",SD_Gen_22,IF(Reaction_withExtHeat="Yes",SD_Rx_7,IF(Relief_HtTrans="Yes",SD_Gen_23,SD_Gen_24)))))</f>
        <v>No Heating Media Temperature was noted</v>
      </c>
      <c r="L80" s="39" t="str">
        <f>IF(Exclude_MI="Only MI",SD_Gen_1,IF(Reactive_Only="Yes",SD_Gen_3,IF(Heating_T_Input="",SD_Gen_22,IF(Reaction_withExtHeat="Yes",SD_Rx_7,IF(Relief_HtTrans="Yes",SD_Gen_23,SD_Gen_24)))))</f>
        <v>No Heating Media Temperature was noted</v>
      </c>
      <c r="M80" s="39"/>
      <c r="N80" s="39"/>
      <c r="O80" s="39"/>
      <c r="P80" s="39"/>
      <c r="Q80" s="39" t="str">
        <f>IF(Exclude_MI="Only MI",SD_Gen_1,IF(Reactive_Only="Yes",SD_Gen_3,IF(Heating_T_Input="",SD_Gen_22,IF(Reaction_withExtHeat="Yes",SD_Rx_7,IF(Relief_HtTrans="Yes",SD_Gen_23,SD_Gen_24)))))</f>
        <v>No Heating Media Temperature was noted</v>
      </c>
      <c r="R80" s="39"/>
      <c r="S80" s="39"/>
      <c r="T80" s="39"/>
      <c r="U80" s="39"/>
      <c r="V80" s="39"/>
      <c r="W80" s="39"/>
      <c r="X80" s="39" t="str">
        <f>IF(Exclude_MI="Only MI",SD_Gen_1,IF(Reactive_Only="Yes",SD_Gen_3,IF(Heating_T_Input="",SD_Gen_22,IF(Reaction_withExtHeat="Yes",SD_Rx_7,IF(Relief_HtTrans="Yes",SD_Gen_23,SD_Gen_24)))))</f>
        <v>No Heating Media Temperature was noted</v>
      </c>
      <c r="Y80" s="39" t="str">
        <f>IF(Exclude_MI="Only MI",SD_Gen_1,IF(Reactive_Only="Yes",SD_Gen_3,IF(Heating_T_Input="",SD_Gen_22,IF(Reaction_withExtHeat="Yes",SD_Rx_7,IF(Relief_HtTrans="Yes",SD_Gen_23,SD_Gen_24)))))</f>
        <v>No Heating Media Temperature was noted</v>
      </c>
      <c r="Z80" s="39"/>
      <c r="AA80" s="39"/>
      <c r="AB80" s="39"/>
      <c r="AC80" s="39"/>
      <c r="AD80" s="39"/>
      <c r="AE80" s="39" t="str">
        <f>IF(Exclude_MI="Only MI",SD_Gen_1,IF(Reactive_Only="Yes",SD_Gen_3,IF(Heating_T_Input="",SD_Gen_22,IF(Reaction_withExtHeat="Yes",SD_Rx_7,IF(Relief_HtTrans="Yes",SD_Gen_23,SD_Gen_24)))))</f>
        <v>No Heating Media Temperature was noted</v>
      </c>
      <c r="AF80" s="39" t="str">
        <f>IF(Exclude_MI="Only MI",SD_Gen_1,IF(Reactive_Only="Yes",SD_Gen_3,IF(Heating_T_Input="",SD_Gen_22,IF(Reaction_withExtHeat="Yes",SD_Rx_7,IF(Relief_HtTrans="Yes",SD_Gen_23,SD_Gen_24)))))</f>
        <v>No Heating Media Temperature was noted</v>
      </c>
      <c r="AG80" s="2049"/>
      <c r="AH80" s="39" t="str">
        <f>IF(Exclude_MI="Only MI",SD_Gen_1,IF(Reactive_Only="Yes",SD_Gen_3,IF(Heating_T_Input="",SD_Gen_22,IF(Reaction_withExtHeat="Yes",SD_Rx_7,IF(Relief_HtTrans="Yes",SD_Gen_23,SD_Gen_24)))))</f>
        <v>No Heating Media Temperature was noted</v>
      </c>
      <c r="AI80" s="39"/>
      <c r="AK80" s="39" t="str">
        <f>IF(Equipment="Fired Equipment - Process Heater",IED_Gen_1,IF(Equipment="Distillation",IED_Gen_16,IED_Gen_3))</f>
        <v>Failure of Flow Control</v>
      </c>
      <c r="AL80" s="39" t="str">
        <f>IF(Equipment="Fired Equipment - Process Heater","Start-up of Fired Unit with Valves Closed during Infrequent Maintenance","")</f>
        <v/>
      </c>
      <c r="AM80" s="39"/>
      <c r="AN80" s="39"/>
      <c r="AO80" s="39"/>
      <c r="AP80" s="39"/>
      <c r="AQ80" s="738"/>
      <c r="AR80" s="39"/>
      <c r="AS80" s="1001"/>
      <c r="AT80" s="39"/>
      <c r="AU80" s="39"/>
      <c r="AV80" s="39"/>
      <c r="AW80" s="39"/>
      <c r="AX80" s="39"/>
      <c r="AY80" s="39"/>
      <c r="AZ80" s="39"/>
      <c r="BA80" s="39" t="str">
        <f>IED_Gen_57</f>
        <v>Loss of cooling or refrigeration capability (power, instrument air, etc.)</v>
      </c>
      <c r="BB80" s="39"/>
      <c r="BC80" s="39"/>
      <c r="BD80" s="39"/>
      <c r="BE80" s="39"/>
      <c r="BF80" s="39"/>
      <c r="BG80" s="39"/>
      <c r="BH80" s="39"/>
      <c r="BJ80" s="39"/>
      <c r="BK80" s="39"/>
      <c r="BL80" s="1852"/>
      <c r="BM80" s="39"/>
      <c r="BN80" s="39"/>
      <c r="BO80" s="3180"/>
      <c r="BP80" s="3180"/>
      <c r="BQ80" s="39"/>
      <c r="BR80" s="39"/>
      <c r="BS80" s="39"/>
      <c r="BT80" s="39"/>
      <c r="BU80" s="1852"/>
      <c r="BV80" s="1852"/>
      <c r="BW80" s="39"/>
      <c r="BX80" s="39"/>
      <c r="BY80" s="39"/>
      <c r="BZ80" s="39"/>
      <c r="CA80" s="39"/>
      <c r="CB80" s="39"/>
      <c r="CC80" s="39"/>
      <c r="CD80" s="39"/>
      <c r="CE80" s="39"/>
      <c r="CF80" s="1475"/>
      <c r="CG80" s="39"/>
      <c r="CH80" s="39"/>
      <c r="CI80" s="39"/>
      <c r="CJ80" s="39"/>
      <c r="CK80" s="39"/>
      <c r="CL80" s="1036"/>
      <c r="CM80" s="738"/>
      <c r="CN80" s="738"/>
      <c r="CO80" s="39"/>
      <c r="CP80" s="39"/>
      <c r="CQ80" s="39"/>
      <c r="CR80" s="39"/>
      <c r="CS80" s="39"/>
      <c r="CT80" s="39"/>
      <c r="CU80" s="39"/>
      <c r="CV80" s="782"/>
      <c r="CW80" s="39"/>
      <c r="CX80" s="39"/>
      <c r="CY80" s="39"/>
      <c r="CZ80" s="39"/>
      <c r="DA80" s="39"/>
      <c r="DB80" s="39"/>
      <c r="DC80" s="2039"/>
      <c r="DD80" s="39"/>
      <c r="DE80" s="39" t="str">
        <f>IPLD_Gen_1</f>
        <v>Pressure Relief Device Sized for Scenario and verified by qualified Relief Designer</v>
      </c>
      <c r="DF80" s="500"/>
      <c r="DG80" s="39"/>
      <c r="DH80" s="39" t="str">
        <f>IPLD_Gen_1</f>
        <v>Pressure Relief Device Sized for Scenario and verified by qualified Relief Designer</v>
      </c>
      <c r="DI80" s="39"/>
      <c r="DJ80" s="39"/>
    </row>
    <row r="81" spans="3:114" x14ac:dyDescent="0.25">
      <c r="C81" s="39" t="str">
        <f t="shared" si="20"/>
        <v>Excessive Heat Input - Mechanical</v>
      </c>
      <c r="D81" s="19"/>
      <c r="E81" s="39" t="str">
        <f>IF(Exclude_MI="Only MI",SD_Gen_1,IF(Reactive_Only="Yes",SD_Gen_3,IF(Motor_Input="",SD_Gen_25,IF(Reaction_withExtHeat="Yes",SD_Rx_7,IF(Relief_MechEng="Yes",SD_Gen_26,SD_Gen_27)))))</f>
        <v>No Mechanical Energy Input was noted</v>
      </c>
      <c r="F81" s="39"/>
      <c r="G81" s="39" t="str">
        <f>IF(Exclude_MI="Only MI",SD_Gen_1,IF(Reactive_Only="Yes",SD_Gen_3,SD_Gen_43))</f>
        <v>Frictional Heat results in Decomposition or Ignition of Solid Material</v>
      </c>
      <c r="H81" s="39"/>
      <c r="I81" s="39" t="str">
        <f>IF(Exclude_MI="Only MI",SD_Gen_1,IF(Reactive_Only="Yes",SD_Gen_3,SD_Gen_43))</f>
        <v>Frictional Heat results in Decomposition or Ignition of Solid Material</v>
      </c>
      <c r="J81" s="39"/>
      <c r="K81" s="39" t="str">
        <f>IF(Exclude_MI="Only MI",SD_Gen_1,IF(Reactive_Only="Yes",SD_Gen_3,IF(Motor_Input="",SD_Gen_25,IF(Reaction_withExtHeat="Yes",SD_Rx_7,IF(Relief_MechEng="Yes",SD_Gen_26,SD_Gen_27)))))</f>
        <v>No Mechanical Energy Input was noted</v>
      </c>
      <c r="L81" s="39"/>
      <c r="M81" s="39"/>
      <c r="N81" s="39" t="str">
        <f>IF(Exclude_MI="Only MI",SD_Gen_1,IF(Reactive_Only="Yes",SD_Gen_3,SD_Gen_43))</f>
        <v>Frictional Heat results in Decomposition or Ignition of Solid Material</v>
      </c>
      <c r="O81" s="39"/>
      <c r="P81" s="39"/>
      <c r="Q81" s="39" t="str">
        <f>IF(Exclude_MI="Only MI",SD_Gen_1,IF(Reactive_Only="Yes",SD_Gen_3,IF(Motor_Input="",SD_Gen_25,IF(Reaction_withExtHeat="Yes",SD_Rx_7,IF(Relief_MechEng="Yes",SD_Gen_26,SD_Gen_27)))))</f>
        <v>No Mechanical Energy Input was noted</v>
      </c>
      <c r="R81" s="39"/>
      <c r="S81" s="39"/>
      <c r="T81" s="39"/>
      <c r="U81" s="39"/>
      <c r="V81" s="39"/>
      <c r="W81" s="39"/>
      <c r="X81" s="39"/>
      <c r="Y81" s="39" t="str">
        <f>IF(Exclude_MI="Only MI",SD_Gen_1,IF(Reactive_Only="Yes",SD_Gen_3,IF(Motor_Input="",SD_Gen_25,IF(Reaction_withExtHeat="Yes",SD_Rx_7,IF(Relief_MechEng="Yes",SD_Gen_26,SD_Gen_27)))))</f>
        <v>No Mechanical Energy Input was noted</v>
      </c>
      <c r="Z81" s="39"/>
      <c r="AA81" s="39" t="str">
        <f>IF(Exclude_MI="Only MI",SD_Gen_1,IF(Reactive_Only="Yes",SD_Gen_3,SD_Gen_43))</f>
        <v>Frictional Heat results in Decomposition or Ignition of Solid Material</v>
      </c>
      <c r="AB81" s="39"/>
      <c r="AC81" s="39"/>
      <c r="AD81" s="39"/>
      <c r="AE81" s="39" t="str">
        <f>IF(Exclude_MI="Only MI",SD_Gen_1,IF(Reactive_Only="Yes",SD_Gen_3,IF(Motor_Input="",SD_Gen_25,IF(Reaction_withExtHeat="Yes",SD_Rx_7,IF(Relief_MechEng="Yes",SD_Gen_26,SD_Gen_27)))))</f>
        <v>No Mechanical Energy Input was noted</v>
      </c>
      <c r="AF81" s="39" t="str">
        <f>IF(Exclude_MI="Only MI",SD_Gen_1,IF(Reactive_Only="Yes",SD_Gen_3,IF(Motor_Input="",SD_Gen_25,IF(Reaction_withExtHeat="Yes",SD_Rx_7,IF(Relief_MechEng="Yes",SD_Gen_26,SD_Gen_27)))))</f>
        <v>No Mechanical Energy Input was noted</v>
      </c>
      <c r="AG81" s="2049"/>
      <c r="AH81" s="39" t="str">
        <f>IF(Exclude_MI="Only MI",SD_Gen_1,IF(Reactive_Only="Yes",SD_Gen_3,IF(Motor_Input="",SD_Gen_25,IF(Reaction_withExtHeat="Yes",SD_Rx_7,IF(Relief_MechEng="Yes",SD_Gen_26,SD_Gen_27)))))</f>
        <v>No Mechanical Energy Input was noted</v>
      </c>
      <c r="AI81" s="39"/>
      <c r="AK81" s="39" t="str">
        <f>IF(Equipment="Heat Exchanger",IED_Gen_11,IED_Gen_15)</f>
        <v>Loss of Cooling for extended time allowing slow temperature increase</v>
      </c>
      <c r="AL81" s="39"/>
      <c r="AM81" s="39" t="str">
        <f>IED_D_8</f>
        <v>Failure of Seals, Bearings from Dust Build-up</v>
      </c>
      <c r="AN81" s="39" t="str">
        <f>IED_Gen_30</f>
        <v>Agitation or Pump Recirculation left running for extended time allowing slow temperature increase</v>
      </c>
      <c r="AO81" s="39"/>
      <c r="AP81" s="39"/>
      <c r="AQ81" s="738"/>
      <c r="AR81" s="39"/>
      <c r="AS81" s="1001"/>
      <c r="AT81" s="39"/>
      <c r="AU81" s="39"/>
      <c r="AV81" s="39"/>
      <c r="AW81" s="39"/>
      <c r="AX81" s="39"/>
      <c r="AY81" s="39"/>
      <c r="AZ81" s="39"/>
      <c r="BA81" s="39"/>
      <c r="BB81" s="39"/>
      <c r="BC81" s="39"/>
      <c r="BD81" s="39"/>
      <c r="BE81" s="39"/>
      <c r="BF81" s="39"/>
      <c r="BG81" s="39"/>
      <c r="BH81" s="39"/>
      <c r="BJ81" s="39"/>
      <c r="BK81" s="39"/>
      <c r="BL81" s="1852"/>
      <c r="BM81" s="39"/>
      <c r="BN81" s="39"/>
      <c r="BO81" s="3180"/>
      <c r="BP81" s="3180"/>
      <c r="BQ81" s="39"/>
      <c r="BR81" s="39"/>
      <c r="BS81" s="39"/>
      <c r="BT81" s="39"/>
      <c r="BU81" s="1852"/>
      <c r="BV81" s="1852"/>
      <c r="BW81" s="39"/>
      <c r="BX81" s="39"/>
      <c r="BY81" s="39"/>
      <c r="BZ81" s="39"/>
      <c r="CA81" s="39"/>
      <c r="CB81" s="39"/>
      <c r="CC81" s="39"/>
      <c r="CD81" s="39"/>
      <c r="CE81" s="39"/>
      <c r="CF81" s="1475"/>
      <c r="CG81" s="39"/>
      <c r="CH81" s="39"/>
      <c r="CI81" s="39"/>
      <c r="CJ81" s="39"/>
      <c r="CK81" s="39"/>
      <c r="CL81" s="1036"/>
      <c r="CM81" s="738"/>
      <c r="CN81" s="738"/>
      <c r="CO81" s="39"/>
      <c r="CP81" s="39"/>
      <c r="CQ81" s="39"/>
      <c r="CR81" s="39"/>
      <c r="CS81" s="39"/>
      <c r="CT81" s="39"/>
      <c r="CU81" s="39"/>
      <c r="CV81" s="782"/>
      <c r="CW81" s="39"/>
      <c r="CX81" s="39"/>
      <c r="CY81" s="39"/>
      <c r="CZ81" s="39"/>
      <c r="DA81" s="39"/>
      <c r="DB81" s="39"/>
      <c r="DC81" s="2039"/>
      <c r="DD81" s="39"/>
      <c r="DE81" s="39" t="str">
        <f>IPLD_Gen_1</f>
        <v>Pressure Relief Device Sized for Scenario and verified by qualified Relief Designer</v>
      </c>
      <c r="DF81" s="500"/>
      <c r="DG81" s="39"/>
      <c r="DH81" s="39" t="str">
        <f>IPLD_Gen_1</f>
        <v>Pressure Relief Device Sized for Scenario and verified by qualified Relief Designer</v>
      </c>
      <c r="DI81" s="39"/>
      <c r="DJ81" s="39"/>
    </row>
    <row r="82" spans="3:114" x14ac:dyDescent="0.25">
      <c r="C82" s="39" t="str">
        <f t="shared" si="20"/>
        <v>Excessive Heat Input - Pool Fire Exposure</v>
      </c>
      <c r="D82" s="19"/>
      <c r="E82" s="39" t="str">
        <f>IF(Exclude_MI="Only MI",SD_Gen_1,IF(Reactive_Only="Yes",SD_Gen_3,IF(Fire_Potential&lt;&gt;"Yes",SD_Gen_15,IF(Reactive_Potential_Fire="Yes",SD_Gen_11,IF(Fv+Fd&gt;0.95,SD_Gen_16,IF(Elevation_30ft="Yes",SD_Gen_17,IF(AND(Fire_Duration&lt;&gt;"Yes",Fire_Duration_Rupture&lt;&gt;"Yes"),SD_Gen_18,SD_Gen_21)))))))</f>
        <v>Insufficient Quantity of Flammable in immediate area for pool fire is noted and Chemical handled is Not flammable or combustible</v>
      </c>
      <c r="F82" s="39"/>
      <c r="G82" s="39"/>
      <c r="H82" s="39"/>
      <c r="I82" s="39"/>
      <c r="J82" s="39"/>
      <c r="K82" s="39" t="str">
        <f>IF(Exclude_MI="Only MI",SD_Gen_1,IF(Reactive_Only="Yes",SD_Gen_3,IF(Fire_Potential&lt;&gt;"Yes",SD_Gen_15,IF(Reactive_Potential_Fire="Yes",SD_Gen_11,IF(Fv+Fd&gt;0.95,SD_Gen_16,IF(Elevation_30ft="Yes",SD_Gen_17,IF(AND(Fire_Duration&lt;&gt;"Yes",Fire_Duration_Rupture&lt;&gt;"Yes"),SD_Gen_18,SD_Gen_21)))))))</f>
        <v>Insufficient Quantity of Flammable in immediate area for pool fire is noted and Chemical handled is Not flammable or combustible</v>
      </c>
      <c r="L82" s="39"/>
      <c r="M82" s="39"/>
      <c r="N82" s="39"/>
      <c r="O82" s="39"/>
      <c r="P82" s="39"/>
      <c r="Q82" s="39" t="str">
        <f>IF(Exclude_MI="Only MI",SD_Gen_1,IF(Reactive_Only="Yes",SD_Gen_3,IF(Fire_Potential&lt;&gt;"Yes",SD_Gen_15,IF(Reactive_Potential_Fire="Yes",SD_Gen_11,IF(Fv+Fd&gt;0.95,SD_Gen_16,IF(Elevation_30ft="Yes",SD_Gen_17,IF(AND(Fire_Duration&lt;&gt;"Yes",Fire_Duration_Rupture&lt;&gt;"Yes"),SD_Gen_18,SD_Gen_21)))))))</f>
        <v>Insufficient Quantity of Flammable in immediate area for pool fire is noted and Chemical handled is Not flammable or combustible</v>
      </c>
      <c r="R82" s="39" t="str">
        <f>IF(Exclude_MI="Only MI",SD_Gen_1,IF(Reactive_Only="Yes",SD_Gen_3,IF(Fire_Potential&lt;&gt;"Yes",SD_Gen_15,IF(Reactive_Potential_Fire="Yes",SD_Gen_11,IF(Fv+Fd&gt;0.95,SD_Gen_16,IF(Elevation_30ft="Yes",SD_Gen_17,IF(AND(Fire_Duration&lt;&gt;"Yes",Fire_Duration_Rupture&lt;&gt;"Yes"),SD_Gen_18,SD_Gen_21)))))))</f>
        <v>Insufficient Quantity of Flammable in immediate area for pool fire is noted and Chemical handled is Not flammable or combustible</v>
      </c>
      <c r="S82" s="39"/>
      <c r="T82" s="39"/>
      <c r="U82" s="39"/>
      <c r="V82" s="39"/>
      <c r="W82" s="39"/>
      <c r="X82" s="39"/>
      <c r="Y82" s="39" t="str">
        <f>IF(Exclude_MI="Only MI",SD_Gen_1,IF(Reactive_Only="Yes",SD_Gen_3,IF(Fire_Potential&lt;&gt;"Yes",SD_Gen_15,IF(Reactive_Potential_Fire="Yes",SD_Gen_11,IF(Fv+Fd&gt;0.95,SD_Gen_16,IF(Elevation_30ft="Yes",SD_Gen_17,IF(AND(Fire_Duration&lt;&gt;"Yes",Fire_Duration_Rupture&lt;&gt;"Yes"),SD_Gen_18,SD_Gen_21)))))))</f>
        <v>Insufficient Quantity of Flammable in immediate area for pool fire is noted and Chemical handled is Not flammable or combustible</v>
      </c>
      <c r="Z82" s="39"/>
      <c r="AA82" s="39"/>
      <c r="AB82" s="39"/>
      <c r="AC82" s="39"/>
      <c r="AD82" s="39"/>
      <c r="AE82" s="39" t="str">
        <f>IF(Exclude_MI="Only MI",SD_Gen_1,IF(Reactive_Only="Yes",SD_Gen_3,IF(Fire_Potential&lt;&gt;"Yes",SD_Gen_15,IF(Reactive_Potential_Fire="Yes",SD_Gen_11,IF(Fv+Fd&gt;0.95,SD_Gen_16,IF(Elevation_30ft="Yes",SD_Gen_17,IF(AND(Fire_Duration&lt;&gt;"Yes",Fire_Duration_Rupture&lt;&gt;"Yes"),SD_Gen_18,SD_Gen_21)))))))</f>
        <v>Insufficient Quantity of Flammable in immediate area for pool fire is noted and Chemical handled is Not flammable or combustible</v>
      </c>
      <c r="AF82" s="39" t="str">
        <f>IF(Exclude_MI="Only MI",SD_Gen_1,IF(Reactive_Only="Yes",SD_Gen_3,IF(Fire_Potential&lt;&gt;"Yes",SD_Gen_15,IF(Reactive_Potential_Fire="Yes",SD_Gen_11,IF(Fv+Fd&gt;0.95,SD_Gen_16,IF(Elevation_30ft="Yes",SD_Gen_17,IF(AND(Fire_Duration&lt;&gt;"Yes",Fire_Duration_Rupture&lt;&gt;"Yes"),SD_Gen_18,SD_Gen_21)))))))</f>
        <v>Insufficient Quantity of Flammable in immediate area for pool fire is noted and Chemical handled is Not flammable or combustible</v>
      </c>
      <c r="AG82" s="2049"/>
      <c r="AH82" s="39" t="str">
        <f>IF(Exclude_MI="Only MI",SD_Gen_1,IF(Reactive_Only="Yes",SD_Gen_3,IF(Fire_Potential&lt;&gt;"Yes",SD_Gen_15,IF(Reactive_Potential_Fire="Yes",SD_Gen_11,IF(Fv+Fd&gt;0.95,SD_Gen_16,IF(Elevation_30ft="Yes",SD_Gen_17,IF(AND(Fire_Duration&lt;&gt;"Yes",Fire_Duration_Rupture&lt;&gt;"Yes"),SD_Gen_18,SD_Gen_21)))))))</f>
        <v>Insufficient Quantity of Flammable in immediate area for pool fire is noted and Chemical handled is Not flammable or combustible</v>
      </c>
      <c r="AI82" s="39"/>
      <c r="AK82" s="39"/>
      <c r="AL82" s="39"/>
      <c r="AM82" s="39"/>
      <c r="AN82" s="39"/>
      <c r="AO82" s="39"/>
      <c r="AP82" s="39"/>
      <c r="AQ82" s="738"/>
      <c r="AR82" s="39"/>
      <c r="AS82" s="1001"/>
      <c r="AT82" s="39"/>
      <c r="AU82" s="39"/>
      <c r="AV82" s="39"/>
      <c r="AW82" s="39"/>
      <c r="AX82" s="39"/>
      <c r="AY82" s="39"/>
      <c r="AZ82" s="39"/>
      <c r="BA82" s="39"/>
      <c r="BB82" s="39"/>
      <c r="BC82" s="39"/>
      <c r="BD82" s="39" t="str">
        <f>IED_Gen_40</f>
        <v>Leak of Flammable Material or Material above its Flash Point which may ignite</v>
      </c>
      <c r="BE82" s="39" t="str">
        <f>IED_Gen_40</f>
        <v>Leak of Flammable Material or Material above its Flash Point which may ignite</v>
      </c>
      <c r="BF82" s="39" t="str">
        <f>IED_Gen_40</f>
        <v>Leak of Flammable Material or Material above its Flash Point which may ignite</v>
      </c>
      <c r="BG82" s="39" t="str">
        <f>IED_Gen_41</f>
        <v>Leak of combustible material (requires Hot Surface, Lightning Strike, etc. For ignition)</v>
      </c>
      <c r="BH82" s="39"/>
      <c r="BJ82" s="39"/>
      <c r="BK82" s="39"/>
      <c r="BL82" s="1852"/>
      <c r="BM82" s="39"/>
      <c r="BN82" s="39"/>
      <c r="BO82" s="3180"/>
      <c r="BP82" s="3180"/>
      <c r="BQ82" s="39"/>
      <c r="BR82" s="39"/>
      <c r="BS82" s="39"/>
      <c r="BT82" s="39"/>
      <c r="BU82" s="1852"/>
      <c r="BV82" s="1852"/>
      <c r="BW82" s="39"/>
      <c r="BX82" s="39"/>
      <c r="BY82" s="39"/>
      <c r="BZ82" s="39"/>
      <c r="CA82" s="39"/>
      <c r="CB82" s="39"/>
      <c r="CC82" s="39"/>
      <c r="CD82" s="39"/>
      <c r="CE82" s="39"/>
      <c r="CF82" s="1475"/>
      <c r="CG82" s="39"/>
      <c r="CH82" s="39"/>
      <c r="CI82" s="39"/>
      <c r="CJ82" s="39"/>
      <c r="CK82" s="39"/>
      <c r="CL82" s="1036"/>
      <c r="CM82" s="738"/>
      <c r="CN82" s="738"/>
      <c r="CO82" s="39"/>
      <c r="CP82" s="39"/>
      <c r="CQ82" s="39"/>
      <c r="CR82" s="39"/>
      <c r="CS82" s="39"/>
      <c r="CT82" s="39"/>
      <c r="CU82" s="39"/>
      <c r="CV82" s="782"/>
      <c r="CW82" s="39"/>
      <c r="CX82" s="39"/>
      <c r="CY82" s="39"/>
      <c r="CZ82" s="39"/>
      <c r="DA82" s="39"/>
      <c r="DB82" s="39"/>
      <c r="DC82" s="2039"/>
      <c r="DD82" s="39"/>
      <c r="DE82" s="39"/>
      <c r="DF82" s="500"/>
      <c r="DG82" s="39" t="str">
        <f>IPLD_Gen_1</f>
        <v>Pressure Relief Device Sized for Scenario and verified by qualified Relief Designer</v>
      </c>
      <c r="DH82" s="39"/>
      <c r="DI82" s="39"/>
      <c r="DJ82" s="39"/>
    </row>
    <row r="83" spans="3:114" x14ac:dyDescent="0.25">
      <c r="C83" s="39" t="str">
        <f t="shared" si="20"/>
        <v>Excessive Pad Gas Pressure</v>
      </c>
      <c r="D83" s="19"/>
      <c r="E83" s="2394"/>
      <c r="F83" s="2394"/>
      <c r="G83" s="2394"/>
      <c r="H83" s="2394"/>
      <c r="I83" s="2394"/>
      <c r="J83" s="2394"/>
      <c r="K83" s="2394"/>
      <c r="L83" s="39" t="str">
        <f>IF(Exclude_MI="Only MI",SD_Gen_1,IF(Reactive_Only="Yes",SD_Gen_3,IF(AND(State="Liquid",Max_Inert_P&gt;IF(Relief_Set_Input="",MAWP,Relief_Set)),SD_Gen_47,SD_Gen_48)))</f>
        <v>Maximum Pad Gas Pressure Exceeds the Maximum Allowable Working Pressure or Relief Set Pressure</v>
      </c>
      <c r="M83" s="2394"/>
      <c r="N83" s="2394"/>
      <c r="O83" s="2394"/>
      <c r="P83" s="2394"/>
      <c r="Q83" s="2394"/>
      <c r="R83" s="2394"/>
      <c r="S83" s="2394"/>
      <c r="T83" s="2394"/>
      <c r="U83" s="2394"/>
      <c r="V83" s="2394"/>
      <c r="W83" s="2394"/>
      <c r="X83" s="2394"/>
      <c r="Y83" s="39"/>
      <c r="Z83" s="2394"/>
      <c r="AA83" s="2394"/>
      <c r="AB83" s="2394"/>
      <c r="AC83" s="2394"/>
      <c r="AD83" s="2394"/>
      <c r="AE83" s="39" t="str">
        <f>IF(Exclude_MI="Only MI",SD_Gen_1,IF(Reactive_Only="Yes",SD_Gen_3,IF(AND(State="Liquid",Max_Inert_P&gt;IF(Relief_Set_Input="",MAWP,Relief_Set)),SD_Gen_47,SD_Gen_48)))</f>
        <v>Maximum Pad Gas Pressure Exceeds the Maximum Allowable Working Pressure or Relief Set Pressure</v>
      </c>
      <c r="AF83" s="39" t="str">
        <f>IF(Exclude_MI="Only MI",SD_Gen_1,IF(Reactive_Only="Yes",SD_Gen_3,IF(AND(State="Liquid",Max_Inert_P&gt;IF(Relief_Set_Input="",MAWP,Relief_Set)),SD_Gen_47,SD_Gen_48)))</f>
        <v>Maximum Pad Gas Pressure Exceeds the Maximum Allowable Working Pressure or Relief Set Pressure</v>
      </c>
      <c r="AG83" s="2394"/>
      <c r="AH83" s="39" t="str">
        <f>IF(Exclude_MI="Only MI",SD_Gen_1,IF(Reactive_Only="Yes",SD_Gen_3,IF(AND(State="Liquid",Max_Inert_P&gt;IF(Relief_Set_Input="",MAWP,Relief_Set)),SD_Gen_47,SD_Gen_48)))</f>
        <v>Maximum Pad Gas Pressure Exceeds the Maximum Allowable Working Pressure or Relief Set Pressure</v>
      </c>
      <c r="AI83" s="2394"/>
      <c r="AK83" s="39"/>
      <c r="AL83" s="39"/>
      <c r="AM83" s="39" t="str">
        <f>IED_Gen_61</f>
        <v>Failure of Floating Roof allowing Pressure Damage</v>
      </c>
      <c r="AN83" s="39"/>
      <c r="AO83" s="39"/>
      <c r="AP83" s="39"/>
      <c r="AQ83" s="738"/>
      <c r="AR83" s="39"/>
      <c r="AS83" s="1001"/>
      <c r="AT83" s="39"/>
      <c r="AU83" s="39"/>
      <c r="AV83" s="39"/>
      <c r="AW83" s="39" t="str">
        <f>IED_Gen_51</f>
        <v>Regulator Fails causing high flow or pressure</v>
      </c>
      <c r="AX83" s="39"/>
      <c r="AY83" s="39"/>
      <c r="AZ83" s="39"/>
      <c r="BA83" s="39"/>
      <c r="BB83" s="39"/>
      <c r="BC83" s="39"/>
      <c r="BD83" s="39"/>
      <c r="BE83" s="39"/>
      <c r="BF83" s="39"/>
      <c r="BG83" s="39"/>
      <c r="BH83" s="39"/>
      <c r="BJ83" s="39"/>
      <c r="BK83" s="39"/>
      <c r="BL83" s="1852"/>
      <c r="BM83" s="39"/>
      <c r="BN83" s="39"/>
      <c r="BO83" s="3180"/>
      <c r="BP83" s="3180"/>
      <c r="BQ83" s="39"/>
      <c r="BR83" s="39"/>
      <c r="BS83" s="39"/>
      <c r="BT83" s="39"/>
      <c r="BU83" s="1852"/>
      <c r="BV83" s="1852"/>
      <c r="BW83" s="39"/>
      <c r="BX83" s="39"/>
      <c r="BY83" s="39"/>
      <c r="BZ83" s="39"/>
      <c r="CA83" s="39"/>
      <c r="CB83" s="39"/>
      <c r="CC83" s="39"/>
      <c r="CD83" s="39"/>
      <c r="CE83" s="39"/>
      <c r="CF83" s="1475"/>
      <c r="CG83" s="39"/>
      <c r="CH83" s="39"/>
      <c r="CI83" s="39"/>
      <c r="CJ83" s="39"/>
      <c r="CK83" s="39"/>
      <c r="CL83" s="1036"/>
      <c r="CM83" s="738"/>
      <c r="CN83" s="738"/>
      <c r="CO83" s="39"/>
      <c r="CP83" s="39"/>
      <c r="CQ83" s="39"/>
      <c r="CR83" s="39"/>
      <c r="CS83" s="39"/>
      <c r="CT83" s="39"/>
      <c r="CU83" s="39"/>
      <c r="CV83" s="782"/>
      <c r="CW83" s="39"/>
      <c r="CX83" s="39"/>
      <c r="CY83" s="39"/>
      <c r="CZ83" s="39"/>
      <c r="DA83" s="39"/>
      <c r="DB83" s="39"/>
      <c r="DC83" s="2039"/>
      <c r="DD83" s="39" t="str">
        <f>IPLD_Gen_1</f>
        <v>Pressure Relief Device Sized for Scenario and verified by qualified Relief Designer</v>
      </c>
      <c r="DE83" s="39"/>
      <c r="DF83" s="500"/>
      <c r="DG83" s="39"/>
      <c r="DH83" s="39"/>
      <c r="DI83" s="39"/>
      <c r="DJ83" s="39"/>
    </row>
    <row r="84" spans="3:114" x14ac:dyDescent="0.25">
      <c r="C84" s="39" t="str">
        <f t="shared" si="20"/>
        <v>Excessive Vapor Feed Flow</v>
      </c>
      <c r="D84" s="19"/>
      <c r="E84" s="2394"/>
      <c r="F84" s="2394"/>
      <c r="G84" s="2394"/>
      <c r="H84" s="2394"/>
      <c r="I84" s="2394"/>
      <c r="J84" s="2394"/>
      <c r="K84" s="2394"/>
      <c r="L84" s="2394" t="str">
        <f>IF(Exclude_MI="Only MI",SD_Gen_1,IF(Reactive_Only="Yes",SD_Gen_3,IF(AND(State="Vapor",Max_Feed_P&gt;IF(Relief_Set_Input="",MAWP,Relief_Set)),SD_Gen_45,SD_Gen_35)))</f>
        <v>Maximum Vapor Feed Pressure Does Not exceeds the Maximum Allowable Working Pressure</v>
      </c>
      <c r="M84" s="2394"/>
      <c r="N84" s="2394"/>
      <c r="O84" s="2394"/>
      <c r="P84" s="2394"/>
      <c r="Q84" s="2394"/>
      <c r="R84" s="2394"/>
      <c r="S84" s="2394"/>
      <c r="T84" s="2394"/>
      <c r="U84" s="2394"/>
      <c r="V84" s="2394"/>
      <c r="W84" s="2394"/>
      <c r="X84" s="2394"/>
      <c r="Y84" s="2394" t="str">
        <f>IF(Exclude_MI="Only MI",SD_Gen_1,IF(Reactive_Only="Yes",SD_Gen_3,IF(AND(State="Vapor",Max_Feed_P&gt;IF(Relief_Set_Input="",MAWP,Relief_Set)),SD_Gen_45,SD_Gen_35)))</f>
        <v>Maximum Vapor Feed Pressure Does Not exceeds the Maximum Allowable Working Pressure</v>
      </c>
      <c r="Z84" s="2394"/>
      <c r="AA84" s="2394"/>
      <c r="AB84" s="2394"/>
      <c r="AC84" s="2394"/>
      <c r="AD84" s="2394"/>
      <c r="AE84" s="2394" t="str">
        <f>IF(Exclude_MI="Only MI",SD_Gen_1,IF(Reactive_Only="Yes",SD_Gen_3,IF(AND(State="Vapor",Max_Feed_P&gt;IF(Relief_Set_Input="",MAWP,Relief_Set)),SD_Gen_45,SD_Gen_35)))</f>
        <v>Maximum Vapor Feed Pressure Does Not exceeds the Maximum Allowable Working Pressure</v>
      </c>
      <c r="AF84" s="2394" t="str">
        <f>IF(Exclude_MI="Only MI",SD_Gen_1,IF(Reactive_Only="Yes",SD_Gen_3,IF(AND(State="Vapor",Max_Feed_P&gt;IF(Relief_Set_Input="",MAWP,Relief_Set)),SD_Gen_45,SD_Gen_35)))</f>
        <v>Maximum Vapor Feed Pressure Does Not exceeds the Maximum Allowable Working Pressure</v>
      </c>
      <c r="AG84" s="2394"/>
      <c r="AH84" s="2394" t="str">
        <f>IF(Exclude_MI="Only MI",SD_Gen_1,IF(Reactive_Only="Yes",SD_Gen_3,IF(AND(State="Vapor",Max_Feed_P&gt;IF(Relief_Set_Input="",MAWP,Relief_Set)),SD_Gen_45,SD_Gen_35)))</f>
        <v>Maximum Vapor Feed Pressure Does Not exceeds the Maximum Allowable Working Pressure</v>
      </c>
      <c r="AI84" s="39"/>
      <c r="AK84" s="39" t="str">
        <f>IED_Gen_2</f>
        <v>Failure of Pressure Control</v>
      </c>
      <c r="AL84" s="2394"/>
      <c r="AM84" s="2394"/>
      <c r="AN84" s="2394"/>
      <c r="AO84" s="2394"/>
      <c r="AP84" s="2394"/>
      <c r="AQ84" s="2394"/>
      <c r="AR84" s="2394"/>
      <c r="AS84" s="2394"/>
      <c r="AT84" s="2394"/>
      <c r="AU84" s="2394"/>
      <c r="AV84" s="2394"/>
      <c r="AW84" s="2394"/>
      <c r="AX84" s="2394"/>
      <c r="AY84" s="2394"/>
      <c r="AZ84" s="2394"/>
      <c r="BA84" s="2394"/>
      <c r="BB84" s="2394"/>
      <c r="BC84" s="2394"/>
      <c r="BD84" s="2394"/>
      <c r="BE84" s="2394"/>
      <c r="BF84" s="2394"/>
      <c r="BG84" s="2394"/>
      <c r="BH84" s="2394"/>
      <c r="BJ84" s="2394"/>
      <c r="BK84" s="2394"/>
      <c r="BL84" s="2394"/>
      <c r="BM84" s="2394"/>
      <c r="BN84" s="2394"/>
      <c r="BO84" s="3180"/>
      <c r="BP84" s="3180"/>
      <c r="BQ84" s="2394"/>
      <c r="BR84" s="2394"/>
      <c r="BS84" s="2394"/>
      <c r="BT84" s="2394"/>
      <c r="BU84" s="2394"/>
      <c r="BV84" s="2394"/>
      <c r="BW84" s="2394"/>
      <c r="BX84" s="2394"/>
      <c r="BY84" s="2394"/>
      <c r="BZ84" s="2394"/>
      <c r="CA84" s="2394"/>
      <c r="CB84" s="2394"/>
      <c r="CC84" s="2394"/>
      <c r="CD84" s="2394"/>
      <c r="CE84" s="2394"/>
      <c r="CF84" s="2394"/>
      <c r="CG84" s="2394"/>
      <c r="CH84" s="2394"/>
      <c r="CI84" s="2394"/>
      <c r="CJ84" s="2394"/>
      <c r="CK84" s="2394"/>
      <c r="CL84" s="2394"/>
      <c r="CM84" s="2394"/>
      <c r="CN84" s="2394"/>
      <c r="CO84" s="2394"/>
      <c r="CP84" s="2394"/>
      <c r="CQ84" s="2394"/>
      <c r="CR84" s="2394"/>
      <c r="CS84" s="2394"/>
      <c r="CT84" s="2394"/>
      <c r="CU84" s="2394"/>
      <c r="CV84" s="2394"/>
      <c r="CW84" s="2394"/>
      <c r="CX84" s="2394"/>
      <c r="CY84" s="2394"/>
      <c r="CZ84" s="2394"/>
      <c r="DA84" s="2394"/>
      <c r="DB84" s="2394"/>
      <c r="DC84" s="2394"/>
      <c r="DD84" s="39" t="str">
        <f>IPLD_Gen_1</f>
        <v>Pressure Relief Device Sized for Scenario and verified by qualified Relief Designer</v>
      </c>
      <c r="DE84" s="2394"/>
      <c r="DF84" s="2394"/>
      <c r="DG84" s="2394"/>
      <c r="DH84" s="2394"/>
      <c r="DI84" s="2394"/>
      <c r="DJ84" s="2394"/>
    </row>
    <row r="85" spans="3:114" x14ac:dyDescent="0.25">
      <c r="C85" s="39" t="str">
        <f t="shared" ref="C85" si="21">C18</f>
        <v>Pad Gas Compression</v>
      </c>
      <c r="D85" s="19"/>
      <c r="E85" s="2394"/>
      <c r="F85" s="2394"/>
      <c r="G85" s="2394"/>
      <c r="H85" s="2394"/>
      <c r="I85" s="2394"/>
      <c r="J85" s="2394"/>
      <c r="K85" s="2394"/>
      <c r="L85" s="39" t="str">
        <f>IF(Exclude_MI="Only MI",SD_Gen_1,IF(Reactive_Only="Yes",SD_Gen_3,IF(MAX(Max_Feed_P,Downstr_P)&gt;IF(Relief_Set_Input="",MAWP,Relief_Set),SD_Gen_46,SD_Gen_53)))</f>
        <v>Compression of Pad Gas as Feed or Downstream Pressure exceeds the Maximum Allowable Working Pressure or Relief Set Pressure for Low Design Pressure Equipment.</v>
      </c>
      <c r="M85" s="2394"/>
      <c r="N85" s="2394"/>
      <c r="O85" s="2394"/>
      <c r="P85" s="2394"/>
      <c r="Q85" s="2394"/>
      <c r="R85" s="2394"/>
      <c r="S85" s="2394"/>
      <c r="T85" s="2394"/>
      <c r="U85" s="2394"/>
      <c r="V85" s="2394"/>
      <c r="W85" s="2394"/>
      <c r="X85" s="2394"/>
      <c r="Y85" s="39" t="str">
        <f>IF(Exclude_MI="Only MI",SD_Gen_1,IF(Reactive_Only="Yes",SD_Gen_3,IF(MAX(Max_Feed_P,Downstr_P)&gt;IF(Relief_Set_Input="",MAWP,Relief_Set),SD_Gen_46,SD_Gen_53)))</f>
        <v>Compression of Pad Gas as Feed or Downstream Pressure exceeds the Maximum Allowable Working Pressure or Relief Set Pressure for Low Design Pressure Equipment.</v>
      </c>
      <c r="Z85" s="2394"/>
      <c r="AA85" s="2394"/>
      <c r="AB85" s="2394"/>
      <c r="AC85" s="2394"/>
      <c r="AD85" s="2394"/>
      <c r="AE85" s="39" t="str">
        <f>IF(Exclude_MI="Only MI",SD_Gen_1,IF(Reactive_Only="Yes",SD_Gen_3,IF(MAX(Max_Feed_P,Downstr_P)&gt;IF(Relief_Set_Input="",MAWP,Relief_Set),SD_Gen_46,SD_Gen_53)))</f>
        <v>Compression of Pad Gas as Feed or Downstream Pressure exceeds the Maximum Allowable Working Pressure or Relief Set Pressure for Low Design Pressure Equipment.</v>
      </c>
      <c r="AF85" s="39" t="str">
        <f>IF(Exclude_MI="Only MI",SD_Gen_1,IF(Reactive_Only="Yes",SD_Gen_3,IF(MAX(Max_Feed_P,Downstr_P)&gt;IF(Relief_Set_Input="",MAWP,Relief_Set),SD_Gen_46,SD_Gen_53)))</f>
        <v>Compression of Pad Gas as Feed or Downstream Pressure exceeds the Maximum Allowable Working Pressure or Relief Set Pressure for Low Design Pressure Equipment.</v>
      </c>
      <c r="AG85" s="2394"/>
      <c r="AH85" s="39" t="str">
        <f>IF(Exclude_MI="Only MI",SD_Gen_1,IF(Reactive_Only="Yes",SD_Gen_3,IF(MAX(Max_Feed_P,Downstr_P)&gt;IF(Relief_Set_Input="",MAWP,Relief_Set),SD_Gen_46,SD_Gen_53)))</f>
        <v>Compression of Pad Gas as Feed or Downstream Pressure exceeds the Maximum Allowable Working Pressure or Relief Set Pressure for Low Design Pressure Equipment.</v>
      </c>
      <c r="AI85" s="2394"/>
      <c r="AK85" s="2394" t="str">
        <f>IED_Gen_2</f>
        <v>Failure of Pressure Control</v>
      </c>
      <c r="AL85" s="2394"/>
      <c r="AM85" s="2394"/>
      <c r="AN85" s="2394"/>
      <c r="AO85" s="2394"/>
      <c r="AP85" s="2394"/>
      <c r="AQ85" s="2394"/>
      <c r="AR85" s="2394"/>
      <c r="AS85" s="2394"/>
      <c r="AT85" s="2394"/>
      <c r="AU85" s="2394"/>
      <c r="AV85" s="2394"/>
      <c r="AW85" s="2394"/>
      <c r="AX85" s="2394"/>
      <c r="AY85" s="2394"/>
      <c r="AZ85" s="2394"/>
      <c r="BA85" s="2394"/>
      <c r="BB85" s="2394"/>
      <c r="BC85" s="2394"/>
      <c r="BD85" s="2394"/>
      <c r="BE85" s="2394"/>
      <c r="BF85" s="2394"/>
      <c r="BG85" s="2394"/>
      <c r="BH85" s="2394"/>
      <c r="BJ85" s="2394"/>
      <c r="BK85" s="2394"/>
      <c r="BL85" s="2394"/>
      <c r="BM85" s="2394"/>
      <c r="BN85" s="2394"/>
      <c r="BO85" s="3180"/>
      <c r="BP85" s="3180"/>
      <c r="BQ85" s="2394"/>
      <c r="BR85" s="2394"/>
      <c r="BS85" s="2394"/>
      <c r="BT85" s="2394"/>
      <c r="BU85" s="2394"/>
      <c r="BV85" s="2394"/>
      <c r="BW85" s="2394"/>
      <c r="BX85" s="2394"/>
      <c r="BY85" s="2394"/>
      <c r="BZ85" s="2394"/>
      <c r="CA85" s="2394"/>
      <c r="CB85" s="2394"/>
      <c r="CC85" s="2394"/>
      <c r="CD85" s="2394"/>
      <c r="CE85" s="2394"/>
      <c r="CF85" s="2394"/>
      <c r="CG85" s="2394"/>
      <c r="CH85" s="2394"/>
      <c r="CI85" s="2394"/>
      <c r="CJ85" s="2394"/>
      <c r="CK85" s="2394"/>
      <c r="CL85" s="2394"/>
      <c r="CM85" s="2394"/>
      <c r="CN85" s="2394"/>
      <c r="CO85" s="2394"/>
      <c r="CP85" s="2394"/>
      <c r="CQ85" s="2394"/>
      <c r="CR85" s="2394"/>
      <c r="CS85" s="2394"/>
      <c r="CT85" s="2394"/>
      <c r="CU85" s="2394"/>
      <c r="CV85" s="2394"/>
      <c r="CW85" s="2394"/>
      <c r="CX85" s="2394"/>
      <c r="CY85" s="2394"/>
      <c r="CZ85" s="2394"/>
      <c r="DA85" s="2394"/>
      <c r="DB85" s="2394"/>
      <c r="DC85" s="2394"/>
      <c r="DD85" s="39" t="str">
        <f>IPLD_Gen_1</f>
        <v>Pressure Relief Device Sized for Scenario and verified by qualified Relief Designer</v>
      </c>
      <c r="DE85" s="2394"/>
      <c r="DF85" s="2394"/>
      <c r="DG85" s="2394"/>
      <c r="DH85" s="2394"/>
      <c r="DI85" s="2394"/>
      <c r="DJ85" s="2394"/>
    </row>
    <row r="86" spans="3:114" x14ac:dyDescent="0.25">
      <c r="C86" s="39" t="str">
        <f t="shared" ref="C86" si="22">C19</f>
        <v>Exhaustion of Scrubbing Media</v>
      </c>
      <c r="D86" s="19"/>
      <c r="E86" s="39" t="str">
        <f>IF(Exclude_MI="Only MI",SD_Gen_1,IF(Reactive_Only="Yes",SD_Gen_3,IF(State&lt;&gt;"Vapor",SD_Gen_70,IF(Overflow_Location="Does Not Vent to Atmosphere",SD_Gen_75,SD_Gen_61))))</f>
        <v>Vent to Scrubber, Adsorber or Quench is not a Vapor</v>
      </c>
      <c r="F86" s="2060"/>
      <c r="G86" s="2060"/>
      <c r="H86" s="2060"/>
      <c r="I86" s="2060"/>
      <c r="J86" s="2060"/>
      <c r="K86" s="2060"/>
      <c r="L86" s="2060"/>
      <c r="M86" s="2060"/>
      <c r="N86" s="2060"/>
      <c r="O86" s="2060"/>
      <c r="P86" s="2060"/>
      <c r="Q86" s="2060"/>
      <c r="R86" s="2060"/>
      <c r="S86" s="2060"/>
      <c r="T86" s="2060"/>
      <c r="U86" s="2060"/>
      <c r="V86" s="2060"/>
      <c r="W86" s="39" t="str">
        <f>IF(Exclude_MI="Only MI",SD_Gen_1,IF(Reactive_Only="Yes",SD_Gen_3,IF(State&lt;&gt;"Vapor",SD_Gen_70,IF(Overflow_Location="Does Not Vent to Atmosphere",SD_Gen_75,SD_Gen_61))))</f>
        <v>Vent to Scrubber, Adsorber or Quench is not a Vapor</v>
      </c>
      <c r="X86" s="2060"/>
      <c r="Y86" s="2060"/>
      <c r="Z86" s="2060"/>
      <c r="AA86" s="2060"/>
      <c r="AB86" s="2060"/>
      <c r="AC86" s="2060"/>
      <c r="AD86" s="2060"/>
      <c r="AE86" s="2060"/>
      <c r="AF86" s="2060"/>
      <c r="AG86" s="2060"/>
      <c r="AH86" s="2060"/>
      <c r="AI86" s="2060"/>
      <c r="AK86" s="2060" t="str">
        <f>IED_Gen_17</f>
        <v>Loss of pH or other Composition Control allowing Scrubbing or Quench Media to be Exhausted</v>
      </c>
      <c r="AL86" s="2060"/>
      <c r="AM86" s="2060"/>
      <c r="AN86" s="2060"/>
      <c r="AO86" s="2060"/>
      <c r="AP86" s="2060"/>
      <c r="AQ86" s="2060"/>
      <c r="AR86" s="2060"/>
      <c r="AS86" s="2060"/>
      <c r="AT86" s="2060"/>
      <c r="AU86" s="2060"/>
      <c r="AV86" s="2060"/>
      <c r="AW86" s="2060"/>
      <c r="AX86" s="2060"/>
      <c r="AY86" s="2060"/>
      <c r="AZ86" s="2060"/>
      <c r="BA86" s="2060"/>
      <c r="BB86" s="2060"/>
      <c r="BC86" s="2060"/>
      <c r="BD86" s="2060"/>
      <c r="BE86" s="2060"/>
      <c r="BF86" s="2060"/>
      <c r="BG86" s="2060"/>
      <c r="BH86" s="2060"/>
      <c r="BJ86" s="2060"/>
      <c r="BK86" s="2060"/>
      <c r="BL86" s="2060"/>
      <c r="BM86" s="2060"/>
      <c r="BN86" s="2060"/>
      <c r="BO86" s="3180"/>
      <c r="BP86" s="3180"/>
      <c r="BQ86" s="2060"/>
      <c r="BR86" s="2060"/>
      <c r="BS86" s="2060"/>
      <c r="BT86" s="2060"/>
      <c r="BU86" s="2060"/>
      <c r="BV86" s="2060"/>
      <c r="BW86" s="2060"/>
      <c r="BX86" s="2060"/>
      <c r="BY86" s="2060"/>
      <c r="BZ86" s="2060"/>
      <c r="CA86" s="2060"/>
      <c r="CB86" s="2060"/>
      <c r="CC86" s="2060"/>
      <c r="CD86" s="2060"/>
      <c r="CE86" s="2060"/>
      <c r="CF86" s="2060"/>
      <c r="CG86" s="2060"/>
      <c r="CH86" s="2060"/>
      <c r="CI86" s="2060"/>
      <c r="CJ86" s="2060"/>
      <c r="CK86" s="2060"/>
      <c r="CL86" s="2060"/>
      <c r="CM86" s="2060"/>
      <c r="CN86" s="2060"/>
      <c r="CO86" s="2060"/>
      <c r="CP86" s="2060"/>
      <c r="CQ86" s="2060"/>
      <c r="CR86" s="2060"/>
      <c r="CS86" s="2060"/>
      <c r="CT86" s="2060"/>
      <c r="CU86" s="2060"/>
      <c r="CV86" s="2060"/>
      <c r="CW86" s="2060"/>
      <c r="CX86" s="2060"/>
      <c r="CY86" s="2060"/>
      <c r="CZ86" s="2060"/>
      <c r="DA86" s="2060"/>
      <c r="DB86" s="2060"/>
      <c r="DC86" s="2060"/>
      <c r="DD86" s="2060"/>
      <c r="DE86" s="2060"/>
      <c r="DF86" s="2060"/>
      <c r="DG86" s="2060"/>
      <c r="DH86" s="2060"/>
      <c r="DI86" s="2060"/>
      <c r="DJ86" s="2060"/>
    </row>
    <row r="87" spans="3:114" x14ac:dyDescent="0.25">
      <c r="C87" s="39" t="str">
        <f t="shared" ref="C87:C96" si="23">C20</f>
        <v>Flash Back of Vent to Fired Equipment</v>
      </c>
      <c r="D87" s="19"/>
      <c r="E87" s="39"/>
      <c r="F87" s="39"/>
      <c r="G87" s="39"/>
      <c r="H87" s="39"/>
      <c r="I87" s="39"/>
      <c r="J87" s="39"/>
      <c r="K87" s="39"/>
      <c r="L87" s="39"/>
      <c r="M87" s="39"/>
      <c r="N87" s="39"/>
      <c r="O87" s="39"/>
      <c r="P87" s="39"/>
      <c r="Q87" s="39"/>
      <c r="R87" s="39"/>
      <c r="S87" s="39"/>
      <c r="T87" s="39"/>
      <c r="U87" s="39" t="str">
        <f>IF(Exclude_MI="Only MI",SD_Gen_1,IF(Reactive_Only="Yes",SD_Gen_3,SD_FE_21))</f>
        <v>Air in vent with flow below minimum flame speed allowing flash back of flame into vent header</v>
      </c>
      <c r="V87" s="39" t="str">
        <f>IF(Exclude_MI="Only MI",SD_Gen_1,IF(Reactive_Only="Yes",SD_Gen_3,SD_FE_21))</f>
        <v>Air in vent with flow below minimum flame speed allowing flash back of flame into vent header</v>
      </c>
      <c r="W87" s="39"/>
      <c r="X87" s="39"/>
      <c r="Y87" s="39"/>
      <c r="Z87" s="39"/>
      <c r="AA87" s="39"/>
      <c r="AB87" s="39"/>
      <c r="AC87" s="39"/>
      <c r="AD87" s="39"/>
      <c r="AE87" s="39"/>
      <c r="AF87" s="39"/>
      <c r="AG87" s="2049"/>
      <c r="AH87" s="39"/>
      <c r="AI87" s="39"/>
      <c r="AK87" s="39" t="str">
        <f>IED_Gen_2</f>
        <v>Failure of Pressure Control</v>
      </c>
      <c r="AL87" s="39"/>
      <c r="AM87" s="39"/>
      <c r="AN87" s="39"/>
      <c r="AO87" s="39"/>
      <c r="AP87" s="39"/>
      <c r="AQ87" s="738"/>
      <c r="AR87" s="39"/>
      <c r="AS87" s="1001"/>
      <c r="AT87" s="39"/>
      <c r="AU87" s="39"/>
      <c r="AV87" s="39"/>
      <c r="AW87" s="39"/>
      <c r="AX87" s="39"/>
      <c r="AY87" s="39"/>
      <c r="AZ87" s="39"/>
      <c r="BA87" s="39" t="str">
        <f>IED_Gen_56</f>
        <v>Loss of instrument air, inert gas, power, etc. resulting in low vent flow or air ingress</v>
      </c>
      <c r="BB87" s="39"/>
      <c r="BC87" s="39"/>
      <c r="BD87" s="39"/>
      <c r="BE87" s="39"/>
      <c r="BF87" s="39"/>
      <c r="BG87" s="39"/>
      <c r="BH87" s="39"/>
      <c r="BJ87" s="39"/>
      <c r="BK87" s="39"/>
      <c r="BL87" s="1852"/>
      <c r="BM87" s="39"/>
      <c r="BN87" s="39"/>
      <c r="BO87" s="3180"/>
      <c r="BP87" s="3180"/>
      <c r="BQ87" s="39"/>
      <c r="BR87" s="39"/>
      <c r="BS87" s="39"/>
      <c r="BT87" s="39"/>
      <c r="BU87" s="1852"/>
      <c r="BV87" s="1852"/>
      <c r="BW87" s="39"/>
      <c r="BX87" s="39"/>
      <c r="BY87" s="39"/>
      <c r="BZ87" s="39"/>
      <c r="CA87" s="39"/>
      <c r="CB87" s="39"/>
      <c r="CC87" s="39"/>
      <c r="CD87" s="39"/>
      <c r="CE87" s="39"/>
      <c r="CF87" s="1475"/>
      <c r="CG87" s="39"/>
      <c r="CH87" s="39"/>
      <c r="CI87" s="39"/>
      <c r="CJ87" s="39"/>
      <c r="CK87" s="39"/>
      <c r="CL87" s="1036"/>
      <c r="CM87" s="738"/>
      <c r="CN87" s="738"/>
      <c r="CO87" s="39"/>
      <c r="CP87" s="39"/>
      <c r="CQ87" s="39"/>
      <c r="CR87" s="39"/>
      <c r="CS87" s="39"/>
      <c r="CT87" s="39"/>
      <c r="CU87" s="39"/>
      <c r="CV87" s="782"/>
      <c r="CW87" s="39"/>
      <c r="CX87" s="39"/>
      <c r="CY87" s="39"/>
      <c r="CZ87" s="39"/>
      <c r="DA87" s="39"/>
      <c r="DB87" s="39"/>
      <c r="DC87" s="2039"/>
      <c r="DD87" s="39"/>
      <c r="DE87" s="39"/>
      <c r="DF87" s="500"/>
      <c r="DG87" s="39"/>
      <c r="DH87" s="39"/>
      <c r="DI87" s="39"/>
      <c r="DJ87" s="39"/>
    </row>
    <row r="88" spans="3:114" x14ac:dyDescent="0.25">
      <c r="C88" s="39" t="str">
        <f t="shared" si="23"/>
        <v>Fuel Accumulation during Light Off</v>
      </c>
      <c r="D88" s="19"/>
      <c r="E88" s="39"/>
      <c r="F88" s="39"/>
      <c r="G88" s="39"/>
      <c r="H88" s="39"/>
      <c r="I88" s="39"/>
      <c r="J88" s="39"/>
      <c r="K88" s="39"/>
      <c r="L88" s="39"/>
      <c r="M88" s="39"/>
      <c r="N88" s="39"/>
      <c r="O88" s="39"/>
      <c r="P88" s="39"/>
      <c r="Q88" s="39"/>
      <c r="R88" s="39"/>
      <c r="S88" s="39" t="str">
        <f>IF(Exclude_MI="Only MI",SD_Gen_1,IF(Reactive_Only="Yes",SD_Gen_3,SD_FE_2))</f>
        <v>Accumulation of unburned fuel may cause an undesired fire or explosion.  The fuel and air valves should be in their proper firing positions</v>
      </c>
      <c r="T88" s="39" t="str">
        <f>IF(Exclude_MI="Only MI",SD_Gen_1,IF(Reactive_Only="Yes",SD_Gen_3,SD_FE_2))</f>
        <v>Accumulation of unburned fuel may cause an undesired fire or explosion.  The fuel and air valves should be in their proper firing positions</v>
      </c>
      <c r="U88" s="39" t="str">
        <f>IF(Exclude_MI="Only MI",SD_Gen_1,IF(Reactive_Only="Yes",SD_Gen_3,SD_FE_2))</f>
        <v>Accumulation of unburned fuel may cause an undesired fire or explosion.  The fuel and air valves should be in their proper firing positions</v>
      </c>
      <c r="V88" s="39"/>
      <c r="W88" s="39"/>
      <c r="X88" s="39"/>
      <c r="Y88" s="39"/>
      <c r="Z88" s="39"/>
      <c r="AA88" s="39"/>
      <c r="AB88" s="39"/>
      <c r="AC88" s="39"/>
      <c r="AD88" s="39"/>
      <c r="AE88" s="39"/>
      <c r="AF88" s="39"/>
      <c r="AG88" s="2049"/>
      <c r="AH88" s="39"/>
      <c r="AI88" s="39"/>
      <c r="AK88" s="39" t="str">
        <f>IED_FE_2</f>
        <v>Failure of Primary Fuel Flow during ignition extinguishing the flame with potential for delayed re-ignition.  (Credit for time at risk for infrequent Light Off may apply.)</v>
      </c>
      <c r="AL88" s="39"/>
      <c r="AM88" s="39" t="str">
        <f>IED_FE_1</f>
        <v>Ignitor Failure with continued addition of fuel from pilot and delayed ignition.  (Time at risk may not apply as ignitor failure can occur at any time prior to use.)</v>
      </c>
      <c r="AN88" s="39"/>
      <c r="AO88" s="39"/>
      <c r="AP88" s="39"/>
      <c r="AQ88" s="738"/>
      <c r="AR88" s="39"/>
      <c r="AS88" s="1001"/>
      <c r="AT88" s="39"/>
      <c r="AU88" s="39"/>
      <c r="AV88" s="39"/>
      <c r="AW88" s="39" t="str">
        <f>IED_FE_3</f>
        <v>Failure of pilot regulator extinguishing the flame prior to lighting primary fuel. (Time at risk may apply if pilot remains lit during normal operation.)</v>
      </c>
      <c r="AX88" s="39"/>
      <c r="AY88" s="39"/>
      <c r="AZ88" s="39"/>
      <c r="BA88" s="39"/>
      <c r="BB88" s="39"/>
      <c r="BC88" s="39"/>
      <c r="BD88" s="39"/>
      <c r="BE88" s="39"/>
      <c r="BF88" s="39"/>
      <c r="BG88" s="39"/>
      <c r="BH88" s="39"/>
      <c r="BJ88" s="39"/>
      <c r="BK88" s="39"/>
      <c r="BL88" s="1852"/>
      <c r="BM88" s="39"/>
      <c r="BN88" s="39"/>
      <c r="BO88" s="3180"/>
      <c r="BP88" s="3180"/>
      <c r="BQ88" s="39"/>
      <c r="BR88" s="39"/>
      <c r="BS88" s="39"/>
      <c r="BT88" s="39"/>
      <c r="BU88" s="1852"/>
      <c r="BV88" s="1852"/>
      <c r="BW88" s="39"/>
      <c r="BX88" s="39"/>
      <c r="BY88" s="39"/>
      <c r="BZ88" s="39"/>
      <c r="CA88" s="39"/>
      <c r="CB88" s="39"/>
      <c r="CC88" s="39"/>
      <c r="CD88" s="39"/>
      <c r="CE88" s="39"/>
      <c r="CF88" s="1475"/>
      <c r="CG88" s="39"/>
      <c r="CH88" s="39"/>
      <c r="CI88" s="39"/>
      <c r="CJ88" s="39"/>
      <c r="CK88" s="39"/>
      <c r="CL88" s="1036"/>
      <c r="CM88" s="738"/>
      <c r="CN88" s="738"/>
      <c r="CO88" s="39"/>
      <c r="CP88" s="39"/>
      <c r="CQ88" s="39"/>
      <c r="CR88" s="39"/>
      <c r="CS88" s="39"/>
      <c r="CT88" s="39"/>
      <c r="CU88" s="39"/>
      <c r="CV88" s="782"/>
      <c r="CW88" s="39"/>
      <c r="CX88" s="39"/>
      <c r="CY88" s="39"/>
      <c r="CZ88" s="39"/>
      <c r="DA88" s="39"/>
      <c r="DB88" s="39"/>
      <c r="DC88" s="2039"/>
      <c r="DD88" s="39"/>
      <c r="DE88" s="39"/>
      <c r="DF88" s="500"/>
      <c r="DG88" s="39"/>
      <c r="DH88" s="39"/>
      <c r="DI88" s="39"/>
      <c r="DJ88" s="39"/>
    </row>
    <row r="89" spans="3:114" x14ac:dyDescent="0.25">
      <c r="C89" s="39" t="str">
        <f t="shared" si="23"/>
        <v>Fuel Accumulation during Operation</v>
      </c>
      <c r="D89" s="19"/>
      <c r="E89" s="39"/>
      <c r="F89" s="39"/>
      <c r="G89" s="39"/>
      <c r="H89" s="39"/>
      <c r="I89" s="39"/>
      <c r="J89" s="39"/>
      <c r="K89" s="39"/>
      <c r="L89" s="39"/>
      <c r="M89" s="39"/>
      <c r="N89" s="39"/>
      <c r="O89" s="39"/>
      <c r="P89" s="39"/>
      <c r="Q89" s="39"/>
      <c r="R89" s="39"/>
      <c r="S89" s="39" t="str">
        <f>IF(Exclude_MI="Only MI",SD_Gen_1,IF(Reactive_Only="Yes",SD_Gen_3,SD_FE_4))</f>
        <v>Accumulation of unburned fuel into a hot combustion chamber where components may be above the autoignition temperature.</v>
      </c>
      <c r="T89" s="39" t="str">
        <f>IF(Exclude_MI="Only MI",SD_Gen_1,IF(Reactive_Only="Yes",SD_Gen_3,SD_FE_4))</f>
        <v>Accumulation of unburned fuel into a hot combustion chamber where components may be above the autoignition temperature.</v>
      </c>
      <c r="U89" s="39" t="str">
        <f>IF(Exclude_MI="Only MI",SD_Gen_1,IF(Reactive_Only="Yes",SD_Gen_3,SD_FE_4))</f>
        <v>Accumulation of unburned fuel into a hot combustion chamber where components may be above the autoignition temperature.</v>
      </c>
      <c r="V89" s="39" t="str">
        <f>IF(Exclude_MI="Only MI",SD_Gen_1,IF(Reactive_Only="Yes",SD_Gen_3,SD_FE_4))</f>
        <v>Accumulation of unburned fuel into a hot combustion chamber where components may be above the autoignition temperature.</v>
      </c>
      <c r="W89" s="39"/>
      <c r="X89" s="39"/>
      <c r="Y89" s="39"/>
      <c r="Z89" s="39"/>
      <c r="AA89" s="39"/>
      <c r="AB89" s="39"/>
      <c r="AC89" s="39"/>
      <c r="AD89" s="39"/>
      <c r="AE89" s="39"/>
      <c r="AF89" s="39"/>
      <c r="AG89" s="2049"/>
      <c r="AH89" s="39"/>
      <c r="AI89" s="39"/>
      <c r="AK89" s="39" t="str">
        <f>IED_FE_4</f>
        <v>Failure of Combustion Air Flow with Continued Addition of Fuel</v>
      </c>
      <c r="AL89" s="39"/>
      <c r="AM89" s="39" t="str">
        <f>IF(TBp&gt;Ambient_Temp,IED_FE_8,IED_FE_7)</f>
        <v>Loss of combustion air from Blower or Damper failure with continued addition of fuel</v>
      </c>
      <c r="AN89" s="39"/>
      <c r="AO89" s="39"/>
      <c r="AP89" s="39"/>
      <c r="AQ89" s="738"/>
      <c r="AR89" s="39"/>
      <c r="AS89" s="1001"/>
      <c r="AT89" s="39"/>
      <c r="AU89" s="39"/>
      <c r="AV89" s="39"/>
      <c r="AW89" s="39" t="str">
        <f>IED_FE_5</f>
        <v>Loss of flame from high gas nozzle pressure with continued addition of fuel and delayed ignition</v>
      </c>
      <c r="AX89" s="39"/>
      <c r="AY89" s="39"/>
      <c r="AZ89" s="39"/>
      <c r="BA89" s="39"/>
      <c r="BB89" s="39"/>
      <c r="BC89" s="39"/>
      <c r="BD89" s="39"/>
      <c r="BE89" s="39"/>
      <c r="BF89" s="39"/>
      <c r="BG89" s="39"/>
      <c r="BH89" s="39"/>
      <c r="BJ89" s="39"/>
      <c r="BK89" s="39"/>
      <c r="BL89" s="1852"/>
      <c r="BM89" s="39"/>
      <c r="BN89" s="39"/>
      <c r="BO89" s="3180"/>
      <c r="BP89" s="3180"/>
      <c r="BQ89" s="39"/>
      <c r="BR89" s="39"/>
      <c r="BS89" s="39"/>
      <c r="BT89" s="39"/>
      <c r="BU89" s="1852"/>
      <c r="BV89" s="1852"/>
      <c r="BW89" s="39"/>
      <c r="BX89" s="39"/>
      <c r="BY89" s="39"/>
      <c r="BZ89" s="39"/>
      <c r="CA89" s="39"/>
      <c r="CB89" s="39"/>
      <c r="CC89" s="39"/>
      <c r="CD89" s="39"/>
      <c r="CE89" s="39"/>
      <c r="CF89" s="1475"/>
      <c r="CG89" s="39"/>
      <c r="CH89" s="39"/>
      <c r="CI89" s="39"/>
      <c r="CJ89" s="39"/>
      <c r="CK89" s="39"/>
      <c r="CL89" s="1036"/>
      <c r="CM89" s="738"/>
      <c r="CN89" s="738"/>
      <c r="CO89" s="39"/>
      <c r="CP89" s="39"/>
      <c r="CQ89" s="39"/>
      <c r="CR89" s="39"/>
      <c r="CS89" s="39"/>
      <c r="CT89" s="39"/>
      <c r="CU89" s="39"/>
      <c r="CV89" s="782"/>
      <c r="CW89" s="39"/>
      <c r="CX89" s="39"/>
      <c r="CY89" s="39"/>
      <c r="CZ89" s="39"/>
      <c r="DA89" s="39"/>
      <c r="DB89" s="39"/>
      <c r="DC89" s="2039"/>
      <c r="DD89" s="39"/>
      <c r="DE89" s="39"/>
      <c r="DF89" s="500"/>
      <c r="DG89" s="39"/>
      <c r="DH89" s="39"/>
      <c r="DI89" s="39"/>
      <c r="DJ89" s="39"/>
    </row>
    <row r="90" spans="3:114" x14ac:dyDescent="0.25">
      <c r="C90" s="39" t="str">
        <f t="shared" si="23"/>
        <v>Fuel Accumulation while Down</v>
      </c>
      <c r="D90" s="19"/>
      <c r="E90" s="39"/>
      <c r="F90" s="39"/>
      <c r="G90" s="39"/>
      <c r="H90" s="39"/>
      <c r="I90" s="39"/>
      <c r="J90" s="39"/>
      <c r="K90" s="39"/>
      <c r="L90" s="39"/>
      <c r="M90" s="39"/>
      <c r="N90" s="39"/>
      <c r="O90" s="39"/>
      <c r="P90" s="39"/>
      <c r="Q90" s="39"/>
      <c r="R90" s="39"/>
      <c r="S90" s="39" t="str">
        <f>IF(Exclude_MI="Only MI",SD_Gen_1,IF(Reactive_Only="Yes",SD_Gen_3,SD_FE_1))</f>
        <v>Accumulation of unburned fuel into a cold combustion chamber may cause an undesired fire or explosion</v>
      </c>
      <c r="T90" s="39" t="str">
        <f>IF(Exclude_MI="Only MI",SD_Gen_1,IF(Reactive_Only="Yes",SD_Gen_3,SD_FE_1))</f>
        <v>Accumulation of unburned fuel into a cold combustion chamber may cause an undesired fire or explosion</v>
      </c>
      <c r="U90" s="39" t="str">
        <f>IF(Exclude_MI="Only MI",SD_Gen_1,IF(Reactive_Only="Yes",SD_Gen_3,SD_FE_1))</f>
        <v>Accumulation of unburned fuel into a cold combustion chamber may cause an undesired fire or explosion</v>
      </c>
      <c r="V90" s="39"/>
      <c r="W90" s="39"/>
      <c r="X90" s="39"/>
      <c r="Y90" s="39"/>
      <c r="Z90" s="39"/>
      <c r="AA90" s="39"/>
      <c r="AB90" s="39"/>
      <c r="AC90" s="39"/>
      <c r="AD90" s="39"/>
      <c r="AE90" s="39"/>
      <c r="AF90" s="39"/>
      <c r="AG90" s="2049"/>
      <c r="AH90" s="39"/>
      <c r="AI90" s="39"/>
      <c r="AK90" s="39" t="str">
        <f>IED_FE_12</f>
        <v>Primary Fuel or Waste Vent Valve Leaks while down</v>
      </c>
      <c r="AL90" s="39"/>
      <c r="AM90" s="39"/>
      <c r="AN90" s="39"/>
      <c r="AO90" s="39"/>
      <c r="AP90" s="39"/>
      <c r="AQ90" s="738"/>
      <c r="AR90" s="39"/>
      <c r="AS90" s="1001"/>
      <c r="AT90" s="39"/>
      <c r="AU90" s="39"/>
      <c r="AV90" s="39"/>
      <c r="AW90" s="39"/>
      <c r="AX90" s="39"/>
      <c r="AY90" s="39"/>
      <c r="AZ90" s="39"/>
      <c r="BA90" s="39"/>
      <c r="BB90" s="39"/>
      <c r="BC90" s="39"/>
      <c r="BD90" s="39"/>
      <c r="BE90" s="39"/>
      <c r="BF90" s="39"/>
      <c r="BG90" s="39"/>
      <c r="BH90" s="39"/>
      <c r="BJ90" s="39"/>
      <c r="BK90" s="39"/>
      <c r="BL90" s="1852"/>
      <c r="BM90" s="39"/>
      <c r="BN90" s="39"/>
      <c r="BO90" s="3180"/>
      <c r="BP90" s="3180"/>
      <c r="BQ90" s="39"/>
      <c r="BR90" s="39"/>
      <c r="BS90" s="39"/>
      <c r="BT90" s="39"/>
      <c r="BU90" s="1852"/>
      <c r="BV90" s="1852"/>
      <c r="BW90" s="39"/>
      <c r="BX90" s="39"/>
      <c r="BY90" s="39"/>
      <c r="BZ90" s="39"/>
      <c r="CA90" s="39"/>
      <c r="CB90" s="39"/>
      <c r="CC90" s="39"/>
      <c r="CD90" s="39"/>
      <c r="CE90" s="39"/>
      <c r="CF90" s="1475"/>
      <c r="CG90" s="39"/>
      <c r="CH90" s="39"/>
      <c r="CI90" s="39"/>
      <c r="CJ90" s="39"/>
      <c r="CK90" s="39"/>
      <c r="CL90" s="1036"/>
      <c r="CM90" s="738"/>
      <c r="CN90" s="738"/>
      <c r="CO90" s="39"/>
      <c r="CP90" s="39"/>
      <c r="CQ90" s="39"/>
      <c r="CR90" s="39"/>
      <c r="CS90" s="39"/>
      <c r="CT90" s="39"/>
      <c r="CU90" s="39"/>
      <c r="CV90" s="782"/>
      <c r="CW90" s="39"/>
      <c r="CX90" s="39"/>
      <c r="CY90" s="39"/>
      <c r="CZ90" s="39"/>
      <c r="DA90" s="39"/>
      <c r="DB90" s="39"/>
      <c r="DC90" s="2039"/>
      <c r="DD90" s="39"/>
      <c r="DE90" s="39"/>
      <c r="DF90" s="500"/>
      <c r="DG90" s="39"/>
      <c r="DH90" s="39"/>
      <c r="DI90" s="39"/>
      <c r="DJ90" s="39"/>
    </row>
    <row r="91" spans="3:114" x14ac:dyDescent="0.25">
      <c r="C91" s="39" t="str">
        <f t="shared" si="23"/>
        <v>High Fuel Flow or Energy Content</v>
      </c>
      <c r="D91" s="19"/>
      <c r="E91" s="39"/>
      <c r="F91" s="39"/>
      <c r="G91" s="39"/>
      <c r="H91" s="39"/>
      <c r="I91" s="39"/>
      <c r="J91" s="39"/>
      <c r="K91" s="39"/>
      <c r="L91" s="39"/>
      <c r="M91" s="39"/>
      <c r="N91" s="39"/>
      <c r="O91" s="39"/>
      <c r="P91" s="39"/>
      <c r="Q91" s="39"/>
      <c r="R91" s="39"/>
      <c r="S91" s="39" t="str">
        <f>IF(Exclude_MI="Only MI",SD_Gen_1,IF(Reactive_Only="Yes",SD_Gen_3,SD_FE_5))</f>
        <v>Feeding more fuel than expected may result in equipment damage if condition is left unchecked for an extended period of time</v>
      </c>
      <c r="T91" s="39" t="str">
        <f>IF(Exclude_MI="Only MI",SD_Gen_1,IF(Reactive_Only="Yes",SD_Gen_3,SD_FE_5))</f>
        <v>Feeding more fuel than expected may result in equipment damage if condition is left unchecked for an extended period of time</v>
      </c>
      <c r="U91" s="39" t="str">
        <f>IF(Exclude_MI="Only MI",SD_Gen_1,IF(Reactive_Only="Yes",SD_Gen_3,SD_FE_5))</f>
        <v>Feeding more fuel than expected may result in equipment damage if condition is left unchecked for an extended period of time</v>
      </c>
      <c r="V91" s="39"/>
      <c r="W91" s="39"/>
      <c r="X91" s="39"/>
      <c r="Y91" s="39"/>
      <c r="Z91" s="39"/>
      <c r="AA91" s="39"/>
      <c r="AB91" s="39"/>
      <c r="AC91" s="39"/>
      <c r="AD91" s="39"/>
      <c r="AE91" s="39"/>
      <c r="AF91" s="39"/>
      <c r="AG91" s="2049"/>
      <c r="AH91" s="39"/>
      <c r="AI91" s="39"/>
      <c r="AK91" s="39" t="str">
        <f>IED_FE_9</f>
        <v>High Primary Fuel or Waste Flow causing over firing and damage to the combustion chamber</v>
      </c>
      <c r="AL91" s="39"/>
      <c r="AM91" s="39"/>
      <c r="AN91" s="39"/>
      <c r="AO91" s="39"/>
      <c r="AP91" s="39"/>
      <c r="AQ91" s="738"/>
      <c r="AR91" s="39"/>
      <c r="AS91" s="1001"/>
      <c r="AT91" s="39"/>
      <c r="AU91" s="39"/>
      <c r="AV91" s="39"/>
      <c r="AW91" s="39" t="str">
        <f>IED_FE_9</f>
        <v>High Primary Fuel or Waste Flow causing over firing and damage to the combustion chamber</v>
      </c>
      <c r="AX91" s="39"/>
      <c r="AY91" s="39"/>
      <c r="AZ91" s="39"/>
      <c r="BA91" s="39"/>
      <c r="BB91" s="39"/>
      <c r="BC91" s="39"/>
      <c r="BD91" s="39"/>
      <c r="BE91" s="39"/>
      <c r="BF91" s="39"/>
      <c r="BG91" s="39"/>
      <c r="BH91" s="39"/>
      <c r="BJ91" s="39"/>
      <c r="BK91" s="39"/>
      <c r="BL91" s="1852"/>
      <c r="BM91" s="39"/>
      <c r="BN91" s="39"/>
      <c r="BO91" s="3180"/>
      <c r="BP91" s="3180"/>
      <c r="BQ91" s="39"/>
      <c r="BR91" s="39"/>
      <c r="BS91" s="39"/>
      <c r="BT91" s="39"/>
      <c r="BU91" s="1852"/>
      <c r="BV91" s="1852"/>
      <c r="BW91" s="39"/>
      <c r="BX91" s="39"/>
      <c r="BY91" s="39"/>
      <c r="BZ91" s="39"/>
      <c r="CA91" s="39"/>
      <c r="CB91" s="39"/>
      <c r="CC91" s="39"/>
      <c r="CD91" s="39"/>
      <c r="CE91" s="39"/>
      <c r="CF91" s="1475"/>
      <c r="CG91" s="39"/>
      <c r="CH91" s="39"/>
      <c r="CI91" s="39"/>
      <c r="CJ91" s="39"/>
      <c r="CK91" s="39"/>
      <c r="CL91" s="1036"/>
      <c r="CM91" s="738"/>
      <c r="CN91" s="738"/>
      <c r="CO91" s="39"/>
      <c r="CP91" s="39"/>
      <c r="CQ91" s="39"/>
      <c r="CR91" s="39"/>
      <c r="CS91" s="39"/>
      <c r="CT91" s="39"/>
      <c r="CU91" s="39"/>
      <c r="CV91" s="782"/>
      <c r="CW91" s="39"/>
      <c r="CX91" s="39"/>
      <c r="CY91" s="39"/>
      <c r="CZ91" s="39"/>
      <c r="DA91" s="39"/>
      <c r="DB91" s="39"/>
      <c r="DC91" s="2039"/>
      <c r="DD91" s="39"/>
      <c r="DE91" s="39"/>
      <c r="DF91" s="500"/>
      <c r="DG91" s="39"/>
      <c r="DH91" s="39"/>
      <c r="DI91" s="39"/>
      <c r="DJ91" s="39"/>
    </row>
    <row r="92" spans="3:114" x14ac:dyDescent="0.25">
      <c r="C92" s="39" t="str">
        <f t="shared" si="23"/>
        <v>High Temperature Failure</v>
      </c>
      <c r="D92" s="19"/>
      <c r="E92" s="1824" t="e">
        <f>IF(Exclude_MI="Only MI",SD_Gen_1,IF(Reactive_Only="Yes",SD_Gen_3,IF(Tmax&gt;Failure_T,SD_Gen_77,SD_Gen_78)))</f>
        <v>#DIV/0!</v>
      </c>
      <c r="F92" s="1824"/>
      <c r="G92" s="1824"/>
      <c r="H92" s="1824"/>
      <c r="I92" s="1824"/>
      <c r="J92" s="1824"/>
      <c r="K92" s="1824" t="e">
        <f>IF(Exclude_MI="Only MI",SD_Gen_1,IF(Reactive_Only="Yes",SD_Gen_3,IF(Tmax&gt;Failure_T,SD_Gen_77,SD_Gen_78)))</f>
        <v>#DIV/0!</v>
      </c>
      <c r="L92" s="1824"/>
      <c r="M92" s="1824"/>
      <c r="N92" s="1824"/>
      <c r="O92" s="1824"/>
      <c r="P92" s="1824"/>
      <c r="Q92" s="1824" t="e">
        <f>IF(Exclude_MI="Only MI",SD_Gen_1,IF(Reactive_Only="Yes",SD_Gen_3,IF(Tmax&gt;Failure_T,SD_Gen_77,SD_Gen_78)))</f>
        <v>#DIV/0!</v>
      </c>
      <c r="R92" s="1824"/>
      <c r="S92" s="1824"/>
      <c r="T92" s="1824"/>
      <c r="U92" s="1824"/>
      <c r="V92" s="1824"/>
      <c r="W92" s="1824" t="e">
        <f>IF(Exclude_MI="Only MI",SD_Gen_1,IF(Reactive_Only="Yes",SD_Gen_3,IF(Tmax&gt;Failure_T,SD_Gen_77,SD_Gen_78)))</f>
        <v>#DIV/0!</v>
      </c>
      <c r="X92" s="1824"/>
      <c r="Y92" s="1824" t="e">
        <f>IF(Exclude_MI="Only MI",SD_Gen_1,IF(Reactive_Only="Yes",SD_Gen_3,IF(Tmax&gt;Failure_T,SD_Gen_77,SD_Gen_78)))</f>
        <v>#DIV/0!</v>
      </c>
      <c r="Z92" s="1824"/>
      <c r="AA92" s="1824"/>
      <c r="AB92" s="1824" t="e">
        <f>IF(Exclude_MI="Only MI",SD_Gen_1,IF(Reactive_Only="Yes",SD_Gen_3,IF(Tmax&gt;Failure_T,SD_Gen_77,SD_Gen_78)))</f>
        <v>#DIV/0!</v>
      </c>
      <c r="AC92" s="1824" t="e">
        <f>IF(Exclude_MI="Only MI",SD_Gen_1,IF(Reactive_Only="Yes",SD_Gen_3,IF(Tmax&gt;Failure_T,SD_Gen_77,SD_Gen_78)))</f>
        <v>#DIV/0!</v>
      </c>
      <c r="AD92" s="1824"/>
      <c r="AE92" s="1824" t="e">
        <f>IF(Exclude_MI="Only MI",SD_Gen_1,IF(Reactive_Only="Yes",SD_Gen_3,IF(Tmax&gt;Failure_T,SD_Gen_77,SD_Gen_78)))</f>
        <v>#DIV/0!</v>
      </c>
      <c r="AF92" s="1824" t="e">
        <f>IF(Exclude_MI="Only MI",SD_Gen_1,IF(Reactive_Only="Yes",SD_Gen_3,IF(Tmax&gt;Failure_T,SD_Gen_77,SD_Gen_78)))</f>
        <v>#DIV/0!</v>
      </c>
      <c r="AG92" s="2049"/>
      <c r="AH92" s="1824" t="e">
        <f>IF(Exclude_MI="Only MI",SD_Gen_1,IF(Reactive_Only="Yes",SD_Gen_3,IF(Tmax&gt;Failure_T,SD_Gen_77,SD_Gen_78)))</f>
        <v>#DIV/0!</v>
      </c>
      <c r="AI92" s="1824"/>
      <c r="AK92" s="1824" t="str">
        <f>IF(Equipment="Vapor Quench",IED_FE_22,IED_Gen_1)</f>
        <v>Failure of Temperature Control</v>
      </c>
      <c r="AL92" s="1824"/>
      <c r="AM92" s="1824"/>
      <c r="AN92" s="1824"/>
      <c r="AO92" s="1824"/>
      <c r="AP92" s="1824"/>
      <c r="AQ92" s="1824"/>
      <c r="AR92" s="1824"/>
      <c r="AS92" s="1824"/>
      <c r="AT92" s="1824"/>
      <c r="AU92" s="1824"/>
      <c r="AV92" s="1824"/>
      <c r="AW92" s="1824"/>
      <c r="AX92" s="1824"/>
      <c r="AY92" s="1824"/>
      <c r="AZ92" s="1824"/>
      <c r="BA92" s="1824"/>
      <c r="BB92" s="1824"/>
      <c r="BC92" s="1824"/>
      <c r="BD92" s="1824"/>
      <c r="BE92" s="1824"/>
      <c r="BF92" s="1824"/>
      <c r="BG92" s="1824"/>
      <c r="BH92" s="1824"/>
      <c r="BJ92" s="1824"/>
      <c r="BK92" s="1824"/>
      <c r="BL92" s="1852"/>
      <c r="BM92" s="1824"/>
      <c r="BN92" s="1824"/>
      <c r="BO92" s="3180"/>
      <c r="BP92" s="3180"/>
      <c r="BQ92" s="1824"/>
      <c r="BR92" s="1824"/>
      <c r="BS92" s="1824"/>
      <c r="BT92" s="1824"/>
      <c r="BU92" s="1852"/>
      <c r="BV92" s="1852"/>
      <c r="BW92" s="1824"/>
      <c r="BX92" s="1824"/>
      <c r="BY92" s="1824"/>
      <c r="BZ92" s="1824"/>
      <c r="CA92" s="1824"/>
      <c r="CB92" s="1824"/>
      <c r="CC92" s="1824"/>
      <c r="CD92" s="1824"/>
      <c r="CE92" s="1824"/>
      <c r="CF92" s="1824"/>
      <c r="CG92" s="1824"/>
      <c r="CH92" s="1824"/>
      <c r="CI92" s="1824"/>
      <c r="CJ92" s="1824"/>
      <c r="CK92" s="1824"/>
      <c r="CL92" s="1824"/>
      <c r="CM92" s="1824"/>
      <c r="CN92" s="1824"/>
      <c r="CO92" s="1824"/>
      <c r="CP92" s="1824"/>
      <c r="CQ92" s="1824"/>
      <c r="CR92" s="1824"/>
      <c r="CS92" s="1824"/>
      <c r="CT92" s="1824"/>
      <c r="CU92" s="1824"/>
      <c r="CV92" s="1824"/>
      <c r="CW92" s="1824"/>
      <c r="CX92" s="1824"/>
      <c r="CY92" s="1824"/>
      <c r="CZ92" s="1824"/>
      <c r="DA92" s="1824"/>
      <c r="DB92" s="1824"/>
      <c r="DC92" s="2039"/>
      <c r="DD92" s="1824"/>
      <c r="DE92" s="1824"/>
      <c r="DF92" s="1824"/>
      <c r="DG92" s="1824"/>
      <c r="DH92" s="1824"/>
      <c r="DI92" s="1824"/>
      <c r="DJ92" s="1824"/>
    </row>
    <row r="93" spans="3:114" x14ac:dyDescent="0.25">
      <c r="C93" s="39" t="str">
        <f t="shared" si="23"/>
        <v>Hose or Loading Arm Connection</v>
      </c>
      <c r="D93" s="19"/>
      <c r="E93" s="39"/>
      <c r="F93" s="39"/>
      <c r="G93" s="39"/>
      <c r="H93" s="39"/>
      <c r="I93" s="39"/>
      <c r="J93" s="39" t="str">
        <f>IF(Exclude_MI="Only MI",SD_Gen_1,IF(Reactive_Only="Yes",SD_Gen_3,SD_D_6))</f>
        <v>Improper connection of hose or wand resulting in solids spill</v>
      </c>
      <c r="K93" s="39"/>
      <c r="L93" s="39" t="str">
        <f>IF(Exclude_MI="Only MI",SD_Gen_1,IF(Reactive_Only="Yes",SD_Gen_3,SD_T_1))</f>
        <v>Spill associated with improper connection of hose or loading arm</v>
      </c>
      <c r="M93" s="39"/>
      <c r="N93" s="39"/>
      <c r="O93" s="39"/>
      <c r="P93" s="39"/>
      <c r="Q93" s="39"/>
      <c r="R93" s="39"/>
      <c r="S93" s="39"/>
      <c r="T93" s="39"/>
      <c r="U93" s="39"/>
      <c r="V93" s="39"/>
      <c r="W93" s="39"/>
      <c r="X93" s="39"/>
      <c r="Y93" s="39"/>
      <c r="Z93" s="3158" t="str">
        <f>IF(Exclude_MI="Only MI",SD_Gen_1,IF(Reactive_Only="Yes",SD_Gen_3,SD_Gen_33))</f>
        <v>Maximum Source Pressure exceeds the Maximum Allowable Working Pressure or Relief Set Pressure</v>
      </c>
      <c r="AA93" s="39"/>
      <c r="AB93" s="39"/>
      <c r="AC93" s="39"/>
      <c r="AD93" s="39"/>
      <c r="AE93" s="39"/>
      <c r="AF93" s="39" t="str">
        <f>IF(Exclude_MI="Only MI",SD_Gen_1,IF(Reactive_Only="Yes",SD_Gen_3,SD_T_1))</f>
        <v>Spill associated with improper connection of hose or loading arm</v>
      </c>
      <c r="AG93" s="2049"/>
      <c r="AH93" s="3158" t="str">
        <f>IF(Exclude_MI="Only MI",SD_Gen_1,IF(Reactive_Only="Yes",SD_Gen_3,SD_Gen_33))</f>
        <v>Maximum Source Pressure exceeds the Maximum Allowable Working Pressure or Relief Set Pressure</v>
      </c>
      <c r="AI93" s="39"/>
      <c r="AK93" s="39"/>
      <c r="AL93" s="39" t="str">
        <f>IED_T_1</f>
        <v>Operator fails to ensure a proper connection before starting material transfer</v>
      </c>
      <c r="AM93" s="39"/>
      <c r="AN93" s="39" t="str">
        <f>IED_T_1</f>
        <v>Operator fails to ensure a proper connection before starting material transfer</v>
      </c>
      <c r="AO93" s="39"/>
      <c r="AP93" s="39"/>
      <c r="AQ93" s="738"/>
      <c r="AR93" s="39"/>
      <c r="AS93" s="1001"/>
      <c r="AT93" s="39"/>
      <c r="AU93" s="39"/>
      <c r="AV93" s="39"/>
      <c r="AW93" s="39"/>
      <c r="AX93" s="39"/>
      <c r="AY93" s="39"/>
      <c r="AZ93" s="39"/>
      <c r="BA93" s="39"/>
      <c r="BB93" s="39"/>
      <c r="BC93" s="39"/>
      <c r="BD93" s="39"/>
      <c r="BE93" s="39"/>
      <c r="BF93" s="39"/>
      <c r="BG93" s="39"/>
      <c r="BH93" s="39"/>
      <c r="BJ93" s="39"/>
      <c r="BK93" s="39"/>
      <c r="BL93" s="1852"/>
      <c r="BM93" s="39"/>
      <c r="BN93" s="39"/>
      <c r="BO93" s="3180"/>
      <c r="BP93" s="3180"/>
      <c r="BQ93" s="39"/>
      <c r="BR93" s="39"/>
      <c r="BS93" s="39"/>
      <c r="BT93" s="39"/>
      <c r="BU93" s="1852"/>
      <c r="BV93" s="1852"/>
      <c r="BW93" s="39"/>
      <c r="BX93" s="39"/>
      <c r="BY93" s="39"/>
      <c r="BZ93" s="39"/>
      <c r="CA93" s="39"/>
      <c r="CB93" s="39"/>
      <c r="CC93" s="39"/>
      <c r="CD93" s="39"/>
      <c r="CE93" s="39"/>
      <c r="CF93" s="1475"/>
      <c r="CG93" s="39"/>
      <c r="CH93" s="39"/>
      <c r="CI93" s="39"/>
      <c r="CJ93" s="39"/>
      <c r="CK93" s="39"/>
      <c r="CL93" s="1036"/>
      <c r="CM93" s="738"/>
      <c r="CN93" s="738"/>
      <c r="CO93" s="39"/>
      <c r="CP93" s="39"/>
      <c r="CQ93" s="39"/>
      <c r="CR93" s="39"/>
      <c r="CS93" s="39"/>
      <c r="CT93" s="39"/>
      <c r="CU93" s="39"/>
      <c r="CV93" s="782"/>
      <c r="CW93" s="39"/>
      <c r="CX93" s="39"/>
      <c r="CY93" s="39"/>
      <c r="CZ93" s="39"/>
      <c r="DA93" s="39"/>
      <c r="DB93" s="39"/>
      <c r="DC93" s="2039"/>
      <c r="DD93" s="39"/>
      <c r="DE93" s="39"/>
      <c r="DF93" s="500"/>
      <c r="DG93" s="39"/>
      <c r="DH93" s="39"/>
      <c r="DI93" s="39"/>
      <c r="DJ93" s="39"/>
    </row>
    <row r="94" spans="3:114" x14ac:dyDescent="0.25">
      <c r="C94" s="39" t="str">
        <f t="shared" si="23"/>
        <v>Damage from Movement</v>
      </c>
      <c r="D94" s="19"/>
      <c r="E94" s="39"/>
      <c r="F94" s="39"/>
      <c r="G94" s="39"/>
      <c r="H94" s="39"/>
      <c r="I94" s="39"/>
      <c r="J94" s="39"/>
      <c r="K94" s="39"/>
      <c r="L94" s="39"/>
      <c r="M94" s="39"/>
      <c r="N94" s="39"/>
      <c r="O94" s="39"/>
      <c r="P94" s="39"/>
      <c r="Q94" s="39"/>
      <c r="R94" s="39"/>
      <c r="S94" s="39"/>
      <c r="T94" s="39"/>
      <c r="U94" s="39"/>
      <c r="V94" s="39"/>
      <c r="W94" s="39"/>
      <c r="X94" s="39"/>
      <c r="Y94" s="39"/>
      <c r="Z94" s="39"/>
      <c r="AA94" s="39"/>
      <c r="AB94" s="39"/>
      <c r="AC94" s="39"/>
      <c r="AD94" s="39"/>
      <c r="AE94" s="39"/>
      <c r="AF94" s="39" t="str">
        <f>IF(Exclude_MI="Only MI",SD_Gen_1,IF(Reactive_Only="Yes",SD_Gen_3,SD_T_4))</f>
        <v>Spill caused by Truck or car movement while transfer is in progress</v>
      </c>
      <c r="AG94" s="2049"/>
      <c r="AH94" s="39"/>
      <c r="AI94" s="39"/>
      <c r="AK94" s="39"/>
      <c r="AL94" s="39"/>
      <c r="AM94" s="39"/>
      <c r="AN94" s="39" t="str">
        <f>IED_T_4</f>
        <v>Spill resulting from container movement while transfer is in progress</v>
      </c>
      <c r="AO94" s="39" t="str">
        <f>IED_T_5</f>
        <v>Driver inadvertently moves truck or car</v>
      </c>
      <c r="AP94" s="39"/>
      <c r="AQ94" s="738"/>
      <c r="AR94" s="39"/>
      <c r="AS94" s="1001"/>
      <c r="AT94" s="39"/>
      <c r="AU94" s="39"/>
      <c r="AV94" s="39"/>
      <c r="AW94" s="39"/>
      <c r="AX94" s="39"/>
      <c r="AY94" s="39"/>
      <c r="AZ94" s="39"/>
      <c r="BA94" s="39"/>
      <c r="BB94" s="39"/>
      <c r="BC94" s="39"/>
      <c r="BD94" s="39"/>
      <c r="BE94" s="39"/>
      <c r="BF94" s="39"/>
      <c r="BG94" s="39"/>
      <c r="BH94" s="39"/>
      <c r="BJ94" s="39"/>
      <c r="BK94" s="39"/>
      <c r="BL94" s="1852"/>
      <c r="BM94" s="39"/>
      <c r="BN94" s="39"/>
      <c r="BO94" s="3180"/>
      <c r="BP94" s="3180"/>
      <c r="BQ94" s="39"/>
      <c r="BR94" s="39"/>
      <c r="BS94" s="39"/>
      <c r="BT94" s="39"/>
      <c r="BU94" s="1852"/>
      <c r="BV94" s="1852"/>
      <c r="BW94" s="39"/>
      <c r="BX94" s="39"/>
      <c r="BY94" s="39"/>
      <c r="BZ94" s="39"/>
      <c r="CA94" s="39"/>
      <c r="CB94" s="39"/>
      <c r="CC94" s="39"/>
      <c r="CD94" s="39"/>
      <c r="CE94" s="39"/>
      <c r="CF94" s="1475"/>
      <c r="CG94" s="39"/>
      <c r="CH94" s="39"/>
      <c r="CI94" s="39"/>
      <c r="CJ94" s="39"/>
      <c r="CK94" s="39"/>
      <c r="CL94" s="1036"/>
      <c r="CM94" s="738"/>
      <c r="CN94" s="738"/>
      <c r="CO94" s="39"/>
      <c r="CP94" s="39"/>
      <c r="CQ94" s="39"/>
      <c r="CR94" s="39"/>
      <c r="CS94" s="39"/>
      <c r="CT94" s="39"/>
      <c r="CU94" s="39"/>
      <c r="CV94" s="782"/>
      <c r="CW94" s="39"/>
      <c r="CX94" s="39"/>
      <c r="CY94" s="39"/>
      <c r="CZ94" s="39"/>
      <c r="DA94" s="39"/>
      <c r="DB94" s="39"/>
      <c r="DC94" s="2039"/>
      <c r="DD94" s="39"/>
      <c r="DE94" s="39"/>
      <c r="DF94" s="500"/>
      <c r="DG94" s="39"/>
      <c r="DH94" s="39"/>
      <c r="DI94" s="39"/>
      <c r="DJ94" s="39"/>
    </row>
    <row r="95" spans="3:114" x14ac:dyDescent="0.25">
      <c r="C95" s="39" t="str">
        <f t="shared" si="23"/>
        <v>Hydraulic Surge</v>
      </c>
      <c r="D95" s="19"/>
      <c r="E95" s="39"/>
      <c r="F95" s="39"/>
      <c r="G95" s="39"/>
      <c r="H95" s="39"/>
      <c r="I95" s="39"/>
      <c r="J95" s="39"/>
      <c r="K95" s="39"/>
      <c r="L95" s="39"/>
      <c r="M95" s="39"/>
      <c r="N95" s="39"/>
      <c r="O95" s="39"/>
      <c r="P95" s="39"/>
      <c r="Q95" s="39"/>
      <c r="R95" s="39"/>
      <c r="S95" s="39"/>
      <c r="T95" s="39"/>
      <c r="U95" s="39"/>
      <c r="V95" s="39"/>
      <c r="W95" s="39"/>
      <c r="X95" s="39"/>
      <c r="Y95" s="39"/>
      <c r="Z95" s="39"/>
      <c r="AA95" s="39"/>
      <c r="AB95" s="39" t="str">
        <f>IF(Exclude_MI="Only MI",SD_Gen_1,IF(Reactive_Only="Yes",SD_Gen_3,IF(P_Surge&gt;Failure_Gasket*MAWP,SD_Gen_38,SD_Gen_39)))</f>
        <v>Hydraulic surge pressure does Not exceed the Maximum Allowable Working Pressure</v>
      </c>
      <c r="AC95" s="39" t="str">
        <f>IF(Exclude_MI="Only MI",SD_Gen_1,IF(Reactive_Only="Yes",SD_Gen_3,IF(P_Surge&gt;Failure_Gasket*MAWP,SD_Gen_38,SD_Gen_39)))</f>
        <v>Hydraulic surge pressure does Not exceed the Maximum Allowable Working Pressure</v>
      </c>
      <c r="AD95" s="39"/>
      <c r="AE95" s="39"/>
      <c r="AF95" s="39"/>
      <c r="AG95" s="2049"/>
      <c r="AH95" s="39"/>
      <c r="AI95" s="39"/>
      <c r="AK95" s="39"/>
      <c r="AL95" s="39"/>
      <c r="AM95" s="39"/>
      <c r="AN95" s="39" t="str">
        <f>IED_T_7</f>
        <v>Hydraulic surge resulting from rapid closure of valve or sudden start-up of pump in long pipeline</v>
      </c>
      <c r="AO95" s="39"/>
      <c r="AP95" s="39"/>
      <c r="AQ95" s="738"/>
      <c r="AR95" s="39"/>
      <c r="AS95" s="1001"/>
      <c r="AT95" s="39"/>
      <c r="AU95" s="39"/>
      <c r="AV95" s="39"/>
      <c r="AW95" s="39"/>
      <c r="AX95" s="39"/>
      <c r="AY95" s="39"/>
      <c r="AZ95" s="39"/>
      <c r="BA95" s="39"/>
      <c r="BB95" s="39"/>
      <c r="BC95" s="39"/>
      <c r="BD95" s="39"/>
      <c r="BE95" s="39"/>
      <c r="BF95" s="39"/>
      <c r="BG95" s="39"/>
      <c r="BH95" s="39"/>
      <c r="BJ95" s="39"/>
      <c r="BK95" s="39"/>
      <c r="BL95" s="1852"/>
      <c r="BM95" s="39"/>
      <c r="BN95" s="39"/>
      <c r="BO95" s="3180"/>
      <c r="BP95" s="3180"/>
      <c r="BQ95" s="39"/>
      <c r="BR95" s="39"/>
      <c r="BS95" s="39"/>
      <c r="BT95" s="39"/>
      <c r="BU95" s="1852"/>
      <c r="BV95" s="1852"/>
      <c r="BW95" s="39"/>
      <c r="BX95" s="39"/>
      <c r="BY95" s="39"/>
      <c r="BZ95" s="39"/>
      <c r="CA95" s="39"/>
      <c r="CB95" s="39"/>
      <c r="CC95" s="39"/>
      <c r="CD95" s="39"/>
      <c r="CE95" s="39"/>
      <c r="CF95" s="1475"/>
      <c r="CG95" s="39"/>
      <c r="CH95" s="39"/>
      <c r="CI95" s="39"/>
      <c r="CJ95" s="39"/>
      <c r="CK95" s="39"/>
      <c r="CL95" s="1036"/>
      <c r="CM95" s="738"/>
      <c r="CN95" s="738"/>
      <c r="CO95" s="39"/>
      <c r="CP95" s="39"/>
      <c r="CQ95" s="39"/>
      <c r="CR95" s="39"/>
      <c r="CS95" s="39"/>
      <c r="CT95" s="39"/>
      <c r="CU95" s="39"/>
      <c r="CV95" s="782"/>
      <c r="CW95" s="39"/>
      <c r="CX95" s="39"/>
      <c r="CY95" s="39"/>
      <c r="CZ95" s="39"/>
      <c r="DA95" s="39"/>
      <c r="DB95" s="39"/>
      <c r="DC95" s="2039"/>
      <c r="DD95" s="39"/>
      <c r="DE95" s="39"/>
      <c r="DF95" s="500"/>
      <c r="DG95" s="39"/>
      <c r="DH95" s="39"/>
      <c r="DI95" s="39"/>
      <c r="DJ95" s="39"/>
    </row>
    <row r="96" spans="3:114" x14ac:dyDescent="0.25">
      <c r="C96" s="39" t="str">
        <f t="shared" si="23"/>
        <v>Hydraulic Overpressure</v>
      </c>
      <c r="D96" s="19"/>
      <c r="E96" s="3158"/>
      <c r="F96" s="3158"/>
      <c r="G96" s="3158"/>
      <c r="H96" s="3158"/>
      <c r="I96" s="3158"/>
      <c r="J96" s="3158"/>
      <c r="K96" s="3158"/>
      <c r="L96" s="3158"/>
      <c r="M96" s="3158"/>
      <c r="N96" s="3158"/>
      <c r="O96" s="3158"/>
      <c r="P96" s="3158"/>
      <c r="Q96" s="3158" t="str">
        <f>IF(Exclude_MI="Only MI",SD_Gen_1,IF(Reactive_Only="Yes",SD_Gen_3,IF(Pump_Type="Positive Displacement",SD_Gen_80,IF(AND(Pump_Type&lt;&gt;"Positive Displacement",Max_Feed_P&gt;Failure_Gasket*MAWP),SD_Gen_33,SD_Gen_49))))</f>
        <v>Maximum Source Pressure exceeds the Maximum Allowable Working Pressure or Relief Set Pressure</v>
      </c>
      <c r="R96" s="3158"/>
      <c r="S96" s="3158"/>
      <c r="T96" s="3158"/>
      <c r="U96" s="3158"/>
      <c r="V96" s="3158"/>
      <c r="W96" s="3158"/>
      <c r="X96" s="3158"/>
      <c r="Y96" s="3158" t="str">
        <f>IF(Exclude_MI="Only MI",SD_Gen_1,IF(Reactive_Only="Yes",SD_Gen_3,IF(Pump_Type="Positive Displacement",SD_Gen_80,IF(AND(Pump_Type&lt;&gt;"Positive Displacement",Max_Feed_P&gt;Failure_Gasket*MAWP),SD_Gen_33,SD_Gen_49))))</f>
        <v>Maximum Source Pressure exceeds the Maximum Allowable Working Pressure or Relief Set Pressure</v>
      </c>
      <c r="Z96" s="3158"/>
      <c r="AA96" s="3158"/>
      <c r="AB96" s="3158" t="str">
        <f>IF(Exclude_MI="Only MI",SD_Gen_1,IF(Reactive_Only="Yes",SD_Gen_3,IF(Pump_Type="Positive Displacement",SD_Gen_80,IF(AND(Pump_Type&lt;&gt;"Positive Displacement",Max_Feed_P&gt;Failure_Gasket*MAWP),SD_Gen_33,SD_Gen_49))))</f>
        <v>Maximum Source Pressure exceeds the Maximum Allowable Working Pressure or Relief Set Pressure</v>
      </c>
      <c r="AC96" s="3158" t="str">
        <f>IF(Exclude_MI="Only MI",SD_Gen_1,IF(Reactive_Only="Yes",SD_Gen_3,IF(Pump_Type="Positive Displacement",SD_Gen_80,IF(AND(Pump_Type&lt;&gt;"Positive Displacement",Max_Feed_P&gt;Failure_Gasket*MAWP),SD_Gen_33,SD_Gen_49))))</f>
        <v>Maximum Source Pressure exceeds the Maximum Allowable Working Pressure or Relief Set Pressure</v>
      </c>
      <c r="AD96" s="3158"/>
      <c r="AE96" s="3158"/>
      <c r="AF96" s="3158" t="str">
        <f>IF(Exclude_MI="Only MI",SD_Gen_1,IF(Reactive_Only="Yes",SD_Gen_3,IF(Pump_Type="Positive Displacement",SD_Gen_80,IF(AND(Pump_Type&lt;&gt;"Positive Displacement",Max_Feed_P&gt;Failure_Gasket*MAWP),SD_Gen_33,SD_Gen_49))))</f>
        <v>Maximum Source Pressure exceeds the Maximum Allowable Working Pressure or Relief Set Pressure</v>
      </c>
      <c r="AG96" s="3158"/>
      <c r="AH96" s="3158" t="str">
        <f>IF(Exclude_MI="Only MI",SD_Gen_1,IF(Reactive_Only="Yes",SD_Gen_3,IF(Pump_Type="Positive Displacement",SD_Gen_80,IF(AND(Pump_Type&lt;&gt;"Positive Displacement",Max_Feed_P&gt;Failure_Gasket*MAWP),SD_Gen_33,SD_Gen_49))))</f>
        <v>Maximum Source Pressure exceeds the Maximum Allowable Working Pressure or Relief Set Pressure</v>
      </c>
      <c r="AI96" s="3158"/>
      <c r="AK96" s="3158" t="str">
        <f>IF(Pump_Type="Positive Displacement",IED_Gen_49,IED_Gen_2)</f>
        <v>Failure of Pressure Control</v>
      </c>
      <c r="AL96" s="3158"/>
      <c r="AM96" s="3158"/>
      <c r="AN96" s="3158"/>
      <c r="AO96" s="3158"/>
      <c r="AP96" s="3158"/>
      <c r="AQ96" s="3158"/>
      <c r="AR96" s="3158"/>
      <c r="AS96" s="3158"/>
      <c r="AT96" s="3158"/>
      <c r="AU96" s="3158"/>
      <c r="AV96" s="3158"/>
      <c r="AW96" s="3158"/>
      <c r="AX96" s="3158"/>
      <c r="AY96" s="3158"/>
      <c r="AZ96" s="3158"/>
      <c r="BA96" s="3158"/>
      <c r="BB96" s="3158"/>
      <c r="BC96" s="3158"/>
      <c r="BD96" s="3158"/>
      <c r="BE96" s="3158"/>
      <c r="BF96" s="3158"/>
      <c r="BG96" s="3158"/>
      <c r="BH96" s="3158"/>
      <c r="BJ96" s="3158"/>
      <c r="BK96" s="3158"/>
      <c r="BL96" s="3158"/>
      <c r="BM96" s="39" t="str">
        <f>IPLD_Gen_1</f>
        <v>Pressure Relief Device Sized for Scenario and verified by qualified Relief Designer</v>
      </c>
      <c r="BN96" s="3158"/>
      <c r="BO96" s="3180"/>
      <c r="BP96" s="3180"/>
      <c r="BQ96" s="3158"/>
      <c r="BR96" s="3158"/>
      <c r="BS96" s="3158"/>
      <c r="BT96" s="3158"/>
      <c r="BU96" s="3158"/>
      <c r="BV96" s="3158"/>
      <c r="BW96" s="3158"/>
      <c r="BX96" s="3158"/>
      <c r="BY96" s="3158"/>
      <c r="BZ96" s="3158"/>
      <c r="CA96" s="3158"/>
      <c r="CB96" s="3158"/>
      <c r="CC96" s="3158"/>
      <c r="CD96" s="3158"/>
      <c r="CE96" s="3158"/>
      <c r="CF96" s="3158"/>
      <c r="CG96" s="3158"/>
      <c r="CH96" s="3158"/>
      <c r="CI96" s="3158"/>
      <c r="CJ96" s="3158"/>
      <c r="CK96" s="3158"/>
      <c r="CL96" s="3158"/>
      <c r="CM96" s="3158"/>
      <c r="CN96" s="3158"/>
      <c r="CO96" s="3158"/>
      <c r="CP96" s="3158"/>
      <c r="CQ96" s="3158"/>
      <c r="CR96" s="3158"/>
      <c r="CS96" s="3158"/>
      <c r="CT96" s="3158"/>
      <c r="CU96" s="3158"/>
      <c r="CV96" s="3158"/>
      <c r="CW96" s="3158"/>
      <c r="CX96" s="3158"/>
      <c r="CY96" s="3158"/>
      <c r="CZ96" s="3158"/>
      <c r="DA96" s="3158"/>
      <c r="DB96" s="3158"/>
      <c r="DC96" s="3158"/>
      <c r="DD96" s="39" t="str">
        <f>IPLD_Gen_1</f>
        <v>Pressure Relief Device Sized for Scenario and verified by qualified Relief Designer</v>
      </c>
      <c r="DE96" s="3158"/>
      <c r="DF96" s="3158"/>
      <c r="DG96" s="3158"/>
      <c r="DH96" s="3158"/>
      <c r="DI96" s="3158"/>
      <c r="DJ96" s="3158"/>
    </row>
    <row r="97" spans="3:114" x14ac:dyDescent="0.25">
      <c r="C97" s="39" t="str">
        <f t="shared" ref="C97:C105" si="24">C30</f>
        <v>Introduction of Foreign Material</v>
      </c>
      <c r="D97" s="19"/>
      <c r="E97" s="39"/>
      <c r="F97" s="39"/>
      <c r="G97" s="39" t="str">
        <f>IF(Exclude_MI="Only MI",SD_Gen_1,IF(Reactive_Only="Yes",SD_Gen_3,IF(State&lt;&gt;"Solid",SD_Gen_9,IF(MAWP&gt;5,SD_Gen_20,IF(OR(Dust_MIE_Feed&lt;300,Dust_Hybrid_Feed="Yes"),SD_D_3,SD_D_4)))))</f>
        <v>Chemical Handled is not a Solid under specificized process conditions</v>
      </c>
      <c r="H97" s="39"/>
      <c r="I97" s="39"/>
      <c r="J97" s="39"/>
      <c r="K97" s="39"/>
      <c r="L97" s="39"/>
      <c r="M97" s="39"/>
      <c r="N97" s="39"/>
      <c r="O97" s="39"/>
      <c r="P97" s="39"/>
      <c r="Q97" s="39"/>
      <c r="R97" s="39"/>
      <c r="S97" s="39"/>
      <c r="T97" s="39"/>
      <c r="U97" s="39"/>
      <c r="V97" s="39"/>
      <c r="W97" s="39"/>
      <c r="X97" s="39"/>
      <c r="Y97" s="39"/>
      <c r="Z97" s="39"/>
      <c r="AA97" s="39" t="str">
        <f>IF(Exclude_MI="Only MI",SD_Gen_1,IF(Reactive_Only="Yes",SD_Gen_3,IF(State&lt;&gt;"Solid",SD_Gen_9,IF(MAWP&gt;5,SD_Gen_20,IF(OR(Dust_MIE_Feed&lt;300,Dust_Hybrid_Feed="Yes"),SD_D_3,SD_D_4)))))</f>
        <v>Chemical Handled is not a Solid under specificized process conditions</v>
      </c>
      <c r="AB97" s="39"/>
      <c r="AC97" s="39"/>
      <c r="AD97" s="39"/>
      <c r="AE97" s="39"/>
      <c r="AF97" s="39"/>
      <c r="AG97" s="2049"/>
      <c r="AH97" s="39"/>
      <c r="AI97" s="39"/>
      <c r="AK97" s="39"/>
      <c r="AL97" s="39" t="str">
        <f>IED_D_1</f>
        <v>Inadvertent addition of tools or maintenance materials</v>
      </c>
      <c r="AM97" s="39" t="str">
        <f>IED_D_2</f>
        <v>Breakage of rotating blade or internal parts due to alignment, wear, or fatigue</v>
      </c>
      <c r="AN97" s="39"/>
      <c r="AO97" s="39"/>
      <c r="AP97" s="39"/>
      <c r="AQ97" s="738"/>
      <c r="AR97" s="39"/>
      <c r="AS97" s="1001"/>
      <c r="AT97" s="39"/>
      <c r="AU97" s="39"/>
      <c r="AV97" s="39"/>
      <c r="AW97" s="39"/>
      <c r="AX97" s="39"/>
      <c r="AY97" s="39"/>
      <c r="AZ97" s="39"/>
      <c r="BA97" s="39"/>
      <c r="BB97" s="39"/>
      <c r="BC97" s="39"/>
      <c r="BD97" s="39"/>
      <c r="BE97" s="39"/>
      <c r="BF97" s="39"/>
      <c r="BG97" s="39"/>
      <c r="BH97" s="39"/>
      <c r="BJ97" s="39"/>
      <c r="BK97" s="39"/>
      <c r="BL97" s="1852"/>
      <c r="BM97" s="39"/>
      <c r="BN97" s="39"/>
      <c r="BO97" s="3180"/>
      <c r="BP97" s="3180"/>
      <c r="BQ97" s="39"/>
      <c r="BR97" s="39"/>
      <c r="BS97" s="39"/>
      <c r="BT97" s="39"/>
      <c r="BU97" s="1852"/>
      <c r="BV97" s="1852"/>
      <c r="BW97" s="39"/>
      <c r="BX97" s="39"/>
      <c r="BY97" s="39"/>
      <c r="BZ97" s="39"/>
      <c r="CA97" s="39"/>
      <c r="CB97" s="39"/>
      <c r="CC97" s="39"/>
      <c r="CD97" s="39"/>
      <c r="CE97" s="39"/>
      <c r="CF97" s="1475"/>
      <c r="CG97" s="39"/>
      <c r="CH97" s="39"/>
      <c r="CI97" s="39"/>
      <c r="CJ97" s="39"/>
      <c r="CK97" s="39"/>
      <c r="CL97" s="1036"/>
      <c r="CM97" s="738"/>
      <c r="CN97" s="738"/>
      <c r="CO97" s="39"/>
      <c r="CP97" s="39"/>
      <c r="CQ97" s="39"/>
      <c r="CR97" s="39"/>
      <c r="CS97" s="39"/>
      <c r="CT97" s="39"/>
      <c r="CU97" s="39"/>
      <c r="CV97" s="782"/>
      <c r="CW97" s="39"/>
      <c r="CX97" s="39"/>
      <c r="CY97" s="39"/>
      <c r="CZ97" s="39"/>
      <c r="DA97" s="39"/>
      <c r="DB97" s="39"/>
      <c r="DC97" s="2039"/>
      <c r="DD97" s="39"/>
      <c r="DE97" s="39"/>
      <c r="DF97" s="500"/>
      <c r="DG97" s="39"/>
      <c r="DH97" s="39" t="str">
        <f>IPLD_Gen_4</f>
        <v>Explosion Panel Sized for Scenario and verified by qualified Relief Designer</v>
      </c>
      <c r="DI97" s="39"/>
      <c r="DJ97" s="39"/>
    </row>
    <row r="98" spans="3:114" x14ac:dyDescent="0.25">
      <c r="C98" s="39" t="str">
        <f t="shared" si="24"/>
        <v>Liquid in Vapor Feed</v>
      </c>
      <c r="D98" s="19"/>
      <c r="E98" s="39"/>
      <c r="F98" s="39"/>
      <c r="G98" s="39"/>
      <c r="H98" s="39" t="str">
        <f>IF(Exclude_MI="Only MI",SD_Gen_1,IF(Reactive_Only="Yes",SD_Gen_3,SD_Gen_59))</f>
        <v>Liquid feed to compressor causing equipment damage</v>
      </c>
      <c r="I98" s="39"/>
      <c r="J98" s="39"/>
      <c r="K98" s="39"/>
      <c r="L98" s="39"/>
      <c r="M98" s="39"/>
      <c r="N98" s="39"/>
      <c r="O98" s="39"/>
      <c r="P98" s="39"/>
      <c r="Q98" s="39"/>
      <c r="R98" s="39"/>
      <c r="S98" s="39"/>
      <c r="T98" s="39"/>
      <c r="U98" s="39" t="str">
        <f>IF(Exclude_MI="Only MI",SD_Gen_1,IF(Reactive_Only="Yes",SD_Gen_3,SD_FE_22))</f>
        <v>Liquid feed to flare causing release of flaming "rain"</v>
      </c>
      <c r="V98" s="39" t="str">
        <f>IF(Exclude_MI="Only MI","Assessment is limited to Only Mechanical Integrity Scenarios",IF(Reactive_Only="Yes","Assessment is limited to Only Reactive Scenarios","Liquid feed to flare causing flaming rain"))</f>
        <v>Liquid feed to flare causing flaming rain</v>
      </c>
      <c r="W98" s="39"/>
      <c r="X98" s="39"/>
      <c r="Y98" s="39"/>
      <c r="Z98" s="39"/>
      <c r="AA98" s="39"/>
      <c r="AB98" s="39"/>
      <c r="AC98" s="39"/>
      <c r="AD98" s="39"/>
      <c r="AE98" s="39"/>
      <c r="AF98" s="39"/>
      <c r="AG98" s="39" t="str">
        <f>IF(Exclude_MI="Only MI",SD_Gen_1,IF(Reactive_Only="Yes",SD_Gen_3,SD_Gen_59))</f>
        <v>Liquid feed to compressor causing equipment damage</v>
      </c>
      <c r="AH98" s="39"/>
      <c r="AI98" s="39"/>
      <c r="AK98" s="39" t="str">
        <f>IED_Gen_10</f>
        <v>Failure of Liquid Level in knock out drum</v>
      </c>
      <c r="AL98" s="39"/>
      <c r="AM98" s="39"/>
      <c r="AN98" s="39"/>
      <c r="AO98" s="39"/>
      <c r="AP98" s="39"/>
      <c r="AQ98" s="738"/>
      <c r="AR98" s="39"/>
      <c r="AS98" s="1001"/>
      <c r="AT98" s="39"/>
      <c r="AU98" s="39"/>
      <c r="AV98" s="39"/>
      <c r="AW98" s="39"/>
      <c r="AX98" s="39"/>
      <c r="AY98" s="39"/>
      <c r="AZ98" s="39"/>
      <c r="BA98" s="39"/>
      <c r="BB98" s="39"/>
      <c r="BC98" s="39"/>
      <c r="BD98" s="39"/>
      <c r="BE98" s="39"/>
      <c r="BF98" s="39"/>
      <c r="BG98" s="39"/>
      <c r="BH98" s="39"/>
      <c r="BJ98" s="39"/>
      <c r="BK98" s="39"/>
      <c r="BL98" s="1852"/>
      <c r="BM98" s="39"/>
      <c r="BN98" s="39"/>
      <c r="BO98" s="3180"/>
      <c r="BP98" s="3180"/>
      <c r="BQ98" s="39"/>
      <c r="BR98" s="39"/>
      <c r="BS98" s="39"/>
      <c r="BT98" s="39"/>
      <c r="BU98" s="1852"/>
      <c r="BV98" s="1852"/>
      <c r="BW98" s="39"/>
      <c r="BX98" s="39"/>
      <c r="BY98" s="39"/>
      <c r="BZ98" s="39"/>
      <c r="CA98" s="39"/>
      <c r="CB98" s="39"/>
      <c r="CC98" s="39"/>
      <c r="CD98" s="39"/>
      <c r="CE98" s="39"/>
      <c r="CF98" s="1475"/>
      <c r="CG98" s="39"/>
      <c r="CH98" s="39"/>
      <c r="CI98" s="39"/>
      <c r="CJ98" s="39"/>
      <c r="CK98" s="39"/>
      <c r="CL98" s="1036"/>
      <c r="CM98" s="738"/>
      <c r="CN98" s="738"/>
      <c r="CO98" s="39"/>
      <c r="CP98" s="39"/>
      <c r="CQ98" s="39"/>
      <c r="CR98" s="39"/>
      <c r="CS98" s="39"/>
      <c r="CT98" s="39"/>
      <c r="CU98" s="39"/>
      <c r="CV98" s="782"/>
      <c r="CW98" s="39"/>
      <c r="CX98" s="39"/>
      <c r="CY98" s="39"/>
      <c r="CZ98" s="39"/>
      <c r="DA98" s="39"/>
      <c r="DB98" s="39"/>
      <c r="DC98" s="2039"/>
      <c r="DD98" s="39"/>
      <c r="DE98" s="39"/>
      <c r="DF98" s="500"/>
      <c r="DG98" s="39"/>
      <c r="DH98" s="39"/>
      <c r="DI98" s="39"/>
      <c r="DJ98" s="39"/>
    </row>
    <row r="99" spans="3:114" x14ac:dyDescent="0.25">
      <c r="C99" s="39" t="str">
        <f t="shared" si="24"/>
        <v>Loss of Flow - Adsorber or Scrubber</v>
      </c>
      <c r="D99" s="19"/>
      <c r="E99" s="39" t="str">
        <f>IF(Exclude_MI="Only MI",SD_Gen_1,IF(Reactive_Only="Yes",SD_Gen_3,IF(State&lt;&gt;"Vapor",SD_Gen_70,IF(Overflow_Location="Does Not Vent to Atmosphere",SD_Gen_75,SD_Gen_60))))</f>
        <v>Vent to Scrubber, Adsorber or Quench is not a Vapor</v>
      </c>
      <c r="F99" s="39"/>
      <c r="G99" s="39"/>
      <c r="H99" s="39"/>
      <c r="I99" s="39"/>
      <c r="J99" s="39"/>
      <c r="K99" s="39"/>
      <c r="L99" s="39"/>
      <c r="M99" s="39"/>
      <c r="N99" s="39"/>
      <c r="O99" s="39"/>
      <c r="P99" s="39"/>
      <c r="Q99" s="39"/>
      <c r="R99" s="39"/>
      <c r="S99" s="39"/>
      <c r="T99" s="39"/>
      <c r="U99" s="39"/>
      <c r="V99" s="39"/>
      <c r="W99" s="39" t="str">
        <f>IF(Exclude_MI="Only MI",SD_Gen_1,IF(Reactive_Only="Yes",SD_Gen_3,IF(State&lt;&gt;"Vapor",SD_Gen_70,IF(Overflow_Location="Does Not Vent to Atmosphere",SD_Gen_75,SD_Gen_60))))</f>
        <v>Vent to Scrubber, Adsorber or Quench is not a Vapor</v>
      </c>
      <c r="X99" s="39"/>
      <c r="Y99" s="39"/>
      <c r="Z99" s="39"/>
      <c r="AA99" s="39"/>
      <c r="AB99" s="39"/>
      <c r="AC99" s="39"/>
      <c r="AD99" s="39"/>
      <c r="AE99" s="39"/>
      <c r="AF99" s="39"/>
      <c r="AG99" s="2049"/>
      <c r="AH99" s="39"/>
      <c r="AI99" s="39"/>
      <c r="AK99" s="39" t="str">
        <f>IED_Gen_7</f>
        <v>Failure of scrubbing fluid flow</v>
      </c>
      <c r="AL99" s="39"/>
      <c r="AM99" s="39" t="str">
        <f>IED_Gen_44</f>
        <v>Channeling of scrubbing fluid with reduced efficiency</v>
      </c>
      <c r="AN99" s="39"/>
      <c r="AO99" s="39"/>
      <c r="AP99" s="39"/>
      <c r="AQ99" s="738"/>
      <c r="AR99" s="39"/>
      <c r="AS99" s="1001"/>
      <c r="AT99" s="39"/>
      <c r="AU99" s="39"/>
      <c r="AV99" s="39" t="str">
        <f>IED_Gen_47</f>
        <v>Loss of scrubbing fluid from pump failure</v>
      </c>
      <c r="AW99" s="39"/>
      <c r="AX99" s="39"/>
      <c r="AY99" s="39"/>
      <c r="AZ99" s="39"/>
      <c r="BA99" s="39"/>
      <c r="BB99" s="39"/>
      <c r="BC99" s="39"/>
      <c r="BD99" s="39"/>
      <c r="BE99" s="39"/>
      <c r="BF99" s="39"/>
      <c r="BG99" s="39"/>
      <c r="BH99" s="39"/>
      <c r="BJ99" s="39"/>
      <c r="BK99" s="39"/>
      <c r="BL99" s="1852"/>
      <c r="BM99" s="39"/>
      <c r="BN99" s="39"/>
      <c r="BO99" s="3180"/>
      <c r="BP99" s="3180"/>
      <c r="BQ99" s="39"/>
      <c r="BR99" s="39"/>
      <c r="BS99" s="39"/>
      <c r="BT99" s="39"/>
      <c r="BU99" s="1852"/>
      <c r="BV99" s="1852"/>
      <c r="BW99" s="39"/>
      <c r="BX99" s="39"/>
      <c r="BY99" s="39"/>
      <c r="BZ99" s="39"/>
      <c r="CA99" s="39"/>
      <c r="CB99" s="39"/>
      <c r="CC99" s="39"/>
      <c r="CD99" s="39"/>
      <c r="CE99" s="39"/>
      <c r="CF99" s="1475"/>
      <c r="CG99" s="39"/>
      <c r="CH99" s="39"/>
      <c r="CI99" s="39"/>
      <c r="CJ99" s="39"/>
      <c r="CK99" s="39"/>
      <c r="CL99" s="1036"/>
      <c r="CM99" s="738"/>
      <c r="CN99" s="738"/>
      <c r="CO99" s="39"/>
      <c r="CP99" s="39"/>
      <c r="CQ99" s="39"/>
      <c r="CR99" s="39"/>
      <c r="CS99" s="39"/>
      <c r="CT99" s="39"/>
      <c r="CU99" s="39"/>
      <c r="CV99" s="782"/>
      <c r="CW99" s="39"/>
      <c r="CX99" s="39"/>
      <c r="CY99" s="39"/>
      <c r="CZ99" s="39"/>
      <c r="DA99" s="39"/>
      <c r="DB99" s="39"/>
      <c r="DC99" s="2039"/>
      <c r="DD99" s="39"/>
      <c r="DE99" s="39"/>
      <c r="DF99" s="500"/>
      <c r="DG99" s="39"/>
      <c r="DH99" s="39"/>
      <c r="DI99" s="39"/>
      <c r="DJ99" s="39"/>
    </row>
    <row r="100" spans="3:114" x14ac:dyDescent="0.25">
      <c r="C100" s="39" t="str">
        <f t="shared" si="24"/>
        <v>Loss of Flow or Level - Fired Equipment</v>
      </c>
      <c r="D100" s="19"/>
      <c r="E100" s="39"/>
      <c r="F100" s="39"/>
      <c r="G100" s="39"/>
      <c r="H100" s="39"/>
      <c r="I100" s="39"/>
      <c r="J100" s="39"/>
      <c r="K100" s="39"/>
      <c r="L100" s="39"/>
      <c r="M100" s="39"/>
      <c r="N100" s="39"/>
      <c r="O100" s="39"/>
      <c r="P100" s="39"/>
      <c r="Q100" s="39"/>
      <c r="R100" s="39"/>
      <c r="S100" s="39"/>
      <c r="T100" s="39"/>
      <c r="U100" s="39"/>
      <c r="V100" s="39"/>
      <c r="W100" s="39" t="str">
        <f>IF(Exclude_MI="Only MI",SD_Gen_1,IF(Reactive_Only="Yes",SD_Gen_3,SD_FE_13))</f>
        <v>Overheating of quench and potential vapor release</v>
      </c>
      <c r="X100" s="39" t="str">
        <f>IF(Exclude_MI="Only MI",SD_Gen_1,IF(Reactive_Only="Yes",SD_Gen_3,SD_FE_12))</f>
        <v>Overheating and rapid pressurization upon reintroduction of heat transfer fluid into hot dry unit</v>
      </c>
      <c r="Y100" s="39"/>
      <c r="Z100" s="39"/>
      <c r="AA100" s="39"/>
      <c r="AB100" s="39"/>
      <c r="AC100" s="39"/>
      <c r="AD100" s="39"/>
      <c r="AE100" s="39"/>
      <c r="AF100" s="39"/>
      <c r="AG100" s="2049"/>
      <c r="AH100" s="39"/>
      <c r="AI100" s="39"/>
      <c r="AK100" s="39" t="str">
        <f>IF(Equipment="Fired Equipment - Process Heater",IED_FE_20,IED_FE_22)</f>
        <v>Loss of Quench Fluid flow causing damage to quench unit</v>
      </c>
      <c r="AL100" s="39"/>
      <c r="AM100" s="39" t="str">
        <f>IED_FE_23</f>
        <v>Poor distribution of Quench Fluid causing damage to quench equipment</v>
      </c>
      <c r="AN100" s="39"/>
      <c r="AO100" s="39"/>
      <c r="AP100" s="39"/>
      <c r="AQ100" s="738"/>
      <c r="AR100" s="39"/>
      <c r="AS100" s="1001"/>
      <c r="AT100" s="39"/>
      <c r="AU100" s="39"/>
      <c r="AV100" s="39" t="str">
        <f>IF(Equipment="Fired Equipment - Process Heater","Failure of Heat Transfer Fluid Flow control causing damage or unit destruction upon re-introduction of heat transfer fluid into hot dry unit","Loss of Quench Fluid Flow from pump failure causing overheating and damage of quench unit")</f>
        <v>Loss of Quench Fluid Flow from pump failure causing overheating and damage of quench unit</v>
      </c>
      <c r="AW100" s="39"/>
      <c r="AX100" s="39"/>
      <c r="AY100" s="39"/>
      <c r="AZ100" s="39"/>
      <c r="BA100" s="39"/>
      <c r="BB100" s="39"/>
      <c r="BC100" s="39"/>
      <c r="BD100" s="39"/>
      <c r="BE100" s="39"/>
      <c r="BF100" s="39"/>
      <c r="BG100" s="39"/>
      <c r="BH100" s="39"/>
      <c r="BJ100" s="39"/>
      <c r="BK100" s="39"/>
      <c r="BL100" s="1852"/>
      <c r="BM100" s="39"/>
      <c r="BN100" s="39"/>
      <c r="BO100" s="3180"/>
      <c r="BP100" s="3180"/>
      <c r="BQ100" s="39"/>
      <c r="BR100" s="39"/>
      <c r="BS100" s="39"/>
      <c r="BT100" s="39"/>
      <c r="BU100" s="1852"/>
      <c r="BV100" s="1852"/>
      <c r="BW100" s="39"/>
      <c r="BX100" s="39"/>
      <c r="BY100" s="39"/>
      <c r="BZ100" s="39"/>
      <c r="CA100" s="39"/>
      <c r="CB100" s="39"/>
      <c r="CC100" s="39"/>
      <c r="CD100" s="39"/>
      <c r="CE100" s="39"/>
      <c r="CF100" s="1475"/>
      <c r="CG100" s="39"/>
      <c r="CH100" s="39"/>
      <c r="CI100" s="39"/>
      <c r="CJ100" s="39"/>
      <c r="CK100" s="39"/>
      <c r="CL100" s="1036"/>
      <c r="CM100" s="738"/>
      <c r="CN100" s="738"/>
      <c r="CO100" s="39"/>
      <c r="CP100" s="39"/>
      <c r="CQ100" s="39"/>
      <c r="CR100" s="39"/>
      <c r="CS100" s="39"/>
      <c r="CT100" s="39"/>
      <c r="CU100" s="39"/>
      <c r="CV100" s="782"/>
      <c r="CW100" s="39"/>
      <c r="CX100" s="39"/>
      <c r="CY100" s="39"/>
      <c r="CZ100" s="39"/>
      <c r="DA100" s="39"/>
      <c r="DB100" s="39"/>
      <c r="DC100" s="2039"/>
      <c r="DD100" s="39"/>
      <c r="DE100" s="39"/>
      <c r="DF100" s="500"/>
      <c r="DG100" s="39" t="str">
        <f>IPLD_Gen_1</f>
        <v>Pressure Relief Device Sized for Scenario and verified by qualified Relief Designer</v>
      </c>
      <c r="DH100" s="39"/>
      <c r="DI100" s="39"/>
      <c r="DJ100" s="39"/>
    </row>
    <row r="101" spans="3:114" x14ac:dyDescent="0.25">
      <c r="C101" s="39" t="str">
        <f t="shared" si="24"/>
        <v>Loss of Pilot or Ignition</v>
      </c>
      <c r="D101" s="19"/>
      <c r="E101" s="39"/>
      <c r="F101" s="39"/>
      <c r="G101" s="39"/>
      <c r="H101" s="39"/>
      <c r="I101" s="39"/>
      <c r="J101" s="39"/>
      <c r="K101" s="39"/>
      <c r="L101" s="39"/>
      <c r="M101" s="39"/>
      <c r="N101" s="39"/>
      <c r="O101" s="39"/>
      <c r="P101" s="39"/>
      <c r="Q101" s="39"/>
      <c r="R101" s="39"/>
      <c r="S101" s="39"/>
      <c r="T101" s="39"/>
      <c r="U101" s="39"/>
      <c r="V101" s="39" t="str">
        <f>IF(Exclude_MI="Only MI",SD_Gen_1,IF(Reactive_Only="Yes",SD_Gen_3,SD_FE_20))</f>
        <v>Venting of untreated vapors</v>
      </c>
      <c r="W101" s="39"/>
      <c r="X101" s="39"/>
      <c r="Y101" s="39"/>
      <c r="Z101" s="39"/>
      <c r="AA101" s="39"/>
      <c r="AB101" s="39"/>
      <c r="AC101" s="39"/>
      <c r="AD101" s="39"/>
      <c r="AE101" s="39"/>
      <c r="AF101" s="39"/>
      <c r="AG101" s="2049"/>
      <c r="AH101" s="39"/>
      <c r="AI101" s="39"/>
      <c r="AK101" s="39" t="str">
        <f>IED_FE_30</f>
        <v>Failure of pilot or ignitor control allows venting of unburned vapors</v>
      </c>
      <c r="AL101" s="39"/>
      <c r="AM101" s="39"/>
      <c r="AN101" s="39"/>
      <c r="AO101" s="39"/>
      <c r="AP101" s="39"/>
      <c r="AQ101" s="738"/>
      <c r="AR101" s="39"/>
      <c r="AS101" s="1001"/>
      <c r="AT101" s="39"/>
      <c r="AU101" s="39"/>
      <c r="AV101" s="39"/>
      <c r="AW101" s="39"/>
      <c r="AX101" s="39"/>
      <c r="AY101" s="39"/>
      <c r="AZ101" s="39"/>
      <c r="BA101" s="39"/>
      <c r="BB101" s="39"/>
      <c r="BC101" s="39"/>
      <c r="BD101" s="39"/>
      <c r="BE101" s="39"/>
      <c r="BF101" s="39"/>
      <c r="BG101" s="39"/>
      <c r="BH101" s="39"/>
      <c r="BJ101" s="39"/>
      <c r="BK101" s="39"/>
      <c r="BL101" s="1852"/>
      <c r="BM101" s="39"/>
      <c r="BN101" s="39"/>
      <c r="BO101" s="3180"/>
      <c r="BP101" s="3180"/>
      <c r="BQ101" s="39"/>
      <c r="BR101" s="39"/>
      <c r="BS101" s="39"/>
      <c r="BT101" s="39"/>
      <c r="BU101" s="1852"/>
      <c r="BV101" s="1852"/>
      <c r="BW101" s="39"/>
      <c r="BX101" s="39"/>
      <c r="BY101" s="39"/>
      <c r="BZ101" s="39"/>
      <c r="CA101" s="39"/>
      <c r="CB101" s="39"/>
      <c r="CC101" s="39"/>
      <c r="CD101" s="39"/>
      <c r="CE101" s="39"/>
      <c r="CF101" s="1475"/>
      <c r="CG101" s="39"/>
      <c r="CH101" s="39"/>
      <c r="CI101" s="39"/>
      <c r="CJ101" s="39"/>
      <c r="CK101" s="39"/>
      <c r="CL101" s="1036"/>
      <c r="CM101" s="738"/>
      <c r="CN101" s="738"/>
      <c r="CO101" s="39"/>
      <c r="CP101" s="39"/>
      <c r="CQ101" s="39"/>
      <c r="CR101" s="39"/>
      <c r="CS101" s="39"/>
      <c r="CT101" s="39"/>
      <c r="CU101" s="39"/>
      <c r="CV101" s="782"/>
      <c r="CW101" s="39"/>
      <c r="CX101" s="39"/>
      <c r="CY101" s="39"/>
      <c r="CZ101" s="39"/>
      <c r="DA101" s="39"/>
      <c r="DB101" s="39"/>
      <c r="DC101" s="2039"/>
      <c r="DD101" s="39"/>
      <c r="DE101" s="39"/>
      <c r="DF101" s="500"/>
      <c r="DG101" s="39"/>
      <c r="DH101" s="39"/>
      <c r="DI101" s="39"/>
      <c r="DJ101" s="39"/>
    </row>
    <row r="102" spans="3:114" x14ac:dyDescent="0.25">
      <c r="C102" s="39" t="str">
        <f t="shared" si="24"/>
        <v>Loss of Vacuum - Thermal Oxidizer</v>
      </c>
      <c r="D102" s="19"/>
      <c r="E102" s="39"/>
      <c r="F102" s="39"/>
      <c r="G102" s="39"/>
      <c r="H102" s="39"/>
      <c r="I102" s="39"/>
      <c r="J102" s="39"/>
      <c r="K102" s="39"/>
      <c r="L102" s="39"/>
      <c r="M102" s="39"/>
      <c r="N102" s="39"/>
      <c r="O102" s="39"/>
      <c r="P102" s="39"/>
      <c r="Q102" s="39"/>
      <c r="R102" s="39"/>
      <c r="S102" s="39"/>
      <c r="T102" s="39"/>
      <c r="U102" s="39" t="str">
        <f>IF(Exclude_MI="Only MI",SD_Gen_1,IF(Reactive_Only="Yes",SD_Gen_3,SD_FE_6))</f>
        <v>Loss of vacuum in the combustion chamber with release of vapor feed</v>
      </c>
      <c r="V102" s="39"/>
      <c r="W102" s="39"/>
      <c r="X102" s="39"/>
      <c r="Y102" s="39"/>
      <c r="Z102" s="39"/>
      <c r="AA102" s="39"/>
      <c r="AB102" s="39"/>
      <c r="AC102" s="39"/>
      <c r="AD102" s="39"/>
      <c r="AE102" s="39"/>
      <c r="AF102" s="39"/>
      <c r="AG102" s="2049"/>
      <c r="AH102" s="39"/>
      <c r="AI102" s="39"/>
      <c r="AK102" s="39"/>
      <c r="AL102" s="39"/>
      <c r="AM102" s="39" t="str">
        <f>IED_FE_10</f>
        <v>Loss of vacuum control from Blower or Damper failure</v>
      </c>
      <c r="AN102" s="39"/>
      <c r="AO102" s="39"/>
      <c r="AP102" s="39"/>
      <c r="AQ102" s="738"/>
      <c r="AR102" s="39"/>
      <c r="AS102" s="1001"/>
      <c r="AT102" s="39"/>
      <c r="AU102" s="39"/>
      <c r="AV102" s="39"/>
      <c r="AW102" s="39"/>
      <c r="AX102" s="39"/>
      <c r="AY102" s="39"/>
      <c r="AZ102" s="39"/>
      <c r="BA102" s="39"/>
      <c r="BB102" s="39"/>
      <c r="BC102" s="39"/>
      <c r="BD102" s="39"/>
      <c r="BE102" s="39"/>
      <c r="BF102" s="39"/>
      <c r="BG102" s="39"/>
      <c r="BH102" s="39"/>
      <c r="BJ102" s="39"/>
      <c r="BK102" s="39"/>
      <c r="BL102" s="1852"/>
      <c r="BM102" s="39"/>
      <c r="BN102" s="39"/>
      <c r="BO102" s="3180"/>
      <c r="BP102" s="3180"/>
      <c r="BQ102" s="39"/>
      <c r="BR102" s="39"/>
      <c r="BS102" s="39"/>
      <c r="BT102" s="39"/>
      <c r="BU102" s="1852"/>
      <c r="BV102" s="1852"/>
      <c r="BW102" s="39"/>
      <c r="BX102" s="39"/>
      <c r="BY102" s="39"/>
      <c r="BZ102" s="39"/>
      <c r="CA102" s="39"/>
      <c r="CB102" s="39"/>
      <c r="CC102" s="39"/>
      <c r="CD102" s="39"/>
      <c r="CE102" s="39"/>
      <c r="CF102" s="1475"/>
      <c r="CG102" s="39"/>
      <c r="CH102" s="39"/>
      <c r="CI102" s="39"/>
      <c r="CJ102" s="39"/>
      <c r="CK102" s="39"/>
      <c r="CL102" s="1036"/>
      <c r="CM102" s="738"/>
      <c r="CN102" s="738"/>
      <c r="CO102" s="39"/>
      <c r="CP102" s="39"/>
      <c r="CQ102" s="39"/>
      <c r="CR102" s="39"/>
      <c r="CS102" s="39"/>
      <c r="CT102" s="39"/>
      <c r="CU102" s="39"/>
      <c r="CV102" s="782"/>
      <c r="CW102" s="39"/>
      <c r="CX102" s="39"/>
      <c r="CY102" s="39"/>
      <c r="CZ102" s="39"/>
      <c r="DA102" s="39"/>
      <c r="DB102" s="39"/>
      <c r="DC102" s="2039"/>
      <c r="DD102" s="39"/>
      <c r="DE102" s="39"/>
      <c r="DF102" s="500"/>
      <c r="DG102" s="39"/>
      <c r="DH102" s="39"/>
      <c r="DI102" s="39"/>
      <c r="DJ102" s="39"/>
    </row>
    <row r="103" spans="3:114" x14ac:dyDescent="0.25">
      <c r="C103" s="39" t="str">
        <f t="shared" si="24"/>
        <v>Low Temperature Embrittlement</v>
      </c>
      <c r="D103" s="19"/>
      <c r="E103" s="885" t="str">
        <f>SD_Gen_5</f>
        <v>Material of Construction with Operating Temperature or normal Boiling Point below Embrittlement Temperature</v>
      </c>
      <c r="F103" s="885"/>
      <c r="G103" s="885"/>
      <c r="H103" s="885" t="str">
        <f>SD_Gen_5</f>
        <v>Material of Construction with Operating Temperature or normal Boiling Point below Embrittlement Temperature</v>
      </c>
      <c r="I103" s="885"/>
      <c r="J103" s="885"/>
      <c r="K103" s="885" t="str">
        <f>SD_Gen_5</f>
        <v>Material of Construction with Operating Temperature or normal Boiling Point below Embrittlement Temperature</v>
      </c>
      <c r="L103" s="885" t="str">
        <f>SD_Gen_5</f>
        <v>Material of Construction with Operating Temperature or normal Boiling Point below Embrittlement Temperature</v>
      </c>
      <c r="M103" s="885"/>
      <c r="N103" s="885"/>
      <c r="O103" s="885"/>
      <c r="P103" s="885"/>
      <c r="Q103" s="885" t="str">
        <f>SD_Gen_5</f>
        <v>Material of Construction with Operating Temperature or normal Boiling Point below Embrittlement Temperature</v>
      </c>
      <c r="R103" s="885" t="str">
        <f>SD_Gen_5</f>
        <v>Material of Construction with Operating Temperature or normal Boiling Point below Embrittlement Temperature</v>
      </c>
      <c r="S103" s="885"/>
      <c r="T103" s="885"/>
      <c r="U103" s="885"/>
      <c r="V103" s="885"/>
      <c r="W103" s="885"/>
      <c r="X103" s="885"/>
      <c r="Y103" s="885" t="str">
        <f>SD_Gen_5</f>
        <v>Material of Construction with Operating Temperature or normal Boiling Point below Embrittlement Temperature</v>
      </c>
      <c r="Z103" s="885"/>
      <c r="AA103" s="885"/>
      <c r="AB103" s="885" t="str">
        <f>SD_Gen_5</f>
        <v>Material of Construction with Operating Temperature or normal Boiling Point below Embrittlement Temperature</v>
      </c>
      <c r="AC103" s="885" t="str">
        <f>SD_Gen_5</f>
        <v>Material of Construction with Operating Temperature or normal Boiling Point below Embrittlement Temperature</v>
      </c>
      <c r="AD103" s="885"/>
      <c r="AE103" s="885" t="str">
        <f>SD_Gen_5</f>
        <v>Material of Construction with Operating Temperature or normal Boiling Point below Embrittlement Temperature</v>
      </c>
      <c r="AF103" s="885" t="str">
        <f>SD_Gen_5</f>
        <v>Material of Construction with Operating Temperature or normal Boiling Point below Embrittlement Temperature</v>
      </c>
      <c r="AG103" s="2049"/>
      <c r="AH103" s="885" t="str">
        <f>SD_Gen_5</f>
        <v>Material of Construction with Operating Temperature or normal Boiling Point below Embrittlement Temperature</v>
      </c>
      <c r="AI103" s="885"/>
      <c r="AK103" s="885" t="str">
        <f>IED_Gen_67</f>
        <v>Loss of Temperature or Pressure Control with Equipment under Stress causing Low Temperature Embrittlement Failure</v>
      </c>
      <c r="AL103" s="885"/>
      <c r="AM103" s="885" t="str">
        <f>IED_Gen_67</f>
        <v>Loss of Temperature or Pressure Control with Equipment under Stress causing Low Temperature Embrittlement Failure</v>
      </c>
      <c r="AN103" s="885"/>
      <c r="AO103" s="885"/>
      <c r="AP103" s="885"/>
      <c r="AQ103" s="885"/>
      <c r="AR103" s="885"/>
      <c r="AS103" s="1001"/>
      <c r="AT103" s="885"/>
      <c r="AU103" s="885"/>
      <c r="AV103" s="885"/>
      <c r="AW103" s="885"/>
      <c r="AX103" s="885"/>
      <c r="AY103" s="885"/>
      <c r="AZ103" s="885"/>
      <c r="BA103" s="885"/>
      <c r="BB103" s="885"/>
      <c r="BC103" s="885"/>
      <c r="BD103" s="885"/>
      <c r="BE103" s="885"/>
      <c r="BF103" s="885"/>
      <c r="BG103" s="885"/>
      <c r="BH103" s="885"/>
      <c r="BJ103" s="885"/>
      <c r="BK103" s="885"/>
      <c r="BL103" s="1852"/>
      <c r="BM103" s="885"/>
      <c r="BN103" s="885"/>
      <c r="BO103" s="3180"/>
      <c r="BP103" s="3180"/>
      <c r="BQ103" s="885"/>
      <c r="BR103" s="885"/>
      <c r="BS103" s="885"/>
      <c r="BT103" s="885"/>
      <c r="BU103" s="1852"/>
      <c r="BV103" s="1852"/>
      <c r="BW103" s="885"/>
      <c r="BX103" s="885"/>
      <c r="BY103" s="885"/>
      <c r="BZ103" s="885"/>
      <c r="CA103" s="885"/>
      <c r="CB103" s="885"/>
      <c r="CC103" s="885"/>
      <c r="CD103" s="885"/>
      <c r="CE103" s="885"/>
      <c r="CF103" s="1475"/>
      <c r="CG103" s="885"/>
      <c r="CH103" s="885"/>
      <c r="CI103" s="885"/>
      <c r="CJ103" s="885"/>
      <c r="CK103" s="885"/>
      <c r="CL103" s="1036"/>
      <c r="CM103" s="885"/>
      <c r="CN103" s="885"/>
      <c r="CO103" s="885"/>
      <c r="CP103" s="885"/>
      <c r="CQ103" s="885"/>
      <c r="CR103" s="885"/>
      <c r="CS103" s="885"/>
      <c r="CT103" s="885"/>
      <c r="CU103" s="885"/>
      <c r="CV103" s="885"/>
      <c r="CW103" s="885"/>
      <c r="CX103" s="885"/>
      <c r="CY103" s="885"/>
      <c r="CZ103" s="885"/>
      <c r="DA103" s="885"/>
      <c r="DB103" s="885"/>
      <c r="DC103" s="2039"/>
      <c r="DD103" s="885"/>
      <c r="DE103" s="885"/>
      <c r="DF103" s="885"/>
      <c r="DG103" s="885"/>
      <c r="DH103" s="885"/>
      <c r="DI103" s="885"/>
      <c r="DJ103" s="885"/>
    </row>
    <row r="104" spans="3:114" x14ac:dyDescent="0.25">
      <c r="C104" s="39" t="str">
        <f t="shared" si="24"/>
        <v>Overfill or Overflow</v>
      </c>
      <c r="D104" s="19"/>
      <c r="E104" s="39" t="str">
        <f>IF(Exclude_MI="Only MI",SD_Gen_1,IF(Reactive_Only="Yes",SD_Gen_3,IF(State&lt;&gt;"Liquid",SD_Gen_8,IF(Inventory&lt;Max_ContainedMass,SD_Gen_51,IF(AND(MAWP&lt;=0.5,Geometry="Flat Bottom Non-Anchored"),SD_Gen_74,IF(AND(Max_Feed_P&gt;0.001,Max_Feed_P&lt;=IF(Relief_Set&gt;0,Relief_Set,MAWP)),SD_Gen_52,SD_Gen_50))))))</f>
        <v>Overfill or Backflow of liquid with spill rate equal to the feed rate to a maximum quantity of the available inventory minus contained mass</v>
      </c>
      <c r="F104" s="39"/>
      <c r="G104" s="39"/>
      <c r="H104" s="39"/>
      <c r="I104" s="39"/>
      <c r="J104" s="39"/>
      <c r="K104" s="39" t="str">
        <f>IF(Exclude_MI="Only MI",SD_Gen_1,IF(Reactive_Only="Yes",SD_Gen_3,IF(State&lt;&gt;"Liquid",SD_Gen_8,IF(Inventory&lt;Max_ContainedMass,SD_Gen_51,IF(AND(MAWP&lt;=0.5,Geometry="Flat Bottom Non-Anchored"),SD_Gen_74,IF(AND(Max_Feed_P&gt;0.001,Max_Feed_P&lt;=IF(Relief_Set&gt;0,Relief_Set,MAWP)),SD_Gen_52,SD_Gen_50))))))</f>
        <v>Overfill or Backflow of liquid with spill rate equal to the feed rate to a maximum quantity of the available inventory minus contained mass</v>
      </c>
      <c r="L104" s="39" t="str">
        <f>IF(Exclude_MI="Only MI",SD_Gen_1,IF(Reactive_Only="Yes",SD_Gen_3,IF(State&lt;&gt;"Liquid",SD_Gen_8,IF(Inventory&lt;Max_ContainedMass,SD_Gen_51,IF(AND(MAWP&lt;=0.5,Geometry="Flat Bottom Non-Anchored"),SD_Gen_74,IF(AND(Max_Feed_P&gt;0.001,Max_Feed_P&lt;=IF(Relief_Set&gt;0,Relief_Set,MAWP)),SD_Gen_52,SD_Gen_50))))))</f>
        <v>Overfill or Backflow of liquid with spill rate equal to the feed rate to a maximum quantity of the available inventory minus contained mass</v>
      </c>
      <c r="M104" s="39"/>
      <c r="N104" s="39"/>
      <c r="O104" s="39"/>
      <c r="P104" s="39"/>
      <c r="Q104" s="39" t="str">
        <f>IF(Exclude_MI="Only MI",SD_Gen_1,IF(Reactive_Only="Yes",SD_Gen_3,IF(State&lt;&gt;"Liquid",SD_Gen_8,IF(Inventory&lt;Max_ContainedMass,SD_Gen_51,IF(AND(MAWP&lt;=0.5,Geometry="Flat Bottom Non-Anchored"),SD_Gen_74,IF(AND(Max_Feed_P&gt;0.001,Max_Feed_P&lt;=IF(Relief_Set&gt;0,Relief_Set,MAWP)),SD_Gen_52,SD_Gen_50))))))</f>
        <v>Overfill or Backflow of liquid with spill rate equal to the feed rate to a maximum quantity of the available inventory minus contained mass</v>
      </c>
      <c r="R104" s="39" t="str">
        <f>IF(Exclude_MI="Only MI",SD_Gen_1,IF(Reactive_Only="Yes",SD_Gen_3,IF(State&lt;&gt;"Liquid",SD_Gen_8,IF(Inventory&lt;Max_ContainedMass,SD_Gen_51,IF(AND(MAWP&lt;=0.5,Geometry="Flat Bottom Non-Anchored"),SD_Gen_74,IF(AND(Max_Feed_P&gt;0.001,Max_Feed_P&lt;=IF(Relief_Set&gt;0,Relief_Set,MAWP)),SD_Gen_52,SD_Gen_50))))))</f>
        <v>Overfill or Backflow of liquid with spill rate equal to the feed rate to a maximum quantity of the available inventory minus contained mass</v>
      </c>
      <c r="S104" s="39"/>
      <c r="T104" s="39"/>
      <c r="U104" s="39" t="str">
        <f>IF(Exclude_MI="Only MI",SD_Gen_1,IF(Reactive_Only="Yes",SD_Gen_3,IF(AND(Downstr_P&lt;=Relief_Set,Max_Feed_P&lt;=Relief_Set),SD_Gen_52,IF(State&lt;&gt;"Liquid",SD_Gen_8,IF(Inventory&lt;Max_ContainedMass,SD_Gen_51,SD_Gen_50)))))</f>
        <v>Overfill or Backflow of liquid with spill rate equal to the feed rate to a maximum quantity of the available inventory minus contained mass</v>
      </c>
      <c r="V104" s="39"/>
      <c r="W104" s="39"/>
      <c r="Y104" s="39" t="str">
        <f>IF(Exclude_MI="Only MI",SD_Gen_1,IF(Reactive_Only="Yes",SD_Gen_3,IF(State&lt;&gt;"Liquid",SD_Gen_8,IF(Inventory&lt;Max_ContainedMass,SD_Gen_51,IF(AND(MAWP&lt;=0.5,Geometry="Flat Bottom Non-Anchored"),SD_Gen_74,IF(AND(Max_Feed_P&gt;0.001,Max_Feed_P&lt;=IF(Relief_Set&gt;0,Relief_Set,MAWP)),SD_Gen_52,SD_Gen_50))))))</f>
        <v>Overfill or Backflow of liquid with spill rate equal to the feed rate to a maximum quantity of the available inventory minus contained mass</v>
      </c>
      <c r="Z104" s="39"/>
      <c r="AA104" s="39"/>
      <c r="AB104" s="39"/>
      <c r="AC104" s="39"/>
      <c r="AD104" s="39"/>
      <c r="AE104" s="39" t="str">
        <f>IF(Exclude_MI="Only MI",SD_Gen_1,IF(Reactive_Only="Yes",SD_Gen_3,IF(State&lt;&gt;"Liquid",SD_Gen_8,IF(Inventory&lt;Max_ContainedMass,SD_Gen_51,IF(AND(MAWP&lt;=0.5,Geometry="Flat Bottom Non-Anchored"),SD_Gen_74,IF(AND(Max_Feed_P&gt;0.001,Max_Feed_P&lt;=IF(Relief_Set&gt;0,Relief_Set,MAWP)),SD_Gen_52,SD_Gen_50))))))</f>
        <v>Overfill or Backflow of liquid with spill rate equal to the feed rate to a maximum quantity of the available inventory minus contained mass</v>
      </c>
      <c r="AF104" s="39" t="str">
        <f>IF(Exclude_MI="Only MI",SD_Gen_1,IF(Reactive_Only="Yes",SD_Gen_3,IF(State&lt;&gt;"Liquid",SD_Gen_8,IF(Inventory&lt;Max_ContainedMass,SD_Gen_51,IF(AND(MAWP&lt;=0.5,Geometry="Flat Bottom Non-Anchored"),SD_Gen_74,IF(AND(Max_Feed_P&gt;0.001,Max_Feed_P&lt;=IF(Relief_Set&gt;0,Relief_Set,MAWP)),SD_Gen_52,SD_Gen_50))))))</f>
        <v>Overfill or Backflow of liquid with spill rate equal to the feed rate to a maximum quantity of the available inventory minus contained mass</v>
      </c>
      <c r="AG104" s="2049"/>
      <c r="AH104" s="39" t="str">
        <f>IF(Exclude_MI="Only MI",SD_Gen_1,IF(Reactive_Only="Yes",SD_Gen_3,IF(State&lt;&gt;"Liquid",SD_Gen_8,IF(Inventory&lt;Max_ContainedMass,SD_Gen_51,IF(AND(MAWP&lt;=0.5,Geometry="Flat Bottom Non-Anchored"),SD_Gen_74,IF(AND(Max_Feed_P&gt;0.001,Max_Feed_P&lt;=IF(Relief_Set&gt;0,Relief_Set,MAWP)),SD_Gen_52,SD_Gen_50))))))</f>
        <v>Overfill or Backflow of liquid with spill rate equal to the feed rate to a maximum quantity of the available inventory minus contained mass</v>
      </c>
      <c r="AI104" s="39"/>
      <c r="AK104" s="39" t="str">
        <f>IED_Gen_9</f>
        <v>Failure of Level Indication with continued addition of material</v>
      </c>
      <c r="AL104" s="39" t="str">
        <f>IED_Gen_23</f>
        <v>Operator opens wrong valve or initiates filling when equipment is not empty</v>
      </c>
      <c r="AM104" s="39"/>
      <c r="AN104" s="39"/>
      <c r="AO104" s="39"/>
      <c r="AP104" s="39"/>
      <c r="AQ104" s="738"/>
      <c r="AR104" s="39"/>
      <c r="AS104" s="1001"/>
      <c r="AT104" s="39"/>
      <c r="AU104" s="39"/>
      <c r="AW104" s="39"/>
      <c r="AX104" s="39"/>
      <c r="AY104" s="39"/>
      <c r="AZ104" s="39"/>
      <c r="BA104" s="39"/>
      <c r="BB104" s="39"/>
      <c r="BC104" s="39"/>
      <c r="BD104" s="39"/>
      <c r="BE104" s="39"/>
      <c r="BF104" s="39"/>
      <c r="BG104" s="39"/>
      <c r="BH104" s="39"/>
      <c r="BJ104" s="39"/>
      <c r="BK104" s="39"/>
      <c r="BL104" s="1852"/>
      <c r="BM104" s="39"/>
      <c r="BN104" s="39"/>
      <c r="BO104" s="3180"/>
      <c r="BP104" s="3180"/>
      <c r="BQ104" s="39"/>
      <c r="BR104" s="39"/>
      <c r="BS104" s="39"/>
      <c r="BT104" s="39"/>
      <c r="BU104" s="1852"/>
      <c r="BV104" s="1852"/>
      <c r="BW104" s="39"/>
      <c r="BX104" s="39"/>
      <c r="BY104" s="39"/>
      <c r="BZ104" s="39"/>
      <c r="CA104" s="39"/>
      <c r="CB104" s="39"/>
      <c r="CC104" s="39"/>
      <c r="CD104" s="39"/>
      <c r="CE104" s="39"/>
      <c r="CF104" s="1475"/>
      <c r="CG104" s="39"/>
      <c r="CH104" s="39"/>
      <c r="CI104" s="39"/>
      <c r="CJ104" s="39"/>
      <c r="CK104" s="39"/>
      <c r="CL104" s="1036"/>
      <c r="CM104" s="738"/>
      <c r="CN104" s="738"/>
      <c r="CO104" s="39"/>
      <c r="CP104" s="39"/>
      <c r="CQ104" s="39"/>
      <c r="CR104" s="39"/>
      <c r="CS104" s="39"/>
      <c r="CT104" s="39"/>
      <c r="CU104" s="39"/>
      <c r="CV104" s="782"/>
      <c r="CW104" s="39"/>
      <c r="CX104" s="39"/>
      <c r="CY104" s="39"/>
      <c r="CZ104" s="39"/>
      <c r="DA104" s="39"/>
      <c r="DB104" s="39"/>
      <c r="DC104" s="2039"/>
      <c r="DD104" s="39" t="str">
        <f>IF(AND(Equipment&lt;&gt;"Compressor or Blower",Equipment&lt;&gt;"Piping",Equipment&lt;&gt;"Pump"),IPLD_Gen_1,"")</f>
        <v>Pressure Relief Device Sized for Scenario and verified by qualified Relief Designer</v>
      </c>
      <c r="DE104" s="39"/>
      <c r="DF104" s="500"/>
      <c r="DG104" s="39"/>
      <c r="DH104" s="39"/>
      <c r="DI104" s="39"/>
      <c r="DJ104" s="39"/>
    </row>
    <row r="105" spans="3:114" x14ac:dyDescent="0.25">
      <c r="C105" s="39" t="str">
        <f t="shared" si="24"/>
        <v>Overfill or Backflow</v>
      </c>
      <c r="D105" s="19"/>
      <c r="E105" s="2892"/>
      <c r="F105" s="2892"/>
      <c r="G105" s="2892"/>
      <c r="H105" s="2892"/>
      <c r="I105" s="2892"/>
      <c r="J105" s="2892"/>
      <c r="K105" s="2892"/>
      <c r="L105" s="2892"/>
      <c r="M105" s="2892"/>
      <c r="N105" s="2892"/>
      <c r="O105" s="2892"/>
      <c r="P105" s="2892"/>
      <c r="Q105" s="2892"/>
      <c r="R105" s="2892"/>
      <c r="S105" s="2892"/>
      <c r="T105" s="2892"/>
      <c r="U105" s="2892"/>
      <c r="V105" s="2892"/>
      <c r="W105" s="2892"/>
      <c r="X105" s="39" t="str">
        <f>IF(Exclude_MI="Only MI",SD_Gen_1,IF(Reactive_Only="Yes",SD_Gen_3,SD_FE_14))</f>
        <v>Backflow to Deaerator or Head Tank resulting in Overfill or Catastrophic Failure</v>
      </c>
      <c r="Y105" s="2892"/>
      <c r="Z105" s="2892"/>
      <c r="AA105" s="2892"/>
      <c r="AB105" s="2892"/>
      <c r="AC105" s="2892"/>
      <c r="AD105" s="2892"/>
      <c r="AE105" s="39" t="str">
        <f>IF(Exclude_MI="Only MI",SD_Gen_1,IF(Reactive_Only="Yes",SD_Gen_3,IF(State&lt;&gt;"Liquid",SD_Gen_8,IF(Inventory&lt;Max_ContainedMass,SD_Gen_51,IF(AND(MAWP&lt;=0.5,Geometry="Flat Bottom Non-Anchored"),SD_Gen_74,IF(AND(Downstr_P&gt;0.001,Downstr_P&lt;=IF(Relief_Set&gt;0,Relief_Set,MAWP)),SD_Gen_52,SD_Gen_50))))))</f>
        <v>Overfill or Backflow of liquid with spill rate equal to the feed rate to a maximum quantity of the available inventory minus contained mass</v>
      </c>
      <c r="AF105" s="39" t="str">
        <f>IF(Exclude_MI="Only MI",SD_Gen_1,IF(Reactive_Only="Yes",SD_Gen_3,IF(State&lt;&gt;"Liquid",SD_Gen_8,IF(Inventory&lt;Max_ContainedMass,SD_Gen_51,IF(AND(MAWP&lt;=0.5,Geometry="Flat Bottom Non-Anchored"),SD_Gen_74,IF(AND(Downstr_P&gt;0.001,Downstr_P&lt;=IF(Relief_Set&gt;0,Relief_Set,MAWP)),SD_Gen_52,SD_Gen_50))))))</f>
        <v>Overfill or Backflow of liquid with spill rate equal to the feed rate to a maximum quantity of the available inventory minus contained mass</v>
      </c>
      <c r="AG105" s="2049"/>
      <c r="AH105" s="39" t="str">
        <f>IF(Exclude_MI="Only MI",SD_Gen_1,IF(Reactive_Only="Yes",SD_Gen_3,IF(State&lt;&gt;"Liquid",SD_Gen_8,IF(Inventory&lt;Max_ContainedMass,SD_Gen_51,IF(AND(MAWP&lt;=0.5,Geometry="Flat Bottom Non-Anchored"),SD_Gen_74,IF(AND(Downstr_P&gt;0.001,Downstr_P&lt;=IF(Relief_Set&gt;0,Relief_Set,MAWP)),SD_Gen_52,SD_Gen_50))))))</f>
        <v>Overfill or Backflow of liquid with spill rate equal to the feed rate to a maximum quantity of the available inventory minus contained mass</v>
      </c>
      <c r="AI105" s="2892"/>
      <c r="AK105" s="2892"/>
      <c r="AL105" s="2892"/>
      <c r="AM105" s="2892"/>
      <c r="AN105" s="2892"/>
      <c r="AO105" s="2892"/>
      <c r="AP105" s="2892"/>
      <c r="AQ105" s="2892"/>
      <c r="AR105" s="2892"/>
      <c r="AS105" s="2892"/>
      <c r="AT105" s="2892"/>
      <c r="AU105" s="2892"/>
      <c r="AV105" s="39" t="str">
        <f>IF(Equipment="Fired Equipment - Process Heater","Pump Failure causing backflow to Deaerator or Head Tank",IF(Downstr_P&gt;Relief_Set,"Pump Failure causing backflow",""))</f>
        <v/>
      </c>
      <c r="AW105" s="2892"/>
      <c r="AX105" s="2892"/>
      <c r="AY105" s="2892"/>
      <c r="AZ105" s="2892"/>
      <c r="BA105" s="2892"/>
      <c r="BB105" s="2892"/>
      <c r="BC105" s="2892"/>
      <c r="BD105" s="2892"/>
      <c r="BE105" s="2892"/>
      <c r="BF105" s="2892"/>
      <c r="BG105" s="2892"/>
      <c r="BH105" s="2892"/>
      <c r="BJ105" s="2892"/>
      <c r="BK105" s="2892"/>
      <c r="BL105" s="2892"/>
      <c r="BM105" s="2892"/>
      <c r="BN105" s="2892"/>
      <c r="BO105" s="3180"/>
      <c r="BP105" s="3180"/>
      <c r="BQ105" s="2892"/>
      <c r="BR105" s="2892"/>
      <c r="BS105" s="2892"/>
      <c r="BT105" s="2892"/>
      <c r="BU105" s="2892"/>
      <c r="BV105" s="2892"/>
      <c r="BW105" s="2892"/>
      <c r="BX105" s="2892"/>
      <c r="BY105" s="2892"/>
      <c r="BZ105" s="2892"/>
      <c r="CA105" s="2892"/>
      <c r="CB105" s="2892"/>
      <c r="CC105" s="2892"/>
      <c r="CD105" s="2892"/>
      <c r="CE105" s="2892"/>
      <c r="CF105" s="2892"/>
      <c r="CG105" s="2892"/>
      <c r="CH105" s="2892"/>
      <c r="CI105" s="2892"/>
      <c r="CJ105" s="2892"/>
      <c r="CK105" s="2892"/>
      <c r="CL105" s="2892"/>
      <c r="CM105" s="2892"/>
      <c r="CN105" s="2892"/>
      <c r="CO105" s="2892"/>
      <c r="CP105" s="2892"/>
      <c r="CQ105" s="2892"/>
      <c r="CR105" s="2892"/>
      <c r="CS105" s="2892"/>
      <c r="CT105" s="2892"/>
      <c r="CU105" s="2892"/>
      <c r="CV105" s="2892"/>
      <c r="CW105" s="2892"/>
      <c r="CX105" s="2892"/>
      <c r="CY105" s="2892"/>
      <c r="CZ105" s="2892"/>
      <c r="DA105" s="2892"/>
      <c r="DB105" s="2892"/>
      <c r="DC105" s="2892"/>
      <c r="DD105" s="2892"/>
      <c r="DE105" s="2892"/>
      <c r="DF105" s="2892"/>
      <c r="DG105" s="2892"/>
      <c r="DH105" s="2892"/>
      <c r="DI105" s="2892"/>
      <c r="DJ105" s="2892"/>
    </row>
    <row r="106" spans="3:114" x14ac:dyDescent="0.25">
      <c r="C106" s="39" t="str">
        <f t="shared" ref="C106:C130" si="25">C39</f>
        <v>Overflow - Flooding or Plugging</v>
      </c>
      <c r="D106" s="19"/>
      <c r="E106" s="39" t="str">
        <f>IF(Exclude_MI="Only MI",SD_Gen_1,IF(Reactive_Only="Yes",SD_Gen_3,IF(AND(Downstr_P&lt;=Relief_Set,Max_Feed_P&lt;=Relief_Set),SD_Gen_52,IF(State&lt;&gt;"Liquid",SD_Gen_8,IF(Inventory&lt;Max_ContainedMass,SD_Gen_51,SD_Gen_50)))))</f>
        <v>Overfill or Backflow of liquid with spill rate equal to the feed rate to a maximum quantity of the available inventory minus contained mass</v>
      </c>
      <c r="F106" s="39"/>
      <c r="G106" s="39"/>
      <c r="H106" s="39"/>
      <c r="I106" s="39"/>
      <c r="J106" s="39"/>
      <c r="K106" s="39" t="str">
        <f>IF(Exclude_MI="Only MI",SD_Gen_1,IF(Reactive_Only="Yes",SD_Gen_3,IF(AND(Downstr_P&lt;=Relief_Set,Max_Feed_P&lt;=Relief_Set),SD_Gen_52,IF(State&lt;&gt;"Liquid",SD_Gen_8,IF(Inventory&lt;Max_ContainedMass,SD_Gen_51,SD_Gen_50)))))</f>
        <v>Overfill or Backflow of liquid with spill rate equal to the feed rate to a maximum quantity of the available inventory minus contained mass</v>
      </c>
      <c r="L106" s="39"/>
      <c r="M106" s="39"/>
      <c r="N106" s="39"/>
      <c r="O106" s="39"/>
      <c r="P106" s="39"/>
      <c r="Q106" s="39" t="str">
        <f>IF(Exclude_MI="Only MI",SD_Gen_1,IF(Reactive_Only="Yes",SD_Gen_3,IF(AND(Downstr_P&lt;=Relief_Set,Max_Feed_P&lt;=Relief_Set),SD_Gen_52,IF(State&lt;&gt;"Liquid",SD_Gen_8,IF(Inventory&lt;Max_ContainedMass,SD_Gen_51,SD_Gen_50)))))</f>
        <v>Overfill or Backflow of liquid with spill rate equal to the feed rate to a maximum quantity of the available inventory minus contained mass</v>
      </c>
      <c r="R106" s="39"/>
      <c r="S106" s="39"/>
      <c r="T106" s="39"/>
      <c r="U106" s="39"/>
      <c r="V106" s="39"/>
      <c r="W106" s="39"/>
      <c r="X106" s="39"/>
      <c r="Y106" s="39"/>
      <c r="Z106" s="39"/>
      <c r="AA106" s="39"/>
      <c r="AB106" s="39"/>
      <c r="AC106" s="39"/>
      <c r="AD106" s="39"/>
      <c r="AE106" s="39"/>
      <c r="AF106" s="39"/>
      <c r="AG106" s="2049"/>
      <c r="AH106" s="39"/>
      <c r="AI106" s="39"/>
      <c r="AK106" s="39" t="str">
        <f>IED_Gen_13</f>
        <v>Failure of Flow or Level Control with Flooding of Column</v>
      </c>
      <c r="AL106" s="39"/>
      <c r="AM106" s="39" t="str">
        <f>IED_Gen_45</f>
        <v>Plugging of distributor due to corrosion, etc. with continued addition of material</v>
      </c>
      <c r="AN106" s="39"/>
      <c r="AO106" s="39"/>
      <c r="AP106" s="39"/>
      <c r="AQ106" s="738"/>
      <c r="AR106" s="39"/>
      <c r="AS106" s="1001"/>
      <c r="AT106" s="39"/>
      <c r="AU106" s="39"/>
      <c r="AV106" s="39"/>
      <c r="AW106" s="39"/>
      <c r="AX106" s="39"/>
      <c r="AY106" s="39"/>
      <c r="AZ106" s="39"/>
      <c r="BA106" s="39"/>
      <c r="BB106" s="39"/>
      <c r="BC106" s="39"/>
      <c r="BD106" s="39"/>
      <c r="BE106" s="39"/>
      <c r="BF106" s="39"/>
      <c r="BG106" s="39"/>
      <c r="BH106" s="39"/>
      <c r="BJ106" s="39"/>
      <c r="BK106" s="39"/>
      <c r="BL106" s="1852"/>
      <c r="BM106" s="39"/>
      <c r="BN106" s="39"/>
      <c r="BO106" s="3180"/>
      <c r="BP106" s="3180"/>
      <c r="BQ106" s="39"/>
      <c r="BR106" s="39"/>
      <c r="BS106" s="39"/>
      <c r="BT106" s="39"/>
      <c r="BU106" s="1852"/>
      <c r="BV106" s="1852"/>
      <c r="BW106" s="39"/>
      <c r="BX106" s="39"/>
      <c r="BY106" s="39"/>
      <c r="BZ106" s="39"/>
      <c r="CA106" s="39"/>
      <c r="CB106" s="39"/>
      <c r="CC106" s="39"/>
      <c r="CD106" s="39"/>
      <c r="CE106" s="39"/>
      <c r="CF106" s="1475"/>
      <c r="CG106" s="39"/>
      <c r="CH106" s="39"/>
      <c r="CI106" s="39"/>
      <c r="CJ106" s="39"/>
      <c r="CK106" s="39"/>
      <c r="CL106" s="1036"/>
      <c r="CM106" s="738"/>
      <c r="CN106" s="738"/>
      <c r="CO106" s="39"/>
      <c r="CP106" s="39"/>
      <c r="CQ106" s="39"/>
      <c r="CR106" s="39"/>
      <c r="CS106" s="39"/>
      <c r="CT106" s="39"/>
      <c r="CU106" s="39"/>
      <c r="CV106" s="782"/>
      <c r="CW106" s="39"/>
      <c r="CX106" s="39"/>
      <c r="CY106" s="39"/>
      <c r="CZ106" s="39"/>
      <c r="DA106" s="39"/>
      <c r="DB106" s="39"/>
      <c r="DC106" s="2039"/>
      <c r="DD106" s="39"/>
      <c r="DE106" s="39"/>
      <c r="DF106" s="500"/>
      <c r="DG106" s="39"/>
      <c r="DH106" s="39"/>
      <c r="DI106" s="39"/>
      <c r="DJ106" s="39"/>
    </row>
    <row r="107" spans="3:114" x14ac:dyDescent="0.25">
      <c r="C107" s="39" t="str">
        <f t="shared" si="25"/>
        <v>Physical Damage or Puncture</v>
      </c>
      <c r="D107" s="19"/>
      <c r="E107" s="39"/>
      <c r="F107" s="39" t="str">
        <f>IF(Exclude_MI="Only MI",SD_Gen_1,IF(Reactive_Only="Yes",SD_Gen_3,SD_Gen_68))</f>
        <v>Damage or Puncture during Bag or Pack Handling</v>
      </c>
      <c r="G107" s="39"/>
      <c r="H107" s="39"/>
      <c r="I107" s="39"/>
      <c r="J107" s="39"/>
      <c r="K107" s="39"/>
      <c r="L107" s="39" t="str">
        <f>IF(Exclude_MI="Only MI",SD_Gen_1,IF(Reactive_Only="Yes",SD_Gen_3,SD_Gen_69))</f>
        <v>Damage during Drum or Iso Handling</v>
      </c>
      <c r="M107" s="39" t="str">
        <f>IF(Exclude_MI="Only MI",SD_Gen_1,IF(Reactive_Only="Yes",SD_Gen_3,SD_Gen_69))</f>
        <v>Damage during Drum or Iso Handling</v>
      </c>
      <c r="N107" s="39"/>
      <c r="O107" s="39"/>
      <c r="P107" s="39"/>
      <c r="Q107" s="39"/>
      <c r="R107" s="39"/>
      <c r="S107" s="39"/>
      <c r="T107" s="39"/>
      <c r="U107" s="39"/>
      <c r="V107" s="39"/>
      <c r="W107" s="39"/>
      <c r="X107" s="39"/>
      <c r="Y107" s="39"/>
      <c r="Z107" s="39"/>
      <c r="AA107" s="39"/>
      <c r="AB107" s="39" t="str">
        <f>IF(Exclude_MI="Only MI",SD_Gen_1,IF(Reactive_Only="Yes",SD_Gen_1,IF(OR(Pipe_Length&lt;30,Location="Indoors"),SD_T_8,IF(Pipe_Vulnerable="Yes",SD_T_6,SD_T_7))))</f>
        <v>Short piping run or piping located indoors such that collision or damage unlikely</v>
      </c>
      <c r="AC107" s="39" t="str">
        <f>IF(Exclude_MI="Only MI",SD_Gen_1,IF(Reactive_Only="Yes",SD_Gen_1,IF(OR(Pipe_Length&lt;30,Location="Indoors"),SD_T_8,IF(Pipe_Vulnerable="Yes",SD_T_6,SD_T_7))))</f>
        <v>Short piping run or piping located indoors such that collision or damage unlikely</v>
      </c>
      <c r="AD107" s="39"/>
      <c r="AE107" s="39"/>
      <c r="AF107" s="39"/>
      <c r="AG107" s="2049"/>
      <c r="AH107" s="39"/>
      <c r="AI107" s="39"/>
      <c r="AK107" s="39"/>
      <c r="AL107" s="39" t="str">
        <f>IED_Gen_22</f>
        <v>Operator damages/punctures drum or bag</v>
      </c>
      <c r="AM107" s="39"/>
      <c r="AN107" s="39"/>
      <c r="AO107" s="39" t="str">
        <f>IED_T_6</f>
        <v>Truck driver or equipment operator misjudges clearance resulting in damage or collision</v>
      </c>
      <c r="AP107" s="39"/>
      <c r="AQ107" s="738"/>
      <c r="AR107" s="39"/>
      <c r="AS107" s="1001"/>
      <c r="AT107" s="39"/>
      <c r="AU107" s="39"/>
      <c r="AV107" s="39"/>
      <c r="AW107" s="39"/>
      <c r="AX107" s="39"/>
      <c r="AY107" s="39"/>
      <c r="AZ107" s="39"/>
      <c r="BA107" s="39"/>
      <c r="BB107" s="39"/>
      <c r="BC107" s="39"/>
      <c r="BD107" s="39"/>
      <c r="BE107" s="39"/>
      <c r="BF107" s="39"/>
      <c r="BG107" s="39"/>
      <c r="BH107" s="39"/>
      <c r="BJ107" s="39"/>
      <c r="BK107" s="39"/>
      <c r="BL107" s="1852"/>
      <c r="BM107" s="39"/>
      <c r="BN107" s="39"/>
      <c r="BO107" s="3180"/>
      <c r="BP107" s="3180"/>
      <c r="BQ107" s="39"/>
      <c r="BR107" s="39"/>
      <c r="BS107" s="39"/>
      <c r="BT107" s="39"/>
      <c r="BU107" s="1852"/>
      <c r="BV107" s="1852"/>
      <c r="BW107" s="39"/>
      <c r="BX107" s="39"/>
      <c r="BY107" s="39"/>
      <c r="BZ107" s="39"/>
      <c r="CA107" s="39"/>
      <c r="CB107" s="39"/>
      <c r="CC107" s="39"/>
      <c r="CD107" s="39"/>
      <c r="CE107" s="39"/>
      <c r="CF107" s="1475"/>
      <c r="CG107" s="39"/>
      <c r="CH107" s="39"/>
      <c r="CI107" s="39"/>
      <c r="CJ107" s="39"/>
      <c r="CK107" s="39"/>
      <c r="CL107" s="1036"/>
      <c r="CM107" s="738"/>
      <c r="CN107" s="738"/>
      <c r="CO107" s="39"/>
      <c r="CP107" s="39"/>
      <c r="CQ107" s="39"/>
      <c r="CR107" s="39"/>
      <c r="CS107" s="39"/>
      <c r="CT107" s="39"/>
      <c r="CU107" s="39"/>
      <c r="CV107" s="782"/>
      <c r="CW107" s="39"/>
      <c r="CX107" s="39"/>
      <c r="CY107" s="39"/>
      <c r="CZ107" s="39"/>
      <c r="DA107" s="39"/>
      <c r="DB107" s="39"/>
      <c r="DC107" s="2039"/>
      <c r="DD107" s="39"/>
      <c r="DE107" s="39"/>
      <c r="DF107" s="500"/>
      <c r="DG107" s="39"/>
      <c r="DH107" s="39"/>
      <c r="DI107" s="39"/>
      <c r="DJ107" s="39"/>
    </row>
    <row r="108" spans="3:114" x14ac:dyDescent="0.25">
      <c r="C108" s="39" t="str">
        <f t="shared" si="25"/>
        <v>Mechanical Integrity Failure - Extremely Large</v>
      </c>
      <c r="D108" s="19"/>
      <c r="E108" s="39" t="str">
        <f>IF(Exclude_MI="Yes",SD_Gen_2,IF(Reactive_Only="Yes",SD_Gen_3,IF(D&lt;Hole_ExtremelyLarge,SD_MI_7,SD_MI_6)))</f>
        <v>Largest Pipe or Nozzle Size less than Extremely Large Hole Size</v>
      </c>
      <c r="F108" s="39"/>
      <c r="G108" s="39"/>
      <c r="H108" s="39" t="str">
        <f>IF(Exclude_MI="Yes",SD_Gen_2,IF(Reactive_Only="Yes",SD_Gen_3,IF(D&lt;Hole_ExtremelyLarge,SD_MI_7,SD_MI_6)))</f>
        <v>Largest Pipe or Nozzle Size less than Extremely Large Hole Size</v>
      </c>
      <c r="I108" s="39"/>
      <c r="J108" s="39"/>
      <c r="K108" s="39" t="str">
        <f>IF(Exclude_MI="Yes",SD_Gen_2,IF(Reactive_Only="Yes",SD_Gen_3,IF(D&lt;Hole_ExtremelyLarge,SD_MI_7,SD_MI_6)))</f>
        <v>Largest Pipe or Nozzle Size less than Extremely Large Hole Size</v>
      </c>
      <c r="L108" s="39"/>
      <c r="M108" s="39"/>
      <c r="N108" s="39"/>
      <c r="O108" s="39"/>
      <c r="P108" s="39"/>
      <c r="Q108" s="39" t="str">
        <f>IF(Exclude_MI="Yes",SD_Gen_2,IF(Reactive_Only="Yes",SD_Gen_3,IF(D&lt;Hole_ExtremelyLarge,SD_MI_7,SD_MI_6)))</f>
        <v>Largest Pipe or Nozzle Size less than Extremely Large Hole Size</v>
      </c>
      <c r="R108" s="39" t="str">
        <f>IF(Exclude_MI="Yes",SD_Gen_2,IF(Reactive_Only="Yes",SD_Gen_3,IF(D&lt;Hole_ExtremelyLarge,SD_MI_7,SD_MI_6)))</f>
        <v>Largest Pipe or Nozzle Size less than Extremely Large Hole Size</v>
      </c>
      <c r="S108" s="39"/>
      <c r="T108" s="39"/>
      <c r="U108" s="39"/>
      <c r="V108" s="39"/>
      <c r="W108" s="39" t="str">
        <f>IF(Exclude_MI="Yes",SD_Gen_2,IF(Reactive_Only="Yes",SD_Gen_3,IF(D&lt;Hole_ExtremelyLarge,SD_MI_7,SD_MI_6)))</f>
        <v>Largest Pipe or Nozzle Size less than Extremely Large Hole Size</v>
      </c>
      <c r="X108" s="39"/>
      <c r="Y108" s="39" t="str">
        <f>IF(Exclude_MI="Yes",SD_Gen_2,IF(Reactive_Only="Yes",SD_Gen_3,IF(D&lt;Hole_ExtremelyLarge,SD_MI_7,SD_MI_6)))</f>
        <v>Largest Pipe or Nozzle Size less than Extremely Large Hole Size</v>
      </c>
      <c r="Z108" s="39"/>
      <c r="AA108" s="39"/>
      <c r="AB108" s="39" t="str">
        <f>IF(Exclude_MI="Yes",SD_Gen_2,IF(Reactive_Only="Yes",SD_Gen_3,IF(D&lt;Hole_ExtremelyLarge,SD_MI_7,SD_MI_6)))</f>
        <v>Largest Pipe or Nozzle Size less than Extremely Large Hole Size</v>
      </c>
      <c r="AC108" s="39" t="str">
        <f>IF(Exclude_MI="Yes",SD_Gen_2,IF(Reactive_Only="Yes",SD_Gen_3,IF(D&lt;Hole_ExtremelyLarge,SD_MI_7,SD_MI_6)))</f>
        <v>Largest Pipe or Nozzle Size less than Extremely Large Hole Size</v>
      </c>
      <c r="AD108" s="39"/>
      <c r="AE108" s="39" t="str">
        <f>IF(Exclude_MI="Yes",SD_Gen_2,IF(Reactive_Only="Yes",SD_Gen_3,IF(D&lt;Hole_ExtremelyLarge,SD_MI_7,SD_MI_6)))</f>
        <v>Largest Pipe or Nozzle Size less than Extremely Large Hole Size</v>
      </c>
      <c r="AF108" s="39" t="str">
        <f>IF(Exclude_MI="Yes",SD_Gen_2,IF(Reactive_Only="Yes",SD_Gen_3,IF(D&lt;Hole_ExtremelyLarge,SD_MI_7,SD_MI_6)))</f>
        <v>Largest Pipe or Nozzle Size less than Extremely Large Hole Size</v>
      </c>
      <c r="AG108" s="39" t="str">
        <f>IF(Exclude_MI="Yes",SD_Gen_2,IF(Reactive_Only="Yes",SD_Gen_3,IF(D&lt;Hole_ExtremelyLarge,SD_MI_7,SD_MI_6)))</f>
        <v>Largest Pipe or Nozzle Size less than Extremely Large Hole Size</v>
      </c>
      <c r="AH108" s="39" t="str">
        <f>IF(Exclude_MI="Yes",SD_Gen_2,IF(Reactive_Only="Yes",SD_Gen_3,IF(D&lt;Hole_ExtremelyLarge,SD_MI_7,SD_MI_6)))</f>
        <v>Largest Pipe or Nozzle Size less than Extremely Large Hole Size</v>
      </c>
      <c r="AI108" s="39"/>
      <c r="AK108" s="39"/>
      <c r="AL108" s="39"/>
      <c r="AM108" s="39"/>
      <c r="AN108" s="39"/>
      <c r="AO108" s="39"/>
      <c r="AP108" s="39"/>
      <c r="AQ108" s="738"/>
      <c r="AR108" s="39"/>
      <c r="AS108" s="1001"/>
      <c r="AT108" s="39"/>
      <c r="AU108" s="39"/>
      <c r="AV108" s="39"/>
      <c r="AW108" s="39"/>
      <c r="AX108" s="39"/>
      <c r="AY108" s="39"/>
      <c r="AZ108" s="39"/>
      <c r="BA108" s="39"/>
      <c r="BB108" s="39"/>
      <c r="BC108" s="39" t="str">
        <f t="shared" ref="BC108:BH111" si="26">IF(AND(Penalty_Corrosive=1,Penalty_Insulation=1),IED_MI_4,IF(Penalty_Insulation=1,IED_MI_2,IF(Penalty_Corrosive=1,IED_MI_3,IED_MI_1)))</f>
        <v>Failure from corrosion, fatigue, etc.</v>
      </c>
      <c r="BD108" s="39" t="str">
        <f t="shared" si="26"/>
        <v>Failure from corrosion, fatigue, etc.</v>
      </c>
      <c r="BE108" s="39" t="str">
        <f t="shared" si="26"/>
        <v>Failure from corrosion, fatigue, etc.</v>
      </c>
      <c r="BF108" s="39" t="str">
        <f t="shared" si="26"/>
        <v>Failure from corrosion, fatigue, etc.</v>
      </c>
      <c r="BG108" s="39" t="str">
        <f t="shared" si="26"/>
        <v>Failure from corrosion, fatigue, etc.</v>
      </c>
      <c r="BH108" s="39" t="str">
        <f t="shared" si="26"/>
        <v>Failure from corrosion, fatigue, etc.</v>
      </c>
      <c r="BJ108" s="39"/>
      <c r="BK108" s="39"/>
      <c r="BL108" s="1852"/>
      <c r="BM108" s="39"/>
      <c r="BN108" s="39"/>
      <c r="BO108" s="3180"/>
      <c r="BP108" s="3180"/>
      <c r="BQ108" s="39"/>
      <c r="BR108" s="39"/>
      <c r="BS108" s="39"/>
      <c r="BT108" s="39"/>
      <c r="BU108" s="1852"/>
      <c r="BV108" s="1852"/>
      <c r="BW108" s="39"/>
      <c r="BX108" s="39"/>
      <c r="BY108" s="39"/>
      <c r="BZ108" s="39"/>
      <c r="CA108" s="39"/>
      <c r="CB108" s="39"/>
      <c r="CC108" s="39"/>
      <c r="CD108" s="39"/>
      <c r="CE108" s="39"/>
      <c r="CF108" s="1475"/>
      <c r="CG108" s="39"/>
      <c r="CH108" s="39"/>
      <c r="CI108" s="39"/>
      <c r="CJ108" s="39"/>
      <c r="CK108" s="39"/>
      <c r="CL108" s="1036"/>
      <c r="CM108" s="738"/>
      <c r="CN108" s="738"/>
      <c r="CO108" s="39"/>
      <c r="CP108" s="39"/>
      <c r="CQ108" s="39"/>
      <c r="CR108" s="39"/>
      <c r="CS108" s="39"/>
      <c r="CT108" s="39"/>
      <c r="CU108" s="39"/>
      <c r="CV108" s="782"/>
      <c r="CW108" s="39"/>
      <c r="CX108" s="39"/>
      <c r="CY108" s="39"/>
      <c r="CZ108" s="39"/>
      <c r="DA108" s="39"/>
      <c r="DB108" s="39"/>
      <c r="DC108" s="2039"/>
      <c r="DD108" s="39"/>
      <c r="DE108" s="39"/>
      <c r="DF108" s="500"/>
      <c r="DG108" s="39"/>
      <c r="DH108" s="39"/>
      <c r="DI108" s="39"/>
      <c r="DJ108" s="39"/>
    </row>
    <row r="109" spans="3:114" x14ac:dyDescent="0.25">
      <c r="C109" s="39" t="str">
        <f t="shared" si="25"/>
        <v>Mechanical Integrity Failure - Very Large</v>
      </c>
      <c r="D109" s="19"/>
      <c r="E109" s="39" t="str">
        <f>IF(Exclude_MI="Yes",SD_Gen_2,IF(Reactive_Only="Yes",SD_Gen_3,IF(D&lt;=Hole_VeryLarge,SD_MI_5,SD_MI_4)))</f>
        <v>Largest Pipe or Nozzle Size less than Very Large Hole Size</v>
      </c>
      <c r="F109" s="39"/>
      <c r="G109" s="39"/>
      <c r="H109" s="39" t="str">
        <f>IF(Exclude_MI="Yes",SD_Gen_2,IF(Reactive_Only="Yes",SD_Gen_3,IF(D&lt;=Hole_VeryLarge,SD_MI_5,SD_MI_4)))</f>
        <v>Largest Pipe or Nozzle Size less than Very Large Hole Size</v>
      </c>
      <c r="I109" s="39"/>
      <c r="J109" s="39"/>
      <c r="K109" s="39" t="str">
        <f>IF(Exclude_MI="Yes",SD_Gen_2,IF(Reactive_Only="Yes",SD_Gen_3,IF(D&lt;=Hole_VeryLarge,SD_MI_5,SD_MI_4)))</f>
        <v>Largest Pipe or Nozzle Size less than Very Large Hole Size</v>
      </c>
      <c r="L109" s="39"/>
      <c r="M109" s="39"/>
      <c r="N109" s="39"/>
      <c r="O109" s="39"/>
      <c r="P109" s="39"/>
      <c r="Q109" s="39" t="str">
        <f>IF(Exclude_MI="Yes",SD_Gen_2,IF(Reactive_Only="Yes",SD_Gen_3,IF(D&lt;=Hole_VeryLarge,SD_MI_5,SD_MI_4)))</f>
        <v>Largest Pipe or Nozzle Size less than Very Large Hole Size</v>
      </c>
      <c r="R109" s="39" t="str">
        <f>IF(Exclude_MI="Yes",SD_Gen_2,IF(Reactive_Only="Yes",SD_Gen_3,IF(D&lt;=Hole_VeryLarge,SD_MI_5,SD_MI_4)))</f>
        <v>Largest Pipe or Nozzle Size less than Very Large Hole Size</v>
      </c>
      <c r="S109" s="39"/>
      <c r="T109" s="39"/>
      <c r="U109" s="39"/>
      <c r="V109" s="39"/>
      <c r="W109" s="39" t="str">
        <f>IF(Exclude_MI="Yes",SD_Gen_2,IF(Reactive_Only="Yes",SD_Gen_3,IF(D&lt;=Hole_VeryLarge,SD_MI_5,SD_MI_4)))</f>
        <v>Largest Pipe or Nozzle Size less than Very Large Hole Size</v>
      </c>
      <c r="X109" s="39"/>
      <c r="Y109" s="39" t="str">
        <f>IF(Exclude_MI="Yes",SD_Gen_2,IF(Reactive_Only="Yes",SD_Gen_3,IF(D&lt;=Hole_VeryLarge,SD_MI_5,SD_MI_4)))</f>
        <v>Largest Pipe or Nozzle Size less than Very Large Hole Size</v>
      </c>
      <c r="Z109" s="39"/>
      <c r="AA109" s="39"/>
      <c r="AB109" s="39" t="str">
        <f>IF(Exclude_MI="Yes",SD_Gen_2,IF(Reactive_Only="Yes",SD_Gen_3,IF(D&lt;=Hole_VeryLarge,SD_MI_5,SD_MI_4)))</f>
        <v>Largest Pipe or Nozzle Size less than Very Large Hole Size</v>
      </c>
      <c r="AC109" s="39" t="str">
        <f>IF(Exclude_MI="Yes",SD_Gen_2,IF(Reactive_Only="Yes",SD_Gen_3,IF(D&lt;=Hole_VeryLarge,SD_MI_5,SD_MI_4)))</f>
        <v>Largest Pipe or Nozzle Size less than Very Large Hole Size</v>
      </c>
      <c r="AD109" s="39"/>
      <c r="AE109" s="39" t="str">
        <f>IF(Exclude_MI="Yes",SD_Gen_2,IF(Reactive_Only="Yes",SD_Gen_3,IF(D&lt;=Hole_VeryLarge,SD_MI_5,SD_MI_4)))</f>
        <v>Largest Pipe or Nozzle Size less than Very Large Hole Size</v>
      </c>
      <c r="AF109" s="39" t="str">
        <f>IF(Exclude_MI="Yes",SD_Gen_2,IF(Reactive_Only="Yes",SD_Gen_3,IF(D&lt;=Hole_VeryLarge,SD_MI_5,SD_MI_4)))</f>
        <v>Largest Pipe or Nozzle Size less than Very Large Hole Size</v>
      </c>
      <c r="AG109" s="39" t="str">
        <f>IF(Exclude_MI="Yes",SD_Gen_2,IF(Reactive_Only="Yes",SD_Gen_3,IF(D&lt;=Hole_VeryLarge,SD_MI_5,SD_MI_4)))</f>
        <v>Largest Pipe or Nozzle Size less than Very Large Hole Size</v>
      </c>
      <c r="AH109" s="39" t="str">
        <f>IF(Exclude_MI="Yes",SD_Gen_2,IF(Reactive_Only="Yes",SD_Gen_3,IF(D&lt;=Hole_VeryLarge,SD_MI_5,SD_MI_4)))</f>
        <v>Largest Pipe or Nozzle Size less than Very Large Hole Size</v>
      </c>
      <c r="AI109" s="39"/>
      <c r="AK109" s="39"/>
      <c r="AL109" s="39"/>
      <c r="AM109" s="39"/>
      <c r="AN109" s="39"/>
      <c r="AO109" s="39"/>
      <c r="AP109" s="39"/>
      <c r="AQ109" s="738"/>
      <c r="AR109" s="39"/>
      <c r="AS109" s="1001"/>
      <c r="AT109" s="39"/>
      <c r="AU109" s="39"/>
      <c r="AV109" s="39"/>
      <c r="AW109" s="39"/>
      <c r="AX109" s="39"/>
      <c r="AY109" s="39"/>
      <c r="AZ109" s="39"/>
      <c r="BA109" s="39"/>
      <c r="BB109" s="39"/>
      <c r="BC109" s="39" t="str">
        <f t="shared" si="26"/>
        <v>Failure from corrosion, fatigue, etc.</v>
      </c>
      <c r="BD109" s="39" t="str">
        <f t="shared" si="26"/>
        <v>Failure from corrosion, fatigue, etc.</v>
      </c>
      <c r="BE109" s="39" t="str">
        <f t="shared" si="26"/>
        <v>Failure from corrosion, fatigue, etc.</v>
      </c>
      <c r="BF109" s="39" t="str">
        <f t="shared" si="26"/>
        <v>Failure from corrosion, fatigue, etc.</v>
      </c>
      <c r="BG109" s="39" t="str">
        <f t="shared" si="26"/>
        <v>Failure from corrosion, fatigue, etc.</v>
      </c>
      <c r="BH109" s="39" t="str">
        <f t="shared" si="26"/>
        <v>Failure from corrosion, fatigue, etc.</v>
      </c>
      <c r="BJ109" s="39"/>
      <c r="BK109" s="39"/>
      <c r="BL109" s="1852"/>
      <c r="BM109" s="39"/>
      <c r="BN109" s="39"/>
      <c r="BO109" s="3180"/>
      <c r="BP109" s="3180"/>
      <c r="BQ109" s="39"/>
      <c r="BR109" s="39"/>
      <c r="BS109" s="39"/>
      <c r="BT109" s="39"/>
      <c r="BU109" s="1852"/>
      <c r="BV109" s="1852"/>
      <c r="BW109" s="39"/>
      <c r="BX109" s="39"/>
      <c r="BY109" s="39"/>
      <c r="BZ109" s="39"/>
      <c r="CA109" s="39"/>
      <c r="CB109" s="39"/>
      <c r="CC109" s="39"/>
      <c r="CD109" s="39"/>
      <c r="CE109" s="39"/>
      <c r="CF109" s="1475"/>
      <c r="CG109" s="39"/>
      <c r="CH109" s="39"/>
      <c r="CI109" s="39"/>
      <c r="CJ109" s="39"/>
      <c r="CK109" s="39"/>
      <c r="CL109" s="1036"/>
      <c r="CM109" s="738"/>
      <c r="CN109" s="738"/>
      <c r="CO109" s="39"/>
      <c r="CP109" s="39"/>
      <c r="CQ109" s="39"/>
      <c r="CR109" s="39"/>
      <c r="CS109" s="39"/>
      <c r="CT109" s="39"/>
      <c r="CU109" s="39"/>
      <c r="CV109" s="782"/>
      <c r="CW109" s="39"/>
      <c r="CX109" s="39"/>
      <c r="CY109" s="39"/>
      <c r="CZ109" s="39"/>
      <c r="DA109" s="39"/>
      <c r="DB109" s="39"/>
      <c r="DC109" s="2039"/>
      <c r="DD109" s="39"/>
      <c r="DE109" s="39"/>
      <c r="DF109" s="500"/>
      <c r="DG109" s="39"/>
      <c r="DH109" s="39"/>
      <c r="DI109" s="39"/>
      <c r="DJ109" s="39"/>
    </row>
    <row r="110" spans="3:114" x14ac:dyDescent="0.25">
      <c r="C110" s="39" t="str">
        <f t="shared" si="25"/>
        <v>Piping or Equipment Leak - Full Bore</v>
      </c>
      <c r="D110" s="19"/>
      <c r="E110" s="39" t="str">
        <f>IF(Exclude_MI="Yes",SD_Gen_2,IF(Reactive_Only="Yes",SD_Gen_3,SD_MI_1))</f>
        <v>Loss of Containment for Full Bore Pipe or Equipment Nozzle Hole Size</v>
      </c>
      <c r="F110" s="39"/>
      <c r="G110" s="39"/>
      <c r="H110" s="39" t="str">
        <f>IF(Exclude_MI="Yes",SD_Gen_2,IF(Reactive_Only="Yes",SD_Gen_3,SD_MI_1))</f>
        <v>Loss of Containment for Full Bore Pipe or Equipment Nozzle Hole Size</v>
      </c>
      <c r="I110" s="39"/>
      <c r="J110" s="39"/>
      <c r="K110" s="39" t="str">
        <f>IF(Exclude_MI="Yes",SD_Gen_2,IF(Reactive_Only="Yes",SD_Gen_3,SD_MI_1))</f>
        <v>Loss of Containment for Full Bore Pipe or Equipment Nozzle Hole Size</v>
      </c>
      <c r="L110" s="39" t="str">
        <f>IF(Exclude_MI="Yes",SD_Gen_2,IF(Reactive_Only="Yes",SD_Gen_3,SD_MI_1))</f>
        <v>Loss of Containment for Full Bore Pipe or Equipment Nozzle Hole Size</v>
      </c>
      <c r="M110" s="39"/>
      <c r="N110" s="39"/>
      <c r="O110" s="39"/>
      <c r="P110" s="39"/>
      <c r="Q110" s="39" t="str">
        <f>IF(Exclude_MI="Yes",SD_Gen_2,IF(Reactive_Only="Yes",SD_Gen_3,SD_MI_1))</f>
        <v>Loss of Containment for Full Bore Pipe or Equipment Nozzle Hole Size</v>
      </c>
      <c r="R110" s="39" t="str">
        <f>IF(Exclude_MI="Yes",SD_Gen_2,IF(Reactive_Only="Yes",SD_Gen_3,SD_MI_1))</f>
        <v>Loss of Containment for Full Bore Pipe or Equipment Nozzle Hole Size</v>
      </c>
      <c r="S110" s="39"/>
      <c r="T110" s="39"/>
      <c r="U110" s="39"/>
      <c r="V110" s="39"/>
      <c r="W110" s="39" t="str">
        <f>IF(Exclude_MI="Yes",SD_Gen_2,IF(Reactive_Only="Yes",SD_Gen_3,SD_MI_1))</f>
        <v>Loss of Containment for Full Bore Pipe or Equipment Nozzle Hole Size</v>
      </c>
      <c r="X110" s="39"/>
      <c r="Y110" s="39" t="str">
        <f>IF(Exclude_MI="Yes",SD_Gen_2,IF(Reactive_Only="Yes",SD_Gen_3,SD_MI_1))</f>
        <v>Loss of Containment for Full Bore Pipe or Equipment Nozzle Hole Size</v>
      </c>
      <c r="Z110" s="39"/>
      <c r="AA110" s="39"/>
      <c r="AB110" s="39" t="str">
        <f>IF(Exclude_MI="Yes",SD_Gen_2,IF(Reactive_Only="Yes",SD_Gen_3,SD_MI_1))</f>
        <v>Loss of Containment for Full Bore Pipe or Equipment Nozzle Hole Size</v>
      </c>
      <c r="AC110" s="39" t="str">
        <f>IF(Exclude_MI="Yes",SD_Gen_2,IF(Reactive_Only="Yes",SD_Gen_3,SD_MI_1))</f>
        <v>Loss of Containment for Full Bore Pipe or Equipment Nozzle Hole Size</v>
      </c>
      <c r="AD110" s="39"/>
      <c r="AE110" s="39" t="str">
        <f>IF(Exclude_MI="Yes",SD_Gen_2,IF(Reactive_Only="Yes",SD_Gen_3,SD_MI_1))</f>
        <v>Loss of Containment for Full Bore Pipe or Equipment Nozzle Hole Size</v>
      </c>
      <c r="AF110" s="39" t="str">
        <f>IF(Exclude_MI="Yes",SD_Gen_2,IF(Reactive_Only="Yes",SD_Gen_3,SD_MI_1))</f>
        <v>Loss of Containment for Full Bore Pipe or Equipment Nozzle Hole Size</v>
      </c>
      <c r="AG110" s="39" t="str">
        <f>IF(Exclude_MI="Yes",SD_Gen_2,IF(Reactive_Only="Yes",SD_Gen_3,SD_MI_1))</f>
        <v>Loss of Containment for Full Bore Pipe or Equipment Nozzle Hole Size</v>
      </c>
      <c r="AH110" s="39" t="str">
        <f>IF(Exclude_MI="Yes",SD_Gen_2,IF(Reactive_Only="Yes",SD_Gen_3,SD_MI_1))</f>
        <v>Loss of Containment for Full Bore Pipe or Equipment Nozzle Hole Size</v>
      </c>
      <c r="AI110" s="39"/>
      <c r="AK110" s="39"/>
      <c r="AL110" s="39"/>
      <c r="AM110" s="39"/>
      <c r="AN110" s="39"/>
      <c r="AO110" s="39"/>
      <c r="AP110" s="39"/>
      <c r="AQ110" s="738"/>
      <c r="AR110" s="39" t="str">
        <f>IED_Gen_66</f>
        <v>Failure of sight glass from thermal stress, fatigue, etc.</v>
      </c>
      <c r="AS110" s="1001"/>
      <c r="AT110" s="39" t="str">
        <f>IED_T_2</f>
        <v>Failure of Hose from fatigue, etc.</v>
      </c>
      <c r="AV110" s="39"/>
      <c r="AW110" s="39"/>
      <c r="AX110" s="39"/>
      <c r="AY110" s="39"/>
      <c r="AZ110" s="39"/>
      <c r="BA110" s="39"/>
      <c r="BB110" s="39"/>
      <c r="BC110" s="39" t="str">
        <f t="shared" si="26"/>
        <v>Failure from corrosion, fatigue, etc.</v>
      </c>
      <c r="BD110" s="39"/>
      <c r="BE110" s="39"/>
      <c r="BF110" s="39"/>
      <c r="BG110" s="39"/>
      <c r="BH110" s="39"/>
      <c r="BI110" s="39"/>
      <c r="BJ110" s="39"/>
      <c r="BK110" s="39"/>
      <c r="BL110" s="1852"/>
      <c r="BM110" s="39"/>
      <c r="BN110" s="39"/>
      <c r="BO110" s="3180"/>
      <c r="BP110" s="3180"/>
      <c r="BQ110" s="39"/>
      <c r="BR110" s="39"/>
      <c r="BS110" s="39"/>
      <c r="BT110" s="39"/>
      <c r="BU110" s="1852"/>
      <c r="BV110" s="1852"/>
      <c r="BW110" s="39"/>
      <c r="BX110" s="39"/>
      <c r="BY110" s="39"/>
      <c r="BZ110" s="39"/>
      <c r="CA110" s="39"/>
      <c r="CB110" s="39"/>
      <c r="CC110" s="39"/>
      <c r="CD110" s="39"/>
      <c r="CE110" s="39"/>
      <c r="CF110" s="1475"/>
      <c r="CG110" s="39"/>
      <c r="CH110" s="39"/>
      <c r="CI110" s="39"/>
      <c r="CJ110" s="39"/>
      <c r="CK110" s="39"/>
      <c r="CL110" s="1036"/>
      <c r="CM110" s="738"/>
      <c r="CN110" s="738"/>
      <c r="CO110" s="39"/>
      <c r="CP110" s="39"/>
      <c r="CQ110" s="39"/>
      <c r="CR110" s="39"/>
      <c r="CS110" s="39"/>
      <c r="CT110" s="39"/>
      <c r="CU110" s="39"/>
      <c r="CV110" s="782"/>
      <c r="CW110" s="39"/>
      <c r="CX110" s="39"/>
      <c r="CY110" s="39"/>
      <c r="CZ110" s="39"/>
      <c r="DA110" s="39"/>
      <c r="DB110" s="39"/>
      <c r="DC110" s="2039"/>
      <c r="DD110" s="39"/>
      <c r="DE110" s="39"/>
      <c r="DF110" s="500"/>
      <c r="DG110" s="39"/>
      <c r="DH110" s="39"/>
      <c r="DI110" s="39"/>
      <c r="DJ110" s="39"/>
    </row>
    <row r="111" spans="3:114" x14ac:dyDescent="0.25">
      <c r="C111" s="39" t="str">
        <f t="shared" si="25"/>
        <v>Mechanical Integrity Failure - Medium</v>
      </c>
      <c r="D111" s="19"/>
      <c r="E111" s="39" t="str">
        <f>IF(Exclude_MI="Yes",SD_Gen_2,IF(Reactive_Only="Yes",SD_Gen_3,SD_MI_3))</f>
        <v>Mechanical Integrity Loss of Containment for Medium Hole Size</v>
      </c>
      <c r="F111" s="39"/>
      <c r="G111" s="39"/>
      <c r="H111" s="39" t="str">
        <f>IF(Exclude_MI="Yes",SD_Gen_2,IF(Reactive_Only="Yes",SD_Gen_3,SD_MI_3))</f>
        <v>Mechanical Integrity Loss of Containment for Medium Hole Size</v>
      </c>
      <c r="I111" s="39"/>
      <c r="J111" s="39"/>
      <c r="K111" s="39" t="str">
        <f>IF(Exclude_MI="Yes",SD_Gen_2,IF(Reactive_Only="Yes",SD_Gen_3,SD_MI_3))</f>
        <v>Mechanical Integrity Loss of Containment for Medium Hole Size</v>
      </c>
      <c r="L111" s="39" t="str">
        <f>IF(Exclude_MI="Yes",SD_Gen_2,IF(Reactive_Only="Yes",SD_Gen_3,SD_MI_3))</f>
        <v>Mechanical Integrity Loss of Containment for Medium Hole Size</v>
      </c>
      <c r="M111" s="39"/>
      <c r="N111" s="39"/>
      <c r="O111" s="39"/>
      <c r="P111" s="39"/>
      <c r="Q111" s="39" t="str">
        <f>IF(Exclude_MI="Yes",SD_Gen_2,IF(Reactive_Only="Yes",SD_Gen_3,SD_MI_3))</f>
        <v>Mechanical Integrity Loss of Containment for Medium Hole Size</v>
      </c>
      <c r="R111" s="39" t="str">
        <f>IF(Exclude_MI="Yes",SD_Gen_2,IF(Reactive_Only="Yes",SD_Gen_3,SD_MI_3))</f>
        <v>Mechanical Integrity Loss of Containment for Medium Hole Size</v>
      </c>
      <c r="S111" s="39"/>
      <c r="T111" s="39"/>
      <c r="U111" s="39"/>
      <c r="V111" s="39"/>
      <c r="W111" s="39" t="str">
        <f>IF(Exclude_MI="Yes",SD_Gen_2,IF(Reactive_Only="Yes",SD_Gen_3,SD_MI_3))</f>
        <v>Mechanical Integrity Loss of Containment for Medium Hole Size</v>
      </c>
      <c r="X111" s="39"/>
      <c r="Y111" s="39" t="str">
        <f>IF(Exclude_MI="Yes",SD_Gen_2,IF(Reactive_Only="Yes",SD_Gen_3,SD_MI_3))</f>
        <v>Mechanical Integrity Loss of Containment for Medium Hole Size</v>
      </c>
      <c r="Z111" s="39"/>
      <c r="AA111" s="39"/>
      <c r="AB111" s="39" t="str">
        <f>IF(Exclude_MI="Yes",SD_Gen_2,IF(Reactive_Only="Yes",SD_Gen_3,SD_MI_3))</f>
        <v>Mechanical Integrity Loss of Containment for Medium Hole Size</v>
      </c>
      <c r="AC111" s="39" t="str">
        <f>IF(Exclude_MI="Yes",SD_Gen_2,IF(Reactive_Only="Yes",SD_Gen_3,SD_MI_3))</f>
        <v>Mechanical Integrity Loss of Containment for Medium Hole Size</v>
      </c>
      <c r="AD111" s="39"/>
      <c r="AE111" s="39" t="str">
        <f>IF(Exclude_MI="Yes",SD_Gen_2,IF(Reactive_Only="Yes",SD_Gen_3,SD_MI_3))</f>
        <v>Mechanical Integrity Loss of Containment for Medium Hole Size</v>
      </c>
      <c r="AF111" s="39" t="str">
        <f>IF(Exclude_MI="Yes",SD_Gen_2,IF(Reactive_Only="Yes",SD_Gen_3,SD_MI_3))</f>
        <v>Mechanical Integrity Loss of Containment for Medium Hole Size</v>
      </c>
      <c r="AG111" s="39" t="str">
        <f>IF(Exclude_MI="Yes",SD_Gen_2,IF(Reactive_Only="Yes",SD_Gen_3,SD_MI_3))</f>
        <v>Mechanical Integrity Loss of Containment for Medium Hole Size</v>
      </c>
      <c r="AH111" s="39" t="str">
        <f>IF(Exclude_MI="Yes",SD_Gen_2,IF(Reactive_Only="Yes",SD_Gen_3,SD_MI_3))</f>
        <v>Mechanical Integrity Loss of Containment for Medium Hole Size</v>
      </c>
      <c r="AI111" s="39"/>
      <c r="AK111" s="39"/>
      <c r="AL111" s="39"/>
      <c r="AM111" s="39"/>
      <c r="AN111" s="39"/>
      <c r="AO111" s="39"/>
      <c r="AP111" s="39"/>
      <c r="AQ111" s="738"/>
      <c r="AR111" s="39"/>
      <c r="AS111" s="1001"/>
      <c r="AT111" s="39"/>
      <c r="AU111" s="39"/>
      <c r="AV111" s="39"/>
      <c r="AW111" s="39"/>
      <c r="AX111" s="39"/>
      <c r="AY111" s="39"/>
      <c r="AZ111" s="39"/>
      <c r="BA111" s="39"/>
      <c r="BB111" s="39"/>
      <c r="BC111" s="39" t="str">
        <f t="shared" si="26"/>
        <v>Failure from corrosion, fatigue, etc.</v>
      </c>
      <c r="BD111" s="39" t="str">
        <f t="shared" si="26"/>
        <v>Failure from corrosion, fatigue, etc.</v>
      </c>
      <c r="BE111" s="39" t="str">
        <f t="shared" si="26"/>
        <v>Failure from corrosion, fatigue, etc.</v>
      </c>
      <c r="BF111" s="39" t="str">
        <f t="shared" si="26"/>
        <v>Failure from corrosion, fatigue, etc.</v>
      </c>
      <c r="BG111" s="39" t="str">
        <f t="shared" si="26"/>
        <v>Failure from corrosion, fatigue, etc.</v>
      </c>
      <c r="BH111" s="39" t="str">
        <f t="shared" si="26"/>
        <v>Failure from corrosion, fatigue, etc.</v>
      </c>
      <c r="BJ111" s="39"/>
      <c r="BK111" s="39"/>
      <c r="BL111" s="1852"/>
      <c r="BM111" s="39"/>
      <c r="BN111" s="39"/>
      <c r="BO111" s="3180"/>
      <c r="BP111" s="3180"/>
      <c r="BQ111" s="39"/>
      <c r="BR111" s="39"/>
      <c r="BS111" s="39"/>
      <c r="BT111" s="39"/>
      <c r="BU111" s="1852"/>
      <c r="BV111" s="1852"/>
      <c r="BW111" s="39"/>
      <c r="BX111" s="39"/>
      <c r="BY111" s="39"/>
      <c r="BZ111" s="39"/>
      <c r="CA111" s="39"/>
      <c r="CB111" s="39"/>
      <c r="CC111" s="39"/>
      <c r="CD111" s="39"/>
      <c r="CE111" s="39"/>
      <c r="CF111" s="1475"/>
      <c r="CG111" s="39"/>
      <c r="CH111" s="39"/>
      <c r="CI111" s="39"/>
      <c r="CJ111" s="39"/>
      <c r="CK111" s="39"/>
      <c r="CL111" s="1036"/>
      <c r="CM111" s="738"/>
      <c r="CN111" s="738"/>
      <c r="CO111" s="39"/>
      <c r="CP111" s="39"/>
      <c r="CQ111" s="39"/>
      <c r="CR111" s="39"/>
      <c r="CS111" s="39"/>
      <c r="CT111" s="39"/>
      <c r="CU111" s="39"/>
      <c r="CV111" s="782"/>
      <c r="CW111" s="39"/>
      <c r="CX111" s="39"/>
      <c r="CY111" s="39"/>
      <c r="CZ111" s="39"/>
      <c r="DA111" s="39"/>
      <c r="DB111" s="39"/>
      <c r="DC111" s="2039"/>
      <c r="DD111" s="39"/>
      <c r="DE111" s="39"/>
      <c r="DF111" s="500"/>
      <c r="DG111" s="39"/>
      <c r="DH111" s="39"/>
      <c r="DI111" s="39"/>
      <c r="DJ111" s="39"/>
    </row>
    <row r="112" spans="3:114" x14ac:dyDescent="0.25">
      <c r="C112" s="39" t="str">
        <f t="shared" si="25"/>
        <v>Relief Device Failure</v>
      </c>
      <c r="D112" s="19"/>
      <c r="E112" s="39" t="str">
        <f>IF(Exclude_MI="Yes",SD_Gen_2,IF(Reactive_Only="Yes",SD_Gen_3,IF(Relief_Set_Input="",SD_Gen_67,IF(OR(Relief_Type="Graphite Disk",Relief_Type="Rupture Disk"),SD_Gen_65,SD_Gen_66))))</f>
        <v>No Relief Device Indicated</v>
      </c>
      <c r="F112" s="39"/>
      <c r="G112" s="39"/>
      <c r="H112" s="39" t="str">
        <f>IF(Exclude_MI="Yes",SD_Gen_2,IF(Reactive_Only="Yes",SD_Gen_3,IF(Relief_Set_Input="",SD_Gen_67,IF(OR(Relief_Type="Graphite Disk",Relief_Type="Rupture Disk"),SD_Gen_65,SD_Gen_66))))</f>
        <v>No Relief Device Indicated</v>
      </c>
      <c r="I112" s="39"/>
      <c r="J112" s="39"/>
      <c r="K112" s="39" t="str">
        <f>IF(Exclude_MI="Yes",SD_Gen_2,IF(Reactive_Only="Yes",SD_Gen_3,IF(Relief_Set_Input="",SD_Gen_67,IF(OR(Relief_Type="Graphite Disk",Relief_Type="Rupture Disk"),SD_Gen_65,SD_Gen_66))))</f>
        <v>No Relief Device Indicated</v>
      </c>
      <c r="L112" s="39"/>
      <c r="M112" s="39"/>
      <c r="N112" s="39"/>
      <c r="O112" s="39"/>
      <c r="P112" s="39"/>
      <c r="Q112" s="39" t="str">
        <f>IF(Exclude_MI="Yes",SD_Gen_2,IF(Reactive_Only="Yes",SD_Gen_3,IF(Relief_Set_Input="",SD_Gen_67,IF(OR(Relief_Type="Graphite Disk",Relief_Type="Rupture Disk"),SD_Gen_65,SD_Gen_66))))</f>
        <v>No Relief Device Indicated</v>
      </c>
      <c r="R112" s="39" t="str">
        <f>IF(Exclude_MI="Yes",SD_Gen_2,IF(Reactive_Only="Yes",SD_Gen_3,IF(Relief_Set_Input="",SD_Gen_67,IF(OR(Relief_Type="Graphite Disk",Relief_Type="Rupture Disk"),SD_Gen_65,SD_Gen_66))))</f>
        <v>No Relief Device Indicated</v>
      </c>
      <c r="S112" s="39"/>
      <c r="T112" s="39"/>
      <c r="U112" s="39"/>
      <c r="V112" s="39"/>
      <c r="W112" s="39"/>
      <c r="X112" s="39" t="str">
        <f>IF(Exclude_MI="Yes",SD_Gen_2,IF(Reactive_Only="Yes",SD_Gen_3,IF(Relief_Set_Input="",SD_Gen_67,IF(OR(Relief_Type="Graphite Disk",Relief_Type="Rupture Disk"),SD_Gen_65,SD_Gen_66))))</f>
        <v>No Relief Device Indicated</v>
      </c>
      <c r="Y112" s="39" t="str">
        <f>IF(Exclude_MI="Yes",SD_Gen_2,IF(Reactive_Only="Yes",SD_Gen_3,IF(Relief_Set_Input="",SD_Gen_67,IF(OR(Relief_Type="Graphite Disk",Relief_Type="Rupture Disk"),SD_Gen_65,SD_Gen_66))))</f>
        <v>No Relief Device Indicated</v>
      </c>
      <c r="Z112" s="39"/>
      <c r="AA112" s="39"/>
      <c r="AB112" s="39" t="str">
        <f>IF(Exclude_MI="Yes",SD_Gen_2,IF(Reactive_Only="Yes",SD_Gen_3,IF(Relief_Set_Input="",SD_Gen_67,IF(OR(Relief_Type="Graphite Disk",Relief_Type="Rupture Disk"),SD_Gen_65,SD_Gen_66))))</f>
        <v>No Relief Device Indicated</v>
      </c>
      <c r="AC112" s="39" t="str">
        <f>IF(Exclude_MI="Yes",SD_Gen_2,IF(Reactive_Only="Yes",SD_Gen_3,IF(Relief_Set_Input="",SD_Gen_67,IF(OR(Relief_Type="Graphite Disk",Relief_Type="Rupture Disk"),SD_Gen_65,SD_Gen_66))))</f>
        <v>No Relief Device Indicated</v>
      </c>
      <c r="AD112" s="39"/>
      <c r="AE112" s="39" t="str">
        <f>IF(Exclude_MI="Yes",SD_Gen_2,IF(Reactive_Only="Yes",SD_Gen_3,IF(Relief_Set_Input="",SD_Gen_67,IF(OR(Relief_Type="Graphite Disk",Relief_Type="Rupture Disk"),SD_Gen_65,SD_Gen_66))))</f>
        <v>No Relief Device Indicated</v>
      </c>
      <c r="AF112" s="39" t="str">
        <f>IF(Exclude_MI="Yes",SD_Gen_2,IF(Reactive_Only="Yes",SD_Gen_3,IF(Relief_Set_Input="",SD_Gen_67,IF(OR(Relief_Type="Graphite Disk",Relief_Type="Rupture Disk"),SD_Gen_65,SD_Gen_66))))</f>
        <v>No Relief Device Indicated</v>
      </c>
      <c r="AG112" s="39" t="str">
        <f>IF(Exclude_MI="Yes",SD_Gen_2,IF(Reactive_Only="Yes",SD_Gen_3,IF(Relief_Set_Input="",SD_Gen_67,IF(OR(Relief_Type="Graphite Disk",Relief_Type="Rupture Disk"),SD_Gen_65,SD_Gen_66))))</f>
        <v>No Relief Device Indicated</v>
      </c>
      <c r="AH112" s="39" t="str">
        <f>IF(Exclude_MI="Yes",SD_Gen_2,IF(Reactive_Only="Yes",SD_Gen_3,IF(Relief_Set_Input="",SD_Gen_67,IF(OR(Relief_Type="Graphite Disk",Relief_Type="Rupture Disk"),SD_Gen_65,SD_Gen_66))))</f>
        <v>No Relief Device Indicated</v>
      </c>
      <c r="AI112" s="39"/>
      <c r="AK112" s="39"/>
      <c r="AL112" s="39"/>
      <c r="AM112" s="39"/>
      <c r="AN112" s="39"/>
      <c r="AO112" s="39"/>
      <c r="AP112" s="39"/>
      <c r="AQ112" s="738"/>
      <c r="AR112" s="39"/>
      <c r="AS112" s="1001"/>
      <c r="AT112" s="39"/>
      <c r="AU112" s="39"/>
      <c r="AV112" s="39"/>
      <c r="AW112" s="39"/>
      <c r="AX112" s="39"/>
      <c r="AY112" s="39"/>
      <c r="AZ112" s="39"/>
      <c r="BA112" s="39"/>
      <c r="BB112" s="39"/>
      <c r="BC112" s="39" t="str">
        <f t="shared" ref="BC112:BH114" si="27">IED_MI_1</f>
        <v>Failure from corrosion, fatigue, etc.</v>
      </c>
      <c r="BD112" s="39" t="str">
        <f t="shared" si="27"/>
        <v>Failure from corrosion, fatigue, etc.</v>
      </c>
      <c r="BE112" s="39" t="str">
        <f t="shared" si="27"/>
        <v>Failure from corrosion, fatigue, etc.</v>
      </c>
      <c r="BF112" s="39" t="str">
        <f t="shared" si="27"/>
        <v>Failure from corrosion, fatigue, etc.</v>
      </c>
      <c r="BG112" s="39" t="str">
        <f t="shared" si="27"/>
        <v>Failure from corrosion, fatigue, etc.</v>
      </c>
      <c r="BH112" s="39" t="str">
        <f t="shared" si="27"/>
        <v>Failure from corrosion, fatigue, etc.</v>
      </c>
      <c r="BJ112" s="39"/>
      <c r="BK112" s="39"/>
      <c r="BL112" s="1852"/>
      <c r="BM112" s="39"/>
      <c r="BN112" s="39"/>
      <c r="BO112" s="3180"/>
      <c r="BP112" s="3180"/>
      <c r="BQ112" s="39"/>
      <c r="BR112" s="39"/>
      <c r="BS112" s="39"/>
      <c r="BT112" s="39"/>
      <c r="BU112" s="1852"/>
      <c r="BV112" s="1852"/>
      <c r="BW112" s="39"/>
      <c r="BX112" s="39"/>
      <c r="BY112" s="39"/>
      <c r="BZ112" s="39"/>
      <c r="CA112" s="39"/>
      <c r="CB112" s="39"/>
      <c r="CC112" s="39"/>
      <c r="CD112" s="39"/>
      <c r="CE112" s="39"/>
      <c r="CF112" s="1475"/>
      <c r="CG112" s="39"/>
      <c r="CH112" s="39"/>
      <c r="CI112" s="39"/>
      <c r="CJ112" s="39"/>
      <c r="CK112" s="39"/>
      <c r="CL112" s="1036"/>
      <c r="CM112" s="738"/>
      <c r="CN112" s="738"/>
      <c r="CO112" s="39"/>
      <c r="CP112" s="39"/>
      <c r="CQ112" s="39"/>
      <c r="CR112" s="39"/>
      <c r="CS112" s="39"/>
      <c r="CT112" s="39"/>
      <c r="CU112" s="39"/>
      <c r="CV112" s="782"/>
      <c r="CW112" s="39"/>
      <c r="CX112" s="39"/>
      <c r="CY112" s="39"/>
      <c r="CZ112" s="39"/>
      <c r="DA112" s="39"/>
      <c r="DB112" s="39"/>
      <c r="DC112" s="2039"/>
      <c r="DD112" s="39"/>
      <c r="DE112" s="39"/>
      <c r="DF112" s="500"/>
      <c r="DG112" s="39"/>
      <c r="DH112" s="39"/>
      <c r="DI112" s="39"/>
      <c r="DJ112" s="39"/>
    </row>
    <row r="113" spans="3:114" x14ac:dyDescent="0.25">
      <c r="C113" s="39" t="str">
        <f t="shared" si="25"/>
        <v>Piping or Equipment Leak - Small</v>
      </c>
      <c r="D113" s="19"/>
      <c r="E113" s="1374"/>
      <c r="F113" s="1374"/>
      <c r="G113" s="1374" t="str">
        <f>IF(Exclude_MI="Yes",SD_Gen_2,IF(Rotating_Equip="Yes",IF(OR(Motor&gt;Motor_Vibration,Vibration="Yes"),SD_MI_9,IF(Motor&lt;Motor_Vibration,SD_MI_11,SD_MI_10)),IF(Reactive_Only="Yes",SD_Gen_3,SD_MI_8)))</f>
        <v>Loss of Containment equivalent to Small Hole Size Leak</v>
      </c>
      <c r="H113" s="1374" t="str">
        <f>IF(Exclude_MI="Yes",SD_Gen_2,IF(Rotating_Equip="Yes",IF(OR(Motor&gt;Motor_Vibration,Vibration="Yes"),SD_MI_9,IF(Motor&lt;Motor_Vibration,SD_MI_11,SD_MI_10)),IF(Reactive_Only="Yes",SD_Gen_3,SD_MI_8)))</f>
        <v>Loss of Containment equivalent to Small Hole Size Leak</v>
      </c>
      <c r="I113" s="1374"/>
      <c r="J113" s="1374"/>
      <c r="K113" s="1374"/>
      <c r="L113" s="1374" t="str">
        <f>IF(Reactive_Only="Yes","SD_Gen_3",SD_MI_8)</f>
        <v>Loss of Containment equivalent to Small Hole Size Leak</v>
      </c>
      <c r="M113" s="1374"/>
      <c r="N113" s="1374"/>
      <c r="O113" s="1374"/>
      <c r="P113" s="1374"/>
      <c r="Q113" s="1374"/>
      <c r="R113" s="1374" t="str">
        <f>IF(Exclude_MI="Yes",SD_Gen_2,IF(Rotating_Equip="Yes",IF(OR(Motor&gt;Motor_Vibration,Vibration="Yes"),SD_MI_9,IF(Motor&lt;Motor_Vibration,SD_MI_11,SD_MI_10)),IF(Reactive_Only="Yes",SD_Gen_3,SD_MI_8)))</f>
        <v>Loss of Containment equivalent to Small Hole Size Leak</v>
      </c>
      <c r="S113" s="1374"/>
      <c r="T113" s="1374"/>
      <c r="U113" s="1374"/>
      <c r="V113" s="1374"/>
      <c r="W113" s="1374"/>
      <c r="X113" s="1374"/>
      <c r="Y113" s="1374"/>
      <c r="Z113" s="1374"/>
      <c r="AA113" s="1374" t="str">
        <f>IF(Exclude_MI="Yes",SD_Gen_2,IF(Rotating_Equip="Yes",IF(OR(Motor&gt;Motor_Vibration,Vibration="Yes"),SD_MI_9,IF(Motor&lt;Motor_Vibration,SD_MI_11,SD_MI_10)),IF(Reactive_Only="Yes",SD_Gen_3,SD_MI_8)))</f>
        <v>Loss of Containment equivalent to Small Hole Size Leak</v>
      </c>
      <c r="AB113" s="1374" t="str">
        <f>IF(Reactive_Only="Yes","SD_Gen_3",SD_MI_8)</f>
        <v>Loss of Containment equivalent to Small Hole Size Leak</v>
      </c>
      <c r="AC113" s="1374" t="str">
        <f>IF(Reactive_Only="Yes","SD_Gen_3",SD_MI_8)</f>
        <v>Loss of Containment equivalent to Small Hole Size Leak</v>
      </c>
      <c r="AD113" s="1374" t="str">
        <f>IF(Exclude_MI="Yes",SD_Gen_2,IF(Rotating_Equip="Yes",IF(OR(Motor&gt;Motor_Vibration,Vibration="Yes"),SD_MI_9,IF(Motor&lt;Motor_Vibration,SD_MI_11,SD_MI_10)),IF(Reactive_Only="Yes",SD_Gen_3,SD_MI_8)))</f>
        <v>Loss of Containment equivalent to Small Hole Size Leak</v>
      </c>
      <c r="AE113" s="1374" t="str">
        <f>IF(Exclude_MI="Yes",SD_Gen_2,IF(Rotating_Equip="Yes",IF(OR(Motor&gt;Motor_Vibration,Vibration="Yes"),SD_MI_9,IF(Motor&lt;Motor_Vibration,SD_MI_11,SD_MI_10)),IF(Reactive_Only="Yes",SD_Gen_3,SD_MI_8)))</f>
        <v>Loss of Containment equivalent to Small Hole Size Leak</v>
      </c>
      <c r="AF113" s="1374" t="str">
        <f>IF(Reactive_Only="Yes","SD_Gen_3",SD_MI_8)</f>
        <v>Loss of Containment equivalent to Small Hole Size Leak</v>
      </c>
      <c r="AG113" s="1374" t="str">
        <f>IF(Exclude_MI="Yes",SD_Gen_2,IF(Rotating_Equip="Yes",IF(OR(Motor&gt;Motor_Vibration,Vibration="Yes"),SD_MI_9,IF(Motor&lt;Motor_Vibration,SD_MI_11,SD_MI_10)),IF(Reactive_Only="Yes",SD_Gen_3,SD_MI_8)))</f>
        <v>Loss of Containment equivalent to Small Hole Size Leak</v>
      </c>
      <c r="AH113" s="1374"/>
      <c r="AI113" s="1374"/>
      <c r="AK113" s="1374"/>
      <c r="AL113" s="1374"/>
      <c r="AM113" s="39" t="str">
        <f>IED_Gen_60</f>
        <v>Loss of Alignment or Equipment Support causing Vibration or Excessive Movement</v>
      </c>
      <c r="AN113" s="1374"/>
      <c r="AO113" s="1374"/>
      <c r="AP113" s="1374"/>
      <c r="AQ113" s="1374"/>
      <c r="AR113" s="1374"/>
      <c r="AS113" s="1374"/>
      <c r="AT113" s="1374"/>
      <c r="AU113" s="39" t="str">
        <f>IED_T_3</f>
        <v>Failure of Loading Arm from fatigue, etc.</v>
      </c>
      <c r="AV113" s="1374"/>
      <c r="AW113" s="1374"/>
      <c r="AX113" s="1374"/>
      <c r="AY113" s="1374"/>
      <c r="AZ113" s="1374"/>
      <c r="BA113" s="1374"/>
      <c r="BB113" s="1374"/>
      <c r="BC113" s="1374"/>
      <c r="BD113" s="1374"/>
      <c r="BE113" s="1374"/>
      <c r="BF113" s="1374"/>
      <c r="BG113" s="1374"/>
      <c r="BH113" s="1374"/>
      <c r="BJ113" s="1374"/>
      <c r="BK113" s="1374"/>
      <c r="BL113" s="1852"/>
      <c r="BM113" s="1374"/>
      <c r="BN113" s="1374"/>
      <c r="BO113" s="3180"/>
      <c r="BP113" s="3180"/>
      <c r="BQ113" s="1374"/>
      <c r="BR113" s="1374"/>
      <c r="BS113" s="1374"/>
      <c r="BT113" s="1374"/>
      <c r="BU113" s="1852"/>
      <c r="BV113" s="1852"/>
      <c r="BW113" s="1374"/>
      <c r="BX113" s="1374"/>
      <c r="BY113" s="1374"/>
      <c r="BZ113" s="1374"/>
      <c r="CA113" s="1374"/>
      <c r="CB113" s="1374"/>
      <c r="CC113" s="1374"/>
      <c r="CD113" s="1374"/>
      <c r="CE113" s="1374"/>
      <c r="CF113" s="1475"/>
      <c r="CG113" s="1374"/>
      <c r="CH113" s="1374"/>
      <c r="CI113" s="1374"/>
      <c r="CJ113" s="1374"/>
      <c r="CK113" s="1374"/>
      <c r="CL113" s="1374"/>
      <c r="CM113" s="1374"/>
      <c r="CN113" s="1374"/>
      <c r="CO113" s="1374"/>
      <c r="CP113" s="1374"/>
      <c r="CQ113" s="1374"/>
      <c r="CR113" s="1374"/>
      <c r="CS113" s="1374"/>
      <c r="CT113" s="1374"/>
      <c r="CU113" s="1374"/>
      <c r="CV113" s="1374"/>
      <c r="CW113" s="1374"/>
      <c r="CX113" s="1374"/>
      <c r="CY113" s="1374"/>
      <c r="CZ113" s="1374"/>
      <c r="DA113" s="1374"/>
      <c r="DB113" s="1374"/>
      <c r="DC113" s="2039"/>
      <c r="DD113" s="1374"/>
      <c r="DE113" s="1374"/>
      <c r="DF113" s="1374"/>
      <c r="DG113" s="1374"/>
      <c r="DH113" s="1374"/>
      <c r="DI113" s="1374"/>
      <c r="DJ113" s="1374"/>
    </row>
    <row r="114" spans="3:114" x14ac:dyDescent="0.25">
      <c r="C114" s="39" t="str">
        <f t="shared" si="25"/>
        <v>Mechanical Integrity Failure - Very Small</v>
      </c>
      <c r="D114" s="19"/>
      <c r="E114" s="39" t="str">
        <f>IF(Exclude_MI="Yes",SD_Gen_2,IF(Reactive_Only="Yes",SD_Gen_3,SD_MI_2))</f>
        <v>Mechanical Integrity Loss of Containment for Very Small Hole Size</v>
      </c>
      <c r="F114" s="39"/>
      <c r="G114" s="39"/>
      <c r="H114" s="39" t="str">
        <f>IF(Exclude_MI="Yes",SD_Gen_2,IF(Reactive_Only="Yes",SD_Gen_3,SD_MI_2))</f>
        <v>Mechanical Integrity Loss of Containment for Very Small Hole Size</v>
      </c>
      <c r="I114" s="39"/>
      <c r="J114" s="39"/>
      <c r="K114" s="39" t="str">
        <f>IF(Exclude_MI="Yes",SD_Gen_2,IF(Reactive_Only="Yes",SD_Gen_3,SD_MI_2))</f>
        <v>Mechanical Integrity Loss of Containment for Very Small Hole Size</v>
      </c>
      <c r="L114" s="39" t="str">
        <f>IF(Exclude_MI="Yes",SD_Gen_2,IF(Reactive_Only="Yes",SD_Gen_3,SD_MI_2))</f>
        <v>Mechanical Integrity Loss of Containment for Very Small Hole Size</v>
      </c>
      <c r="M114" s="39"/>
      <c r="N114" s="39"/>
      <c r="O114" s="39"/>
      <c r="P114" s="39"/>
      <c r="Q114" s="39" t="str">
        <f>IF(Exclude_MI="Yes",SD_Gen_2,IF(Reactive_Only="Yes",SD_Gen_3,SD_MI_2))</f>
        <v>Mechanical Integrity Loss of Containment for Very Small Hole Size</v>
      </c>
      <c r="R114" s="39" t="str">
        <f>IF(Exclude_MI="Yes",SD_Gen_2,IF(Reactive_Only="Yes",SD_Gen_3,SD_MI_2))</f>
        <v>Mechanical Integrity Loss of Containment for Very Small Hole Size</v>
      </c>
      <c r="S114" s="39" t="str">
        <f>IF(Exclude_MI="Yes",SD_Gen_2,IF(Reactive_Only="Yes",SD_Gen_3,SD_FE_8))</f>
        <v>Leak of Fuel Valve with release through Bleed to atmosphere</v>
      </c>
      <c r="T114" s="39" t="str">
        <f>IF(Exclude_MI="Yes",SD_Gen_2,IF(Reactive_Only="Yes",SD_Gen_3,SD_FE_8))</f>
        <v>Leak of Fuel Valve with release through Bleed to atmosphere</v>
      </c>
      <c r="U114" s="39" t="str">
        <f>IF(Exclude_MI="Yes",SD_Gen_2,IF(Reactive_Only="Yes",SD_Gen_3,SD_FE_8))</f>
        <v>Leak of Fuel Valve with release through Bleed to atmosphere</v>
      </c>
      <c r="V114" s="39" t="str">
        <f>IF(Exclude_MI="Yes",SD_Gen_2,IF(Reactive_Only="Yes",SD_Gen_3,SD_FE_8))</f>
        <v>Leak of Fuel Valve with release through Bleed to atmosphere</v>
      </c>
      <c r="W114" s="39" t="str">
        <f>IF(Exclude_MI="Yes",SD_Gen_2,IF(Reactive_Only="Yes",SD_Gen_3,SD_MI_2))</f>
        <v>Mechanical Integrity Loss of Containment for Very Small Hole Size</v>
      </c>
      <c r="X114" s="39"/>
      <c r="Y114" s="39" t="str">
        <f>IF(Exclude_MI="Yes",SD_Gen_2,IF(Reactive_Only="Yes",SD_Gen_3,SD_MI_2))</f>
        <v>Mechanical Integrity Loss of Containment for Very Small Hole Size</v>
      </c>
      <c r="Z114" s="39"/>
      <c r="AA114" s="39"/>
      <c r="AB114" s="39" t="str">
        <f>IF(Exclude_MI="Yes",SD_Gen_2,IF(Reactive_Only="Yes",SD_Gen_3,SD_MI_2))</f>
        <v>Mechanical Integrity Loss of Containment for Very Small Hole Size</v>
      </c>
      <c r="AC114" s="39" t="str">
        <f>IF(Exclude_MI="Yes",SD_Gen_2,IF(Reactive_Only="Yes",SD_Gen_3,SD_MI_2))</f>
        <v>Mechanical Integrity Loss of Containment for Very Small Hole Size</v>
      </c>
      <c r="AD114" s="39"/>
      <c r="AE114" s="39" t="str">
        <f>IF(Exclude_MI="Yes",SD_Gen_2,IF(Reactive_Only="Yes",SD_Gen_3,SD_MI_2))</f>
        <v>Mechanical Integrity Loss of Containment for Very Small Hole Size</v>
      </c>
      <c r="AF114" s="39" t="str">
        <f>IF(Exclude_MI="Yes",SD_Gen_2,IF(Reactive_Only="Yes",SD_Gen_3,SD_MI_2))</f>
        <v>Mechanical Integrity Loss of Containment for Very Small Hole Size</v>
      </c>
      <c r="AG114" s="39" t="str">
        <f>IF(Exclude_MI="Yes",SD_Gen_2,IF(Reactive_Only="Yes",SD_Gen_3,SD_MI_2))</f>
        <v>Mechanical Integrity Loss of Containment for Very Small Hole Size</v>
      </c>
      <c r="AH114" s="39" t="str">
        <f>IF(Exclude_MI="Yes",SD_Gen_2,IF(Reactive_Only="Yes",SD_Gen_3,SD_MI_2))</f>
        <v>Mechanical Integrity Loss of Containment for Very Small Hole Size</v>
      </c>
      <c r="AI114" s="39"/>
      <c r="AK114" s="39"/>
      <c r="AL114" s="39"/>
      <c r="AM114" s="39"/>
      <c r="AN114" s="39"/>
      <c r="AO114" s="39"/>
      <c r="AP114" s="39"/>
      <c r="AQ114" s="738"/>
      <c r="AR114" s="39"/>
      <c r="AS114" s="1001"/>
      <c r="AT114" s="39"/>
      <c r="AU114" s="39"/>
      <c r="AV114" s="39"/>
      <c r="AW114" s="39"/>
      <c r="AX114" s="39"/>
      <c r="AY114" s="39"/>
      <c r="AZ114" s="39"/>
      <c r="BA114" s="39"/>
      <c r="BB114" s="39"/>
      <c r="BC114" s="39" t="str">
        <f t="shared" si="27"/>
        <v>Failure from corrosion, fatigue, etc.</v>
      </c>
      <c r="BD114" s="39" t="str">
        <f t="shared" si="27"/>
        <v>Failure from corrosion, fatigue, etc.</v>
      </c>
      <c r="BE114" s="39" t="str">
        <f>IF(AND(Penalty_Corrosive=1,Penalty_Insulation=1),IED_MI_4,IF(Penalty_Insulation=1,IED_MI_2,IF(Penalty_Corrosive=1,IED_MI_3,IED_MI_1)))</f>
        <v>Failure from corrosion, fatigue, etc.</v>
      </c>
      <c r="BF114" s="39" t="str">
        <f t="shared" si="27"/>
        <v>Failure from corrosion, fatigue, etc.</v>
      </c>
      <c r="BG114" s="39" t="str">
        <f t="shared" si="27"/>
        <v>Failure from corrosion, fatigue, etc.</v>
      </c>
      <c r="BH114" s="39" t="str">
        <f t="shared" si="27"/>
        <v>Failure from corrosion, fatigue, etc.</v>
      </c>
      <c r="BJ114" s="39"/>
      <c r="BK114" s="39"/>
      <c r="BL114" s="1852"/>
      <c r="BM114" s="39"/>
      <c r="BN114" s="39"/>
      <c r="BO114" s="3180"/>
      <c r="BP114" s="3180"/>
      <c r="BQ114" s="39"/>
      <c r="BR114" s="39"/>
      <c r="BS114" s="39"/>
      <c r="BT114" s="39"/>
      <c r="BU114" s="1852"/>
      <c r="BV114" s="1852"/>
      <c r="BW114" s="39"/>
      <c r="BX114" s="39"/>
      <c r="BY114" s="39"/>
      <c r="BZ114" s="39"/>
      <c r="CA114" s="39"/>
      <c r="CB114" s="39"/>
      <c r="CC114" s="39"/>
      <c r="CD114" s="39"/>
      <c r="CE114" s="39"/>
      <c r="CF114" s="1475"/>
      <c r="CG114" s="39"/>
      <c r="CH114" s="39"/>
      <c r="CI114" s="39"/>
      <c r="CJ114" s="39"/>
      <c r="CK114" s="39"/>
      <c r="CL114" s="1036"/>
      <c r="CM114" s="738"/>
      <c r="CN114" s="738"/>
      <c r="CO114" s="39"/>
      <c r="CP114" s="39"/>
      <c r="CQ114" s="39"/>
      <c r="CR114" s="39"/>
      <c r="CS114" s="39"/>
      <c r="CT114" s="39"/>
      <c r="CU114" s="39"/>
      <c r="CV114" s="782"/>
      <c r="CW114" s="39"/>
      <c r="CX114" s="39"/>
      <c r="CY114" s="39"/>
      <c r="CZ114" s="39"/>
      <c r="DA114" s="39"/>
      <c r="DB114" s="39"/>
      <c r="DC114" s="2039"/>
      <c r="DD114" s="39"/>
      <c r="DE114" s="39"/>
      <c r="DF114" s="500"/>
      <c r="DG114" s="39"/>
      <c r="DH114" s="39"/>
      <c r="DI114" s="39"/>
      <c r="DJ114" s="39"/>
    </row>
    <row r="115" spans="3:114" x14ac:dyDescent="0.25">
      <c r="C115" s="39" t="str">
        <f t="shared" si="25"/>
        <v>Plugged or Frozen Vent Line</v>
      </c>
      <c r="D115" s="19"/>
      <c r="E115" s="39"/>
      <c r="F115" s="39"/>
      <c r="G115" s="39"/>
      <c r="H115" s="39"/>
      <c r="I115" s="39"/>
      <c r="J115" s="39"/>
      <c r="K115" s="39"/>
      <c r="L115" s="39"/>
      <c r="M115" s="39"/>
      <c r="N115" s="39"/>
      <c r="O115" s="39"/>
      <c r="P115" s="39"/>
      <c r="Q115" s="39"/>
      <c r="R115" s="39"/>
      <c r="S115" s="39"/>
      <c r="T115" s="39"/>
      <c r="U115" s="39"/>
      <c r="V115" s="39" t="str">
        <f>IF(Exclude_MI="Yes",SD_Gen_1,IF(Reactive_Only="Yes",SD_Gen_3,SD_FE_23))</f>
        <v>Vent to Flare is blocked due to plugged or frozen lines</v>
      </c>
      <c r="W115" s="39"/>
      <c r="X115" s="39"/>
      <c r="Y115" s="39"/>
      <c r="Z115" s="39"/>
      <c r="AA115" s="39"/>
      <c r="AB115" s="39"/>
      <c r="AC115" s="39"/>
      <c r="AD115" s="39"/>
      <c r="AE115" s="39"/>
      <c r="AF115" s="39"/>
      <c r="AG115" s="2049"/>
      <c r="AH115" s="39"/>
      <c r="AI115" s="39"/>
      <c r="AK115" s="39"/>
      <c r="AL115" s="39"/>
      <c r="AM115" s="39"/>
      <c r="AN115" s="39"/>
      <c r="AO115" s="39"/>
      <c r="AP115" s="39"/>
      <c r="AQ115" s="738"/>
      <c r="AR115" s="39"/>
      <c r="AS115" s="1001"/>
      <c r="AT115" s="39"/>
      <c r="AU115" s="39"/>
      <c r="AV115" s="39"/>
      <c r="AW115" s="39"/>
      <c r="AX115" s="39"/>
      <c r="AY115" s="39"/>
      <c r="AZ115" s="39"/>
      <c r="BA115" s="39" t="str">
        <f>IED_FE_31</f>
        <v>Failure of tracing causes water in seal pot to freeze</v>
      </c>
      <c r="BB115" s="39"/>
      <c r="BC115" s="39"/>
      <c r="BD115" s="39"/>
      <c r="BE115" s="39"/>
      <c r="BF115" s="39"/>
      <c r="BG115" s="39"/>
      <c r="BH115" s="39"/>
      <c r="BJ115" s="39"/>
      <c r="BK115" s="39"/>
      <c r="BL115" s="1852"/>
      <c r="BM115" s="39"/>
      <c r="BN115" s="39"/>
      <c r="BO115" s="3180"/>
      <c r="BP115" s="3180"/>
      <c r="BQ115" s="39"/>
      <c r="BR115" s="39"/>
      <c r="BS115" s="39"/>
      <c r="BT115" s="39"/>
      <c r="BU115" s="1852"/>
      <c r="BV115" s="1852"/>
      <c r="BW115" s="39"/>
      <c r="BX115" s="39"/>
      <c r="BY115" s="39"/>
      <c r="BZ115" s="39"/>
      <c r="CA115" s="39"/>
      <c r="CB115" s="39"/>
      <c r="CC115" s="39"/>
      <c r="CD115" s="39"/>
      <c r="CE115" s="39"/>
      <c r="CF115" s="1475"/>
      <c r="CG115" s="39"/>
      <c r="CH115" s="39"/>
      <c r="CI115" s="39"/>
      <c r="CJ115" s="39"/>
      <c r="CK115" s="39"/>
      <c r="CL115" s="1036"/>
      <c r="CM115" s="738"/>
      <c r="CN115" s="738"/>
      <c r="CO115" s="39"/>
      <c r="CP115" s="39"/>
      <c r="CQ115" s="39"/>
      <c r="CR115" s="39"/>
      <c r="CS115" s="39"/>
      <c r="CT115" s="39"/>
      <c r="CU115" s="39"/>
      <c r="CV115" s="782"/>
      <c r="CW115" s="39"/>
      <c r="CX115" s="39"/>
      <c r="CY115" s="39"/>
      <c r="CZ115" s="39"/>
      <c r="DA115" s="39"/>
      <c r="DB115" s="39"/>
      <c r="DC115" s="2039"/>
      <c r="DD115" s="39"/>
      <c r="DE115" s="39"/>
      <c r="DF115" s="500"/>
      <c r="DG115" s="39"/>
      <c r="DH115" s="39"/>
      <c r="DI115" s="39"/>
      <c r="DJ115" s="39"/>
    </row>
    <row r="116" spans="3:114" x14ac:dyDescent="0.25">
      <c r="C116" s="39" t="str">
        <f t="shared" si="25"/>
        <v>Pressure Damage</v>
      </c>
      <c r="D116" s="19"/>
      <c r="E116" s="39"/>
      <c r="F116" s="39"/>
      <c r="G116" s="39" t="str">
        <f>IF(Exclude_MI="Only MI",SD_Gen_1,IF(Reactive_Only="Yes",SD_Gen_1,IF(OR(Max_Feed_P&gt;MAWP,Max_Inert_P&gt;MAWP),SD_Gen_33,SD_Gen_49)))</f>
        <v>Maximum Source Pressure exceeds the Maximum Allowable Working Pressure or Relief Set Pressure</v>
      </c>
      <c r="H116" s="39"/>
      <c r="I116" s="39" t="str">
        <f>IF(Exclude_MI="Only MI",SD_Gen_1,IF(Reactive_Only="Yes",SD_Gen_1,IF(OR(Max_Feed_P&gt;MAWP,Max_Inert_P&gt;MAWP),SD_Gen_33,SD_Gen_49)))</f>
        <v>Maximum Source Pressure exceeds the Maximum Allowable Working Pressure or Relief Set Pressure</v>
      </c>
      <c r="J116" s="39" t="str">
        <f>IF(Exclude_MI="Only MI",SD_Gen_1,IF(Reactive_Only="Yes",SD_Gen_1,IF(OR(Max_Feed_P&gt;MAWP,Max_Inert_P&gt;MAWP),SD_Gen_33,SD_Gen_49)))</f>
        <v>Maximum Source Pressure exceeds the Maximum Allowable Working Pressure or Relief Set Pressure</v>
      </c>
      <c r="K116" s="39"/>
      <c r="L116" s="39"/>
      <c r="M116" s="39"/>
      <c r="N116" s="39" t="str">
        <f>IF(Exclude_MI="Only MI",SD_Gen_1,IF(Reactive_Only="Yes",SD_Gen_1,IF(OR(Max_Feed_P&gt;MAWP,Max_Inert_P&gt;MAWP),SD_Gen_33,SD_Gen_49)))</f>
        <v>Maximum Source Pressure exceeds the Maximum Allowable Working Pressure or Relief Set Pressure</v>
      </c>
      <c r="O116" s="39" t="str">
        <f>IF(Exclude_MI="Only MI",SD_Gen_1,IF(Reactive_Only="Yes",SD_Gen_1,IF(OR(Max_Feed_P&gt;MAWP,Max_Inert_P&gt;MAWP),SD_Gen_33,SD_Gen_49)))</f>
        <v>Maximum Source Pressure exceeds the Maximum Allowable Working Pressure or Relief Set Pressure</v>
      </c>
      <c r="P116" s="39" t="str">
        <f>IF(Exclude_MI="Only MI",SD_Gen_1,IF(Reactive_Only="Yes",SD_Gen_1,IF(OR(Max_Feed_P&gt;MAWP,Max_Inert_P&gt;MAWP),SD_Gen_33,SD_Gen_49)))</f>
        <v>Maximum Source Pressure exceeds the Maximum Allowable Working Pressure or Relief Set Pressure</v>
      </c>
      <c r="Q116" s="39"/>
      <c r="R116" s="39"/>
      <c r="S116" s="39"/>
      <c r="T116" s="39"/>
      <c r="U116" s="39"/>
      <c r="V116" s="39"/>
      <c r="W116" s="39"/>
      <c r="X116" s="39"/>
      <c r="Y116" s="39"/>
      <c r="Z116" s="39" t="str">
        <f>IF(Exclude_MI="Only MI",SD_Gen_1,IF(Reactive_Only="Yes",SD_Gen_1,IF(OR(Max_Feed_P&gt;MAWP,Max_Inert_P&gt;MAWP),SD_Gen_33,SD_Gen_49)))</f>
        <v>Maximum Source Pressure exceeds the Maximum Allowable Working Pressure or Relief Set Pressure</v>
      </c>
      <c r="AA116" s="39" t="str">
        <f>IF(Exclude_MI="Only MI",SD_Gen_1,IF(Reactive_Only="Yes",SD_Gen_1,IF(OR(Max_Feed_P&gt;MAWP,Max_Inert_P&gt;MAWP),SD_Gen_33,SD_Gen_49)))</f>
        <v>Maximum Source Pressure exceeds the Maximum Allowable Working Pressure or Relief Set Pressure</v>
      </c>
      <c r="AB116" s="39"/>
      <c r="AC116" s="39"/>
      <c r="AD116" s="39" t="str">
        <f>IF(Exclude_MI="Only MI",SD_Gen_1,IF(Reactive_Only="Yes",SD_Gen_1,IF(OR(Max_Feed_P&gt;MAWP,Max_Inert_P&gt;MAWP),SD_Gen_33,SD_Gen_49)))</f>
        <v>Maximum Source Pressure exceeds the Maximum Allowable Working Pressure or Relief Set Pressure</v>
      </c>
      <c r="AE116" s="39"/>
      <c r="AF116" s="39"/>
      <c r="AG116" s="2049"/>
      <c r="AH116" s="39"/>
      <c r="AI116" s="39"/>
      <c r="AK116" s="39" t="str">
        <f>IED_Gen_2</f>
        <v>Failure of Pressure Control</v>
      </c>
      <c r="AL116" s="39"/>
      <c r="AM116" s="39"/>
      <c r="AN116" s="39"/>
      <c r="AO116" s="39"/>
      <c r="AP116" s="39"/>
      <c r="AQ116" s="738"/>
      <c r="AR116" s="39"/>
      <c r="AS116" s="1001"/>
      <c r="AT116" s="39"/>
      <c r="AU116" s="39"/>
      <c r="AV116" s="39" t="str">
        <f>IF(Downstr_P&gt;P+0.01,"Pump Failure causing backflow","")</f>
        <v/>
      </c>
      <c r="AW116" s="39" t="str">
        <f>IED_Gen_51</f>
        <v>Regulator Fails causing high flow or pressure</v>
      </c>
      <c r="AX116" s="39"/>
      <c r="AY116" s="39"/>
      <c r="AZ116" s="39"/>
      <c r="BA116" s="39"/>
      <c r="BB116" s="39"/>
      <c r="BC116" s="39"/>
      <c r="BD116" s="39"/>
      <c r="BE116" s="39"/>
      <c r="BF116" s="39"/>
      <c r="BG116" s="39"/>
      <c r="BH116" s="39"/>
      <c r="BJ116" s="39"/>
      <c r="BK116" s="39"/>
      <c r="BL116" s="1852"/>
      <c r="BM116" s="39"/>
      <c r="BN116" s="39"/>
      <c r="BO116" s="3180"/>
      <c r="BP116" s="3180"/>
      <c r="BQ116" s="39"/>
      <c r="BR116" s="39"/>
      <c r="BS116" s="39"/>
      <c r="BT116" s="39"/>
      <c r="BU116" s="1852"/>
      <c r="BV116" s="1852"/>
      <c r="BW116" s="39"/>
      <c r="BX116" s="39"/>
      <c r="BY116" s="39"/>
      <c r="BZ116" s="39"/>
      <c r="CA116" s="39"/>
      <c r="CB116" s="39"/>
      <c r="CC116" s="39"/>
      <c r="CD116" s="39"/>
      <c r="CE116" s="39"/>
      <c r="CF116" s="1475"/>
      <c r="CG116" s="39"/>
      <c r="CH116" s="39"/>
      <c r="CI116" s="39"/>
      <c r="CJ116" s="39"/>
      <c r="CK116" s="39"/>
      <c r="CL116" s="1036"/>
      <c r="CM116" s="738"/>
      <c r="CN116" s="738"/>
      <c r="CO116" s="39"/>
      <c r="CP116" s="39"/>
      <c r="CQ116" s="39"/>
      <c r="CR116" s="39"/>
      <c r="CS116" s="39"/>
      <c r="CT116" s="39"/>
      <c r="CU116" s="39"/>
      <c r="CV116" s="782"/>
      <c r="CW116" s="39"/>
      <c r="CX116" s="39"/>
      <c r="CY116" s="39"/>
      <c r="CZ116" s="39"/>
      <c r="DA116" s="39"/>
      <c r="DB116" s="39"/>
      <c r="DC116" s="2039"/>
      <c r="DD116" s="39" t="str">
        <f>IF(AND(Equipment&lt;&gt;"Compressor or Blower",Equipment&lt;&gt;"Piping",Equipment&lt;&gt;"Pump"),IPLD_Gen_1,"")</f>
        <v>Pressure Relief Device Sized for Scenario and verified by qualified Relief Designer</v>
      </c>
      <c r="DE116" s="39"/>
      <c r="DF116" s="500"/>
      <c r="DG116" s="39" t="str">
        <f>IPLD_Gen_1</f>
        <v>Pressure Relief Device Sized for Scenario and verified by qualified Relief Designer</v>
      </c>
      <c r="DH116" s="39"/>
      <c r="DI116" s="39"/>
      <c r="DJ116" s="39"/>
    </row>
    <row r="117" spans="3:114" x14ac:dyDescent="0.25">
      <c r="C117" s="39" t="str">
        <f t="shared" si="25"/>
        <v>Propagation of Flame or Burning Ember</v>
      </c>
      <c r="D117" s="19"/>
      <c r="E117" s="1475"/>
      <c r="F117" s="1475" t="str">
        <f>SD_D_9</f>
        <v>Propagation of Flame Front or Burning Ember providing an Ignition Source for Dust</v>
      </c>
      <c r="G117" s="1475" t="str">
        <f>SD_D_9</f>
        <v>Propagation of Flame Front or Burning Ember providing an Ignition Source for Dust</v>
      </c>
      <c r="H117" s="1475"/>
      <c r="I117" s="1475" t="str">
        <f>SD_D_9</f>
        <v>Propagation of Flame Front or Burning Ember providing an Ignition Source for Dust</v>
      </c>
      <c r="J117" s="1475" t="str">
        <f>SD_D_9</f>
        <v>Propagation of Flame Front or Burning Ember providing an Ignition Source for Dust</v>
      </c>
      <c r="K117" s="1475"/>
      <c r="L117" s="1475"/>
      <c r="M117" s="1475"/>
      <c r="N117" s="1475" t="str">
        <f>SD_D_9</f>
        <v>Propagation of Flame Front or Burning Ember providing an Ignition Source for Dust</v>
      </c>
      <c r="O117" s="1475" t="str">
        <f>SD_D_9</f>
        <v>Propagation of Flame Front or Burning Ember providing an Ignition Source for Dust</v>
      </c>
      <c r="P117" s="1475" t="str">
        <f>SD_D_9</f>
        <v>Propagation of Flame Front or Burning Ember providing an Ignition Source for Dust</v>
      </c>
      <c r="Q117" s="1475"/>
      <c r="R117" s="1475"/>
      <c r="S117" s="1475"/>
      <c r="T117" s="1475"/>
      <c r="U117" s="1475"/>
      <c r="V117" s="1475"/>
      <c r="W117" s="1475"/>
      <c r="X117" s="1475"/>
      <c r="Y117" s="1475"/>
      <c r="Z117" s="1475" t="str">
        <f>SD_D_9</f>
        <v>Propagation of Flame Front or Burning Ember providing an Ignition Source for Dust</v>
      </c>
      <c r="AA117" s="1475" t="str">
        <f>SD_D_9</f>
        <v>Propagation of Flame Front or Burning Ember providing an Ignition Source for Dust</v>
      </c>
      <c r="AB117" s="1475"/>
      <c r="AC117" s="1475"/>
      <c r="AD117" s="1475" t="str">
        <f>SD_D_9</f>
        <v>Propagation of Flame Front or Burning Ember providing an Ignition Source for Dust</v>
      </c>
      <c r="AE117" s="1475"/>
      <c r="AF117" s="1475"/>
      <c r="AG117" s="2049"/>
      <c r="AH117" s="1475"/>
      <c r="AI117" s="1475"/>
      <c r="AK117" s="1475"/>
      <c r="AL117" s="1475"/>
      <c r="AM117" s="1475"/>
      <c r="AN117" s="1475"/>
      <c r="AO117" s="1475"/>
      <c r="AP117" s="1475"/>
      <c r="AQ117" s="1475"/>
      <c r="AR117" s="1475"/>
      <c r="AS117" s="1475"/>
      <c r="AT117" s="1475"/>
      <c r="AU117" s="1475"/>
      <c r="AV117" s="1475"/>
      <c r="AW117" s="1475"/>
      <c r="AX117" s="1475"/>
      <c r="AY117" s="1475"/>
      <c r="AZ117" s="1475"/>
      <c r="BA117" s="1475"/>
      <c r="BB117" s="1475"/>
      <c r="BC117" s="1475"/>
      <c r="BD117" s="1475"/>
      <c r="BE117" s="1475" t="str">
        <f>IED_D_6</f>
        <v>A Loss Event within Upstream Equipment that could Result in Propagation of Flame Front or Burning Ember</v>
      </c>
      <c r="BF117" s="1475"/>
      <c r="BG117" s="1475"/>
      <c r="BH117" s="1475"/>
      <c r="BJ117" s="1475"/>
      <c r="BK117" s="1475"/>
      <c r="BL117" s="1852"/>
      <c r="BM117" s="1475"/>
      <c r="BN117" s="1475"/>
      <c r="BO117" s="3180"/>
      <c r="BP117" s="3180"/>
      <c r="BQ117" s="1475"/>
      <c r="BR117" s="1475"/>
      <c r="BS117" s="1475"/>
      <c r="BT117" s="1475"/>
      <c r="BU117" s="1852"/>
      <c r="BV117" s="1852"/>
      <c r="BW117" s="1475"/>
      <c r="BX117" s="1475"/>
      <c r="BY117" s="1475"/>
      <c r="BZ117" s="1475"/>
      <c r="CA117" s="1475"/>
      <c r="CB117" s="1475"/>
      <c r="CC117" s="1475"/>
      <c r="CD117" s="1475"/>
      <c r="CE117" s="1475"/>
      <c r="CF117" s="1475"/>
      <c r="CG117" s="1475"/>
      <c r="CH117" s="1475"/>
      <c r="CI117" s="1475"/>
      <c r="CJ117" s="1475"/>
      <c r="CK117" s="1475"/>
      <c r="CL117" s="1475"/>
      <c r="CM117" s="1475"/>
      <c r="CN117" s="1475"/>
      <c r="CO117" s="1475"/>
      <c r="CP117" s="1475"/>
      <c r="CQ117" s="1475"/>
      <c r="CR117" s="1475"/>
      <c r="CS117" s="1475"/>
      <c r="CT117" s="1475"/>
      <c r="CU117" s="1475"/>
      <c r="CV117" s="1475"/>
      <c r="CW117" s="1475"/>
      <c r="CX117" s="1475"/>
      <c r="CY117" s="1475"/>
      <c r="CZ117" s="1475"/>
      <c r="DA117" s="1475"/>
      <c r="DB117" s="1475"/>
      <c r="DC117" s="2039"/>
      <c r="DD117" s="1475"/>
      <c r="DE117" s="1475"/>
      <c r="DF117" s="1475"/>
      <c r="DG117" s="1475"/>
      <c r="DH117" s="1475"/>
      <c r="DI117" s="1475"/>
      <c r="DJ117" s="1475"/>
    </row>
    <row r="118" spans="3:114" x14ac:dyDescent="0.25">
      <c r="C118" s="39" t="str">
        <f t="shared" si="25"/>
        <v>Pump Deadhead</v>
      </c>
      <c r="D118" s="19"/>
      <c r="E118" s="39"/>
      <c r="F118" s="39"/>
      <c r="G118" s="39"/>
      <c r="H118" s="39"/>
      <c r="I118" s="39"/>
      <c r="J118" s="39"/>
      <c r="K118" s="39"/>
      <c r="L118" s="39"/>
      <c r="M118" s="39"/>
      <c r="N118" s="39"/>
      <c r="O118" s="39"/>
      <c r="P118" s="39"/>
      <c r="Q118" s="39"/>
      <c r="R118" s="39"/>
      <c r="S118" s="39"/>
      <c r="T118" s="39"/>
      <c r="U118" s="39"/>
      <c r="V118" s="39"/>
      <c r="W118" s="39"/>
      <c r="X118" s="39"/>
      <c r="Y118" s="39"/>
      <c r="Z118" s="39"/>
      <c r="AA118" s="39"/>
      <c r="AB118" s="39"/>
      <c r="AC118" s="39" t="str">
        <f>IF(Exclude_MI="Only MI",SD_Gen_1,IF(Reactive_Only="Yes",SD_Gen_3,IF(Pump_Type="Diaphragm-Limited Source Pressure",SD_Gen_58,IF(AND(Motor&lt;Motor_Screen,Pump_Type&lt;&gt;"Positive Displacement"),SD_Gen_41,SD_Gen_57))))</f>
        <v>Pump Deadhead Analysis not required for Pumps of 3 HP or less</v>
      </c>
      <c r="AD118" s="39"/>
      <c r="AE118" s="39"/>
      <c r="AF118" s="39"/>
      <c r="AG118" s="2049"/>
      <c r="AH118" s="39"/>
      <c r="AI118" s="39"/>
      <c r="AK118" s="39" t="str">
        <f>IED_Gen_14</f>
        <v>Failure of Automated Block Valve in Batch Operation</v>
      </c>
      <c r="AL118" s="39" t="str">
        <f>IED_Gen_21</f>
        <v>Operator leaves Suction or Discharge Valves closed following batch transfer resulting in Seal Failure (both Suction and Discharge closed for Rupture)</v>
      </c>
      <c r="AM118" s="39"/>
      <c r="AN118" s="39" t="str">
        <f>IF(Pump_Type="Positive Displacement",IED_Gen_37,IED_Gen_28)</f>
        <v>Operator leaves Suction and Discharge Valves closed following infrequent maintenance resulting in pump running while blocked in</v>
      </c>
      <c r="AO118" s="39"/>
      <c r="AP118" s="39"/>
      <c r="AQ118" s="738"/>
      <c r="AR118" s="39"/>
      <c r="AS118" s="1001"/>
      <c r="AT118" s="39"/>
      <c r="AU118" s="39"/>
      <c r="AV118" s="39"/>
      <c r="AW118" s="39"/>
      <c r="AX118" s="39"/>
      <c r="AY118" s="39"/>
      <c r="AZ118" s="39"/>
      <c r="BA118" s="39" t="str">
        <f>IED_Gen_55</f>
        <v>Loss of Instrument Air to Fail Closed Automated Valves resulting in pump running while blocked in.  Time at Risk may apply.</v>
      </c>
      <c r="BB118" s="39"/>
      <c r="BC118" s="39"/>
      <c r="BD118" s="39"/>
      <c r="BE118" s="39"/>
      <c r="BF118" s="39"/>
      <c r="BG118" s="39"/>
      <c r="BH118" s="39"/>
      <c r="BJ118" s="39"/>
      <c r="BK118" s="39"/>
      <c r="BL118" s="1852"/>
      <c r="BM118" s="39"/>
      <c r="BN118" s="39"/>
      <c r="BO118" s="3180"/>
      <c r="BP118" s="3180"/>
      <c r="BQ118" s="39"/>
      <c r="BR118" s="39"/>
      <c r="BS118" s="39"/>
      <c r="BT118" s="39"/>
      <c r="BU118" s="1852"/>
      <c r="BV118" s="1852"/>
      <c r="BW118" s="39"/>
      <c r="BX118" s="39"/>
      <c r="BY118" s="39"/>
      <c r="BZ118" s="39"/>
      <c r="CA118" s="39"/>
      <c r="CB118" s="39"/>
      <c r="CC118" s="39"/>
      <c r="CD118" s="39"/>
      <c r="CE118" s="39"/>
      <c r="CF118" s="1475"/>
      <c r="CG118" s="39"/>
      <c r="CH118" s="39"/>
      <c r="CI118" s="39"/>
      <c r="CJ118" s="39"/>
      <c r="CK118" s="39"/>
      <c r="CL118" s="1036"/>
      <c r="CM118" s="738"/>
      <c r="CN118" s="738"/>
      <c r="CO118" s="39"/>
      <c r="CP118" s="39"/>
      <c r="CQ118" s="39"/>
      <c r="CR118" s="39"/>
      <c r="CS118" s="39"/>
      <c r="CT118" s="39"/>
      <c r="CU118" s="39"/>
      <c r="CV118" s="782"/>
      <c r="CW118" s="39"/>
      <c r="CX118" s="39"/>
      <c r="CY118" s="39"/>
      <c r="CZ118" s="39"/>
      <c r="DA118" s="39"/>
      <c r="DB118" s="39"/>
      <c r="DC118" s="2039"/>
      <c r="DD118" s="39"/>
      <c r="DE118" s="39"/>
      <c r="DF118" s="500"/>
      <c r="DG118" s="39"/>
      <c r="DH118" s="39"/>
      <c r="DI118" s="39"/>
      <c r="DJ118" s="39"/>
    </row>
    <row r="119" spans="3:114" x14ac:dyDescent="0.25">
      <c r="C119" s="39" t="str">
        <f t="shared" si="25"/>
        <v>Rotating Equipment Damage</v>
      </c>
      <c r="D119" s="19"/>
      <c r="E119" s="39"/>
      <c r="F119" s="39"/>
      <c r="G119" s="39" t="str">
        <f>IF(Exclude_MI="Only MI",SD_Gen_1,IF(Reactive_Only="Yes",SD_Gen_3,IF(State&lt;&gt;"Solid",SD_Gen_9,IF(MAWP&gt;5,SD_Gen_20,IF(OR(Dust_MIE_Feed&lt;300,Dust_Hybrid_Feed="Yes"),SD_D_3,SD_D_4)))))</f>
        <v>Chemical Handled is not a Solid under specificized process conditions</v>
      </c>
      <c r="H119" s="39" t="str">
        <f>IF(Exclude_MI="Only MI",SD_Gen_1,IF(Reactive_Only="Yes",SD_Gen_3,IF(Motor&gt;Motor_Vibration,SD_Gen_40,SD_Gen_44)))</f>
        <v>Motor Power below Rotating Equipment Vibration or Damage Limit</v>
      </c>
      <c r="I119" s="39"/>
      <c r="J119" s="39"/>
      <c r="K119" s="39"/>
      <c r="L119" s="39"/>
      <c r="M119" s="39"/>
      <c r="N119" s="39"/>
      <c r="O119" s="39"/>
      <c r="P119" s="39"/>
      <c r="Q119" s="39"/>
      <c r="R119" s="39" t="str">
        <f>IF(Exclude_MI="Only MI",SD_Gen_1,IF(Reactive_Only="Yes",SD_Gen_3,SD_Gen_40))</f>
        <v>Damage to Expensive Rotating Equipment</v>
      </c>
      <c r="S119" s="39"/>
      <c r="T119" s="39"/>
      <c r="U119" s="39"/>
      <c r="V119" s="39"/>
      <c r="W119" s="39"/>
      <c r="X119" s="39"/>
      <c r="Y119" s="39"/>
      <c r="Z119" s="39"/>
      <c r="AA119" s="39" t="str">
        <f>IF(Exclude_MI="Only MI",SD_Gen_1,IF(Reactive_Only="Yes",SD_Gen_3,IF(State&lt;&gt;"Solid",SD_Gen_9,IF(MAWP&gt;5,SD_Gen_20,IF(OR(Dust_MIE_Feed&lt;300,Dust_Hybrid_Feed="Yes"),SD_D_3,SD_D_4)))))</f>
        <v>Chemical Handled is not a Solid under specificized process conditions</v>
      </c>
      <c r="AB119" s="39"/>
      <c r="AC119" s="39"/>
      <c r="AD119" s="39"/>
      <c r="AE119" s="39" t="str">
        <f>IF(Exclude_MI="Only MI",SD_Gen_1,IF(Reactive_Only="Yes",SD_Gen_3,IF(Motor&gt;Motor_Vibration,SD_Gen_40,SD_Gen_44)))</f>
        <v>Motor Power below Rotating Equipment Vibration or Damage Limit</v>
      </c>
      <c r="AF119" s="39"/>
      <c r="AG119" s="39" t="str">
        <f>IF(Exclude_MI="Only MI",SD_Gen_1,IF(Reactive_Only="Yes",SD_Gen_3,IF(Motor&gt;Motor_Vibration,SD_Gen_40,SD_Gen_44)))</f>
        <v>Motor Power below Rotating Equipment Vibration or Damage Limit</v>
      </c>
      <c r="AH119" s="39"/>
      <c r="AI119" s="39"/>
      <c r="AK119" s="39" t="str">
        <f>IED_Gen_5</f>
        <v>Failure of Speed Control</v>
      </c>
      <c r="AL119" s="39"/>
      <c r="AM119" s="39" t="str">
        <f>IED_D_2</f>
        <v>Breakage of rotating blade or internal parts due to alignment, wear, or fatigue</v>
      </c>
      <c r="AN119" s="39"/>
      <c r="AO119" s="39"/>
      <c r="AP119" s="39"/>
      <c r="AQ119" s="738"/>
      <c r="AR119" s="39"/>
      <c r="AS119" s="1001"/>
      <c r="AT119" s="39"/>
      <c r="AU119" s="39"/>
      <c r="AV119" s="39"/>
      <c r="AW119" s="39"/>
      <c r="AX119" s="39"/>
      <c r="AY119" s="39"/>
      <c r="AZ119" s="39"/>
      <c r="BA119" s="39"/>
      <c r="BB119" s="39"/>
      <c r="BC119" s="39"/>
      <c r="BD119" s="39"/>
      <c r="BE119" s="39"/>
      <c r="BF119" s="39"/>
      <c r="BG119" s="39"/>
      <c r="BH119" s="39"/>
      <c r="BJ119" s="39"/>
      <c r="BK119" s="39"/>
      <c r="BL119" s="1852"/>
      <c r="BM119" s="39"/>
      <c r="BN119" s="39"/>
      <c r="BO119" s="3180"/>
      <c r="BP119" s="3180"/>
      <c r="BQ119" s="39"/>
      <c r="BR119" s="39"/>
      <c r="BS119" s="39"/>
      <c r="BT119" s="39"/>
      <c r="BU119" s="1852"/>
      <c r="BV119" s="1852"/>
      <c r="BW119" s="39"/>
      <c r="BX119" s="39"/>
      <c r="BY119" s="39"/>
      <c r="BZ119" s="39"/>
      <c r="CA119" s="39"/>
      <c r="CB119" s="39"/>
      <c r="CC119" s="39"/>
      <c r="CD119" s="39"/>
      <c r="CE119" s="39"/>
      <c r="CF119" s="1475"/>
      <c r="CG119" s="39"/>
      <c r="CH119" s="39"/>
      <c r="CI119" s="39"/>
      <c r="CJ119" s="39"/>
      <c r="CK119" s="39"/>
      <c r="CL119" s="1036"/>
      <c r="CM119" s="738"/>
      <c r="CN119" s="738"/>
      <c r="CO119" s="39"/>
      <c r="CP119" s="39"/>
      <c r="CQ119" s="39"/>
      <c r="CR119" s="39"/>
      <c r="CS119" s="39"/>
      <c r="CT119" s="39"/>
      <c r="CU119" s="39"/>
      <c r="CV119" s="782"/>
      <c r="CW119" s="39"/>
      <c r="CX119" s="39"/>
      <c r="CY119" s="39"/>
      <c r="CZ119" s="39"/>
      <c r="DA119" s="39"/>
      <c r="DB119" s="39"/>
      <c r="DC119" s="2039"/>
      <c r="DD119" s="39"/>
      <c r="DE119" s="39"/>
      <c r="DF119" s="500"/>
      <c r="DG119" s="39"/>
      <c r="DH119" s="39"/>
      <c r="DI119" s="39"/>
      <c r="DJ119" s="39"/>
    </row>
    <row r="120" spans="3:114" x14ac:dyDescent="0.25">
      <c r="C120" s="39" t="str">
        <f t="shared" si="25"/>
        <v>Seal Leak</v>
      </c>
      <c r="D120" s="19"/>
      <c r="E120" s="39"/>
      <c r="F120" s="39"/>
      <c r="G120" s="39"/>
      <c r="H120" s="39" t="str">
        <f>IF(Exclude_MI="Only MI",SD_Gen_1,IF(Reactive_Only="Yes",SD_Gen_3,SD_Gen_56))</f>
        <v>Mechanical Seal Leak</v>
      </c>
      <c r="I120" s="39"/>
      <c r="J120" s="39"/>
      <c r="K120" s="39"/>
      <c r="L120" s="39"/>
      <c r="M120" s="39"/>
      <c r="N120" s="39"/>
      <c r="O120" s="39"/>
      <c r="P120" s="39"/>
      <c r="Q120" s="39"/>
      <c r="R120" s="39" t="str">
        <f>IF(Exclude_MI="Only MI",SD_Gen_1,IF(Reactive_Only="Yes",SD_Gen_3,SD_Gen_40))</f>
        <v>Damage to Expensive Rotating Equipment</v>
      </c>
      <c r="S120" s="39"/>
      <c r="T120" s="39"/>
      <c r="U120" s="39"/>
      <c r="V120" s="39"/>
      <c r="W120" s="39"/>
      <c r="X120" s="39"/>
      <c r="Y120" s="39"/>
      <c r="Z120" s="39"/>
      <c r="AA120" s="39"/>
      <c r="AB120" s="39"/>
      <c r="AC120" s="39" t="str">
        <f>IF(Exclude_MI="Only MI",SD_Gen_1,IF(Reactive_Only="Yes",SD_Gen_3,SD_Gen_56))</f>
        <v>Mechanical Seal Leak</v>
      </c>
      <c r="AD120" s="39"/>
      <c r="AE120" s="39" t="str">
        <f>IF(Exclude_MI="Only MI",SD_Gen_1,IF(Reactive_Only="Yes",SD_Gen_3,IF(Seal_Type="",SD_Gen_71,SD_Gen_56)))</f>
        <v>No Agitator Seal indicated</v>
      </c>
      <c r="AF120" s="39"/>
      <c r="AG120" s="39" t="str">
        <f>IF(Exclude_MI="Only MI",SD_Gen_1,IF(Reactive_Only="Yes",SD_Gen_3,SD_Gen_56))</f>
        <v>Mechanical Seal Leak</v>
      </c>
      <c r="AH120" s="39"/>
      <c r="AI120" s="39"/>
      <c r="AK120" s="39" t="str">
        <f>IED_Gen_14</f>
        <v>Failure of Automated Block Valve in Batch Operation</v>
      </c>
      <c r="AL120" s="39"/>
      <c r="AM120" s="39"/>
      <c r="AN120" s="39" t="str">
        <f>IED_Gen_70</f>
        <v>Operator leaves Discharge Valve closed following infrequent maintenance resulting Seal Failure from no flow.</v>
      </c>
      <c r="AO120" s="39"/>
      <c r="AP120" s="39"/>
      <c r="AQ120" s="738"/>
      <c r="AR120" s="39"/>
      <c r="AS120" s="1001"/>
      <c r="AT120" s="39"/>
      <c r="AU120" s="39"/>
      <c r="AV120" s="39"/>
      <c r="AW120" s="39"/>
      <c r="AX120" s="39" t="str">
        <f>IF(State="Vapor",IED_Gen_36,IED_Gen_33)</f>
        <v>Failure from corrosion, alignment, low flow, etc.</v>
      </c>
      <c r="AY120" s="39" t="str">
        <f>IF(State="Vapor",IED_Gen_36,IED_Gen_35)</f>
        <v>Failure from corrosion, alignment, low flow, etc.  Consider Operator response to mechanical seal or containment failure alarm for additional credit</v>
      </c>
      <c r="AZ120" s="39" t="str">
        <f>IF(State="Vapor",IED_Gen_36,IED_Gen_33)</f>
        <v>Failure from corrosion, alignment, low flow, etc.</v>
      </c>
      <c r="BA120" s="39" t="str">
        <f>IED_Gen_71</f>
        <v>Loss of Instrument Air to Fail Closed Automated Valves resulting in seal failure from no flow.  Time at Risk may apply.</v>
      </c>
      <c r="BB120" s="39"/>
      <c r="BC120" s="39"/>
      <c r="BD120" s="39"/>
      <c r="BE120" s="39"/>
      <c r="BF120" s="39"/>
      <c r="BG120" s="39"/>
      <c r="BH120" s="39"/>
      <c r="BJ120" s="39"/>
      <c r="BK120" s="39"/>
      <c r="BL120" s="1852"/>
      <c r="BM120" s="39"/>
      <c r="BN120" s="39"/>
      <c r="BO120" s="3180"/>
      <c r="BP120" s="3180"/>
      <c r="BQ120" s="39"/>
      <c r="BR120" s="39"/>
      <c r="BS120" s="39"/>
      <c r="BT120" s="39"/>
      <c r="BU120" s="1852"/>
      <c r="BV120" s="1852"/>
      <c r="BW120" s="39"/>
      <c r="BX120" s="39"/>
      <c r="BY120" s="39"/>
      <c r="BZ120" s="39"/>
      <c r="CA120" s="39"/>
      <c r="CB120" s="39"/>
      <c r="CC120" s="39"/>
      <c r="CD120" s="39"/>
      <c r="CE120" s="39"/>
      <c r="CF120" s="1475"/>
      <c r="CG120" s="39"/>
      <c r="CH120" s="39"/>
      <c r="CI120" s="39"/>
      <c r="CJ120" s="39"/>
      <c r="CK120" s="39"/>
      <c r="CL120" s="1036"/>
      <c r="CM120" s="738"/>
      <c r="CN120" s="738"/>
      <c r="CO120" s="39"/>
      <c r="CP120" s="39"/>
      <c r="CQ120" s="39"/>
      <c r="CR120" s="39"/>
      <c r="CS120" s="39"/>
      <c r="CT120" s="39"/>
      <c r="CU120" s="39"/>
      <c r="CV120" s="782"/>
      <c r="CW120" s="39"/>
      <c r="CX120" s="39"/>
      <c r="CY120" s="39"/>
      <c r="CZ120" s="39"/>
      <c r="DA120" s="39"/>
      <c r="DB120" s="39"/>
      <c r="DC120" s="2039"/>
      <c r="DD120" s="39"/>
      <c r="DE120" s="39"/>
      <c r="DF120" s="500"/>
      <c r="DG120" s="39"/>
      <c r="DH120" s="39"/>
      <c r="DI120" s="39"/>
      <c r="DJ120" s="39"/>
    </row>
    <row r="121" spans="3:114" x14ac:dyDescent="0.25">
      <c r="C121" s="39" t="str">
        <f t="shared" si="25"/>
        <v>Tube Failure</v>
      </c>
      <c r="D121" s="19"/>
      <c r="E121" s="738"/>
      <c r="F121" s="738"/>
      <c r="G121" s="738"/>
      <c r="H121" s="738"/>
      <c r="I121" s="738"/>
      <c r="J121" s="738"/>
      <c r="K121" s="738"/>
      <c r="L121" s="738"/>
      <c r="M121" s="738"/>
      <c r="N121" s="738"/>
      <c r="O121" s="738"/>
      <c r="P121" s="738"/>
      <c r="Q121" s="738"/>
      <c r="R121" s="738"/>
      <c r="S121" s="738"/>
      <c r="T121" s="738"/>
      <c r="U121" s="738"/>
      <c r="V121" s="738"/>
      <c r="W121" s="738"/>
      <c r="X121" s="738"/>
      <c r="Y121" s="39" t="str">
        <f>IF(Heating_Relief_Input="No",SD_Gen_76,IF(OR(Heating_P&gt;Relief_Set,Max_Feed_P&gt;Relief_Set),SD_Gen_62,IF(Heating_P&gt;=Max_Feed_P,SD_Gen_72,SD_Gen_73)))</f>
        <v>Loss of Containment - Heat Exchanger Tube Failure</v>
      </c>
      <c r="Z121" s="738"/>
      <c r="AA121" s="738"/>
      <c r="AB121" s="738"/>
      <c r="AC121" s="738"/>
      <c r="AD121" s="738"/>
      <c r="AE121" s="738"/>
      <c r="AF121" s="738"/>
      <c r="AG121" s="2049"/>
      <c r="AH121" s="738"/>
      <c r="AI121" s="738"/>
      <c r="AK121" s="738"/>
      <c r="AL121" s="738"/>
      <c r="AM121" s="738"/>
      <c r="AN121" s="738"/>
      <c r="AO121" s="738"/>
      <c r="AP121" s="738" t="str">
        <f>IED_Gen_63</f>
        <v>Failure of Heat Exchanger Tube from thermal stress, fatigue, etc.</v>
      </c>
      <c r="AQ121" s="738" t="str">
        <f>IED_Gen_63</f>
        <v>Failure of Heat Exchanger Tube from thermal stress, fatigue, etc.</v>
      </c>
      <c r="AR121" s="738"/>
      <c r="AS121" s="1001"/>
      <c r="AT121" s="738"/>
      <c r="AU121" s="738"/>
      <c r="AV121" s="738"/>
      <c r="AW121" s="738"/>
      <c r="AX121" s="738"/>
      <c r="AY121" s="738"/>
      <c r="AZ121" s="738"/>
      <c r="BA121" s="738"/>
      <c r="BB121" s="738"/>
      <c r="BC121" s="738"/>
      <c r="BD121" s="738"/>
      <c r="BE121" s="738"/>
      <c r="BF121" s="738"/>
      <c r="BG121" s="738"/>
      <c r="BH121" s="738"/>
      <c r="BJ121" s="738"/>
      <c r="BK121" s="738"/>
      <c r="BL121" s="1852"/>
      <c r="BM121" s="738"/>
      <c r="BN121" s="738"/>
      <c r="BO121" s="3180"/>
      <c r="BP121" s="3180"/>
      <c r="BQ121" s="738"/>
      <c r="BR121" s="738"/>
      <c r="BS121" s="738"/>
      <c r="BT121" s="738"/>
      <c r="BU121" s="1852"/>
      <c r="BV121" s="1852"/>
      <c r="BW121" s="738"/>
      <c r="BX121" s="738"/>
      <c r="BY121" s="738"/>
      <c r="BZ121" s="738"/>
      <c r="CA121" s="738"/>
      <c r="CB121" s="738"/>
      <c r="CC121" s="738"/>
      <c r="CD121" s="738"/>
      <c r="CE121" s="738"/>
      <c r="CF121" s="1475"/>
      <c r="CG121" s="738"/>
      <c r="CH121" s="738"/>
      <c r="CI121" s="738"/>
      <c r="CJ121" s="738"/>
      <c r="CK121" s="738"/>
      <c r="CL121" s="1036"/>
      <c r="CM121" s="738"/>
      <c r="CN121" s="738"/>
      <c r="CO121" s="738"/>
      <c r="CP121" s="738"/>
      <c r="CQ121" s="738"/>
      <c r="CR121" s="738"/>
      <c r="CS121" s="738"/>
      <c r="CT121" s="738"/>
      <c r="CU121" s="738"/>
      <c r="CV121" s="782"/>
      <c r="CW121" s="738"/>
      <c r="CX121" s="738"/>
      <c r="CY121" s="738"/>
      <c r="CZ121" s="738"/>
      <c r="DA121" s="738"/>
      <c r="DB121" s="738"/>
      <c r="DC121" s="2039"/>
      <c r="DD121" s="738"/>
      <c r="DE121" s="738"/>
      <c r="DF121" s="738"/>
      <c r="DG121" s="738"/>
      <c r="DH121" s="738"/>
      <c r="DI121" s="738"/>
      <c r="DJ121" s="738"/>
    </row>
    <row r="122" spans="3:114" x14ac:dyDescent="0.25">
      <c r="C122" s="39" t="str">
        <f t="shared" si="25"/>
        <v>Uncontrolled Reaction - Adiabatic</v>
      </c>
      <c r="D122" s="19"/>
      <c r="E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F122" s="39"/>
      <c r="G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H122" s="39"/>
      <c r="I122" s="39"/>
      <c r="J122" s="39"/>
      <c r="K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L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M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N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O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P122" s="39"/>
      <c r="Q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R122" s="39"/>
      <c r="S122" s="39"/>
      <c r="T122" s="39"/>
      <c r="U122" s="39"/>
      <c r="V122" s="39"/>
      <c r="W122" s="39"/>
      <c r="X122" s="39"/>
      <c r="Y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Z122" s="39"/>
      <c r="AA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AB122" s="39"/>
      <c r="AC122" s="39" t="str">
        <f>IF(Exclude_MI="Only MI",SD_Gen_1,IF(CP_Detonable="Yes",SD_Rx_1,IF(AND(Gas_Gen&lt;RxGas_Limit,DHR&gt;RxHeat_Limit),IF(OR(Gas_Gen&gt;=RxGas_Limit,Gas_Exo="Yes"),IF(Prx_Max_Adiabatic&lt;MAWP+1,SD_Rx_3,SD_Rx_2),SD_Rx_5),IF(Reactive_Potential&lt;&gt;"Yes",IF(RxTemp_Failure="Yes",SD_Rx_20,IF(Gas_Exo="Yes",SD_Rx_21,SD_Rx_10)),SD_Rx_18))))</f>
        <v>Heat of Reaction Low with little or no Gas Generation.  Scenario may represent a product quality issue.</v>
      </c>
      <c r="AD122" s="39"/>
      <c r="AE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AF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AG122" s="2049"/>
      <c r="AH122" s="39" t="str">
        <f>IF(Exclude_MI="Only MI",SD_Gen_1,IF(CP_Detonable="Yes",SD_Rx_1,IF(AND(Gas_Gen&lt;RxGas_Limit,DHR&gt;RxHeat_Limit),IF(OR(Gas_Gen&gt;=RxGas_Limit,Gas_Exo="Yes"),IF(Prx_Max_Adiabatic&lt;MAWP+1,SD_Rx_3,SD_Rx_2),SD_Rx_5),IF(AND(OR(State&lt;&gt;"Liquid",TNR_Relief="Yes"),Prx_Max_Adiabatic&gt;MAWP+1,TNR_T="Yes"),SD_Rx_6,IF(RxTemp_Failure="Yes",SD_Rx_20,IF(Gas_Exo="Yes",SD_Rx_21,SD_Rx_10))))))</f>
        <v>Heat of Reaction Low with little or no Gas Generation.  Scenario may represent a product quality issue.</v>
      </c>
      <c r="AI122" s="39"/>
      <c r="AK122" s="1031" t="str">
        <f>IF(Monomer="Yes",IED_Rx_9,IF(AND(Gas_Gen&gt;RxGas_Limit,OR(Gas_Exo="Yes",DHR&gt;=RxHeat_Limit)),IED_Rx_3,IED_Rx_10))</f>
        <v>Loss of Cooling results in Uncontrolled Exothermic Reaction</v>
      </c>
      <c r="AL122" s="1031"/>
      <c r="AM122" s="1031"/>
      <c r="AN122" s="1031"/>
      <c r="AO122" s="1031"/>
      <c r="AP122" s="1031"/>
      <c r="AQ122" s="1031"/>
      <c r="AR122" s="1031"/>
      <c r="AS122" s="1031"/>
      <c r="AT122" s="1031"/>
      <c r="AU122" s="1031"/>
      <c r="AV122" s="1031"/>
      <c r="AW122" s="1031"/>
      <c r="AX122" s="1031"/>
      <c r="AY122" s="1031"/>
      <c r="AZ122" s="738"/>
      <c r="BA122" s="1031"/>
      <c r="BB122" s="1031"/>
      <c r="BC122" s="1031"/>
      <c r="BD122" s="1031"/>
      <c r="BE122" s="1031"/>
      <c r="BF122" s="1031"/>
      <c r="BG122" s="1031"/>
      <c r="BH122" s="1031"/>
      <c r="BJ122" s="1031"/>
      <c r="BK122" s="1031"/>
      <c r="BL122" s="1852"/>
      <c r="BM122" s="1031"/>
      <c r="BN122" s="1031"/>
      <c r="BO122" s="3180"/>
      <c r="BP122" s="3180"/>
      <c r="BQ122" s="1031"/>
      <c r="BR122" s="1031"/>
      <c r="BS122" s="1031"/>
      <c r="BT122" s="1031"/>
      <c r="BU122" s="1852"/>
      <c r="BV122" s="1852"/>
      <c r="BW122" s="1031"/>
      <c r="BX122" s="1031"/>
      <c r="BY122" s="1031"/>
      <c r="BZ122" s="1031"/>
      <c r="CA122" s="1031"/>
      <c r="CB122" s="1031"/>
      <c r="CC122" s="1031"/>
      <c r="CD122" s="1031"/>
      <c r="CE122" s="1031"/>
      <c r="CF122" s="1475"/>
      <c r="CG122" s="1031"/>
      <c r="CH122" s="1031"/>
      <c r="CI122" s="1031"/>
      <c r="CJ122" s="1031"/>
      <c r="CK122" s="1031"/>
      <c r="CL122" s="1036"/>
      <c r="CM122" s="1031"/>
      <c r="CN122" s="1031"/>
      <c r="CO122" s="1031"/>
      <c r="CP122" s="1031"/>
      <c r="CQ122" s="1031"/>
      <c r="CR122" s="1031"/>
      <c r="CS122" s="1031"/>
      <c r="CT122" s="1031"/>
      <c r="CU122" s="1031"/>
      <c r="CV122" s="1031"/>
      <c r="CW122" s="1031"/>
      <c r="CX122" s="1031"/>
      <c r="CY122" s="1031"/>
      <c r="CZ122" s="1031"/>
      <c r="DA122" s="1031"/>
      <c r="DB122" s="1031"/>
      <c r="DC122" s="2039"/>
      <c r="DD122" s="1031"/>
      <c r="DE122" s="1031"/>
      <c r="DF122" s="1031"/>
      <c r="DG122" s="1031"/>
      <c r="DH122" s="1031"/>
      <c r="DI122" s="1031"/>
      <c r="DJ122" s="1031"/>
    </row>
    <row r="123" spans="3:114" x14ac:dyDescent="0.25">
      <c r="C123" s="39" t="str">
        <f t="shared" si="25"/>
        <v>Uncontrolled Reaction - Thermal Initiation</v>
      </c>
      <c r="D123" s="19"/>
      <c r="E123" s="39" t="e">
        <f>IF(Exclude_MI="Only MI",SD_Gen_1,IF(CP_Detonable="Yes",SD_Rx_1,IF(OR(Q_Rx_atRelief_ExtHt&lt;(1+Fraction_Heat_Limit)*Q_ExtHeat,DHR&gt;RxHeat_Limit),IF(OR(Gas_Gen&gt;=RxGas_Limit,Gas_Exo="Yes"),IF(Prx_Max&lt;MAWP+1,SD_Rx_3,SD_Rx_2),SD_Rx_5),IF(AND(OR(State&lt;&gt;"Liquid",TNR_Relief="Yes"),Prx_Max&gt;MAWP+1,TNR_HT="Yes"),SD_Rx_8,IF(AND(OR(State&lt;&gt;"Liquid",TNR_Relief="Yes"),Prx_Max&gt;MAWP+1,TNR_ME="Yes"),SD_Rx_9,SD_Rx_10)))))</f>
        <v>#DIV/0!</v>
      </c>
      <c r="F123" s="39"/>
      <c r="G123" s="39" t="e">
        <f>IF(Exclude_MI="Only MI",SD_Gen_1,IF(CP_Detonable="Yes",SD_Rx_1,IF(OR(Q_Rx_atRelief_ExtHt&lt;(1+Fraction_Heat_Limit)*Q_ExtHeat,DHR&gt;RxHeat_Limit),IF(OR(Gas_Gen&gt;=RxGas_Limit,Gas_Exo="Yes"),IF(Prx_Max&lt;MAWP+1,SD_Rx_3,SD_Rx_2),SD_Rx_5),IF(AND(OR(State&lt;&gt;"Liquid",TNR_Relief="Yes"),Prx_Max&gt;MAWP+1,TNR_HT="Yes"),SD_Rx_8,IF(AND(OR(State&lt;&gt;"Liquid",TNR_Relief="Yes"),Prx_Max&gt;MAWP+1,TNR_ME="Yes"),SD_Rx_9,SD_Rx_10)))))</f>
        <v>#DIV/0!</v>
      </c>
      <c r="H123" s="39"/>
      <c r="I123" s="39"/>
      <c r="J123" s="39"/>
      <c r="K123" s="39" t="e">
        <f>IF(Exclude_MI="Only MI",SD_Gen_1,IF(CP_Detonable="Yes",SD_Rx_1,IF(OR(Q_Rx_atRelief_ExtHt&lt;(1+Fraction_Heat_Limit)*Q_ExtHeat,DHR&gt;RxHeat_Limit),IF(OR(Gas_Gen&gt;=RxGas_Limit,Gas_Exo="Yes"),IF(Prx_Max&lt;MAWP+1,SD_Rx_3,SD_Rx_2),SD_Rx_5),IF(AND(OR(State&lt;&gt;"Liquid",TNR_Relief="Yes"),Prx_Max&gt;MAWP+1,TNR_HT="Yes"),SD_Rx_8,IF(AND(OR(State&lt;&gt;"Liquid",TNR_Relief="Yes"),Prx_Max&gt;MAWP+1,TNR_ME="Yes"),SD_Rx_9,SD_Rx_10)))))</f>
        <v>#DIV/0!</v>
      </c>
      <c r="L123" s="39" t="e">
        <f>IF(Exclude_MI="Only MI",SD_Gen_1,IF(CP_Detonable="Yes",SD_Rx_1,IF(OR(Q_Rx_atRelief_ExtHt&lt;(1+Fraction_Heat_Limit)*Q_ExtHeat,DHR&gt;RxHeat_Limit),IF(OR(Gas_Gen&gt;=RxGas_Limit,Gas_Exo="Yes"),IF(Prx_Max&lt;MAWP+1,SD_Rx_3,SD_Rx_2),SD_Rx_5),IF(AND(OR(State&lt;&gt;"Liquid",TNR_Relief="Yes"),Prx_Max&gt;MAWP+1,TNR_HT="Yes"),SD_Rx_8,IF(AND(OR(State&lt;&gt;"Liquid",TNR_Relief="Yes"),Prx_Max&gt;MAWP+1,TNR_ME="Yes"),SD_Rx_9,SD_Rx_10)))))</f>
        <v>#DIV/0!</v>
      </c>
      <c r="M123" s="39" t="e">
        <f>IF(Exclude_MI="Only MI",SD_Gen_1,IF(CP_Detonable="Yes",SD_Rx_1,IF(OR(Q_Rx_atRelief_ExtHt&lt;(1+Fraction_Heat_Limit)*Q_ExtHeat,DHR&gt;RxHeat_Limit),IF(OR(Gas_Gen&gt;=RxGas_Limit,Gas_Exo="Yes"),IF(Prx_Max&lt;MAWP+1,SD_Rx_3,SD_Rx_2),SD_Rx_5),IF(AND(OR(State&lt;&gt;"Liquid",TNR_Relief="Yes"),Prx_Max&gt;MAWP+1,TNR_HT="Yes"),SD_Rx_8,IF(AND(OR(State&lt;&gt;"Liquid",TNR_Relief="Yes"),Prx_Max&gt;MAWP+1,TNR_ME="Yes"),SD_Rx_9,SD_Rx_10)))))</f>
        <v>#DIV/0!</v>
      </c>
      <c r="N123" s="39" t="e">
        <f>IF(Exclude_MI="Only MI",SD_Gen_1,IF(CP_Detonable="Yes",SD_Rx_1,IF(OR(Q_Rx_atRelief_ExtHt&lt;(1+Fraction_Heat_Limit)*Q_ExtHeat,DHR&gt;RxHeat_Limit),IF(OR(Gas_Gen&gt;=RxGas_Limit,Gas_Exo="Yes"),IF(Prx_Max&lt;MAWP+1,SD_Rx_3,IF(State="Solid",SD_Rx_23,SD_Rx_2)),SD_Rx_5),IF(AND(OR(State&lt;&gt;"Liquid",TNR_Relief="Yes"),Prx_Max&gt;MAWP+1,TNR_HT="Yes"),SD_Rx_8,IF(AND(OR(State&lt;&gt;"Liquid",TNR_Relief="Yes"),Prx_Max&gt;MAWP+1,TNR_ME="Yes"),SD_Rx_9,SD_Rx_10)))))</f>
        <v>#DIV/0!</v>
      </c>
      <c r="O123" s="39" t="e">
        <f>IF(Exclude_MI="Only MI",SD_Gen_1,IF(CP_Detonable="Yes",SD_Rx_1,IF(OR(Q_Rx_atRelief_ExtHt&lt;(1+Fraction_Heat_Limit)*Q_ExtHeat,DHR&gt;RxHeat_Limit),IF(OR(Gas_Gen&gt;=RxGas_Limit,Gas_Exo="Yes"),IF(Prx_Max&lt;MAWP+1,SD_Rx_3,IF(State="Solid",SD_Rx_23,SD_Rx_2)),SD_Rx_5),IF(AND(OR(State&lt;&gt;"Liquid",TNR_Relief="Yes"),Prx_Max&gt;MAWP+1,TNR_HT="Yes"),SD_Rx_8,IF(AND(OR(State&lt;&gt;"Liquid",TNR_Relief="Yes"),Prx_Max&gt;MAWP+1,TNR_ME="Yes"),SD_Rx_9,SD_Rx_10)))))</f>
        <v>#DIV/0!</v>
      </c>
      <c r="P123" s="39"/>
      <c r="Q123" s="39" t="e">
        <f>IF(Exclude_MI="Only MI",SD_Gen_1,IF(CP_Detonable="Yes",SD_Rx_1,IF(OR(Q_Rx_atRelief_ExtHt&lt;(1+Fraction_Heat_Limit)*Q_ExtHeat,DHR&gt;RxHeat_Limit),IF(OR(Gas_Gen&gt;=RxGas_Limit,Gas_Exo="Yes"),IF(Prx_Max&lt;MAWP+1,SD_Rx_3,SD_Rx_2),SD_Rx_5),IF(AND(OR(State&lt;&gt;"Liquid",TNR_Relief="Yes"),Prx_Max&gt;MAWP+1,TNR_HT="Yes"),SD_Rx_8,IF(AND(OR(State&lt;&gt;"Liquid",TNR_Relief="Yes"),Prx_Max&gt;MAWP+1,TNR_ME="Yes"),SD_Rx_9,SD_Rx_10)))))</f>
        <v>#DIV/0!</v>
      </c>
      <c r="R123" s="39"/>
      <c r="S123" s="39"/>
      <c r="T123" s="39"/>
      <c r="U123" s="39"/>
      <c r="V123" s="39"/>
      <c r="W123" s="39"/>
      <c r="X123" s="39"/>
      <c r="Y123" s="39" t="e">
        <f>IF(Exclude_MI="Only MI",SD_Gen_1,IF(CP_Detonable="Yes",SD_Rx_1,IF(OR(Q_Rx_atRelief_ExtHt&lt;(1+Fraction_Heat_Limit)*Q_ExtHeat,DHR&gt;RxHeat_Limit),IF(OR(Gas_Gen&gt;=RxGas_Limit,Gas_Exo="Yes"),IF(Prx_Max&lt;MAWP+1,SD_Rx_3,SD_Rx_2),SD_Rx_5),IF(AND(OR(State&lt;&gt;"Liquid",TNR_Relief="Yes"),Prx_Max&gt;MAWP+1,TNR_HT="Yes"),SD_Rx_8,IF(AND(OR(State&lt;&gt;"Liquid",TNR_Relief="Yes"),Prx_Max&gt;MAWP+1,TNR_ME="Yes"),SD_Rx_9,SD_Rx_10)))))</f>
        <v>#DIV/0!</v>
      </c>
      <c r="Z123" s="39"/>
      <c r="AA123" s="39" t="e">
        <f>IF(Exclude_MI="Only MI",SD_Gen_1,IF(CP_Detonable="Yes",SD_Rx_1,IF(OR(Q_Rx_atRelief_ExtHt&lt;(1+Fraction_Heat_Limit)*Q_ExtHeat,DHR&gt;RxHeat_Limit),IF(OR(Gas_Gen&gt;=RxGas_Limit,Gas_Exo="Yes"),IF(Prx_Max&lt;MAWP+1,SD_Rx_3,SD_Rx_2),SD_Rx_5),IF(AND(OR(State&lt;&gt;"Liquid",TNR_Relief="Yes"),Prx_Max&gt;MAWP+1,TNR_HT="Yes"),SD_Rx_8,IF(AND(OR(State&lt;&gt;"Liquid",TNR_Relief="Yes"),Prx_Max&gt;MAWP+1,TNR_ME="Yes"),SD_Rx_9,SD_Rx_10)))))</f>
        <v>#DIV/0!</v>
      </c>
      <c r="AB123" s="39"/>
      <c r="AC123" s="39" t="e">
        <f>IF(Exclude_MI="Only MI",SD_Gen_1,IF(CP_Detonable="Yes",SD_Rx_1,IF(OR(Q_Rx_atRelief_ExtHt&lt;(1+Fraction_Heat_Limit)*Q_ExtHeat,DHR&gt;RxHeat_Limit),IF(OR(Gas_Gen&gt;=RxGas_Limit,Gas_Exo="Yes"),IF(Prx_Max&lt;MAWP+1,SD_Rx_3,SD_Rx_2),SD_Rx_5),IF(Reactive_Potential&lt;&gt;"Yes",SD_Rx_10,SD_Rx_19))))</f>
        <v>#DIV/0!</v>
      </c>
      <c r="AD123" s="39"/>
      <c r="AE123" s="39" t="e">
        <f>IF(Exclude_MI="Only MI",SD_Gen_1,IF(CP_Detonable="Yes",SD_Rx_1,IF(OR(Q_Rx_atRelief_ExtHt&lt;(1+Fraction_Heat_Limit)*Q_ExtHeat,DHR&gt;RxHeat_Limit),IF(OR(Gas_Gen&gt;=RxGas_Limit,Gas_Exo="Yes"),IF(Prx_Max&lt;MAWP+1,SD_Rx_3,SD_Rx_2),SD_Rx_5),IF(AND(OR(State&lt;&gt;"Liquid",TNR_Relief="Yes"),Prx_Max&gt;MAWP+1,TNR_HT="Yes"),SD_Rx_8,IF(AND(OR(State&lt;&gt;"Liquid",TNR_Relief="Yes"),Prx_Max&gt;MAWP+1,TNR_ME="Yes"),SD_Rx_9,SD_Rx_10)))))</f>
        <v>#DIV/0!</v>
      </c>
      <c r="AF123" s="39" t="e">
        <f>IF(Exclude_MI="Only MI",SD_Gen_1,IF(CP_Detonable="Yes",SD_Rx_1,IF(OR(Q_Rx_atRelief_ExtHt&lt;(1+Fraction_Heat_Limit)*Q_ExtHeat,DHR&gt;RxHeat_Limit),IF(OR(Gas_Gen&gt;=RxGas_Limit,Gas_Exo="Yes"),IF(Prx_Max&lt;MAWP+1,SD_Rx_3,SD_Rx_2),SD_Rx_5),IF(AND(OR(State&lt;&gt;"Liquid",TNR_Relief="Yes"),Prx_Max&gt;MAWP+1,TNR_HT="Yes"),SD_Rx_8,IF(AND(OR(State&lt;&gt;"Liquid",TNR_Relief="Yes"),Prx_Max&gt;MAWP+1,TNR_ME="Yes"),SD_Rx_9,SD_Rx_10)))))</f>
        <v>#DIV/0!</v>
      </c>
      <c r="AG123" s="2049"/>
      <c r="AH123" s="39" t="e">
        <f>IF(Exclude_MI="Only MI",SD_Gen_1,IF(CP_Detonable="Yes",SD_Rx_1,IF(OR(Q_Rx_atRelief_ExtHt&lt;(1+Fraction_Heat_Limit)*Q_ExtHeat,DHR&gt;RxHeat_Limit),IF(OR(Gas_Gen&gt;=RxGas_Limit,Gas_Exo="Yes"),IF(Prx_Max&lt;MAWP+1,SD_Rx_3,SD_Rx_2),SD_Rx_5),IF(AND(OR(State&lt;&gt;"Liquid",TNR_Relief="Yes"),Prx_Max&gt;MAWP+1,TNR_HT="Yes"),SD_Rx_8,IF(AND(OR(State&lt;&gt;"Liquid",TNR_Relief="Yes"),Prx_Max&gt;MAWP+1,TNR_ME="Yes"),SD_Rx_9,SD_Rx_10)))))</f>
        <v>#DIV/0!</v>
      </c>
      <c r="AI123" s="39"/>
      <c r="AK123" s="39" t="str">
        <f>IF(OR(TNR_Amb="Yes",TNR_HT="Yes",TNR_T="Yes"),IED_Rx_1,IF(AND(TNR_ME="Yes",Equipment&lt;&gt;"Drum Oven"),IED_Rx_2,IF(Gas_Exo="Yes",IED_Rx_3,IF(State="Solid",IED_Rx_11,IED_Rx_1))))</f>
        <v>Loss of Temperature Control with Maximum Heating Media or Ambient Temperature exceeding the Temperature of No Return</v>
      </c>
      <c r="AL123" s="39"/>
      <c r="AM123" s="39"/>
      <c r="AN123" s="39"/>
      <c r="AO123" s="39"/>
      <c r="AP123" s="39"/>
      <c r="AQ123" s="738"/>
      <c r="AR123" s="39"/>
      <c r="AS123" s="1001"/>
      <c r="AT123" s="39"/>
      <c r="AU123" s="39"/>
      <c r="AV123" s="39"/>
      <c r="AW123" s="39"/>
      <c r="AX123" s="39"/>
      <c r="AY123" s="39"/>
      <c r="AZ123" s="39"/>
      <c r="BA123" s="39"/>
      <c r="BB123" s="39"/>
      <c r="BC123" s="39"/>
      <c r="BD123" s="39"/>
      <c r="BE123" s="39"/>
      <c r="BF123" s="39"/>
      <c r="BG123" s="39"/>
      <c r="BH123" s="39"/>
      <c r="BJ123" s="39"/>
      <c r="BK123" s="39"/>
      <c r="BL123" s="1852"/>
      <c r="BM123" s="39"/>
      <c r="BN123" s="39"/>
      <c r="BO123" s="3180"/>
      <c r="BP123" s="3180"/>
      <c r="BQ123" s="39"/>
      <c r="BR123" s="39"/>
      <c r="BS123" s="39"/>
      <c r="BT123" s="39"/>
      <c r="BU123" s="1852"/>
      <c r="BV123" s="1852"/>
      <c r="BW123" s="39"/>
      <c r="BX123" s="39"/>
      <c r="BY123" s="39"/>
      <c r="BZ123" s="39"/>
      <c r="CA123" s="39"/>
      <c r="CB123" s="39"/>
      <c r="CC123" s="39"/>
      <c r="CD123" s="39"/>
      <c r="CE123" s="39"/>
      <c r="CF123" s="1475"/>
      <c r="CG123" s="39"/>
      <c r="CH123" s="39"/>
      <c r="CI123" s="39"/>
      <c r="CJ123" s="39"/>
      <c r="CK123" s="39"/>
      <c r="CL123" s="1036"/>
      <c r="CM123" s="738"/>
      <c r="CN123" s="738"/>
      <c r="CO123" s="39"/>
      <c r="CP123" s="39"/>
      <c r="CQ123" s="39"/>
      <c r="CR123" s="39"/>
      <c r="CS123" s="39"/>
      <c r="CT123" s="39"/>
      <c r="CU123" s="39"/>
      <c r="CV123" s="782"/>
      <c r="CW123" s="39"/>
      <c r="CX123" s="39"/>
      <c r="CY123" s="39"/>
      <c r="CZ123" s="39"/>
      <c r="DA123" s="39"/>
      <c r="DB123" s="39"/>
      <c r="DC123" s="2039"/>
      <c r="DD123" s="39"/>
      <c r="DE123" s="39" t="str">
        <f>IPLD_Gen_1</f>
        <v>Pressure Relief Device Sized for Scenario and verified by qualified Relief Designer</v>
      </c>
      <c r="DF123" s="500"/>
      <c r="DG123" s="39"/>
      <c r="DH123" s="39"/>
      <c r="DI123" s="39"/>
      <c r="DJ123" s="39"/>
    </row>
    <row r="124" spans="3:114" x14ac:dyDescent="0.25">
      <c r="C124" s="39" t="str">
        <f t="shared" si="25"/>
        <v>Uncontrolled Reaction - Fire Induced</v>
      </c>
      <c r="D124" s="19"/>
      <c r="E124" s="39" t="str">
        <f>IF(Exclude_MI="Only MI",SD_Gen_1,IF(AND(DHR&gt;RxHeat_Limit,Fire_Potential&lt;&gt;"Yes"),SD_Gen_15,IF(AND(DHR&gt;RxHeat_Limit,Elevation_30ft="Yes"),SD_Gen_17,IF(Q_Rx_atRelief_Fire&lt;0.05*Q_Fire,SD_Rx_13,IF(Reactive_Potential_Fire&lt;&gt;"Yes",SD_Rx_12,SD_Rx_11)))))</f>
        <v>Insufficient Quantity of Flammable in immediate area for pool fire is noted and Chemical handled is Not flammable or combustible</v>
      </c>
      <c r="F124" s="39"/>
      <c r="G124" s="39"/>
      <c r="H124" s="39"/>
      <c r="I124" s="39"/>
      <c r="J124" s="39"/>
      <c r="K124" s="39" t="str">
        <f>IF(Exclude_MI="Only MI",SD_Gen_1,IF(AND(DHR&gt;RxHeat_Limit,Fire_Potential&lt;&gt;"Yes"),SD_Gen_15,IF(AND(DHR&gt;RxHeat_Limit,Elevation_30ft="Yes"),SD_Gen_17,IF(Q_Rx_atRelief_Fire&lt;0.05*Q_Fire,SD_Rx_13,IF(Reactive_Potential_Fire&lt;&gt;"Yes",SD_Rx_12,SD_Rx_11)))))</f>
        <v>Insufficient Quantity of Flammable in immediate area for pool fire is noted and Chemical handled is Not flammable or combustible</v>
      </c>
      <c r="L124" s="39"/>
      <c r="M124" s="39"/>
      <c r="N124" s="39"/>
      <c r="O124" s="39"/>
      <c r="P124" s="39"/>
      <c r="Q124" s="39" t="str">
        <f>IF(Exclude_MI="Only MI",SD_Gen_1,IF(AND(DHR&gt;RxHeat_Limit,Fire_Potential&lt;&gt;"Yes"),SD_Gen_15,IF(AND(DHR&gt;RxHeat_Limit,Elevation_30ft="Yes"),SD_Gen_17,IF(Q_Rx_atRelief_Fire&lt;0.05*Q_Fire,SD_Rx_13,IF(Reactive_Potential_Fire&lt;&gt;"Yes",SD_Rx_12,SD_Rx_11)))))</f>
        <v>Insufficient Quantity of Flammable in immediate area for pool fire is noted and Chemical handled is Not flammable or combustible</v>
      </c>
      <c r="R124" s="39"/>
      <c r="S124" s="39"/>
      <c r="T124" s="39"/>
      <c r="U124" s="39"/>
      <c r="V124" s="39"/>
      <c r="W124" s="39"/>
      <c r="X124" s="39" t="str">
        <f>IF(Exclude_MI="Only MI",SD_Gen_1,IF(AND(DHR&gt;RxHeat_Limit,Fire_Potential&lt;&gt;"Yes"),SD_Gen_15,IF(AND(DHR&gt;RxHeat_Limit,Elevation_30ft="Yes"),SD_Gen_17,IF(Q_Rx_atRelief_Fire&lt;0.05*Q_Fire,SD_Rx_13,IF(Reactive_Potential_Fire&lt;&gt;"Yes",SD_Rx_12,SD_Rx_11)))))</f>
        <v>Insufficient Quantity of Flammable in immediate area for pool fire is noted and Chemical handled is Not flammable or combustible</v>
      </c>
      <c r="Y124" s="39" t="str">
        <f>IF(Exclude_MI="Only MI",SD_Gen_1,IF(AND(DHR&gt;RxHeat_Limit,Fire_Potential&lt;&gt;"Yes"),SD_Gen_15,IF(AND(DHR&gt;RxHeat_Limit,Elevation_30ft="Yes"),SD_Gen_17,IF(Q_Rx_atRelief_Fire&lt;0.05*Q_Fire,SD_Rx_13,IF(Reactive_Potential_Fire&lt;&gt;"Yes",SD_Rx_12,SD_Rx_11)))))</f>
        <v>Insufficient Quantity of Flammable in immediate area for pool fire is noted and Chemical handled is Not flammable or combustible</v>
      </c>
      <c r="Z124" s="39"/>
      <c r="AA124" s="39"/>
      <c r="AB124" s="39"/>
      <c r="AC124" s="39"/>
      <c r="AD124" s="39"/>
      <c r="AE124" s="39" t="str">
        <f>IF(Exclude_MI="Only MI",SD_Gen_1,IF(AND(DHR&gt;RxHeat_Limit,Fire_Potential&lt;&gt;"Yes"),SD_Gen_15,IF(AND(DHR&gt;RxHeat_Limit,Elevation_30ft="Yes"),SD_Gen_17,IF(Q_Rx_atRelief_Fire&lt;0.05*Q_Fire,SD_Rx_13,IF(Reactive_Potential_Fire&lt;&gt;"Yes",SD_Rx_12,SD_Rx_11)))))</f>
        <v>Insufficient Quantity of Flammable in immediate area for pool fire is noted and Chemical handled is Not flammable or combustible</v>
      </c>
      <c r="AF124" s="39" t="str">
        <f>IF(Exclude_MI="Only MI",SD_Gen_1,IF(AND(DHR&gt;RxHeat_Limit,Fire_Potential&lt;&gt;"Yes"),SD_Gen_15,IF(AND(DHR&gt;RxHeat_Limit,Elevation_30ft="Yes"),SD_Gen_17,IF(Q_Rx_atRelief_Fire&lt;0.05*Q_Fire,SD_Rx_13,IF(Reactive_Potential_Fire&lt;&gt;"Yes",SD_Rx_12,SD_Rx_11)))))</f>
        <v>Insufficient Quantity of Flammable in immediate area for pool fire is noted and Chemical handled is Not flammable or combustible</v>
      </c>
      <c r="AG124" s="2049"/>
      <c r="AH124" s="39" t="str">
        <f>IF(Exclude_MI="Only MI",SD_Gen_1,IF(AND(DHR&gt;RxHeat_Limit,Fire_Potential&lt;&gt;"Yes"),SD_Gen_15,IF(AND(DHR&gt;RxHeat_Limit,Elevation_30ft="Yes"),SD_Gen_17,IF(Q_Rx_atRelief_Fire&lt;0.05*Q_Fire,SD_Rx_13,IF(Reactive_Potential_Fire&lt;&gt;"Yes",SD_Rx_12,SD_Rx_11)))))</f>
        <v>Insufficient Quantity of Flammable in immediate area for pool fire is noted and Chemical handled is Not flammable or combustible</v>
      </c>
      <c r="AI124" s="39"/>
      <c r="AK124" s="39"/>
      <c r="AL124" s="39"/>
      <c r="AM124" s="39"/>
      <c r="AN124" s="39"/>
      <c r="AO124" s="39"/>
      <c r="AP124" s="39"/>
      <c r="AQ124" s="738"/>
      <c r="AR124" s="39"/>
      <c r="AS124" s="1001"/>
      <c r="AT124" s="39"/>
      <c r="AU124" s="39"/>
      <c r="AV124" s="39"/>
      <c r="AW124" s="39"/>
      <c r="AX124" s="39"/>
      <c r="AY124" s="39"/>
      <c r="AZ124" s="39"/>
      <c r="BA124" s="39"/>
      <c r="BB124" s="39"/>
      <c r="BC124" s="39"/>
      <c r="BD124" s="39"/>
      <c r="BE124" s="39" t="str">
        <f>IED_Gen_40</f>
        <v>Leak of Flammable Material or Material above its Flash Point which may ignite</v>
      </c>
      <c r="BF124" s="39" t="str">
        <f>IED_Gen_40</f>
        <v>Leak of Flammable Material or Material above its Flash Point which may ignite</v>
      </c>
      <c r="BG124" s="39" t="str">
        <f>IED_Gen_41</f>
        <v>Leak of combustible material (requires Hot Surface, Lightning Strike, etc. For ignition)</v>
      </c>
      <c r="BH124" s="39"/>
      <c r="BJ124" s="39"/>
      <c r="BK124" s="39"/>
      <c r="BL124" s="1852"/>
      <c r="BM124" s="39"/>
      <c r="BN124" s="39"/>
      <c r="BO124" s="3180"/>
      <c r="BP124" s="3180"/>
      <c r="BQ124" s="39"/>
      <c r="BR124" s="39"/>
      <c r="BS124" s="39"/>
      <c r="BT124" s="39"/>
      <c r="BU124" s="1852"/>
      <c r="BV124" s="1852"/>
      <c r="BW124" s="39"/>
      <c r="BX124" s="39"/>
      <c r="BY124" s="39"/>
      <c r="BZ124" s="39"/>
      <c r="CA124" s="39"/>
      <c r="CB124" s="39"/>
      <c r="CC124" s="39"/>
      <c r="CD124" s="39"/>
      <c r="CE124" s="39"/>
      <c r="CF124" s="1475"/>
      <c r="CG124" s="39"/>
      <c r="CH124" s="39"/>
      <c r="CI124" s="39"/>
      <c r="CJ124" s="39"/>
      <c r="CK124" s="39"/>
      <c r="CL124" s="1036"/>
      <c r="CM124" s="738"/>
      <c r="CN124" s="738"/>
      <c r="CO124" s="39"/>
      <c r="CP124" s="39"/>
      <c r="CQ124" s="39"/>
      <c r="CR124" s="39"/>
      <c r="CS124" s="39"/>
      <c r="CT124" s="39"/>
      <c r="CU124" s="39"/>
      <c r="CV124" s="782"/>
      <c r="CW124" s="39"/>
      <c r="CX124" s="39"/>
      <c r="CY124" s="39"/>
      <c r="CZ124" s="39"/>
      <c r="DA124" s="39"/>
      <c r="DB124" s="39"/>
      <c r="DC124" s="2039"/>
      <c r="DD124" s="39"/>
      <c r="DE124" s="39"/>
      <c r="DF124" s="500"/>
      <c r="DG124" s="39" t="str">
        <f>IPLD_Gen_1</f>
        <v>Pressure Relief Device Sized for Scenario and verified by qualified Relief Designer</v>
      </c>
      <c r="DH124" s="39"/>
      <c r="DI124" s="39"/>
      <c r="DJ124" s="39"/>
    </row>
    <row r="125" spans="3:114" x14ac:dyDescent="0.25">
      <c r="C125" s="39" t="str">
        <f t="shared" si="25"/>
        <v>Uncontrolled Reaction - Catalyst or Impurity</v>
      </c>
      <c r="D125" s="19"/>
      <c r="E125" s="39"/>
      <c r="F125" s="39"/>
      <c r="G125" s="39"/>
      <c r="H125" s="39"/>
      <c r="I125" s="39"/>
      <c r="J125" s="39"/>
      <c r="K125" s="39" t="str">
        <f>IF(Exclude_MI="Only MI",SD_Gen_1,IF(Prx_Max_Cat&lt;MAWP+1,SD_Rx_5,SD_Rx_14))</f>
        <v>Heat of Reaction Low with little or no Gas Generation.  Scenario may represent a product quality issue.</v>
      </c>
      <c r="L125" s="39" t="str">
        <f>IF(Exclude_MI="Only MI",SD_Gen_1,IF(Prx_Max_Cat&lt;MAWP+1,SD_Rx_5,SD_Rx_14))</f>
        <v>Heat of Reaction Low with little or no Gas Generation.  Scenario may represent a product quality issue.</v>
      </c>
      <c r="M125" s="39"/>
      <c r="N125" s="39"/>
      <c r="O125" s="39"/>
      <c r="P125" s="39"/>
      <c r="Q125" s="39" t="str">
        <f>IF(Exclude_MI="Only MI",SD_Gen_1,IF(Prx_Max_Cat&lt;MAWP+1,SD_Rx_5,SD_Rx_14))</f>
        <v>Heat of Reaction Low with little or no Gas Generation.  Scenario may represent a product quality issue.</v>
      </c>
      <c r="R125" s="39"/>
      <c r="S125" s="39"/>
      <c r="T125" s="39"/>
      <c r="U125" s="39"/>
      <c r="V125" s="39"/>
      <c r="W125" s="39"/>
      <c r="X125" s="39"/>
      <c r="Y125" s="39" t="str">
        <f>IF(Exclude_MI="Only MI",SD_Gen_1,IF(Prx_Max_Cat&lt;MAWP+1,SD_Rx_5,SD_Rx_14))</f>
        <v>Heat of Reaction Low with little or no Gas Generation.  Scenario may represent a product quality issue.</v>
      </c>
      <c r="Z125" s="39"/>
      <c r="AA125" s="39"/>
      <c r="AB125" s="39"/>
      <c r="AC125" s="39"/>
      <c r="AD125" s="39"/>
      <c r="AE125" s="39" t="str">
        <f>IF(Exclude_MI="Only MI",SD_Gen_1,IF(Prx_Max_Cat&lt;MAWP+1,SD_Rx_5,SD_Rx_14))</f>
        <v>Heat of Reaction Low with little or no Gas Generation.  Scenario may represent a product quality issue.</v>
      </c>
      <c r="AF125" s="39" t="str">
        <f>IF(Exclude_MI="Only MI",SD_Gen_1,IF(Prx_Max_Cat&lt;MAWP+1,SD_Rx_5,SD_Rx_14))</f>
        <v>Heat of Reaction Low with little or no Gas Generation.  Scenario may represent a product quality issue.</v>
      </c>
      <c r="AG125" s="2049"/>
      <c r="AH125" s="39" t="str">
        <f>IF(Exclude_MI="Only MI",SD_Gen_1,IF(Prx_Max_Cat&lt;MAWP+1,SD_Rx_5,SD_Rx_14))</f>
        <v>Heat of Reaction Low with little or no Gas Generation.  Scenario may represent a product quality issue.</v>
      </c>
      <c r="AI125" s="39"/>
      <c r="AK125" s="39"/>
      <c r="AL125" s="39" t="str">
        <f>IED_Rx_8</f>
        <v>Operator does not add inhibitor or adds a contaminant from corrosion, etc.</v>
      </c>
      <c r="AM125" s="39"/>
      <c r="AN125" s="39"/>
      <c r="AO125" s="39"/>
      <c r="AP125" s="39"/>
      <c r="AQ125" s="738"/>
      <c r="AR125" s="39"/>
      <c r="AS125" s="1001"/>
      <c r="AT125" s="39"/>
      <c r="AU125" s="39"/>
      <c r="AV125" s="39"/>
      <c r="AW125" s="39"/>
      <c r="AX125" s="39"/>
      <c r="AY125" s="39"/>
      <c r="AZ125" s="39"/>
      <c r="BA125" s="39"/>
      <c r="BB125" s="39"/>
      <c r="BC125" s="39"/>
      <c r="BD125" s="39"/>
      <c r="BE125" s="39"/>
      <c r="BF125" s="39"/>
      <c r="BG125" s="39"/>
      <c r="BH125" s="39"/>
      <c r="BJ125" s="39"/>
      <c r="BK125" s="39"/>
      <c r="BL125" s="1852"/>
      <c r="BM125" s="39"/>
      <c r="BN125" s="39"/>
      <c r="BO125" s="3180"/>
      <c r="BP125" s="3180"/>
      <c r="BQ125" s="39"/>
      <c r="BR125" s="39"/>
      <c r="BS125" s="39"/>
      <c r="BT125" s="39"/>
      <c r="BU125" s="1852"/>
      <c r="BV125" s="1852"/>
      <c r="BW125" s="39"/>
      <c r="BX125" s="39"/>
      <c r="BY125" s="39"/>
      <c r="BZ125" s="39"/>
      <c r="CA125" s="39"/>
      <c r="CB125" s="39"/>
      <c r="CC125" s="39"/>
      <c r="CD125" s="39"/>
      <c r="CE125" s="39"/>
      <c r="CF125" s="1475"/>
      <c r="CG125" s="39"/>
      <c r="CH125" s="39"/>
      <c r="CI125" s="39"/>
      <c r="CJ125" s="39"/>
      <c r="CK125" s="39"/>
      <c r="CL125" s="1036"/>
      <c r="CM125" s="738"/>
      <c r="CN125" s="738"/>
      <c r="CO125" s="39"/>
      <c r="CP125" s="39"/>
      <c r="CQ125" s="39"/>
      <c r="CR125" s="39"/>
      <c r="CS125" s="39"/>
      <c r="CT125" s="39"/>
      <c r="CU125" s="39"/>
      <c r="CV125" s="782"/>
      <c r="CW125" s="39"/>
      <c r="CX125" s="39"/>
      <c r="CY125" s="39"/>
      <c r="CZ125" s="39"/>
      <c r="DA125" s="39"/>
      <c r="DB125" s="39"/>
      <c r="DC125" s="2039"/>
      <c r="DD125" s="39"/>
      <c r="DE125" s="39" t="str">
        <f>IPLD_Gen_1</f>
        <v>Pressure Relief Device Sized for Scenario and verified by qualified Relief Designer</v>
      </c>
      <c r="DF125" s="500"/>
      <c r="DG125" s="39"/>
      <c r="DH125" s="39"/>
      <c r="DI125" s="39"/>
      <c r="DJ125" s="39"/>
    </row>
    <row r="126" spans="3:114" x14ac:dyDescent="0.25">
      <c r="C126" s="39" t="str">
        <f t="shared" si="25"/>
        <v>Uncontrolled Reaction - Pooling of Reactants</v>
      </c>
      <c r="D126" s="19"/>
      <c r="E126" s="39" t="e">
        <f>IF(Exclude_MI="Only MI",SD_Gen_1,IF(OR(Reactive_Potential&lt;&gt;"Yes",Prx_Max_Pooling&lt;MAWP+1),SD_Rx_10,IF(Limiting_Rate="",SD_Rx_22,SD_Rx_15)))</f>
        <v>#DIV/0!</v>
      </c>
      <c r="F126" s="39"/>
      <c r="G126" s="39"/>
      <c r="H126" s="39"/>
      <c r="I126" s="39"/>
      <c r="J126" s="39"/>
      <c r="K126" s="39" t="e">
        <f>IF(Exclude_MI="Only MI",SD_Gen_1,IF(OR(Reactive_Potential&lt;&gt;"Yes",Prx_Max_Pooling&lt;MAWP+1),SD_Rx_10,IF(Limiting_Rate="",SD_Rx_22,SD_Rx_15)))</f>
        <v>#DIV/0!</v>
      </c>
      <c r="L126" s="39"/>
      <c r="M126" s="39"/>
      <c r="N126" s="39"/>
      <c r="O126" s="39"/>
      <c r="P126" s="39"/>
      <c r="Q126" s="39"/>
      <c r="R126" s="39"/>
      <c r="S126" s="39"/>
      <c r="T126" s="39"/>
      <c r="U126" s="39"/>
      <c r="V126" s="39"/>
      <c r="W126" s="39"/>
      <c r="X126" s="39"/>
      <c r="Y126" s="39" t="e">
        <f>IF(Exclude_MI="Only MI",SD_Gen_1,IF(OR(Reactive_Potential&lt;&gt;"Yes",Prx_Max_Pooling&lt;MAWP+1),SD_Rx_10,IF(Limiting_Rate="",SD_Rx_22,SD_Rx_15)))</f>
        <v>#DIV/0!</v>
      </c>
      <c r="Z126" s="39"/>
      <c r="AA126" s="39"/>
      <c r="AB126" s="39"/>
      <c r="AC126" s="39"/>
      <c r="AD126" s="39"/>
      <c r="AE126" s="39" t="e">
        <f>IF(Exclude_MI="Only MI",SD_Gen_1,IF(OR(Reactive_Potential&lt;&gt;"Yes",Prx_Max_Pooling&lt;MAWP+1),SD_Rx_10,IF(Limiting_Rate="",SD_Rx_22,SD_Rx_15)))</f>
        <v>#DIV/0!</v>
      </c>
      <c r="AF126" s="39"/>
      <c r="AG126" s="2049"/>
      <c r="AH126" s="39" t="e">
        <f>IF(Exclude_MI="Only MI",SD_Gen_1,IF(OR(Reactive_Potential&lt;&gt;"Yes",Prx_Max_Pooling&lt;MAWP+1),SD_Rx_10,IF(Limiting_Rate="",SD_Rx_22,SD_Rx_15)))</f>
        <v>#DIV/0!</v>
      </c>
      <c r="AI126" s="39"/>
      <c r="AK126" s="39"/>
      <c r="AL126" s="39" t="str">
        <f>IED_Rx_7</f>
        <v>Operator forgets to start agitation or enters low temperature set point</v>
      </c>
      <c r="AM126" s="39" t="str">
        <f>IED_Gen_62</f>
        <v>Failure of agitator or mixer</v>
      </c>
      <c r="AN126" s="39"/>
      <c r="AO126" s="39"/>
      <c r="AP126" s="39"/>
      <c r="AQ126" s="738"/>
      <c r="AR126" s="39"/>
      <c r="AS126" s="1001" t="str">
        <f>IED_Rx_4</f>
        <v>Loss of Agitation or Low Temperature causes accumulation of unreacted material</v>
      </c>
      <c r="AT126" s="39"/>
      <c r="AU126" s="39"/>
      <c r="AV126" s="39"/>
      <c r="AW126" s="39"/>
      <c r="AX126" s="39"/>
      <c r="AY126" s="39"/>
      <c r="AZ126" s="39"/>
      <c r="BA126" s="39"/>
      <c r="BB126" s="39"/>
      <c r="BC126" s="39"/>
      <c r="BD126" s="39"/>
      <c r="BE126" s="39"/>
      <c r="BF126" s="39"/>
      <c r="BG126" s="39"/>
      <c r="BH126" s="39"/>
      <c r="BJ126" s="39"/>
      <c r="BK126" s="39"/>
      <c r="BL126" s="1852"/>
      <c r="BM126" s="39"/>
      <c r="BN126" s="39"/>
      <c r="BO126" s="3180"/>
      <c r="BP126" s="3180"/>
      <c r="BQ126" s="39"/>
      <c r="BR126" s="39"/>
      <c r="BS126" s="39"/>
      <c r="BT126" s="39"/>
      <c r="BU126" s="1852"/>
      <c r="BV126" s="1852"/>
      <c r="BW126" s="39"/>
      <c r="BX126" s="39"/>
      <c r="BY126" s="39"/>
      <c r="BZ126" s="39"/>
      <c r="CA126" s="39"/>
      <c r="CB126" s="39"/>
      <c r="CC126" s="39"/>
      <c r="CD126" s="39"/>
      <c r="CE126" s="39"/>
      <c r="CF126" s="1475"/>
      <c r="CG126" s="39"/>
      <c r="CH126" s="39"/>
      <c r="CI126" s="39"/>
      <c r="CJ126" s="39"/>
      <c r="CK126" s="39"/>
      <c r="CL126" s="1036"/>
      <c r="CM126" s="738"/>
      <c r="CN126" s="738"/>
      <c r="CO126" s="39"/>
      <c r="CP126" s="39"/>
      <c r="CQ126" s="39"/>
      <c r="CR126" s="39"/>
      <c r="CS126" s="39"/>
      <c r="CT126" s="39"/>
      <c r="CU126" s="39"/>
      <c r="CV126" s="782"/>
      <c r="CW126" s="39"/>
      <c r="CX126" s="39"/>
      <c r="CY126" s="39"/>
      <c r="CZ126" s="39"/>
      <c r="DA126" s="39"/>
      <c r="DB126" s="39"/>
      <c r="DC126" s="2039"/>
      <c r="DD126" s="39"/>
      <c r="DE126" s="39" t="str">
        <f>IPLD_Gen_1</f>
        <v>Pressure Relief Device Sized for Scenario and verified by qualified Relief Designer</v>
      </c>
      <c r="DF126" s="500"/>
      <c r="DG126" s="39"/>
      <c r="DH126" s="39"/>
      <c r="DI126" s="39"/>
      <c r="DJ126" s="39"/>
    </row>
    <row r="127" spans="3:114" x14ac:dyDescent="0.25">
      <c r="C127" s="39" t="str">
        <f t="shared" si="25"/>
        <v>Uncontrolled Reaction - Mis-Loading</v>
      </c>
      <c r="D127" s="19"/>
      <c r="E127" s="39" t="e">
        <f>IF(Exclude_MI="Only MI",SD_Gen_1,IF(OR(Reactive_Potential&lt;&gt;"Yes",Prx_Max_MisLoading&lt;MAWP+1),SD_Rx_10,SD_Rx_16))</f>
        <v>#DIV/0!</v>
      </c>
      <c r="F127" s="39"/>
      <c r="G127" s="39"/>
      <c r="H127" s="39"/>
      <c r="I127" s="39"/>
      <c r="J127" s="39"/>
      <c r="K127" s="39" t="e">
        <f>IF(Exclude_MI="Only MI",SD_Gen_1,IF(OR(Reactive_Potential&lt;&gt;"Yes",Prx_Max_MisLoading&lt;MAWP+1),SD_Rx_10,SD_Rx_16))</f>
        <v>#DIV/0!</v>
      </c>
      <c r="L127" s="39"/>
      <c r="M127" s="39"/>
      <c r="N127" s="39"/>
      <c r="O127" s="39"/>
      <c r="P127" s="39"/>
      <c r="Q127" s="39"/>
      <c r="R127" s="39"/>
      <c r="S127" s="39"/>
      <c r="T127" s="39"/>
      <c r="U127" s="39"/>
      <c r="V127" s="39"/>
      <c r="W127" s="39"/>
      <c r="X127" s="39"/>
      <c r="Y127" s="39" t="e">
        <f>IF(Exclude_MI="Only MI",SD_Gen_1,IF(OR(Reactive_Potential&lt;&gt;"Yes",Prx_Max_MisLoading&lt;MAWP+1),SD_Rx_10,SD_Rx_16))</f>
        <v>#DIV/0!</v>
      </c>
      <c r="Z127" s="39"/>
      <c r="AA127" s="39"/>
      <c r="AB127" s="39"/>
      <c r="AC127" s="39"/>
      <c r="AD127" s="39"/>
      <c r="AE127" s="39" t="e">
        <f>IF(Exclude_MI="Only MI",SD_Gen_1,IF(OR(Reactive_Potential&lt;&gt;"Yes",Prx_Max_MisLoading&lt;MAWP+1),SD_Rx_10,SD_Rx_16))</f>
        <v>#DIV/0!</v>
      </c>
      <c r="AF127" s="39"/>
      <c r="AG127" s="2049"/>
      <c r="AH127" s="39" t="e">
        <f>IF(Exclude_MI="Only MI",SD_Gen_1,IF(OR(Reactive_Potential&lt;&gt;"Yes",Prx_Max_MisLoading&lt;MAWP+1),SD_Rx_10,SD_Rx_16))</f>
        <v>#DIV/0!</v>
      </c>
      <c r="AI127" s="39"/>
      <c r="AK127" s="39" t="str">
        <f>IED_Rx_5</f>
        <v>Level or Flow Control Failure resulting in wrong composition</v>
      </c>
      <c r="AL127" s="39"/>
      <c r="AM127" s="39"/>
      <c r="AN127" s="39"/>
      <c r="AO127" s="39"/>
      <c r="AP127" s="39"/>
      <c r="AQ127" s="738"/>
      <c r="AR127" s="39"/>
      <c r="AS127" s="1001"/>
      <c r="AT127" s="39"/>
      <c r="AU127" s="39"/>
      <c r="AV127" s="39"/>
      <c r="AW127" s="39"/>
      <c r="AX127" s="39"/>
      <c r="AY127" s="39"/>
      <c r="AZ127" s="39"/>
      <c r="BA127" s="39"/>
      <c r="BB127" s="39"/>
      <c r="BC127" s="39"/>
      <c r="BD127" s="39"/>
      <c r="BE127" s="39"/>
      <c r="BF127" s="39"/>
      <c r="BG127" s="39"/>
      <c r="BH127" s="39"/>
      <c r="BJ127" s="39"/>
      <c r="BK127" s="39"/>
      <c r="BL127" s="1852"/>
      <c r="BM127" s="39"/>
      <c r="BN127" s="39"/>
      <c r="BO127" s="3180"/>
      <c r="BP127" s="3180"/>
      <c r="BQ127" s="39"/>
      <c r="BR127" s="39"/>
      <c r="BS127" s="39"/>
      <c r="BT127" s="39"/>
      <c r="BU127" s="1852"/>
      <c r="BV127" s="1852"/>
      <c r="BW127" s="39"/>
      <c r="BX127" s="39"/>
      <c r="BY127" s="39"/>
      <c r="BZ127" s="39"/>
      <c r="CA127" s="39"/>
      <c r="CB127" s="39"/>
      <c r="CC127" s="39"/>
      <c r="CD127" s="39"/>
      <c r="CE127" s="39"/>
      <c r="CF127" s="1475"/>
      <c r="CG127" s="39"/>
      <c r="CH127" s="39"/>
      <c r="CI127" s="39"/>
      <c r="CJ127" s="39"/>
      <c r="CK127" s="39"/>
      <c r="CL127" s="1036"/>
      <c r="CM127" s="738"/>
      <c r="CN127" s="738"/>
      <c r="CO127" s="39"/>
      <c r="CP127" s="39"/>
      <c r="CQ127" s="39"/>
      <c r="CR127" s="39"/>
      <c r="CS127" s="39"/>
      <c r="CT127" s="39"/>
      <c r="CU127" s="39"/>
      <c r="CV127" s="782"/>
      <c r="CW127" s="39"/>
      <c r="CX127" s="39"/>
      <c r="CY127" s="39"/>
      <c r="CZ127" s="39"/>
      <c r="DA127" s="39"/>
      <c r="DB127" s="39"/>
      <c r="DC127" s="2039"/>
      <c r="DD127" s="39"/>
      <c r="DE127" s="39" t="str">
        <f>IPLD_Gen_1</f>
        <v>Pressure Relief Device Sized for Scenario and verified by qualified Relief Designer</v>
      </c>
      <c r="DF127" s="500"/>
      <c r="DG127" s="39"/>
      <c r="DH127" s="39"/>
      <c r="DI127" s="39"/>
      <c r="DJ127" s="39"/>
    </row>
    <row r="128" spans="3:114" x14ac:dyDescent="0.25">
      <c r="C128" s="39" t="str">
        <f t="shared" si="25"/>
        <v>Uncontrolled Reaction - Incompatible Materials</v>
      </c>
      <c r="D128" s="19"/>
      <c r="E128" s="39"/>
      <c r="F128" s="39"/>
      <c r="G128" s="39"/>
      <c r="H128" s="39"/>
      <c r="I128" s="39"/>
      <c r="J128" s="39"/>
      <c r="K128" s="39"/>
      <c r="L128" s="39" t="str">
        <f>IF(Exclude_MI="Only MI",SD_Gen_1,IF(AND(NFPA_R_Max&lt;&gt;"",NFPA_R_Max&gt;1,DHR="",Rx_Incompatible&lt;&gt;"No"),SD_Rx_18,SD_Rx_17))</f>
        <v>Exothermic Reaction or formation of gaseous products with Potential for Incompatible Materials noted</v>
      </c>
      <c r="M128" s="39"/>
      <c r="N128" s="39"/>
      <c r="O128" s="39"/>
      <c r="P128" s="39"/>
      <c r="Q128" s="39"/>
      <c r="R128" s="39"/>
      <c r="S128" s="39"/>
      <c r="T128" s="39"/>
      <c r="U128" s="39"/>
      <c r="V128" s="39"/>
      <c r="W128" s="39"/>
      <c r="X128" s="39"/>
      <c r="Y128" s="39"/>
      <c r="Z128" s="39"/>
      <c r="AA128" s="39"/>
      <c r="AB128" s="39"/>
      <c r="AC128" s="39"/>
      <c r="AD128" s="39"/>
      <c r="AE128" s="39" t="str">
        <f>IF(Exclude_MI="Only MI",SD_Gen_1,IF(AND(NFPA_R_Max&lt;&gt;"",NFPA_R_Max&gt;1,DHR="",Rx_Incompatible&lt;&gt;"No"),SD_Rx_18,SD_Rx_17))</f>
        <v>Exothermic Reaction or formation of gaseous products with Potential for Incompatible Materials noted</v>
      </c>
      <c r="AF128" s="39" t="str">
        <f>IF(Exclude_MI="Only MI",SD_Gen_1,IF(AND(NFPA_R_Max&lt;&gt;"",NFPA_R_Max&gt;1,DHR="",Rx_Incompatible&lt;&gt;"No"),SD_Rx_18,SD_Rx_17))</f>
        <v>Exothermic Reaction or formation of gaseous products with Potential for Incompatible Materials noted</v>
      </c>
      <c r="AG128" s="2049"/>
      <c r="AH128" s="39" t="str">
        <f>IF(Exclude_MI="Only MI",SD_Gen_1,IF(AND(NFPA_R_Max&lt;&gt;"",NFPA_R_Max&gt;1,DHR="",Rx_Incompatible&lt;&gt;"No"),SD_Rx_18,SD_Rx_17))</f>
        <v>Exothermic Reaction or formation of gaseous products with Potential for Incompatible Materials noted</v>
      </c>
      <c r="AI128" s="39"/>
      <c r="AK128" s="39"/>
      <c r="AL128" s="39" t="str">
        <f>IED_Rx_6</f>
        <v>Operator adds wrong material leading un unexpected reaction</v>
      </c>
      <c r="AM128" s="39"/>
      <c r="AN128" s="39"/>
      <c r="AO128" s="39"/>
      <c r="AP128" s="39"/>
      <c r="AQ128" s="738"/>
      <c r="AR128" s="39"/>
      <c r="AS128" s="1001"/>
      <c r="AT128" s="39"/>
      <c r="AU128" s="39"/>
      <c r="AV128" s="39"/>
      <c r="AW128" s="39"/>
      <c r="AX128" s="39"/>
      <c r="AY128" s="39"/>
      <c r="AZ128" s="39"/>
      <c r="BA128" s="39"/>
      <c r="BB128" s="39"/>
      <c r="BC128" s="39"/>
      <c r="BD128" s="39"/>
      <c r="BE128" s="39"/>
      <c r="BF128" s="39"/>
      <c r="BG128" s="39"/>
      <c r="BH128" s="39"/>
      <c r="BJ128" s="39"/>
      <c r="BK128" s="39"/>
      <c r="BL128" s="1852"/>
      <c r="BM128" s="39"/>
      <c r="BN128" s="39"/>
      <c r="BO128" s="3180"/>
      <c r="BP128" s="3180"/>
      <c r="BQ128" s="39"/>
      <c r="BR128" s="39"/>
      <c r="BS128" s="39"/>
      <c r="BT128" s="39"/>
      <c r="BU128" s="1852"/>
      <c r="BV128" s="1852"/>
      <c r="BW128" s="39"/>
      <c r="BX128" s="39"/>
      <c r="BY128" s="39"/>
      <c r="BZ128" s="39"/>
      <c r="CA128" s="39"/>
      <c r="CB128" s="39"/>
      <c r="CC128" s="39"/>
      <c r="CD128" s="39"/>
      <c r="CE128" s="39"/>
      <c r="CF128" s="1475"/>
      <c r="CG128" s="39"/>
      <c r="CH128" s="39"/>
      <c r="CI128" s="39"/>
      <c r="CJ128" s="39"/>
      <c r="CK128" s="39"/>
      <c r="CL128" s="1036"/>
      <c r="CM128" s="738"/>
      <c r="CN128" s="738"/>
      <c r="CO128" s="39"/>
      <c r="CP128" s="39"/>
      <c r="CQ128" s="39"/>
      <c r="CR128" s="39"/>
      <c r="CS128" s="39"/>
      <c r="CT128" s="39"/>
      <c r="CU128" s="39"/>
      <c r="CV128" s="782"/>
      <c r="CW128" s="39"/>
      <c r="CX128" s="39"/>
      <c r="CY128" s="39"/>
      <c r="CZ128" s="39"/>
      <c r="DA128" s="39"/>
      <c r="DB128" s="39"/>
      <c r="DC128" s="2039"/>
      <c r="DD128" s="39"/>
      <c r="DE128" s="39" t="str">
        <f>IPLD_Gen_1</f>
        <v>Pressure Relief Device Sized for Scenario and verified by qualified Relief Designer</v>
      </c>
      <c r="DF128" s="500"/>
      <c r="DG128" s="39"/>
      <c r="DH128" s="39"/>
      <c r="DI128" s="39"/>
      <c r="DJ128" s="39"/>
    </row>
    <row r="129" spans="3:114" x14ac:dyDescent="0.25">
      <c r="C129" s="39" t="str">
        <f t="shared" si="25"/>
        <v>Vacuum Damage</v>
      </c>
      <c r="D129" s="19"/>
      <c r="E129" s="39" t="str">
        <f>IF(Exclude_MI="Only MI",SD_Gen_1,IF(Reactive_Only="Yes",SD_Gen_3,IF(AND(MAWP&lt;1,Vacuum_Rated=""),SD_Gen_42,IF(Vacuum_Rated&lt;&gt;"No",SD_Gen_37,SD_Gen_36))))</f>
        <v>Rating for Full vacuum Not Entered for Low Design Pressure Equipment</v>
      </c>
      <c r="F129" s="39"/>
      <c r="G129" s="39"/>
      <c r="H129" s="39"/>
      <c r="I129" s="39"/>
      <c r="J129" s="39"/>
      <c r="K129" s="39" t="str">
        <f>IF(Exclude_MI="Only MI",SD_Gen_1,IF(Reactive_Only="Yes",SD_Gen_3,IF(AND(MAWP&lt;1,Vacuum_Rated=""),SD_Gen_42,IF(Vacuum_Rated&lt;&gt;"No",SD_Gen_37,SD_Gen_36))))</f>
        <v>Rating for Full vacuum Not Entered for Low Design Pressure Equipment</v>
      </c>
      <c r="L129" s="39" t="str">
        <f>IF(Exclude_MI="Only MI",SD_Gen_1,IF(Reactive_Only="Yes",SD_Gen_3,IF(AND(MAWP&lt;1,Vacuum_Rated=""),SD_Gen_42,IF(Vacuum_Rated&lt;&gt;"No",SD_Gen_37,SD_Gen_36))))</f>
        <v>Rating for Full vacuum Not Entered for Low Design Pressure Equipment</v>
      </c>
      <c r="M129" s="39"/>
      <c r="N129" s="39" t="str">
        <f>IF(Exclude_MI="Only MI",SD_Gen_1,IF(Reactive_Only="Yes",SD_Gen_3,IF(AND(MAWP&lt;1,Vacuum_Rated=""),SD_Gen_42,IF(Vacuum_Rated&lt;&gt;"No",SD_Gen_37,SD_Gen_36))))</f>
        <v>Rating for Full vacuum Not Entered for Low Design Pressure Equipment</v>
      </c>
      <c r="O129" s="39" t="str">
        <f>IF(Exclude_MI="Only MI",SD_Gen_1,IF(Reactive_Only="Yes",SD_Gen_3,IF(AND(MAWP&lt;1,Vacuum_Rated=""),SD_Gen_42,IF(Vacuum_Rated&lt;&gt;"No",SD_Gen_37,SD_Gen_36))))</f>
        <v>Rating for Full vacuum Not Entered for Low Design Pressure Equipment</v>
      </c>
      <c r="P129" s="39" t="str">
        <f>IF(Exclude_MI="Only MI",SD_Gen_1,IF(Reactive_Only="Yes",SD_Gen_3,IF(AND(MAWP&lt;1,Vacuum_Rated=""),SD_Gen_42,IF(Vacuum_Rated&lt;&gt;"No",SD_Gen_37,SD_Gen_36))))</f>
        <v>Rating for Full vacuum Not Entered for Low Design Pressure Equipment</v>
      </c>
      <c r="Q129" s="39" t="str">
        <f>IF(Exclude_MI="Only MI",SD_Gen_1,IF(Reactive_Only="Yes",SD_Gen_3,IF(AND(MAWP&lt;1,Vacuum_Rated=""),SD_Gen_42,IF(Vacuum_Rated&lt;&gt;"No",SD_Gen_37,SD_Gen_36))))</f>
        <v>Rating for Full vacuum Not Entered for Low Design Pressure Equipment</v>
      </c>
      <c r="R129" s="39" t="str">
        <f>IF(Exclude_MI="Only MI",SD_Gen_1,IF(Reactive_Only="Yes",SD_Gen_3,IF(AND(MAWP&lt;1,Vacuum_Rated=""),SD_Gen_42,IF(Vacuum_Rated&lt;&gt;"No",SD_Gen_37,SD_Gen_36))))</f>
        <v>Rating for Full vacuum Not Entered for Low Design Pressure Equipment</v>
      </c>
      <c r="S129" s="39"/>
      <c r="T129" s="39"/>
      <c r="U129" s="39"/>
      <c r="V129" s="39"/>
      <c r="W129" s="39"/>
      <c r="X129" s="39" t="str">
        <f>IF(Exclude_MI="Only MI",SD_Gen_1,IF(Reactive_Only="Yes",SD_Gen_3,IF(AND(MAWP&lt;1,Vacuum_Rated=""),SD_Gen_42,IF(Vacuum_Rated&lt;&gt;"No",SD_Gen_37,SD_Gen_36))))</f>
        <v>Rating for Full vacuum Not Entered for Low Design Pressure Equipment</v>
      </c>
      <c r="Y129" s="39" t="str">
        <f>IF(Exclude_MI="Only MI",SD_Gen_1,IF(Reactive_Only="Yes",SD_Gen_3,IF(AND(MAWP&lt;1,Vacuum_Rated=""),SD_Gen_42,IF(Vacuum_Rated&lt;&gt;"No",SD_Gen_37,SD_Gen_36))))</f>
        <v>Rating for Full vacuum Not Entered for Low Design Pressure Equipment</v>
      </c>
      <c r="Z129" s="39" t="str">
        <f>IF(Exclude_MI="Only MI",SD_Gen_1,IF(Reactive_Only="Yes",SD_Gen_3,IF(AND(MAWP&lt;1,Vacuum_Rated=""),SD_Gen_42,IF(Vacuum_Rated&lt;&gt;"No",SD_Gen_37,SD_Gen_36))))</f>
        <v>Rating for Full vacuum Not Entered for Low Design Pressure Equipment</v>
      </c>
      <c r="AA129" s="39" t="str">
        <f>IF(Exclude_MI="Only MI",SD_Gen_1,IF(Reactive_Only="Yes",SD_Gen_3,IF(AND(MAWP&lt;1,Vacuum_Rated=""),SD_Gen_42,IF(Vacuum_Rated&lt;&gt;"No",SD_Gen_37,SD_Gen_36))))</f>
        <v>Rating for Full vacuum Not Entered for Low Design Pressure Equipment</v>
      </c>
      <c r="AB129" s="39" t="str">
        <f>IF(Exclude_MI="Only MI",SD_Gen_1,IF(Reactive_Only="Yes",SD_Gen_3,IF(AND(MAWP&lt;1,Vacuum_Rated=""),SD_Gen_42,IF(Vacuum_Rated&lt;&gt;"No",SD_Gen_37,SD_Gen_36))))</f>
        <v>Rating for Full vacuum Not Entered for Low Design Pressure Equipment</v>
      </c>
      <c r="AC129" s="39"/>
      <c r="AD129" s="39"/>
      <c r="AE129" s="39" t="str">
        <f>IF(Exclude_MI="Only MI",SD_Gen_1,IF(Reactive_Only="Yes",SD_Gen_3,IF(AND(MAWP&lt;1,Vacuum_Rated=""),SD_Gen_42,IF(Vacuum_Rated&lt;&gt;"No",SD_Gen_37,SD_Gen_36))))</f>
        <v>Rating for Full vacuum Not Entered for Low Design Pressure Equipment</v>
      </c>
      <c r="AF129" s="39" t="str">
        <f>IF(Exclude_MI="Only MI",SD_Gen_1,IF(Reactive_Only="Yes",SD_Gen_3,IF(AND(MAWP&lt;1,Vacuum_Rated=""),SD_Gen_42,IF(Vacuum_Rated&lt;&gt;"No",SD_Gen_37,SD_Gen_36))))</f>
        <v>Rating for Full vacuum Not Entered for Low Design Pressure Equipment</v>
      </c>
      <c r="AG129" s="2049"/>
      <c r="AH129" s="39" t="str">
        <f>IF(Exclude_MI="Only MI",SD_Gen_1,IF(Reactive_Only="Yes",SD_Gen_3,IF(AND(MAWP&lt;1,Vacuum_Rated=""),SD_Gen_42,IF(Vacuum_Rated&lt;&gt;"No",SD_Gen_37,SD_Gen_36))))</f>
        <v>Rating for Full vacuum Not Entered for Low Design Pressure Equipment</v>
      </c>
      <c r="AI129" s="39"/>
      <c r="AK129" s="39" t="str">
        <f>IED_Gen_2</f>
        <v>Failure of Pressure Control</v>
      </c>
      <c r="AL129" s="39" t="str">
        <f>IED_Gen_20</f>
        <v>Operator leaves valves closed allowing vacuum during emptying of equipment</v>
      </c>
      <c r="AM129" s="39"/>
      <c r="AN129" s="39" t="str">
        <f>IED_Gen_27</f>
        <v>Operator leaves valves closed following infrequent maintenance allowing vacuum during emptying of equipment</v>
      </c>
      <c r="AO129" s="39"/>
      <c r="AP129" s="39"/>
      <c r="AQ129" s="738"/>
      <c r="AR129" s="39"/>
      <c r="AS129" s="1001"/>
      <c r="AT129" s="39"/>
      <c r="AU129" s="39"/>
      <c r="AV129" s="39"/>
      <c r="AW129" s="39" t="str">
        <f>IED_Gen_50</f>
        <v>Regulator Fails causing low flow of vapor or inert gas allowing vacuum during emptying of equipment</v>
      </c>
      <c r="AX129" s="39"/>
      <c r="AY129" s="39"/>
      <c r="AZ129" s="39"/>
      <c r="BA129" s="39"/>
      <c r="BB129" s="39"/>
      <c r="BC129" s="39"/>
      <c r="BD129" s="39"/>
      <c r="BE129" s="39"/>
      <c r="BF129" s="39"/>
      <c r="BG129" s="39"/>
      <c r="BH129" s="39"/>
      <c r="BJ129" s="39"/>
      <c r="BK129" s="39"/>
      <c r="BL129" s="1852"/>
      <c r="BM129" s="39"/>
      <c r="BN129" s="39"/>
      <c r="BO129" s="3180"/>
      <c r="BP129" s="3180"/>
      <c r="BQ129" s="39"/>
      <c r="BR129" s="39"/>
      <c r="BS129" s="39"/>
      <c r="BT129" s="39"/>
      <c r="BU129" s="1852"/>
      <c r="BV129" s="1852"/>
      <c r="BW129" s="39"/>
      <c r="BX129" s="39"/>
      <c r="BY129" s="39"/>
      <c r="BZ129" s="39"/>
      <c r="CA129" s="39"/>
      <c r="CB129" s="39"/>
      <c r="CC129" s="39"/>
      <c r="CD129" s="39"/>
      <c r="CE129" s="39"/>
      <c r="CF129" s="1475"/>
      <c r="CG129" s="39"/>
      <c r="CH129" s="39"/>
      <c r="CI129" s="39"/>
      <c r="CJ129" s="39"/>
      <c r="CK129" s="39"/>
      <c r="CL129" s="1036"/>
      <c r="CM129" s="738"/>
      <c r="CN129" s="738"/>
      <c r="CO129" s="39"/>
      <c r="CP129" s="39"/>
      <c r="CQ129" s="39"/>
      <c r="CR129" s="39"/>
      <c r="CS129" s="39"/>
      <c r="CT129" s="39"/>
      <c r="CU129" s="39"/>
      <c r="CV129" s="782"/>
      <c r="CW129" s="39"/>
      <c r="CX129" s="39"/>
      <c r="CY129" s="39"/>
      <c r="CZ129" s="39"/>
      <c r="DA129" s="39"/>
      <c r="DB129" s="39" t="str">
        <f>IPLD_Gen_2</f>
        <v>Vacuum Relief Device Sized for Scenario and verified by qualified Relief Designer</v>
      </c>
      <c r="DC129" s="2039"/>
      <c r="DD129" s="39"/>
      <c r="DE129" s="39"/>
      <c r="DF129" s="500"/>
      <c r="DG129" s="39"/>
      <c r="DH129" s="39"/>
      <c r="DI129" s="39"/>
      <c r="DJ129" s="39"/>
    </row>
    <row r="130" spans="3:114" x14ac:dyDescent="0.25">
      <c r="C130" s="39" t="str">
        <f t="shared" si="25"/>
        <v>USER DEFINED - EVENT TYPE</v>
      </c>
      <c r="D130" s="19"/>
      <c r="E130" s="39"/>
      <c r="F130" s="39"/>
      <c r="G130" s="39"/>
      <c r="H130" s="39"/>
      <c r="I130" s="39"/>
      <c r="J130" s="39"/>
      <c r="K130" s="39"/>
      <c r="L130" s="39"/>
      <c r="M130" s="39"/>
      <c r="N130" s="39"/>
      <c r="O130" s="39"/>
      <c r="P130" s="39"/>
      <c r="Q130" s="39"/>
      <c r="R130" s="39"/>
      <c r="S130" s="39"/>
      <c r="T130" s="39"/>
      <c r="U130" s="39"/>
      <c r="V130" s="39"/>
      <c r="W130" s="39"/>
      <c r="X130" s="39"/>
      <c r="Y130" s="39"/>
      <c r="Z130" s="39"/>
      <c r="AA130" s="39"/>
      <c r="AB130" s="39"/>
      <c r="AC130" s="39"/>
      <c r="AD130" s="39"/>
      <c r="AE130" s="39"/>
      <c r="AF130" s="39"/>
      <c r="AG130" s="2049"/>
      <c r="AH130" s="39"/>
      <c r="AI130" s="39"/>
      <c r="AK130" s="39"/>
      <c r="AL130" s="39"/>
      <c r="AM130" s="39"/>
      <c r="AN130" s="39"/>
      <c r="AO130" s="39"/>
      <c r="AP130" s="39"/>
      <c r="AQ130" s="738"/>
      <c r="AR130" s="39"/>
      <c r="AS130" s="1001"/>
      <c r="AT130" s="39"/>
      <c r="AU130" s="39"/>
      <c r="AV130" s="39"/>
      <c r="AW130" s="39"/>
      <c r="AX130" s="39"/>
      <c r="AY130" s="39"/>
      <c r="AZ130" s="39"/>
      <c r="BA130" s="39"/>
      <c r="BB130" s="39"/>
      <c r="BC130" s="39"/>
      <c r="BD130" s="39"/>
      <c r="BE130" s="39"/>
      <c r="BF130" s="39"/>
      <c r="BG130" s="39"/>
      <c r="BH130" s="39"/>
      <c r="BJ130" s="39"/>
      <c r="BK130" s="39"/>
      <c r="BL130" s="1852"/>
      <c r="BM130" s="39"/>
      <c r="BN130" s="39"/>
      <c r="BO130" s="3180"/>
      <c r="BP130" s="3180"/>
      <c r="BQ130" s="39"/>
      <c r="BR130" s="39"/>
      <c r="BS130" s="39"/>
      <c r="BT130" s="39"/>
      <c r="BU130" s="1852"/>
      <c r="BV130" s="1852"/>
      <c r="BW130" s="39"/>
      <c r="BX130" s="39"/>
      <c r="BY130" s="39"/>
      <c r="BZ130" s="39"/>
      <c r="CA130" s="39"/>
      <c r="CB130" s="39"/>
      <c r="CC130" s="39"/>
      <c r="CD130" s="39"/>
      <c r="CE130" s="39"/>
      <c r="CF130" s="1475"/>
      <c r="CG130" s="39"/>
      <c r="CH130" s="39"/>
      <c r="CI130" s="39"/>
      <c r="CJ130" s="39"/>
      <c r="CK130" s="39"/>
      <c r="CL130" s="1036"/>
      <c r="CM130" s="738"/>
      <c r="CN130" s="738"/>
      <c r="CO130" s="39"/>
      <c r="CP130" s="39"/>
      <c r="CQ130" s="39"/>
      <c r="CR130" s="39"/>
      <c r="CS130" s="39"/>
      <c r="CT130" s="39"/>
      <c r="CU130" s="39"/>
      <c r="CV130" s="782"/>
      <c r="CW130" s="39"/>
      <c r="CX130" s="39"/>
      <c r="CY130" s="39"/>
      <c r="CZ130" s="39"/>
      <c r="DA130" s="39"/>
      <c r="DB130" s="39"/>
      <c r="DC130" s="2039"/>
      <c r="DD130" s="39"/>
      <c r="DE130" s="39"/>
      <c r="DF130" s="500"/>
      <c r="DG130" s="39"/>
      <c r="DH130" s="39"/>
      <c r="DI130" s="39"/>
      <c r="DJ130" s="39"/>
    </row>
    <row r="131" spans="3:114" x14ac:dyDescent="0.25">
      <c r="D131" s="19"/>
    </row>
    <row r="132" spans="3:114" x14ac:dyDescent="0.25">
      <c r="D132" s="19"/>
    </row>
    <row r="133" spans="3:114" ht="16.5" customHeight="1" x14ac:dyDescent="0.25">
      <c r="D133" s="19"/>
      <c r="AK133" s="3784" t="s">
        <v>882</v>
      </c>
      <c r="AL133" s="3785"/>
      <c r="AM133" s="3785"/>
      <c r="AN133" s="3785"/>
      <c r="AO133" s="3785"/>
      <c r="AP133" s="3785"/>
      <c r="AQ133" s="4023"/>
      <c r="AR133" s="3785"/>
      <c r="AS133" s="4024"/>
      <c r="AT133" s="3785"/>
      <c r="AU133" s="3785"/>
      <c r="AV133" s="3785"/>
      <c r="AW133" s="3785"/>
      <c r="AX133" s="3785"/>
      <c r="AY133" s="3785"/>
      <c r="AZ133" s="3785"/>
      <c r="BA133" s="3785"/>
      <c r="BB133" s="3785"/>
      <c r="BC133" s="3785"/>
      <c r="BD133" s="3785"/>
      <c r="BE133" s="3785"/>
      <c r="BF133" s="3785"/>
      <c r="BG133" s="3785"/>
      <c r="BH133" s="3785"/>
      <c r="BJ133" s="3794" t="s">
        <v>1659</v>
      </c>
      <c r="BK133" s="4027"/>
      <c r="BL133" s="4028"/>
      <c r="BM133" s="3794"/>
      <c r="BN133" s="3794"/>
      <c r="BO133" s="4029"/>
      <c r="BP133" s="4029"/>
      <c r="BQ133" s="3794"/>
      <c r="BR133" s="3794"/>
      <c r="BS133" s="3794"/>
      <c r="BT133" s="3794"/>
      <c r="BU133" s="4028"/>
      <c r="BV133" s="4028"/>
      <c r="BW133" s="3794"/>
      <c r="BX133" s="3794"/>
      <c r="BY133" s="4030"/>
      <c r="BZ133" s="4030"/>
      <c r="CA133" s="4030"/>
      <c r="CB133" s="4030"/>
      <c r="CC133" s="4030"/>
      <c r="CD133" s="4030"/>
      <c r="CE133" s="4030"/>
      <c r="CF133" s="4031"/>
      <c r="CG133" s="4030"/>
      <c r="CH133" s="4030"/>
      <c r="CI133" s="4030"/>
      <c r="CJ133" s="4030"/>
      <c r="CK133" s="4030"/>
      <c r="CL133" s="4032"/>
      <c r="CM133" s="4033"/>
      <c r="CN133" s="4034"/>
      <c r="CO133" s="4035"/>
      <c r="CP133" s="4030"/>
      <c r="CQ133" s="4030"/>
      <c r="CR133" s="4030"/>
      <c r="CS133" s="4030"/>
      <c r="CT133" s="4030"/>
      <c r="CU133" s="4030"/>
      <c r="CV133" s="4034"/>
      <c r="CW133" s="4030"/>
      <c r="CX133" s="4030"/>
      <c r="CY133" s="4030"/>
      <c r="CZ133" s="4030"/>
      <c r="DA133" s="4030"/>
      <c r="DB133" s="4030"/>
      <c r="DC133" s="4036"/>
      <c r="DD133" s="4030"/>
      <c r="DE133" s="4030"/>
      <c r="DF133" s="4037"/>
      <c r="DG133" s="4030"/>
      <c r="DH133" s="4030"/>
      <c r="DI133" s="4030"/>
      <c r="DJ133" s="4030"/>
    </row>
    <row r="134" spans="3:114" ht="219.5" x14ac:dyDescent="0.25">
      <c r="C134" s="37" t="s">
        <v>686</v>
      </c>
      <c r="D134" s="19"/>
      <c r="AK134" s="190" t="s">
        <v>797</v>
      </c>
      <c r="AL134" s="190" t="s">
        <v>798</v>
      </c>
      <c r="AM134" s="190" t="s">
        <v>2766</v>
      </c>
      <c r="AN134" s="190" t="s">
        <v>799</v>
      </c>
      <c r="AO134" s="190" t="s">
        <v>1248</v>
      </c>
      <c r="AP134" s="190" t="s">
        <v>2554</v>
      </c>
      <c r="AQ134" s="190" t="s">
        <v>2553</v>
      </c>
      <c r="AR134" s="190" t="s">
        <v>2738</v>
      </c>
      <c r="AS134" s="999" t="s">
        <v>2758</v>
      </c>
      <c r="AT134" s="190" t="s">
        <v>800</v>
      </c>
      <c r="AU134" s="190" t="s">
        <v>1004</v>
      </c>
      <c r="AV134" s="190" t="s">
        <v>2765</v>
      </c>
      <c r="AW134" s="190" t="s">
        <v>2032</v>
      </c>
      <c r="AX134" s="190" t="s">
        <v>663</v>
      </c>
      <c r="AY134" s="190" t="s">
        <v>1510</v>
      </c>
      <c r="AZ134" s="190" t="s">
        <v>801</v>
      </c>
      <c r="BA134" s="190" t="s">
        <v>1792</v>
      </c>
      <c r="BB134" s="190" t="s">
        <v>1255</v>
      </c>
      <c r="BC134" s="190" t="s">
        <v>1000</v>
      </c>
      <c r="BD134" s="190" t="s">
        <v>999</v>
      </c>
      <c r="BE134" s="190" t="s">
        <v>1183</v>
      </c>
      <c r="BF134" s="190" t="s">
        <v>1001</v>
      </c>
      <c r="BG134" s="190" t="s">
        <v>1002</v>
      </c>
      <c r="BH134" s="190" t="s">
        <v>1003</v>
      </c>
      <c r="BJ134" s="190" t="str">
        <f t="shared" ref="BJ134:DJ134" si="28">BJ3</f>
        <v>Very Small Hole Size Leak</v>
      </c>
      <c r="BK134" s="190" t="str">
        <f t="shared" si="28"/>
        <v>Mechanical Seal Failure</v>
      </c>
      <c r="BL134" s="190" t="str">
        <f t="shared" si="28"/>
        <v>Mechanical Seal Failure above Liquid Level</v>
      </c>
      <c r="BM134" s="190" t="str">
        <f t="shared" si="28"/>
        <v>Gasket Failure</v>
      </c>
      <c r="BN134" s="190" t="str">
        <f t="shared" si="28"/>
        <v>Gasket Failure above Liquid Level</v>
      </c>
      <c r="BO134" s="3179"/>
      <c r="BP134" s="3179"/>
      <c r="BQ134" s="190" t="str">
        <f t="shared" si="28"/>
        <v>Drain or Vent Leak</v>
      </c>
      <c r="BR134" s="190" t="str">
        <f t="shared" si="28"/>
        <v>Drain or Vent Leak above Liquid Level</v>
      </c>
      <c r="BS134" s="190" t="str">
        <f t="shared" si="28"/>
        <v>USER DEFINED HOLE SIZE</v>
      </c>
      <c r="BT134" s="190" t="str">
        <f t="shared" si="28"/>
        <v>USER DEFINED HOLE SIZE above Liquid Level</v>
      </c>
      <c r="BU134" s="190" t="str">
        <f t="shared" si="28"/>
        <v>Small Hole Size Leak</v>
      </c>
      <c r="BV134" s="190" t="str">
        <f t="shared" si="28"/>
        <v>Small Hole Size Leak above Liquid Level</v>
      </c>
      <c r="BW134" s="190" t="str">
        <f t="shared" si="28"/>
        <v>Medium Hole Size Leak</v>
      </c>
      <c r="BX134" s="190" t="str">
        <f t="shared" si="28"/>
        <v>Medium Hole Size Leak above Liquid Level</v>
      </c>
      <c r="BY134" s="190" t="str">
        <f t="shared" si="28"/>
        <v>Full Bore Hole Size Leak</v>
      </c>
      <c r="BZ134" s="190" t="str">
        <f t="shared" si="28"/>
        <v>Full Bore Hole Size Leak above Liquid Level</v>
      </c>
      <c r="CA134" s="190" t="str">
        <f t="shared" si="28"/>
        <v>Very Large Hole Size Leak</v>
      </c>
      <c r="CB134" s="190" t="str">
        <f t="shared" si="28"/>
        <v>Very Large Hole Size Leak above Liquid Level</v>
      </c>
      <c r="CC134" s="190" t="str">
        <f t="shared" si="28"/>
        <v>Extremely Large Hole Size Leak</v>
      </c>
      <c r="CD134" s="190" t="str">
        <f t="shared" si="28"/>
        <v>Extremely Large Hole Size Leak above Liquid Level</v>
      </c>
      <c r="CE134" s="190" t="str">
        <f t="shared" si="28"/>
        <v>Solids Spill</v>
      </c>
      <c r="CF134" s="190" t="str">
        <f t="shared" si="28"/>
        <v>Secondary Dust Release</v>
      </c>
      <c r="CG134" s="190" t="str">
        <f t="shared" si="28"/>
        <v>Flaming Liquid Release</v>
      </c>
      <c r="CH134" s="190" t="str">
        <f t="shared" si="28"/>
        <v>Relief Size Release</v>
      </c>
      <c r="CI134" s="190" t="str">
        <f t="shared" si="28"/>
        <v>Relief Size Release above Liquid Level</v>
      </c>
      <c r="CJ134" s="190" t="str">
        <f t="shared" si="28"/>
        <v>Overfill Release</v>
      </c>
      <c r="CK134" s="190" t="str">
        <f t="shared" si="28"/>
        <v>Backflow Release</v>
      </c>
      <c r="CL134" s="190" t="str">
        <f t="shared" si="28"/>
        <v>Vent Release</v>
      </c>
      <c r="CM134" s="190" t="str">
        <f t="shared" si="28"/>
        <v>Tube Hole Size Leak (Process Fluid)</v>
      </c>
      <c r="CN134" s="190" t="str">
        <f t="shared" si="28"/>
        <v>Tube Hole Size Leak (Heat Transfer Fluid)</v>
      </c>
      <c r="CO134" s="190" t="str">
        <f t="shared" si="28"/>
        <v>Pad Gas Release</v>
      </c>
      <c r="CP134" s="190" t="str">
        <f t="shared" si="28"/>
        <v>Vapor Displacement from Liquid Filling</v>
      </c>
      <c r="CQ134" s="190" t="str">
        <f t="shared" si="28"/>
        <v>USER DEFINED LEAK RATE</v>
      </c>
      <c r="CR134" s="190" t="str">
        <f t="shared" si="28"/>
        <v>Vapor Relief Vent - Fire</v>
      </c>
      <c r="CS134" s="190" t="str">
        <f t="shared" si="28"/>
        <v>Vapor Relief Vent - Heat Transfer</v>
      </c>
      <c r="CT134" s="190" t="str">
        <f t="shared" si="28"/>
        <v>Vapor Relief Vent - Mechanical Energy</v>
      </c>
      <c r="CU134" s="190" t="str">
        <f t="shared" si="28"/>
        <v>Vapor Relief Vent - Reaction</v>
      </c>
      <c r="CV134" s="190" t="str">
        <f t="shared" si="28"/>
        <v>Vapor Relief Vent - Reaction with External Heat</v>
      </c>
      <c r="CW134" s="190" t="str">
        <f t="shared" si="28"/>
        <v>Vapor Relief Vent - Reaction with Fire</v>
      </c>
      <c r="CX134" s="190" t="str">
        <f t="shared" si="28"/>
        <v>Vapor Relief Vent - Reaction with Catalyst</v>
      </c>
      <c r="CY134" s="190" t="str">
        <f t="shared" si="28"/>
        <v>Vapor Relief Vent - Reaction with Pooling</v>
      </c>
      <c r="CZ134" s="190" t="str">
        <f t="shared" si="28"/>
        <v>Vapor Relief Vent - Reaction with Mis-Loading</v>
      </c>
      <c r="DA134" s="190" t="str">
        <f t="shared" si="28"/>
        <v>USER DEFINED VAPOR VENT RATE at Relief Temp</v>
      </c>
      <c r="DB134" s="190" t="str">
        <f t="shared" si="28"/>
        <v>Equipment Damage</v>
      </c>
      <c r="DC134" s="190" t="str">
        <f t="shared" si="28"/>
        <v>Equipment Failure above Design Temperature</v>
      </c>
      <c r="DD134" s="190" t="str">
        <f t="shared" si="28"/>
        <v>Equipment Rupture at Operating Temperature</v>
      </c>
      <c r="DE134" s="190" t="str">
        <f t="shared" si="28"/>
        <v>Equipment Rupture at Saturation Temperature</v>
      </c>
      <c r="DF134" s="190" t="str">
        <f t="shared" si="28"/>
        <v>Equipment Rupture at Peak Temperature</v>
      </c>
      <c r="DG134" s="190" t="str">
        <f t="shared" si="28"/>
        <v>Equipment Rupture at Fire Conditions</v>
      </c>
      <c r="DH134" s="190" t="str">
        <f t="shared" si="28"/>
        <v>Equipment Rupture - Deflagration</v>
      </c>
      <c r="DI134" s="190" t="str">
        <f t="shared" si="28"/>
        <v>Equipment Rupture - Detonation/Deflagration</v>
      </c>
      <c r="DJ134" s="190" t="str">
        <f t="shared" si="28"/>
        <v>USER DEFINED LOSS EVENT</v>
      </c>
    </row>
    <row r="135" spans="3:114" x14ac:dyDescent="0.25">
      <c r="C135" s="39" t="str">
        <f t="shared" ref="C135:C146" si="29">C6</f>
        <v>Accumulation of Untreated Vent or Waste</v>
      </c>
      <c r="D135" s="19"/>
      <c r="AK135" s="39" t="str">
        <f>IPLD_FE_4</f>
        <v>Proper position on Primary Fuel Valve necessary for Fuel Block Valves to remain open</v>
      </c>
      <c r="AL135" s="39"/>
      <c r="AM135" s="39"/>
      <c r="AN135" s="39"/>
      <c r="AO135" s="39"/>
      <c r="AP135" s="39"/>
      <c r="AQ135" s="738"/>
      <c r="AR135" s="39"/>
      <c r="AS135" s="1001"/>
      <c r="AT135" s="39"/>
      <c r="AU135" s="39"/>
      <c r="AV135" s="39"/>
      <c r="AW135" s="39"/>
      <c r="AX135" s="39"/>
      <c r="AY135" s="39"/>
      <c r="AZ135" s="39"/>
      <c r="BA135" s="39"/>
      <c r="BB135" s="39"/>
      <c r="BC135" s="39"/>
      <c r="BD135" s="39"/>
      <c r="BE135" s="39"/>
      <c r="BF135" s="39"/>
      <c r="BG135" s="39"/>
      <c r="BH135" s="39"/>
      <c r="BJ135" s="39"/>
      <c r="BK135" s="39"/>
      <c r="BL135" s="1852"/>
      <c r="BM135" s="39"/>
      <c r="BN135" s="39"/>
      <c r="BO135" s="3180"/>
      <c r="BP135" s="3180"/>
      <c r="BQ135" s="39"/>
      <c r="BR135" s="39"/>
      <c r="BS135" s="39"/>
      <c r="BT135" s="39"/>
      <c r="BU135" s="1852"/>
      <c r="BV135" s="1852"/>
      <c r="BW135" s="39"/>
      <c r="BX135" s="39"/>
      <c r="BY135" s="39"/>
      <c r="BZ135" s="39"/>
      <c r="CA135" s="39"/>
      <c r="CB135" s="39"/>
      <c r="CC135" s="39"/>
      <c r="CD135" s="39"/>
      <c r="CE135" s="39"/>
      <c r="CF135" s="1475"/>
      <c r="CG135" s="39"/>
      <c r="CH135" s="39"/>
      <c r="CI135" s="39"/>
      <c r="CJ135" s="39"/>
      <c r="CK135" s="39"/>
      <c r="CL135" s="1036" t="str">
        <f>IF(Overflow_Location="Fired Equip (TOX-Flare)",IPLD_Gen_41,IF(Overflow_Location="Scrubber System",IPLD_Gen_42,""))</f>
        <v/>
      </c>
      <c r="CM135" s="738"/>
      <c r="CN135" s="738"/>
      <c r="CO135" s="39"/>
      <c r="CP135" s="39"/>
      <c r="CQ135" s="39"/>
      <c r="CR135" s="39"/>
      <c r="CS135" s="39"/>
      <c r="CT135" s="39"/>
      <c r="CU135" s="39"/>
      <c r="CV135" s="782"/>
      <c r="CW135" s="39"/>
      <c r="CX135" s="39"/>
      <c r="CY135" s="39"/>
      <c r="CZ135" s="39"/>
      <c r="DA135" s="39"/>
      <c r="DB135" s="39"/>
      <c r="DC135" s="2039"/>
      <c r="DD135" s="39"/>
      <c r="DE135" s="39"/>
      <c r="DF135" s="500"/>
      <c r="DG135" s="39"/>
      <c r="DH135" s="39"/>
      <c r="DI135" s="39"/>
      <c r="DJ135" s="39"/>
    </row>
    <row r="136" spans="3:114" x14ac:dyDescent="0.25">
      <c r="C136" s="39" t="str">
        <f t="shared" si="29"/>
        <v>Blocked-In with Thermal Expansion</v>
      </c>
      <c r="D136" s="19"/>
      <c r="AK136" s="39"/>
      <c r="AL136" s="39"/>
      <c r="AM136" s="39"/>
      <c r="AN136" s="39"/>
      <c r="AO136" s="39"/>
      <c r="AP136" s="39"/>
      <c r="AQ136" s="738"/>
      <c r="AR136" s="39"/>
      <c r="AS136" s="1001"/>
      <c r="AT136" s="39"/>
      <c r="AU136" s="39"/>
      <c r="AV136" s="39"/>
      <c r="AW136" s="39"/>
      <c r="AX136" s="39"/>
      <c r="AY136" s="39"/>
      <c r="AZ136" s="39"/>
      <c r="BA136" s="39"/>
      <c r="BB136" s="39"/>
      <c r="BC136" s="39"/>
      <c r="BD136" s="39"/>
      <c r="BE136" s="39"/>
      <c r="BF136" s="39"/>
      <c r="BG136" s="39"/>
      <c r="BH136" s="39"/>
      <c r="BJ136" s="39"/>
      <c r="BK136" s="39"/>
      <c r="BL136" s="1852"/>
      <c r="BM136" s="39"/>
      <c r="BN136" s="39"/>
      <c r="BO136" s="3180"/>
      <c r="BP136" s="3180"/>
      <c r="BQ136" s="39"/>
      <c r="BR136" s="39"/>
      <c r="BS136" s="39"/>
      <c r="BT136" s="39"/>
      <c r="BU136" s="1852"/>
      <c r="BV136" s="1852"/>
      <c r="BW136" s="39"/>
      <c r="BX136" s="39"/>
      <c r="BY136" s="39"/>
      <c r="BZ136" s="39"/>
      <c r="CA136" s="39"/>
      <c r="CB136" s="39"/>
      <c r="CC136" s="39"/>
      <c r="CD136" s="39"/>
      <c r="CE136" s="39"/>
      <c r="CF136" s="1475"/>
      <c r="CG136" s="39"/>
      <c r="CH136" s="39"/>
      <c r="CI136" s="39"/>
      <c r="CJ136" s="39"/>
      <c r="CK136" s="39"/>
      <c r="CL136" s="1036"/>
      <c r="CM136" s="738"/>
      <c r="CN136" s="738"/>
      <c r="CO136" s="39"/>
      <c r="CP136" s="39"/>
      <c r="CQ136" s="39"/>
      <c r="CR136" s="39"/>
      <c r="CS136" s="39"/>
      <c r="CT136" s="39"/>
      <c r="CU136" s="39"/>
      <c r="CV136" s="782"/>
      <c r="CW136" s="39"/>
      <c r="CX136" s="39"/>
      <c r="CY136" s="39"/>
      <c r="CZ136" s="39"/>
      <c r="DA136" s="39"/>
      <c r="DB136" s="39"/>
      <c r="DC136" s="2039"/>
      <c r="DD136" s="39"/>
      <c r="DE136" s="39"/>
      <c r="DF136" s="500"/>
      <c r="DG136" s="39"/>
      <c r="DH136" s="39"/>
      <c r="DI136" s="39"/>
      <c r="DJ136" s="39"/>
    </row>
    <row r="137" spans="3:114" x14ac:dyDescent="0.25">
      <c r="C137" s="39" t="str">
        <f t="shared" si="29"/>
        <v>Casing or Containment Failure</v>
      </c>
      <c r="D137" s="19"/>
      <c r="AK137" s="1824"/>
      <c r="AL137" s="1824"/>
      <c r="AM137" s="1824"/>
      <c r="AN137" s="1824"/>
      <c r="AO137" s="1824"/>
      <c r="AP137" s="1824"/>
      <c r="AQ137" s="1824"/>
      <c r="AR137" s="1824"/>
      <c r="AS137" s="1824"/>
      <c r="AT137" s="1824"/>
      <c r="AU137" s="1824"/>
      <c r="AV137" s="1824"/>
      <c r="AW137" s="1824"/>
      <c r="AX137" s="1824"/>
      <c r="AY137" s="1824"/>
      <c r="AZ137" s="1824" t="str">
        <f>IF(Seal_Type="Double Containment",IPLD_Gen_17,"")</f>
        <v/>
      </c>
      <c r="BA137" s="1824"/>
      <c r="BB137" s="1824"/>
      <c r="BC137" s="1824"/>
      <c r="BD137" s="1824"/>
      <c r="BE137" s="1824"/>
      <c r="BF137" s="1824"/>
      <c r="BG137" s="1824"/>
      <c r="BH137" s="1824"/>
      <c r="BJ137" s="1824"/>
      <c r="BK137" s="1824"/>
      <c r="BL137" s="1852"/>
      <c r="BM137" s="1824"/>
      <c r="BN137" s="1824"/>
      <c r="BO137" s="3180"/>
      <c r="BP137" s="3180"/>
      <c r="BQ137" s="1824"/>
      <c r="BR137" s="1824"/>
      <c r="BS137" s="1824"/>
      <c r="BT137" s="1824"/>
      <c r="BU137" s="1852"/>
      <c r="BV137" s="1852"/>
      <c r="BW137" s="1824"/>
      <c r="BX137" s="1824"/>
      <c r="BY137" s="1824"/>
      <c r="BZ137" s="1824"/>
      <c r="CA137" s="1824"/>
      <c r="CB137" s="1824"/>
      <c r="CC137" s="1824"/>
      <c r="CD137" s="1824"/>
      <c r="CE137" s="1824"/>
      <c r="CF137" s="1824"/>
      <c r="CG137" s="1824"/>
      <c r="CH137" s="1824"/>
      <c r="CI137" s="1824"/>
      <c r="CJ137" s="1824"/>
      <c r="CK137" s="1824"/>
      <c r="CL137" s="1824"/>
      <c r="CM137" s="1824"/>
      <c r="CN137" s="1824"/>
      <c r="CO137" s="1824"/>
      <c r="CP137" s="1824"/>
      <c r="CQ137" s="1824"/>
      <c r="CR137" s="1824"/>
      <c r="CS137" s="1824"/>
      <c r="CT137" s="1824"/>
      <c r="CU137" s="1824"/>
      <c r="CV137" s="1824"/>
      <c r="CW137" s="1824"/>
      <c r="CX137" s="1824"/>
      <c r="CY137" s="1824"/>
      <c r="CZ137" s="1824"/>
      <c r="DA137" s="1824"/>
      <c r="DB137" s="1824"/>
      <c r="DC137" s="2039"/>
      <c r="DD137" s="1824"/>
      <c r="DE137" s="1824"/>
      <c r="DF137" s="1824"/>
      <c r="DG137" s="1824"/>
      <c r="DH137" s="1824"/>
      <c r="DI137" s="1824"/>
      <c r="DJ137" s="1824"/>
    </row>
    <row r="138" spans="3:114" x14ac:dyDescent="0.25">
      <c r="C138" s="39" t="str">
        <f t="shared" si="29"/>
        <v>Connection Failure</v>
      </c>
      <c r="D138" s="19"/>
      <c r="AK138" s="39"/>
      <c r="AL138" s="39"/>
      <c r="AM138" s="39"/>
      <c r="AN138" s="39"/>
      <c r="AO138" s="39"/>
      <c r="AP138" s="39"/>
      <c r="AQ138" s="738"/>
      <c r="AR138" s="39"/>
      <c r="AS138" s="1001"/>
      <c r="AT138" s="39"/>
      <c r="AU138" s="39"/>
      <c r="AV138" s="39"/>
      <c r="AW138" s="39"/>
      <c r="AX138" s="39"/>
      <c r="AY138" s="39"/>
      <c r="AZ138" s="39"/>
      <c r="BA138" s="39"/>
      <c r="BB138" s="39"/>
      <c r="BC138" s="39"/>
      <c r="BD138" s="39"/>
      <c r="BE138" s="39"/>
      <c r="BF138" s="39"/>
      <c r="BG138" s="39"/>
      <c r="BH138" s="39"/>
      <c r="BJ138" s="39"/>
      <c r="BK138" s="39"/>
      <c r="BL138" s="1852"/>
      <c r="BM138" s="39"/>
      <c r="BN138" s="39"/>
      <c r="BO138" s="3180"/>
      <c r="BP138" s="3180"/>
      <c r="BQ138" s="39"/>
      <c r="BR138" s="39"/>
      <c r="BS138" s="39"/>
      <c r="BT138" s="39"/>
      <c r="BU138" s="1852"/>
      <c r="BV138" s="1852"/>
      <c r="BW138" s="39"/>
      <c r="BX138" s="39"/>
      <c r="BY138" s="39"/>
      <c r="BZ138" s="39"/>
      <c r="CA138" s="39"/>
      <c r="CB138" s="39"/>
      <c r="CC138" s="39"/>
      <c r="CD138" s="39"/>
      <c r="CE138" s="39"/>
      <c r="CF138" s="1475"/>
      <c r="CG138" s="39"/>
      <c r="CH138" s="39"/>
      <c r="CI138" s="39"/>
      <c r="CJ138" s="39"/>
      <c r="CK138" s="39"/>
      <c r="CL138" s="1036"/>
      <c r="CM138" s="738"/>
      <c r="CN138" s="738"/>
      <c r="CO138" s="39"/>
      <c r="CP138" s="39"/>
      <c r="CQ138" s="39"/>
      <c r="CR138" s="39"/>
      <c r="CS138" s="39"/>
      <c r="CT138" s="39"/>
      <c r="CU138" s="39"/>
      <c r="CV138" s="782"/>
      <c r="CW138" s="39"/>
      <c r="CX138" s="39"/>
      <c r="CY138" s="39"/>
      <c r="CZ138" s="39"/>
      <c r="DA138" s="39"/>
      <c r="DB138" s="39"/>
      <c r="DC138" s="2039"/>
      <c r="DD138" s="39"/>
      <c r="DE138" s="39"/>
      <c r="DF138" s="500"/>
      <c r="DG138" s="39"/>
      <c r="DH138" s="39"/>
      <c r="DI138" s="39"/>
      <c r="DJ138" s="39"/>
    </row>
    <row r="139" spans="3:114" x14ac:dyDescent="0.25">
      <c r="C139" s="39" t="str">
        <f t="shared" si="29"/>
        <v>Drain or Vent Valve Open</v>
      </c>
      <c r="D139" s="19"/>
      <c r="AK139" s="39"/>
      <c r="AL139" s="39"/>
      <c r="AM139" s="39"/>
      <c r="AN139" s="39"/>
      <c r="AO139" s="39"/>
      <c r="AP139" s="39"/>
      <c r="AQ139" s="738"/>
      <c r="AR139" s="39"/>
      <c r="AS139" s="1001"/>
      <c r="AT139" s="39"/>
      <c r="AU139" s="39"/>
      <c r="AV139" s="39"/>
      <c r="AW139" s="39"/>
      <c r="AX139" s="39"/>
      <c r="AY139" s="39"/>
      <c r="AZ139" s="39"/>
      <c r="BA139" s="39"/>
      <c r="BB139" s="39"/>
      <c r="BC139" s="39"/>
      <c r="BD139" s="39"/>
      <c r="BE139" s="39"/>
      <c r="BF139" s="39"/>
      <c r="BG139" s="39"/>
      <c r="BH139" s="39"/>
      <c r="BJ139" s="39"/>
      <c r="BK139" s="39"/>
      <c r="BL139" s="1852"/>
      <c r="BM139" s="39"/>
      <c r="BN139" s="39"/>
      <c r="BO139" s="3180"/>
      <c r="BP139" s="3180"/>
      <c r="BQ139" s="39"/>
      <c r="BR139" s="39"/>
      <c r="BS139" s="39"/>
      <c r="BT139" s="39"/>
      <c r="BU139" s="1852"/>
      <c r="BV139" s="1852"/>
      <c r="BW139" s="39"/>
      <c r="BX139" s="39"/>
      <c r="BY139" s="39"/>
      <c r="BZ139" s="39"/>
      <c r="CA139" s="39"/>
      <c r="CB139" s="39"/>
      <c r="CC139" s="39"/>
      <c r="CD139" s="39"/>
      <c r="CE139" s="39"/>
      <c r="CF139" s="1475"/>
      <c r="CG139" s="39"/>
      <c r="CH139" s="39"/>
      <c r="CI139" s="39"/>
      <c r="CJ139" s="39"/>
      <c r="CK139" s="39"/>
      <c r="CL139" s="1036"/>
      <c r="CM139" s="738"/>
      <c r="CN139" s="738"/>
      <c r="CO139" s="39"/>
      <c r="CP139" s="39"/>
      <c r="CQ139" s="39"/>
      <c r="CR139" s="39"/>
      <c r="CS139" s="39"/>
      <c r="CT139" s="39"/>
      <c r="CU139" s="39"/>
      <c r="CV139" s="782"/>
      <c r="CW139" s="39"/>
      <c r="CX139" s="39"/>
      <c r="CY139" s="39"/>
      <c r="CZ139" s="39"/>
      <c r="DA139" s="39"/>
      <c r="DB139" s="39"/>
      <c r="DC139" s="2039"/>
      <c r="DD139" s="39"/>
      <c r="DE139" s="39"/>
      <c r="DF139" s="500"/>
      <c r="DG139" s="39"/>
      <c r="DH139" s="39"/>
      <c r="DI139" s="39"/>
      <c r="DJ139" s="39"/>
    </row>
    <row r="140" spans="3:114" x14ac:dyDescent="0.25">
      <c r="C140" s="39" t="str">
        <f t="shared" si="29"/>
        <v>Dust Accumulation in Process Area</v>
      </c>
      <c r="D140" s="19"/>
      <c r="AK140" s="1475"/>
      <c r="AL140" s="1475"/>
      <c r="AM140" s="1475"/>
      <c r="AN140" s="1475"/>
      <c r="AO140" s="1475"/>
      <c r="AP140" s="1475"/>
      <c r="AQ140" s="1475"/>
      <c r="AR140" s="1475"/>
      <c r="AS140" s="1475"/>
      <c r="AT140" s="1475"/>
      <c r="AU140" s="1475"/>
      <c r="AV140" s="1475"/>
      <c r="AW140" s="1475"/>
      <c r="AX140" s="1475"/>
      <c r="AY140" s="1475"/>
      <c r="AZ140" s="1475"/>
      <c r="BA140" s="1475"/>
      <c r="BB140" s="1475"/>
      <c r="BC140" s="1475"/>
      <c r="BD140" s="1475"/>
      <c r="BE140" s="1475"/>
      <c r="BF140" s="1475"/>
      <c r="BG140" s="1475"/>
      <c r="BH140" s="1475"/>
      <c r="BJ140" s="1475"/>
      <c r="BK140" s="1475"/>
      <c r="BL140" s="1852"/>
      <c r="BM140" s="1475"/>
      <c r="BN140" s="1475"/>
      <c r="BO140" s="3180"/>
      <c r="BP140" s="3180"/>
      <c r="BQ140" s="1475"/>
      <c r="BR140" s="1475"/>
      <c r="BS140" s="1475"/>
      <c r="BT140" s="1475"/>
      <c r="BU140" s="1852"/>
      <c r="BV140" s="1852"/>
      <c r="BW140" s="1475"/>
      <c r="BX140" s="1475"/>
      <c r="BY140" s="1475"/>
      <c r="BZ140" s="1475"/>
      <c r="CA140" s="1475"/>
      <c r="CB140" s="1475"/>
      <c r="CC140" s="1475"/>
      <c r="CD140" s="1475"/>
      <c r="CE140" s="1475"/>
      <c r="CF140" s="1475"/>
      <c r="CG140" s="1475"/>
      <c r="CH140" s="1475"/>
      <c r="CI140" s="1475"/>
      <c r="CJ140" s="1475"/>
      <c r="CK140" s="1475"/>
      <c r="CL140" s="1475"/>
      <c r="CM140" s="1475"/>
      <c r="CN140" s="1475"/>
      <c r="CO140" s="1475"/>
      <c r="CP140" s="1475"/>
      <c r="CQ140" s="1475"/>
      <c r="CR140" s="1475"/>
      <c r="CS140" s="1475"/>
      <c r="CT140" s="1475"/>
      <c r="CU140" s="1475"/>
      <c r="CV140" s="1475"/>
      <c r="CW140" s="1475"/>
      <c r="CX140" s="1475"/>
      <c r="CY140" s="1475"/>
      <c r="CZ140" s="1475"/>
      <c r="DA140" s="1475"/>
      <c r="DB140" s="1475"/>
      <c r="DC140" s="2039"/>
      <c r="DD140" s="1475"/>
      <c r="DE140" s="1475"/>
      <c r="DF140" s="1475"/>
      <c r="DG140" s="1475"/>
      <c r="DH140" s="1475"/>
      <c r="DI140" s="1475"/>
      <c r="DJ140" s="1475"/>
    </row>
    <row r="141" spans="3:114" x14ac:dyDescent="0.25">
      <c r="C141" s="39" t="str">
        <f t="shared" si="29"/>
        <v>Ignitable Headspace</v>
      </c>
      <c r="D141" s="19"/>
      <c r="AK141" s="39"/>
      <c r="AL141" s="39"/>
      <c r="AM141" s="39"/>
      <c r="AN141" s="39"/>
      <c r="AO141" s="39"/>
      <c r="AP141" s="39"/>
      <c r="AQ141" s="738"/>
      <c r="AR141" s="39"/>
      <c r="AS141" s="1001"/>
      <c r="AT141" s="39"/>
      <c r="AU141" s="39"/>
      <c r="AV141" s="39"/>
      <c r="AW141" s="39"/>
      <c r="AX141" s="39"/>
      <c r="AY141" s="39"/>
      <c r="AZ141" s="39"/>
      <c r="BA141" s="39"/>
      <c r="BB141" s="39"/>
      <c r="BC141" s="39"/>
      <c r="BD141" s="39"/>
      <c r="BE141" s="39"/>
      <c r="BF141" s="39"/>
      <c r="BG141" s="39"/>
      <c r="BH141" s="39"/>
      <c r="BJ141" s="39"/>
      <c r="BK141" s="39"/>
      <c r="BL141" s="1852"/>
      <c r="BM141" s="39"/>
      <c r="BN141" s="39"/>
      <c r="BO141" s="3180"/>
      <c r="BP141" s="3180"/>
      <c r="BQ141" s="39"/>
      <c r="BR141" s="39"/>
      <c r="BS141" s="39"/>
      <c r="BT141" s="39"/>
      <c r="BU141" s="1852"/>
      <c r="BV141" s="1852"/>
      <c r="BW141" s="39"/>
      <c r="BX141" s="39"/>
      <c r="BY141" s="39"/>
      <c r="BZ141" s="39"/>
      <c r="CA141" s="39"/>
      <c r="CB141" s="39"/>
      <c r="CC141" s="39"/>
      <c r="CD141" s="39"/>
      <c r="CE141" s="39"/>
      <c r="CF141" s="1475"/>
      <c r="CG141" s="39"/>
      <c r="CH141" s="39"/>
      <c r="CI141" s="39"/>
      <c r="CJ141" s="39"/>
      <c r="CK141" s="39"/>
      <c r="CL141" s="1036"/>
      <c r="CM141" s="738"/>
      <c r="CN141" s="738"/>
      <c r="CO141" s="39"/>
      <c r="CP141" s="39"/>
      <c r="CQ141" s="39"/>
      <c r="CR141" s="39"/>
      <c r="CS141" s="39"/>
      <c r="CT141" s="39"/>
      <c r="CU141" s="39"/>
      <c r="CV141" s="782"/>
      <c r="CW141" s="39"/>
      <c r="CX141" s="39"/>
      <c r="CY141" s="39"/>
      <c r="CZ141" s="39"/>
      <c r="DA141" s="39"/>
      <c r="DB141" s="39"/>
      <c r="DC141" s="2039"/>
      <c r="DD141" s="39"/>
      <c r="DE141" s="39"/>
      <c r="DF141" s="500"/>
      <c r="DG141" s="39"/>
      <c r="DH141" s="39"/>
      <c r="DI141" s="39"/>
      <c r="DJ141" s="39"/>
    </row>
    <row r="142" spans="3:114" x14ac:dyDescent="0.25">
      <c r="C142" s="39" t="str">
        <f t="shared" si="29"/>
        <v>Excessive Heat Input - Heat Transfer</v>
      </c>
      <c r="D142" s="19"/>
      <c r="AK142" s="39" t="str">
        <f>IPLD_Gen_10</f>
        <v>High Temperature Closes Heating Media Valve</v>
      </c>
      <c r="AL142" s="39"/>
      <c r="AM142" s="39"/>
      <c r="AN142" s="39"/>
      <c r="AO142" s="39"/>
      <c r="AP142" s="39"/>
      <c r="AQ142" s="738"/>
      <c r="AR142" s="39"/>
      <c r="AS142" s="1001"/>
      <c r="AT142" s="39"/>
      <c r="AU142" s="39"/>
      <c r="AV142" s="39"/>
      <c r="AW142" s="39"/>
      <c r="AX142" s="39"/>
      <c r="AY142" s="39"/>
      <c r="AZ142" s="39"/>
      <c r="BA142" s="39"/>
      <c r="BB142" s="39"/>
      <c r="BC142" s="39"/>
      <c r="BD142" s="39"/>
      <c r="BE142" s="39"/>
      <c r="BF142" s="39"/>
      <c r="BG142" s="39"/>
      <c r="BH142" s="39"/>
      <c r="BJ142" s="39"/>
      <c r="BK142" s="39"/>
      <c r="BL142" s="1852"/>
      <c r="BM142" s="39"/>
      <c r="BN142" s="39"/>
      <c r="BO142" s="3180"/>
      <c r="BP142" s="3180"/>
      <c r="BQ142" s="39"/>
      <c r="BR142" s="39"/>
      <c r="BS142" s="39"/>
      <c r="BT142" s="39"/>
      <c r="BU142" s="1852"/>
      <c r="BV142" s="1852"/>
      <c r="BW142" s="39"/>
      <c r="BX142" s="39"/>
      <c r="BY142" s="39"/>
      <c r="BZ142" s="39"/>
      <c r="CA142" s="39"/>
      <c r="CB142" s="39"/>
      <c r="CC142" s="39"/>
      <c r="CD142" s="39"/>
      <c r="CE142" s="39"/>
      <c r="CF142" s="1475"/>
      <c r="CG142" s="39"/>
      <c r="CH142" s="39"/>
      <c r="CI142" s="39"/>
      <c r="CJ142" s="39"/>
      <c r="CK142" s="39"/>
      <c r="CL142" s="1036"/>
      <c r="CM142" s="738"/>
      <c r="CN142" s="738"/>
      <c r="CO142" s="39"/>
      <c r="CP142" s="39"/>
      <c r="CQ142" s="39"/>
      <c r="CR142" s="39"/>
      <c r="CS142" s="1036" t="str">
        <f>IF(Relief_Discharge_Location="Flare or Incinerator",IPLD_Gen_41,IF(Relief_Discharge_Location="Scrubber or Containment",IPLD_Gen_42,""))</f>
        <v/>
      </c>
      <c r="CT142" s="39"/>
      <c r="CU142" s="39"/>
      <c r="CV142" s="782"/>
      <c r="CW142" s="39"/>
      <c r="CX142" s="39"/>
      <c r="CY142" s="39"/>
      <c r="CZ142" s="39"/>
      <c r="DA142" s="39"/>
      <c r="DB142" s="39"/>
      <c r="DC142" s="2039"/>
      <c r="DD142" s="39"/>
      <c r="DE142" s="39"/>
      <c r="DF142" s="500"/>
      <c r="DG142" s="39"/>
      <c r="DH142" s="39"/>
      <c r="DI142" s="39"/>
      <c r="DJ142" s="39"/>
    </row>
    <row r="143" spans="3:114" x14ac:dyDescent="0.25">
      <c r="C143" s="39" t="str">
        <f t="shared" si="29"/>
        <v>Excessive Heat Input - Mechanical</v>
      </c>
      <c r="D143" s="19"/>
      <c r="AK143" s="39"/>
      <c r="AL143" s="39"/>
      <c r="AM143" s="39"/>
      <c r="AN143" s="39"/>
      <c r="AO143" s="39"/>
      <c r="AP143" s="39"/>
      <c r="AQ143" s="738"/>
      <c r="AR143" s="39"/>
      <c r="AS143" s="1001"/>
      <c r="AT143" s="39"/>
      <c r="AU143" s="39"/>
      <c r="AV143" s="39"/>
      <c r="AW143" s="39"/>
      <c r="AX143" s="39"/>
      <c r="AY143" s="39"/>
      <c r="AZ143" s="39"/>
      <c r="BA143" s="39"/>
      <c r="BB143" s="39"/>
      <c r="BC143" s="39"/>
      <c r="BD143" s="39"/>
      <c r="BE143" s="39"/>
      <c r="BF143" s="39"/>
      <c r="BG143" s="39"/>
      <c r="BH143" s="39"/>
      <c r="BJ143" s="39"/>
      <c r="BK143" s="39"/>
      <c r="BL143" s="1852"/>
      <c r="BM143" s="39"/>
      <c r="BN143" s="39"/>
      <c r="BO143" s="3180"/>
      <c r="BP143" s="3180"/>
      <c r="BQ143" s="39"/>
      <c r="BR143" s="39"/>
      <c r="BS143" s="39"/>
      <c r="BT143" s="39"/>
      <c r="BU143" s="1852"/>
      <c r="BV143" s="1852"/>
      <c r="BW143" s="39"/>
      <c r="BX143" s="39"/>
      <c r="BY143" s="39"/>
      <c r="BZ143" s="39"/>
      <c r="CA143" s="39"/>
      <c r="CB143" s="39"/>
      <c r="CC143" s="39"/>
      <c r="CD143" s="39"/>
      <c r="CE143" s="39"/>
      <c r="CF143" s="1475"/>
      <c r="CG143" s="39"/>
      <c r="CH143" s="39"/>
      <c r="CI143" s="39"/>
      <c r="CJ143" s="39"/>
      <c r="CK143" s="39"/>
      <c r="CL143" s="1036"/>
      <c r="CM143" s="738"/>
      <c r="CN143" s="738"/>
      <c r="CO143" s="39"/>
      <c r="CP143" s="39"/>
      <c r="CQ143" s="39"/>
      <c r="CR143" s="39"/>
      <c r="CS143" s="39"/>
      <c r="CT143" s="1036" t="str">
        <f>IF(Relief_Discharge_Location="Flare or Incinerator",IPLD_Gen_41,IF(Relief_Discharge_Location="Scrubber or Containment",IPLD_Gen_42,""))</f>
        <v/>
      </c>
      <c r="CU143" s="39"/>
      <c r="CV143" s="782"/>
      <c r="CW143" s="39"/>
      <c r="CX143" s="39"/>
      <c r="CY143" s="39"/>
      <c r="CZ143" s="39"/>
      <c r="DA143" s="39"/>
      <c r="DB143" s="39"/>
      <c r="DC143" s="2039"/>
      <c r="DD143" s="39"/>
      <c r="DE143" s="39"/>
      <c r="DF143" s="500"/>
      <c r="DG143" s="39"/>
      <c r="DH143" s="39"/>
      <c r="DI143" s="39"/>
      <c r="DJ143" s="39"/>
    </row>
    <row r="144" spans="3:114" x14ac:dyDescent="0.25">
      <c r="C144" s="39" t="str">
        <f t="shared" si="29"/>
        <v>Excessive Heat Input - Pool Fire Exposure</v>
      </c>
      <c r="D144" s="19"/>
      <c r="AK144" s="39"/>
      <c r="AL144" s="39"/>
      <c r="AM144" s="39"/>
      <c r="AN144" s="39"/>
      <c r="AO144" s="39"/>
      <c r="AP144" s="39"/>
      <c r="AQ144" s="738"/>
      <c r="AR144" s="39"/>
      <c r="AS144" s="1001"/>
      <c r="AT144" s="39"/>
      <c r="AU144" s="39"/>
      <c r="AV144" s="39"/>
      <c r="AW144" s="39"/>
      <c r="AX144" s="39"/>
      <c r="AY144" s="39"/>
      <c r="AZ144" s="39"/>
      <c r="BA144" s="39"/>
      <c r="BB144" s="39"/>
      <c r="BC144" s="39"/>
      <c r="BD144" s="39"/>
      <c r="BE144" s="39"/>
      <c r="BF144" s="39"/>
      <c r="BG144" s="39"/>
      <c r="BH144" s="39"/>
      <c r="BJ144" s="39"/>
      <c r="BK144" s="39"/>
      <c r="BL144" s="1852"/>
      <c r="BM144" s="39"/>
      <c r="BN144" s="39"/>
      <c r="BO144" s="3180"/>
      <c r="BP144" s="3180"/>
      <c r="BQ144" s="39"/>
      <c r="BR144" s="39"/>
      <c r="BS144" s="39"/>
      <c r="BT144" s="39"/>
      <c r="BU144" s="1852"/>
      <c r="BV144" s="1852"/>
      <c r="BW144" s="39"/>
      <c r="BX144" s="39"/>
      <c r="BY144" s="39"/>
      <c r="BZ144" s="39"/>
      <c r="CA144" s="39"/>
      <c r="CB144" s="39"/>
      <c r="CC144" s="39"/>
      <c r="CD144" s="39"/>
      <c r="CE144" s="39"/>
      <c r="CF144" s="1475"/>
      <c r="CG144" s="39"/>
      <c r="CH144" s="39"/>
      <c r="CI144" s="39"/>
      <c r="CJ144" s="39"/>
      <c r="CK144" s="39"/>
      <c r="CL144" s="1036"/>
      <c r="CM144" s="738"/>
      <c r="CN144" s="738"/>
      <c r="CO144" s="39"/>
      <c r="CP144" s="39"/>
      <c r="CQ144" s="39"/>
      <c r="CR144" s="1036" t="str">
        <f>IF(Relief_Discharge_Location="Flare or Incinerator",IPLD_Gen_41,IF(Relief_Discharge_Location="Scrubber or Containment",IPLD_Gen_42,""))</f>
        <v/>
      </c>
      <c r="CS144" s="39"/>
      <c r="CT144" s="39"/>
      <c r="CU144" s="39"/>
      <c r="CV144" s="782"/>
      <c r="CW144" s="39" t="str">
        <f>IF(Drainage_Credit="Yes",IPLD_Gen_22,"")</f>
        <v/>
      </c>
      <c r="CX144" s="39"/>
      <c r="CY144" s="39"/>
      <c r="CZ144" s="39"/>
      <c r="DA144" s="39"/>
      <c r="DB144" s="39"/>
      <c r="DC144" s="2039"/>
      <c r="DD144" s="39"/>
      <c r="DE144" s="39"/>
      <c r="DF144" s="500"/>
      <c r="DG144" s="39" t="str">
        <f>IF(Drainage_Credit="Yes",IPLD_Gen_22,"")</f>
        <v/>
      </c>
      <c r="DH144" s="39"/>
      <c r="DI144" s="39"/>
      <c r="DJ144" s="39"/>
    </row>
    <row r="145" spans="3:114" x14ac:dyDescent="0.25">
      <c r="C145" s="39" t="str">
        <f t="shared" si="29"/>
        <v>Excessive Pad Gas Pressure</v>
      </c>
      <c r="D145" s="19"/>
      <c r="AK145" s="39"/>
      <c r="AL145" s="39"/>
      <c r="AM145" s="39"/>
      <c r="AN145" s="39"/>
      <c r="AO145" s="39"/>
      <c r="AP145" s="39"/>
      <c r="AQ145" s="738"/>
      <c r="AR145" s="39"/>
      <c r="AS145" s="1001"/>
      <c r="AT145" s="39"/>
      <c r="AU145" s="39"/>
      <c r="AV145" s="39"/>
      <c r="AW145" s="39"/>
      <c r="AX145" s="39"/>
      <c r="AY145" s="39"/>
      <c r="AZ145" s="39"/>
      <c r="BA145" s="39"/>
      <c r="BB145" s="39"/>
      <c r="BC145" s="39"/>
      <c r="BD145" s="39"/>
      <c r="BE145" s="39"/>
      <c r="BF145" s="39"/>
      <c r="BG145" s="39"/>
      <c r="BH145" s="39"/>
      <c r="BJ145" s="39"/>
      <c r="BK145" s="39"/>
      <c r="BL145" s="1852"/>
      <c r="BM145" s="39"/>
      <c r="BN145" s="39"/>
      <c r="BO145" s="3180"/>
      <c r="BP145" s="3180"/>
      <c r="BQ145" s="39"/>
      <c r="BR145" s="39"/>
      <c r="BS145" s="39"/>
      <c r="BT145" s="39"/>
      <c r="BU145" s="1852"/>
      <c r="BV145" s="1852"/>
      <c r="BW145" s="39"/>
      <c r="BX145" s="39"/>
      <c r="BY145" s="39"/>
      <c r="BZ145" s="39"/>
      <c r="CA145" s="39"/>
      <c r="CB145" s="39"/>
      <c r="CC145" s="39"/>
      <c r="CD145" s="39"/>
      <c r="CE145" s="39"/>
      <c r="CF145" s="1475"/>
      <c r="CG145" s="39"/>
      <c r="CH145" s="39"/>
      <c r="CI145" s="39"/>
      <c r="CJ145" s="39"/>
      <c r="CK145" s="39"/>
      <c r="CL145" s="1036"/>
      <c r="CM145" s="738"/>
      <c r="CN145" s="738"/>
      <c r="CO145" s="1036" t="str">
        <f>IF(Relief_Discharge_Location="Flare or Incinerator",IPLD_Gen_41,IF(Relief_Discharge_Location="Scrubber or Containment",IPLD_Gen_42,""))</f>
        <v/>
      </c>
      <c r="CP145" s="39"/>
      <c r="CQ145" s="39"/>
      <c r="CR145" s="39"/>
      <c r="CS145" s="39"/>
      <c r="CT145" s="39"/>
      <c r="CU145" s="39"/>
      <c r="CV145" s="782"/>
      <c r="CW145" s="39"/>
      <c r="CX145" s="39"/>
      <c r="CY145" s="39"/>
      <c r="CZ145" s="39"/>
      <c r="DA145" s="39"/>
      <c r="DB145" s="39"/>
      <c r="DC145" s="2039"/>
      <c r="DD145" s="39"/>
      <c r="DE145" s="39"/>
      <c r="DF145" s="500"/>
      <c r="DG145" s="39"/>
      <c r="DH145" s="39"/>
      <c r="DI145" s="39"/>
      <c r="DJ145" s="39"/>
    </row>
    <row r="146" spans="3:114" x14ac:dyDescent="0.25">
      <c r="C146" s="39" t="str">
        <f t="shared" si="29"/>
        <v>Excessive Vapor Feed Flow</v>
      </c>
      <c r="D146" s="19"/>
      <c r="AK146" s="2394"/>
      <c r="AL146" s="2394"/>
      <c r="AM146" s="2394"/>
      <c r="AN146" s="2394"/>
      <c r="AO146" s="2394"/>
      <c r="AP146" s="2394"/>
      <c r="AQ146" s="2394"/>
      <c r="AR146" s="2394"/>
      <c r="AS146" s="2394"/>
      <c r="AT146" s="2394"/>
      <c r="AU146" s="2394"/>
      <c r="AV146" s="2394"/>
      <c r="AW146" s="2394"/>
      <c r="AX146" s="2394"/>
      <c r="AY146" s="2394"/>
      <c r="AZ146" s="2394"/>
      <c r="BA146" s="2394"/>
      <c r="BB146" s="2394"/>
      <c r="BC146" s="2394"/>
      <c r="BD146" s="2394"/>
      <c r="BE146" s="2394"/>
      <c r="BF146" s="2394"/>
      <c r="BG146" s="2394"/>
      <c r="BH146" s="2394"/>
      <c r="BJ146" s="2394"/>
      <c r="BK146" s="2394"/>
      <c r="BL146" s="2394"/>
      <c r="BM146" s="2394"/>
      <c r="BN146" s="2394"/>
      <c r="BO146" s="3180"/>
      <c r="BP146" s="3180"/>
      <c r="BQ146" s="2394"/>
      <c r="BR146" s="2394"/>
      <c r="BS146" s="2394"/>
      <c r="BT146" s="2394"/>
      <c r="BU146" s="2394"/>
      <c r="BV146" s="2394"/>
      <c r="BW146" s="2394"/>
      <c r="BX146" s="2394"/>
      <c r="BY146" s="2394"/>
      <c r="BZ146" s="2394"/>
      <c r="CA146" s="2394"/>
      <c r="CB146" s="2394"/>
      <c r="CC146" s="2394"/>
      <c r="CD146" s="2394"/>
      <c r="CE146" s="2394"/>
      <c r="CF146" s="2394"/>
      <c r="CG146" s="2394"/>
      <c r="CH146" s="2394"/>
      <c r="CI146" s="2394"/>
      <c r="CJ146" s="2394"/>
      <c r="CK146" s="2394"/>
      <c r="CL146" s="2394"/>
      <c r="CM146" s="2394"/>
      <c r="CN146" s="2394"/>
      <c r="CO146" s="2394"/>
      <c r="CP146" s="2394"/>
      <c r="CQ146" s="2394"/>
      <c r="CR146" s="2394"/>
      <c r="CS146" s="2394"/>
      <c r="CT146" s="2394"/>
      <c r="CU146" s="2394"/>
      <c r="CV146" s="2394"/>
      <c r="CW146" s="2394"/>
      <c r="CX146" s="2394"/>
      <c r="CY146" s="2394"/>
      <c r="CZ146" s="2394"/>
      <c r="DA146" s="2394"/>
      <c r="DB146" s="2394"/>
      <c r="DC146" s="2394"/>
      <c r="DD146" s="2394"/>
      <c r="DE146" s="2394"/>
      <c r="DF146" s="2394"/>
      <c r="DG146" s="2394"/>
      <c r="DH146" s="2394"/>
      <c r="DI146" s="2394"/>
      <c r="DJ146" s="2394"/>
    </row>
    <row r="147" spans="3:114" x14ac:dyDescent="0.25">
      <c r="C147" s="39" t="str">
        <f t="shared" ref="C147" si="30">C18</f>
        <v>Pad Gas Compression</v>
      </c>
      <c r="D147" s="19"/>
      <c r="AK147" s="2394"/>
      <c r="AL147" s="2394"/>
      <c r="AM147" s="2394"/>
      <c r="AN147" s="2394"/>
      <c r="AO147" s="2394"/>
      <c r="AP147" s="2394"/>
      <c r="AQ147" s="2394"/>
      <c r="AR147" s="2394"/>
      <c r="AS147" s="2394"/>
      <c r="AT147" s="2394"/>
      <c r="AU147" s="2394"/>
      <c r="AV147" s="2394"/>
      <c r="AW147" s="2394"/>
      <c r="AX147" s="2394"/>
      <c r="AY147" s="2394"/>
      <c r="AZ147" s="2394"/>
      <c r="BA147" s="2394"/>
      <c r="BB147" s="2394"/>
      <c r="BC147" s="2394"/>
      <c r="BD147" s="2394"/>
      <c r="BE147" s="2394"/>
      <c r="BF147" s="2394"/>
      <c r="BG147" s="2394"/>
      <c r="BH147" s="2394"/>
      <c r="BJ147" s="2394"/>
      <c r="BK147" s="2394"/>
      <c r="BL147" s="2394"/>
      <c r="BM147" s="2394"/>
      <c r="BN147" s="2394"/>
      <c r="BO147" s="3180"/>
      <c r="BP147" s="3180"/>
      <c r="BQ147" s="2394"/>
      <c r="BR147" s="2394"/>
      <c r="BS147" s="2394"/>
      <c r="BT147" s="2394"/>
      <c r="BU147" s="2394"/>
      <c r="BV147" s="2394"/>
      <c r="BW147" s="2394"/>
      <c r="BX147" s="2394"/>
      <c r="BY147" s="2394"/>
      <c r="BZ147" s="2394"/>
      <c r="CA147" s="2394"/>
      <c r="CB147" s="2394"/>
      <c r="CC147" s="2394"/>
      <c r="CD147" s="2394"/>
      <c r="CE147" s="2394"/>
      <c r="CF147" s="2394"/>
      <c r="CG147" s="2394"/>
      <c r="CH147" s="2394"/>
      <c r="CI147" s="2394"/>
      <c r="CJ147" s="2394"/>
      <c r="CK147" s="2394"/>
      <c r="CL147" s="2394"/>
      <c r="CM147" s="2394"/>
      <c r="CN147" s="2394"/>
      <c r="CO147" s="2394"/>
      <c r="CP147" s="2394"/>
      <c r="CQ147" s="2394"/>
      <c r="CR147" s="2394"/>
      <c r="CS147" s="2394"/>
      <c r="CT147" s="2394"/>
      <c r="CU147" s="2394"/>
      <c r="CV147" s="2394"/>
      <c r="CW147" s="2394"/>
      <c r="CX147" s="2394"/>
      <c r="CY147" s="2394"/>
      <c r="CZ147" s="2394"/>
      <c r="DA147" s="2394"/>
      <c r="DB147" s="2394"/>
      <c r="DC147" s="2394"/>
      <c r="DD147" s="2394"/>
      <c r="DE147" s="2394"/>
      <c r="DF147" s="2394"/>
      <c r="DG147" s="2394"/>
      <c r="DH147" s="2394"/>
      <c r="DI147" s="2394"/>
      <c r="DJ147" s="2394"/>
    </row>
    <row r="148" spans="3:114" x14ac:dyDescent="0.25">
      <c r="C148" s="39" t="str">
        <f t="shared" ref="C148" si="31">C19</f>
        <v>Exhaustion of Scrubbing Media</v>
      </c>
      <c r="D148" s="19"/>
      <c r="AK148" s="2060"/>
      <c r="AL148" s="2060"/>
      <c r="AM148" s="2060"/>
      <c r="AN148" s="2060"/>
      <c r="AO148" s="2060"/>
      <c r="AP148" s="2060"/>
      <c r="AQ148" s="2060"/>
      <c r="AR148" s="2060"/>
      <c r="AS148" s="2060"/>
      <c r="AT148" s="2060"/>
      <c r="AU148" s="2060"/>
      <c r="AV148" s="2060"/>
      <c r="AW148" s="2060"/>
      <c r="AX148" s="2060"/>
      <c r="AY148" s="2060"/>
      <c r="AZ148" s="2060"/>
      <c r="BA148" s="2060"/>
      <c r="BB148" s="2060"/>
      <c r="BC148" s="2060"/>
      <c r="BD148" s="2060"/>
      <c r="BE148" s="2060"/>
      <c r="BF148" s="2060"/>
      <c r="BG148" s="2060"/>
      <c r="BH148" s="2060"/>
      <c r="BJ148" s="2060"/>
      <c r="BK148" s="2060"/>
      <c r="BL148" s="2060"/>
      <c r="BM148" s="2060"/>
      <c r="BN148" s="2060"/>
      <c r="BO148" s="3180"/>
      <c r="BP148" s="3180"/>
      <c r="BQ148" s="2060"/>
      <c r="BR148" s="2060"/>
      <c r="BS148" s="2060"/>
      <c r="BT148" s="2060"/>
      <c r="BU148" s="2060"/>
      <c r="BV148" s="2060"/>
      <c r="BW148" s="2060"/>
      <c r="BX148" s="2060"/>
      <c r="BY148" s="2060"/>
      <c r="BZ148" s="2060"/>
      <c r="CA148" s="2060"/>
      <c r="CB148" s="2060"/>
      <c r="CC148" s="2060"/>
      <c r="CD148" s="2060"/>
      <c r="CE148" s="2060"/>
      <c r="CF148" s="2060"/>
      <c r="CG148" s="2060"/>
      <c r="CH148" s="2060"/>
      <c r="CI148" s="2060"/>
      <c r="CJ148" s="2060"/>
      <c r="CK148" s="2060"/>
      <c r="CL148" s="2060"/>
      <c r="CM148" s="2060"/>
      <c r="CN148" s="2060"/>
      <c r="CO148" s="2060"/>
      <c r="CP148" s="2060"/>
      <c r="CQ148" s="2060"/>
      <c r="CR148" s="2060"/>
      <c r="CS148" s="2060"/>
      <c r="CT148" s="2060"/>
      <c r="CU148" s="2060"/>
      <c r="CV148" s="2060"/>
      <c r="CW148" s="2060"/>
      <c r="CX148" s="2060"/>
      <c r="CY148" s="2060"/>
      <c r="CZ148" s="2060"/>
      <c r="DA148" s="2060"/>
      <c r="DB148" s="2060"/>
      <c r="DC148" s="2060"/>
      <c r="DD148" s="2060"/>
      <c r="DE148" s="2060"/>
      <c r="DF148" s="2060"/>
      <c r="DG148" s="2060"/>
      <c r="DH148" s="2060"/>
      <c r="DI148" s="2060"/>
      <c r="DJ148" s="2060"/>
    </row>
    <row r="149" spans="3:114" x14ac:dyDescent="0.25">
      <c r="C149" s="39" t="str">
        <f t="shared" ref="C149:C158" si="32">C20</f>
        <v>Flash Back of Vent to Fired Equipment</v>
      </c>
      <c r="D149" s="19"/>
      <c r="AK149" s="39" t="str">
        <f>IPLD_FE_30</f>
        <v>Low vent pressure or high temperature at flame arrestor closes feed valve</v>
      </c>
      <c r="AL149" s="39"/>
      <c r="AM149" s="39"/>
      <c r="AN149" s="39"/>
      <c r="AO149" s="39"/>
      <c r="AP149" s="39"/>
      <c r="AQ149" s="738"/>
      <c r="AR149" s="39"/>
      <c r="AS149" s="1001"/>
      <c r="AT149" s="39"/>
      <c r="AU149" s="39"/>
      <c r="AV149" s="39"/>
      <c r="AW149" s="39"/>
      <c r="AX149" s="39"/>
      <c r="AY149" s="39"/>
      <c r="AZ149" s="39"/>
      <c r="BA149" s="39" t="str">
        <f>IPLD_FE_30</f>
        <v>Low vent pressure or high temperature at flame arrestor closes feed valve</v>
      </c>
      <c r="BB149" s="39"/>
      <c r="BC149" s="39"/>
      <c r="BD149" s="39"/>
      <c r="BE149" s="39"/>
      <c r="BF149" s="39"/>
      <c r="BG149" s="39"/>
      <c r="BH149" s="39"/>
      <c r="BJ149" s="39"/>
      <c r="BK149" s="39"/>
      <c r="BL149" s="1852"/>
      <c r="BM149" s="39"/>
      <c r="BN149" s="39"/>
      <c r="BO149" s="3180"/>
      <c r="BP149" s="3180"/>
      <c r="BQ149" s="39"/>
      <c r="BR149" s="39"/>
      <c r="BS149" s="39"/>
      <c r="BT149" s="39"/>
      <c r="BU149" s="1852"/>
      <c r="BV149" s="1852"/>
      <c r="BW149" s="39"/>
      <c r="BX149" s="39"/>
      <c r="BY149" s="39"/>
      <c r="BZ149" s="39"/>
      <c r="CA149" s="39"/>
      <c r="CB149" s="39"/>
      <c r="CC149" s="39"/>
      <c r="CD149" s="39"/>
      <c r="CE149" s="39"/>
      <c r="CF149" s="1475"/>
      <c r="CG149" s="39"/>
      <c r="CH149" s="39"/>
      <c r="CI149" s="39"/>
      <c r="CJ149" s="39"/>
      <c r="CK149" s="39"/>
      <c r="CL149" s="1036"/>
      <c r="CM149" s="738"/>
      <c r="CN149" s="738"/>
      <c r="CO149" s="39"/>
      <c r="CP149" s="39"/>
      <c r="CQ149" s="39"/>
      <c r="CR149" s="39"/>
      <c r="CS149" s="39"/>
      <c r="CT149" s="39"/>
      <c r="CU149" s="39"/>
      <c r="CV149" s="782"/>
      <c r="CW149" s="39"/>
      <c r="CX149" s="39"/>
      <c r="CY149" s="39"/>
      <c r="CZ149" s="39"/>
      <c r="DA149" s="39"/>
      <c r="DB149" s="39"/>
      <c r="DC149" s="2039"/>
      <c r="DD149" s="39"/>
      <c r="DE149" s="39"/>
      <c r="DF149" s="500"/>
      <c r="DG149" s="39"/>
      <c r="DH149" s="39"/>
      <c r="DI149" s="39"/>
      <c r="DJ149" s="39"/>
    </row>
    <row r="150" spans="3:114" x14ac:dyDescent="0.25">
      <c r="C150" s="39" t="str">
        <f t="shared" si="32"/>
        <v>Fuel Accumulation during Light Off</v>
      </c>
      <c r="D150" s="19"/>
      <c r="AK150" s="39" t="str">
        <f>IPLD_FE_4</f>
        <v>Proper position on Primary Fuel Valve necessary for Fuel Block Valves to remain open</v>
      </c>
      <c r="AL150" s="39"/>
      <c r="AM150" s="39" t="str">
        <f>IPLD_FE_3</f>
        <v>Timer closes pilot fuel after specified interval</v>
      </c>
      <c r="AN150" s="39"/>
      <c r="AO150" s="39"/>
      <c r="AP150" s="39"/>
      <c r="AQ150" s="738"/>
      <c r="AR150" s="39"/>
      <c r="AS150" s="1001"/>
      <c r="AT150" s="39"/>
      <c r="AU150" s="39"/>
      <c r="AV150" s="39"/>
      <c r="AW150" s="39"/>
      <c r="AX150" s="39"/>
      <c r="AY150" s="39"/>
      <c r="AZ150" s="39"/>
      <c r="BA150" s="39"/>
      <c r="BB150" s="39"/>
      <c r="BC150" s="39"/>
      <c r="BD150" s="39"/>
      <c r="BE150" s="39"/>
      <c r="BF150" s="39"/>
      <c r="BG150" s="39"/>
      <c r="BH150" s="39"/>
      <c r="BJ150" s="39"/>
      <c r="BK150" s="39"/>
      <c r="BL150" s="1852"/>
      <c r="BM150" s="39"/>
      <c r="BN150" s="39"/>
      <c r="BO150" s="3180"/>
      <c r="BP150" s="3180"/>
      <c r="BQ150" s="39"/>
      <c r="BR150" s="39"/>
      <c r="BS150" s="39"/>
      <c r="BT150" s="39"/>
      <c r="BU150" s="1852"/>
      <c r="BV150" s="1852"/>
      <c r="BW150" s="39"/>
      <c r="BX150" s="39"/>
      <c r="BY150" s="39"/>
      <c r="BZ150" s="39"/>
      <c r="CA150" s="39"/>
      <c r="CB150" s="39"/>
      <c r="CC150" s="39"/>
      <c r="CD150" s="39"/>
      <c r="CE150" s="39"/>
      <c r="CF150" s="1475"/>
      <c r="CG150" s="39"/>
      <c r="CH150" s="39"/>
      <c r="CI150" s="39"/>
      <c r="CJ150" s="39"/>
      <c r="CK150" s="39"/>
      <c r="CL150" s="1036"/>
      <c r="CM150" s="738"/>
      <c r="CN150" s="738"/>
      <c r="CO150" s="39"/>
      <c r="CP150" s="39"/>
      <c r="CQ150" s="39"/>
      <c r="CR150" s="39"/>
      <c r="CS150" s="39"/>
      <c r="CT150" s="39"/>
      <c r="CU150" s="39"/>
      <c r="CV150" s="782"/>
      <c r="CW150" s="39"/>
      <c r="CX150" s="39"/>
      <c r="CY150" s="39"/>
      <c r="CZ150" s="39"/>
      <c r="DA150" s="39"/>
      <c r="DB150" s="39"/>
      <c r="DC150" s="2039"/>
      <c r="DD150" s="39"/>
      <c r="DE150" s="39"/>
      <c r="DF150" s="500"/>
      <c r="DG150" s="39"/>
      <c r="DH150" s="39"/>
      <c r="DI150" s="39"/>
      <c r="DJ150" s="39"/>
    </row>
    <row r="151" spans="3:114" x14ac:dyDescent="0.25">
      <c r="C151" s="39" t="str">
        <f t="shared" si="32"/>
        <v>Fuel Accumulation during Operation</v>
      </c>
      <c r="D151" s="19"/>
      <c r="AK151" s="39"/>
      <c r="AL151" s="39"/>
      <c r="AM151" s="39" t="str">
        <f>IPLD_FE_6</f>
        <v>Feed Control Valve Closes on Blower Failure or Loss of Air Flow (low air/fuel ratio)</v>
      </c>
      <c r="AN151" s="39"/>
      <c r="AO151" s="39"/>
      <c r="AP151" s="39"/>
      <c r="AQ151" s="738"/>
      <c r="AR151" s="39"/>
      <c r="AS151" s="1001"/>
      <c r="AT151" s="39"/>
      <c r="AU151" s="39"/>
      <c r="AV151" s="39"/>
      <c r="AW151" s="39" t="str">
        <f>IPLD_FE_5</f>
        <v>Fuel Valves close on High Nozzle Pressure</v>
      </c>
      <c r="AX151" s="39"/>
      <c r="AY151" s="39"/>
      <c r="AZ151" s="39"/>
      <c r="BA151" s="39"/>
      <c r="BB151" s="39"/>
      <c r="BC151" s="39"/>
      <c r="BD151" s="39"/>
      <c r="BE151" s="39"/>
      <c r="BF151" s="39"/>
      <c r="BG151" s="39"/>
      <c r="BH151" s="39"/>
      <c r="BJ151" s="39"/>
      <c r="BK151" s="39"/>
      <c r="BL151" s="1852"/>
      <c r="BM151" s="39"/>
      <c r="BN151" s="39"/>
      <c r="BO151" s="3180"/>
      <c r="BP151" s="3180"/>
      <c r="BQ151" s="39"/>
      <c r="BR151" s="39"/>
      <c r="BS151" s="39"/>
      <c r="BT151" s="39"/>
      <c r="BU151" s="1852"/>
      <c r="BV151" s="1852"/>
      <c r="BW151" s="39"/>
      <c r="BX151" s="39"/>
      <c r="BY151" s="39"/>
      <c r="BZ151" s="39"/>
      <c r="CA151" s="39"/>
      <c r="CB151" s="39"/>
      <c r="CC151" s="39"/>
      <c r="CD151" s="39"/>
      <c r="CE151" s="39"/>
      <c r="CF151" s="1475"/>
      <c r="CG151" s="39"/>
      <c r="CH151" s="39"/>
      <c r="CI151" s="39"/>
      <c r="CJ151" s="39"/>
      <c r="CK151" s="39"/>
      <c r="CL151" s="1036"/>
      <c r="CM151" s="738"/>
      <c r="CN151" s="738"/>
      <c r="CO151" s="39"/>
      <c r="CP151" s="39"/>
      <c r="CQ151" s="39"/>
      <c r="CR151" s="39"/>
      <c r="CS151" s="39"/>
      <c r="CT151" s="39"/>
      <c r="CU151" s="39"/>
      <c r="CV151" s="782"/>
      <c r="CW151" s="39"/>
      <c r="CX151" s="39"/>
      <c r="CY151" s="39"/>
      <c r="CZ151" s="39"/>
      <c r="DA151" s="39"/>
      <c r="DB151" s="39"/>
      <c r="DC151" s="2039"/>
      <c r="DD151" s="39"/>
      <c r="DE151" s="39"/>
      <c r="DF151" s="500"/>
      <c r="DG151" s="39"/>
      <c r="DH151" s="39"/>
      <c r="DI151" s="39"/>
      <c r="DJ151" s="39"/>
    </row>
    <row r="152" spans="3:114" x14ac:dyDescent="0.25">
      <c r="C152" s="39" t="str">
        <f t="shared" si="32"/>
        <v>Fuel Accumulation while Down</v>
      </c>
      <c r="D152" s="19"/>
      <c r="AK152" s="39" t="str">
        <f>IPLD_FE_2</f>
        <v>Automated purge immediately prior to light off (5 volumes) - burner and stack dampers must be verified open</v>
      </c>
      <c r="AL152" s="39"/>
      <c r="AM152" s="39"/>
      <c r="AN152" s="39"/>
      <c r="AO152" s="39"/>
      <c r="AP152" s="39"/>
      <c r="AQ152" s="738"/>
      <c r="AR152" s="39"/>
      <c r="AS152" s="1001"/>
      <c r="AT152" s="39"/>
      <c r="AU152" s="39"/>
      <c r="AV152" s="39"/>
      <c r="AW152" s="39"/>
      <c r="AX152" s="39"/>
      <c r="AY152" s="39"/>
      <c r="AZ152" s="39"/>
      <c r="BA152" s="39"/>
      <c r="BB152" s="39"/>
      <c r="BC152" s="39"/>
      <c r="BD152" s="39"/>
      <c r="BE152" s="39"/>
      <c r="BF152" s="39"/>
      <c r="BG152" s="39"/>
      <c r="BH152" s="39"/>
      <c r="BJ152" s="39"/>
      <c r="BK152" s="39"/>
      <c r="BL152" s="1852"/>
      <c r="BM152" s="39"/>
      <c r="BN152" s="39"/>
      <c r="BO152" s="3180"/>
      <c r="BP152" s="3180"/>
      <c r="BQ152" s="39"/>
      <c r="BR152" s="39"/>
      <c r="BS152" s="39"/>
      <c r="BT152" s="39"/>
      <c r="BU152" s="1852"/>
      <c r="BV152" s="1852"/>
      <c r="BW152" s="39"/>
      <c r="BX152" s="39"/>
      <c r="BY152" s="39"/>
      <c r="BZ152" s="39"/>
      <c r="CA152" s="39"/>
      <c r="CB152" s="39"/>
      <c r="CC152" s="39"/>
      <c r="CD152" s="39"/>
      <c r="CE152" s="39"/>
      <c r="CF152" s="1475"/>
      <c r="CG152" s="39"/>
      <c r="CH152" s="39"/>
      <c r="CI152" s="39"/>
      <c r="CJ152" s="39"/>
      <c r="CK152" s="39"/>
      <c r="CL152" s="1036"/>
      <c r="CM152" s="738"/>
      <c r="CN152" s="738"/>
      <c r="CO152" s="39"/>
      <c r="CP152" s="39"/>
      <c r="CQ152" s="39"/>
      <c r="CR152" s="39"/>
      <c r="CS152" s="39"/>
      <c r="CT152" s="39"/>
      <c r="CU152" s="39"/>
      <c r="CV152" s="782"/>
      <c r="CW152" s="39"/>
      <c r="CX152" s="39"/>
      <c r="CY152" s="39"/>
      <c r="CZ152" s="39"/>
      <c r="DA152" s="39"/>
      <c r="DB152" s="39"/>
      <c r="DC152" s="2039"/>
      <c r="DD152" s="39"/>
      <c r="DE152" s="39"/>
      <c r="DF152" s="500"/>
      <c r="DG152" s="39"/>
      <c r="DH152" s="39"/>
      <c r="DI152" s="39"/>
      <c r="DJ152" s="39"/>
    </row>
    <row r="153" spans="3:114" x14ac:dyDescent="0.25">
      <c r="C153" s="39" t="str">
        <f t="shared" si="32"/>
        <v>High Fuel Flow or Energy Content</v>
      </c>
      <c r="D153" s="19"/>
      <c r="AK153" s="39" t="str">
        <f>IPLD_FE_5</f>
        <v>Fuel Valves close on High Nozzle Pressure</v>
      </c>
      <c r="AL153" s="39"/>
      <c r="AM153" s="39"/>
      <c r="AN153" s="39"/>
      <c r="AO153" s="39"/>
      <c r="AP153" s="39"/>
      <c r="AQ153" s="738"/>
      <c r="AR153" s="39"/>
      <c r="AS153" s="1001"/>
      <c r="AT153" s="39"/>
      <c r="AU153" s="39"/>
      <c r="AV153" s="39"/>
      <c r="AW153" s="39" t="str">
        <f>IPLD_FE_5</f>
        <v>Fuel Valves close on High Nozzle Pressure</v>
      </c>
      <c r="AX153" s="39"/>
      <c r="AY153" s="39"/>
      <c r="AZ153" s="39"/>
      <c r="BA153" s="39"/>
      <c r="BB153" s="39"/>
      <c r="BC153" s="39"/>
      <c r="BD153" s="39"/>
      <c r="BE153" s="39"/>
      <c r="BF153" s="39"/>
      <c r="BG153" s="39"/>
      <c r="BH153" s="39"/>
      <c r="BJ153" s="39"/>
      <c r="BK153" s="39"/>
      <c r="BL153" s="1852"/>
      <c r="BM153" s="39"/>
      <c r="BN153" s="39"/>
      <c r="BO153" s="3180"/>
      <c r="BP153" s="3180"/>
      <c r="BQ153" s="39"/>
      <c r="BR153" s="39"/>
      <c r="BS153" s="39"/>
      <c r="BT153" s="39"/>
      <c r="BU153" s="1852"/>
      <c r="BV153" s="1852"/>
      <c r="BW153" s="39"/>
      <c r="BX153" s="39"/>
      <c r="BY153" s="39"/>
      <c r="BZ153" s="39"/>
      <c r="CA153" s="39"/>
      <c r="CB153" s="39"/>
      <c r="CC153" s="39"/>
      <c r="CD153" s="39"/>
      <c r="CE153" s="39"/>
      <c r="CF153" s="1475"/>
      <c r="CG153" s="39"/>
      <c r="CH153" s="39"/>
      <c r="CI153" s="39"/>
      <c r="CJ153" s="39"/>
      <c r="CK153" s="39"/>
      <c r="CL153" s="1036"/>
      <c r="CM153" s="738"/>
      <c r="CN153" s="738"/>
      <c r="CO153" s="39"/>
      <c r="CP153" s="39"/>
      <c r="CQ153" s="39"/>
      <c r="CR153" s="39"/>
      <c r="CS153" s="39"/>
      <c r="CT153" s="39"/>
      <c r="CU153" s="39"/>
      <c r="CV153" s="782"/>
      <c r="CW153" s="39"/>
      <c r="CX153" s="39"/>
      <c r="CY153" s="39"/>
      <c r="CZ153" s="39"/>
      <c r="DA153" s="39"/>
      <c r="DB153" s="39"/>
      <c r="DC153" s="2039"/>
      <c r="DD153" s="39"/>
      <c r="DE153" s="39"/>
      <c r="DF153" s="500"/>
      <c r="DG153" s="39"/>
      <c r="DH153" s="39"/>
      <c r="DI153" s="39"/>
      <c r="DJ153" s="39"/>
    </row>
    <row r="154" spans="3:114" x14ac:dyDescent="0.25">
      <c r="C154" s="39" t="str">
        <f t="shared" si="32"/>
        <v>High Temperature Failure</v>
      </c>
      <c r="D154" s="19"/>
      <c r="AK154" s="1824"/>
      <c r="AL154" s="1824"/>
      <c r="AM154" s="1824"/>
      <c r="AN154" s="1824"/>
      <c r="AO154" s="1824"/>
      <c r="AP154" s="1824"/>
      <c r="AQ154" s="1824"/>
      <c r="AR154" s="1824"/>
      <c r="AS154" s="1824"/>
      <c r="AT154" s="1824"/>
      <c r="AU154" s="1824"/>
      <c r="AV154" s="1824"/>
      <c r="AW154" s="1824"/>
      <c r="AX154" s="1824"/>
      <c r="AY154" s="1824"/>
      <c r="AZ154" s="1824"/>
      <c r="BA154" s="1824"/>
      <c r="BB154" s="1824"/>
      <c r="BC154" s="1824"/>
      <c r="BD154" s="1824"/>
      <c r="BE154" s="1824"/>
      <c r="BF154" s="1824"/>
      <c r="BG154" s="1824"/>
      <c r="BH154" s="1824"/>
      <c r="BJ154" s="1824"/>
      <c r="BK154" s="1824"/>
      <c r="BL154" s="1852"/>
      <c r="BM154" s="1824"/>
      <c r="BN154" s="1824"/>
      <c r="BO154" s="3180"/>
      <c r="BP154" s="3180"/>
      <c r="BQ154" s="1824"/>
      <c r="BR154" s="1824"/>
      <c r="BS154" s="1824"/>
      <c r="BT154" s="1824"/>
      <c r="BU154" s="1852"/>
      <c r="BV154" s="1852"/>
      <c r="BW154" s="1824"/>
      <c r="BX154" s="1824"/>
      <c r="BY154" s="1824"/>
      <c r="BZ154" s="1824"/>
      <c r="CA154" s="1824"/>
      <c r="CB154" s="1824"/>
      <c r="CC154" s="1824"/>
      <c r="CD154" s="1824"/>
      <c r="CE154" s="1824"/>
      <c r="CF154" s="1824"/>
      <c r="CG154" s="1824"/>
      <c r="CH154" s="1824"/>
      <c r="CI154" s="1824"/>
      <c r="CJ154" s="1824"/>
      <c r="CK154" s="1824"/>
      <c r="CL154" s="1824"/>
      <c r="CM154" s="1824"/>
      <c r="CN154" s="1824"/>
      <c r="CO154" s="1824"/>
      <c r="CP154" s="1824"/>
      <c r="CQ154" s="1824"/>
      <c r="CR154" s="1824"/>
      <c r="CS154" s="1824"/>
      <c r="CT154" s="1824"/>
      <c r="CU154" s="1824"/>
      <c r="CV154" s="1824"/>
      <c r="CW154" s="1824"/>
      <c r="CX154" s="1824"/>
      <c r="CY154" s="1824"/>
      <c r="CZ154" s="1824"/>
      <c r="DA154" s="1824"/>
      <c r="DB154" s="1824"/>
      <c r="DC154" s="2039"/>
      <c r="DD154" s="1824"/>
      <c r="DE154" s="1824"/>
      <c r="DF154" s="1824"/>
      <c r="DG154" s="1824"/>
      <c r="DH154" s="1824"/>
      <c r="DI154" s="1824"/>
      <c r="DJ154" s="1824"/>
    </row>
    <row r="155" spans="3:114" x14ac:dyDescent="0.25">
      <c r="C155" s="39" t="str">
        <f t="shared" si="32"/>
        <v>Hose or Loading Arm Connection</v>
      </c>
      <c r="D155" s="19"/>
      <c r="AK155" s="39"/>
      <c r="AL155" s="39"/>
      <c r="AM155" s="39"/>
      <c r="AN155" s="39"/>
      <c r="AO155" s="39"/>
      <c r="AP155" s="39"/>
      <c r="AQ155" s="738"/>
      <c r="AR155" s="39"/>
      <c r="AS155" s="1001"/>
      <c r="AT155" s="39"/>
      <c r="AU155" s="39"/>
      <c r="AV155" s="39"/>
      <c r="AW155" s="39"/>
      <c r="AX155" s="39"/>
      <c r="AY155" s="39"/>
      <c r="AZ155" s="39"/>
      <c r="BA155" s="39"/>
      <c r="BB155" s="39"/>
      <c r="BC155" s="39"/>
      <c r="BD155" s="39"/>
      <c r="BE155" s="39"/>
      <c r="BF155" s="39"/>
      <c r="BG155" s="39"/>
      <c r="BH155" s="39"/>
      <c r="BJ155" s="39"/>
      <c r="BK155" s="39"/>
      <c r="BL155" s="1852"/>
      <c r="BM155" s="39"/>
      <c r="BN155" s="39"/>
      <c r="BO155" s="3180"/>
      <c r="BP155" s="3180"/>
      <c r="BQ155" s="39"/>
      <c r="BR155" s="39"/>
      <c r="BS155" s="39"/>
      <c r="BT155" s="39"/>
      <c r="BU155" s="1852"/>
      <c r="BV155" s="1852"/>
      <c r="BW155" s="39"/>
      <c r="BX155" s="39"/>
      <c r="BY155" s="39"/>
      <c r="BZ155" s="39"/>
      <c r="CA155" s="39"/>
      <c r="CB155" s="39"/>
      <c r="CC155" s="39"/>
      <c r="CD155" s="39"/>
      <c r="CE155" s="39"/>
      <c r="CF155" s="1475"/>
      <c r="CG155" s="39"/>
      <c r="CH155" s="39"/>
      <c r="CI155" s="39"/>
      <c r="CJ155" s="39"/>
      <c r="CK155" s="39"/>
      <c r="CL155" s="1036"/>
      <c r="CM155" s="738"/>
      <c r="CN155" s="738"/>
      <c r="CO155" s="39"/>
      <c r="CP155" s="39"/>
      <c r="CQ155" s="39"/>
      <c r="CR155" s="39"/>
      <c r="CS155" s="39"/>
      <c r="CT155" s="39"/>
      <c r="CU155" s="39"/>
      <c r="CV155" s="782"/>
      <c r="CW155" s="39"/>
      <c r="CX155" s="39"/>
      <c r="CY155" s="39"/>
      <c r="CZ155" s="39"/>
      <c r="DA155" s="39"/>
      <c r="DB155" s="39"/>
      <c r="DC155" s="2039"/>
      <c r="DD155" s="39"/>
      <c r="DE155" s="39"/>
      <c r="DF155" s="500"/>
      <c r="DG155" s="39"/>
      <c r="DH155" s="39"/>
      <c r="DI155" s="39"/>
      <c r="DJ155" s="39"/>
    </row>
    <row r="156" spans="3:114" x14ac:dyDescent="0.25">
      <c r="C156" s="39" t="str">
        <f t="shared" si="32"/>
        <v>Damage from Movement</v>
      </c>
      <c r="D156" s="19"/>
      <c r="AK156" s="39"/>
      <c r="AL156" s="39"/>
      <c r="AM156" s="39"/>
      <c r="AN156" s="39"/>
      <c r="AO156" s="39"/>
      <c r="AP156" s="39"/>
      <c r="AQ156" s="738"/>
      <c r="AR156" s="39"/>
      <c r="AS156" s="1001"/>
      <c r="AT156" s="39"/>
      <c r="AU156" s="39"/>
      <c r="AV156" s="39"/>
      <c r="AW156" s="39"/>
      <c r="AX156" s="39"/>
      <c r="AY156" s="39"/>
      <c r="AZ156" s="39"/>
      <c r="BA156" s="39"/>
      <c r="BB156" s="39"/>
      <c r="BC156" s="39"/>
      <c r="BD156" s="39"/>
      <c r="BE156" s="39"/>
      <c r="BF156" s="39"/>
      <c r="BG156" s="39"/>
      <c r="BH156" s="39"/>
      <c r="BJ156" s="39"/>
      <c r="BK156" s="39"/>
      <c r="BL156" s="1852"/>
      <c r="BM156" s="39"/>
      <c r="BN156" s="39"/>
      <c r="BO156" s="3180"/>
      <c r="BP156" s="3180"/>
      <c r="BQ156" s="39"/>
      <c r="BR156" s="39"/>
      <c r="BS156" s="39"/>
      <c r="BT156" s="39"/>
      <c r="BU156" s="1852"/>
      <c r="BV156" s="1852"/>
      <c r="BW156" s="39"/>
      <c r="BX156" s="39"/>
      <c r="BY156" s="39"/>
      <c r="BZ156" s="39"/>
      <c r="CA156" s="39"/>
      <c r="CB156" s="39"/>
      <c r="CC156" s="39"/>
      <c r="CD156" s="39"/>
      <c r="CE156" s="39"/>
      <c r="CF156" s="1475"/>
      <c r="CG156" s="39"/>
      <c r="CH156" s="39"/>
      <c r="CI156" s="39"/>
      <c r="CJ156" s="39"/>
      <c r="CK156" s="39"/>
      <c r="CL156" s="1036"/>
      <c r="CM156" s="738"/>
      <c r="CN156" s="738"/>
      <c r="CO156" s="39"/>
      <c r="CP156" s="39"/>
      <c r="CQ156" s="39"/>
      <c r="CR156" s="39"/>
      <c r="CS156" s="39"/>
      <c r="CT156" s="39"/>
      <c r="CU156" s="39"/>
      <c r="CV156" s="782"/>
      <c r="CW156" s="39"/>
      <c r="CX156" s="39"/>
      <c r="CY156" s="39"/>
      <c r="CZ156" s="39"/>
      <c r="DA156" s="39"/>
      <c r="DB156" s="39"/>
      <c r="DC156" s="2039"/>
      <c r="DD156" s="39"/>
      <c r="DE156" s="39"/>
      <c r="DF156" s="500"/>
      <c r="DG156" s="39"/>
      <c r="DH156" s="39"/>
      <c r="DI156" s="39"/>
      <c r="DJ156" s="39"/>
    </row>
    <row r="157" spans="3:114" x14ac:dyDescent="0.25">
      <c r="C157" s="39" t="str">
        <f t="shared" si="32"/>
        <v>Hydraulic Surge</v>
      </c>
      <c r="D157" s="19"/>
      <c r="AK157" s="39"/>
      <c r="AL157" s="39"/>
      <c r="AM157" s="39"/>
      <c r="AN157" s="39"/>
      <c r="AO157" s="39"/>
      <c r="AP157" s="39"/>
      <c r="AQ157" s="738"/>
      <c r="AR157" s="39"/>
      <c r="AS157" s="1001"/>
      <c r="AT157" s="39"/>
      <c r="AU157" s="39"/>
      <c r="AV157" s="39"/>
      <c r="AW157" s="39"/>
      <c r="AX157" s="39"/>
      <c r="AY157" s="39"/>
      <c r="AZ157" s="39"/>
      <c r="BA157" s="39"/>
      <c r="BB157" s="39"/>
      <c r="BC157" s="39"/>
      <c r="BD157" s="39"/>
      <c r="BE157" s="39"/>
      <c r="BF157" s="39"/>
      <c r="BG157" s="39"/>
      <c r="BH157" s="39"/>
      <c r="BJ157" s="39"/>
      <c r="BK157" s="39"/>
      <c r="BL157" s="1852"/>
      <c r="BM157" s="39"/>
      <c r="BN157" s="39"/>
      <c r="BO157" s="3180"/>
      <c r="BP157" s="3180"/>
      <c r="BQ157" s="39"/>
      <c r="BR157" s="39"/>
      <c r="BS157" s="39"/>
      <c r="BT157" s="39"/>
      <c r="BU157" s="1852"/>
      <c r="BV157" s="1852"/>
      <c r="BW157" s="39"/>
      <c r="BX157" s="39"/>
      <c r="BY157" s="39"/>
      <c r="BZ157" s="39"/>
      <c r="CA157" s="39"/>
      <c r="CB157" s="39"/>
      <c r="CC157" s="39"/>
      <c r="CD157" s="39"/>
      <c r="CE157" s="39"/>
      <c r="CF157" s="1475"/>
      <c r="CG157" s="39"/>
      <c r="CH157" s="39"/>
      <c r="CI157" s="39"/>
      <c r="CJ157" s="39"/>
      <c r="CK157" s="39"/>
      <c r="CL157" s="1036"/>
      <c r="CM157" s="738"/>
      <c r="CN157" s="738"/>
      <c r="CO157" s="39"/>
      <c r="CP157" s="39"/>
      <c r="CQ157" s="39"/>
      <c r="CR157" s="39"/>
      <c r="CS157" s="39"/>
      <c r="CT157" s="39"/>
      <c r="CU157" s="39"/>
      <c r="CV157" s="782"/>
      <c r="CW157" s="39"/>
      <c r="CX157" s="39"/>
      <c r="CY157" s="39"/>
      <c r="CZ157" s="39"/>
      <c r="DA157" s="39"/>
      <c r="DB157" s="39"/>
      <c r="DC157" s="2039"/>
      <c r="DD157" s="39"/>
      <c r="DE157" s="39"/>
      <c r="DF157" s="500"/>
      <c r="DG157" s="39"/>
      <c r="DH157" s="39"/>
      <c r="DI157" s="39"/>
      <c r="DJ157" s="39"/>
    </row>
    <row r="158" spans="3:114" x14ac:dyDescent="0.25">
      <c r="C158" s="39" t="str">
        <f t="shared" si="32"/>
        <v>Hydraulic Overpressure</v>
      </c>
      <c r="D158" s="19"/>
      <c r="AK158" s="3158"/>
      <c r="AL158" s="3158"/>
      <c r="AM158" s="3158"/>
      <c r="AN158" s="3158"/>
      <c r="AO158" s="3158"/>
      <c r="AP158" s="3158"/>
      <c r="AQ158" s="3158"/>
      <c r="AR158" s="3158"/>
      <c r="AS158" s="3158"/>
      <c r="AT158" s="3158"/>
      <c r="AU158" s="3158"/>
      <c r="AV158" s="3158"/>
      <c r="AW158" s="3158"/>
      <c r="AX158" s="3158"/>
      <c r="AY158" s="3158"/>
      <c r="AZ158" s="3158"/>
      <c r="BA158" s="3158"/>
      <c r="BB158" s="3158"/>
      <c r="BC158" s="3158"/>
      <c r="BD158" s="3158"/>
      <c r="BE158" s="3158"/>
      <c r="BF158" s="3158"/>
      <c r="BG158" s="3158"/>
      <c r="BH158" s="3158"/>
      <c r="BJ158" s="3158"/>
      <c r="BK158" s="3158"/>
      <c r="BL158" s="3158"/>
      <c r="BM158" s="3158"/>
      <c r="BN158" s="3158"/>
      <c r="BO158" s="3180"/>
      <c r="BP158" s="3180"/>
      <c r="BQ158" s="3158"/>
      <c r="BR158" s="3158"/>
      <c r="BS158" s="3158"/>
      <c r="BT158" s="3158"/>
      <c r="BU158" s="3158"/>
      <c r="BV158" s="3158"/>
      <c r="BW158" s="3158"/>
      <c r="BX158" s="3158"/>
      <c r="BY158" s="3158"/>
      <c r="BZ158" s="3158"/>
      <c r="CA158" s="3158"/>
      <c r="CB158" s="3158"/>
      <c r="CC158" s="3158"/>
      <c r="CD158" s="3158"/>
      <c r="CE158" s="3158"/>
      <c r="CF158" s="3158"/>
      <c r="CG158" s="3158"/>
      <c r="CH158" s="3158"/>
      <c r="CI158" s="3158"/>
      <c r="CJ158" s="3158"/>
      <c r="CK158" s="3158"/>
      <c r="CL158" s="3158"/>
      <c r="CM158" s="3158"/>
      <c r="CN158" s="3158"/>
      <c r="CO158" s="3158"/>
      <c r="CP158" s="3158"/>
      <c r="CQ158" s="3158"/>
      <c r="CR158" s="3158"/>
      <c r="CS158" s="3158"/>
      <c r="CT158" s="3158"/>
      <c r="CU158" s="3158"/>
      <c r="CV158" s="3158"/>
      <c r="CW158" s="3158"/>
      <c r="CX158" s="3158"/>
      <c r="CY158" s="3158"/>
      <c r="CZ158" s="3158"/>
      <c r="DA158" s="3158"/>
      <c r="DB158" s="3158"/>
      <c r="DC158" s="3158"/>
      <c r="DD158" s="3158"/>
      <c r="DE158" s="3158"/>
      <c r="DF158" s="3158"/>
      <c r="DG158" s="3158"/>
      <c r="DH158" s="3158"/>
      <c r="DI158" s="3158"/>
      <c r="DJ158" s="3158"/>
    </row>
    <row r="159" spans="3:114" x14ac:dyDescent="0.25">
      <c r="C159" s="39" t="str">
        <f t="shared" ref="C159:C167" si="33">C30</f>
        <v>Introduction of Foreign Material</v>
      </c>
      <c r="D159" s="19"/>
      <c r="AK159" s="39"/>
      <c r="AL159" s="39"/>
      <c r="AM159" s="39"/>
      <c r="AN159" s="39"/>
      <c r="AO159" s="39"/>
      <c r="AP159" s="39"/>
      <c r="AQ159" s="738"/>
      <c r="AR159" s="39"/>
      <c r="AS159" s="1001"/>
      <c r="AT159" s="39"/>
      <c r="AU159" s="39"/>
      <c r="AV159" s="39"/>
      <c r="AW159" s="39"/>
      <c r="AX159" s="39"/>
      <c r="AY159" s="39"/>
      <c r="AZ159" s="39"/>
      <c r="BA159" s="39"/>
      <c r="BB159" s="39"/>
      <c r="BC159" s="39"/>
      <c r="BD159" s="39"/>
      <c r="BE159" s="39"/>
      <c r="BF159" s="39"/>
      <c r="BG159" s="39"/>
      <c r="BH159" s="39"/>
      <c r="BJ159" s="39"/>
      <c r="BK159" s="39"/>
      <c r="BL159" s="1852"/>
      <c r="BM159" s="39"/>
      <c r="BN159" s="39"/>
      <c r="BO159" s="3180"/>
      <c r="BP159" s="3180"/>
      <c r="BQ159" s="39"/>
      <c r="BR159" s="39"/>
      <c r="BS159" s="39"/>
      <c r="BT159" s="39"/>
      <c r="BU159" s="1852"/>
      <c r="BV159" s="1852"/>
      <c r="BW159" s="39"/>
      <c r="BX159" s="39"/>
      <c r="BY159" s="39"/>
      <c r="BZ159" s="39"/>
      <c r="CA159" s="39"/>
      <c r="CB159" s="39"/>
      <c r="CC159" s="39"/>
      <c r="CD159" s="39"/>
      <c r="CE159" s="39"/>
      <c r="CF159" s="1475"/>
      <c r="CG159" s="39"/>
      <c r="CH159" s="39"/>
      <c r="CI159" s="39"/>
      <c r="CJ159" s="39"/>
      <c r="CK159" s="39"/>
      <c r="CL159" s="1036"/>
      <c r="CM159" s="738"/>
      <c r="CN159" s="738"/>
      <c r="CO159" s="39"/>
      <c r="CP159" s="39"/>
      <c r="CQ159" s="39"/>
      <c r="CR159" s="39"/>
      <c r="CS159" s="39"/>
      <c r="CT159" s="39"/>
      <c r="CU159" s="39"/>
      <c r="CV159" s="782"/>
      <c r="CW159" s="39"/>
      <c r="CX159" s="39"/>
      <c r="CY159" s="39"/>
      <c r="CZ159" s="39"/>
      <c r="DA159" s="39"/>
      <c r="DB159" s="39"/>
      <c r="DC159" s="2039"/>
      <c r="DD159" s="39"/>
      <c r="DE159" s="39"/>
      <c r="DF159" s="500"/>
      <c r="DG159" s="39"/>
      <c r="DH159" s="39"/>
      <c r="DI159" s="39"/>
      <c r="DJ159" s="39"/>
    </row>
    <row r="160" spans="3:114" x14ac:dyDescent="0.25">
      <c r="C160" s="39" t="str">
        <f t="shared" si="33"/>
        <v>Liquid in Vapor Feed</v>
      </c>
      <c r="D160" s="19"/>
      <c r="AK160" s="39" t="str">
        <f>IPLD_Gen_12</f>
        <v>High Level in Knock Out Pot closes feed valve</v>
      </c>
      <c r="AL160" s="39"/>
      <c r="AM160" s="39"/>
      <c r="AN160" s="39"/>
      <c r="AO160" s="39"/>
      <c r="AP160" s="39"/>
      <c r="AQ160" s="738"/>
      <c r="AR160" s="39"/>
      <c r="AS160" s="1001"/>
      <c r="AT160" s="39"/>
      <c r="AU160" s="39"/>
      <c r="AV160" s="39"/>
      <c r="AW160" s="39"/>
      <c r="AX160" s="39"/>
      <c r="AY160" s="39"/>
      <c r="AZ160" s="39"/>
      <c r="BA160" s="39"/>
      <c r="BB160" s="39"/>
      <c r="BC160" s="39"/>
      <c r="BD160" s="39"/>
      <c r="BE160" s="39"/>
      <c r="BF160" s="39"/>
      <c r="BG160" s="39"/>
      <c r="BH160" s="39"/>
      <c r="BJ160" s="39"/>
      <c r="BK160" s="39"/>
      <c r="BL160" s="1852"/>
      <c r="BM160" s="39"/>
      <c r="BN160" s="39"/>
      <c r="BO160" s="3180"/>
      <c r="BP160" s="3180"/>
      <c r="BQ160" s="39"/>
      <c r="BR160" s="39"/>
      <c r="BS160" s="39"/>
      <c r="BT160" s="39"/>
      <c r="BU160" s="1852"/>
      <c r="BV160" s="1852"/>
      <c r="BW160" s="39"/>
      <c r="BX160" s="39"/>
      <c r="BY160" s="39"/>
      <c r="BZ160" s="39"/>
      <c r="CA160" s="39"/>
      <c r="CB160" s="39"/>
      <c r="CC160" s="39"/>
      <c r="CD160" s="39"/>
      <c r="CE160" s="39"/>
      <c r="CF160" s="1475"/>
      <c r="CG160" s="39"/>
      <c r="CH160" s="39"/>
      <c r="CI160" s="39"/>
      <c r="CJ160" s="39"/>
      <c r="CK160" s="39"/>
      <c r="CL160" s="1036"/>
      <c r="CM160" s="738"/>
      <c r="CN160" s="738"/>
      <c r="CO160" s="39"/>
      <c r="CP160" s="39"/>
      <c r="CQ160" s="39"/>
      <c r="CR160" s="39"/>
      <c r="CS160" s="39"/>
      <c r="CT160" s="39"/>
      <c r="CU160" s="39"/>
      <c r="CV160" s="782"/>
      <c r="CW160" s="39"/>
      <c r="CX160" s="39"/>
      <c r="CY160" s="39"/>
      <c r="CZ160" s="39"/>
      <c r="DA160" s="39"/>
      <c r="DB160" s="39"/>
      <c r="DC160" s="2039"/>
      <c r="DD160" s="39"/>
      <c r="DE160" s="39"/>
      <c r="DF160" s="500"/>
      <c r="DG160" s="39"/>
      <c r="DH160" s="39"/>
      <c r="DI160" s="39"/>
      <c r="DJ160" s="39"/>
    </row>
    <row r="161" spans="3:114" x14ac:dyDescent="0.25">
      <c r="C161" s="39" t="str">
        <f t="shared" si="33"/>
        <v>Loss of Flow - Adsorber or Scrubber</v>
      </c>
      <c r="D161" s="19"/>
      <c r="AK161" s="39"/>
      <c r="AL161" s="39"/>
      <c r="AM161" s="39"/>
      <c r="AN161" s="39"/>
      <c r="AO161" s="39"/>
      <c r="AP161" s="39"/>
      <c r="AQ161" s="738"/>
      <c r="AR161" s="39"/>
      <c r="AS161" s="1001"/>
      <c r="AT161" s="39"/>
      <c r="AU161" s="39"/>
      <c r="AV161" s="39"/>
      <c r="AW161" s="39"/>
      <c r="AX161" s="39"/>
      <c r="AY161" s="39"/>
      <c r="AZ161" s="39"/>
      <c r="BA161" s="39"/>
      <c r="BB161" s="39"/>
      <c r="BC161" s="39"/>
      <c r="BD161" s="39"/>
      <c r="BE161" s="39"/>
      <c r="BF161" s="39"/>
      <c r="BG161" s="39"/>
      <c r="BH161" s="39"/>
      <c r="BJ161" s="39"/>
      <c r="BK161" s="39"/>
      <c r="BL161" s="1852"/>
      <c r="BM161" s="39"/>
      <c r="BN161" s="39"/>
      <c r="BO161" s="3180"/>
      <c r="BP161" s="3180"/>
      <c r="BQ161" s="39"/>
      <c r="BR161" s="39"/>
      <c r="BS161" s="39"/>
      <c r="BT161" s="39"/>
      <c r="BU161" s="1852"/>
      <c r="BV161" s="1852"/>
      <c r="BW161" s="39"/>
      <c r="BX161" s="39"/>
      <c r="BY161" s="39"/>
      <c r="BZ161" s="39"/>
      <c r="CA161" s="39"/>
      <c r="CB161" s="39"/>
      <c r="CC161" s="39"/>
      <c r="CD161" s="39"/>
      <c r="CE161" s="39"/>
      <c r="CF161" s="1475"/>
      <c r="CG161" s="39"/>
      <c r="CH161" s="39"/>
      <c r="CI161" s="39"/>
      <c r="CJ161" s="39"/>
      <c r="CK161" s="39"/>
      <c r="CL161" s="1036"/>
      <c r="CM161" s="738"/>
      <c r="CN161" s="738"/>
      <c r="CO161" s="39"/>
      <c r="CP161" s="39"/>
      <c r="CQ161" s="39"/>
      <c r="CR161" s="39"/>
      <c r="CS161" s="39"/>
      <c r="CT161" s="39"/>
      <c r="CU161" s="39"/>
      <c r="CV161" s="782"/>
      <c r="CW161" s="39"/>
      <c r="CX161" s="39"/>
      <c r="CY161" s="39"/>
      <c r="CZ161" s="39"/>
      <c r="DA161" s="39"/>
      <c r="DB161" s="39"/>
      <c r="DC161" s="2039"/>
      <c r="DD161" s="39"/>
      <c r="DE161" s="39"/>
      <c r="DF161" s="500"/>
      <c r="DG161" s="39"/>
      <c r="DH161" s="39"/>
      <c r="DI161" s="39"/>
      <c r="DJ161" s="39"/>
    </row>
    <row r="162" spans="3:114" x14ac:dyDescent="0.25">
      <c r="C162" s="39" t="str">
        <f t="shared" si="33"/>
        <v>Loss of Flow or Level - Fired Equipment</v>
      </c>
      <c r="D162" s="19"/>
      <c r="AK162" s="39" t="str">
        <f>IF(Equipment="Vapor Quench",IPLD_FE_21,IPLD_FE_7)</f>
        <v>High Firebox or Vent Stack temperature with Operator Response to check fuel flow</v>
      </c>
      <c r="AL162" s="39"/>
      <c r="AM162" s="39" t="str">
        <f>IPLD_FE_21</f>
        <v>Open emergency water on loss of quench flow</v>
      </c>
      <c r="AN162" s="39"/>
      <c r="AO162" s="39"/>
      <c r="AP162" s="39"/>
      <c r="AQ162" s="738"/>
      <c r="AR162" s="39"/>
      <c r="AS162" s="1001"/>
      <c r="AT162" s="39"/>
      <c r="AU162" s="39"/>
      <c r="AV162" s="39" t="str">
        <f>IF(Equipment="Vapor Quench","Open emergency water on loss of quench flow","Close fuel control valve on low Heat Media flow")</f>
        <v>Close fuel control valve on low Heat Media flow</v>
      </c>
      <c r="AW162" s="39"/>
      <c r="AX162" s="39"/>
      <c r="AY162" s="39"/>
      <c r="AZ162" s="39"/>
      <c r="BA162" s="39"/>
      <c r="BB162" s="39"/>
      <c r="BC162" s="39"/>
      <c r="BD162" s="39"/>
      <c r="BE162" s="39"/>
      <c r="BF162" s="39"/>
      <c r="BG162" s="39"/>
      <c r="BH162" s="39"/>
      <c r="BJ162" s="39"/>
      <c r="BK162" s="39"/>
      <c r="BL162" s="1852"/>
      <c r="BM162" s="39"/>
      <c r="BN162" s="39"/>
      <c r="BO162" s="3180"/>
      <c r="BP162" s="3180"/>
      <c r="BQ162" s="39"/>
      <c r="BR162" s="39"/>
      <c r="BS162" s="39"/>
      <c r="BT162" s="39"/>
      <c r="BU162" s="1852"/>
      <c r="BV162" s="1852"/>
      <c r="BW162" s="39"/>
      <c r="BX162" s="39"/>
      <c r="BY162" s="39"/>
      <c r="BZ162" s="39"/>
      <c r="CA162" s="39"/>
      <c r="CB162" s="39"/>
      <c r="CC162" s="39"/>
      <c r="CD162" s="39"/>
      <c r="CE162" s="39"/>
      <c r="CF162" s="1475"/>
      <c r="CG162" s="39"/>
      <c r="CH162" s="39"/>
      <c r="CI162" s="39"/>
      <c r="CJ162" s="39"/>
      <c r="CK162" s="39"/>
      <c r="CL162" s="1036"/>
      <c r="CM162" s="738"/>
      <c r="CN162" s="738"/>
      <c r="CO162" s="39"/>
      <c r="CP162" s="39"/>
      <c r="CQ162" s="39"/>
      <c r="CR162" s="39"/>
      <c r="CS162" s="39"/>
      <c r="CT162" s="39"/>
      <c r="CU162" s="39"/>
      <c r="CV162" s="782"/>
      <c r="CW162" s="39"/>
      <c r="CX162" s="39"/>
      <c r="CY162" s="39"/>
      <c r="CZ162" s="39"/>
      <c r="DA162" s="39"/>
      <c r="DB162" s="39"/>
      <c r="DC162" s="2039"/>
      <c r="DD162" s="39"/>
      <c r="DE162" s="39"/>
      <c r="DF162" s="500"/>
      <c r="DG162" s="39"/>
      <c r="DH162" s="39"/>
      <c r="DI162" s="39"/>
      <c r="DJ162" s="39"/>
    </row>
    <row r="163" spans="3:114" x14ac:dyDescent="0.25">
      <c r="C163" s="39" t="str">
        <f t="shared" si="33"/>
        <v>Loss of Pilot or Ignition</v>
      </c>
      <c r="D163" s="19"/>
      <c r="AK163" s="39"/>
      <c r="AL163" s="39"/>
      <c r="AM163" s="39"/>
      <c r="AN163" s="39"/>
      <c r="AO163" s="39"/>
      <c r="AP163" s="39"/>
      <c r="AQ163" s="738"/>
      <c r="AR163" s="39"/>
      <c r="AS163" s="1001"/>
      <c r="AT163" s="39"/>
      <c r="AU163" s="39"/>
      <c r="AV163" s="39"/>
      <c r="AW163" s="39"/>
      <c r="AX163" s="39"/>
      <c r="AY163" s="39"/>
      <c r="AZ163" s="39"/>
      <c r="BA163" s="39"/>
      <c r="BB163" s="39"/>
      <c r="BC163" s="39"/>
      <c r="BD163" s="39"/>
      <c r="BE163" s="39"/>
      <c r="BF163" s="39"/>
      <c r="BG163" s="39"/>
      <c r="BH163" s="39"/>
      <c r="BJ163" s="39"/>
      <c r="BK163" s="39"/>
      <c r="BL163" s="1852"/>
      <c r="BM163" s="39"/>
      <c r="BN163" s="39"/>
      <c r="BO163" s="3180"/>
      <c r="BP163" s="3180"/>
      <c r="BQ163" s="39"/>
      <c r="BR163" s="39"/>
      <c r="BS163" s="39"/>
      <c r="BT163" s="39"/>
      <c r="BU163" s="1852"/>
      <c r="BV163" s="1852"/>
      <c r="BW163" s="39"/>
      <c r="BX163" s="39"/>
      <c r="BY163" s="39"/>
      <c r="BZ163" s="39"/>
      <c r="CA163" s="39"/>
      <c r="CB163" s="39"/>
      <c r="CC163" s="39"/>
      <c r="CD163" s="39"/>
      <c r="CE163" s="39"/>
      <c r="CF163" s="1475"/>
      <c r="CG163" s="39"/>
      <c r="CH163" s="39"/>
      <c r="CI163" s="39"/>
      <c r="CJ163" s="39"/>
      <c r="CK163" s="39"/>
      <c r="CL163" s="1036"/>
      <c r="CM163" s="738"/>
      <c r="CN163" s="738"/>
      <c r="CO163" s="39"/>
      <c r="CP163" s="39"/>
      <c r="CQ163" s="39"/>
      <c r="CR163" s="39"/>
      <c r="CS163" s="39"/>
      <c r="CT163" s="39"/>
      <c r="CU163" s="39"/>
      <c r="CV163" s="782"/>
      <c r="CW163" s="39"/>
      <c r="CX163" s="39"/>
      <c r="CY163" s="39"/>
      <c r="CZ163" s="39"/>
      <c r="DA163" s="39"/>
      <c r="DB163" s="39"/>
      <c r="DC163" s="2039"/>
      <c r="DD163" s="39"/>
      <c r="DE163" s="39"/>
      <c r="DF163" s="500"/>
      <c r="DG163" s="39"/>
      <c r="DH163" s="39"/>
      <c r="DI163" s="39"/>
      <c r="DJ163" s="39"/>
    </row>
    <row r="164" spans="3:114" x14ac:dyDescent="0.25">
      <c r="C164" s="39" t="str">
        <f t="shared" si="33"/>
        <v>Loss of Vacuum - Thermal Oxidizer</v>
      </c>
      <c r="D164" s="19"/>
      <c r="AK164" s="39"/>
      <c r="AL164" s="39"/>
      <c r="AM164" s="39" t="str">
        <f>IPLD_FE_6</f>
        <v>Feed Control Valve Closes on Blower Failure or Loss of Air Flow (low air/fuel ratio)</v>
      </c>
      <c r="AN164" s="39"/>
      <c r="AO164" s="39"/>
      <c r="AP164" s="39"/>
      <c r="AQ164" s="738"/>
      <c r="AR164" s="39"/>
      <c r="AS164" s="1001"/>
      <c r="AT164" s="39"/>
      <c r="AU164" s="39"/>
      <c r="AV164" s="39"/>
      <c r="AW164" s="39"/>
      <c r="AX164" s="39"/>
      <c r="AY164" s="39"/>
      <c r="AZ164" s="39"/>
      <c r="BA164" s="39"/>
      <c r="BB164" s="39"/>
      <c r="BC164" s="39"/>
      <c r="BD164" s="39"/>
      <c r="BE164" s="39"/>
      <c r="BF164" s="39"/>
      <c r="BG164" s="39"/>
      <c r="BH164" s="39"/>
      <c r="BJ164" s="39"/>
      <c r="BK164" s="39"/>
      <c r="BL164" s="1852"/>
      <c r="BM164" s="39"/>
      <c r="BN164" s="39"/>
      <c r="BO164" s="3180"/>
      <c r="BP164" s="3180"/>
      <c r="BQ164" s="39"/>
      <c r="BR164" s="39"/>
      <c r="BS164" s="39"/>
      <c r="BT164" s="39"/>
      <c r="BU164" s="1852"/>
      <c r="BV164" s="1852"/>
      <c r="BW164" s="39"/>
      <c r="BX164" s="39"/>
      <c r="BY164" s="39"/>
      <c r="BZ164" s="39"/>
      <c r="CA164" s="39"/>
      <c r="CB164" s="39"/>
      <c r="CC164" s="39"/>
      <c r="CD164" s="39"/>
      <c r="CE164" s="39"/>
      <c r="CF164" s="1475"/>
      <c r="CG164" s="39"/>
      <c r="CH164" s="39"/>
      <c r="CI164" s="39"/>
      <c r="CJ164" s="39"/>
      <c r="CK164" s="39"/>
      <c r="CL164" s="1036"/>
      <c r="CM164" s="738"/>
      <c r="CN164" s="738"/>
      <c r="CO164" s="39"/>
      <c r="CP164" s="39"/>
      <c r="CQ164" s="39"/>
      <c r="CR164" s="39"/>
      <c r="CS164" s="39"/>
      <c r="CT164" s="39"/>
      <c r="CU164" s="39"/>
      <c r="CV164" s="782"/>
      <c r="CW164" s="39"/>
      <c r="CX164" s="39"/>
      <c r="CY164" s="39"/>
      <c r="CZ164" s="39"/>
      <c r="DA164" s="39"/>
      <c r="DB164" s="39"/>
      <c r="DC164" s="2039"/>
      <c r="DD164" s="39"/>
      <c r="DE164" s="39"/>
      <c r="DF164" s="500"/>
      <c r="DG164" s="39"/>
      <c r="DH164" s="39"/>
      <c r="DI164" s="39"/>
      <c r="DJ164" s="39"/>
    </row>
    <row r="165" spans="3:114" x14ac:dyDescent="0.25">
      <c r="C165" s="39" t="str">
        <f t="shared" si="33"/>
        <v>Low Temperature Embrittlement</v>
      </c>
      <c r="D165" s="19"/>
      <c r="AK165" s="885"/>
      <c r="AL165" s="885"/>
      <c r="AM165" s="885"/>
      <c r="AN165" s="885"/>
      <c r="AO165" s="885"/>
      <c r="AP165" s="885"/>
      <c r="AQ165" s="885"/>
      <c r="AR165" s="885"/>
      <c r="AS165" s="1001"/>
      <c r="AT165" s="885"/>
      <c r="AU165" s="885"/>
      <c r="AV165" s="885"/>
      <c r="AW165" s="885"/>
      <c r="AX165" s="885"/>
      <c r="AY165" s="885"/>
      <c r="AZ165" s="885"/>
      <c r="BA165" s="885"/>
      <c r="BB165" s="885"/>
      <c r="BC165" s="885"/>
      <c r="BD165" s="885"/>
      <c r="BE165" s="885"/>
      <c r="BF165" s="885"/>
      <c r="BG165" s="885"/>
      <c r="BH165" s="885"/>
      <c r="BJ165" s="885"/>
      <c r="BK165" s="885"/>
      <c r="BL165" s="1852"/>
      <c r="BM165" s="885"/>
      <c r="BN165" s="885"/>
      <c r="BO165" s="3180"/>
      <c r="BP165" s="3180"/>
      <c r="BQ165" s="885"/>
      <c r="BR165" s="885"/>
      <c r="BS165" s="885"/>
      <c r="BT165" s="885"/>
      <c r="BU165" s="1852"/>
      <c r="BV165" s="1852"/>
      <c r="BW165" s="885"/>
      <c r="BX165" s="885"/>
      <c r="BY165" s="885"/>
      <c r="BZ165" s="885"/>
      <c r="CA165" s="885"/>
      <c r="CB165" s="885"/>
      <c r="CC165" s="885"/>
      <c r="CD165" s="885"/>
      <c r="CE165" s="885"/>
      <c r="CF165" s="1475"/>
      <c r="CG165" s="885"/>
      <c r="CH165" s="885"/>
      <c r="CI165" s="885"/>
      <c r="CJ165" s="885"/>
      <c r="CK165" s="885"/>
      <c r="CL165" s="1036"/>
      <c r="CM165" s="885"/>
      <c r="CN165" s="885"/>
      <c r="CO165" s="885"/>
      <c r="CP165" s="885"/>
      <c r="CQ165" s="885"/>
      <c r="CR165" s="885"/>
      <c r="CS165" s="885"/>
      <c r="CT165" s="885"/>
      <c r="CU165" s="885"/>
      <c r="CV165" s="885"/>
      <c r="CW165" s="885"/>
      <c r="CX165" s="885"/>
      <c r="CY165" s="885"/>
      <c r="CZ165" s="885"/>
      <c r="DA165" s="885"/>
      <c r="DB165" s="885"/>
      <c r="DC165" s="2039"/>
      <c r="DD165" s="885"/>
      <c r="DE165" s="885"/>
      <c r="DF165" s="885"/>
      <c r="DG165" s="885"/>
      <c r="DH165" s="885"/>
      <c r="DI165" s="885"/>
      <c r="DJ165" s="885"/>
    </row>
    <row r="166" spans="3:114" x14ac:dyDescent="0.25">
      <c r="C166" s="39" t="str">
        <f t="shared" si="33"/>
        <v>Overfill or Overflow</v>
      </c>
      <c r="D166" s="19"/>
      <c r="AK166" s="39" t="str">
        <f>IPLD_Gen_11</f>
        <v>High Level closes Feed Valve or Shuts Off Feed Pump</v>
      </c>
      <c r="AL166" s="39"/>
      <c r="AM166" s="39"/>
      <c r="AN166" s="39"/>
      <c r="AO166" s="39"/>
      <c r="AP166" s="39"/>
      <c r="AQ166" s="738"/>
      <c r="AR166" s="39"/>
      <c r="AS166" s="1001"/>
      <c r="AT166" s="39"/>
      <c r="AU166" s="39"/>
      <c r="AV166" s="39"/>
      <c r="AW166" s="39"/>
      <c r="AX166" s="39"/>
      <c r="AY166" s="39"/>
      <c r="AZ166" s="39"/>
      <c r="BA166" s="39"/>
      <c r="BB166" s="39"/>
      <c r="BC166" s="39"/>
      <c r="BD166" s="39"/>
      <c r="BE166" s="39"/>
      <c r="BF166" s="39"/>
      <c r="BG166" s="39"/>
      <c r="BH166" s="39"/>
      <c r="BJ166" s="39"/>
      <c r="BK166" s="39"/>
      <c r="BL166" s="1852"/>
      <c r="BM166" s="39"/>
      <c r="BN166" s="39"/>
      <c r="BO166" s="3180"/>
      <c r="BP166" s="3180"/>
      <c r="BQ166" s="39"/>
      <c r="BR166" s="39"/>
      <c r="BS166" s="39"/>
      <c r="BT166" s="39"/>
      <c r="BU166" s="1852"/>
      <c r="BV166" s="1852"/>
      <c r="BW166" s="39"/>
      <c r="BX166" s="39"/>
      <c r="BY166" s="39"/>
      <c r="BZ166" s="39"/>
      <c r="CA166" s="39"/>
      <c r="CB166" s="39"/>
      <c r="CC166" s="39"/>
      <c r="CD166" s="39"/>
      <c r="CE166" s="39"/>
      <c r="CF166" s="1475"/>
      <c r="CG166" s="39"/>
      <c r="CH166" s="39"/>
      <c r="CI166" s="39"/>
      <c r="CJ166" s="39" t="str">
        <f>IF(Overflow_Location="Source/Vapor Balance",IPLD_Gen_34,"")</f>
        <v/>
      </c>
      <c r="CK166" s="39"/>
      <c r="CL166" s="1036"/>
      <c r="CM166" s="738"/>
      <c r="CN166" s="738"/>
      <c r="CO166" s="39"/>
      <c r="CP166" s="39"/>
      <c r="CQ166" s="39"/>
      <c r="CR166" s="39"/>
      <c r="CS166" s="39"/>
      <c r="CT166" s="39"/>
      <c r="CU166" s="39"/>
      <c r="CV166" s="782"/>
      <c r="CW166" s="39"/>
      <c r="CX166" s="39"/>
      <c r="CY166" s="39"/>
      <c r="CZ166" s="39"/>
      <c r="DA166" s="39"/>
      <c r="DB166" s="39"/>
      <c r="DC166" s="2039"/>
      <c r="DD166" s="39"/>
      <c r="DE166" s="39"/>
      <c r="DF166" s="500"/>
      <c r="DG166" s="39"/>
      <c r="DH166" s="39"/>
      <c r="DI166" s="39"/>
      <c r="DJ166" s="39"/>
    </row>
    <row r="167" spans="3:114" x14ac:dyDescent="0.25">
      <c r="C167" s="39" t="str">
        <f t="shared" si="33"/>
        <v>Overfill or Backflow</v>
      </c>
      <c r="D167" s="19"/>
      <c r="AK167" s="2892"/>
      <c r="AL167" s="2892"/>
      <c r="AM167" s="2892"/>
      <c r="AN167" s="2892"/>
      <c r="AO167" s="2892"/>
      <c r="AP167" s="2892"/>
      <c r="AQ167" s="2892"/>
      <c r="AR167" s="2892"/>
      <c r="AS167" s="2892"/>
      <c r="AT167" s="2892"/>
      <c r="AU167" s="2892"/>
      <c r="AV167" s="2892"/>
      <c r="AW167" s="2892"/>
      <c r="AX167" s="2892"/>
      <c r="AY167" s="2892"/>
      <c r="AZ167" s="2892"/>
      <c r="BA167" s="2892"/>
      <c r="BB167" s="2892"/>
      <c r="BC167" s="2892"/>
      <c r="BD167" s="2892"/>
      <c r="BE167" s="2892"/>
      <c r="BF167" s="2892"/>
      <c r="BG167" s="2892"/>
      <c r="BH167" s="2892"/>
      <c r="BJ167" s="2892"/>
      <c r="BK167" s="2892"/>
      <c r="BL167" s="2892"/>
      <c r="BM167" s="2892"/>
      <c r="BN167" s="2892"/>
      <c r="BO167" s="3180"/>
      <c r="BP167" s="3180"/>
      <c r="BQ167" s="2892"/>
      <c r="BR167" s="2892"/>
      <c r="BS167" s="2892"/>
      <c r="BT167" s="2892"/>
      <c r="BU167" s="2892"/>
      <c r="BV167" s="2892"/>
      <c r="BW167" s="2892"/>
      <c r="BX167" s="2892"/>
      <c r="BY167" s="2892"/>
      <c r="BZ167" s="2892"/>
      <c r="CA167" s="2892"/>
      <c r="CB167" s="2892"/>
      <c r="CC167" s="2892"/>
      <c r="CD167" s="2892"/>
      <c r="CE167" s="2892"/>
      <c r="CF167" s="2892"/>
      <c r="CG167" s="2892"/>
      <c r="CH167" s="2892"/>
      <c r="CI167" s="2892"/>
      <c r="CJ167" s="2892"/>
      <c r="CK167" s="2892"/>
      <c r="CL167" s="2892"/>
      <c r="CM167" s="2892"/>
      <c r="CN167" s="2892"/>
      <c r="CO167" s="2892"/>
      <c r="CP167" s="2892"/>
      <c r="CQ167" s="2892"/>
      <c r="CR167" s="2892"/>
      <c r="CS167" s="2892"/>
      <c r="CT167" s="2892"/>
      <c r="CU167" s="2892"/>
      <c r="CV167" s="2892"/>
      <c r="CW167" s="2892"/>
      <c r="CX167" s="2892"/>
      <c r="CY167" s="2892"/>
      <c r="CZ167" s="2892"/>
      <c r="DA167" s="2892"/>
      <c r="DB167" s="2892"/>
      <c r="DC167" s="2892"/>
      <c r="DD167" s="2892"/>
      <c r="DE167" s="2892"/>
      <c r="DF167" s="2892"/>
      <c r="DG167" s="2892"/>
      <c r="DH167" s="2892"/>
      <c r="DI167" s="2892"/>
      <c r="DJ167" s="2892"/>
    </row>
    <row r="168" spans="3:114" x14ac:dyDescent="0.25">
      <c r="C168" s="39" t="str">
        <f t="shared" ref="C168:C192" si="34">C39</f>
        <v>Overflow - Flooding or Plugging</v>
      </c>
      <c r="D168" s="19"/>
      <c r="AK168" s="39"/>
      <c r="AL168" s="39"/>
      <c r="AM168" s="39" t="str">
        <f>IPLD_Gen_11</f>
        <v>High Level closes Feed Valve or Shuts Off Feed Pump</v>
      </c>
      <c r="AN168" s="39"/>
      <c r="AO168" s="39"/>
      <c r="AP168" s="39"/>
      <c r="AQ168" s="738"/>
      <c r="AR168" s="39"/>
      <c r="AS168" s="1001"/>
      <c r="AT168" s="39"/>
      <c r="AU168" s="39"/>
      <c r="AV168" s="39"/>
      <c r="AW168" s="39"/>
      <c r="AX168" s="39"/>
      <c r="AY168" s="39"/>
      <c r="AZ168" s="39"/>
      <c r="BA168" s="39"/>
      <c r="BB168" s="39"/>
      <c r="BC168" s="39"/>
      <c r="BD168" s="39"/>
      <c r="BE168" s="39"/>
      <c r="BF168" s="39"/>
      <c r="BG168" s="39"/>
      <c r="BH168" s="39"/>
      <c r="BJ168" s="39"/>
      <c r="BK168" s="39"/>
      <c r="BL168" s="1852"/>
      <c r="BM168" s="39"/>
      <c r="BN168" s="39"/>
      <c r="BO168" s="3180"/>
      <c r="BP168" s="3180"/>
      <c r="BQ168" s="39"/>
      <c r="BR168" s="39"/>
      <c r="BS168" s="39"/>
      <c r="BT168" s="39"/>
      <c r="BU168" s="1852"/>
      <c r="BV168" s="1852"/>
      <c r="BW168" s="39"/>
      <c r="BX168" s="39"/>
      <c r="BY168" s="39"/>
      <c r="BZ168" s="39"/>
      <c r="CA168" s="39"/>
      <c r="CB168" s="39"/>
      <c r="CC168" s="39"/>
      <c r="CD168" s="39"/>
      <c r="CE168" s="39"/>
      <c r="CF168" s="1475"/>
      <c r="CG168" s="39"/>
      <c r="CH168" s="39"/>
      <c r="CI168" s="39"/>
      <c r="CJ168" s="39"/>
      <c r="CK168" s="39"/>
      <c r="CL168" s="1036"/>
      <c r="CM168" s="738"/>
      <c r="CN168" s="738"/>
      <c r="CO168" s="39"/>
      <c r="CP168" s="39"/>
      <c r="CQ168" s="39"/>
      <c r="CR168" s="39"/>
      <c r="CS168" s="39"/>
      <c r="CT168" s="39"/>
      <c r="CU168" s="39"/>
      <c r="CV168" s="782"/>
      <c r="CW168" s="39"/>
      <c r="CX168" s="39"/>
      <c r="CY168" s="39"/>
      <c r="CZ168" s="39"/>
      <c r="DA168" s="39"/>
      <c r="DB168" s="39"/>
      <c r="DC168" s="2039"/>
      <c r="DD168" s="39"/>
      <c r="DE168" s="39"/>
      <c r="DF168" s="500"/>
      <c r="DG168" s="39"/>
      <c r="DH168" s="39"/>
      <c r="DI168" s="39"/>
      <c r="DJ168" s="39"/>
    </row>
    <row r="169" spans="3:114" x14ac:dyDescent="0.25">
      <c r="C169" s="39" t="str">
        <f t="shared" si="34"/>
        <v>Physical Damage or Puncture</v>
      </c>
      <c r="D169" s="19"/>
      <c r="AK169" s="39"/>
      <c r="AL169" s="39"/>
      <c r="AM169" s="39"/>
      <c r="AN169" s="39"/>
      <c r="AO169" s="39"/>
      <c r="AP169" s="39"/>
      <c r="AQ169" s="738"/>
      <c r="AR169" s="39"/>
      <c r="AS169" s="1001"/>
      <c r="AT169" s="39"/>
      <c r="AU169" s="39"/>
      <c r="AV169" s="39"/>
      <c r="AW169" s="39"/>
      <c r="AX169" s="39"/>
      <c r="AY169" s="39"/>
      <c r="AZ169" s="39"/>
      <c r="BA169" s="39"/>
      <c r="BB169" s="39"/>
      <c r="BC169" s="39"/>
      <c r="BD169" s="39"/>
      <c r="BE169" s="39"/>
      <c r="BF169" s="39"/>
      <c r="BG169" s="39"/>
      <c r="BH169" s="39"/>
      <c r="BJ169" s="39"/>
      <c r="BK169" s="39"/>
      <c r="BL169" s="1852"/>
      <c r="BM169" s="39"/>
      <c r="BN169" s="39"/>
      <c r="BO169" s="3180"/>
      <c r="BP169" s="3180"/>
      <c r="BQ169" s="39"/>
      <c r="BR169" s="39"/>
      <c r="BS169" s="39"/>
      <c r="BT169" s="39"/>
      <c r="BU169" s="1852"/>
      <c r="BV169" s="1852"/>
      <c r="BW169" s="39"/>
      <c r="BX169" s="39"/>
      <c r="BY169" s="39" t="str">
        <f>IF(AND(OR(Equipment="Pump",Equipment="Piping"),Pipe_Vulnerable&lt;&gt;"No"),"Piping is Effectively Guarded or at Sufficient Elevation to minimize the potential for damage","")</f>
        <v/>
      </c>
      <c r="BZ169" s="39"/>
      <c r="CA169" s="39"/>
      <c r="CB169" s="39"/>
      <c r="CC169" s="39"/>
      <c r="CD169" s="39"/>
      <c r="CE169" s="39"/>
      <c r="CF169" s="1475"/>
      <c r="CG169" s="39"/>
      <c r="CH169" s="39"/>
      <c r="CI169" s="39"/>
      <c r="CJ169" s="39"/>
      <c r="CK169" s="39"/>
      <c r="CL169" s="1036"/>
      <c r="CM169" s="738"/>
      <c r="CN169" s="738"/>
      <c r="CO169" s="39"/>
      <c r="CP169" s="39"/>
      <c r="CQ169" s="39"/>
      <c r="CR169" s="39"/>
      <c r="CS169" s="39"/>
      <c r="CT169" s="39"/>
      <c r="CU169" s="39"/>
      <c r="CV169" s="782"/>
      <c r="CW169" s="39"/>
      <c r="CX169" s="39"/>
      <c r="CY169" s="39"/>
      <c r="CZ169" s="39"/>
      <c r="DA169" s="39"/>
      <c r="DB169" s="39"/>
      <c r="DC169" s="2039"/>
      <c r="DD169" s="39"/>
      <c r="DE169" s="39"/>
      <c r="DF169" s="500"/>
      <c r="DG169" s="39"/>
      <c r="DH169" s="39"/>
      <c r="DI169" s="39"/>
      <c r="DJ169" s="39"/>
    </row>
    <row r="170" spans="3:114" x14ac:dyDescent="0.25">
      <c r="C170" s="39" t="str">
        <f t="shared" si="34"/>
        <v>Mechanical Integrity Failure - Extremely Large</v>
      </c>
      <c r="D170" s="19"/>
      <c r="AK170" s="39"/>
      <c r="AL170" s="39"/>
      <c r="AM170" s="39"/>
      <c r="AN170" s="39"/>
      <c r="AO170" s="39"/>
      <c r="AP170" s="39"/>
      <c r="AQ170" s="738"/>
      <c r="AR170" s="39"/>
      <c r="AS170" s="1001"/>
      <c r="AT170" s="39"/>
      <c r="AU170" s="39"/>
      <c r="AV170" s="39"/>
      <c r="AW170" s="39"/>
      <c r="AX170" s="39"/>
      <c r="AY170" s="39"/>
      <c r="AZ170" s="39"/>
      <c r="BA170" s="39"/>
      <c r="BB170" s="39"/>
      <c r="BC170" s="39"/>
      <c r="BD170" s="39"/>
      <c r="BE170" s="39"/>
      <c r="BF170" s="39"/>
      <c r="BG170" s="39"/>
      <c r="BH170" s="39"/>
      <c r="BJ170" s="39"/>
      <c r="BK170" s="39"/>
      <c r="BL170" s="1852"/>
      <c r="BM170" s="39"/>
      <c r="BN170" s="39"/>
      <c r="BO170" s="3180"/>
      <c r="BP170" s="3180"/>
      <c r="BQ170" s="39"/>
      <c r="BR170" s="39"/>
      <c r="BS170" s="39"/>
      <c r="BT170" s="39"/>
      <c r="BU170" s="1852"/>
      <c r="BV170" s="1852"/>
      <c r="BW170" s="39"/>
      <c r="BX170" s="39"/>
      <c r="BY170" s="39"/>
      <c r="BZ170" s="39"/>
      <c r="CA170" s="39"/>
      <c r="CB170" s="39"/>
      <c r="CC170" s="39" t="str">
        <f>IF(Matl_Construction="Corrosion Resistant Alloy",IPLD_MI_1,"")</f>
        <v/>
      </c>
      <c r="CD170" s="39" t="str">
        <f>IPLD_MI_2</f>
        <v>Use of Extraordinary Inspection as API 570 Class 1 for Piping or 100% Internal and External per 10 years or less for Vessels</v>
      </c>
      <c r="CE170" s="39"/>
      <c r="CF170" s="1475"/>
      <c r="CG170" s="39"/>
      <c r="CH170" s="39"/>
      <c r="CI170" s="39"/>
      <c r="CJ170" s="39"/>
      <c r="CK170" s="39"/>
      <c r="CL170" s="1036"/>
      <c r="CM170" s="738"/>
      <c r="CN170" s="738"/>
      <c r="CO170" s="39"/>
      <c r="CP170" s="39"/>
      <c r="CQ170" s="39"/>
      <c r="CR170" s="39"/>
      <c r="CS170" s="39"/>
      <c r="CT170" s="39"/>
      <c r="CU170" s="39"/>
      <c r="CV170" s="782"/>
      <c r="CW170" s="39"/>
      <c r="CX170" s="39"/>
      <c r="CY170" s="39"/>
      <c r="CZ170" s="39"/>
      <c r="DA170" s="39"/>
      <c r="DB170" s="39"/>
      <c r="DC170" s="2039"/>
      <c r="DD170" s="39"/>
      <c r="DE170" s="39"/>
      <c r="DF170" s="500"/>
      <c r="DG170" s="39"/>
      <c r="DH170" s="39"/>
      <c r="DI170" s="39"/>
      <c r="DJ170" s="39"/>
    </row>
    <row r="171" spans="3:114" x14ac:dyDescent="0.25">
      <c r="C171" s="39" t="str">
        <f t="shared" si="34"/>
        <v>Mechanical Integrity Failure - Very Large</v>
      </c>
      <c r="D171" s="19"/>
      <c r="AK171" s="39"/>
      <c r="AL171" s="39"/>
      <c r="AM171" s="39"/>
      <c r="AN171" s="39"/>
      <c r="AO171" s="39"/>
      <c r="AP171" s="39"/>
      <c r="AQ171" s="738"/>
      <c r="AR171" s="39"/>
      <c r="AS171" s="1001"/>
      <c r="AT171" s="39"/>
      <c r="AU171" s="39"/>
      <c r="AV171" s="39"/>
      <c r="AW171" s="39"/>
      <c r="AX171" s="39"/>
      <c r="AY171" s="39"/>
      <c r="AZ171" s="39"/>
      <c r="BA171" s="39"/>
      <c r="BB171" s="39"/>
      <c r="BC171" s="39"/>
      <c r="BD171" s="39"/>
      <c r="BE171" s="39"/>
      <c r="BF171" s="39"/>
      <c r="BG171" s="39"/>
      <c r="BH171" s="39"/>
      <c r="BJ171" s="39"/>
      <c r="BK171" s="39"/>
      <c r="BL171" s="1852"/>
      <c r="BM171" s="39"/>
      <c r="BN171" s="39"/>
      <c r="BO171" s="3180"/>
      <c r="BP171" s="3180"/>
      <c r="BQ171" s="39"/>
      <c r="BR171" s="39"/>
      <c r="BS171" s="39"/>
      <c r="BT171" s="39"/>
      <c r="BU171" s="1852"/>
      <c r="BV171" s="1852"/>
      <c r="BW171" s="39"/>
      <c r="BX171" s="39"/>
      <c r="BY171" s="39"/>
      <c r="BZ171" s="39"/>
      <c r="CA171" s="39" t="str">
        <f>IF(Matl_Construction="Corrosion Resistant Alloy",IPLD_MI_1,"")</f>
        <v/>
      </c>
      <c r="CB171" s="39" t="str">
        <f>IPLD_MI_2</f>
        <v>Use of Extraordinary Inspection as API 570 Class 1 for Piping or 100% Internal and External per 10 years or less for Vessels</v>
      </c>
      <c r="CC171" s="39"/>
      <c r="CD171" s="39"/>
      <c r="CE171" s="39"/>
      <c r="CF171" s="1475"/>
      <c r="CG171" s="39"/>
      <c r="CH171" s="39"/>
      <c r="CI171" s="39"/>
      <c r="CJ171" s="39"/>
      <c r="CK171" s="39"/>
      <c r="CL171" s="1036"/>
      <c r="CM171" s="738"/>
      <c r="CN171" s="738"/>
      <c r="CO171" s="39"/>
      <c r="CP171" s="39"/>
      <c r="CQ171" s="39"/>
      <c r="CR171" s="39"/>
      <c r="CS171" s="39"/>
      <c r="CT171" s="39"/>
      <c r="CU171" s="39"/>
      <c r="CV171" s="782"/>
      <c r="CW171" s="39"/>
      <c r="CX171" s="39"/>
      <c r="CY171" s="39"/>
      <c r="CZ171" s="39"/>
      <c r="DA171" s="39"/>
      <c r="DB171" s="39"/>
      <c r="DC171" s="2039"/>
      <c r="DD171" s="39"/>
      <c r="DE171" s="39"/>
      <c r="DF171" s="500"/>
      <c r="DG171" s="39"/>
      <c r="DH171" s="39"/>
      <c r="DI171" s="39"/>
      <c r="DJ171" s="39"/>
    </row>
    <row r="172" spans="3:114" x14ac:dyDescent="0.25">
      <c r="C172" s="39" t="str">
        <f t="shared" si="34"/>
        <v>Piping or Equipment Leak - Full Bore</v>
      </c>
      <c r="D172" s="19"/>
      <c r="AK172" s="39"/>
      <c r="AL172" s="39"/>
      <c r="AM172" s="39"/>
      <c r="AN172" s="39"/>
      <c r="AO172" s="39"/>
      <c r="AP172" s="39"/>
      <c r="AQ172" s="738"/>
      <c r="AR172" s="39"/>
      <c r="AS172" s="1001"/>
      <c r="AT172" s="39"/>
      <c r="AU172" s="39"/>
      <c r="AV172" s="39"/>
      <c r="AW172" s="39"/>
      <c r="AX172" s="39"/>
      <c r="AY172" s="39"/>
      <c r="AZ172" s="39"/>
      <c r="BA172" s="39"/>
      <c r="BB172" s="39"/>
      <c r="BC172" s="39"/>
      <c r="BD172" s="39"/>
      <c r="BE172" s="39"/>
      <c r="BF172" s="39"/>
      <c r="BG172" s="39"/>
      <c r="BH172" s="39"/>
      <c r="BJ172" s="39"/>
      <c r="BK172" s="39"/>
      <c r="BL172" s="1852"/>
      <c r="BM172" s="39"/>
      <c r="BN172" s="39"/>
      <c r="BO172" s="3180"/>
      <c r="BP172" s="3180"/>
      <c r="BQ172" s="39"/>
      <c r="BR172" s="39"/>
      <c r="BS172" s="39"/>
      <c r="BT172" s="39"/>
      <c r="BU172" s="1852"/>
      <c r="BV172" s="1852"/>
      <c r="BW172" s="39"/>
      <c r="BX172" s="39"/>
      <c r="BY172" s="39"/>
      <c r="BZ172" s="39"/>
      <c r="CA172" s="39"/>
      <c r="CB172" s="39" t="str">
        <f>IF(OR(Connection_Type="Hose",Connection_Type="Loading Arm"),"100% Operator Attendance required during loading or unloading operations","")</f>
        <v/>
      </c>
      <c r="CC172" s="39"/>
      <c r="CD172" s="39"/>
      <c r="CE172" s="39"/>
      <c r="CF172" s="1475"/>
      <c r="CG172" s="39"/>
      <c r="CH172" s="39"/>
      <c r="CI172" s="39"/>
      <c r="CJ172" s="39"/>
      <c r="CK172" s="39"/>
      <c r="CL172" s="1036"/>
      <c r="CM172" s="738"/>
      <c r="CN172" s="738"/>
      <c r="CO172" s="39"/>
      <c r="CP172" s="39"/>
      <c r="CQ172" s="39"/>
      <c r="CR172" s="39"/>
      <c r="CS172" s="39"/>
      <c r="CT172" s="39"/>
      <c r="CU172" s="39"/>
      <c r="CV172" s="782"/>
      <c r="CW172" s="39"/>
      <c r="CX172" s="39"/>
      <c r="CY172" s="39"/>
      <c r="CZ172" s="39"/>
      <c r="DA172" s="39"/>
      <c r="DB172" s="39"/>
      <c r="DC172" s="2039"/>
      <c r="DD172" s="39"/>
      <c r="DE172" s="39"/>
      <c r="DF172" s="500"/>
      <c r="DG172" s="39"/>
      <c r="DH172" s="39"/>
      <c r="DI172" s="39"/>
      <c r="DJ172" s="39"/>
    </row>
    <row r="173" spans="3:114" x14ac:dyDescent="0.25">
      <c r="C173" s="39" t="str">
        <f t="shared" si="34"/>
        <v>Mechanical Integrity Failure - Medium</v>
      </c>
      <c r="D173" s="19"/>
      <c r="AK173" s="39"/>
      <c r="AL173" s="39"/>
      <c r="AM173" s="39"/>
      <c r="AN173" s="39"/>
      <c r="AO173" s="39"/>
      <c r="AP173" s="39"/>
      <c r="AQ173" s="738"/>
      <c r="AR173" s="39"/>
      <c r="AS173" s="1001"/>
      <c r="AT173" s="39"/>
      <c r="AU173" s="39"/>
      <c r="AV173" s="39"/>
      <c r="AW173" s="39"/>
      <c r="AX173" s="39"/>
      <c r="AY173" s="39"/>
      <c r="AZ173" s="39"/>
      <c r="BA173" s="39"/>
      <c r="BB173" s="39"/>
      <c r="BC173" s="39"/>
      <c r="BD173" s="39"/>
      <c r="BE173" s="39"/>
      <c r="BF173" s="39"/>
      <c r="BG173" s="39"/>
      <c r="BH173" s="39"/>
      <c r="BJ173" s="39"/>
      <c r="BK173" s="39"/>
      <c r="BL173" s="1852"/>
      <c r="BM173" s="39"/>
      <c r="BN173" s="39"/>
      <c r="BO173" s="3180"/>
      <c r="BP173" s="3180"/>
      <c r="BQ173" s="39"/>
      <c r="BR173" s="39"/>
      <c r="BS173" s="39"/>
      <c r="BT173" s="39"/>
      <c r="BU173" s="1852"/>
      <c r="BV173" s="1852"/>
      <c r="BW173" s="39" t="str">
        <f>IF(Matl_Construction="Corrosion Resistant Alloy",IPLD_MI_1,"")</f>
        <v/>
      </c>
      <c r="BX173" s="39" t="str">
        <f>IPLD_MI_2</f>
        <v>Use of Extraordinary Inspection as API 570 Class 1 for Piping or 100% Internal and External per 10 years or less for Vessels</v>
      </c>
      <c r="BY173" s="39"/>
      <c r="BZ173" s="39"/>
      <c r="CA173" s="39"/>
      <c r="CB173" s="39"/>
      <c r="CC173" s="39"/>
      <c r="CD173" s="39"/>
      <c r="CE173" s="39"/>
      <c r="CF173" s="1475"/>
      <c r="CG173" s="39"/>
      <c r="CH173" s="39"/>
      <c r="CI173" s="39"/>
      <c r="CJ173" s="39"/>
      <c r="CK173" s="39"/>
      <c r="CL173" s="1036"/>
      <c r="CM173" s="738"/>
      <c r="CN173" s="738"/>
      <c r="CO173" s="39"/>
      <c r="CP173" s="39"/>
      <c r="CQ173" s="39"/>
      <c r="CR173" s="39"/>
      <c r="CS173" s="39"/>
      <c r="CT173" s="39"/>
      <c r="CU173" s="39"/>
      <c r="CV173" s="782"/>
      <c r="CW173" s="39"/>
      <c r="CX173" s="39"/>
      <c r="CY173" s="39"/>
      <c r="CZ173" s="39"/>
      <c r="DA173" s="39"/>
      <c r="DB173" s="39"/>
      <c r="DC173" s="2039"/>
      <c r="DD173" s="39"/>
      <c r="DE173" s="39"/>
      <c r="DF173" s="500"/>
      <c r="DG173" s="39"/>
      <c r="DH173" s="39"/>
      <c r="DI173" s="39"/>
      <c r="DJ173" s="39"/>
    </row>
    <row r="174" spans="3:114" x14ac:dyDescent="0.25">
      <c r="C174" s="39" t="str">
        <f t="shared" si="34"/>
        <v>Relief Device Failure</v>
      </c>
      <c r="D174" s="19"/>
      <c r="AK174" s="39"/>
      <c r="AL174" s="39"/>
      <c r="AM174" s="39"/>
      <c r="AN174" s="39"/>
      <c r="AO174" s="39"/>
      <c r="AP174" s="39"/>
      <c r="AQ174" s="738"/>
      <c r="AR174" s="39"/>
      <c r="AS174" s="1001"/>
      <c r="AT174" s="39"/>
      <c r="AU174" s="39"/>
      <c r="AV174" s="39"/>
      <c r="AW174" s="39"/>
      <c r="AX174" s="39"/>
      <c r="AY174" s="39"/>
      <c r="AZ174" s="39"/>
      <c r="BA174" s="39"/>
      <c r="BB174" s="39"/>
      <c r="BC174" s="39"/>
      <c r="BD174" s="39"/>
      <c r="BE174" s="39"/>
      <c r="BF174" s="39"/>
      <c r="BG174" s="39"/>
      <c r="BH174" s="39"/>
      <c r="BJ174" s="39"/>
      <c r="BK174" s="39"/>
      <c r="BL174" s="1852"/>
      <c r="BM174" s="39"/>
      <c r="BN174" s="39"/>
      <c r="BO174" s="3180"/>
      <c r="BP174" s="3180"/>
      <c r="BQ174" s="39"/>
      <c r="BR174" s="39"/>
      <c r="BS174" s="39"/>
      <c r="BT174" s="39"/>
      <c r="BU174" s="1852"/>
      <c r="BV174" s="1852"/>
      <c r="BW174" s="39"/>
      <c r="BX174" s="39"/>
      <c r="BY174" s="39"/>
      <c r="BZ174" s="39"/>
      <c r="CA174" s="39"/>
      <c r="CB174" s="39"/>
      <c r="CC174" s="39"/>
      <c r="CD174" s="39"/>
      <c r="CE174" s="39"/>
      <c r="CF174" s="1475"/>
      <c r="CG174" s="39"/>
      <c r="CH174" s="39"/>
      <c r="CI174" s="39"/>
      <c r="CJ174" s="39"/>
      <c r="CK174" s="39"/>
      <c r="CL174" s="1036"/>
      <c r="CM174" s="738"/>
      <c r="CN174" s="738"/>
      <c r="CO174" s="39"/>
      <c r="CP174" s="39"/>
      <c r="CQ174" s="39"/>
      <c r="CR174" s="39"/>
      <c r="CS174" s="39"/>
      <c r="CT174" s="39"/>
      <c r="CU174" s="39"/>
      <c r="CV174" s="782"/>
      <c r="CW174" s="39"/>
      <c r="CX174" s="39"/>
      <c r="CY174" s="39"/>
      <c r="CZ174" s="39"/>
      <c r="DA174" s="39"/>
      <c r="DB174" s="39"/>
      <c r="DC174" s="2039"/>
      <c r="DD174" s="39"/>
      <c r="DE174" s="39"/>
      <c r="DF174" s="500"/>
      <c r="DG174" s="39"/>
      <c r="DH174" s="39"/>
      <c r="DI174" s="39"/>
      <c r="DJ174" s="39"/>
    </row>
    <row r="175" spans="3:114" x14ac:dyDescent="0.25">
      <c r="C175" s="39" t="str">
        <f t="shared" si="34"/>
        <v>Piping or Equipment Leak - Small</v>
      </c>
      <c r="D175" s="19"/>
      <c r="AK175" s="1374"/>
      <c r="AL175" s="1374"/>
      <c r="AM175" s="1374"/>
      <c r="AN175" s="1374"/>
      <c r="AO175" s="1374"/>
      <c r="AP175" s="1374"/>
      <c r="AQ175" s="1374"/>
      <c r="AR175" s="1374"/>
      <c r="AS175" s="1374"/>
      <c r="AT175" s="1374"/>
      <c r="AU175" s="1374"/>
      <c r="AV175" s="1374"/>
      <c r="AW175" s="1374"/>
      <c r="AX175" s="1374"/>
      <c r="AY175" s="1374"/>
      <c r="AZ175" s="1374"/>
      <c r="BA175" s="1374"/>
      <c r="BB175" s="1374"/>
      <c r="BC175" s="1374"/>
      <c r="BD175" s="1374"/>
      <c r="BE175" s="1374"/>
      <c r="BF175" s="1374"/>
      <c r="BG175" s="1374"/>
      <c r="BH175" s="1374"/>
      <c r="BJ175" s="1374"/>
      <c r="BK175" s="1374"/>
      <c r="BL175" s="1852"/>
      <c r="BM175" s="1374"/>
      <c r="BN175" s="1374"/>
      <c r="BO175" s="3180"/>
      <c r="BP175" s="3180"/>
      <c r="BQ175" s="1374"/>
      <c r="BR175" s="1374"/>
      <c r="BS175" s="1374"/>
      <c r="BT175" s="1374"/>
      <c r="BU175" s="1852"/>
      <c r="BV175" s="1852"/>
      <c r="BW175" s="1374"/>
      <c r="BX175" s="1374"/>
      <c r="BY175" s="1374"/>
      <c r="BZ175" s="1374"/>
      <c r="CA175" s="1374"/>
      <c r="CB175" s="1374"/>
      <c r="CC175" s="1374"/>
      <c r="CD175" s="1374"/>
      <c r="CE175" s="1374"/>
      <c r="CF175" s="1475"/>
      <c r="CG175" s="1374"/>
      <c r="CH175" s="1374"/>
      <c r="CI175" s="1374"/>
      <c r="CJ175" s="1374"/>
      <c r="CK175" s="1374"/>
      <c r="CL175" s="1374"/>
      <c r="CM175" s="1374"/>
      <c r="CN175" s="1374"/>
      <c r="CO175" s="1374"/>
      <c r="CP175" s="1374"/>
      <c r="CQ175" s="1374"/>
      <c r="CR175" s="1374"/>
      <c r="CS175" s="1374"/>
      <c r="CT175" s="1374"/>
      <c r="CU175" s="1374"/>
      <c r="CV175" s="1374"/>
      <c r="CW175" s="1374"/>
      <c r="CX175" s="1374"/>
      <c r="CY175" s="1374"/>
      <c r="CZ175" s="1374"/>
      <c r="DA175" s="1374"/>
      <c r="DB175" s="1374"/>
      <c r="DC175" s="2039"/>
      <c r="DD175" s="1374"/>
      <c r="DE175" s="1374"/>
      <c r="DF175" s="1374"/>
      <c r="DG175" s="1374"/>
      <c r="DH175" s="1374"/>
      <c r="DI175" s="1374"/>
      <c r="DJ175" s="1374"/>
    </row>
    <row r="176" spans="3:114" x14ac:dyDescent="0.25">
      <c r="C176" s="39" t="str">
        <f t="shared" si="34"/>
        <v>Mechanical Integrity Failure - Very Small</v>
      </c>
      <c r="D176" s="19"/>
      <c r="AK176" s="39"/>
      <c r="AL176" s="39"/>
      <c r="AM176" s="39"/>
      <c r="AN176" s="39"/>
      <c r="AO176" s="39"/>
      <c r="AP176" s="39"/>
      <c r="AQ176" s="738"/>
      <c r="AR176" s="39"/>
      <c r="AS176" s="1001"/>
      <c r="AT176" s="39"/>
      <c r="AU176" s="39"/>
      <c r="AV176" s="39"/>
      <c r="AW176" s="39"/>
      <c r="AX176" s="39"/>
      <c r="AY176" s="39"/>
      <c r="AZ176" s="39"/>
      <c r="BA176" s="39"/>
      <c r="BB176" s="39"/>
      <c r="BC176" s="39"/>
      <c r="BD176" s="39"/>
      <c r="BE176" s="39"/>
      <c r="BF176" s="39"/>
      <c r="BG176" s="39"/>
      <c r="BH176" s="39"/>
      <c r="BJ176" s="39" t="str">
        <f>IPLD_MI_2</f>
        <v>Use of Extraordinary Inspection as API 570 Class 1 for Piping or 100% Internal and External per 10 years or less for Vessels</v>
      </c>
      <c r="BK176" s="39"/>
      <c r="BL176" s="1852"/>
      <c r="BM176" s="39"/>
      <c r="BN176" s="39"/>
      <c r="BO176" s="3180"/>
      <c r="BP176" s="3180"/>
      <c r="BQ176" s="39"/>
      <c r="BR176" s="39"/>
      <c r="BS176" s="39"/>
      <c r="BT176" s="39"/>
      <c r="BU176" s="1852"/>
      <c r="BV176" s="1852"/>
      <c r="BW176" s="39"/>
      <c r="BX176" s="39"/>
      <c r="BY176" s="39"/>
      <c r="BZ176" s="39"/>
      <c r="CA176" s="39"/>
      <c r="CB176" s="39"/>
      <c r="CC176" s="39"/>
      <c r="CD176" s="39"/>
      <c r="CE176" s="39"/>
      <c r="CF176" s="1475"/>
      <c r="CG176" s="39"/>
      <c r="CH176" s="39"/>
      <c r="CI176" s="39"/>
      <c r="CJ176" s="39"/>
      <c r="CK176" s="39"/>
      <c r="CL176" s="1036"/>
      <c r="CM176" s="738"/>
      <c r="CN176" s="738"/>
      <c r="CO176" s="39"/>
      <c r="CP176" s="39"/>
      <c r="CQ176" s="39"/>
      <c r="CR176" s="39"/>
      <c r="CS176" s="39"/>
      <c r="CT176" s="39"/>
      <c r="CU176" s="39"/>
      <c r="CV176" s="782"/>
      <c r="CW176" s="39"/>
      <c r="CX176" s="39"/>
      <c r="CY176" s="39"/>
      <c r="CZ176" s="39"/>
      <c r="DA176" s="39"/>
      <c r="DB176" s="39"/>
      <c r="DC176" s="2039"/>
      <c r="DD176" s="39"/>
      <c r="DE176" s="39"/>
      <c r="DF176" s="500"/>
      <c r="DG176" s="39"/>
      <c r="DH176" s="39"/>
      <c r="DI176" s="39"/>
      <c r="DJ176" s="39"/>
    </row>
    <row r="177" spans="3:114" x14ac:dyDescent="0.25">
      <c r="C177" s="39" t="str">
        <f t="shared" si="34"/>
        <v>Plugged or Frozen Vent Line</v>
      </c>
      <c r="D177" s="19"/>
      <c r="AK177" s="39"/>
      <c r="AL177" s="39"/>
      <c r="AM177" s="39"/>
      <c r="AN177" s="39"/>
      <c r="AO177" s="39"/>
      <c r="AP177" s="39"/>
      <c r="AQ177" s="738"/>
      <c r="AR177" s="39"/>
      <c r="AS177" s="1001"/>
      <c r="AT177" s="39"/>
      <c r="AU177" s="39"/>
      <c r="AV177" s="39"/>
      <c r="AW177" s="39"/>
      <c r="AX177" s="39"/>
      <c r="AY177" s="39"/>
      <c r="AZ177" s="39"/>
      <c r="BA177" s="39" t="str">
        <f>IPLD_FE_8</f>
        <v>High pressure in flare header shuts off feeds</v>
      </c>
      <c r="BB177" s="39"/>
      <c r="BC177" s="39"/>
      <c r="BD177" s="39"/>
      <c r="BE177" s="39"/>
      <c r="BF177" s="39"/>
      <c r="BG177" s="39"/>
      <c r="BH177" s="39"/>
      <c r="BJ177" s="39"/>
      <c r="BK177" s="39"/>
      <c r="BL177" s="1852"/>
      <c r="BM177" s="39"/>
      <c r="BN177" s="39"/>
      <c r="BO177" s="3180"/>
      <c r="BP177" s="3180"/>
      <c r="BQ177" s="39"/>
      <c r="BR177" s="39"/>
      <c r="BS177" s="39"/>
      <c r="BT177" s="39"/>
      <c r="BU177" s="1852"/>
      <c r="BV177" s="1852"/>
      <c r="BW177" s="39"/>
      <c r="BX177" s="39"/>
      <c r="BY177" s="39"/>
      <c r="BZ177" s="39"/>
      <c r="CA177" s="39"/>
      <c r="CB177" s="39"/>
      <c r="CC177" s="39"/>
      <c r="CD177" s="39"/>
      <c r="CE177" s="39"/>
      <c r="CF177" s="1475"/>
      <c r="CG177" s="39"/>
      <c r="CH177" s="39"/>
      <c r="CI177" s="39"/>
      <c r="CJ177" s="39"/>
      <c r="CK177" s="39"/>
      <c r="CL177" s="1036"/>
      <c r="CM177" s="738"/>
      <c r="CN177" s="738"/>
      <c r="CO177" s="39"/>
      <c r="CP177" s="39"/>
      <c r="CQ177" s="39"/>
      <c r="CR177" s="39"/>
      <c r="CS177" s="39"/>
      <c r="CT177" s="39"/>
      <c r="CU177" s="39"/>
      <c r="CV177" s="782"/>
      <c r="CW177" s="39"/>
      <c r="CX177" s="39"/>
      <c r="CY177" s="39"/>
      <c r="CZ177" s="39"/>
      <c r="DA177" s="39"/>
      <c r="DB177" s="39"/>
      <c r="DC177" s="2039"/>
      <c r="DD177" s="39"/>
      <c r="DE177" s="39"/>
      <c r="DF177" s="500"/>
      <c r="DG177" s="39"/>
      <c r="DH177" s="39"/>
      <c r="DI177" s="39"/>
      <c r="DJ177" s="39"/>
    </row>
    <row r="178" spans="3:114" x14ac:dyDescent="0.25">
      <c r="C178" s="39" t="str">
        <f t="shared" si="34"/>
        <v>Pressure Damage</v>
      </c>
      <c r="D178" s="19"/>
      <c r="AK178" s="39"/>
      <c r="AL178" s="39"/>
      <c r="AM178" s="39"/>
      <c r="AN178" s="39"/>
      <c r="AO178" s="39"/>
      <c r="AP178" s="39"/>
      <c r="AQ178" s="738"/>
      <c r="AR178" s="39"/>
      <c r="AS178" s="1001"/>
      <c r="AT178" s="39"/>
      <c r="AU178" s="39"/>
      <c r="AV178" s="39"/>
      <c r="AW178" s="39"/>
      <c r="AX178" s="39"/>
      <c r="AY178" s="39"/>
      <c r="AZ178" s="39"/>
      <c r="BA178" s="39"/>
      <c r="BB178" s="39"/>
      <c r="BC178" s="39"/>
      <c r="BD178" s="39"/>
      <c r="BE178" s="39"/>
      <c r="BF178" s="39"/>
      <c r="BG178" s="39"/>
      <c r="BH178" s="39"/>
      <c r="BJ178" s="39"/>
      <c r="BK178" s="39"/>
      <c r="BL178" s="1852"/>
      <c r="BM178" s="39"/>
      <c r="BN178" s="39"/>
      <c r="BO178" s="3180"/>
      <c r="BP178" s="3180"/>
      <c r="BQ178" s="39"/>
      <c r="BR178" s="39"/>
      <c r="BS178" s="39"/>
      <c r="BT178" s="39"/>
      <c r="BU178" s="1852"/>
      <c r="BV178" s="1852"/>
      <c r="BW178" s="39"/>
      <c r="BX178" s="39"/>
      <c r="BY178" s="39"/>
      <c r="BZ178" s="39"/>
      <c r="CA178" s="39"/>
      <c r="CB178" s="39"/>
      <c r="CC178" s="39"/>
      <c r="CD178" s="39"/>
      <c r="CE178" s="39"/>
      <c r="CF178" s="1475"/>
      <c r="CG178" s="39"/>
      <c r="CH178" s="39"/>
      <c r="CI178" s="39"/>
      <c r="CJ178" s="39"/>
      <c r="CK178" s="39"/>
      <c r="CL178" s="1036"/>
      <c r="CM178" s="738"/>
      <c r="CN178" s="738"/>
      <c r="CO178" s="39"/>
      <c r="CP178" s="39"/>
      <c r="CQ178" s="39"/>
      <c r="CR178" s="39"/>
      <c r="CS178" s="39"/>
      <c r="CT178" s="39"/>
      <c r="CU178" s="39"/>
      <c r="CV178" s="782"/>
      <c r="CW178" s="39"/>
      <c r="CX178" s="39"/>
      <c r="CY178" s="39"/>
      <c r="CZ178" s="39"/>
      <c r="DA178" s="39"/>
      <c r="DB178" s="39"/>
      <c r="DC178" s="2039"/>
      <c r="DD178" s="39"/>
      <c r="DE178" s="39"/>
      <c r="DF178" s="500"/>
      <c r="DG178" s="39"/>
      <c r="DH178" s="39"/>
      <c r="DI178" s="39"/>
      <c r="DJ178" s="39"/>
    </row>
    <row r="179" spans="3:114" x14ac:dyDescent="0.25">
      <c r="C179" s="39" t="str">
        <f t="shared" si="34"/>
        <v>Propagation of Flame or Burning Ember</v>
      </c>
      <c r="D179" s="19"/>
      <c r="AK179" s="1475"/>
      <c r="AL179" s="1475"/>
      <c r="AM179" s="1475"/>
      <c r="AN179" s="1475"/>
      <c r="AO179" s="1475"/>
      <c r="AP179" s="1475"/>
      <c r="AQ179" s="1475"/>
      <c r="AR179" s="1475"/>
      <c r="AS179" s="1475"/>
      <c r="AT179" s="1475"/>
      <c r="AU179" s="1475"/>
      <c r="AV179" s="1475"/>
      <c r="AW179" s="1475"/>
      <c r="AX179" s="1475"/>
      <c r="AY179" s="1475"/>
      <c r="AZ179" s="1475"/>
      <c r="BA179" s="1475"/>
      <c r="BB179" s="1475"/>
      <c r="BC179" s="1475"/>
      <c r="BD179" s="1475"/>
      <c r="BE179" s="1475"/>
      <c r="BF179" s="1475"/>
      <c r="BG179" s="1475"/>
      <c r="BH179" s="1475"/>
      <c r="BJ179" s="1475"/>
      <c r="BK179" s="1475"/>
      <c r="BL179" s="1852"/>
      <c r="BM179" s="1475"/>
      <c r="BN179" s="1475"/>
      <c r="BO179" s="3180"/>
      <c r="BP179" s="3180"/>
      <c r="BQ179" s="1475"/>
      <c r="BR179" s="1475"/>
      <c r="BS179" s="1475"/>
      <c r="BT179" s="1475"/>
      <c r="BU179" s="1852"/>
      <c r="BV179" s="1852"/>
      <c r="BW179" s="1475"/>
      <c r="BX179" s="1475"/>
      <c r="BY179" s="1475"/>
      <c r="BZ179" s="1475"/>
      <c r="CA179" s="1475"/>
      <c r="CB179" s="1475"/>
      <c r="CC179" s="1475"/>
      <c r="CD179" s="1475"/>
      <c r="CE179" s="1475"/>
      <c r="CF179" s="1475"/>
      <c r="CG179" s="1475"/>
      <c r="CH179" s="1475"/>
      <c r="CI179" s="1475"/>
      <c r="CJ179" s="1475"/>
      <c r="CK179" s="1475"/>
      <c r="CL179" s="1475"/>
      <c r="CM179" s="1475"/>
      <c r="CN179" s="1475"/>
      <c r="CO179" s="1475"/>
      <c r="CP179" s="1475"/>
      <c r="CQ179" s="1475"/>
      <c r="CR179" s="1475"/>
      <c r="CS179" s="1475"/>
      <c r="CT179" s="1475"/>
      <c r="CU179" s="1475"/>
      <c r="CV179" s="1475"/>
      <c r="CW179" s="1475"/>
      <c r="CX179" s="1475"/>
      <c r="CY179" s="1475"/>
      <c r="CZ179" s="1475"/>
      <c r="DA179" s="1475"/>
      <c r="DB179" s="1475"/>
      <c r="DC179" s="2039"/>
      <c r="DD179" s="1475"/>
      <c r="DE179" s="1475"/>
      <c r="DF179" s="1475"/>
      <c r="DG179" s="1475"/>
      <c r="DH179" s="1475"/>
      <c r="DI179" s="1475"/>
      <c r="DJ179" s="1475"/>
    </row>
    <row r="180" spans="3:114" x14ac:dyDescent="0.25">
      <c r="C180" s="39" t="str">
        <f t="shared" si="34"/>
        <v>Pump Deadhead</v>
      </c>
      <c r="D180" s="19"/>
      <c r="AK180" s="39"/>
      <c r="AL180" s="39"/>
      <c r="AM180" s="39"/>
      <c r="AN180" s="39"/>
      <c r="AO180" s="39"/>
      <c r="AP180" s="39"/>
      <c r="AQ180" s="738"/>
      <c r="AR180" s="39"/>
      <c r="AS180" s="1001"/>
      <c r="AT180" s="39"/>
      <c r="AU180" s="39"/>
      <c r="AV180" s="39"/>
      <c r="AW180" s="39"/>
      <c r="AX180" s="39"/>
      <c r="AY180" s="39"/>
      <c r="AZ180" s="39"/>
      <c r="BA180" s="39"/>
      <c r="BB180" s="39"/>
      <c r="BC180" s="39"/>
      <c r="BD180" s="39"/>
      <c r="BE180" s="39"/>
      <c r="BF180" s="39"/>
      <c r="BG180" s="39"/>
      <c r="BH180" s="39"/>
      <c r="BJ180" s="39"/>
      <c r="BK180" s="39"/>
      <c r="BL180" s="1852"/>
      <c r="BM180" s="39"/>
      <c r="BN180" s="39"/>
      <c r="BO180" s="3180"/>
      <c r="BP180" s="3180"/>
      <c r="BQ180" s="39"/>
      <c r="BR180" s="39"/>
      <c r="BS180" s="39"/>
      <c r="BT180" s="39"/>
      <c r="BU180" s="1852"/>
      <c r="BV180" s="1852"/>
      <c r="BW180" s="39"/>
      <c r="BX180" s="39"/>
      <c r="BY180" s="39"/>
      <c r="BZ180" s="39"/>
      <c r="CA180" s="39"/>
      <c r="CB180" s="39"/>
      <c r="CC180" s="39"/>
      <c r="CD180" s="39"/>
      <c r="CE180" s="39"/>
      <c r="CF180" s="1475"/>
      <c r="CG180" s="39"/>
      <c r="CH180" s="39"/>
      <c r="CI180" s="39"/>
      <c r="CJ180" s="39"/>
      <c r="CK180" s="39"/>
      <c r="CL180" s="1036"/>
      <c r="CM180" s="738"/>
      <c r="CN180" s="738"/>
      <c r="CO180" s="39"/>
      <c r="CP180" s="39"/>
      <c r="CQ180" s="39"/>
      <c r="CR180" s="39"/>
      <c r="CS180" s="39"/>
      <c r="CT180" s="39"/>
      <c r="CU180" s="39"/>
      <c r="CV180" s="782"/>
      <c r="CW180" s="39"/>
      <c r="CX180" s="39"/>
      <c r="CY180" s="39"/>
      <c r="CZ180" s="39"/>
      <c r="DA180" s="39"/>
      <c r="DB180" s="39"/>
      <c r="DC180" s="2039"/>
      <c r="DD180" s="39"/>
      <c r="DE180" s="39"/>
      <c r="DF180" s="500"/>
      <c r="DG180" s="39"/>
      <c r="DH180" s="39"/>
      <c r="DI180" s="39"/>
      <c r="DJ180" s="39"/>
    </row>
    <row r="181" spans="3:114" x14ac:dyDescent="0.25">
      <c r="C181" s="39" t="str">
        <f t="shared" si="34"/>
        <v>Rotating Equipment Damage</v>
      </c>
      <c r="D181" s="19"/>
      <c r="AK181" s="39"/>
      <c r="AL181" s="39"/>
      <c r="AM181" s="39"/>
      <c r="AN181" s="39"/>
      <c r="AO181" s="39"/>
      <c r="AP181" s="39"/>
      <c r="AQ181" s="738"/>
      <c r="AR181" s="39"/>
      <c r="AS181" s="1001"/>
      <c r="AT181" s="39"/>
      <c r="AU181" s="39"/>
      <c r="AV181" s="39"/>
      <c r="AW181" s="39"/>
      <c r="AX181" s="39"/>
      <c r="AY181" s="39"/>
      <c r="AZ181" s="39"/>
      <c r="BA181" s="39"/>
      <c r="BB181" s="39"/>
      <c r="BC181" s="39"/>
      <c r="BD181" s="39"/>
      <c r="BE181" s="39"/>
      <c r="BF181" s="39"/>
      <c r="BG181" s="39"/>
      <c r="BH181" s="39"/>
      <c r="BJ181" s="39"/>
      <c r="BK181" s="39"/>
      <c r="BL181" s="1852"/>
      <c r="BM181" s="39"/>
      <c r="BN181" s="39"/>
      <c r="BO181" s="3180"/>
      <c r="BP181" s="3180"/>
      <c r="BQ181" s="39"/>
      <c r="BR181" s="39"/>
      <c r="BS181" s="39"/>
      <c r="BT181" s="39"/>
      <c r="BU181" s="1852"/>
      <c r="BV181" s="1852"/>
      <c r="BW181" s="39"/>
      <c r="BX181" s="39"/>
      <c r="BY181" s="39"/>
      <c r="BZ181" s="39"/>
      <c r="CA181" s="39"/>
      <c r="CB181" s="39"/>
      <c r="CC181" s="39"/>
      <c r="CD181" s="39"/>
      <c r="CE181" s="39"/>
      <c r="CF181" s="1475"/>
      <c r="CG181" s="39"/>
      <c r="CH181" s="39"/>
      <c r="CI181" s="39"/>
      <c r="CJ181" s="39"/>
      <c r="CK181" s="39"/>
      <c r="CL181" s="1036"/>
      <c r="CM181" s="738"/>
      <c r="CN181" s="738"/>
      <c r="CO181" s="39"/>
      <c r="CP181" s="39"/>
      <c r="CQ181" s="39"/>
      <c r="CR181" s="39"/>
      <c r="CS181" s="39"/>
      <c r="CT181" s="39"/>
      <c r="CU181" s="39"/>
      <c r="CV181" s="782"/>
      <c r="CW181" s="39"/>
      <c r="CX181" s="39"/>
      <c r="CY181" s="39"/>
      <c r="CZ181" s="39"/>
      <c r="DA181" s="39"/>
      <c r="DB181" s="39"/>
      <c r="DC181" s="2039"/>
      <c r="DD181" s="39"/>
      <c r="DE181" s="39"/>
      <c r="DF181" s="500"/>
      <c r="DG181" s="39"/>
      <c r="DH181" s="39"/>
      <c r="DI181" s="39"/>
      <c r="DJ181" s="39"/>
    </row>
    <row r="182" spans="3:114" x14ac:dyDescent="0.25">
      <c r="C182" s="39" t="str">
        <f t="shared" si="34"/>
        <v>Seal Leak</v>
      </c>
      <c r="D182" s="19"/>
      <c r="AK182" s="39"/>
      <c r="AL182" s="39"/>
      <c r="AM182" s="39"/>
      <c r="AN182" s="39"/>
      <c r="AO182" s="39"/>
      <c r="AP182" s="39"/>
      <c r="AQ182" s="738"/>
      <c r="AR182" s="39"/>
      <c r="AS182" s="1001"/>
      <c r="AT182" s="39"/>
      <c r="AU182" s="39"/>
      <c r="AV182" s="39"/>
      <c r="AW182" s="39"/>
      <c r="AX182" s="39"/>
      <c r="AY182" s="39" t="str">
        <f>IPLD_Gen_21</f>
        <v>Low Level in Seal Pot with Operator Response to Shut Down Pump</v>
      </c>
      <c r="AZ182" s="39"/>
      <c r="BA182" s="39"/>
      <c r="BB182" s="39"/>
      <c r="BC182" s="39"/>
      <c r="BD182" s="39"/>
      <c r="BE182" s="39"/>
      <c r="BF182" s="39"/>
      <c r="BG182" s="39"/>
      <c r="BH182" s="39"/>
      <c r="BJ182" s="39"/>
      <c r="BK182" s="39"/>
      <c r="BL182" s="1852"/>
      <c r="BM182" s="39"/>
      <c r="BN182" s="39"/>
      <c r="BO182" s="3180"/>
      <c r="BP182" s="3180"/>
      <c r="BQ182" s="39"/>
      <c r="BR182" s="39"/>
      <c r="BS182" s="39"/>
      <c r="BT182" s="39"/>
      <c r="BU182" s="1852"/>
      <c r="BV182" s="1852"/>
      <c r="BW182" s="39"/>
      <c r="BX182" s="39"/>
      <c r="BY182" s="39"/>
      <c r="BZ182" s="39"/>
      <c r="CA182" s="39"/>
      <c r="CB182" s="39"/>
      <c r="CC182" s="39"/>
      <c r="CD182" s="39"/>
      <c r="CE182" s="39"/>
      <c r="CF182" s="1475"/>
      <c r="CG182" s="39"/>
      <c r="CH182" s="39"/>
      <c r="CI182" s="39"/>
      <c r="CJ182" s="39"/>
      <c r="CK182" s="39"/>
      <c r="CL182" s="1036"/>
      <c r="CM182" s="738"/>
      <c r="CN182" s="738"/>
      <c r="CO182" s="39"/>
      <c r="CP182" s="39"/>
      <c r="CQ182" s="39"/>
      <c r="CR182" s="39"/>
      <c r="CS182" s="39"/>
      <c r="CT182" s="39"/>
      <c r="CU182" s="39"/>
      <c r="CV182" s="782"/>
      <c r="CW182" s="39"/>
      <c r="CX182" s="39"/>
      <c r="CY182" s="39"/>
      <c r="CZ182" s="39"/>
      <c r="DA182" s="39"/>
      <c r="DB182" s="39"/>
      <c r="DC182" s="2039"/>
      <c r="DD182" s="39"/>
      <c r="DE182" s="39"/>
      <c r="DF182" s="500"/>
      <c r="DG182" s="39"/>
      <c r="DH182" s="39"/>
      <c r="DI182" s="39"/>
      <c r="DJ182" s="39"/>
    </row>
    <row r="183" spans="3:114" x14ac:dyDescent="0.25">
      <c r="C183" s="39" t="str">
        <f t="shared" si="34"/>
        <v>Tube Failure</v>
      </c>
      <c r="D183" s="19"/>
      <c r="AK183" s="738"/>
      <c r="AL183" s="738"/>
      <c r="AM183" s="738"/>
      <c r="AN183" s="738"/>
      <c r="AO183" s="738"/>
      <c r="AP183" s="738"/>
      <c r="AQ183" s="738"/>
      <c r="AR183" s="738"/>
      <c r="AS183" s="1001"/>
      <c r="AT183" s="738"/>
      <c r="AU183" s="738"/>
      <c r="AV183" s="738"/>
      <c r="AW183" s="738"/>
      <c r="AX183" s="738"/>
      <c r="AY183" s="738"/>
      <c r="AZ183" s="738"/>
      <c r="BA183" s="738"/>
      <c r="BB183" s="738"/>
      <c r="BC183" s="738"/>
      <c r="BD183" s="738"/>
      <c r="BE183" s="738"/>
      <c r="BF183" s="738"/>
      <c r="BG183" s="738"/>
      <c r="BH183" s="738"/>
      <c r="BJ183" s="738"/>
      <c r="BK183" s="738"/>
      <c r="BL183" s="1852"/>
      <c r="BM183" s="738"/>
      <c r="BN183" s="738"/>
      <c r="BO183" s="3180"/>
      <c r="BP183" s="3180"/>
      <c r="BQ183" s="738"/>
      <c r="BR183" s="738"/>
      <c r="BS183" s="738"/>
      <c r="BT183" s="738"/>
      <c r="BU183" s="1852"/>
      <c r="BV183" s="1852"/>
      <c r="BW183" s="738"/>
      <c r="BX183" s="738"/>
      <c r="BY183" s="738"/>
      <c r="BZ183" s="738"/>
      <c r="CA183" s="738"/>
      <c r="CB183" s="738"/>
      <c r="CC183" s="738"/>
      <c r="CD183" s="738"/>
      <c r="CE183" s="738"/>
      <c r="CF183" s="1475"/>
      <c r="CG183" s="738"/>
      <c r="CH183" s="738"/>
      <c r="CI183" s="738"/>
      <c r="CJ183" s="738"/>
      <c r="CK183" s="738"/>
      <c r="CL183" s="1036"/>
      <c r="CM183" s="738"/>
      <c r="CN183" s="738"/>
      <c r="CO183" s="738"/>
      <c r="CP183" s="738"/>
      <c r="CQ183" s="738"/>
      <c r="CR183" s="738"/>
      <c r="CS183" s="738"/>
      <c r="CT183" s="738"/>
      <c r="CU183" s="738"/>
      <c r="CV183" s="782"/>
      <c r="CW183" s="738"/>
      <c r="CX183" s="738"/>
      <c r="CY183" s="738"/>
      <c r="CZ183" s="738"/>
      <c r="DA183" s="738"/>
      <c r="DB183" s="738"/>
      <c r="DC183" s="2039"/>
      <c r="DD183" s="738"/>
      <c r="DE183" s="738"/>
      <c r="DF183" s="738"/>
      <c r="DG183" s="738"/>
      <c r="DH183" s="738"/>
      <c r="DI183" s="738"/>
      <c r="DJ183" s="738"/>
    </row>
    <row r="184" spans="3:114" x14ac:dyDescent="0.25">
      <c r="C184" s="39" t="str">
        <f t="shared" si="34"/>
        <v>Uncontrolled Reaction - Adiabatic</v>
      </c>
      <c r="D184" s="19"/>
      <c r="AK184" s="1031"/>
      <c r="AL184" s="1031"/>
      <c r="AM184" s="1031"/>
      <c r="AN184" s="1031"/>
      <c r="AO184" s="1031"/>
      <c r="AP184" s="1031"/>
      <c r="AQ184" s="1031"/>
      <c r="AR184" s="1031"/>
      <c r="AS184" s="1031"/>
      <c r="AT184" s="1031"/>
      <c r="AU184" s="1031"/>
      <c r="AV184" s="1031"/>
      <c r="AW184" s="1031"/>
      <c r="AX184" s="1031"/>
      <c r="AY184" s="1031"/>
      <c r="AZ184" s="1031"/>
      <c r="BA184" s="1031"/>
      <c r="BB184" s="1031"/>
      <c r="BC184" s="1031"/>
      <c r="BD184" s="1031"/>
      <c r="BE184" s="1031"/>
      <c r="BF184" s="1031"/>
      <c r="BG184" s="1031"/>
      <c r="BH184" s="1031"/>
      <c r="BJ184" s="1031"/>
      <c r="BK184" s="1031"/>
      <c r="BL184" s="1852"/>
      <c r="BM184" s="1031"/>
      <c r="BN184" s="1031"/>
      <c r="BO184" s="3180"/>
      <c r="BP184" s="3180"/>
      <c r="BQ184" s="1031"/>
      <c r="BR184" s="1031"/>
      <c r="BS184" s="1031"/>
      <c r="BT184" s="1031"/>
      <c r="BU184" s="1852"/>
      <c r="BV184" s="1852"/>
      <c r="BW184" s="1031"/>
      <c r="BX184" s="1031"/>
      <c r="BY184" s="1031"/>
      <c r="BZ184" s="1031"/>
      <c r="CA184" s="1031"/>
      <c r="CB184" s="1031"/>
      <c r="CC184" s="1031"/>
      <c r="CD184" s="1031"/>
      <c r="CE184" s="1031"/>
      <c r="CF184" s="1475"/>
      <c r="CG184" s="1031"/>
      <c r="CH184" s="1031"/>
      <c r="CI184" s="1031"/>
      <c r="CJ184" s="1031"/>
      <c r="CK184" s="1031"/>
      <c r="CL184" s="1036"/>
      <c r="CM184" s="1031"/>
      <c r="CN184" s="1031"/>
      <c r="CO184" s="1031"/>
      <c r="CP184" s="1031"/>
      <c r="CQ184" s="1031"/>
      <c r="CR184" s="1031"/>
      <c r="CS184" s="1031"/>
      <c r="CT184" s="1031"/>
      <c r="CU184" s="1036" t="str">
        <f>IF(Relief_Discharge_Location="Flare or Incinerator",IPLD_Gen_41,IF(Relief_Discharge_Location="Scrubber or Containment",IPLD_Gen_42,""))</f>
        <v/>
      </c>
      <c r="CV184" s="1031"/>
      <c r="CW184" s="1031"/>
      <c r="CX184" s="1031"/>
      <c r="CY184" s="1031"/>
      <c r="CZ184" s="1031"/>
      <c r="DA184" s="1031"/>
      <c r="DB184" s="1031"/>
      <c r="DC184" s="2039"/>
      <c r="DD184" s="1031"/>
      <c r="DE184" s="1031"/>
      <c r="DF184" s="1031"/>
      <c r="DG184" s="1031"/>
      <c r="DH184" s="1031"/>
      <c r="DI184" s="1031"/>
      <c r="DJ184" s="1031"/>
    </row>
    <row r="185" spans="3:114" x14ac:dyDescent="0.25">
      <c r="C185" s="39" t="str">
        <f t="shared" si="34"/>
        <v>Uncontrolled Reaction - Thermal Initiation</v>
      </c>
      <c r="D185" s="19"/>
      <c r="AK185" s="39"/>
      <c r="AL185" s="39"/>
      <c r="AM185" s="39"/>
      <c r="AN185" s="39"/>
      <c r="AO185" s="39"/>
      <c r="AP185" s="39"/>
      <c r="AQ185" s="738"/>
      <c r="AR185" s="39"/>
      <c r="AS185" s="1001"/>
      <c r="AT185" s="39"/>
      <c r="AU185" s="39"/>
      <c r="AV185" s="39"/>
      <c r="AW185" s="39"/>
      <c r="AX185" s="39"/>
      <c r="AY185" s="39"/>
      <c r="AZ185" s="39"/>
      <c r="BA185" s="39"/>
      <c r="BB185" s="39"/>
      <c r="BC185" s="39"/>
      <c r="BD185" s="39"/>
      <c r="BE185" s="39"/>
      <c r="BF185" s="39"/>
      <c r="BG185" s="39"/>
      <c r="BH185" s="39"/>
      <c r="BJ185" s="39"/>
      <c r="BK185" s="39"/>
      <c r="BL185" s="1852"/>
      <c r="BM185" s="39"/>
      <c r="BN185" s="39"/>
      <c r="BO185" s="3180"/>
      <c r="BP185" s="3180"/>
      <c r="BQ185" s="39"/>
      <c r="BR185" s="39"/>
      <c r="BS185" s="39"/>
      <c r="BT185" s="39"/>
      <c r="BU185" s="1852"/>
      <c r="BV185" s="1852"/>
      <c r="BW185" s="39"/>
      <c r="BX185" s="39"/>
      <c r="BY185" s="39"/>
      <c r="BZ185" s="39"/>
      <c r="CA185" s="39"/>
      <c r="CB185" s="39"/>
      <c r="CC185" s="39"/>
      <c r="CD185" s="39"/>
      <c r="CE185" s="39"/>
      <c r="CF185" s="1475"/>
      <c r="CG185" s="39"/>
      <c r="CH185" s="39"/>
      <c r="CI185" s="39"/>
      <c r="CJ185" s="39"/>
      <c r="CK185" s="39"/>
      <c r="CL185" s="1036"/>
      <c r="CM185" s="738"/>
      <c r="CN185" s="738"/>
      <c r="CO185" s="39"/>
      <c r="CP185" s="39"/>
      <c r="CQ185" s="39"/>
      <c r="CR185" s="39"/>
      <c r="CS185" s="39"/>
      <c r="CT185" s="39"/>
      <c r="CU185" s="39"/>
      <c r="CV185" s="1036" t="str">
        <f>IF(Relief_Discharge_Location="Flare or Incinerator",IPLD_Gen_41,IF(Relief_Discharge_Location="Scrubber or Containment",IPLD_Gen_42,""))</f>
        <v/>
      </c>
      <c r="CW185" s="39"/>
      <c r="CX185" s="39"/>
      <c r="CY185" s="39"/>
      <c r="CZ185" s="39"/>
      <c r="DA185" s="39"/>
      <c r="DB185" s="39"/>
      <c r="DC185" s="2039"/>
      <c r="DD185" s="39"/>
      <c r="DE185" s="39"/>
      <c r="DF185" s="500"/>
      <c r="DG185" s="39"/>
      <c r="DH185" s="39"/>
      <c r="DI185" s="39"/>
      <c r="DJ185" s="39"/>
    </row>
    <row r="186" spans="3:114" x14ac:dyDescent="0.25">
      <c r="C186" s="39" t="str">
        <f t="shared" si="34"/>
        <v>Uncontrolled Reaction - Fire Induced</v>
      </c>
      <c r="D186" s="19"/>
      <c r="AK186" s="39"/>
      <c r="AL186" s="39"/>
      <c r="AM186" s="39"/>
      <c r="AN186" s="39"/>
      <c r="AO186" s="39"/>
      <c r="AP186" s="39"/>
      <c r="AQ186" s="738"/>
      <c r="AR186" s="39"/>
      <c r="AS186" s="1001"/>
      <c r="AT186" s="39"/>
      <c r="AU186" s="39"/>
      <c r="AV186" s="39"/>
      <c r="AW186" s="39"/>
      <c r="AX186" s="39"/>
      <c r="AY186" s="39"/>
      <c r="AZ186" s="39"/>
      <c r="BA186" s="39"/>
      <c r="BB186" s="39"/>
      <c r="BC186" s="39"/>
      <c r="BD186" s="39"/>
      <c r="BE186" s="39"/>
      <c r="BF186" s="39"/>
      <c r="BG186" s="39"/>
      <c r="BH186" s="39"/>
      <c r="BJ186" s="39"/>
      <c r="BK186" s="39"/>
      <c r="BL186" s="1852"/>
      <c r="BM186" s="39"/>
      <c r="BN186" s="39"/>
      <c r="BO186" s="3180"/>
      <c r="BP186" s="3180"/>
      <c r="BQ186" s="39"/>
      <c r="BR186" s="39"/>
      <c r="BS186" s="39"/>
      <c r="BT186" s="39"/>
      <c r="BU186" s="1852"/>
      <c r="BV186" s="1852"/>
      <c r="BW186" s="39"/>
      <c r="BX186" s="39"/>
      <c r="BY186" s="39"/>
      <c r="BZ186" s="39"/>
      <c r="CA186" s="39"/>
      <c r="CB186" s="39"/>
      <c r="CC186" s="39"/>
      <c r="CD186" s="39"/>
      <c r="CE186" s="39"/>
      <c r="CF186" s="1475"/>
      <c r="CG186" s="39"/>
      <c r="CH186" s="39"/>
      <c r="CI186" s="39"/>
      <c r="CJ186" s="39"/>
      <c r="CK186" s="39"/>
      <c r="CL186" s="1036"/>
      <c r="CM186" s="738"/>
      <c r="CN186" s="738"/>
      <c r="CO186" s="39"/>
      <c r="CP186" s="39"/>
      <c r="CQ186" s="39"/>
      <c r="CR186" s="39" t="str">
        <f>IF(Drainage_Credit="Yes",IPLD_Gen_22,"")</f>
        <v/>
      </c>
      <c r="CS186" s="39"/>
      <c r="CT186" s="39"/>
      <c r="CU186" s="39"/>
      <c r="CV186" s="782"/>
      <c r="CW186" s="1036" t="str">
        <f>IF(Relief_Discharge_Location="Flare or Incinerator",IPLD_Gen_41,IF(Relief_Discharge_Location="Scrubber or Containment",IPLD_Gen_42,""))</f>
        <v/>
      </c>
      <c r="CX186" s="39"/>
      <c r="CY186" s="39"/>
      <c r="CZ186" s="39"/>
      <c r="DA186" s="39"/>
      <c r="DB186" s="39"/>
      <c r="DC186" s="2039"/>
      <c r="DD186" s="39"/>
      <c r="DE186" s="39"/>
      <c r="DF186" s="500"/>
      <c r="DG186" s="39" t="str">
        <f>IF(Drainage_Credit="Yes",IPLD_Gen_22,"")</f>
        <v/>
      </c>
      <c r="DH186" s="39"/>
      <c r="DI186" s="39"/>
      <c r="DJ186" s="39"/>
    </row>
    <row r="187" spans="3:114" x14ac:dyDescent="0.25">
      <c r="C187" s="39" t="str">
        <f t="shared" si="34"/>
        <v>Uncontrolled Reaction - Catalyst or Impurity</v>
      </c>
      <c r="D187" s="19"/>
      <c r="AK187" s="39"/>
      <c r="AL187" s="39"/>
      <c r="AM187" s="39"/>
      <c r="AN187" s="39"/>
      <c r="AO187" s="39"/>
      <c r="AP187" s="39"/>
      <c r="AQ187" s="738"/>
      <c r="AR187" s="39"/>
      <c r="AS187" s="1001"/>
      <c r="AT187" s="39"/>
      <c r="AU187" s="39"/>
      <c r="AV187" s="39"/>
      <c r="AW187" s="39"/>
      <c r="AX187" s="39"/>
      <c r="AY187" s="39"/>
      <c r="AZ187" s="39"/>
      <c r="BA187" s="39"/>
      <c r="BB187" s="39"/>
      <c r="BC187" s="39"/>
      <c r="BD187" s="39"/>
      <c r="BE187" s="39"/>
      <c r="BF187" s="39"/>
      <c r="BG187" s="39"/>
      <c r="BH187" s="39"/>
      <c r="BJ187" s="39"/>
      <c r="BK187" s="39"/>
      <c r="BL187" s="1852"/>
      <c r="BM187" s="39"/>
      <c r="BN187" s="39"/>
      <c r="BO187" s="3180"/>
      <c r="BP187" s="3180"/>
      <c r="BQ187" s="39"/>
      <c r="BR187" s="39"/>
      <c r="BS187" s="39"/>
      <c r="BT187" s="39"/>
      <c r="BU187" s="1852"/>
      <c r="BV187" s="1852"/>
      <c r="BW187" s="39"/>
      <c r="BX187" s="39"/>
      <c r="BY187" s="39"/>
      <c r="BZ187" s="39"/>
      <c r="CA187" s="39"/>
      <c r="CB187" s="39"/>
      <c r="CC187" s="39"/>
      <c r="CD187" s="39"/>
      <c r="CE187" s="39"/>
      <c r="CF187" s="1475"/>
      <c r="CG187" s="39"/>
      <c r="CH187" s="39"/>
      <c r="CI187" s="39"/>
      <c r="CJ187" s="39"/>
      <c r="CK187" s="39"/>
      <c r="CL187" s="1036"/>
      <c r="CM187" s="738"/>
      <c r="CN187" s="738"/>
      <c r="CO187" s="39"/>
      <c r="CP187" s="39"/>
      <c r="CQ187" s="39"/>
      <c r="CR187" s="39"/>
      <c r="CS187" s="39"/>
      <c r="CT187" s="39"/>
      <c r="CU187" s="39"/>
      <c r="CV187" s="782"/>
      <c r="CW187" s="39"/>
      <c r="CX187" s="1036" t="str">
        <f>IF(Relief_Discharge_Location="Flare or Incinerator",IPLD_Gen_41,IF(Relief_Discharge_Location="Scrubber or Containment",IPLD_Gen_42,""))</f>
        <v/>
      </c>
      <c r="CY187" s="39"/>
      <c r="CZ187" s="39"/>
      <c r="DA187" s="39"/>
      <c r="DB187" s="39"/>
      <c r="DC187" s="2039"/>
      <c r="DD187" s="39"/>
      <c r="DE187" s="39"/>
      <c r="DF187" s="500"/>
      <c r="DG187" s="39"/>
      <c r="DH187" s="39"/>
      <c r="DI187" s="39"/>
      <c r="DJ187" s="39"/>
    </row>
    <row r="188" spans="3:114" x14ac:dyDescent="0.25">
      <c r="C188" s="39" t="str">
        <f t="shared" si="34"/>
        <v>Uncontrolled Reaction - Pooling of Reactants</v>
      </c>
      <c r="D188" s="19"/>
      <c r="AK188" s="39"/>
      <c r="AL188" s="39"/>
      <c r="AM188" s="39"/>
      <c r="AN188" s="39"/>
      <c r="AO188" s="39"/>
      <c r="AP188" s="39"/>
      <c r="AQ188" s="738"/>
      <c r="AR188" s="39"/>
      <c r="AS188" s="1001"/>
      <c r="AT188" s="39"/>
      <c r="AU188" s="39"/>
      <c r="AV188" s="39"/>
      <c r="AW188" s="39"/>
      <c r="AX188" s="39"/>
      <c r="AY188" s="39"/>
      <c r="AZ188" s="39"/>
      <c r="BA188" s="39"/>
      <c r="BB188" s="39"/>
      <c r="BC188" s="39"/>
      <c r="BD188" s="39"/>
      <c r="BE188" s="39"/>
      <c r="BF188" s="39"/>
      <c r="BG188" s="39"/>
      <c r="BH188" s="39"/>
      <c r="BJ188" s="39"/>
      <c r="BK188" s="39"/>
      <c r="BL188" s="1852"/>
      <c r="BM188" s="39"/>
      <c r="BN188" s="39"/>
      <c r="BO188" s="3180"/>
      <c r="BP188" s="3180"/>
      <c r="BQ188" s="39"/>
      <c r="BR188" s="39"/>
      <c r="BS188" s="39"/>
      <c r="BT188" s="39"/>
      <c r="BU188" s="1852"/>
      <c r="BV188" s="1852"/>
      <c r="BW188" s="39"/>
      <c r="BX188" s="39"/>
      <c r="BY188" s="39"/>
      <c r="BZ188" s="39"/>
      <c r="CA188" s="39"/>
      <c r="CB188" s="39"/>
      <c r="CC188" s="39"/>
      <c r="CD188" s="39"/>
      <c r="CE188" s="39"/>
      <c r="CF188" s="1475"/>
      <c r="CG188" s="39"/>
      <c r="CH188" s="39"/>
      <c r="CI188" s="39"/>
      <c r="CJ188" s="39"/>
      <c r="CK188" s="39"/>
      <c r="CL188" s="1036"/>
      <c r="CM188" s="738"/>
      <c r="CN188" s="738"/>
      <c r="CO188" s="39"/>
      <c r="CP188" s="39"/>
      <c r="CQ188" s="39"/>
      <c r="CR188" s="39"/>
      <c r="CS188" s="39"/>
      <c r="CT188" s="39"/>
      <c r="CU188" s="39"/>
      <c r="CV188" s="782"/>
      <c r="CW188" s="39"/>
      <c r="CX188" s="39"/>
      <c r="CY188" s="1036" t="str">
        <f>IF(Relief_Discharge_Location="Flare or Incinerator",IPLD_Gen_41,IF(Relief_Discharge_Location="Scrubber or Containment",IPLD_Gen_42,""))</f>
        <v/>
      </c>
      <c r="CZ188" s="39"/>
      <c r="DA188" s="39"/>
      <c r="DB188" s="39"/>
      <c r="DC188" s="2039"/>
      <c r="DD188" s="39"/>
      <c r="DE188" s="39"/>
      <c r="DF188" s="500"/>
      <c r="DG188" s="39"/>
      <c r="DH188" s="39"/>
      <c r="DI188" s="39"/>
      <c r="DJ188" s="39"/>
    </row>
    <row r="189" spans="3:114" x14ac:dyDescent="0.25">
      <c r="C189" s="39" t="str">
        <f t="shared" si="34"/>
        <v>Uncontrolled Reaction - Mis-Loading</v>
      </c>
      <c r="D189" s="19"/>
      <c r="AK189" s="39"/>
      <c r="AL189" s="39"/>
      <c r="AM189" s="39"/>
      <c r="AN189" s="39"/>
      <c r="AO189" s="39"/>
      <c r="AP189" s="39"/>
      <c r="AQ189" s="738"/>
      <c r="AR189" s="39"/>
      <c r="AS189" s="1001"/>
      <c r="AT189" s="39"/>
      <c r="AU189" s="39"/>
      <c r="AV189" s="39"/>
      <c r="AW189" s="39"/>
      <c r="AX189" s="39"/>
      <c r="AY189" s="39"/>
      <c r="AZ189" s="39"/>
      <c r="BA189" s="39"/>
      <c r="BB189" s="39"/>
      <c r="BC189" s="39"/>
      <c r="BD189" s="39"/>
      <c r="BE189" s="39"/>
      <c r="BF189" s="39"/>
      <c r="BG189" s="39"/>
      <c r="BH189" s="39"/>
      <c r="BJ189" s="39"/>
      <c r="BK189" s="39"/>
      <c r="BL189" s="1852"/>
      <c r="BM189" s="39"/>
      <c r="BN189" s="39"/>
      <c r="BO189" s="3180"/>
      <c r="BP189" s="3180"/>
      <c r="BQ189" s="39"/>
      <c r="BR189" s="39"/>
      <c r="BS189" s="39"/>
      <c r="BT189" s="39"/>
      <c r="BU189" s="1852"/>
      <c r="BV189" s="1852"/>
      <c r="BW189" s="39"/>
      <c r="BX189" s="39"/>
      <c r="BY189" s="39"/>
      <c r="BZ189" s="39"/>
      <c r="CA189" s="39"/>
      <c r="CB189" s="39"/>
      <c r="CC189" s="39"/>
      <c r="CD189" s="39"/>
      <c r="CE189" s="39"/>
      <c r="CF189" s="1475"/>
      <c r="CG189" s="39"/>
      <c r="CH189" s="39"/>
      <c r="CI189" s="39"/>
      <c r="CJ189" s="39"/>
      <c r="CK189" s="39"/>
      <c r="CL189" s="1036"/>
      <c r="CM189" s="738"/>
      <c r="CN189" s="738"/>
      <c r="CO189" s="39"/>
      <c r="CP189" s="39"/>
      <c r="CQ189" s="39"/>
      <c r="CR189" s="39"/>
      <c r="CS189" s="39"/>
      <c r="CT189" s="39"/>
      <c r="CU189" s="39"/>
      <c r="CV189" s="782"/>
      <c r="CW189" s="39"/>
      <c r="CX189" s="39"/>
      <c r="CY189" s="39"/>
      <c r="CZ189" s="1036" t="str">
        <f>IF(Relief_Discharge_Location="Flare or Incinerator",IPLD_Gen_41,IF(Relief_Discharge_Location="Scrubber or Containment",IPLD_Gen_42,""))</f>
        <v/>
      </c>
      <c r="DA189" s="39"/>
      <c r="DB189" s="39"/>
      <c r="DC189" s="2039"/>
      <c r="DD189" s="39"/>
      <c r="DE189" s="39"/>
      <c r="DF189" s="500"/>
      <c r="DG189" s="39"/>
      <c r="DH189" s="39"/>
      <c r="DI189" s="39"/>
      <c r="DJ189" s="39"/>
    </row>
    <row r="190" spans="3:114" x14ac:dyDescent="0.25">
      <c r="C190" s="39" t="str">
        <f t="shared" si="34"/>
        <v>Uncontrolled Reaction - Incompatible Materials</v>
      </c>
      <c r="D190" s="19"/>
      <c r="AK190" s="39"/>
      <c r="AL190" s="39"/>
      <c r="AM190" s="39"/>
      <c r="AN190" s="39"/>
      <c r="AO190" s="39"/>
      <c r="AP190" s="39"/>
      <c r="AQ190" s="738"/>
      <c r="AR190" s="39"/>
      <c r="AS190" s="1001"/>
      <c r="AT190" s="39"/>
      <c r="AU190" s="39"/>
      <c r="AV190" s="39"/>
      <c r="AW190" s="39"/>
      <c r="AX190" s="39"/>
      <c r="AY190" s="39"/>
      <c r="AZ190" s="39"/>
      <c r="BA190" s="39"/>
      <c r="BB190" s="39"/>
      <c r="BC190" s="39"/>
      <c r="BD190" s="39"/>
      <c r="BE190" s="39"/>
      <c r="BF190" s="39"/>
      <c r="BG190" s="39"/>
      <c r="BH190" s="39"/>
      <c r="BJ190" s="39"/>
      <c r="BK190" s="39"/>
      <c r="BL190" s="1852"/>
      <c r="BM190" s="39"/>
      <c r="BN190" s="39"/>
      <c r="BO190" s="3180"/>
      <c r="BP190" s="3180"/>
      <c r="BQ190" s="39"/>
      <c r="BR190" s="39"/>
      <c r="BS190" s="39"/>
      <c r="BT190" s="39"/>
      <c r="BU190" s="1852"/>
      <c r="BV190" s="1852"/>
      <c r="BW190" s="39"/>
      <c r="BX190" s="39"/>
      <c r="BY190" s="39"/>
      <c r="BZ190" s="39"/>
      <c r="CA190" s="39"/>
      <c r="CB190" s="39"/>
      <c r="CC190" s="39"/>
      <c r="CD190" s="39"/>
      <c r="CE190" s="39"/>
      <c r="CF190" s="1475"/>
      <c r="CG190" s="39"/>
      <c r="CH190" s="39"/>
      <c r="CI190" s="39"/>
      <c r="CJ190" s="39"/>
      <c r="CK190" s="39"/>
      <c r="CL190" s="1036"/>
      <c r="CM190" s="738"/>
      <c r="CN190" s="738"/>
      <c r="CO190" s="39"/>
      <c r="CP190" s="39"/>
      <c r="CQ190" s="39"/>
      <c r="CR190" s="39"/>
      <c r="CS190" s="39"/>
      <c r="CT190" s="39"/>
      <c r="CU190" s="39"/>
      <c r="CV190" s="782"/>
      <c r="CW190" s="39"/>
      <c r="CX190" s="39"/>
      <c r="CY190" s="39"/>
      <c r="CZ190" s="39"/>
      <c r="DA190" s="39"/>
      <c r="DB190" s="39"/>
      <c r="DC190" s="2039"/>
      <c r="DD190" s="39"/>
      <c r="DE190" s="39"/>
      <c r="DF190" s="500"/>
      <c r="DG190" s="39"/>
      <c r="DH190" s="39"/>
      <c r="DI190" s="39"/>
      <c r="DJ190" s="39"/>
    </row>
    <row r="191" spans="3:114" x14ac:dyDescent="0.25">
      <c r="C191" s="39" t="str">
        <f t="shared" si="34"/>
        <v>Vacuum Damage</v>
      </c>
      <c r="D191" s="19"/>
      <c r="AK191" s="39"/>
      <c r="AL191" s="39"/>
      <c r="AM191" s="39"/>
      <c r="AN191" s="39"/>
      <c r="AO191" s="39"/>
      <c r="AP191" s="39"/>
      <c r="AQ191" s="738"/>
      <c r="AR191" s="39"/>
      <c r="AS191" s="1001"/>
      <c r="AT191" s="39"/>
      <c r="AU191" s="39"/>
      <c r="AV191" s="39"/>
      <c r="AW191" s="39"/>
      <c r="AX191" s="39"/>
      <c r="AY191" s="39"/>
      <c r="AZ191" s="39"/>
      <c r="BA191" s="39"/>
      <c r="BB191" s="39"/>
      <c r="BC191" s="39"/>
      <c r="BD191" s="39"/>
      <c r="BE191" s="39"/>
      <c r="BF191" s="39"/>
      <c r="BG191" s="39"/>
      <c r="BH191" s="39"/>
      <c r="BJ191" s="39"/>
      <c r="BK191" s="39"/>
      <c r="BL191" s="1852"/>
      <c r="BM191" s="39"/>
      <c r="BN191" s="39"/>
      <c r="BO191" s="3180"/>
      <c r="BP191" s="3180"/>
      <c r="BQ191" s="39"/>
      <c r="BR191" s="39"/>
      <c r="BS191" s="39"/>
      <c r="BT191" s="39"/>
      <c r="BU191" s="1852"/>
      <c r="BV191" s="1852"/>
      <c r="BW191" s="39"/>
      <c r="BX191" s="39"/>
      <c r="BY191" s="39"/>
      <c r="BZ191" s="39"/>
      <c r="CA191" s="39"/>
      <c r="CB191" s="39"/>
      <c r="CC191" s="39"/>
      <c r="CD191" s="39"/>
      <c r="CE191" s="39"/>
      <c r="CF191" s="1475"/>
      <c r="CG191" s="39"/>
      <c r="CH191" s="39"/>
      <c r="CI191" s="39"/>
      <c r="CJ191" s="39"/>
      <c r="CK191" s="39"/>
      <c r="CL191" s="1036"/>
      <c r="CM191" s="738"/>
      <c r="CN191" s="738"/>
      <c r="CO191" s="39"/>
      <c r="CP191" s="39"/>
      <c r="CQ191" s="39"/>
      <c r="CR191" s="39"/>
      <c r="CS191" s="39"/>
      <c r="CT191" s="39"/>
      <c r="CU191" s="39"/>
      <c r="CV191" s="782"/>
      <c r="CW191" s="39"/>
      <c r="CX191" s="39"/>
      <c r="CY191" s="39"/>
      <c r="CZ191" s="39"/>
      <c r="DA191" s="39"/>
      <c r="DB191" s="39"/>
      <c r="DC191" s="2039"/>
      <c r="DD191" s="39"/>
      <c r="DE191" s="39"/>
      <c r="DF191" s="500"/>
      <c r="DG191" s="39"/>
      <c r="DH191" s="39"/>
      <c r="DI191" s="39"/>
      <c r="DJ191" s="39"/>
    </row>
    <row r="192" spans="3:114" x14ac:dyDescent="0.25">
      <c r="C192" s="39" t="str">
        <f t="shared" si="34"/>
        <v>USER DEFINED - EVENT TYPE</v>
      </c>
      <c r="D192" s="19"/>
      <c r="AK192" s="39"/>
      <c r="AL192" s="39"/>
      <c r="AM192" s="39"/>
      <c r="AN192" s="39"/>
      <c r="AO192" s="39"/>
      <c r="AP192" s="39"/>
      <c r="AQ192" s="738"/>
      <c r="AR192" s="39"/>
      <c r="AS192" s="1001"/>
      <c r="AT192" s="39"/>
      <c r="AU192" s="39"/>
      <c r="AV192" s="39"/>
      <c r="AW192" s="39"/>
      <c r="AX192" s="39"/>
      <c r="AY192" s="39"/>
      <c r="AZ192" s="39"/>
      <c r="BA192" s="39"/>
      <c r="BB192" s="39"/>
      <c r="BC192" s="39"/>
      <c r="BD192" s="39"/>
      <c r="BE192" s="39"/>
      <c r="BF192" s="39"/>
      <c r="BG192" s="39"/>
      <c r="BH192" s="39"/>
      <c r="BJ192" s="39"/>
      <c r="BK192" s="39"/>
      <c r="BL192" s="1852"/>
      <c r="BM192" s="39"/>
      <c r="BN192" s="39"/>
      <c r="BO192" s="3180"/>
      <c r="BP192" s="3180"/>
      <c r="BQ192" s="39"/>
      <c r="BR192" s="39"/>
      <c r="BS192" s="39"/>
      <c r="BT192" s="39"/>
      <c r="BU192" s="1852"/>
      <c r="BV192" s="1852"/>
      <c r="BW192" s="39"/>
      <c r="BX192" s="39"/>
      <c r="BY192" s="39"/>
      <c r="BZ192" s="39"/>
      <c r="CA192" s="39"/>
      <c r="CB192" s="39"/>
      <c r="CC192" s="39"/>
      <c r="CD192" s="39"/>
      <c r="CE192" s="39"/>
      <c r="CF192" s="1475"/>
      <c r="CG192" s="39"/>
      <c r="CH192" s="39"/>
      <c r="CI192" s="39"/>
      <c r="CJ192" s="39"/>
      <c r="CK192" s="39"/>
      <c r="CL192" s="1036"/>
      <c r="CM192" s="738"/>
      <c r="CN192" s="738"/>
      <c r="CO192" s="39"/>
      <c r="CP192" s="39"/>
      <c r="CQ192" s="39"/>
      <c r="CR192" s="39"/>
      <c r="CS192" s="39"/>
      <c r="CT192" s="39"/>
      <c r="CU192" s="39"/>
      <c r="CV192" s="782"/>
      <c r="CW192" s="39"/>
      <c r="CX192" s="39"/>
      <c r="CY192" s="39"/>
      <c r="CZ192" s="39"/>
      <c r="DA192" s="39"/>
      <c r="DB192" s="39"/>
      <c r="DC192" s="2039"/>
      <c r="DD192" s="39"/>
      <c r="DE192" s="39"/>
      <c r="DF192" s="500"/>
      <c r="DG192" s="39"/>
      <c r="DH192" s="39"/>
      <c r="DI192" s="39"/>
      <c r="DJ192" s="39"/>
    </row>
    <row r="193" spans="3:114" x14ac:dyDescent="0.25">
      <c r="D193" s="19"/>
    </row>
    <row r="194" spans="3:114" x14ac:dyDescent="0.25">
      <c r="D194" s="19"/>
    </row>
    <row r="195" spans="3:114" ht="16.5" customHeight="1" x14ac:dyDescent="0.25">
      <c r="D195" s="19"/>
      <c r="AK195" s="3784" t="s">
        <v>1272</v>
      </c>
      <c r="AL195" s="3785"/>
      <c r="AM195" s="3785"/>
      <c r="AN195" s="3785"/>
      <c r="AO195" s="3785"/>
      <c r="AP195" s="3785"/>
      <c r="AQ195" s="4023"/>
      <c r="AR195" s="3785"/>
      <c r="AS195" s="4024"/>
      <c r="AT195" s="3785"/>
      <c r="AU195" s="3785"/>
      <c r="AV195" s="3785"/>
      <c r="AW195" s="3785"/>
      <c r="AX195" s="3785"/>
      <c r="AY195" s="3785"/>
      <c r="AZ195" s="3785"/>
      <c r="BA195" s="3785"/>
      <c r="BB195" s="3785"/>
      <c r="BC195" s="3785"/>
      <c r="BD195" s="3785"/>
      <c r="BE195" s="3785"/>
      <c r="BF195" s="3785"/>
      <c r="BG195" s="3785"/>
      <c r="BH195" s="3785"/>
      <c r="BJ195" s="3794" t="s">
        <v>1757</v>
      </c>
      <c r="BK195" s="4027"/>
      <c r="BL195" s="4028"/>
      <c r="BM195" s="3794"/>
      <c r="BN195" s="3794"/>
      <c r="BO195" s="4029"/>
      <c r="BP195" s="4029"/>
      <c r="BQ195" s="3794"/>
      <c r="BR195" s="3794"/>
      <c r="BS195" s="3794"/>
      <c r="BT195" s="3794"/>
      <c r="BU195" s="4028"/>
      <c r="BV195" s="4028"/>
      <c r="BW195" s="3794"/>
      <c r="BX195" s="3794"/>
      <c r="BY195" s="4030"/>
      <c r="BZ195" s="4030"/>
      <c r="CA195" s="4030"/>
      <c r="CB195" s="4030"/>
      <c r="CC195" s="4030"/>
      <c r="CD195" s="4030"/>
      <c r="CE195" s="4030"/>
      <c r="CF195" s="4031"/>
      <c r="CG195" s="4030"/>
      <c r="CH195" s="4030"/>
      <c r="CI195" s="4030"/>
      <c r="CJ195" s="4030"/>
      <c r="CK195" s="4030"/>
      <c r="CL195" s="4032"/>
      <c r="CM195" s="4033"/>
      <c r="CN195" s="4034"/>
      <c r="CO195" s="4035"/>
      <c r="CP195" s="4030"/>
      <c r="CQ195" s="4030"/>
      <c r="CR195" s="4030"/>
      <c r="CS195" s="4030"/>
      <c r="CT195" s="4030"/>
      <c r="CU195" s="4030"/>
      <c r="CV195" s="4034"/>
      <c r="CW195" s="4030"/>
      <c r="CX195" s="4030"/>
      <c r="CY195" s="4030"/>
      <c r="CZ195" s="4030"/>
      <c r="DA195" s="4030"/>
      <c r="DB195" s="4030"/>
      <c r="DC195" s="4036"/>
      <c r="DD195" s="4030"/>
      <c r="DE195" s="4030"/>
      <c r="DF195" s="4037"/>
      <c r="DG195" s="4030"/>
      <c r="DH195" s="4030"/>
      <c r="DI195" s="4030"/>
      <c r="DJ195" s="4030"/>
    </row>
    <row r="196" spans="3:114" ht="219.5" x14ac:dyDescent="0.25">
      <c r="C196" s="37" t="s">
        <v>686</v>
      </c>
      <c r="D196" s="19"/>
      <c r="AK196" s="190" t="s">
        <v>797</v>
      </c>
      <c r="AL196" s="190" t="s">
        <v>798</v>
      </c>
      <c r="AM196" s="190" t="s">
        <v>2766</v>
      </c>
      <c r="AN196" s="190" t="s">
        <v>799</v>
      </c>
      <c r="AO196" s="190" t="s">
        <v>1248</v>
      </c>
      <c r="AP196" s="190" t="s">
        <v>2554</v>
      </c>
      <c r="AQ196" s="190" t="s">
        <v>2553</v>
      </c>
      <c r="AR196" s="190" t="s">
        <v>2738</v>
      </c>
      <c r="AS196" s="999" t="s">
        <v>2758</v>
      </c>
      <c r="AT196" s="190" t="s">
        <v>800</v>
      </c>
      <c r="AU196" s="190" t="s">
        <v>1004</v>
      </c>
      <c r="AV196" s="190" t="s">
        <v>2765</v>
      </c>
      <c r="AW196" s="190" t="s">
        <v>2032</v>
      </c>
      <c r="AX196" s="190" t="s">
        <v>663</v>
      </c>
      <c r="AY196" s="190" t="s">
        <v>1510</v>
      </c>
      <c r="AZ196" s="190" t="s">
        <v>801</v>
      </c>
      <c r="BA196" s="190" t="s">
        <v>1792</v>
      </c>
      <c r="BB196" s="190" t="s">
        <v>1255</v>
      </c>
      <c r="BC196" s="190" t="s">
        <v>1000</v>
      </c>
      <c r="BD196" s="190" t="s">
        <v>999</v>
      </c>
      <c r="BE196" s="190" t="s">
        <v>1183</v>
      </c>
      <c r="BF196" s="190" t="s">
        <v>1001</v>
      </c>
      <c r="BG196" s="190" t="s">
        <v>1002</v>
      </c>
      <c r="BH196" s="190" t="s">
        <v>1003</v>
      </c>
      <c r="BJ196" s="190" t="str">
        <f>BJ3</f>
        <v>Very Small Hole Size Leak</v>
      </c>
      <c r="BK196" s="190" t="str">
        <f t="shared" ref="BK196:DJ196" si="35">BK3</f>
        <v>Mechanical Seal Failure</v>
      </c>
      <c r="BL196" s="190" t="str">
        <f t="shared" si="35"/>
        <v>Mechanical Seal Failure above Liquid Level</v>
      </c>
      <c r="BM196" s="190" t="str">
        <f t="shared" si="35"/>
        <v>Gasket Failure</v>
      </c>
      <c r="BN196" s="190" t="str">
        <f t="shared" si="35"/>
        <v>Gasket Failure above Liquid Level</v>
      </c>
      <c r="BO196" s="3179"/>
      <c r="BP196" s="3179"/>
      <c r="BQ196" s="190" t="str">
        <f t="shared" si="35"/>
        <v>Drain or Vent Leak</v>
      </c>
      <c r="BR196" s="190" t="str">
        <f t="shared" si="35"/>
        <v>Drain or Vent Leak above Liquid Level</v>
      </c>
      <c r="BS196" s="190" t="str">
        <f t="shared" si="35"/>
        <v>USER DEFINED HOLE SIZE</v>
      </c>
      <c r="BT196" s="190" t="str">
        <f t="shared" si="35"/>
        <v>USER DEFINED HOLE SIZE above Liquid Level</v>
      </c>
      <c r="BU196" s="190" t="str">
        <f t="shared" si="35"/>
        <v>Small Hole Size Leak</v>
      </c>
      <c r="BV196" s="190" t="str">
        <f t="shared" si="35"/>
        <v>Small Hole Size Leak above Liquid Level</v>
      </c>
      <c r="BW196" s="190" t="str">
        <f t="shared" si="35"/>
        <v>Medium Hole Size Leak</v>
      </c>
      <c r="BX196" s="190" t="str">
        <f t="shared" si="35"/>
        <v>Medium Hole Size Leak above Liquid Level</v>
      </c>
      <c r="BY196" s="190" t="str">
        <f t="shared" si="35"/>
        <v>Full Bore Hole Size Leak</v>
      </c>
      <c r="BZ196" s="190" t="str">
        <f t="shared" si="35"/>
        <v>Full Bore Hole Size Leak above Liquid Level</v>
      </c>
      <c r="CA196" s="190" t="str">
        <f t="shared" si="35"/>
        <v>Very Large Hole Size Leak</v>
      </c>
      <c r="CB196" s="190" t="str">
        <f t="shared" si="35"/>
        <v>Very Large Hole Size Leak above Liquid Level</v>
      </c>
      <c r="CC196" s="190" t="str">
        <f t="shared" si="35"/>
        <v>Extremely Large Hole Size Leak</v>
      </c>
      <c r="CD196" s="190" t="str">
        <f t="shared" si="35"/>
        <v>Extremely Large Hole Size Leak above Liquid Level</v>
      </c>
      <c r="CE196" s="190" t="str">
        <f t="shared" si="35"/>
        <v>Solids Spill</v>
      </c>
      <c r="CF196" s="190" t="str">
        <f t="shared" si="35"/>
        <v>Secondary Dust Release</v>
      </c>
      <c r="CG196" s="190" t="str">
        <f t="shared" si="35"/>
        <v>Flaming Liquid Release</v>
      </c>
      <c r="CH196" s="190" t="str">
        <f t="shared" si="35"/>
        <v>Relief Size Release</v>
      </c>
      <c r="CI196" s="190" t="str">
        <f t="shared" si="35"/>
        <v>Relief Size Release above Liquid Level</v>
      </c>
      <c r="CJ196" s="190" t="str">
        <f t="shared" si="35"/>
        <v>Overfill Release</v>
      </c>
      <c r="CK196" s="190" t="str">
        <f t="shared" si="35"/>
        <v>Backflow Release</v>
      </c>
      <c r="CL196" s="190" t="str">
        <f t="shared" si="35"/>
        <v>Vent Release</v>
      </c>
      <c r="CM196" s="190" t="str">
        <f t="shared" si="35"/>
        <v>Tube Hole Size Leak (Process Fluid)</v>
      </c>
      <c r="CN196" s="190" t="str">
        <f t="shared" si="35"/>
        <v>Tube Hole Size Leak (Heat Transfer Fluid)</v>
      </c>
      <c r="CO196" s="190" t="str">
        <f t="shared" si="35"/>
        <v>Pad Gas Release</v>
      </c>
      <c r="CP196" s="190" t="str">
        <f t="shared" si="35"/>
        <v>Vapor Displacement from Liquid Filling</v>
      </c>
      <c r="CQ196" s="190" t="str">
        <f t="shared" si="35"/>
        <v>USER DEFINED LEAK RATE</v>
      </c>
      <c r="CR196" s="190" t="str">
        <f t="shared" si="35"/>
        <v>Vapor Relief Vent - Fire</v>
      </c>
      <c r="CS196" s="190" t="str">
        <f t="shared" si="35"/>
        <v>Vapor Relief Vent - Heat Transfer</v>
      </c>
      <c r="CT196" s="190" t="str">
        <f t="shared" si="35"/>
        <v>Vapor Relief Vent - Mechanical Energy</v>
      </c>
      <c r="CU196" s="190" t="str">
        <f t="shared" si="35"/>
        <v>Vapor Relief Vent - Reaction</v>
      </c>
      <c r="CV196" s="190" t="str">
        <f t="shared" si="35"/>
        <v>Vapor Relief Vent - Reaction with External Heat</v>
      </c>
      <c r="CW196" s="190" t="str">
        <f t="shared" si="35"/>
        <v>Vapor Relief Vent - Reaction with Fire</v>
      </c>
      <c r="CX196" s="190" t="str">
        <f t="shared" si="35"/>
        <v>Vapor Relief Vent - Reaction with Catalyst</v>
      </c>
      <c r="CY196" s="190" t="str">
        <f t="shared" si="35"/>
        <v>Vapor Relief Vent - Reaction with Pooling</v>
      </c>
      <c r="CZ196" s="190" t="str">
        <f t="shared" si="35"/>
        <v>Vapor Relief Vent - Reaction with Mis-Loading</v>
      </c>
      <c r="DA196" s="190" t="str">
        <f t="shared" si="35"/>
        <v>USER DEFINED VAPOR VENT RATE at Relief Temp</v>
      </c>
      <c r="DB196" s="190" t="str">
        <f t="shared" si="35"/>
        <v>Equipment Damage</v>
      </c>
      <c r="DC196" s="190" t="str">
        <f t="shared" si="35"/>
        <v>Equipment Failure above Design Temperature</v>
      </c>
      <c r="DD196" s="190" t="str">
        <f t="shared" si="35"/>
        <v>Equipment Rupture at Operating Temperature</v>
      </c>
      <c r="DE196" s="190" t="str">
        <f t="shared" si="35"/>
        <v>Equipment Rupture at Saturation Temperature</v>
      </c>
      <c r="DF196" s="190" t="str">
        <f t="shared" si="35"/>
        <v>Equipment Rupture at Peak Temperature</v>
      </c>
      <c r="DG196" s="190" t="str">
        <f t="shared" si="35"/>
        <v>Equipment Rupture at Fire Conditions</v>
      </c>
      <c r="DH196" s="190" t="str">
        <f t="shared" si="35"/>
        <v>Equipment Rupture - Deflagration</v>
      </c>
      <c r="DI196" s="190" t="str">
        <f t="shared" si="35"/>
        <v>Equipment Rupture - Detonation/Deflagration</v>
      </c>
      <c r="DJ196" s="190" t="str">
        <f t="shared" si="35"/>
        <v>USER DEFINED LOSS EVENT</v>
      </c>
    </row>
    <row r="197" spans="3:114" x14ac:dyDescent="0.25">
      <c r="C197" s="39" t="str">
        <f t="shared" ref="C197:C208" si="36">C6</f>
        <v>Accumulation of Untreated Vent or Waste</v>
      </c>
      <c r="D197" s="19"/>
      <c r="AK197" s="39"/>
      <c r="AL197" s="39"/>
      <c r="AM197" s="39"/>
      <c r="AN197" s="39"/>
      <c r="AO197" s="39"/>
      <c r="AP197" s="39"/>
      <c r="AQ197" s="738"/>
      <c r="AR197" s="39"/>
      <c r="AS197" s="1001"/>
      <c r="AT197" s="39"/>
      <c r="AU197" s="39"/>
      <c r="AV197" s="39"/>
      <c r="AW197" s="39"/>
      <c r="AX197" s="39"/>
      <c r="AY197" s="39"/>
      <c r="AZ197" s="39"/>
      <c r="BA197" s="39"/>
      <c r="BB197" s="39"/>
      <c r="BC197" s="39"/>
      <c r="BD197" s="39"/>
      <c r="BE197" s="39"/>
      <c r="BF197" s="39"/>
      <c r="BG197" s="39"/>
      <c r="BH197" s="39"/>
      <c r="BJ197" s="39"/>
      <c r="BK197" s="39"/>
      <c r="BL197" s="1852"/>
      <c r="BM197" s="39"/>
      <c r="BN197" s="39"/>
      <c r="BO197" s="3180"/>
      <c r="BP197" s="3180"/>
      <c r="BQ197" s="39"/>
      <c r="BR197" s="39"/>
      <c r="BS197" s="39"/>
      <c r="BT197" s="39"/>
      <c r="BU197" s="1852"/>
      <c r="BV197" s="1852"/>
      <c r="BW197" s="39"/>
      <c r="BX197" s="39"/>
      <c r="BY197" s="39"/>
      <c r="BZ197" s="39"/>
      <c r="CA197" s="39"/>
      <c r="CB197" s="39"/>
      <c r="CC197" s="39"/>
      <c r="CD197" s="39"/>
      <c r="CE197" s="39"/>
      <c r="CF197" s="1475"/>
      <c r="CG197" s="39"/>
      <c r="CH197" s="39"/>
      <c r="CI197" s="39"/>
      <c r="CJ197" s="39"/>
      <c r="CK197" s="39"/>
      <c r="CL197" s="1036"/>
      <c r="CM197" s="738"/>
      <c r="CN197" s="738"/>
      <c r="CO197" s="39"/>
      <c r="CP197" s="39"/>
      <c r="CQ197" s="39"/>
      <c r="CR197" s="39"/>
      <c r="CS197" s="39"/>
      <c r="CT197" s="39"/>
      <c r="CU197" s="39"/>
      <c r="CV197" s="782"/>
      <c r="CW197" s="39"/>
      <c r="CX197" s="39"/>
      <c r="CY197" s="39"/>
      <c r="CZ197" s="39"/>
      <c r="DA197" s="39"/>
      <c r="DB197" s="39"/>
      <c r="DC197" s="2039"/>
      <c r="DD197" s="39"/>
      <c r="DE197" s="39"/>
      <c r="DF197" s="500"/>
      <c r="DG197" s="39"/>
      <c r="DH197" s="39"/>
      <c r="DI197" s="39"/>
      <c r="DJ197" s="39"/>
    </row>
    <row r="198" spans="3:114" x14ac:dyDescent="0.25">
      <c r="C198" s="39" t="str">
        <f t="shared" si="36"/>
        <v>Blocked-In with Thermal Expansion</v>
      </c>
      <c r="D198" s="19"/>
      <c r="AK198" s="39"/>
      <c r="AL198" s="39"/>
      <c r="AM198" s="39"/>
      <c r="AN198" s="39"/>
      <c r="AO198" s="39"/>
      <c r="AP198" s="39"/>
      <c r="AQ198" s="738"/>
      <c r="AR198" s="39"/>
      <c r="AS198" s="1001"/>
      <c r="AT198" s="39"/>
      <c r="AU198" s="39"/>
      <c r="AV198" s="39"/>
      <c r="AW198" s="39"/>
      <c r="AX198" s="39"/>
      <c r="AY198" s="39"/>
      <c r="AZ198" s="39"/>
      <c r="BA198" s="39"/>
      <c r="BB198" s="39"/>
      <c r="BC198" s="39"/>
      <c r="BD198" s="39"/>
      <c r="BE198" s="39"/>
      <c r="BF198" s="39"/>
      <c r="BG198" s="39"/>
      <c r="BH198" s="39"/>
      <c r="BJ198" s="39"/>
      <c r="BK198" s="39"/>
      <c r="BL198" s="1852"/>
      <c r="BM198" s="39"/>
      <c r="BN198" s="39"/>
      <c r="BO198" s="3180"/>
      <c r="BP198" s="3180"/>
      <c r="BQ198" s="39"/>
      <c r="BR198" s="39"/>
      <c r="BS198" s="39"/>
      <c r="BT198" s="39"/>
      <c r="BU198" s="1852"/>
      <c r="BV198" s="1852"/>
      <c r="BW198" s="39"/>
      <c r="BX198" s="39"/>
      <c r="BY198" s="39"/>
      <c r="BZ198" s="39"/>
      <c r="CA198" s="39"/>
      <c r="CB198" s="39"/>
      <c r="CC198" s="39"/>
      <c r="CD198" s="39"/>
      <c r="CE198" s="39"/>
      <c r="CF198" s="1475"/>
      <c r="CG198" s="39"/>
      <c r="CH198" s="39"/>
      <c r="CI198" s="39"/>
      <c r="CJ198" s="39"/>
      <c r="CK198" s="39"/>
      <c r="CL198" s="1036"/>
      <c r="CM198" s="738"/>
      <c r="CN198" s="738"/>
      <c r="CO198" s="39"/>
      <c r="CP198" s="39"/>
      <c r="CQ198" s="39"/>
      <c r="CR198" s="39"/>
      <c r="CS198" s="39"/>
      <c r="CT198" s="39"/>
      <c r="CU198" s="39"/>
      <c r="CV198" s="782"/>
      <c r="CW198" s="39"/>
      <c r="CX198" s="39"/>
      <c r="CY198" s="39"/>
      <c r="CZ198" s="39"/>
      <c r="DA198" s="39"/>
      <c r="DB198" s="39"/>
      <c r="DC198" s="2039"/>
      <c r="DD198" s="39"/>
      <c r="DE198" s="39"/>
      <c r="DF198" s="500"/>
      <c r="DG198" s="39"/>
      <c r="DH198" s="39"/>
      <c r="DI198" s="39"/>
      <c r="DJ198" s="39"/>
    </row>
    <row r="199" spans="3:114" x14ac:dyDescent="0.25">
      <c r="C199" s="39" t="str">
        <f t="shared" si="36"/>
        <v>Casing or Containment Failure</v>
      </c>
      <c r="D199" s="19"/>
      <c r="AK199" s="1824"/>
      <c r="AL199" s="1824"/>
      <c r="AM199" s="1824"/>
      <c r="AN199" s="1824"/>
      <c r="AO199" s="1824"/>
      <c r="AP199" s="1824"/>
      <c r="AQ199" s="1824"/>
      <c r="AR199" s="1824"/>
      <c r="AS199" s="1824"/>
      <c r="AT199" s="1824"/>
      <c r="AU199" s="1824"/>
      <c r="AV199" s="1824"/>
      <c r="AW199" s="1824"/>
      <c r="AX199" s="1824"/>
      <c r="AY199" s="1824"/>
      <c r="AZ199" s="1824"/>
      <c r="BA199" s="1824"/>
      <c r="BB199" s="1824"/>
      <c r="BC199" s="1824"/>
      <c r="BD199" s="1824"/>
      <c r="BE199" s="1824"/>
      <c r="BF199" s="1824"/>
      <c r="BG199" s="1824"/>
      <c r="BH199" s="1824"/>
      <c r="BJ199" s="1824"/>
      <c r="BK199" s="1824"/>
      <c r="BL199" s="1852"/>
      <c r="BM199" s="1824"/>
      <c r="BN199" s="1824"/>
      <c r="BO199" s="3180"/>
      <c r="BP199" s="3180"/>
      <c r="BQ199" s="1824"/>
      <c r="BR199" s="1824"/>
      <c r="BS199" s="1824"/>
      <c r="BT199" s="1824"/>
      <c r="BU199" s="1852"/>
      <c r="BV199" s="1852"/>
      <c r="BW199" s="1824"/>
      <c r="BX199" s="1824"/>
      <c r="BY199" s="1824"/>
      <c r="BZ199" s="1824"/>
      <c r="CA199" s="1824"/>
      <c r="CB199" s="1824"/>
      <c r="CC199" s="1824"/>
      <c r="CD199" s="1824"/>
      <c r="CE199" s="1824"/>
      <c r="CF199" s="1824"/>
      <c r="CG199" s="1824"/>
      <c r="CH199" s="1824"/>
      <c r="CI199" s="1824"/>
      <c r="CJ199" s="1824"/>
      <c r="CK199" s="1824"/>
      <c r="CL199" s="1824"/>
      <c r="CM199" s="1824"/>
      <c r="CN199" s="1824"/>
      <c r="CO199" s="1824"/>
      <c r="CP199" s="1824"/>
      <c r="CQ199" s="1824"/>
      <c r="CR199" s="1824"/>
      <c r="CS199" s="1824"/>
      <c r="CT199" s="1824"/>
      <c r="CU199" s="1824"/>
      <c r="CV199" s="1824"/>
      <c r="CW199" s="1824"/>
      <c r="CX199" s="1824"/>
      <c r="CY199" s="1824"/>
      <c r="CZ199" s="1824"/>
      <c r="DA199" s="1824"/>
      <c r="DB199" s="1824"/>
      <c r="DC199" s="2039"/>
      <c r="DD199" s="1824"/>
      <c r="DE199" s="1824"/>
      <c r="DF199" s="1824"/>
      <c r="DG199" s="1824"/>
      <c r="DH199" s="1824"/>
      <c r="DI199" s="1824"/>
      <c r="DJ199" s="1824"/>
    </row>
    <row r="200" spans="3:114" x14ac:dyDescent="0.25">
      <c r="C200" s="39" t="str">
        <f t="shared" si="36"/>
        <v>Connection Failure</v>
      </c>
      <c r="D200" s="19"/>
      <c r="AK200" s="39"/>
      <c r="AL200" s="39"/>
      <c r="AM200" s="39"/>
      <c r="AN200" s="39"/>
      <c r="AO200" s="39"/>
      <c r="AP200" s="39"/>
      <c r="AQ200" s="738"/>
      <c r="AR200" s="39"/>
      <c r="AS200" s="1001"/>
      <c r="AT200" s="39"/>
      <c r="AU200" s="39"/>
      <c r="AV200" s="39"/>
      <c r="AW200" s="39"/>
      <c r="AX200" s="39"/>
      <c r="AY200" s="39"/>
      <c r="AZ200" s="39"/>
      <c r="BA200" s="39"/>
      <c r="BB200" s="39"/>
      <c r="BC200" s="39"/>
      <c r="BD200" s="39"/>
      <c r="BE200" s="39"/>
      <c r="BF200" s="39"/>
      <c r="BG200" s="39"/>
      <c r="BH200" s="39"/>
      <c r="BJ200" s="39"/>
      <c r="BK200" s="39"/>
      <c r="BL200" s="1852"/>
      <c r="BM200" s="39"/>
      <c r="BN200" s="39"/>
      <c r="BO200" s="3180"/>
      <c r="BP200" s="3180"/>
      <c r="BQ200" s="39"/>
      <c r="BR200" s="39"/>
      <c r="BS200" s="39"/>
      <c r="BT200" s="39"/>
      <c r="BU200" s="1852"/>
      <c r="BV200" s="1852"/>
      <c r="BW200" s="39"/>
      <c r="BX200" s="39"/>
      <c r="BY200" s="39"/>
      <c r="BZ200" s="39"/>
      <c r="CA200" s="39"/>
      <c r="CB200" s="39"/>
      <c r="CC200" s="39"/>
      <c r="CD200" s="39"/>
      <c r="CE200" s="39"/>
      <c r="CF200" s="1475"/>
      <c r="CG200" s="39"/>
      <c r="CH200" s="39"/>
      <c r="CI200" s="39"/>
      <c r="CJ200" s="39"/>
      <c r="CK200" s="39"/>
      <c r="CL200" s="1036"/>
      <c r="CM200" s="738"/>
      <c r="CN200" s="738"/>
      <c r="CO200" s="39"/>
      <c r="CP200" s="39"/>
      <c r="CQ200" s="39"/>
      <c r="CR200" s="39"/>
      <c r="CS200" s="39"/>
      <c r="CT200" s="39"/>
      <c r="CU200" s="39"/>
      <c r="CV200" s="782"/>
      <c r="CW200" s="39"/>
      <c r="CX200" s="39"/>
      <c r="CY200" s="39"/>
      <c r="CZ200" s="39"/>
      <c r="DA200" s="39"/>
      <c r="DB200" s="39"/>
      <c r="DC200" s="2039"/>
      <c r="DD200" s="39"/>
      <c r="DE200" s="39"/>
      <c r="DF200" s="500"/>
      <c r="DG200" s="39"/>
      <c r="DH200" s="39"/>
      <c r="DI200" s="39"/>
      <c r="DJ200" s="39"/>
    </row>
    <row r="201" spans="3:114" x14ac:dyDescent="0.25">
      <c r="C201" s="39" t="str">
        <f t="shared" si="36"/>
        <v>Drain or Vent Valve Open</v>
      </c>
      <c r="D201" s="19"/>
      <c r="AK201" s="39"/>
      <c r="AL201" s="39"/>
      <c r="AM201" s="39"/>
      <c r="AN201" s="39"/>
      <c r="AO201" s="39"/>
      <c r="AP201" s="39"/>
      <c r="AQ201" s="738"/>
      <c r="AR201" s="39"/>
      <c r="AS201" s="1001"/>
      <c r="AT201" s="39"/>
      <c r="AU201" s="39"/>
      <c r="AV201" s="39"/>
      <c r="AW201" s="39"/>
      <c r="AX201" s="39"/>
      <c r="AY201" s="39"/>
      <c r="AZ201" s="39"/>
      <c r="BA201" s="39"/>
      <c r="BB201" s="39"/>
      <c r="BC201" s="39"/>
      <c r="BD201" s="39"/>
      <c r="BE201" s="39"/>
      <c r="BF201" s="39"/>
      <c r="BG201" s="39"/>
      <c r="BH201" s="39"/>
      <c r="BJ201" s="39"/>
      <c r="BK201" s="39"/>
      <c r="BL201" s="1852"/>
      <c r="BM201" s="39"/>
      <c r="BN201" s="39"/>
      <c r="BO201" s="3180"/>
      <c r="BP201" s="3180"/>
      <c r="BQ201" s="39"/>
      <c r="BR201" s="39"/>
      <c r="BS201" s="39"/>
      <c r="BT201" s="39"/>
      <c r="BU201" s="1852"/>
      <c r="BV201" s="1852"/>
      <c r="BW201" s="39"/>
      <c r="BX201" s="39"/>
      <c r="BY201" s="39"/>
      <c r="BZ201" s="39"/>
      <c r="CA201" s="39"/>
      <c r="CB201" s="39"/>
      <c r="CC201" s="39"/>
      <c r="CD201" s="39"/>
      <c r="CE201" s="39"/>
      <c r="CF201" s="1475"/>
      <c r="CG201" s="39"/>
      <c r="CH201" s="39"/>
      <c r="CI201" s="39"/>
      <c r="CJ201" s="39"/>
      <c r="CK201" s="39"/>
      <c r="CL201" s="1036"/>
      <c r="CM201" s="738"/>
      <c r="CN201" s="738"/>
      <c r="CO201" s="39"/>
      <c r="CP201" s="39"/>
      <c r="CQ201" s="39"/>
      <c r="CR201" s="39"/>
      <c r="CS201" s="39"/>
      <c r="CT201" s="39"/>
      <c r="CU201" s="39"/>
      <c r="CV201" s="782"/>
      <c r="CW201" s="39"/>
      <c r="CX201" s="39"/>
      <c r="CY201" s="39"/>
      <c r="CZ201" s="39"/>
      <c r="DA201" s="39"/>
      <c r="DB201" s="39"/>
      <c r="DC201" s="2039"/>
      <c r="DD201" s="39"/>
      <c r="DE201" s="39"/>
      <c r="DF201" s="500"/>
      <c r="DG201" s="39"/>
      <c r="DH201" s="39"/>
      <c r="DI201" s="39"/>
      <c r="DJ201" s="39"/>
    </row>
    <row r="202" spans="3:114" x14ac:dyDescent="0.25">
      <c r="C202" s="39" t="str">
        <f t="shared" si="36"/>
        <v>Dust Accumulation in Process Area</v>
      </c>
      <c r="D202" s="19"/>
      <c r="AK202" s="1475"/>
      <c r="AL202" s="1475"/>
      <c r="AM202" s="1475"/>
      <c r="AN202" s="1475"/>
      <c r="AO202" s="1475"/>
      <c r="AP202" s="1475"/>
      <c r="AQ202" s="1475"/>
      <c r="AR202" s="1475"/>
      <c r="AS202" s="1475"/>
      <c r="AT202" s="1475"/>
      <c r="AU202" s="1475"/>
      <c r="AV202" s="1475"/>
      <c r="AW202" s="1475"/>
      <c r="AX202" s="1475"/>
      <c r="AY202" s="1475"/>
      <c r="AZ202" s="1475"/>
      <c r="BA202" s="1475"/>
      <c r="BB202" s="1475"/>
      <c r="BC202" s="1475"/>
      <c r="BD202" s="1475"/>
      <c r="BE202" s="1475"/>
      <c r="BF202" s="1475"/>
      <c r="BG202" s="1475"/>
      <c r="BH202" s="1475"/>
      <c r="BJ202" s="1475"/>
      <c r="BK202" s="1475"/>
      <c r="BL202" s="1852"/>
      <c r="BM202" s="1475"/>
      <c r="BN202" s="1475"/>
      <c r="BO202" s="3180"/>
      <c r="BP202" s="3180"/>
      <c r="BQ202" s="1475"/>
      <c r="BR202" s="1475"/>
      <c r="BS202" s="1475"/>
      <c r="BT202" s="1475"/>
      <c r="BU202" s="1852"/>
      <c r="BV202" s="1852"/>
      <c r="BW202" s="1475"/>
      <c r="BX202" s="1475"/>
      <c r="BY202" s="1475"/>
      <c r="BZ202" s="1475"/>
      <c r="CA202" s="1475"/>
      <c r="CB202" s="1475"/>
      <c r="CC202" s="1475"/>
      <c r="CD202" s="1475"/>
      <c r="CE202" s="1475"/>
      <c r="CF202" s="1475"/>
      <c r="CG202" s="1475"/>
      <c r="CH202" s="1475"/>
      <c r="CI202" s="1475"/>
      <c r="CJ202" s="1475"/>
      <c r="CK202" s="1475"/>
      <c r="CL202" s="1475"/>
      <c r="CM202" s="1475"/>
      <c r="CN202" s="1475"/>
      <c r="CO202" s="1475"/>
      <c r="CP202" s="1475"/>
      <c r="CQ202" s="1475"/>
      <c r="CR202" s="1475"/>
      <c r="CS202" s="1475"/>
      <c r="CT202" s="1475"/>
      <c r="CU202" s="1475"/>
      <c r="CV202" s="1475"/>
      <c r="CW202" s="1475"/>
      <c r="CX202" s="1475"/>
      <c r="CY202" s="1475"/>
      <c r="CZ202" s="1475"/>
      <c r="DA202" s="1475"/>
      <c r="DB202" s="1475"/>
      <c r="DC202" s="2039"/>
      <c r="DD202" s="1475"/>
      <c r="DE202" s="1475"/>
      <c r="DF202" s="1475"/>
      <c r="DG202" s="1475"/>
      <c r="DH202" s="1475"/>
      <c r="DI202" s="1475"/>
      <c r="DJ202" s="1475"/>
    </row>
    <row r="203" spans="3:114" x14ac:dyDescent="0.25">
      <c r="C203" s="39" t="str">
        <f t="shared" si="36"/>
        <v>Ignitable Headspace</v>
      </c>
      <c r="D203" s="19"/>
      <c r="AK203" s="39"/>
      <c r="AL203" s="39"/>
      <c r="AM203" s="39"/>
      <c r="AN203" s="39"/>
      <c r="AO203" s="39"/>
      <c r="AP203" s="39"/>
      <c r="AQ203" s="738"/>
      <c r="AR203" s="39"/>
      <c r="AS203" s="1001"/>
      <c r="AT203" s="39"/>
      <c r="AU203" s="39"/>
      <c r="AV203" s="39"/>
      <c r="AW203" s="39"/>
      <c r="AX203" s="39"/>
      <c r="AY203" s="39"/>
      <c r="AZ203" s="39"/>
      <c r="BA203" s="39"/>
      <c r="BB203" s="39"/>
      <c r="BC203" s="39"/>
      <c r="BD203" s="39"/>
      <c r="BE203" s="39"/>
      <c r="BF203" s="39"/>
      <c r="BG203" s="39"/>
      <c r="BH203" s="39"/>
      <c r="BJ203" s="39"/>
      <c r="BK203" s="39"/>
      <c r="BL203" s="1852"/>
      <c r="BM203" s="39"/>
      <c r="BN203" s="39"/>
      <c r="BO203" s="3180"/>
      <c r="BP203" s="3180"/>
      <c r="BQ203" s="39"/>
      <c r="BR203" s="39"/>
      <c r="BS203" s="39"/>
      <c r="BT203" s="39"/>
      <c r="BU203" s="1852"/>
      <c r="BV203" s="1852"/>
      <c r="BW203" s="39"/>
      <c r="BX203" s="39"/>
      <c r="BY203" s="39"/>
      <c r="BZ203" s="39"/>
      <c r="CA203" s="39"/>
      <c r="CB203" s="39"/>
      <c r="CC203" s="39"/>
      <c r="CD203" s="39"/>
      <c r="CE203" s="39"/>
      <c r="CF203" s="1475"/>
      <c r="CG203" s="39"/>
      <c r="CH203" s="39"/>
      <c r="CI203" s="39"/>
      <c r="CJ203" s="39"/>
      <c r="CK203" s="39"/>
      <c r="CL203" s="1036"/>
      <c r="CM203" s="738"/>
      <c r="CN203" s="738"/>
      <c r="CO203" s="39"/>
      <c r="CP203" s="39"/>
      <c r="CQ203" s="39"/>
      <c r="CR203" s="39"/>
      <c r="CS203" s="39"/>
      <c r="CT203" s="39"/>
      <c r="CU203" s="39"/>
      <c r="CV203" s="782"/>
      <c r="CW203" s="39"/>
      <c r="CX203" s="39"/>
      <c r="CY203" s="39"/>
      <c r="CZ203" s="39"/>
      <c r="DA203" s="39"/>
      <c r="DB203" s="39"/>
      <c r="DC203" s="2039"/>
      <c r="DD203" s="39"/>
      <c r="DE203" s="39"/>
      <c r="DF203" s="500"/>
      <c r="DG203" s="39"/>
      <c r="DH203" s="39"/>
      <c r="DI203" s="39"/>
      <c r="DJ203" s="39"/>
    </row>
    <row r="204" spans="3:114" x14ac:dyDescent="0.25">
      <c r="C204" s="39" t="str">
        <f t="shared" si="36"/>
        <v>Excessive Heat Input - Heat Transfer</v>
      </c>
      <c r="D204" s="19"/>
      <c r="AK204" s="39"/>
      <c r="AL204" s="39"/>
      <c r="AM204" s="39"/>
      <c r="AN204" s="39"/>
      <c r="AO204" s="39"/>
      <c r="AP204" s="39"/>
      <c r="AQ204" s="738"/>
      <c r="AR204" s="39"/>
      <c r="AS204" s="1001"/>
      <c r="AT204" s="39"/>
      <c r="AU204" s="39"/>
      <c r="AV204" s="39"/>
      <c r="AW204" s="39"/>
      <c r="AX204" s="39"/>
      <c r="AY204" s="39"/>
      <c r="AZ204" s="39"/>
      <c r="BA204" s="39"/>
      <c r="BB204" s="39"/>
      <c r="BC204" s="39"/>
      <c r="BD204" s="39"/>
      <c r="BE204" s="39"/>
      <c r="BF204" s="39"/>
      <c r="BG204" s="39"/>
      <c r="BH204" s="39"/>
      <c r="BJ204" s="39"/>
      <c r="BK204" s="39"/>
      <c r="BL204" s="1852"/>
      <c r="BM204" s="39"/>
      <c r="BN204" s="39"/>
      <c r="BO204" s="3180"/>
      <c r="BP204" s="3180"/>
      <c r="BQ204" s="39"/>
      <c r="BR204" s="39"/>
      <c r="BS204" s="39"/>
      <c r="BT204" s="39"/>
      <c r="BU204" s="1852"/>
      <c r="BV204" s="1852"/>
      <c r="BW204" s="39"/>
      <c r="BX204" s="39"/>
      <c r="BY204" s="39"/>
      <c r="BZ204" s="39"/>
      <c r="CA204" s="39"/>
      <c r="CB204" s="39"/>
      <c r="CC204" s="39"/>
      <c r="CD204" s="39"/>
      <c r="CE204" s="39"/>
      <c r="CF204" s="1475"/>
      <c r="CG204" s="39"/>
      <c r="CH204" s="39"/>
      <c r="CI204" s="39"/>
      <c r="CJ204" s="39"/>
      <c r="CK204" s="39"/>
      <c r="CL204" s="1036"/>
      <c r="CM204" s="738"/>
      <c r="CN204" s="738"/>
      <c r="CO204" s="39"/>
      <c r="CP204" s="39"/>
      <c r="CQ204" s="39"/>
      <c r="CR204" s="39"/>
      <c r="CS204" s="39"/>
      <c r="CT204" s="39"/>
      <c r="CU204" s="39"/>
      <c r="CV204" s="782"/>
      <c r="CW204" s="39"/>
      <c r="CX204" s="39"/>
      <c r="CY204" s="39"/>
      <c r="CZ204" s="39"/>
      <c r="DA204" s="39"/>
      <c r="DB204" s="39"/>
      <c r="DC204" s="2039"/>
      <c r="DD204" s="39"/>
      <c r="DE204" s="39"/>
      <c r="DF204" s="500"/>
      <c r="DG204" s="39"/>
      <c r="DH204" s="39"/>
      <c r="DI204" s="39"/>
      <c r="DJ204" s="39"/>
    </row>
    <row r="205" spans="3:114" x14ac:dyDescent="0.25">
      <c r="C205" s="39" t="str">
        <f t="shared" si="36"/>
        <v>Excessive Heat Input - Mechanical</v>
      </c>
      <c r="D205" s="19"/>
      <c r="AK205" s="39"/>
      <c r="AL205" s="39"/>
      <c r="AM205" s="39"/>
      <c r="AN205" s="39" t="str">
        <f>IPLD_Gen_20</f>
        <v>High Temperature Alarm with Operator Response to Turn Off Heat Sources</v>
      </c>
      <c r="AO205" s="39"/>
      <c r="AP205" s="39"/>
      <c r="AQ205" s="738"/>
      <c r="AR205" s="39"/>
      <c r="AS205" s="1001"/>
      <c r="AT205" s="39"/>
      <c r="AU205" s="39"/>
      <c r="AV205" s="39"/>
      <c r="AW205" s="39"/>
      <c r="AX205" s="39"/>
      <c r="AY205" s="39"/>
      <c r="AZ205" s="39"/>
      <c r="BA205" s="39"/>
      <c r="BB205" s="39"/>
      <c r="BC205" s="39"/>
      <c r="BD205" s="39"/>
      <c r="BE205" s="39"/>
      <c r="BF205" s="39"/>
      <c r="BG205" s="39"/>
      <c r="BH205" s="39"/>
      <c r="BJ205" s="39"/>
      <c r="BK205" s="39"/>
      <c r="BL205" s="1852"/>
      <c r="BM205" s="39"/>
      <c r="BN205" s="39"/>
      <c r="BO205" s="3180"/>
      <c r="BP205" s="3180"/>
      <c r="BQ205" s="39"/>
      <c r="BR205" s="39"/>
      <c r="BS205" s="39"/>
      <c r="BT205" s="39"/>
      <c r="BU205" s="1852"/>
      <c r="BV205" s="1852"/>
      <c r="BW205" s="39"/>
      <c r="BX205" s="39"/>
      <c r="BY205" s="39"/>
      <c r="BZ205" s="39"/>
      <c r="CA205" s="39"/>
      <c r="CB205" s="39"/>
      <c r="CC205" s="39"/>
      <c r="CD205" s="39"/>
      <c r="CE205" s="39"/>
      <c r="CF205" s="1475"/>
      <c r="CG205" s="39"/>
      <c r="CH205" s="39"/>
      <c r="CI205" s="39"/>
      <c r="CJ205" s="39"/>
      <c r="CK205" s="39"/>
      <c r="CL205" s="1036"/>
      <c r="CM205" s="738"/>
      <c r="CN205" s="738"/>
      <c r="CO205" s="39"/>
      <c r="CP205" s="39"/>
      <c r="CQ205" s="39"/>
      <c r="CR205" s="39"/>
      <c r="CS205" s="39"/>
      <c r="CT205" s="39"/>
      <c r="CU205" s="39"/>
      <c r="CV205" s="782"/>
      <c r="CW205" s="39"/>
      <c r="CX205" s="39"/>
      <c r="CY205" s="39"/>
      <c r="CZ205" s="39"/>
      <c r="DA205" s="39"/>
      <c r="DB205" s="39"/>
      <c r="DC205" s="2039"/>
      <c r="DD205" s="39"/>
      <c r="DE205" s="39"/>
      <c r="DF205" s="500"/>
      <c r="DG205" s="39"/>
      <c r="DH205" s="39"/>
      <c r="DI205" s="39"/>
      <c r="DJ205" s="39"/>
    </row>
    <row r="206" spans="3:114" x14ac:dyDescent="0.25">
      <c r="C206" s="39" t="str">
        <f t="shared" si="36"/>
        <v>Excessive Heat Input - Pool Fire Exposure</v>
      </c>
      <c r="D206" s="19"/>
      <c r="AK206" s="39"/>
      <c r="AL206" s="39"/>
      <c r="AM206" s="39"/>
      <c r="AN206" s="39"/>
      <c r="AO206" s="39"/>
      <c r="AP206" s="39"/>
      <c r="AQ206" s="738"/>
      <c r="AR206" s="39"/>
      <c r="AS206" s="1001"/>
      <c r="AT206" s="39"/>
      <c r="AU206" s="39"/>
      <c r="AV206" s="39"/>
      <c r="AW206" s="39"/>
      <c r="AX206" s="39"/>
      <c r="AY206" s="39"/>
      <c r="AZ206" s="39"/>
      <c r="BA206" s="39"/>
      <c r="BB206" s="39"/>
      <c r="BC206" s="39"/>
      <c r="BD206" s="39"/>
      <c r="BE206" s="39"/>
      <c r="BF206" s="39"/>
      <c r="BG206" s="39"/>
      <c r="BH206" s="39"/>
      <c r="BJ206" s="39"/>
      <c r="BK206" s="39"/>
      <c r="BL206" s="1852"/>
      <c r="BM206" s="39"/>
      <c r="BN206" s="39"/>
      <c r="BO206" s="3180"/>
      <c r="BP206" s="3180"/>
      <c r="BQ206" s="39"/>
      <c r="BR206" s="39"/>
      <c r="BS206" s="39"/>
      <c r="BT206" s="39"/>
      <c r="BU206" s="1852"/>
      <c r="BV206" s="1852"/>
      <c r="BW206" s="39"/>
      <c r="BX206" s="39"/>
      <c r="BY206" s="39"/>
      <c r="BZ206" s="39"/>
      <c r="CA206" s="39"/>
      <c r="CB206" s="39"/>
      <c r="CC206" s="39"/>
      <c r="CD206" s="39"/>
      <c r="CE206" s="39"/>
      <c r="CF206" s="1475"/>
      <c r="CG206" s="39"/>
      <c r="CH206" s="39"/>
      <c r="CI206" s="39"/>
      <c r="CJ206" s="39"/>
      <c r="CK206" s="39"/>
      <c r="CL206" s="1036"/>
      <c r="CM206" s="738"/>
      <c r="CN206" s="738"/>
      <c r="CO206" s="39"/>
      <c r="CP206" s="39"/>
      <c r="CQ206" s="39"/>
      <c r="CR206" s="39"/>
      <c r="CS206" s="39"/>
      <c r="CT206" s="39"/>
      <c r="CU206" s="39"/>
      <c r="CV206" s="782"/>
      <c r="CW206" s="39"/>
      <c r="CX206" s="39"/>
      <c r="CY206" s="39"/>
      <c r="CZ206" s="39"/>
      <c r="DA206" s="39"/>
      <c r="DB206" s="39"/>
      <c r="DC206" s="2039"/>
      <c r="DD206" s="39"/>
      <c r="DE206" s="39"/>
      <c r="DF206" s="500"/>
      <c r="DG206" s="39"/>
      <c r="DH206" s="39"/>
      <c r="DI206" s="39"/>
      <c r="DJ206" s="39"/>
    </row>
    <row r="207" spans="3:114" x14ac:dyDescent="0.25">
      <c r="C207" s="39" t="str">
        <f t="shared" si="36"/>
        <v>Excessive Pad Gas Pressure</v>
      </c>
      <c r="D207" s="19"/>
      <c r="AK207" s="39"/>
      <c r="AL207" s="39"/>
      <c r="AM207" s="39"/>
      <c r="AN207" s="39"/>
      <c r="AO207" s="39"/>
      <c r="AP207" s="39"/>
      <c r="AQ207" s="738"/>
      <c r="AR207" s="39"/>
      <c r="AS207" s="1001"/>
      <c r="AT207" s="39"/>
      <c r="AU207" s="39"/>
      <c r="AV207" s="39"/>
      <c r="AW207" s="39"/>
      <c r="AX207" s="39"/>
      <c r="AY207" s="39"/>
      <c r="AZ207" s="39"/>
      <c r="BA207" s="39"/>
      <c r="BB207" s="39"/>
      <c r="BC207" s="39"/>
      <c r="BD207" s="39"/>
      <c r="BE207" s="39"/>
      <c r="BF207" s="39"/>
      <c r="BG207" s="39"/>
      <c r="BH207" s="39"/>
      <c r="BJ207" s="39"/>
      <c r="BK207" s="39"/>
      <c r="BL207" s="1852"/>
      <c r="BM207" s="39"/>
      <c r="BN207" s="39"/>
      <c r="BO207" s="3180"/>
      <c r="BP207" s="3180"/>
      <c r="BQ207" s="39"/>
      <c r="BR207" s="39"/>
      <c r="BS207" s="39"/>
      <c r="BT207" s="39"/>
      <c r="BU207" s="1852"/>
      <c r="BV207" s="1852"/>
      <c r="BW207" s="39"/>
      <c r="BX207" s="39"/>
      <c r="BY207" s="39"/>
      <c r="BZ207" s="39"/>
      <c r="CA207" s="39"/>
      <c r="CB207" s="39"/>
      <c r="CC207" s="39"/>
      <c r="CD207" s="39"/>
      <c r="CE207" s="39"/>
      <c r="CF207" s="1475"/>
      <c r="CG207" s="39"/>
      <c r="CH207" s="39"/>
      <c r="CI207" s="39"/>
      <c r="CJ207" s="39"/>
      <c r="CK207" s="39"/>
      <c r="CL207" s="1036"/>
      <c r="CM207" s="738"/>
      <c r="CN207" s="738"/>
      <c r="CO207" s="39"/>
      <c r="CP207" s="39"/>
      <c r="CQ207" s="39"/>
      <c r="CR207" s="39"/>
      <c r="CS207" s="39"/>
      <c r="CT207" s="39"/>
      <c r="CU207" s="39"/>
      <c r="CV207" s="782"/>
      <c r="CW207" s="39"/>
      <c r="CX207" s="39"/>
      <c r="CY207" s="39"/>
      <c r="CZ207" s="39"/>
      <c r="DA207" s="39"/>
      <c r="DB207" s="39"/>
      <c r="DC207" s="2039"/>
      <c r="DD207" s="39"/>
      <c r="DE207" s="39"/>
      <c r="DF207" s="500"/>
      <c r="DG207" s="39"/>
      <c r="DH207" s="39"/>
      <c r="DI207" s="39"/>
      <c r="DJ207" s="39"/>
    </row>
    <row r="208" spans="3:114" x14ac:dyDescent="0.25">
      <c r="C208" s="39" t="str">
        <f t="shared" si="36"/>
        <v>Excessive Vapor Feed Flow</v>
      </c>
      <c r="D208" s="19"/>
      <c r="AK208" s="2394"/>
      <c r="AL208" s="2394"/>
      <c r="AM208" s="2394"/>
      <c r="AN208" s="2394"/>
      <c r="AO208" s="2394"/>
      <c r="AP208" s="2394"/>
      <c r="AQ208" s="2394"/>
      <c r="AR208" s="2394"/>
      <c r="AS208" s="2394"/>
      <c r="AT208" s="2394"/>
      <c r="AU208" s="2394"/>
      <c r="AV208" s="2394"/>
      <c r="AW208" s="2394"/>
      <c r="AX208" s="2394"/>
      <c r="AY208" s="2394"/>
      <c r="AZ208" s="2394"/>
      <c r="BA208" s="2394"/>
      <c r="BB208" s="2394"/>
      <c r="BC208" s="2394"/>
      <c r="BD208" s="2394"/>
      <c r="BE208" s="2394"/>
      <c r="BF208" s="2394"/>
      <c r="BG208" s="2394"/>
      <c r="BH208" s="2394"/>
      <c r="BJ208" s="2394"/>
      <c r="BK208" s="2394"/>
      <c r="BL208" s="2394"/>
      <c r="BM208" s="2394"/>
      <c r="BN208" s="2394"/>
      <c r="BO208" s="3180"/>
      <c r="BP208" s="3180"/>
      <c r="BQ208" s="2394"/>
      <c r="BR208" s="2394"/>
      <c r="BS208" s="2394"/>
      <c r="BT208" s="2394"/>
      <c r="BU208" s="2394"/>
      <c r="BV208" s="2394"/>
      <c r="BW208" s="2394"/>
      <c r="BX208" s="2394"/>
      <c r="BY208" s="2394"/>
      <c r="BZ208" s="2394"/>
      <c r="CA208" s="2394"/>
      <c r="CB208" s="2394"/>
      <c r="CC208" s="2394"/>
      <c r="CD208" s="2394"/>
      <c r="CE208" s="2394"/>
      <c r="CF208" s="2394"/>
      <c r="CG208" s="2394"/>
      <c r="CH208" s="2394"/>
      <c r="CI208" s="2394"/>
      <c r="CJ208" s="2394"/>
      <c r="CK208" s="2394"/>
      <c r="CL208" s="2394"/>
      <c r="CM208" s="2394"/>
      <c r="CN208" s="2394"/>
      <c r="CO208" s="2394"/>
      <c r="CP208" s="2394"/>
      <c r="CQ208" s="2394"/>
      <c r="CR208" s="2394"/>
      <c r="CS208" s="2394"/>
      <c r="CT208" s="2394"/>
      <c r="CU208" s="2394"/>
      <c r="CV208" s="2394"/>
      <c r="CW208" s="2394"/>
      <c r="CX208" s="2394"/>
      <c r="CY208" s="2394"/>
      <c r="CZ208" s="2394"/>
      <c r="DA208" s="2394"/>
      <c r="DB208" s="2394"/>
      <c r="DC208" s="2394"/>
      <c r="DD208" s="2394"/>
      <c r="DE208" s="2394"/>
      <c r="DF208" s="2394"/>
      <c r="DG208" s="2394"/>
      <c r="DH208" s="2394"/>
      <c r="DI208" s="2394"/>
      <c r="DJ208" s="2394"/>
    </row>
    <row r="209" spans="3:114" x14ac:dyDescent="0.25">
      <c r="C209" s="39" t="str">
        <f t="shared" ref="C209" si="37">C18</f>
        <v>Pad Gas Compression</v>
      </c>
      <c r="D209" s="19"/>
      <c r="AK209" s="2394"/>
      <c r="AL209" s="2394"/>
      <c r="AM209" s="2394"/>
      <c r="AN209" s="2394"/>
      <c r="AO209" s="2394"/>
      <c r="AP209" s="2394"/>
      <c r="AQ209" s="2394"/>
      <c r="AR209" s="2394"/>
      <c r="AS209" s="2394"/>
      <c r="AT209" s="2394"/>
      <c r="AU209" s="2394"/>
      <c r="AV209" s="2394"/>
      <c r="AW209" s="2394"/>
      <c r="AX209" s="2394"/>
      <c r="AY209" s="2394"/>
      <c r="AZ209" s="2394"/>
      <c r="BA209" s="2394"/>
      <c r="BB209" s="2394"/>
      <c r="BC209" s="2394"/>
      <c r="BD209" s="2394"/>
      <c r="BE209" s="2394"/>
      <c r="BF209" s="2394"/>
      <c r="BG209" s="2394"/>
      <c r="BH209" s="2394"/>
      <c r="BJ209" s="2394"/>
      <c r="BK209" s="2394"/>
      <c r="BL209" s="2394"/>
      <c r="BM209" s="2394"/>
      <c r="BN209" s="2394"/>
      <c r="BO209" s="3180"/>
      <c r="BP209" s="3180"/>
      <c r="BQ209" s="2394"/>
      <c r="BR209" s="2394"/>
      <c r="BS209" s="2394"/>
      <c r="BT209" s="2394"/>
      <c r="BU209" s="2394"/>
      <c r="BV209" s="2394"/>
      <c r="BW209" s="2394"/>
      <c r="BX209" s="2394"/>
      <c r="BY209" s="2394"/>
      <c r="BZ209" s="2394"/>
      <c r="CA209" s="2394"/>
      <c r="CB209" s="2394"/>
      <c r="CC209" s="2394"/>
      <c r="CD209" s="2394"/>
      <c r="CE209" s="2394"/>
      <c r="CF209" s="2394"/>
      <c r="CG209" s="2394"/>
      <c r="CH209" s="2394"/>
      <c r="CI209" s="2394"/>
      <c r="CJ209" s="2394"/>
      <c r="CK209" s="2394"/>
      <c r="CL209" s="2394"/>
      <c r="CM209" s="2394"/>
      <c r="CN209" s="2394"/>
      <c r="CO209" s="2394"/>
      <c r="CP209" s="2394"/>
      <c r="CQ209" s="2394"/>
      <c r="CR209" s="2394"/>
      <c r="CS209" s="2394"/>
      <c r="CT209" s="2394"/>
      <c r="CU209" s="2394"/>
      <c r="CV209" s="2394"/>
      <c r="CW209" s="2394"/>
      <c r="CX209" s="2394"/>
      <c r="CY209" s="2394"/>
      <c r="CZ209" s="2394"/>
      <c r="DA209" s="2394"/>
      <c r="DB209" s="2394"/>
      <c r="DC209" s="2394"/>
      <c r="DD209" s="2394"/>
      <c r="DE209" s="2394"/>
      <c r="DF209" s="2394"/>
      <c r="DG209" s="2394"/>
      <c r="DH209" s="2394"/>
      <c r="DI209" s="2394"/>
      <c r="DJ209" s="2394"/>
    </row>
    <row r="210" spans="3:114" x14ac:dyDescent="0.25">
      <c r="C210" s="39" t="str">
        <f t="shared" ref="C210" si="38">C19</f>
        <v>Exhaustion of Scrubbing Media</v>
      </c>
      <c r="D210" s="19"/>
      <c r="AK210" s="2060"/>
      <c r="AL210" s="2060"/>
      <c r="AM210" s="2060"/>
      <c r="AN210" s="2060"/>
      <c r="AO210" s="2060"/>
      <c r="AP210" s="2060"/>
      <c r="AQ210" s="2060"/>
      <c r="AR210" s="2060"/>
      <c r="AS210" s="2060"/>
      <c r="AT210" s="2060"/>
      <c r="AU210" s="2060"/>
      <c r="AV210" s="2060"/>
      <c r="AW210" s="2060"/>
      <c r="AX210" s="2060"/>
      <c r="AY210" s="2060"/>
      <c r="AZ210" s="2060"/>
      <c r="BA210" s="2060"/>
      <c r="BB210" s="2060"/>
      <c r="BC210" s="2060"/>
      <c r="BD210" s="2060"/>
      <c r="BE210" s="2060"/>
      <c r="BF210" s="2060"/>
      <c r="BG210" s="2060"/>
      <c r="BH210" s="2060"/>
      <c r="BJ210" s="2060"/>
      <c r="BK210" s="2060"/>
      <c r="BL210" s="2060"/>
      <c r="BM210" s="2060"/>
      <c r="BN210" s="2060"/>
      <c r="BO210" s="3180"/>
      <c r="BP210" s="3180"/>
      <c r="BQ210" s="2060"/>
      <c r="BR210" s="2060"/>
      <c r="BS210" s="2060"/>
      <c r="BT210" s="2060"/>
      <c r="BU210" s="2060"/>
      <c r="BV210" s="2060"/>
      <c r="BW210" s="2060"/>
      <c r="BX210" s="2060"/>
      <c r="BY210" s="2060"/>
      <c r="BZ210" s="2060"/>
      <c r="CA210" s="2060"/>
      <c r="CB210" s="2060"/>
      <c r="CC210" s="2060"/>
      <c r="CD210" s="2060"/>
      <c r="CE210" s="2060"/>
      <c r="CF210" s="2060"/>
      <c r="CG210" s="2060"/>
      <c r="CH210" s="2060"/>
      <c r="CI210" s="2060"/>
      <c r="CJ210" s="2060"/>
      <c r="CK210" s="2060"/>
      <c r="CL210" s="2060"/>
      <c r="CM210" s="2060"/>
      <c r="CN210" s="2060"/>
      <c r="CO210" s="2060"/>
      <c r="CP210" s="2060"/>
      <c r="CQ210" s="2060"/>
      <c r="CR210" s="2060"/>
      <c r="CS210" s="2060"/>
      <c r="CT210" s="2060"/>
      <c r="CU210" s="2060"/>
      <c r="CV210" s="2060"/>
      <c r="CW210" s="2060"/>
      <c r="CX210" s="2060"/>
      <c r="CY210" s="2060"/>
      <c r="CZ210" s="2060"/>
      <c r="DA210" s="2060"/>
      <c r="DB210" s="2060"/>
      <c r="DC210" s="2060"/>
      <c r="DD210" s="2060"/>
      <c r="DE210" s="2060"/>
      <c r="DF210" s="2060"/>
      <c r="DG210" s="2060"/>
      <c r="DH210" s="2060"/>
      <c r="DI210" s="2060"/>
      <c r="DJ210" s="2060"/>
    </row>
    <row r="211" spans="3:114" x14ac:dyDescent="0.25">
      <c r="C211" s="39" t="str">
        <f t="shared" ref="C211:C220" si="39">C20</f>
        <v>Flash Back of Vent to Fired Equipment</v>
      </c>
      <c r="D211" s="19"/>
      <c r="AK211" s="39"/>
      <c r="AL211" s="39"/>
      <c r="AM211" s="39"/>
      <c r="AN211" s="39"/>
      <c r="AO211" s="39"/>
      <c r="AP211" s="39"/>
      <c r="AQ211" s="738"/>
      <c r="AR211" s="39"/>
      <c r="AS211" s="1001"/>
      <c r="AT211" s="39"/>
      <c r="AU211" s="39"/>
      <c r="AV211" s="39"/>
      <c r="AW211" s="39"/>
      <c r="AX211" s="39"/>
      <c r="AY211" s="39"/>
      <c r="AZ211" s="39"/>
      <c r="BA211" s="39"/>
      <c r="BB211" s="39"/>
      <c r="BC211" s="39"/>
      <c r="BD211" s="39"/>
      <c r="BE211" s="39"/>
      <c r="BF211" s="39"/>
      <c r="BG211" s="39"/>
      <c r="BH211" s="39"/>
      <c r="BJ211" s="39"/>
      <c r="BK211" s="39"/>
      <c r="BL211" s="1852"/>
      <c r="BM211" s="39"/>
      <c r="BN211" s="39"/>
      <c r="BO211" s="3180"/>
      <c r="BP211" s="3180"/>
      <c r="BQ211" s="39"/>
      <c r="BR211" s="39"/>
      <c r="BS211" s="39"/>
      <c r="BT211" s="39"/>
      <c r="BU211" s="1852"/>
      <c r="BV211" s="1852"/>
      <c r="BW211" s="39"/>
      <c r="BX211" s="39"/>
      <c r="BY211" s="39"/>
      <c r="BZ211" s="39"/>
      <c r="CA211" s="39"/>
      <c r="CB211" s="39"/>
      <c r="CC211" s="39"/>
      <c r="CD211" s="39"/>
      <c r="CE211" s="39"/>
      <c r="CF211" s="1475"/>
      <c r="CG211" s="39"/>
      <c r="CH211" s="39"/>
      <c r="CI211" s="39"/>
      <c r="CJ211" s="39"/>
      <c r="CK211" s="39"/>
      <c r="CL211" s="1036"/>
      <c r="CM211" s="738"/>
      <c r="CN211" s="738"/>
      <c r="CO211" s="39"/>
      <c r="CP211" s="39"/>
      <c r="CQ211" s="39"/>
      <c r="CR211" s="39"/>
      <c r="CS211" s="39"/>
      <c r="CT211" s="39"/>
      <c r="CU211" s="39"/>
      <c r="CV211" s="782"/>
      <c r="CW211" s="39"/>
      <c r="CX211" s="39"/>
      <c r="CY211" s="39"/>
      <c r="CZ211" s="39"/>
      <c r="DA211" s="39"/>
      <c r="DB211" s="39"/>
      <c r="DC211" s="2039"/>
      <c r="DD211" s="39"/>
      <c r="DE211" s="39"/>
      <c r="DF211" s="500"/>
      <c r="DG211" s="39"/>
      <c r="DH211" s="39"/>
      <c r="DI211" s="39"/>
      <c r="DJ211" s="39"/>
    </row>
    <row r="212" spans="3:114" x14ac:dyDescent="0.25">
      <c r="C212" s="39" t="str">
        <f t="shared" si="39"/>
        <v>Fuel Accumulation during Light Off</v>
      </c>
      <c r="D212" s="19"/>
      <c r="AK212" s="39"/>
      <c r="AL212" s="39"/>
      <c r="AM212" s="39"/>
      <c r="AN212" s="39"/>
      <c r="AO212" s="39"/>
      <c r="AP212" s="39"/>
      <c r="AQ212" s="738"/>
      <c r="AR212" s="39"/>
      <c r="AS212" s="1001"/>
      <c r="AT212" s="39"/>
      <c r="AU212" s="39"/>
      <c r="AV212" s="39"/>
      <c r="AW212" s="39"/>
      <c r="AX212" s="39"/>
      <c r="AY212" s="39"/>
      <c r="AZ212" s="39"/>
      <c r="BA212" s="39"/>
      <c r="BB212" s="39"/>
      <c r="BC212" s="39"/>
      <c r="BD212" s="39"/>
      <c r="BE212" s="39"/>
      <c r="BF212" s="39"/>
      <c r="BG212" s="39"/>
      <c r="BH212" s="39"/>
      <c r="BJ212" s="39"/>
      <c r="BK212" s="39"/>
      <c r="BL212" s="1852"/>
      <c r="BM212" s="39"/>
      <c r="BN212" s="39"/>
      <c r="BO212" s="3180"/>
      <c r="BP212" s="3180"/>
      <c r="BQ212" s="39"/>
      <c r="BR212" s="39"/>
      <c r="BS212" s="39"/>
      <c r="BT212" s="39"/>
      <c r="BU212" s="1852"/>
      <c r="BV212" s="1852"/>
      <c r="BW212" s="39"/>
      <c r="BX212" s="39"/>
      <c r="BY212" s="39"/>
      <c r="BZ212" s="39"/>
      <c r="CA212" s="39"/>
      <c r="CB212" s="39"/>
      <c r="CC212" s="39"/>
      <c r="CD212" s="39"/>
      <c r="CE212" s="39"/>
      <c r="CF212" s="1475"/>
      <c r="CG212" s="39"/>
      <c r="CH212" s="39"/>
      <c r="CI212" s="39"/>
      <c r="CJ212" s="39"/>
      <c r="CK212" s="39"/>
      <c r="CL212" s="1036"/>
      <c r="CM212" s="738"/>
      <c r="CN212" s="738"/>
      <c r="CO212" s="39"/>
      <c r="CP212" s="39"/>
      <c r="CQ212" s="39"/>
      <c r="CR212" s="39"/>
      <c r="CS212" s="39"/>
      <c r="CT212" s="39"/>
      <c r="CU212" s="39"/>
      <c r="CV212" s="782"/>
      <c r="CW212" s="39"/>
      <c r="CX212" s="39"/>
      <c r="CY212" s="39"/>
      <c r="CZ212" s="39"/>
      <c r="DA212" s="39"/>
      <c r="DB212" s="39"/>
      <c r="DC212" s="2039"/>
      <c r="DD212" s="39"/>
      <c r="DE212" s="39"/>
      <c r="DF212" s="500"/>
      <c r="DG212" s="39"/>
      <c r="DH212" s="39"/>
      <c r="DI212" s="39"/>
      <c r="DJ212" s="39"/>
    </row>
    <row r="213" spans="3:114" x14ac:dyDescent="0.25">
      <c r="C213" s="39" t="str">
        <f t="shared" si="39"/>
        <v>Fuel Accumulation during Operation</v>
      </c>
      <c r="D213" s="19"/>
      <c r="AK213" s="39"/>
      <c r="AL213" s="39"/>
      <c r="AM213" s="39"/>
      <c r="AN213" s="39"/>
      <c r="AO213" s="39"/>
      <c r="AP213" s="39"/>
      <c r="AQ213" s="738"/>
      <c r="AR213" s="39"/>
      <c r="AS213" s="1001"/>
      <c r="AT213" s="39"/>
      <c r="AU213" s="39"/>
      <c r="AV213" s="39"/>
      <c r="AW213" s="39"/>
      <c r="AX213" s="39"/>
      <c r="AY213" s="39"/>
      <c r="AZ213" s="39"/>
      <c r="BA213" s="39"/>
      <c r="BB213" s="39"/>
      <c r="BC213" s="39"/>
      <c r="BD213" s="39"/>
      <c r="BE213" s="39"/>
      <c r="BF213" s="39"/>
      <c r="BG213" s="39"/>
      <c r="BH213" s="39"/>
      <c r="BJ213" s="39"/>
      <c r="BK213" s="39"/>
      <c r="BL213" s="1852"/>
      <c r="BM213" s="39"/>
      <c r="BN213" s="39"/>
      <c r="BO213" s="3180"/>
      <c r="BP213" s="3180"/>
      <c r="BQ213" s="39"/>
      <c r="BR213" s="39"/>
      <c r="BS213" s="39"/>
      <c r="BT213" s="39"/>
      <c r="BU213" s="1852"/>
      <c r="BV213" s="1852"/>
      <c r="BW213" s="39"/>
      <c r="BX213" s="39"/>
      <c r="BY213" s="39"/>
      <c r="BZ213" s="39"/>
      <c r="CA213" s="39"/>
      <c r="CB213" s="39"/>
      <c r="CC213" s="39"/>
      <c r="CD213" s="39"/>
      <c r="CE213" s="39"/>
      <c r="CF213" s="1475"/>
      <c r="CG213" s="39"/>
      <c r="CH213" s="39"/>
      <c r="CI213" s="39"/>
      <c r="CJ213" s="39"/>
      <c r="CK213" s="39"/>
      <c r="CL213" s="1036"/>
      <c r="CM213" s="738"/>
      <c r="CN213" s="738"/>
      <c r="CO213" s="39"/>
      <c r="CP213" s="39"/>
      <c r="CQ213" s="39"/>
      <c r="CR213" s="39"/>
      <c r="CS213" s="39"/>
      <c r="CT213" s="39"/>
      <c r="CU213" s="39"/>
      <c r="CV213" s="782"/>
      <c r="CW213" s="39"/>
      <c r="CX213" s="39"/>
      <c r="CY213" s="39"/>
      <c r="CZ213" s="39"/>
      <c r="DA213" s="39"/>
      <c r="DB213" s="39"/>
      <c r="DC213" s="2039"/>
      <c r="DD213" s="39"/>
      <c r="DE213" s="39"/>
      <c r="DF213" s="500"/>
      <c r="DG213" s="39"/>
      <c r="DH213" s="39"/>
      <c r="DI213" s="39"/>
      <c r="DJ213" s="39"/>
    </row>
    <row r="214" spans="3:114" x14ac:dyDescent="0.25">
      <c r="C214" s="39" t="str">
        <f t="shared" si="39"/>
        <v>Fuel Accumulation while Down</v>
      </c>
      <c r="D214" s="19"/>
      <c r="AK214" s="39"/>
      <c r="AL214" s="39"/>
      <c r="AM214" s="39"/>
      <c r="AN214" s="39"/>
      <c r="AO214" s="39"/>
      <c r="AP214" s="39"/>
      <c r="AQ214" s="738"/>
      <c r="AR214" s="39"/>
      <c r="AS214" s="1001"/>
      <c r="AT214" s="39"/>
      <c r="AU214" s="39"/>
      <c r="AV214" s="39"/>
      <c r="AW214" s="39"/>
      <c r="AX214" s="39"/>
      <c r="AY214" s="39"/>
      <c r="AZ214" s="39"/>
      <c r="BA214" s="39"/>
      <c r="BB214" s="39"/>
      <c r="BC214" s="39"/>
      <c r="BD214" s="39"/>
      <c r="BE214" s="39"/>
      <c r="BF214" s="39"/>
      <c r="BG214" s="39"/>
      <c r="BH214" s="39"/>
      <c r="BJ214" s="39"/>
      <c r="BK214" s="39"/>
      <c r="BL214" s="1852"/>
      <c r="BM214" s="39"/>
      <c r="BN214" s="39"/>
      <c r="BO214" s="3180"/>
      <c r="BP214" s="3180"/>
      <c r="BQ214" s="39"/>
      <c r="BR214" s="39"/>
      <c r="BS214" s="39"/>
      <c r="BT214" s="39"/>
      <c r="BU214" s="1852"/>
      <c r="BV214" s="1852"/>
      <c r="BW214" s="39"/>
      <c r="BX214" s="39"/>
      <c r="BY214" s="39"/>
      <c r="BZ214" s="39"/>
      <c r="CA214" s="39"/>
      <c r="CB214" s="39"/>
      <c r="CC214" s="39"/>
      <c r="CD214" s="39"/>
      <c r="CE214" s="39"/>
      <c r="CF214" s="1475"/>
      <c r="CG214" s="39"/>
      <c r="CH214" s="39"/>
      <c r="CI214" s="39"/>
      <c r="CJ214" s="39"/>
      <c r="CK214" s="39"/>
      <c r="CL214" s="1036"/>
      <c r="CM214" s="738"/>
      <c r="CN214" s="738"/>
      <c r="CO214" s="39"/>
      <c r="CP214" s="39"/>
      <c r="CQ214" s="39"/>
      <c r="CR214" s="39"/>
      <c r="CS214" s="39"/>
      <c r="CT214" s="39"/>
      <c r="CU214" s="39"/>
      <c r="CV214" s="782"/>
      <c r="CW214" s="39"/>
      <c r="CX214" s="39"/>
      <c r="CY214" s="39"/>
      <c r="CZ214" s="39"/>
      <c r="DA214" s="39"/>
      <c r="DB214" s="39"/>
      <c r="DC214" s="2039"/>
      <c r="DD214" s="39"/>
      <c r="DE214" s="39"/>
      <c r="DF214" s="500"/>
      <c r="DG214" s="39"/>
      <c r="DH214" s="39"/>
      <c r="DI214" s="39"/>
      <c r="DJ214" s="39"/>
    </row>
    <row r="215" spans="3:114" x14ac:dyDescent="0.25">
      <c r="C215" s="39" t="str">
        <f t="shared" si="39"/>
        <v>High Fuel Flow or Energy Content</v>
      </c>
      <c r="D215" s="19"/>
      <c r="AK215" s="39" t="str">
        <f>IPLD_FE_9</f>
        <v>High Outlet Temperature Alarm with Operator Response to check fuel flow.</v>
      </c>
      <c r="AL215" s="39"/>
      <c r="AM215" s="39"/>
      <c r="AN215" s="39"/>
      <c r="AO215" s="39"/>
      <c r="AP215" s="39"/>
      <c r="AQ215" s="738"/>
      <c r="AR215" s="39"/>
      <c r="AS215" s="1001"/>
      <c r="AT215" s="39"/>
      <c r="AU215" s="39"/>
      <c r="AV215" s="39"/>
      <c r="AW215" s="39" t="str">
        <f>IPLD_FE_9</f>
        <v>High Outlet Temperature Alarm with Operator Response to check fuel flow.</v>
      </c>
      <c r="AX215" s="39"/>
      <c r="AY215" s="39"/>
      <c r="AZ215" s="39"/>
      <c r="BA215" s="39"/>
      <c r="BB215" s="39"/>
      <c r="BC215" s="39"/>
      <c r="BD215" s="39"/>
      <c r="BE215" s="39"/>
      <c r="BF215" s="39"/>
      <c r="BG215" s="39"/>
      <c r="BH215" s="39"/>
      <c r="BJ215" s="39"/>
      <c r="BK215" s="39"/>
      <c r="BL215" s="1852"/>
      <c r="BM215" s="39"/>
      <c r="BN215" s="39"/>
      <c r="BO215" s="3180"/>
      <c r="BP215" s="3180"/>
      <c r="BQ215" s="39"/>
      <c r="BR215" s="39"/>
      <c r="BS215" s="39"/>
      <c r="BT215" s="39"/>
      <c r="BU215" s="1852"/>
      <c r="BV215" s="1852"/>
      <c r="BW215" s="39"/>
      <c r="BX215" s="39"/>
      <c r="BY215" s="39"/>
      <c r="BZ215" s="39"/>
      <c r="CA215" s="39"/>
      <c r="CB215" s="39"/>
      <c r="CC215" s="39"/>
      <c r="CD215" s="39"/>
      <c r="CE215" s="39"/>
      <c r="CF215" s="1475"/>
      <c r="CG215" s="39"/>
      <c r="CH215" s="39"/>
      <c r="CI215" s="39"/>
      <c r="CJ215" s="39"/>
      <c r="CK215" s="39"/>
      <c r="CL215" s="1036"/>
      <c r="CM215" s="738"/>
      <c r="CN215" s="738"/>
      <c r="CO215" s="39"/>
      <c r="CP215" s="39"/>
      <c r="CQ215" s="39"/>
      <c r="CR215" s="39"/>
      <c r="CS215" s="39"/>
      <c r="CT215" s="39"/>
      <c r="CU215" s="39"/>
      <c r="CV215" s="782"/>
      <c r="CW215" s="39"/>
      <c r="CX215" s="39"/>
      <c r="CY215" s="39"/>
      <c r="CZ215" s="39"/>
      <c r="DA215" s="39"/>
      <c r="DB215" s="39"/>
      <c r="DC215" s="2039"/>
      <c r="DD215" s="39"/>
      <c r="DE215" s="39"/>
      <c r="DF215" s="500"/>
      <c r="DG215" s="39"/>
      <c r="DH215" s="39"/>
      <c r="DI215" s="39"/>
      <c r="DJ215" s="39"/>
    </row>
    <row r="216" spans="3:114" x14ac:dyDescent="0.25">
      <c r="C216" s="39" t="str">
        <f t="shared" si="39"/>
        <v>High Temperature Failure</v>
      </c>
      <c r="D216" s="19"/>
      <c r="AK216" s="1824"/>
      <c r="AL216" s="1824"/>
      <c r="AM216" s="1824"/>
      <c r="AN216" s="1824"/>
      <c r="AO216" s="1824"/>
      <c r="AP216" s="1824"/>
      <c r="AQ216" s="1824"/>
      <c r="AR216" s="1824"/>
      <c r="AS216" s="1824"/>
      <c r="AT216" s="1824"/>
      <c r="AU216" s="1824"/>
      <c r="AV216" s="1824"/>
      <c r="AW216" s="1824"/>
      <c r="AX216" s="1824"/>
      <c r="AY216" s="1824"/>
      <c r="AZ216" s="1824"/>
      <c r="BA216" s="1824"/>
      <c r="BB216" s="1824"/>
      <c r="BC216" s="1824"/>
      <c r="BD216" s="1824"/>
      <c r="BE216" s="1824"/>
      <c r="BF216" s="1824"/>
      <c r="BG216" s="1824"/>
      <c r="BH216" s="1824"/>
      <c r="BJ216" s="1824"/>
      <c r="BK216" s="1824"/>
      <c r="BL216" s="1852"/>
      <c r="BM216" s="1824"/>
      <c r="BN216" s="1824"/>
      <c r="BO216" s="3180"/>
      <c r="BP216" s="3180"/>
      <c r="BQ216" s="1824"/>
      <c r="BR216" s="1824"/>
      <c r="BS216" s="1824"/>
      <c r="BT216" s="1824"/>
      <c r="BU216" s="1852"/>
      <c r="BV216" s="1852"/>
      <c r="BW216" s="1824"/>
      <c r="BX216" s="1824"/>
      <c r="BY216" s="1824"/>
      <c r="BZ216" s="1824"/>
      <c r="CA216" s="1824"/>
      <c r="CB216" s="1824"/>
      <c r="CC216" s="1824"/>
      <c r="CD216" s="1824"/>
      <c r="CE216" s="1824"/>
      <c r="CF216" s="1824"/>
      <c r="CG216" s="1824"/>
      <c r="CH216" s="1824"/>
      <c r="CI216" s="1824"/>
      <c r="CJ216" s="1824"/>
      <c r="CK216" s="1824"/>
      <c r="CL216" s="1824"/>
      <c r="CM216" s="1824"/>
      <c r="CN216" s="1824"/>
      <c r="CO216" s="1824"/>
      <c r="CP216" s="1824"/>
      <c r="CQ216" s="1824"/>
      <c r="CR216" s="1824"/>
      <c r="CS216" s="1824"/>
      <c r="CT216" s="1824"/>
      <c r="CU216" s="1824"/>
      <c r="CV216" s="1824"/>
      <c r="CW216" s="1824"/>
      <c r="CX216" s="1824"/>
      <c r="CY216" s="1824"/>
      <c r="CZ216" s="1824"/>
      <c r="DA216" s="1824"/>
      <c r="DB216" s="1824"/>
      <c r="DC216" s="2039"/>
      <c r="DD216" s="1824"/>
      <c r="DE216" s="1824"/>
      <c r="DF216" s="1824"/>
      <c r="DG216" s="1824"/>
      <c r="DH216" s="1824"/>
      <c r="DI216" s="1824"/>
      <c r="DJ216" s="1824"/>
    </row>
    <row r="217" spans="3:114" x14ac:dyDescent="0.25">
      <c r="C217" s="39" t="str">
        <f t="shared" si="39"/>
        <v>Hose or Loading Arm Connection</v>
      </c>
      <c r="D217" s="19"/>
      <c r="AK217" s="39"/>
      <c r="AL217" s="39"/>
      <c r="AM217" s="39"/>
      <c r="AN217" s="39"/>
      <c r="AO217" s="39"/>
      <c r="AP217" s="39"/>
      <c r="AQ217" s="738"/>
      <c r="AR217" s="39"/>
      <c r="AS217" s="1001"/>
      <c r="AT217" s="39"/>
      <c r="AU217" s="39"/>
      <c r="AV217" s="39"/>
      <c r="AW217" s="39"/>
      <c r="AX217" s="39"/>
      <c r="AY217" s="39"/>
      <c r="AZ217" s="39"/>
      <c r="BA217" s="39"/>
      <c r="BB217" s="39"/>
      <c r="BC217" s="39"/>
      <c r="BD217" s="39"/>
      <c r="BE217" s="39"/>
      <c r="BF217" s="39"/>
      <c r="BG217" s="39"/>
      <c r="BH217" s="39"/>
      <c r="BJ217" s="39"/>
      <c r="BK217" s="39"/>
      <c r="BL217" s="1852"/>
      <c r="BM217" s="39"/>
      <c r="BN217" s="39"/>
      <c r="BO217" s="3180"/>
      <c r="BP217" s="3180"/>
      <c r="BQ217" s="39"/>
      <c r="BR217" s="39"/>
      <c r="BS217" s="39"/>
      <c r="BT217" s="39"/>
      <c r="BU217" s="1852"/>
      <c r="BV217" s="1852"/>
      <c r="BW217" s="39"/>
      <c r="BX217" s="39"/>
      <c r="BY217" s="39"/>
      <c r="BZ217" s="39"/>
      <c r="CA217" s="39"/>
      <c r="CB217" s="39"/>
      <c r="CC217" s="39"/>
      <c r="CD217" s="39"/>
      <c r="CE217" s="39"/>
      <c r="CF217" s="1475"/>
      <c r="CG217" s="39"/>
      <c r="CH217" s="39"/>
      <c r="CI217" s="39"/>
      <c r="CJ217" s="39"/>
      <c r="CK217" s="39"/>
      <c r="CL217" s="1036"/>
      <c r="CM217" s="738"/>
      <c r="CN217" s="738"/>
      <c r="CO217" s="39"/>
      <c r="CP217" s="39"/>
      <c r="CQ217" s="39"/>
      <c r="CR217" s="39"/>
      <c r="CS217" s="39"/>
      <c r="CT217" s="39"/>
      <c r="CU217" s="39"/>
      <c r="CV217" s="782"/>
      <c r="CW217" s="39"/>
      <c r="CX217" s="39"/>
      <c r="CY217" s="39"/>
      <c r="CZ217" s="39"/>
      <c r="DA217" s="39"/>
      <c r="DB217" s="39"/>
      <c r="DC217" s="2039"/>
      <c r="DD217" s="39"/>
      <c r="DE217" s="39"/>
      <c r="DF217" s="500"/>
      <c r="DG217" s="39"/>
      <c r="DH217" s="39"/>
      <c r="DI217" s="39"/>
      <c r="DJ217" s="39"/>
    </row>
    <row r="218" spans="3:114" x14ac:dyDescent="0.25">
      <c r="C218" s="39" t="str">
        <f t="shared" si="39"/>
        <v>Damage from Movement</v>
      </c>
      <c r="D218" s="19"/>
      <c r="AK218" s="39"/>
      <c r="AL218" s="39"/>
      <c r="AM218" s="39"/>
      <c r="AN218" s="39"/>
      <c r="AO218" s="39"/>
      <c r="AP218" s="39"/>
      <c r="AQ218" s="738"/>
      <c r="AR218" s="39"/>
      <c r="AS218" s="1001"/>
      <c r="AT218" s="39"/>
      <c r="AU218" s="39"/>
      <c r="AV218" s="39"/>
      <c r="AW218" s="39"/>
      <c r="AX218" s="39"/>
      <c r="AY218" s="39"/>
      <c r="AZ218" s="39"/>
      <c r="BA218" s="39"/>
      <c r="BB218" s="39"/>
      <c r="BC218" s="39"/>
      <c r="BD218" s="39"/>
      <c r="BE218" s="39"/>
      <c r="BF218" s="39"/>
      <c r="BG218" s="39"/>
      <c r="BH218" s="39"/>
      <c r="BJ218" s="39"/>
      <c r="BK218" s="39"/>
      <c r="BL218" s="1852"/>
      <c r="BM218" s="39"/>
      <c r="BN218" s="39"/>
      <c r="BO218" s="3180"/>
      <c r="BP218" s="3180"/>
      <c r="BQ218" s="39"/>
      <c r="BR218" s="39"/>
      <c r="BS218" s="39"/>
      <c r="BT218" s="39"/>
      <c r="BU218" s="1852"/>
      <c r="BV218" s="1852"/>
      <c r="BW218" s="39"/>
      <c r="BX218" s="39"/>
      <c r="BY218" s="39"/>
      <c r="BZ218" s="39"/>
      <c r="CA218" s="39"/>
      <c r="CB218" s="39"/>
      <c r="CC218" s="39"/>
      <c r="CD218" s="39"/>
      <c r="CE218" s="39"/>
      <c r="CF218" s="1475"/>
      <c r="CG218" s="39"/>
      <c r="CH218" s="39"/>
      <c r="CI218" s="39"/>
      <c r="CJ218" s="39"/>
      <c r="CK218" s="39"/>
      <c r="CL218" s="1036"/>
      <c r="CM218" s="738"/>
      <c r="CN218" s="738"/>
      <c r="CO218" s="39"/>
      <c r="CP218" s="39"/>
      <c r="CQ218" s="39"/>
      <c r="CR218" s="39"/>
      <c r="CS218" s="39"/>
      <c r="CT218" s="39"/>
      <c r="CU218" s="39"/>
      <c r="CV218" s="782"/>
      <c r="CW218" s="39"/>
      <c r="CX218" s="39"/>
      <c r="CY218" s="39"/>
      <c r="CZ218" s="39"/>
      <c r="DA218" s="39"/>
      <c r="DB218" s="39"/>
      <c r="DC218" s="2039"/>
      <c r="DD218" s="39"/>
      <c r="DE218" s="39"/>
      <c r="DF218" s="500"/>
      <c r="DG218" s="39"/>
      <c r="DH218" s="39"/>
      <c r="DI218" s="39"/>
      <c r="DJ218" s="39"/>
    </row>
    <row r="219" spans="3:114" x14ac:dyDescent="0.25">
      <c r="C219" s="39" t="str">
        <f t="shared" si="39"/>
        <v>Hydraulic Surge</v>
      </c>
      <c r="D219" s="19"/>
      <c r="AK219" s="39"/>
      <c r="AL219" s="39"/>
      <c r="AM219" s="39"/>
      <c r="AN219" s="39"/>
      <c r="AO219" s="39"/>
      <c r="AP219" s="39"/>
      <c r="AQ219" s="738"/>
      <c r="AR219" s="39"/>
      <c r="AS219" s="1001"/>
      <c r="AT219" s="39"/>
      <c r="AU219" s="39"/>
      <c r="AV219" s="39"/>
      <c r="AW219" s="39"/>
      <c r="AX219" s="39"/>
      <c r="AY219" s="39"/>
      <c r="AZ219" s="39"/>
      <c r="BA219" s="39"/>
      <c r="BB219" s="39"/>
      <c r="BC219" s="39"/>
      <c r="BD219" s="39"/>
      <c r="BE219" s="39"/>
      <c r="BF219" s="39"/>
      <c r="BG219" s="39"/>
      <c r="BH219" s="39"/>
      <c r="BJ219" s="39"/>
      <c r="BK219" s="39"/>
      <c r="BL219" s="1852"/>
      <c r="BM219" s="39"/>
      <c r="BN219" s="39"/>
      <c r="BO219" s="3180"/>
      <c r="BP219" s="3180"/>
      <c r="BQ219" s="39"/>
      <c r="BR219" s="39"/>
      <c r="BS219" s="39"/>
      <c r="BT219" s="39"/>
      <c r="BU219" s="1852"/>
      <c r="BV219" s="1852"/>
      <c r="BW219" s="39"/>
      <c r="BX219" s="39"/>
      <c r="BY219" s="39"/>
      <c r="BZ219" s="39"/>
      <c r="CA219" s="39"/>
      <c r="CB219" s="39"/>
      <c r="CC219" s="39"/>
      <c r="CD219" s="39"/>
      <c r="CE219" s="39"/>
      <c r="CF219" s="1475"/>
      <c r="CG219" s="39"/>
      <c r="CH219" s="39"/>
      <c r="CI219" s="39"/>
      <c r="CJ219" s="39"/>
      <c r="CK219" s="39"/>
      <c r="CL219" s="1036"/>
      <c r="CM219" s="738"/>
      <c r="CN219" s="738"/>
      <c r="CO219" s="39"/>
      <c r="CP219" s="39"/>
      <c r="CQ219" s="39"/>
      <c r="CR219" s="39"/>
      <c r="CS219" s="39"/>
      <c r="CT219" s="39"/>
      <c r="CU219" s="39"/>
      <c r="CV219" s="782"/>
      <c r="CW219" s="39"/>
      <c r="CX219" s="39"/>
      <c r="CY219" s="39"/>
      <c r="CZ219" s="39"/>
      <c r="DA219" s="39"/>
      <c r="DB219" s="39"/>
      <c r="DC219" s="2039"/>
      <c r="DD219" s="39"/>
      <c r="DE219" s="39"/>
      <c r="DF219" s="500"/>
      <c r="DG219" s="39"/>
      <c r="DH219" s="39"/>
      <c r="DI219" s="39"/>
      <c r="DJ219" s="39"/>
    </row>
    <row r="220" spans="3:114" x14ac:dyDescent="0.25">
      <c r="C220" s="39" t="str">
        <f t="shared" si="39"/>
        <v>Hydraulic Overpressure</v>
      </c>
      <c r="D220" s="19"/>
      <c r="AK220" s="3158"/>
      <c r="AL220" s="3158"/>
      <c r="AM220" s="3158"/>
      <c r="AN220" s="3158"/>
      <c r="AO220" s="3158"/>
      <c r="AP220" s="3158"/>
      <c r="AQ220" s="3158"/>
      <c r="AR220" s="3158"/>
      <c r="AS220" s="3158"/>
      <c r="AT220" s="3158"/>
      <c r="AU220" s="3158"/>
      <c r="AV220" s="3158"/>
      <c r="AW220" s="3158"/>
      <c r="AX220" s="3158"/>
      <c r="AY220" s="3158"/>
      <c r="AZ220" s="3158"/>
      <c r="BA220" s="3158"/>
      <c r="BB220" s="3158"/>
      <c r="BC220" s="3158"/>
      <c r="BD220" s="3158"/>
      <c r="BE220" s="3158"/>
      <c r="BF220" s="3158"/>
      <c r="BG220" s="3158"/>
      <c r="BH220" s="3158"/>
      <c r="BJ220" s="3158"/>
      <c r="BK220" s="3158"/>
      <c r="BL220" s="3158"/>
      <c r="BM220" s="3158"/>
      <c r="BN220" s="3158"/>
      <c r="BO220" s="3180"/>
      <c r="BP220" s="3180"/>
      <c r="BQ220" s="3158"/>
      <c r="BR220" s="3158"/>
      <c r="BS220" s="3158"/>
      <c r="BT220" s="3158"/>
      <c r="BU220" s="3158"/>
      <c r="BV220" s="3158"/>
      <c r="BW220" s="3158"/>
      <c r="BX220" s="3158"/>
      <c r="BY220" s="3158"/>
      <c r="BZ220" s="3158"/>
      <c r="CA220" s="3158"/>
      <c r="CB220" s="3158"/>
      <c r="CC220" s="3158"/>
      <c r="CD220" s="3158"/>
      <c r="CE220" s="3158"/>
      <c r="CF220" s="3158"/>
      <c r="CG220" s="3158"/>
      <c r="CH220" s="3158"/>
      <c r="CI220" s="3158"/>
      <c r="CJ220" s="3158"/>
      <c r="CK220" s="3158"/>
      <c r="CL220" s="3158"/>
      <c r="CM220" s="3158"/>
      <c r="CN220" s="3158"/>
      <c r="CO220" s="3158"/>
      <c r="CP220" s="3158"/>
      <c r="CQ220" s="3158"/>
      <c r="CR220" s="3158"/>
      <c r="CS220" s="3158"/>
      <c r="CT220" s="3158"/>
      <c r="CU220" s="3158"/>
      <c r="CV220" s="3158"/>
      <c r="CW220" s="3158"/>
      <c r="CX220" s="3158"/>
      <c r="CY220" s="3158"/>
      <c r="CZ220" s="3158"/>
      <c r="DA220" s="3158"/>
      <c r="DB220" s="3158"/>
      <c r="DC220" s="3158"/>
      <c r="DD220" s="3158"/>
      <c r="DE220" s="3158"/>
      <c r="DF220" s="3158"/>
      <c r="DG220" s="3158"/>
      <c r="DH220" s="3158"/>
      <c r="DI220" s="3158"/>
      <c r="DJ220" s="3158"/>
    </row>
    <row r="221" spans="3:114" x14ac:dyDescent="0.25">
      <c r="C221" s="39" t="str">
        <f t="shared" ref="C221:C229" si="40">C30</f>
        <v>Introduction of Foreign Material</v>
      </c>
      <c r="D221" s="19"/>
      <c r="AK221" s="39"/>
      <c r="AL221" s="39"/>
      <c r="AM221" s="39"/>
      <c r="AN221" s="39"/>
      <c r="AO221" s="39"/>
      <c r="AP221" s="39"/>
      <c r="AQ221" s="738"/>
      <c r="AR221" s="39"/>
      <c r="AS221" s="1001"/>
      <c r="AT221" s="39"/>
      <c r="AU221" s="39"/>
      <c r="AV221" s="39"/>
      <c r="AW221" s="39"/>
      <c r="AX221" s="39"/>
      <c r="AY221" s="39"/>
      <c r="AZ221" s="39"/>
      <c r="BA221" s="39"/>
      <c r="BB221" s="39"/>
      <c r="BC221" s="39"/>
      <c r="BD221" s="39"/>
      <c r="BE221" s="39"/>
      <c r="BF221" s="39"/>
      <c r="BG221" s="39"/>
      <c r="BH221" s="39"/>
      <c r="BJ221" s="39"/>
      <c r="BK221" s="39"/>
      <c r="BL221" s="1852"/>
      <c r="BM221" s="39"/>
      <c r="BN221" s="39"/>
      <c r="BO221" s="3180"/>
      <c r="BP221" s="3180"/>
      <c r="BQ221" s="39"/>
      <c r="BR221" s="39"/>
      <c r="BS221" s="39"/>
      <c r="BT221" s="39"/>
      <c r="BU221" s="1852"/>
      <c r="BV221" s="1852"/>
      <c r="BW221" s="39"/>
      <c r="BX221" s="39"/>
      <c r="BY221" s="39"/>
      <c r="BZ221" s="39"/>
      <c r="CA221" s="39"/>
      <c r="CB221" s="39"/>
      <c r="CC221" s="39"/>
      <c r="CD221" s="39"/>
      <c r="CE221" s="39"/>
      <c r="CF221" s="1475"/>
      <c r="CG221" s="39"/>
      <c r="CH221" s="39"/>
      <c r="CI221" s="39"/>
      <c r="CJ221" s="39"/>
      <c r="CK221" s="39"/>
      <c r="CL221" s="1036"/>
      <c r="CM221" s="738"/>
      <c r="CN221" s="738"/>
      <c r="CO221" s="39"/>
      <c r="CP221" s="39"/>
      <c r="CQ221" s="39"/>
      <c r="CR221" s="39"/>
      <c r="CS221" s="39"/>
      <c r="CT221" s="39"/>
      <c r="CU221" s="39"/>
      <c r="CV221" s="782"/>
      <c r="CW221" s="39"/>
      <c r="CX221" s="39"/>
      <c r="CY221" s="39"/>
      <c r="CZ221" s="39"/>
      <c r="DA221" s="39"/>
      <c r="DB221" s="39"/>
      <c r="DC221" s="2039"/>
      <c r="DD221" s="39"/>
      <c r="DE221" s="39"/>
      <c r="DF221" s="500"/>
      <c r="DG221" s="39"/>
      <c r="DH221" s="39"/>
      <c r="DI221" s="39"/>
      <c r="DJ221" s="39"/>
    </row>
    <row r="222" spans="3:114" x14ac:dyDescent="0.25">
      <c r="C222" s="39" t="str">
        <f t="shared" si="40"/>
        <v>Liquid in Vapor Feed</v>
      </c>
      <c r="D222" s="19"/>
      <c r="AK222" s="39"/>
      <c r="AL222" s="39"/>
      <c r="AM222" s="39"/>
      <c r="AN222" s="39"/>
      <c r="AO222" s="39"/>
      <c r="AP222" s="39"/>
      <c r="AQ222" s="738"/>
      <c r="AR222" s="39"/>
      <c r="AS222" s="1001"/>
      <c r="AT222" s="39"/>
      <c r="AU222" s="39"/>
      <c r="AV222" s="39"/>
      <c r="AW222" s="39"/>
      <c r="AX222" s="39"/>
      <c r="AY222" s="39"/>
      <c r="AZ222" s="39"/>
      <c r="BA222" s="39"/>
      <c r="BB222" s="39"/>
      <c r="BC222" s="39"/>
      <c r="BD222" s="39"/>
      <c r="BE222" s="39"/>
      <c r="BF222" s="39"/>
      <c r="BG222" s="39"/>
      <c r="BH222" s="39"/>
      <c r="BJ222" s="39"/>
      <c r="BK222" s="39"/>
      <c r="BL222" s="1852"/>
      <c r="BM222" s="39"/>
      <c r="BN222" s="39"/>
      <c r="BO222" s="3180"/>
      <c r="BP222" s="3180"/>
      <c r="BQ222" s="39"/>
      <c r="BR222" s="39"/>
      <c r="BS222" s="39"/>
      <c r="BT222" s="39"/>
      <c r="BU222" s="1852"/>
      <c r="BV222" s="1852"/>
      <c r="BW222" s="39"/>
      <c r="BX222" s="39"/>
      <c r="BY222" s="39"/>
      <c r="BZ222" s="39"/>
      <c r="CA222" s="39"/>
      <c r="CB222" s="39"/>
      <c r="CC222" s="39"/>
      <c r="CD222" s="39"/>
      <c r="CE222" s="39"/>
      <c r="CF222" s="1475"/>
      <c r="CG222" s="39"/>
      <c r="CH222" s="39"/>
      <c r="CI222" s="39"/>
      <c r="CJ222" s="39"/>
      <c r="CK222" s="39"/>
      <c r="CL222" s="1036"/>
      <c r="CM222" s="738"/>
      <c r="CN222" s="738"/>
      <c r="CO222" s="39"/>
      <c r="CP222" s="39"/>
      <c r="CQ222" s="39"/>
      <c r="CR222" s="39"/>
      <c r="CS222" s="39"/>
      <c r="CT222" s="39"/>
      <c r="CU222" s="39"/>
      <c r="CV222" s="782"/>
      <c r="CW222" s="39"/>
      <c r="CX222" s="39"/>
      <c r="CY222" s="39"/>
      <c r="CZ222" s="39"/>
      <c r="DA222" s="39"/>
      <c r="DB222" s="39"/>
      <c r="DC222" s="2039"/>
      <c r="DD222" s="39"/>
      <c r="DE222" s="39"/>
      <c r="DF222" s="500"/>
      <c r="DG222" s="39"/>
      <c r="DH222" s="39"/>
      <c r="DI222" s="39"/>
      <c r="DJ222" s="39"/>
    </row>
    <row r="223" spans="3:114" x14ac:dyDescent="0.25">
      <c r="C223" s="39" t="str">
        <f t="shared" si="40"/>
        <v>Loss of Flow - Adsorber or Scrubber</v>
      </c>
      <c r="D223" s="19"/>
      <c r="AK223" s="39"/>
      <c r="AL223" s="39"/>
      <c r="AM223" s="39"/>
      <c r="AN223" s="39"/>
      <c r="AO223" s="39"/>
      <c r="AP223" s="39"/>
      <c r="AQ223" s="738"/>
      <c r="AR223" s="39"/>
      <c r="AS223" s="1001"/>
      <c r="AT223" s="39"/>
      <c r="AU223" s="39"/>
      <c r="AV223" s="39"/>
      <c r="AW223" s="39"/>
      <c r="AX223" s="39"/>
      <c r="AY223" s="39"/>
      <c r="AZ223" s="39"/>
      <c r="BA223" s="39"/>
      <c r="BB223" s="39"/>
      <c r="BC223" s="39"/>
      <c r="BD223" s="39"/>
      <c r="BE223" s="39"/>
      <c r="BF223" s="39"/>
      <c r="BG223" s="39"/>
      <c r="BH223" s="39"/>
      <c r="BJ223" s="39"/>
      <c r="BK223" s="39"/>
      <c r="BL223" s="1852"/>
      <c r="BM223" s="39"/>
      <c r="BN223" s="39"/>
      <c r="BO223" s="3180"/>
      <c r="BP223" s="3180"/>
      <c r="BQ223" s="39"/>
      <c r="BR223" s="39"/>
      <c r="BS223" s="39"/>
      <c r="BT223" s="39"/>
      <c r="BU223" s="1852"/>
      <c r="BV223" s="1852"/>
      <c r="BW223" s="39"/>
      <c r="BX223" s="39"/>
      <c r="BY223" s="39"/>
      <c r="BZ223" s="39"/>
      <c r="CA223" s="39"/>
      <c r="CB223" s="39"/>
      <c r="CC223" s="39"/>
      <c r="CD223" s="39"/>
      <c r="CE223" s="39"/>
      <c r="CF223" s="1475"/>
      <c r="CG223" s="39"/>
      <c r="CH223" s="39"/>
      <c r="CI223" s="39"/>
      <c r="CJ223" s="39"/>
      <c r="CK223" s="39"/>
      <c r="CL223" s="1036"/>
      <c r="CM223" s="738"/>
      <c r="CN223" s="738"/>
      <c r="CO223" s="39"/>
      <c r="CP223" s="39"/>
      <c r="CQ223" s="39"/>
      <c r="CR223" s="39"/>
      <c r="CS223" s="39"/>
      <c r="CT223" s="39"/>
      <c r="CU223" s="39"/>
      <c r="CV223" s="782"/>
      <c r="CW223" s="39"/>
      <c r="CX223" s="39"/>
      <c r="CY223" s="39"/>
      <c r="CZ223" s="39"/>
      <c r="DA223" s="39"/>
      <c r="DB223" s="39"/>
      <c r="DC223" s="2039"/>
      <c r="DD223" s="39"/>
      <c r="DE223" s="39"/>
      <c r="DF223" s="500"/>
      <c r="DG223" s="39"/>
      <c r="DH223" s="39"/>
      <c r="DI223" s="39"/>
      <c r="DJ223" s="39"/>
    </row>
    <row r="224" spans="3:114" x14ac:dyDescent="0.25">
      <c r="C224" s="39" t="str">
        <f t="shared" si="40"/>
        <v>Loss of Flow or Level - Fired Equipment</v>
      </c>
      <c r="D224" s="19"/>
      <c r="AK224" s="39"/>
      <c r="AL224" s="39"/>
      <c r="AM224" s="39"/>
      <c r="AN224" s="39"/>
      <c r="AO224" s="39"/>
      <c r="AP224" s="39"/>
      <c r="AQ224" s="738"/>
      <c r="AR224" s="39"/>
      <c r="AS224" s="1001"/>
      <c r="AT224" s="39"/>
      <c r="AU224" s="39"/>
      <c r="AV224" s="39"/>
      <c r="AW224" s="39"/>
      <c r="AX224" s="39"/>
      <c r="AY224" s="39"/>
      <c r="AZ224" s="39"/>
      <c r="BA224" s="39"/>
      <c r="BB224" s="39"/>
      <c r="BC224" s="39"/>
      <c r="BD224" s="39"/>
      <c r="BE224" s="39"/>
      <c r="BF224" s="39"/>
      <c r="BG224" s="39"/>
      <c r="BH224" s="39"/>
      <c r="BJ224" s="39"/>
      <c r="BK224" s="39"/>
      <c r="BL224" s="1852"/>
      <c r="BM224" s="39"/>
      <c r="BN224" s="39"/>
      <c r="BO224" s="3180"/>
      <c r="BP224" s="3180"/>
      <c r="BQ224" s="39"/>
      <c r="BR224" s="39"/>
      <c r="BS224" s="39"/>
      <c r="BT224" s="39"/>
      <c r="BU224" s="1852"/>
      <c r="BV224" s="1852"/>
      <c r="BW224" s="39"/>
      <c r="BX224" s="39"/>
      <c r="BY224" s="39"/>
      <c r="BZ224" s="39"/>
      <c r="CA224" s="39"/>
      <c r="CB224" s="39"/>
      <c r="CC224" s="39"/>
      <c r="CD224" s="39"/>
      <c r="CE224" s="39"/>
      <c r="CF224" s="1475"/>
      <c r="CG224" s="39"/>
      <c r="CH224" s="39"/>
      <c r="CI224" s="39"/>
      <c r="CJ224" s="39"/>
      <c r="CK224" s="39"/>
      <c r="CL224" s="1036"/>
      <c r="CM224" s="738"/>
      <c r="CN224" s="738"/>
      <c r="CO224" s="39"/>
      <c r="CP224" s="39"/>
      <c r="CQ224" s="39"/>
      <c r="CR224" s="39"/>
      <c r="CS224" s="39"/>
      <c r="CT224" s="39"/>
      <c r="CU224" s="39"/>
      <c r="CV224" s="782"/>
      <c r="CW224" s="39"/>
      <c r="CX224" s="39"/>
      <c r="CY224" s="39"/>
      <c r="CZ224" s="39"/>
      <c r="DA224" s="39"/>
      <c r="DB224" s="39"/>
      <c r="DC224" s="2039"/>
      <c r="DD224" s="39"/>
      <c r="DE224" s="39"/>
      <c r="DF224" s="500"/>
      <c r="DG224" s="39"/>
      <c r="DH224" s="39"/>
      <c r="DI224" s="39"/>
      <c r="DJ224" s="39"/>
    </row>
    <row r="225" spans="3:114" x14ac:dyDescent="0.25">
      <c r="C225" s="39" t="str">
        <f t="shared" si="40"/>
        <v>Loss of Pilot or Ignition</v>
      </c>
      <c r="D225" s="19"/>
      <c r="AK225" s="39"/>
      <c r="AL225" s="39"/>
      <c r="AM225" s="39"/>
      <c r="AN225" s="39"/>
      <c r="AO225" s="39"/>
      <c r="AP225" s="39"/>
      <c r="AQ225" s="738"/>
      <c r="AR225" s="39"/>
      <c r="AS225" s="1001"/>
      <c r="AT225" s="39"/>
      <c r="AU225" s="39"/>
      <c r="AV225" s="39"/>
      <c r="AW225" s="39"/>
      <c r="AX225" s="39"/>
      <c r="AY225" s="39"/>
      <c r="AZ225" s="39"/>
      <c r="BA225" s="39"/>
      <c r="BB225" s="39"/>
      <c r="BC225" s="39"/>
      <c r="BD225" s="39"/>
      <c r="BE225" s="39"/>
      <c r="BF225" s="39"/>
      <c r="BG225" s="39"/>
      <c r="BH225" s="39"/>
      <c r="BJ225" s="39"/>
      <c r="BK225" s="39"/>
      <c r="BL225" s="1852"/>
      <c r="BM225" s="39"/>
      <c r="BN225" s="39"/>
      <c r="BO225" s="3180"/>
      <c r="BP225" s="3180"/>
      <c r="BQ225" s="39"/>
      <c r="BR225" s="39"/>
      <c r="BS225" s="39"/>
      <c r="BT225" s="39"/>
      <c r="BU225" s="1852"/>
      <c r="BV225" s="1852"/>
      <c r="BW225" s="39"/>
      <c r="BX225" s="39"/>
      <c r="BY225" s="39"/>
      <c r="BZ225" s="39"/>
      <c r="CA225" s="39"/>
      <c r="CB225" s="39"/>
      <c r="CC225" s="39"/>
      <c r="CD225" s="39"/>
      <c r="CE225" s="39"/>
      <c r="CF225" s="1475"/>
      <c r="CG225" s="39"/>
      <c r="CH225" s="39"/>
      <c r="CI225" s="39"/>
      <c r="CJ225" s="39"/>
      <c r="CK225" s="39"/>
      <c r="CL225" s="1036"/>
      <c r="CM225" s="738"/>
      <c r="CN225" s="738"/>
      <c r="CO225" s="39"/>
      <c r="CP225" s="39"/>
      <c r="CQ225" s="39"/>
      <c r="CR225" s="39"/>
      <c r="CS225" s="39"/>
      <c r="CT225" s="39"/>
      <c r="CU225" s="39"/>
      <c r="CV225" s="782"/>
      <c r="CW225" s="39"/>
      <c r="CX225" s="39"/>
      <c r="CY225" s="39"/>
      <c r="CZ225" s="39"/>
      <c r="DA225" s="39"/>
      <c r="DB225" s="39"/>
      <c r="DC225" s="2039"/>
      <c r="DD225" s="39"/>
      <c r="DE225" s="39"/>
      <c r="DF225" s="500"/>
      <c r="DG225" s="39"/>
      <c r="DH225" s="39"/>
      <c r="DI225" s="39"/>
      <c r="DJ225" s="39"/>
    </row>
    <row r="226" spans="3:114" x14ac:dyDescent="0.25">
      <c r="C226" s="39" t="str">
        <f t="shared" si="40"/>
        <v>Loss of Vacuum - Thermal Oxidizer</v>
      </c>
      <c r="D226" s="19"/>
      <c r="AK226" s="39"/>
      <c r="AL226" s="39"/>
      <c r="AM226" s="39"/>
      <c r="AN226" s="39"/>
      <c r="AO226" s="39"/>
      <c r="AP226" s="39"/>
      <c r="AQ226" s="738"/>
      <c r="AR226" s="39"/>
      <c r="AS226" s="1001"/>
      <c r="AT226" s="39"/>
      <c r="AU226" s="39"/>
      <c r="AV226" s="39"/>
      <c r="AW226" s="39"/>
      <c r="AX226" s="39"/>
      <c r="AY226" s="39"/>
      <c r="AZ226" s="39"/>
      <c r="BA226" s="39"/>
      <c r="BB226" s="39"/>
      <c r="BC226" s="39"/>
      <c r="BD226" s="39"/>
      <c r="BE226" s="39"/>
      <c r="BF226" s="39"/>
      <c r="BG226" s="39"/>
      <c r="BH226" s="39"/>
      <c r="BJ226" s="39"/>
      <c r="BK226" s="39"/>
      <c r="BL226" s="1852"/>
      <c r="BM226" s="39"/>
      <c r="BN226" s="39"/>
      <c r="BO226" s="3180"/>
      <c r="BP226" s="3180"/>
      <c r="BQ226" s="39"/>
      <c r="BR226" s="39"/>
      <c r="BS226" s="39"/>
      <c r="BT226" s="39"/>
      <c r="BU226" s="1852"/>
      <c r="BV226" s="1852"/>
      <c r="BW226" s="39"/>
      <c r="BX226" s="39"/>
      <c r="BY226" s="39"/>
      <c r="BZ226" s="39"/>
      <c r="CA226" s="39"/>
      <c r="CB226" s="39"/>
      <c r="CC226" s="39"/>
      <c r="CD226" s="39"/>
      <c r="CE226" s="39"/>
      <c r="CF226" s="1475"/>
      <c r="CG226" s="39"/>
      <c r="CH226" s="39"/>
      <c r="CI226" s="39"/>
      <c r="CJ226" s="39"/>
      <c r="CK226" s="39"/>
      <c r="CL226" s="1036"/>
      <c r="CM226" s="738"/>
      <c r="CN226" s="738"/>
      <c r="CO226" s="39"/>
      <c r="CP226" s="39"/>
      <c r="CQ226" s="39"/>
      <c r="CR226" s="39"/>
      <c r="CS226" s="39"/>
      <c r="CT226" s="39"/>
      <c r="CU226" s="39"/>
      <c r="CV226" s="782"/>
      <c r="CW226" s="39"/>
      <c r="CX226" s="39"/>
      <c r="CY226" s="39"/>
      <c r="CZ226" s="39"/>
      <c r="DA226" s="39"/>
      <c r="DB226" s="39"/>
      <c r="DC226" s="2039"/>
      <c r="DD226" s="39"/>
      <c r="DE226" s="39"/>
      <c r="DF226" s="500"/>
      <c r="DG226" s="39"/>
      <c r="DH226" s="39"/>
      <c r="DI226" s="39"/>
      <c r="DJ226" s="39"/>
    </row>
    <row r="227" spans="3:114" x14ac:dyDescent="0.25">
      <c r="C227" s="39" t="str">
        <f t="shared" si="40"/>
        <v>Low Temperature Embrittlement</v>
      </c>
      <c r="D227" s="19"/>
      <c r="AK227" s="885"/>
      <c r="AL227" s="885"/>
      <c r="AM227" s="885"/>
      <c r="AN227" s="885"/>
      <c r="AO227" s="885"/>
      <c r="AP227" s="885"/>
      <c r="AQ227" s="885"/>
      <c r="AR227" s="885"/>
      <c r="AS227" s="1001"/>
      <c r="AT227" s="885"/>
      <c r="AU227" s="885"/>
      <c r="AV227" s="885"/>
      <c r="AW227" s="885"/>
      <c r="AX227" s="885"/>
      <c r="AY227" s="885"/>
      <c r="AZ227" s="885"/>
      <c r="BA227" s="885"/>
      <c r="BB227" s="885"/>
      <c r="BC227" s="885"/>
      <c r="BD227" s="885"/>
      <c r="BE227" s="885"/>
      <c r="BF227" s="885"/>
      <c r="BG227" s="885"/>
      <c r="BH227" s="885"/>
      <c r="BJ227" s="885"/>
      <c r="BK227" s="885"/>
      <c r="BL227" s="1852"/>
      <c r="BM227" s="885"/>
      <c r="BN227" s="885"/>
      <c r="BO227" s="3180"/>
      <c r="BP227" s="3180"/>
      <c r="BQ227" s="885"/>
      <c r="BR227" s="885"/>
      <c r="BS227" s="885"/>
      <c r="BT227" s="885"/>
      <c r="BU227" s="1852"/>
      <c r="BV227" s="1852"/>
      <c r="BW227" s="885"/>
      <c r="BX227" s="885"/>
      <c r="BY227" s="885"/>
      <c r="BZ227" s="885"/>
      <c r="CA227" s="885"/>
      <c r="CB227" s="885"/>
      <c r="CC227" s="885"/>
      <c r="CD227" s="885"/>
      <c r="CE227" s="885"/>
      <c r="CF227" s="1475"/>
      <c r="CG227" s="885"/>
      <c r="CH227" s="885"/>
      <c r="CI227" s="885"/>
      <c r="CJ227" s="885"/>
      <c r="CK227" s="885"/>
      <c r="CL227" s="1036"/>
      <c r="CM227" s="885"/>
      <c r="CN227" s="885"/>
      <c r="CO227" s="885"/>
      <c r="CP227" s="885"/>
      <c r="CQ227" s="885"/>
      <c r="CR227" s="885"/>
      <c r="CS227" s="885"/>
      <c r="CT227" s="885"/>
      <c r="CU227" s="885"/>
      <c r="CV227" s="885"/>
      <c r="CW227" s="885"/>
      <c r="CX227" s="885"/>
      <c r="CY227" s="885"/>
      <c r="CZ227" s="885"/>
      <c r="DA227" s="885"/>
      <c r="DB227" s="885"/>
      <c r="DC227" s="2039"/>
      <c r="DD227" s="885"/>
      <c r="DE227" s="885"/>
      <c r="DF227" s="885"/>
      <c r="DG227" s="885"/>
      <c r="DH227" s="885"/>
      <c r="DI227" s="885"/>
      <c r="DJ227" s="885"/>
    </row>
    <row r="228" spans="3:114" x14ac:dyDescent="0.25">
      <c r="C228" s="39" t="str">
        <f t="shared" si="40"/>
        <v>Overfill or Overflow</v>
      </c>
      <c r="D228" s="19"/>
      <c r="AK228" s="39"/>
      <c r="AL228" s="39"/>
      <c r="AM228" s="39"/>
      <c r="AN228" s="39"/>
      <c r="AO228" s="39"/>
      <c r="AP228" s="39"/>
      <c r="AQ228" s="738"/>
      <c r="AR228" s="39"/>
      <c r="AS228" s="1001"/>
      <c r="AT228" s="39"/>
      <c r="AU228" s="39"/>
      <c r="AV228" s="39"/>
      <c r="AW228" s="39"/>
      <c r="AX228" s="39"/>
      <c r="AY228" s="39"/>
      <c r="AZ228" s="39"/>
      <c r="BA228" s="39"/>
      <c r="BB228" s="39"/>
      <c r="BC228" s="39"/>
      <c r="BD228" s="39"/>
      <c r="BE228" s="39"/>
      <c r="BF228" s="39"/>
      <c r="BG228" s="39"/>
      <c r="BH228" s="39"/>
      <c r="BJ228" s="39"/>
      <c r="BK228" s="39"/>
      <c r="BL228" s="1852"/>
      <c r="BM228" s="39"/>
      <c r="BN228" s="39"/>
      <c r="BO228" s="3180"/>
      <c r="BP228" s="3180"/>
      <c r="BQ228" s="39"/>
      <c r="BR228" s="39"/>
      <c r="BS228" s="39"/>
      <c r="BT228" s="39"/>
      <c r="BU228" s="1852"/>
      <c r="BV228" s="1852"/>
      <c r="BW228" s="39"/>
      <c r="BX228" s="39"/>
      <c r="BY228" s="39"/>
      <c r="BZ228" s="39"/>
      <c r="CA228" s="39"/>
      <c r="CB228" s="39"/>
      <c r="CC228" s="39"/>
      <c r="CD228" s="39"/>
      <c r="CE228" s="39"/>
      <c r="CF228" s="1475"/>
      <c r="CG228" s="39"/>
      <c r="CH228" s="39"/>
      <c r="CI228" s="39"/>
      <c r="CJ228" s="39"/>
      <c r="CK228" s="39"/>
      <c r="CL228" s="1036"/>
      <c r="CM228" s="738"/>
      <c r="CN228" s="738"/>
      <c r="CO228" s="39"/>
      <c r="CP228" s="39"/>
      <c r="CQ228" s="39"/>
      <c r="CR228" s="39"/>
      <c r="CS228" s="39"/>
      <c r="CT228" s="39"/>
      <c r="CU228" s="39"/>
      <c r="CV228" s="782"/>
      <c r="CW228" s="39"/>
      <c r="CX228" s="39"/>
      <c r="CY228" s="39"/>
      <c r="CZ228" s="39"/>
      <c r="DA228" s="39"/>
      <c r="DB228" s="39"/>
      <c r="DC228" s="2039"/>
      <c r="DD228" s="39"/>
      <c r="DE228" s="39"/>
      <c r="DF228" s="500"/>
      <c r="DG228" s="39"/>
      <c r="DH228" s="39"/>
      <c r="DI228" s="39"/>
      <c r="DJ228" s="39"/>
    </row>
    <row r="229" spans="3:114" x14ac:dyDescent="0.25">
      <c r="C229" s="39" t="str">
        <f t="shared" si="40"/>
        <v>Overfill or Backflow</v>
      </c>
      <c r="D229" s="19"/>
      <c r="AK229" s="2892"/>
      <c r="AL229" s="2892"/>
      <c r="AM229" s="2892"/>
      <c r="AN229" s="2892"/>
      <c r="AO229" s="2892"/>
      <c r="AP229" s="2892"/>
      <c r="AQ229" s="2892"/>
      <c r="AR229" s="2892"/>
      <c r="AS229" s="2892"/>
      <c r="AT229" s="2892"/>
      <c r="AU229" s="2892"/>
      <c r="AV229" s="2892"/>
      <c r="AW229" s="2892"/>
      <c r="AX229" s="2892"/>
      <c r="AY229" s="2892"/>
      <c r="AZ229" s="2892"/>
      <c r="BA229" s="2892"/>
      <c r="BB229" s="2892"/>
      <c r="BC229" s="2892"/>
      <c r="BD229" s="2892"/>
      <c r="BE229" s="2892"/>
      <c r="BF229" s="2892"/>
      <c r="BG229" s="2892"/>
      <c r="BH229" s="2892"/>
      <c r="BJ229" s="2892"/>
      <c r="BK229" s="2892"/>
      <c r="BL229" s="2892"/>
      <c r="BM229" s="2892"/>
      <c r="BN229" s="2892"/>
      <c r="BO229" s="3180"/>
      <c r="BP229" s="3180"/>
      <c r="BQ229" s="2892"/>
      <c r="BR229" s="2892"/>
      <c r="BS229" s="2892"/>
      <c r="BT229" s="2892"/>
      <c r="BU229" s="2892"/>
      <c r="BV229" s="2892"/>
      <c r="BW229" s="2892"/>
      <c r="BX229" s="2892"/>
      <c r="BY229" s="2892"/>
      <c r="BZ229" s="2892"/>
      <c r="CA229" s="2892"/>
      <c r="CB229" s="2892"/>
      <c r="CC229" s="2892"/>
      <c r="CD229" s="2892"/>
      <c r="CE229" s="2892"/>
      <c r="CF229" s="2892"/>
      <c r="CG229" s="2892"/>
      <c r="CH229" s="2892"/>
      <c r="CI229" s="2892"/>
      <c r="CJ229" s="2892"/>
      <c r="CK229" s="2892"/>
      <c r="CL229" s="2892"/>
      <c r="CM229" s="2892"/>
      <c r="CN229" s="2892"/>
      <c r="CO229" s="2892"/>
      <c r="CP229" s="2892"/>
      <c r="CQ229" s="2892"/>
      <c r="CR229" s="2892"/>
      <c r="CS229" s="2892"/>
      <c r="CT229" s="2892"/>
      <c r="CU229" s="2892"/>
      <c r="CV229" s="2892"/>
      <c r="CW229" s="2892"/>
      <c r="CX229" s="2892"/>
      <c r="CY229" s="2892"/>
      <c r="CZ229" s="2892"/>
      <c r="DA229" s="2892"/>
      <c r="DB229" s="2892"/>
      <c r="DC229" s="2892"/>
      <c r="DD229" s="2892"/>
      <c r="DE229" s="2892"/>
      <c r="DF229" s="2892"/>
      <c r="DG229" s="2892"/>
      <c r="DH229" s="2892"/>
      <c r="DI229" s="2892"/>
      <c r="DJ229" s="2892"/>
    </row>
    <row r="230" spans="3:114" x14ac:dyDescent="0.25">
      <c r="C230" s="39" t="str">
        <f t="shared" ref="C230:C254" si="41">C39</f>
        <v>Overflow - Flooding or Plugging</v>
      </c>
      <c r="D230" s="19"/>
      <c r="AK230" s="39"/>
      <c r="AL230" s="39"/>
      <c r="AM230" s="39"/>
      <c r="AN230" s="39"/>
      <c r="AO230" s="39"/>
      <c r="AP230" s="39"/>
      <c r="AQ230" s="738"/>
      <c r="AR230" s="39"/>
      <c r="AS230" s="1001"/>
      <c r="AT230" s="39"/>
      <c r="AU230" s="39"/>
      <c r="AV230" s="39"/>
      <c r="AW230" s="39"/>
      <c r="AX230" s="39"/>
      <c r="AY230" s="39"/>
      <c r="AZ230" s="39"/>
      <c r="BA230" s="39"/>
      <c r="BB230" s="39"/>
      <c r="BC230" s="39"/>
      <c r="BD230" s="39"/>
      <c r="BE230" s="39"/>
      <c r="BF230" s="39"/>
      <c r="BG230" s="39"/>
      <c r="BH230" s="39"/>
      <c r="BJ230" s="39"/>
      <c r="BK230" s="39"/>
      <c r="BL230" s="1852"/>
      <c r="BM230" s="39"/>
      <c r="BN230" s="39"/>
      <c r="BO230" s="3180"/>
      <c r="BP230" s="3180"/>
      <c r="BQ230" s="39"/>
      <c r="BR230" s="39"/>
      <c r="BS230" s="39"/>
      <c r="BT230" s="39"/>
      <c r="BU230" s="1852"/>
      <c r="BV230" s="1852"/>
      <c r="BW230" s="39"/>
      <c r="BX230" s="39"/>
      <c r="BY230" s="39"/>
      <c r="BZ230" s="39"/>
      <c r="CA230" s="39"/>
      <c r="CB230" s="39"/>
      <c r="CC230" s="39"/>
      <c r="CD230" s="39"/>
      <c r="CE230" s="39"/>
      <c r="CF230" s="1475"/>
      <c r="CG230" s="39"/>
      <c r="CH230" s="39"/>
      <c r="CI230" s="39"/>
      <c r="CJ230" s="39"/>
      <c r="CK230" s="39"/>
      <c r="CL230" s="1036"/>
      <c r="CM230" s="738"/>
      <c r="CN230" s="738"/>
      <c r="CO230" s="39"/>
      <c r="CP230" s="39"/>
      <c r="CQ230" s="39"/>
      <c r="CR230" s="39"/>
      <c r="CS230" s="39"/>
      <c r="CT230" s="39"/>
      <c r="CU230" s="39"/>
      <c r="CV230" s="782"/>
      <c r="CW230" s="39"/>
      <c r="CX230" s="39"/>
      <c r="CY230" s="39"/>
      <c r="CZ230" s="39"/>
      <c r="DA230" s="39"/>
      <c r="DB230" s="39"/>
      <c r="DC230" s="2039"/>
      <c r="DD230" s="39"/>
      <c r="DE230" s="39"/>
      <c r="DF230" s="500"/>
      <c r="DG230" s="39"/>
      <c r="DH230" s="39"/>
      <c r="DI230" s="39"/>
      <c r="DJ230" s="39"/>
    </row>
    <row r="231" spans="3:114" x14ac:dyDescent="0.25">
      <c r="C231" s="39" t="str">
        <f t="shared" si="41"/>
        <v>Physical Damage or Puncture</v>
      </c>
      <c r="D231" s="19"/>
      <c r="AK231" s="39"/>
      <c r="AL231" s="39"/>
      <c r="AM231" s="39"/>
      <c r="AN231" s="39"/>
      <c r="AO231" s="39"/>
      <c r="AP231" s="39"/>
      <c r="AQ231" s="738"/>
      <c r="AR231" s="39"/>
      <c r="AS231" s="1001"/>
      <c r="AT231" s="39"/>
      <c r="AU231" s="39"/>
      <c r="AV231" s="39"/>
      <c r="AW231" s="39"/>
      <c r="AX231" s="39"/>
      <c r="AY231" s="39"/>
      <c r="AZ231" s="39"/>
      <c r="BA231" s="39"/>
      <c r="BB231" s="39"/>
      <c r="BC231" s="39"/>
      <c r="BD231" s="39"/>
      <c r="BE231" s="39"/>
      <c r="BF231" s="39"/>
      <c r="BG231" s="39"/>
      <c r="BH231" s="39"/>
      <c r="BJ231" s="39"/>
      <c r="BK231" s="39"/>
      <c r="BL231" s="1852"/>
      <c r="BM231" s="39"/>
      <c r="BN231" s="39"/>
      <c r="BO231" s="3180"/>
      <c r="BP231" s="3180"/>
      <c r="BQ231" s="39"/>
      <c r="BR231" s="39"/>
      <c r="BS231" s="39"/>
      <c r="BT231" s="39"/>
      <c r="BU231" s="1852"/>
      <c r="BV231" s="1852"/>
      <c r="BW231" s="39"/>
      <c r="BX231" s="39"/>
      <c r="BY231" s="39"/>
      <c r="BZ231" s="39"/>
      <c r="CA231" s="39"/>
      <c r="CB231" s="39"/>
      <c r="CC231" s="39"/>
      <c r="CD231" s="39"/>
      <c r="CE231" s="39"/>
      <c r="CF231" s="1475"/>
      <c r="CG231" s="39"/>
      <c r="CH231" s="39"/>
      <c r="CI231" s="39"/>
      <c r="CJ231" s="39"/>
      <c r="CK231" s="39"/>
      <c r="CL231" s="1036"/>
      <c r="CM231" s="738"/>
      <c r="CN231" s="738"/>
      <c r="CO231" s="39"/>
      <c r="CP231" s="39"/>
      <c r="CQ231" s="39"/>
      <c r="CR231" s="39"/>
      <c r="CS231" s="39"/>
      <c r="CT231" s="39"/>
      <c r="CU231" s="39"/>
      <c r="CV231" s="782"/>
      <c r="CW231" s="39"/>
      <c r="CX231" s="39"/>
      <c r="CY231" s="39"/>
      <c r="CZ231" s="39"/>
      <c r="DA231" s="39"/>
      <c r="DB231" s="39"/>
      <c r="DC231" s="2039"/>
      <c r="DD231" s="39"/>
      <c r="DE231" s="39"/>
      <c r="DF231" s="500"/>
      <c r="DG231" s="39"/>
      <c r="DH231" s="39"/>
      <c r="DI231" s="39"/>
      <c r="DJ231" s="39"/>
    </row>
    <row r="232" spans="3:114" x14ac:dyDescent="0.25">
      <c r="C232" s="39" t="str">
        <f t="shared" si="41"/>
        <v>Mechanical Integrity Failure - Extremely Large</v>
      </c>
      <c r="D232" s="19"/>
      <c r="AK232" s="39"/>
      <c r="AL232" s="39"/>
      <c r="AM232" s="39"/>
      <c r="AN232" s="39"/>
      <c r="AO232" s="39"/>
      <c r="AP232" s="39"/>
      <c r="AQ232" s="738"/>
      <c r="AR232" s="39"/>
      <c r="AS232" s="1001"/>
      <c r="AT232" s="39"/>
      <c r="AU232" s="39"/>
      <c r="AV232" s="39"/>
      <c r="AW232" s="39"/>
      <c r="AX232" s="39"/>
      <c r="AY232" s="39"/>
      <c r="AZ232" s="39"/>
      <c r="BA232" s="39"/>
      <c r="BB232" s="39"/>
      <c r="BC232" s="39"/>
      <c r="BD232" s="39"/>
      <c r="BE232" s="39"/>
      <c r="BF232" s="39"/>
      <c r="BG232" s="39"/>
      <c r="BH232" s="39"/>
      <c r="BJ232" s="39"/>
      <c r="BK232" s="39"/>
      <c r="BL232" s="1852"/>
      <c r="BM232" s="39"/>
      <c r="BN232" s="39"/>
      <c r="BO232" s="3180"/>
      <c r="BP232" s="3180"/>
      <c r="BQ232" s="39"/>
      <c r="BR232" s="39"/>
      <c r="BS232" s="39"/>
      <c r="BT232" s="39"/>
      <c r="BU232" s="1852"/>
      <c r="BV232" s="1852"/>
      <c r="BW232" s="39"/>
      <c r="BX232" s="39"/>
      <c r="BY232" s="39"/>
      <c r="BZ232" s="39"/>
      <c r="CA232" s="39"/>
      <c r="CB232" s="39"/>
      <c r="CC232" s="39"/>
      <c r="CD232" s="39"/>
      <c r="CE232" s="39"/>
      <c r="CF232" s="1475"/>
      <c r="CG232" s="39"/>
      <c r="CH232" s="39"/>
      <c r="CI232" s="39"/>
      <c r="CJ232" s="39"/>
      <c r="CK232" s="39"/>
      <c r="CL232" s="1036"/>
      <c r="CM232" s="738"/>
      <c r="CN232" s="738"/>
      <c r="CO232" s="39"/>
      <c r="CP232" s="39"/>
      <c r="CQ232" s="39"/>
      <c r="CR232" s="39"/>
      <c r="CS232" s="39"/>
      <c r="CT232" s="39"/>
      <c r="CU232" s="39"/>
      <c r="CV232" s="782"/>
      <c r="CW232" s="39"/>
      <c r="CX232" s="39"/>
      <c r="CY232" s="39"/>
      <c r="CZ232" s="39"/>
      <c r="DA232" s="39"/>
      <c r="DB232" s="39"/>
      <c r="DC232" s="2039"/>
      <c r="DD232" s="39"/>
      <c r="DE232" s="39"/>
      <c r="DF232" s="500"/>
      <c r="DG232" s="39"/>
      <c r="DH232" s="39"/>
      <c r="DI232" s="39"/>
      <c r="DJ232" s="39"/>
    </row>
    <row r="233" spans="3:114" x14ac:dyDescent="0.25">
      <c r="C233" s="39" t="str">
        <f t="shared" si="41"/>
        <v>Mechanical Integrity Failure - Very Large</v>
      </c>
      <c r="D233" s="19"/>
      <c r="AK233" s="39"/>
      <c r="AL233" s="39"/>
      <c r="AM233" s="39"/>
      <c r="AN233" s="39"/>
      <c r="AO233" s="39"/>
      <c r="AP233" s="39"/>
      <c r="AQ233" s="738"/>
      <c r="AR233" s="39"/>
      <c r="AS233" s="1001"/>
      <c r="AT233" s="39"/>
      <c r="AU233" s="39"/>
      <c r="AV233" s="39"/>
      <c r="AW233" s="39"/>
      <c r="AX233" s="39"/>
      <c r="AY233" s="39"/>
      <c r="AZ233" s="39"/>
      <c r="BA233" s="39"/>
      <c r="BB233" s="39"/>
      <c r="BC233" s="39"/>
      <c r="BD233" s="39"/>
      <c r="BE233" s="39"/>
      <c r="BF233" s="39"/>
      <c r="BG233" s="39"/>
      <c r="BH233" s="39"/>
      <c r="BJ233" s="39"/>
      <c r="BK233" s="39"/>
      <c r="BL233" s="1852"/>
      <c r="BM233" s="39"/>
      <c r="BN233" s="39"/>
      <c r="BO233" s="3180"/>
      <c r="BP233" s="3180"/>
      <c r="BQ233" s="39"/>
      <c r="BR233" s="39"/>
      <c r="BS233" s="39"/>
      <c r="BT233" s="39"/>
      <c r="BU233" s="1852"/>
      <c r="BV233" s="1852"/>
      <c r="BW233" s="39"/>
      <c r="BX233" s="39"/>
      <c r="BY233" s="39"/>
      <c r="BZ233" s="39"/>
      <c r="CA233" s="39"/>
      <c r="CB233" s="39"/>
      <c r="CC233" s="39"/>
      <c r="CD233" s="39"/>
      <c r="CE233" s="39"/>
      <c r="CF233" s="1475"/>
      <c r="CG233" s="39"/>
      <c r="CH233" s="39"/>
      <c r="CI233" s="39"/>
      <c r="CJ233" s="39"/>
      <c r="CK233" s="39"/>
      <c r="CL233" s="1036"/>
      <c r="CM233" s="738"/>
      <c r="CN233" s="738"/>
      <c r="CO233" s="39"/>
      <c r="CP233" s="39"/>
      <c r="CQ233" s="39"/>
      <c r="CR233" s="39"/>
      <c r="CS233" s="39"/>
      <c r="CT233" s="39"/>
      <c r="CU233" s="39"/>
      <c r="CV233" s="782"/>
      <c r="CW233" s="39"/>
      <c r="CX233" s="39"/>
      <c r="CY233" s="39"/>
      <c r="CZ233" s="39"/>
      <c r="DA233" s="39"/>
      <c r="DB233" s="39"/>
      <c r="DC233" s="2039"/>
      <c r="DD233" s="39"/>
      <c r="DE233" s="39"/>
      <c r="DF233" s="500"/>
      <c r="DG233" s="39"/>
      <c r="DH233" s="39"/>
      <c r="DI233" s="39"/>
      <c r="DJ233" s="39"/>
    </row>
    <row r="234" spans="3:114" x14ac:dyDescent="0.25">
      <c r="C234" s="39" t="str">
        <f t="shared" si="41"/>
        <v>Piping or Equipment Leak - Full Bore</v>
      </c>
      <c r="D234" s="19"/>
      <c r="AK234" s="39"/>
      <c r="AL234" s="39"/>
      <c r="AM234" s="39"/>
      <c r="AN234" s="39"/>
      <c r="AO234" s="39"/>
      <c r="AP234" s="39"/>
      <c r="AQ234" s="738"/>
      <c r="AR234" s="39"/>
      <c r="AS234" s="1001"/>
      <c r="AT234" s="39"/>
      <c r="AU234" s="39"/>
      <c r="AV234" s="39"/>
      <c r="AW234" s="39"/>
      <c r="AX234" s="39"/>
      <c r="AY234" s="39"/>
      <c r="AZ234" s="39"/>
      <c r="BA234" s="39"/>
      <c r="BB234" s="39"/>
      <c r="BC234" s="39"/>
      <c r="BD234" s="39"/>
      <c r="BE234" s="39"/>
      <c r="BF234" s="39"/>
      <c r="BG234" s="39"/>
      <c r="BH234" s="39"/>
      <c r="BJ234" s="39"/>
      <c r="BK234" s="39"/>
      <c r="BL234" s="1852"/>
      <c r="BM234" s="39"/>
      <c r="BN234" s="39"/>
      <c r="BO234" s="3180"/>
      <c r="BP234" s="3180"/>
      <c r="BQ234" s="39"/>
      <c r="BR234" s="39"/>
      <c r="BS234" s="39"/>
      <c r="BT234" s="39"/>
      <c r="BU234" s="1852"/>
      <c r="BV234" s="1852"/>
      <c r="BW234" s="39"/>
      <c r="BX234" s="39"/>
      <c r="BY234" s="39"/>
      <c r="BZ234" s="39"/>
      <c r="CA234" s="39"/>
      <c r="CB234" s="39"/>
      <c r="CC234" s="39"/>
      <c r="CD234" s="39"/>
      <c r="CE234" s="39"/>
      <c r="CF234" s="1475"/>
      <c r="CG234" s="39"/>
      <c r="CH234" s="39"/>
      <c r="CI234" s="39"/>
      <c r="CJ234" s="39"/>
      <c r="CK234" s="39"/>
      <c r="CL234" s="1036"/>
      <c r="CM234" s="738"/>
      <c r="CN234" s="738"/>
      <c r="CO234" s="39"/>
      <c r="CP234" s="39"/>
      <c r="CQ234" s="39"/>
      <c r="CR234" s="39"/>
      <c r="CS234" s="39"/>
      <c r="CT234" s="39"/>
      <c r="CU234" s="39"/>
      <c r="CV234" s="782"/>
      <c r="CW234" s="39"/>
      <c r="CX234" s="39"/>
      <c r="CY234" s="39"/>
      <c r="CZ234" s="39"/>
      <c r="DA234" s="39"/>
      <c r="DB234" s="39"/>
      <c r="DC234" s="2039"/>
      <c r="DD234" s="39"/>
      <c r="DE234" s="39"/>
      <c r="DF234" s="500"/>
      <c r="DG234" s="39"/>
      <c r="DH234" s="39"/>
      <c r="DI234" s="39"/>
      <c r="DJ234" s="39"/>
    </row>
    <row r="235" spans="3:114" x14ac:dyDescent="0.25">
      <c r="C235" s="39" t="str">
        <f t="shared" si="41"/>
        <v>Mechanical Integrity Failure - Medium</v>
      </c>
      <c r="D235" s="19"/>
      <c r="AK235" s="39"/>
      <c r="AL235" s="39"/>
      <c r="AM235" s="39"/>
      <c r="AN235" s="39"/>
      <c r="AO235" s="39"/>
      <c r="AP235" s="39"/>
      <c r="AQ235" s="738"/>
      <c r="AR235" s="39"/>
      <c r="AS235" s="1001"/>
      <c r="AT235" s="39"/>
      <c r="AU235" s="39"/>
      <c r="AV235" s="39"/>
      <c r="AW235" s="39"/>
      <c r="AX235" s="39"/>
      <c r="AY235" s="39"/>
      <c r="AZ235" s="39"/>
      <c r="BA235" s="39"/>
      <c r="BB235" s="39"/>
      <c r="BC235" s="39"/>
      <c r="BD235" s="39"/>
      <c r="BE235" s="39"/>
      <c r="BF235" s="39"/>
      <c r="BG235" s="39"/>
      <c r="BH235" s="39"/>
      <c r="BJ235" s="39"/>
      <c r="BK235" s="39"/>
      <c r="BL235" s="1852"/>
      <c r="BM235" s="39"/>
      <c r="BN235" s="39"/>
      <c r="BO235" s="3180"/>
      <c r="BP235" s="3180"/>
      <c r="BQ235" s="39"/>
      <c r="BR235" s="39"/>
      <c r="BS235" s="39"/>
      <c r="BT235" s="39"/>
      <c r="BU235" s="1852"/>
      <c r="BV235" s="1852"/>
      <c r="BW235" s="39"/>
      <c r="BX235" s="39"/>
      <c r="BY235" s="39"/>
      <c r="BZ235" s="39"/>
      <c r="CA235" s="39"/>
      <c r="CB235" s="39"/>
      <c r="CC235" s="39"/>
      <c r="CD235" s="39"/>
      <c r="CE235" s="39"/>
      <c r="CF235" s="1475"/>
      <c r="CG235" s="39"/>
      <c r="CH235" s="39"/>
      <c r="CI235" s="39"/>
      <c r="CJ235" s="39"/>
      <c r="CK235" s="39"/>
      <c r="CL235" s="1036"/>
      <c r="CM235" s="738"/>
      <c r="CN235" s="738"/>
      <c r="CO235" s="39"/>
      <c r="CP235" s="39"/>
      <c r="CQ235" s="39"/>
      <c r="CR235" s="39"/>
      <c r="CS235" s="39"/>
      <c r="CT235" s="39"/>
      <c r="CU235" s="39"/>
      <c r="CV235" s="782"/>
      <c r="CW235" s="39"/>
      <c r="CX235" s="39"/>
      <c r="CY235" s="39"/>
      <c r="CZ235" s="39"/>
      <c r="DA235" s="39"/>
      <c r="DB235" s="39"/>
      <c r="DC235" s="2039"/>
      <c r="DD235" s="39"/>
      <c r="DE235" s="39"/>
      <c r="DF235" s="500"/>
      <c r="DG235" s="39"/>
      <c r="DH235" s="39"/>
      <c r="DI235" s="39"/>
      <c r="DJ235" s="39"/>
    </row>
    <row r="236" spans="3:114" x14ac:dyDescent="0.25">
      <c r="C236" s="39" t="str">
        <f t="shared" si="41"/>
        <v>Relief Device Failure</v>
      </c>
      <c r="D236" s="19"/>
      <c r="AK236" s="39"/>
      <c r="AL236" s="39"/>
      <c r="AM236" s="39"/>
      <c r="AN236" s="39"/>
      <c r="AO236" s="39"/>
      <c r="AP236" s="39"/>
      <c r="AQ236" s="738"/>
      <c r="AR236" s="39"/>
      <c r="AS236" s="1001"/>
      <c r="AT236" s="39"/>
      <c r="AU236" s="39"/>
      <c r="AV236" s="39"/>
      <c r="AW236" s="39"/>
      <c r="AX236" s="39"/>
      <c r="AY236" s="39"/>
      <c r="AZ236" s="39"/>
      <c r="BA236" s="39"/>
      <c r="BB236" s="39"/>
      <c r="BC236" s="39"/>
      <c r="BD236" s="39"/>
      <c r="BE236" s="39"/>
      <c r="BF236" s="39"/>
      <c r="BG236" s="39"/>
      <c r="BH236" s="39"/>
      <c r="BJ236" s="39"/>
      <c r="BK236" s="39"/>
      <c r="BL236" s="1852"/>
      <c r="BM236" s="39"/>
      <c r="BN236" s="39"/>
      <c r="BO236" s="3180"/>
      <c r="BP236" s="3180"/>
      <c r="BQ236" s="39"/>
      <c r="BR236" s="39"/>
      <c r="BS236" s="39"/>
      <c r="BT236" s="39"/>
      <c r="BU236" s="1852"/>
      <c r="BV236" s="1852"/>
      <c r="BW236" s="39"/>
      <c r="BX236" s="39"/>
      <c r="BY236" s="39"/>
      <c r="BZ236" s="39"/>
      <c r="CA236" s="39"/>
      <c r="CB236" s="39"/>
      <c r="CC236" s="39"/>
      <c r="CD236" s="39"/>
      <c r="CE236" s="39"/>
      <c r="CF236" s="1475"/>
      <c r="CG236" s="39"/>
      <c r="CH236" s="39"/>
      <c r="CI236" s="39"/>
      <c r="CJ236" s="39"/>
      <c r="CK236" s="39"/>
      <c r="CL236" s="1036"/>
      <c r="CM236" s="738"/>
      <c r="CN236" s="738"/>
      <c r="CO236" s="39"/>
      <c r="CP236" s="39"/>
      <c r="CQ236" s="39"/>
      <c r="CR236" s="39"/>
      <c r="CS236" s="39"/>
      <c r="CT236" s="39"/>
      <c r="CU236" s="39"/>
      <c r="CV236" s="782"/>
      <c r="CW236" s="39"/>
      <c r="CX236" s="39"/>
      <c r="CY236" s="39"/>
      <c r="CZ236" s="39"/>
      <c r="DA236" s="39"/>
      <c r="DB236" s="39"/>
      <c r="DC236" s="2039"/>
      <c r="DD236" s="39"/>
      <c r="DE236" s="39"/>
      <c r="DF236" s="500"/>
      <c r="DG236" s="39"/>
      <c r="DH236" s="39"/>
      <c r="DI236" s="39"/>
      <c r="DJ236" s="39"/>
    </row>
    <row r="237" spans="3:114" x14ac:dyDescent="0.25">
      <c r="C237" s="39" t="str">
        <f t="shared" si="41"/>
        <v>Piping or Equipment Leak - Small</v>
      </c>
      <c r="D237" s="19"/>
      <c r="AK237" s="1374"/>
      <c r="AL237" s="1374"/>
      <c r="AM237" s="1374"/>
      <c r="AN237" s="1374"/>
      <c r="AO237" s="1374"/>
      <c r="AP237" s="1374"/>
      <c r="AQ237" s="1374"/>
      <c r="AR237" s="1374"/>
      <c r="AS237" s="1374"/>
      <c r="AT237" s="1374"/>
      <c r="AU237" s="1374"/>
      <c r="AV237" s="1374"/>
      <c r="AW237" s="1374"/>
      <c r="AX237" s="1374"/>
      <c r="AY237" s="1374"/>
      <c r="AZ237" s="1374"/>
      <c r="BA237" s="1374"/>
      <c r="BB237" s="1374"/>
      <c r="BC237" s="1374"/>
      <c r="BD237" s="1374"/>
      <c r="BE237" s="1374"/>
      <c r="BF237" s="1374"/>
      <c r="BG237" s="1374"/>
      <c r="BH237" s="1374"/>
      <c r="BJ237" s="1374"/>
      <c r="BK237" s="1374"/>
      <c r="BL237" s="1852"/>
      <c r="BM237" s="1374"/>
      <c r="BN237" s="1374"/>
      <c r="BO237" s="3180"/>
      <c r="BP237" s="3180"/>
      <c r="BQ237" s="1374"/>
      <c r="BR237" s="1374"/>
      <c r="BS237" s="1374"/>
      <c r="BT237" s="1374"/>
      <c r="BU237" s="1852"/>
      <c r="BV237" s="1852"/>
      <c r="BW237" s="1374"/>
      <c r="BX237" s="1374"/>
      <c r="BY237" s="1374"/>
      <c r="BZ237" s="1374"/>
      <c r="CA237" s="1374"/>
      <c r="CB237" s="1374"/>
      <c r="CC237" s="1374"/>
      <c r="CD237" s="1374"/>
      <c r="CE237" s="1374"/>
      <c r="CF237" s="1475"/>
      <c r="CG237" s="1374"/>
      <c r="CH237" s="1374"/>
      <c r="CI237" s="1374"/>
      <c r="CJ237" s="1374"/>
      <c r="CK237" s="1374"/>
      <c r="CL237" s="1374"/>
      <c r="CM237" s="1374"/>
      <c r="CN237" s="1374"/>
      <c r="CO237" s="1374"/>
      <c r="CP237" s="1374"/>
      <c r="CQ237" s="1374"/>
      <c r="CR237" s="1374"/>
      <c r="CS237" s="1374"/>
      <c r="CT237" s="1374"/>
      <c r="CU237" s="1374"/>
      <c r="CV237" s="1374"/>
      <c r="CW237" s="1374"/>
      <c r="CX237" s="1374"/>
      <c r="CY237" s="1374"/>
      <c r="CZ237" s="1374"/>
      <c r="DA237" s="1374"/>
      <c r="DB237" s="1374"/>
      <c r="DC237" s="2039"/>
      <c r="DD237" s="1374"/>
      <c r="DE237" s="1374"/>
      <c r="DF237" s="1374"/>
      <c r="DG237" s="1374"/>
      <c r="DH237" s="1374"/>
      <c r="DI237" s="1374"/>
      <c r="DJ237" s="1374"/>
    </row>
    <row r="238" spans="3:114" x14ac:dyDescent="0.25">
      <c r="C238" s="39" t="str">
        <f t="shared" si="41"/>
        <v>Mechanical Integrity Failure - Very Small</v>
      </c>
      <c r="D238" s="19"/>
      <c r="AK238" s="39"/>
      <c r="AL238" s="39"/>
      <c r="AM238" s="39"/>
      <c r="AN238" s="39"/>
      <c r="AO238" s="39"/>
      <c r="AP238" s="39"/>
      <c r="AQ238" s="738"/>
      <c r="AR238" s="39"/>
      <c r="AS238" s="1001"/>
      <c r="AT238" s="39"/>
      <c r="AU238" s="39"/>
      <c r="AV238" s="39"/>
      <c r="AW238" s="39"/>
      <c r="AX238" s="39"/>
      <c r="AY238" s="39"/>
      <c r="AZ238" s="39"/>
      <c r="BA238" s="39"/>
      <c r="BB238" s="39"/>
      <c r="BC238" s="39"/>
      <c r="BD238" s="39"/>
      <c r="BE238" s="39"/>
      <c r="BF238" s="39"/>
      <c r="BG238" s="39"/>
      <c r="BH238" s="39"/>
      <c r="BJ238" s="39"/>
      <c r="BK238" s="39"/>
      <c r="BL238" s="1852"/>
      <c r="BM238" s="39"/>
      <c r="BN238" s="39"/>
      <c r="BO238" s="3180"/>
      <c r="BP238" s="3180"/>
      <c r="BQ238" s="39"/>
      <c r="BR238" s="39"/>
      <c r="BS238" s="39"/>
      <c r="BT238" s="39"/>
      <c r="BU238" s="1852"/>
      <c r="BV238" s="1852"/>
      <c r="BW238" s="39"/>
      <c r="BX238" s="39"/>
      <c r="BY238" s="39"/>
      <c r="BZ238" s="39"/>
      <c r="CA238" s="39"/>
      <c r="CB238" s="39"/>
      <c r="CC238" s="39"/>
      <c r="CD238" s="39"/>
      <c r="CE238" s="39"/>
      <c r="CF238" s="1475"/>
      <c r="CG238" s="39"/>
      <c r="CH238" s="39"/>
      <c r="CI238" s="39"/>
      <c r="CJ238" s="39"/>
      <c r="CK238" s="39"/>
      <c r="CL238" s="1036"/>
      <c r="CM238" s="738"/>
      <c r="CN238" s="738"/>
      <c r="CO238" s="39"/>
      <c r="CP238" s="39"/>
      <c r="CQ238" s="39"/>
      <c r="CR238" s="39"/>
      <c r="CS238" s="39"/>
      <c r="CT238" s="39"/>
      <c r="CU238" s="39"/>
      <c r="CV238" s="782"/>
      <c r="CW238" s="39"/>
      <c r="CX238" s="39"/>
      <c r="CY238" s="39"/>
      <c r="CZ238" s="39"/>
      <c r="DA238" s="39"/>
      <c r="DB238" s="39"/>
      <c r="DC238" s="2039"/>
      <c r="DD238" s="39"/>
      <c r="DE238" s="39"/>
      <c r="DF238" s="500"/>
      <c r="DG238" s="39"/>
      <c r="DH238" s="39"/>
      <c r="DI238" s="39"/>
      <c r="DJ238" s="39"/>
    </row>
    <row r="239" spans="3:114" x14ac:dyDescent="0.25">
      <c r="C239" s="39" t="str">
        <f t="shared" si="41"/>
        <v>Plugged or Frozen Vent Line</v>
      </c>
      <c r="D239" s="19"/>
      <c r="AK239" s="39"/>
      <c r="AL239" s="39"/>
      <c r="AM239" s="39"/>
      <c r="AN239" s="39"/>
      <c r="AO239" s="39"/>
      <c r="AP239" s="39"/>
      <c r="AQ239" s="738"/>
      <c r="AR239" s="39"/>
      <c r="AS239" s="1001"/>
      <c r="AT239" s="39"/>
      <c r="AU239" s="39"/>
      <c r="AV239" s="39"/>
      <c r="AW239" s="39"/>
      <c r="AX239" s="39"/>
      <c r="AY239" s="39"/>
      <c r="AZ239" s="39"/>
      <c r="BA239" s="39"/>
      <c r="BB239" s="39"/>
      <c r="BC239" s="39"/>
      <c r="BD239" s="39"/>
      <c r="BE239" s="39"/>
      <c r="BF239" s="39"/>
      <c r="BG239" s="39"/>
      <c r="BH239" s="39"/>
      <c r="BJ239" s="39"/>
      <c r="BK239" s="39"/>
      <c r="BL239" s="1852"/>
      <c r="BM239" s="39"/>
      <c r="BN239" s="39"/>
      <c r="BO239" s="3180"/>
      <c r="BP239" s="3180"/>
      <c r="BQ239" s="39"/>
      <c r="BR239" s="39"/>
      <c r="BS239" s="39"/>
      <c r="BT239" s="39"/>
      <c r="BU239" s="1852"/>
      <c r="BV239" s="1852"/>
      <c r="BW239" s="39"/>
      <c r="BX239" s="39"/>
      <c r="BY239" s="39"/>
      <c r="BZ239" s="39"/>
      <c r="CA239" s="39"/>
      <c r="CB239" s="39"/>
      <c r="CC239" s="39"/>
      <c r="CD239" s="39"/>
      <c r="CE239" s="39"/>
      <c r="CF239" s="1475"/>
      <c r="CG239" s="39"/>
      <c r="CH239" s="39"/>
      <c r="CI239" s="39"/>
      <c r="CJ239" s="39"/>
      <c r="CK239" s="39"/>
      <c r="CL239" s="1036"/>
      <c r="CM239" s="738"/>
      <c r="CN239" s="738"/>
      <c r="CO239" s="39"/>
      <c r="CP239" s="39"/>
      <c r="CQ239" s="39"/>
      <c r="CR239" s="39"/>
      <c r="CS239" s="39"/>
      <c r="CT239" s="39"/>
      <c r="CU239" s="39"/>
      <c r="CV239" s="782"/>
      <c r="CW239" s="39"/>
      <c r="CX239" s="39"/>
      <c r="CY239" s="39"/>
      <c r="CZ239" s="39"/>
      <c r="DA239" s="39"/>
      <c r="DB239" s="39"/>
      <c r="DC239" s="2039"/>
      <c r="DD239" s="39"/>
      <c r="DE239" s="39"/>
      <c r="DF239" s="500"/>
      <c r="DG239" s="39"/>
      <c r="DH239" s="39"/>
      <c r="DI239" s="39"/>
      <c r="DJ239" s="39"/>
    </row>
    <row r="240" spans="3:114" x14ac:dyDescent="0.25">
      <c r="C240" s="39" t="str">
        <f t="shared" si="41"/>
        <v>Pressure Damage</v>
      </c>
      <c r="D240" s="19"/>
      <c r="AK240" s="39"/>
      <c r="AL240" s="39"/>
      <c r="AM240" s="39"/>
      <c r="AN240" s="39"/>
      <c r="AO240" s="39"/>
      <c r="AP240" s="39"/>
      <c r="AQ240" s="738"/>
      <c r="AR240" s="39"/>
      <c r="AS240" s="1001"/>
      <c r="AT240" s="39"/>
      <c r="AU240" s="39"/>
      <c r="AV240" s="39"/>
      <c r="AW240" s="39"/>
      <c r="AX240" s="39"/>
      <c r="AY240" s="39"/>
      <c r="AZ240" s="39"/>
      <c r="BA240" s="39"/>
      <c r="BB240" s="39"/>
      <c r="BC240" s="39"/>
      <c r="BD240" s="39"/>
      <c r="BE240" s="39"/>
      <c r="BF240" s="39"/>
      <c r="BG240" s="39"/>
      <c r="BH240" s="39"/>
      <c r="BJ240" s="39"/>
      <c r="BK240" s="39"/>
      <c r="BL240" s="1852"/>
      <c r="BM240" s="39"/>
      <c r="BN240" s="39"/>
      <c r="BO240" s="3180"/>
      <c r="BP240" s="3180"/>
      <c r="BQ240" s="39"/>
      <c r="BR240" s="39"/>
      <c r="BS240" s="39"/>
      <c r="BT240" s="39"/>
      <c r="BU240" s="1852"/>
      <c r="BV240" s="1852"/>
      <c r="BW240" s="39"/>
      <c r="BX240" s="39"/>
      <c r="BY240" s="39"/>
      <c r="BZ240" s="39"/>
      <c r="CA240" s="39"/>
      <c r="CB240" s="39"/>
      <c r="CC240" s="39"/>
      <c r="CD240" s="39"/>
      <c r="CE240" s="39"/>
      <c r="CF240" s="1475"/>
      <c r="CG240" s="39"/>
      <c r="CH240" s="39"/>
      <c r="CI240" s="39"/>
      <c r="CJ240" s="39"/>
      <c r="CK240" s="39"/>
      <c r="CL240" s="1036"/>
      <c r="CM240" s="738"/>
      <c r="CN240" s="738"/>
      <c r="CO240" s="39"/>
      <c r="CP240" s="39"/>
      <c r="CQ240" s="39"/>
      <c r="CR240" s="39"/>
      <c r="CS240" s="39"/>
      <c r="CT240" s="39"/>
      <c r="CU240" s="39"/>
      <c r="CV240" s="782"/>
      <c r="CW240" s="39"/>
      <c r="CX240" s="39"/>
      <c r="CY240" s="39"/>
      <c r="CZ240" s="39"/>
      <c r="DA240" s="39"/>
      <c r="DB240" s="39"/>
      <c r="DC240" s="2039"/>
      <c r="DD240" s="39"/>
      <c r="DE240" s="39"/>
      <c r="DF240" s="500"/>
      <c r="DG240" s="39"/>
      <c r="DH240" s="39"/>
      <c r="DI240" s="39"/>
      <c r="DJ240" s="39"/>
    </row>
    <row r="241" spans="3:114" x14ac:dyDescent="0.25">
      <c r="C241" s="39" t="str">
        <f t="shared" si="41"/>
        <v>Propagation of Flame or Burning Ember</v>
      </c>
      <c r="D241" s="19"/>
      <c r="AK241" s="1475"/>
      <c r="AL241" s="1475"/>
      <c r="AM241" s="1475"/>
      <c r="AN241" s="1475"/>
      <c r="AO241" s="1475"/>
      <c r="AP241" s="1475"/>
      <c r="AQ241" s="1475"/>
      <c r="AR241" s="1475"/>
      <c r="AS241" s="1475"/>
      <c r="AT241" s="1475"/>
      <c r="AU241" s="1475"/>
      <c r="AV241" s="1475"/>
      <c r="AW241" s="1475"/>
      <c r="AX241" s="1475"/>
      <c r="AY241" s="1475"/>
      <c r="AZ241" s="1475"/>
      <c r="BA241" s="1475"/>
      <c r="BB241" s="1475"/>
      <c r="BC241" s="1475"/>
      <c r="BD241" s="1475"/>
      <c r="BE241" s="1475"/>
      <c r="BF241" s="1475"/>
      <c r="BG241" s="1475"/>
      <c r="BH241" s="1475"/>
      <c r="BJ241" s="1475"/>
      <c r="BK241" s="1475"/>
      <c r="BL241" s="1852"/>
      <c r="BM241" s="1475"/>
      <c r="BN241" s="1475"/>
      <c r="BO241" s="3180"/>
      <c r="BP241" s="3180"/>
      <c r="BQ241" s="1475"/>
      <c r="BR241" s="1475"/>
      <c r="BS241" s="1475"/>
      <c r="BT241" s="1475"/>
      <c r="BU241" s="1852"/>
      <c r="BV241" s="1852"/>
      <c r="BW241" s="1475"/>
      <c r="BX241" s="1475"/>
      <c r="BY241" s="1475"/>
      <c r="BZ241" s="1475"/>
      <c r="CA241" s="1475"/>
      <c r="CB241" s="1475"/>
      <c r="CC241" s="1475"/>
      <c r="CD241" s="1475"/>
      <c r="CE241" s="1475"/>
      <c r="CF241" s="1475"/>
      <c r="CG241" s="1475"/>
      <c r="CH241" s="1475"/>
      <c r="CI241" s="1475"/>
      <c r="CJ241" s="1475"/>
      <c r="CK241" s="1475"/>
      <c r="CL241" s="1475"/>
      <c r="CM241" s="1475"/>
      <c r="CN241" s="1475"/>
      <c r="CO241" s="1475"/>
      <c r="CP241" s="1475"/>
      <c r="CQ241" s="1475"/>
      <c r="CR241" s="1475"/>
      <c r="CS241" s="1475"/>
      <c r="CT241" s="1475"/>
      <c r="CU241" s="1475"/>
      <c r="CV241" s="1475"/>
      <c r="CW241" s="1475"/>
      <c r="CX241" s="1475"/>
      <c r="CY241" s="1475"/>
      <c r="CZ241" s="1475"/>
      <c r="DA241" s="1475"/>
      <c r="DB241" s="1475"/>
      <c r="DC241" s="2039"/>
      <c r="DD241" s="1475"/>
      <c r="DE241" s="1475"/>
      <c r="DF241" s="1475"/>
      <c r="DG241" s="1475"/>
      <c r="DH241" s="1475"/>
      <c r="DI241" s="1475"/>
      <c r="DJ241" s="1475"/>
    </row>
    <row r="242" spans="3:114" x14ac:dyDescent="0.25">
      <c r="C242" s="39" t="str">
        <f t="shared" si="41"/>
        <v>Pump Deadhead</v>
      </c>
      <c r="D242" s="19"/>
      <c r="AK242" s="39"/>
      <c r="AL242" s="39"/>
      <c r="AM242" s="39"/>
      <c r="AN242" s="39"/>
      <c r="AO242" s="39"/>
      <c r="AP242" s="39"/>
      <c r="AQ242" s="738"/>
      <c r="AR242" s="39"/>
      <c r="AS242" s="1001"/>
      <c r="AT242" s="39"/>
      <c r="AU242" s="39"/>
      <c r="AV242" s="39"/>
      <c r="AW242" s="39"/>
      <c r="AX242" s="39"/>
      <c r="AY242" s="39"/>
      <c r="AZ242" s="39"/>
      <c r="BA242" s="39"/>
      <c r="BB242" s="39"/>
      <c r="BC242" s="39"/>
      <c r="BD242" s="39"/>
      <c r="BE242" s="39"/>
      <c r="BF242" s="39"/>
      <c r="BG242" s="39"/>
      <c r="BH242" s="39"/>
      <c r="BJ242" s="39"/>
      <c r="BK242" s="39"/>
      <c r="BL242" s="1852"/>
      <c r="BM242" s="39"/>
      <c r="BN242" s="39"/>
      <c r="BO242" s="3180"/>
      <c r="BP242" s="3180"/>
      <c r="BQ242" s="39"/>
      <c r="BR242" s="39"/>
      <c r="BS242" s="39"/>
      <c r="BT242" s="39"/>
      <c r="BU242" s="1852"/>
      <c r="BV242" s="1852"/>
      <c r="BW242" s="39"/>
      <c r="BX242" s="39"/>
      <c r="BY242" s="39"/>
      <c r="BZ242" s="39"/>
      <c r="CA242" s="39"/>
      <c r="CB242" s="39"/>
      <c r="CC242" s="39"/>
      <c r="CD242" s="39"/>
      <c r="CE242" s="39"/>
      <c r="CF242" s="1475"/>
      <c r="CG242" s="39"/>
      <c r="CH242" s="39"/>
      <c r="CI242" s="39"/>
      <c r="CJ242" s="39"/>
      <c r="CK242" s="39"/>
      <c r="CL242" s="1036"/>
      <c r="CM242" s="738"/>
      <c r="CN242" s="738"/>
      <c r="CO242" s="39"/>
      <c r="CP242" s="39"/>
      <c r="CQ242" s="39"/>
      <c r="CR242" s="39"/>
      <c r="CS242" s="39"/>
      <c r="CT242" s="39"/>
      <c r="CU242" s="39"/>
      <c r="CV242" s="782"/>
      <c r="CW242" s="39"/>
      <c r="CX242" s="39"/>
      <c r="CY242" s="39"/>
      <c r="CZ242" s="39"/>
      <c r="DA242" s="39"/>
      <c r="DB242" s="39"/>
      <c r="DC242" s="2039"/>
      <c r="DD242" s="39"/>
      <c r="DE242" s="39"/>
      <c r="DF242" s="500"/>
      <c r="DG242" s="39"/>
      <c r="DH242" s="39"/>
      <c r="DI242" s="39"/>
      <c r="DJ242" s="39"/>
    </row>
    <row r="243" spans="3:114" x14ac:dyDescent="0.25">
      <c r="C243" s="39" t="str">
        <f t="shared" si="41"/>
        <v>Rotating Equipment Damage</v>
      </c>
      <c r="D243" s="19"/>
      <c r="AK243" s="39"/>
      <c r="AL243" s="39"/>
      <c r="AM243" s="39"/>
      <c r="AN243" s="39"/>
      <c r="AO243" s="39"/>
      <c r="AP243" s="39"/>
      <c r="AQ243" s="738"/>
      <c r="AR243" s="39"/>
      <c r="AS243" s="1001"/>
      <c r="AT243" s="39"/>
      <c r="AU243" s="39"/>
      <c r="AV243" s="39"/>
      <c r="AW243" s="39"/>
      <c r="AX243" s="39"/>
      <c r="AY243" s="39"/>
      <c r="AZ243" s="39"/>
      <c r="BA243" s="39"/>
      <c r="BB243" s="39"/>
      <c r="BC243" s="39"/>
      <c r="BD243" s="39"/>
      <c r="BE243" s="39"/>
      <c r="BF243" s="39"/>
      <c r="BG243" s="39"/>
      <c r="BH243" s="39"/>
      <c r="BJ243" s="39"/>
      <c r="BK243" s="39"/>
      <c r="BL243" s="1852"/>
      <c r="BM243" s="39"/>
      <c r="BN243" s="39"/>
      <c r="BO243" s="3180"/>
      <c r="BP243" s="3180"/>
      <c r="BQ243" s="39"/>
      <c r="BR243" s="39"/>
      <c r="BS243" s="39"/>
      <c r="BT243" s="39"/>
      <c r="BU243" s="1852"/>
      <c r="BV243" s="1852"/>
      <c r="BW243" s="39"/>
      <c r="BX243" s="39"/>
      <c r="BY243" s="39"/>
      <c r="BZ243" s="39"/>
      <c r="CA243" s="39"/>
      <c r="CB243" s="39"/>
      <c r="CC243" s="39"/>
      <c r="CD243" s="39"/>
      <c r="CE243" s="39"/>
      <c r="CF243" s="1475"/>
      <c r="CG243" s="39"/>
      <c r="CH243" s="39"/>
      <c r="CI243" s="39"/>
      <c r="CJ243" s="39"/>
      <c r="CK243" s="39"/>
      <c r="CL243" s="1036"/>
      <c r="CM243" s="738"/>
      <c r="CN243" s="738"/>
      <c r="CO243" s="39"/>
      <c r="CP243" s="39"/>
      <c r="CQ243" s="39"/>
      <c r="CR243" s="39"/>
      <c r="CS243" s="39"/>
      <c r="CT243" s="39"/>
      <c r="CU243" s="39"/>
      <c r="CV243" s="782"/>
      <c r="CW243" s="39"/>
      <c r="CX243" s="39"/>
      <c r="CY243" s="39"/>
      <c r="CZ243" s="39"/>
      <c r="DA243" s="39"/>
      <c r="DB243" s="39"/>
      <c r="DC243" s="2039"/>
      <c r="DD243" s="39"/>
      <c r="DE243" s="39"/>
      <c r="DF243" s="500"/>
      <c r="DG243" s="39"/>
      <c r="DH243" s="39"/>
      <c r="DI243" s="39"/>
      <c r="DJ243" s="39"/>
    </row>
    <row r="244" spans="3:114" x14ac:dyDescent="0.25">
      <c r="C244" s="39" t="str">
        <f t="shared" si="41"/>
        <v>Seal Leak</v>
      </c>
      <c r="D244" s="19"/>
      <c r="AK244" s="39"/>
      <c r="AL244" s="39"/>
      <c r="AM244" s="39"/>
      <c r="AN244" s="39"/>
      <c r="AO244" s="39"/>
      <c r="AP244" s="39"/>
      <c r="AQ244" s="738"/>
      <c r="AR244" s="39"/>
      <c r="AS244" s="1001"/>
      <c r="AT244" s="39"/>
      <c r="AU244" s="39"/>
      <c r="AV244" s="39"/>
      <c r="AW244" s="39"/>
      <c r="AX244" s="39"/>
      <c r="AY244" s="39"/>
      <c r="AZ244" s="39"/>
      <c r="BA244" s="39"/>
      <c r="BB244" s="39"/>
      <c r="BC244" s="39"/>
      <c r="BD244" s="39"/>
      <c r="BE244" s="39"/>
      <c r="BF244" s="39"/>
      <c r="BG244" s="39"/>
      <c r="BH244" s="39"/>
      <c r="BJ244" s="39"/>
      <c r="BK244" s="39"/>
      <c r="BL244" s="1852"/>
      <c r="BM244" s="39"/>
      <c r="BN244" s="39"/>
      <c r="BO244" s="3180"/>
      <c r="BP244" s="3180"/>
      <c r="BQ244" s="39"/>
      <c r="BR244" s="39"/>
      <c r="BS244" s="39"/>
      <c r="BT244" s="39"/>
      <c r="BU244" s="1852"/>
      <c r="BV244" s="1852"/>
      <c r="BW244" s="39"/>
      <c r="BX244" s="39"/>
      <c r="BY244" s="39"/>
      <c r="BZ244" s="39"/>
      <c r="CA244" s="39"/>
      <c r="CB244" s="39"/>
      <c r="CC244" s="39"/>
      <c r="CD244" s="39"/>
      <c r="CE244" s="39"/>
      <c r="CF244" s="1475"/>
      <c r="CG244" s="39"/>
      <c r="CH244" s="39"/>
      <c r="CI244" s="39"/>
      <c r="CJ244" s="39"/>
      <c r="CK244" s="39"/>
      <c r="CL244" s="1036"/>
      <c r="CM244" s="738"/>
      <c r="CN244" s="738"/>
      <c r="CO244" s="39"/>
      <c r="CP244" s="39"/>
      <c r="CQ244" s="39"/>
      <c r="CR244" s="39"/>
      <c r="CS244" s="39"/>
      <c r="CT244" s="39"/>
      <c r="CU244" s="39"/>
      <c r="CV244" s="782"/>
      <c r="CW244" s="39"/>
      <c r="CX244" s="39"/>
      <c r="CY244" s="39"/>
      <c r="CZ244" s="39"/>
      <c r="DA244" s="39"/>
      <c r="DB244" s="39"/>
      <c r="DC244" s="2039"/>
      <c r="DD244" s="39"/>
      <c r="DE244" s="39"/>
      <c r="DF244" s="500"/>
      <c r="DG244" s="39"/>
      <c r="DH244" s="39"/>
      <c r="DI244" s="39"/>
      <c r="DJ244" s="39"/>
    </row>
    <row r="245" spans="3:114" x14ac:dyDescent="0.25">
      <c r="C245" s="39" t="str">
        <f t="shared" si="41"/>
        <v>Tube Failure</v>
      </c>
      <c r="D245" s="19"/>
      <c r="AK245" s="738"/>
      <c r="AL245" s="738"/>
      <c r="AM245" s="738"/>
      <c r="AN245" s="738"/>
      <c r="AO245" s="738"/>
      <c r="AP245" s="738"/>
      <c r="AQ245" s="738"/>
      <c r="AR245" s="738"/>
      <c r="AS245" s="1001"/>
      <c r="AT245" s="738"/>
      <c r="AU245" s="738"/>
      <c r="AV245" s="738"/>
      <c r="AW245" s="738"/>
      <c r="AX245" s="738"/>
      <c r="AY245" s="738"/>
      <c r="AZ245" s="738"/>
      <c r="BA245" s="738"/>
      <c r="BB245" s="738"/>
      <c r="BC245" s="738"/>
      <c r="BD245" s="738"/>
      <c r="BE245" s="738"/>
      <c r="BF245" s="738"/>
      <c r="BG245" s="738"/>
      <c r="BH245" s="738"/>
      <c r="BJ245" s="738"/>
      <c r="BK245" s="738"/>
      <c r="BL245" s="1852"/>
      <c r="BM245" s="738"/>
      <c r="BN245" s="738"/>
      <c r="BO245" s="3180"/>
      <c r="BP245" s="3180"/>
      <c r="BQ245" s="738"/>
      <c r="BR245" s="738"/>
      <c r="BS245" s="738"/>
      <c r="BT245" s="738"/>
      <c r="BU245" s="1852"/>
      <c r="BV245" s="1852"/>
      <c r="BW245" s="738"/>
      <c r="BX245" s="738"/>
      <c r="BY245" s="738"/>
      <c r="BZ245" s="738"/>
      <c r="CA245" s="738"/>
      <c r="CB245" s="738"/>
      <c r="CC245" s="738"/>
      <c r="CD245" s="738"/>
      <c r="CE245" s="738"/>
      <c r="CF245" s="1475"/>
      <c r="CG245" s="738"/>
      <c r="CH245" s="738"/>
      <c r="CI245" s="738"/>
      <c r="CJ245" s="738"/>
      <c r="CK245" s="738"/>
      <c r="CL245" s="1036"/>
      <c r="CM245" s="738"/>
      <c r="CN245" s="738"/>
      <c r="CO245" s="738"/>
      <c r="CP245" s="738"/>
      <c r="CQ245" s="738"/>
      <c r="CR245" s="738"/>
      <c r="CS245" s="738"/>
      <c r="CT245" s="738"/>
      <c r="CU245" s="738"/>
      <c r="CV245" s="782"/>
      <c r="CW245" s="738"/>
      <c r="CX245" s="738"/>
      <c r="CY245" s="738"/>
      <c r="CZ245" s="738"/>
      <c r="DA245" s="738"/>
      <c r="DB245" s="738"/>
      <c r="DC245" s="2039"/>
      <c r="DD245" s="738"/>
      <c r="DE245" s="738"/>
      <c r="DF245" s="738"/>
      <c r="DG245" s="738"/>
      <c r="DH245" s="738"/>
      <c r="DI245" s="738"/>
      <c r="DJ245" s="738"/>
    </row>
    <row r="246" spans="3:114" x14ac:dyDescent="0.25">
      <c r="C246" s="39" t="str">
        <f t="shared" si="41"/>
        <v>Uncontrolled Reaction - Adiabatic</v>
      </c>
      <c r="D246" s="19"/>
      <c r="AK246" s="1031"/>
      <c r="AL246" s="1031"/>
      <c r="AM246" s="1031"/>
      <c r="AN246" s="1031"/>
      <c r="AO246" s="1031"/>
      <c r="AP246" s="1031"/>
      <c r="AQ246" s="1031"/>
      <c r="AR246" s="1031"/>
      <c r="AS246" s="1031"/>
      <c r="AT246" s="1031"/>
      <c r="AU246" s="1031"/>
      <c r="AV246" s="1031"/>
      <c r="AW246" s="1031"/>
      <c r="AX246" s="1031"/>
      <c r="AY246" s="1031"/>
      <c r="AZ246" s="1031"/>
      <c r="BA246" s="1031"/>
      <c r="BB246" s="1031"/>
      <c r="BC246" s="1031"/>
      <c r="BD246" s="1031"/>
      <c r="BE246" s="1031"/>
      <c r="BF246" s="1031"/>
      <c r="BG246" s="1031"/>
      <c r="BH246" s="1031"/>
      <c r="BJ246" s="1031"/>
      <c r="BK246" s="1031"/>
      <c r="BL246" s="1852"/>
      <c r="BM246" s="1031"/>
      <c r="BN246" s="1031"/>
      <c r="BO246" s="3180"/>
      <c r="BP246" s="3180"/>
      <c r="BQ246" s="1031"/>
      <c r="BR246" s="1031"/>
      <c r="BS246" s="1031"/>
      <c r="BT246" s="1031"/>
      <c r="BU246" s="1852"/>
      <c r="BV246" s="1852"/>
      <c r="BW246" s="1031"/>
      <c r="BX246" s="1031"/>
      <c r="BY246" s="1031"/>
      <c r="BZ246" s="1031"/>
      <c r="CA246" s="1031"/>
      <c r="CB246" s="1031"/>
      <c r="CC246" s="1031"/>
      <c r="CD246" s="1031"/>
      <c r="CE246" s="1031"/>
      <c r="CF246" s="1475"/>
      <c r="CG246" s="1031"/>
      <c r="CH246" s="1031"/>
      <c r="CI246" s="1031"/>
      <c r="CJ246" s="1031"/>
      <c r="CK246" s="1031"/>
      <c r="CL246" s="1036"/>
      <c r="CM246" s="1031"/>
      <c r="CN246" s="1031"/>
      <c r="CO246" s="1031"/>
      <c r="CP246" s="1031"/>
      <c r="CQ246" s="1031"/>
      <c r="CR246" s="1031"/>
      <c r="CS246" s="1031"/>
      <c r="CT246" s="1031"/>
      <c r="CU246" s="1031"/>
      <c r="CV246" s="1031"/>
      <c r="CW246" s="1031"/>
      <c r="CX246" s="1031"/>
      <c r="CY246" s="1031"/>
      <c r="CZ246" s="1031"/>
      <c r="DA246" s="1031"/>
      <c r="DB246" s="1031"/>
      <c r="DC246" s="2039"/>
      <c r="DD246" s="1031"/>
      <c r="DE246" s="1031"/>
      <c r="DF246" s="1031"/>
      <c r="DG246" s="1031"/>
      <c r="DH246" s="1031"/>
      <c r="DI246" s="1031"/>
      <c r="DJ246" s="1031"/>
    </row>
    <row r="247" spans="3:114" x14ac:dyDescent="0.25">
      <c r="C247" s="39" t="str">
        <f t="shared" si="41"/>
        <v>Uncontrolled Reaction - Thermal Initiation</v>
      </c>
      <c r="D247" s="19"/>
      <c r="AK247" s="39"/>
      <c r="AL247" s="39"/>
      <c r="AM247" s="39"/>
      <c r="AN247" s="39"/>
      <c r="AO247" s="39"/>
      <c r="AP247" s="39"/>
      <c r="AQ247" s="738"/>
      <c r="AR247" s="39"/>
      <c r="AS247" s="1001"/>
      <c r="AT247" s="39"/>
      <c r="AU247" s="39"/>
      <c r="AV247" s="39"/>
      <c r="AW247" s="39"/>
      <c r="AX247" s="39"/>
      <c r="AY247" s="39"/>
      <c r="AZ247" s="39"/>
      <c r="BA247" s="39"/>
      <c r="BB247" s="39"/>
      <c r="BC247" s="39"/>
      <c r="BD247" s="39"/>
      <c r="BE247" s="39"/>
      <c r="BF247" s="39"/>
      <c r="BG247" s="39"/>
      <c r="BH247" s="39"/>
      <c r="BJ247" s="39"/>
      <c r="BK247" s="39"/>
      <c r="BL247" s="1852"/>
      <c r="BM247" s="39"/>
      <c r="BN247" s="39"/>
      <c r="BO247" s="3180"/>
      <c r="BP247" s="3180"/>
      <c r="BQ247" s="39"/>
      <c r="BR247" s="39"/>
      <c r="BS247" s="39"/>
      <c r="BT247" s="39"/>
      <c r="BU247" s="1852"/>
      <c r="BV247" s="1852"/>
      <c r="BW247" s="39"/>
      <c r="BX247" s="39"/>
      <c r="BY247" s="39"/>
      <c r="BZ247" s="39"/>
      <c r="CA247" s="39"/>
      <c r="CB247" s="39"/>
      <c r="CC247" s="39"/>
      <c r="CD247" s="39"/>
      <c r="CE247" s="39"/>
      <c r="CF247" s="1475"/>
      <c r="CG247" s="39"/>
      <c r="CH247" s="39"/>
      <c r="CI247" s="39"/>
      <c r="CJ247" s="39"/>
      <c r="CK247" s="39"/>
      <c r="CL247" s="1036"/>
      <c r="CM247" s="738"/>
      <c r="CN247" s="738"/>
      <c r="CO247" s="39"/>
      <c r="CP247" s="39"/>
      <c r="CQ247" s="39"/>
      <c r="CR247" s="39"/>
      <c r="CS247" s="39"/>
      <c r="CT247" s="39"/>
      <c r="CU247" s="39"/>
      <c r="CV247" s="782"/>
      <c r="CW247" s="39"/>
      <c r="CX247" s="39"/>
      <c r="CY247" s="39"/>
      <c r="CZ247" s="39"/>
      <c r="DA247" s="39"/>
      <c r="DB247" s="39"/>
      <c r="DC247" s="2039"/>
      <c r="DD247" s="39"/>
      <c r="DE247" s="39"/>
      <c r="DF247" s="500"/>
      <c r="DG247" s="39"/>
      <c r="DH247" s="39"/>
      <c r="DI247" s="39"/>
      <c r="DJ247" s="39"/>
    </row>
    <row r="248" spans="3:114" x14ac:dyDescent="0.25">
      <c r="C248" s="39" t="str">
        <f t="shared" si="41"/>
        <v>Uncontrolled Reaction - Fire Induced</v>
      </c>
      <c r="D248" s="19"/>
      <c r="AK248" s="39"/>
      <c r="AL248" s="39"/>
      <c r="AM248" s="39"/>
      <c r="AN248" s="39"/>
      <c r="AO248" s="39"/>
      <c r="AP248" s="39"/>
      <c r="AQ248" s="738"/>
      <c r="AR248" s="39"/>
      <c r="AS248" s="1001"/>
      <c r="AT248" s="39"/>
      <c r="AU248" s="39"/>
      <c r="AV248" s="39"/>
      <c r="AW248" s="39"/>
      <c r="AX248" s="39"/>
      <c r="AY248" s="39"/>
      <c r="AZ248" s="39"/>
      <c r="BA248" s="39"/>
      <c r="BB248" s="39"/>
      <c r="BC248" s="39"/>
      <c r="BD248" s="39"/>
      <c r="BE248" s="39"/>
      <c r="BF248" s="39"/>
      <c r="BG248" s="39"/>
      <c r="BH248" s="39"/>
      <c r="BJ248" s="39"/>
      <c r="BK248" s="39"/>
      <c r="BL248" s="1852"/>
      <c r="BM248" s="39"/>
      <c r="BN248" s="39"/>
      <c r="BO248" s="3180"/>
      <c r="BP248" s="3180"/>
      <c r="BQ248" s="39"/>
      <c r="BR248" s="39"/>
      <c r="BS248" s="39"/>
      <c r="BT248" s="39"/>
      <c r="BU248" s="1852"/>
      <c r="BV248" s="1852"/>
      <c r="BW248" s="39"/>
      <c r="BX248" s="39"/>
      <c r="BY248" s="39"/>
      <c r="BZ248" s="39"/>
      <c r="CA248" s="39"/>
      <c r="CB248" s="39"/>
      <c r="CC248" s="39"/>
      <c r="CD248" s="39"/>
      <c r="CE248" s="39"/>
      <c r="CF248" s="1475"/>
      <c r="CG248" s="39"/>
      <c r="CH248" s="39"/>
      <c r="CI248" s="39"/>
      <c r="CJ248" s="39"/>
      <c r="CK248" s="39"/>
      <c r="CL248" s="1036"/>
      <c r="CM248" s="738"/>
      <c r="CN248" s="738"/>
      <c r="CO248" s="39"/>
      <c r="CP248" s="39"/>
      <c r="CQ248" s="39"/>
      <c r="CR248" s="39"/>
      <c r="CS248" s="39"/>
      <c r="CT248" s="39"/>
      <c r="CU248" s="39"/>
      <c r="CV248" s="782"/>
      <c r="CW248" s="39"/>
      <c r="CX248" s="39"/>
      <c r="CY248" s="39"/>
      <c r="CZ248" s="39"/>
      <c r="DA248" s="39"/>
      <c r="DB248" s="39"/>
      <c r="DC248" s="2039"/>
      <c r="DD248" s="39"/>
      <c r="DE248" s="39"/>
      <c r="DF248" s="500"/>
      <c r="DG248" s="39"/>
      <c r="DH248" s="39"/>
      <c r="DI248" s="39"/>
      <c r="DJ248" s="39"/>
    </row>
    <row r="249" spans="3:114" x14ac:dyDescent="0.25">
      <c r="C249" s="39" t="str">
        <f t="shared" si="41"/>
        <v>Uncontrolled Reaction - Catalyst or Impurity</v>
      </c>
      <c r="D249" s="19"/>
      <c r="AK249" s="39"/>
      <c r="AL249" s="39"/>
      <c r="AM249" s="39"/>
      <c r="AN249" s="39"/>
      <c r="AO249" s="39"/>
      <c r="AP249" s="39"/>
      <c r="AQ249" s="738"/>
      <c r="AR249" s="39"/>
      <c r="AS249" s="1001"/>
      <c r="AT249" s="39"/>
      <c r="AU249" s="39"/>
      <c r="AV249" s="39"/>
      <c r="AW249" s="39"/>
      <c r="AX249" s="39"/>
      <c r="AY249" s="39"/>
      <c r="AZ249" s="39"/>
      <c r="BA249" s="39"/>
      <c r="BB249" s="39"/>
      <c r="BC249" s="39"/>
      <c r="BD249" s="39"/>
      <c r="BE249" s="39"/>
      <c r="BF249" s="39"/>
      <c r="BG249" s="39"/>
      <c r="BH249" s="39"/>
      <c r="BJ249" s="39"/>
      <c r="BK249" s="39"/>
      <c r="BL249" s="1852"/>
      <c r="BM249" s="39"/>
      <c r="BN249" s="39"/>
      <c r="BO249" s="3180"/>
      <c r="BP249" s="3180"/>
      <c r="BQ249" s="39"/>
      <c r="BR249" s="39"/>
      <c r="BS249" s="39"/>
      <c r="BT249" s="39"/>
      <c r="BU249" s="1852"/>
      <c r="BV249" s="1852"/>
      <c r="BW249" s="39"/>
      <c r="BX249" s="39"/>
      <c r="BY249" s="39"/>
      <c r="BZ249" s="39"/>
      <c r="CA249" s="39"/>
      <c r="CB249" s="39"/>
      <c r="CC249" s="39"/>
      <c r="CD249" s="39"/>
      <c r="CE249" s="39"/>
      <c r="CF249" s="1475"/>
      <c r="CG249" s="39"/>
      <c r="CH249" s="39"/>
      <c r="CI249" s="39"/>
      <c r="CJ249" s="39"/>
      <c r="CK249" s="39"/>
      <c r="CL249" s="1036"/>
      <c r="CM249" s="738"/>
      <c r="CN249" s="738"/>
      <c r="CO249" s="39"/>
      <c r="CP249" s="39"/>
      <c r="CQ249" s="39"/>
      <c r="CR249" s="39"/>
      <c r="CS249" s="39"/>
      <c r="CT249" s="39"/>
      <c r="CU249" s="39"/>
      <c r="CV249" s="782"/>
      <c r="CW249" s="39"/>
      <c r="CX249" s="39"/>
      <c r="CY249" s="39"/>
      <c r="CZ249" s="39"/>
      <c r="DA249" s="39"/>
      <c r="DB249" s="39"/>
      <c r="DC249" s="2039"/>
      <c r="DD249" s="39"/>
      <c r="DE249" s="39"/>
      <c r="DF249" s="500"/>
      <c r="DG249" s="39"/>
      <c r="DH249" s="39"/>
      <c r="DI249" s="39"/>
      <c r="DJ249" s="39"/>
    </row>
    <row r="250" spans="3:114" x14ac:dyDescent="0.25">
      <c r="C250" s="39" t="str">
        <f t="shared" si="41"/>
        <v>Uncontrolled Reaction - Pooling of Reactants</v>
      </c>
      <c r="D250" s="19"/>
      <c r="AK250" s="39"/>
      <c r="AL250" s="39"/>
      <c r="AM250" s="39"/>
      <c r="AN250" s="39"/>
      <c r="AO250" s="39"/>
      <c r="AP250" s="39"/>
      <c r="AQ250" s="738"/>
      <c r="AR250" s="39"/>
      <c r="AS250" s="1001"/>
      <c r="AT250" s="39"/>
      <c r="AU250" s="39"/>
      <c r="AV250" s="39"/>
      <c r="AW250" s="39"/>
      <c r="AX250" s="39"/>
      <c r="AY250" s="39"/>
      <c r="AZ250" s="39"/>
      <c r="BA250" s="39"/>
      <c r="BB250" s="39"/>
      <c r="BC250" s="39"/>
      <c r="BD250" s="39"/>
      <c r="BE250" s="39"/>
      <c r="BF250" s="39"/>
      <c r="BG250" s="39"/>
      <c r="BH250" s="39"/>
      <c r="BJ250" s="39"/>
      <c r="BK250" s="39"/>
      <c r="BL250" s="1852"/>
      <c r="BM250" s="39"/>
      <c r="BN250" s="39"/>
      <c r="BO250" s="3180"/>
      <c r="BP250" s="3180"/>
      <c r="BQ250" s="39"/>
      <c r="BR250" s="39"/>
      <c r="BS250" s="39"/>
      <c r="BT250" s="39"/>
      <c r="BU250" s="1852"/>
      <c r="BV250" s="1852"/>
      <c r="BW250" s="39"/>
      <c r="BX250" s="39"/>
      <c r="BY250" s="39"/>
      <c r="BZ250" s="39"/>
      <c r="CA250" s="39"/>
      <c r="CB250" s="39"/>
      <c r="CC250" s="39"/>
      <c r="CD250" s="39"/>
      <c r="CE250" s="39"/>
      <c r="CF250" s="1475"/>
      <c r="CG250" s="39"/>
      <c r="CH250" s="39"/>
      <c r="CI250" s="39"/>
      <c r="CJ250" s="39"/>
      <c r="CK250" s="39"/>
      <c r="CL250" s="1036"/>
      <c r="CM250" s="738"/>
      <c r="CN250" s="738"/>
      <c r="CO250" s="39"/>
      <c r="CP250" s="39"/>
      <c r="CQ250" s="39"/>
      <c r="CR250" s="39"/>
      <c r="CS250" s="39"/>
      <c r="CT250" s="39"/>
      <c r="CU250" s="39"/>
      <c r="CV250" s="782"/>
      <c r="CW250" s="39"/>
      <c r="CX250" s="39"/>
      <c r="CY250" s="39"/>
      <c r="CZ250" s="39"/>
      <c r="DA250" s="39"/>
      <c r="DB250" s="39"/>
      <c r="DC250" s="2039"/>
      <c r="DD250" s="39"/>
      <c r="DE250" s="39"/>
      <c r="DF250" s="500"/>
      <c r="DG250" s="39"/>
      <c r="DH250" s="39"/>
      <c r="DI250" s="39"/>
      <c r="DJ250" s="39"/>
    </row>
    <row r="251" spans="3:114" x14ac:dyDescent="0.25">
      <c r="C251" s="39" t="str">
        <f t="shared" si="41"/>
        <v>Uncontrolled Reaction - Mis-Loading</v>
      </c>
      <c r="D251" s="19"/>
      <c r="AK251" s="39"/>
      <c r="AL251" s="39"/>
      <c r="AM251" s="39"/>
      <c r="AN251" s="39"/>
      <c r="AO251" s="39"/>
      <c r="AP251" s="39"/>
      <c r="AQ251" s="738"/>
      <c r="AR251" s="39"/>
      <c r="AS251" s="1001"/>
      <c r="AT251" s="39"/>
      <c r="AU251" s="39"/>
      <c r="AV251" s="39"/>
      <c r="AW251" s="39"/>
      <c r="AX251" s="39"/>
      <c r="AY251" s="39"/>
      <c r="AZ251" s="39"/>
      <c r="BA251" s="39"/>
      <c r="BB251" s="39"/>
      <c r="BC251" s="39"/>
      <c r="BD251" s="39"/>
      <c r="BE251" s="39"/>
      <c r="BF251" s="39"/>
      <c r="BG251" s="39"/>
      <c r="BH251" s="39"/>
      <c r="BJ251" s="39"/>
      <c r="BK251" s="39"/>
      <c r="BL251" s="1852"/>
      <c r="BM251" s="39"/>
      <c r="BN251" s="39"/>
      <c r="BO251" s="3180"/>
      <c r="BP251" s="3180"/>
      <c r="BQ251" s="39"/>
      <c r="BR251" s="39"/>
      <c r="BS251" s="39"/>
      <c r="BT251" s="39"/>
      <c r="BU251" s="1852"/>
      <c r="BV251" s="1852"/>
      <c r="BW251" s="39"/>
      <c r="BX251" s="39"/>
      <c r="BY251" s="39"/>
      <c r="BZ251" s="39"/>
      <c r="CA251" s="39"/>
      <c r="CB251" s="39"/>
      <c r="CC251" s="39"/>
      <c r="CD251" s="39"/>
      <c r="CE251" s="39"/>
      <c r="CF251" s="1475"/>
      <c r="CG251" s="39"/>
      <c r="CH251" s="39"/>
      <c r="CI251" s="39"/>
      <c r="CJ251" s="39"/>
      <c r="CK251" s="39"/>
      <c r="CL251" s="1036"/>
      <c r="CM251" s="738"/>
      <c r="CN251" s="738"/>
      <c r="CO251" s="39"/>
      <c r="CP251" s="39"/>
      <c r="CQ251" s="39"/>
      <c r="CR251" s="39"/>
      <c r="CS251" s="39"/>
      <c r="CT251" s="39"/>
      <c r="CU251" s="39"/>
      <c r="CV251" s="782"/>
      <c r="CW251" s="39"/>
      <c r="CX251" s="39"/>
      <c r="CY251" s="39"/>
      <c r="CZ251" s="39"/>
      <c r="DA251" s="39"/>
      <c r="DB251" s="39"/>
      <c r="DC251" s="2039"/>
      <c r="DD251" s="39"/>
      <c r="DE251" s="39"/>
      <c r="DF251" s="500"/>
      <c r="DG251" s="39"/>
      <c r="DH251" s="39"/>
      <c r="DI251" s="39"/>
      <c r="DJ251" s="39"/>
    </row>
    <row r="252" spans="3:114" x14ac:dyDescent="0.25">
      <c r="C252" s="39" t="str">
        <f t="shared" si="41"/>
        <v>Uncontrolled Reaction - Incompatible Materials</v>
      </c>
      <c r="D252" s="19"/>
      <c r="AK252" s="39"/>
      <c r="AL252" s="39"/>
      <c r="AM252" s="39"/>
      <c r="AN252" s="39"/>
      <c r="AO252" s="39"/>
      <c r="AP252" s="39"/>
      <c r="AQ252" s="738"/>
      <c r="AR252" s="39"/>
      <c r="AS252" s="1001"/>
      <c r="AT252" s="39"/>
      <c r="AU252" s="39"/>
      <c r="AV252" s="39"/>
      <c r="AW252" s="39"/>
      <c r="AX252" s="39"/>
      <c r="AY252" s="39"/>
      <c r="AZ252" s="39"/>
      <c r="BA252" s="39"/>
      <c r="BB252" s="39"/>
      <c r="BC252" s="39"/>
      <c r="BD252" s="39"/>
      <c r="BE252" s="39"/>
      <c r="BF252" s="39"/>
      <c r="BG252" s="39"/>
      <c r="BH252" s="39"/>
      <c r="BJ252" s="39"/>
      <c r="BK252" s="39"/>
      <c r="BL252" s="1852"/>
      <c r="BM252" s="39"/>
      <c r="BN252" s="39"/>
      <c r="BO252" s="3180"/>
      <c r="BP252" s="3180"/>
      <c r="BQ252" s="39"/>
      <c r="BR252" s="39"/>
      <c r="BS252" s="39"/>
      <c r="BT252" s="39"/>
      <c r="BU252" s="1852"/>
      <c r="BV252" s="1852"/>
      <c r="BW252" s="39"/>
      <c r="BX252" s="39"/>
      <c r="BY252" s="39"/>
      <c r="BZ252" s="39"/>
      <c r="CA252" s="39"/>
      <c r="CB252" s="39"/>
      <c r="CC252" s="39"/>
      <c r="CD252" s="39"/>
      <c r="CE252" s="39"/>
      <c r="CF252" s="1475"/>
      <c r="CG252" s="39"/>
      <c r="CH252" s="39"/>
      <c r="CI252" s="39"/>
      <c r="CJ252" s="39"/>
      <c r="CK252" s="39"/>
      <c r="CL252" s="1036"/>
      <c r="CM252" s="738"/>
      <c r="CN252" s="738"/>
      <c r="CO252" s="39"/>
      <c r="CP252" s="39"/>
      <c r="CQ252" s="39"/>
      <c r="CR252" s="39"/>
      <c r="CS252" s="39"/>
      <c r="CT252" s="39"/>
      <c r="CU252" s="39"/>
      <c r="CV252" s="782"/>
      <c r="CW252" s="39"/>
      <c r="CX252" s="39"/>
      <c r="CY252" s="39"/>
      <c r="CZ252" s="39"/>
      <c r="DA252" s="39"/>
      <c r="DB252" s="39"/>
      <c r="DC252" s="2039"/>
      <c r="DD252" s="39"/>
      <c r="DE252" s="39"/>
      <c r="DF252" s="500"/>
      <c r="DG252" s="39"/>
      <c r="DH252" s="39"/>
      <c r="DI252" s="39"/>
      <c r="DJ252" s="39"/>
    </row>
    <row r="253" spans="3:114" x14ac:dyDescent="0.25">
      <c r="C253" s="39" t="str">
        <f t="shared" si="41"/>
        <v>Vacuum Damage</v>
      </c>
      <c r="D253" s="19"/>
      <c r="AK253" s="39"/>
      <c r="AL253" s="39"/>
      <c r="AM253" s="39"/>
      <c r="AN253" s="39"/>
      <c r="AO253" s="39"/>
      <c r="AP253" s="39"/>
      <c r="AQ253" s="738"/>
      <c r="AR253" s="39"/>
      <c r="AS253" s="1001"/>
      <c r="AT253" s="39"/>
      <c r="AU253" s="39"/>
      <c r="AV253" s="39"/>
      <c r="AW253" s="39"/>
      <c r="AX253" s="39"/>
      <c r="AY253" s="39"/>
      <c r="AZ253" s="39"/>
      <c r="BA253" s="39"/>
      <c r="BB253" s="39"/>
      <c r="BC253" s="39"/>
      <c r="BD253" s="39"/>
      <c r="BE253" s="39"/>
      <c r="BF253" s="39"/>
      <c r="BG253" s="39"/>
      <c r="BH253" s="39"/>
      <c r="BJ253" s="39"/>
      <c r="BK253" s="39"/>
      <c r="BL253" s="1852"/>
      <c r="BM253" s="39"/>
      <c r="BN253" s="39"/>
      <c r="BO253" s="3180"/>
      <c r="BP253" s="3180"/>
      <c r="BQ253" s="39"/>
      <c r="BR253" s="39"/>
      <c r="BS253" s="39"/>
      <c r="BT253" s="39"/>
      <c r="BU253" s="1852"/>
      <c r="BV253" s="1852"/>
      <c r="BW253" s="39"/>
      <c r="BX253" s="39"/>
      <c r="BY253" s="39"/>
      <c r="BZ253" s="39"/>
      <c r="CA253" s="39"/>
      <c r="CB253" s="39"/>
      <c r="CC253" s="39"/>
      <c r="CD253" s="39"/>
      <c r="CE253" s="39"/>
      <c r="CF253" s="1475"/>
      <c r="CG253" s="39"/>
      <c r="CH253" s="39"/>
      <c r="CI253" s="39"/>
      <c r="CJ253" s="39"/>
      <c r="CK253" s="39"/>
      <c r="CL253" s="1036"/>
      <c r="CM253" s="738"/>
      <c r="CN253" s="738"/>
      <c r="CO253" s="39"/>
      <c r="CP253" s="39"/>
      <c r="CQ253" s="39"/>
      <c r="CR253" s="39"/>
      <c r="CS253" s="39"/>
      <c r="CT253" s="39"/>
      <c r="CU253" s="39"/>
      <c r="CV253" s="782"/>
      <c r="CW253" s="39"/>
      <c r="CX253" s="39"/>
      <c r="CY253" s="39"/>
      <c r="CZ253" s="39"/>
      <c r="DA253" s="39"/>
      <c r="DB253" s="39"/>
      <c r="DC253" s="2039"/>
      <c r="DD253" s="39"/>
      <c r="DE253" s="39"/>
      <c r="DF253" s="500"/>
      <c r="DG253" s="39"/>
      <c r="DH253" s="39"/>
      <c r="DI253" s="39"/>
      <c r="DJ253" s="39"/>
    </row>
    <row r="254" spans="3:114" x14ac:dyDescent="0.25">
      <c r="C254" s="39" t="str">
        <f t="shared" si="41"/>
        <v>USER DEFINED - EVENT TYPE</v>
      </c>
      <c r="D254" s="19"/>
      <c r="AK254" s="39"/>
      <c r="AL254" s="39"/>
      <c r="AM254" s="39"/>
      <c r="AN254" s="39"/>
      <c r="AO254" s="39"/>
      <c r="AP254" s="39"/>
      <c r="AQ254" s="738"/>
      <c r="AR254" s="39"/>
      <c r="AS254" s="1001"/>
      <c r="AT254" s="39"/>
      <c r="AU254" s="39"/>
      <c r="AV254" s="39"/>
      <c r="AW254" s="39"/>
      <c r="AX254" s="39"/>
      <c r="AY254" s="39"/>
      <c r="AZ254" s="39"/>
      <c r="BA254" s="39"/>
      <c r="BB254" s="39"/>
      <c r="BC254" s="39"/>
      <c r="BD254" s="39"/>
      <c r="BE254" s="39"/>
      <c r="BF254" s="39"/>
      <c r="BG254" s="39"/>
      <c r="BH254" s="39"/>
      <c r="BJ254" s="39"/>
      <c r="BK254" s="39"/>
      <c r="BL254" s="1852"/>
      <c r="BM254" s="39"/>
      <c r="BN254" s="39"/>
      <c r="BO254" s="3180"/>
      <c r="BP254" s="3180"/>
      <c r="BQ254" s="39"/>
      <c r="BR254" s="39"/>
      <c r="BS254" s="39"/>
      <c r="BT254" s="39"/>
      <c r="BU254" s="1852"/>
      <c r="BV254" s="1852"/>
      <c r="BW254" s="39"/>
      <c r="BX254" s="39"/>
      <c r="BY254" s="39"/>
      <c r="BZ254" s="39"/>
      <c r="CA254" s="39"/>
      <c r="CB254" s="39"/>
      <c r="CC254" s="39"/>
      <c r="CD254" s="39"/>
      <c r="CE254" s="39"/>
      <c r="CF254" s="1475"/>
      <c r="CG254" s="39"/>
      <c r="CH254" s="39"/>
      <c r="CI254" s="39"/>
      <c r="CJ254" s="39"/>
      <c r="CK254" s="39"/>
      <c r="CL254" s="1036"/>
      <c r="CM254" s="738"/>
      <c r="CN254" s="738"/>
      <c r="CO254" s="39"/>
      <c r="CP254" s="39"/>
      <c r="CQ254" s="39"/>
      <c r="CR254" s="39"/>
      <c r="CS254" s="39"/>
      <c r="CT254" s="39"/>
      <c r="CU254" s="39"/>
      <c r="CV254" s="782"/>
      <c r="CW254" s="39"/>
      <c r="CX254" s="39"/>
      <c r="CY254" s="39"/>
      <c r="CZ254" s="39"/>
      <c r="DA254" s="39"/>
      <c r="DB254" s="39"/>
      <c r="DC254" s="2039"/>
      <c r="DD254" s="39"/>
      <c r="DE254" s="39"/>
      <c r="DF254" s="500"/>
      <c r="DG254" s="39"/>
      <c r="DH254" s="39"/>
      <c r="DI254" s="39"/>
      <c r="DJ254" s="39"/>
    </row>
    <row r="255" spans="3:114" x14ac:dyDescent="0.25">
      <c r="D255" s="19"/>
    </row>
    <row r="256" spans="3:114" x14ac:dyDescent="0.25">
      <c r="D256" s="19"/>
    </row>
    <row r="257" spans="2:60" ht="16.5" customHeight="1" x14ac:dyDescent="0.25">
      <c r="D257" s="19"/>
      <c r="AK257" s="3784" t="s">
        <v>1891</v>
      </c>
      <c r="AL257" s="3785"/>
      <c r="AM257" s="3785"/>
      <c r="AN257" s="3785"/>
      <c r="AO257" s="3785"/>
      <c r="AP257" s="3785"/>
      <c r="AQ257" s="4023"/>
      <c r="AR257" s="3785"/>
      <c r="AS257" s="4024"/>
      <c r="AT257" s="3785"/>
      <c r="AU257" s="3785"/>
      <c r="AV257" s="3785"/>
      <c r="AW257" s="3785"/>
      <c r="AX257" s="3785"/>
      <c r="AY257" s="3785"/>
      <c r="AZ257" s="3785"/>
      <c r="BA257" s="3785"/>
      <c r="BB257" s="3785"/>
      <c r="BC257" s="3785"/>
      <c r="BD257" s="3785"/>
      <c r="BE257" s="3785"/>
      <c r="BF257" s="3785"/>
      <c r="BG257" s="3785"/>
      <c r="BH257" s="3785"/>
    </row>
    <row r="258" spans="2:60" ht="261" customHeight="1" x14ac:dyDescent="0.25">
      <c r="C258" s="37" t="s">
        <v>686</v>
      </c>
      <c r="D258" s="19"/>
      <c r="AK258" s="190" t="s">
        <v>797</v>
      </c>
      <c r="AL258" s="190" t="s">
        <v>798</v>
      </c>
      <c r="AM258" s="190" t="s">
        <v>2757</v>
      </c>
      <c r="AN258" s="190" t="s">
        <v>2766</v>
      </c>
      <c r="AO258" s="190" t="s">
        <v>1248</v>
      </c>
      <c r="AP258" s="190" t="s">
        <v>2554</v>
      </c>
      <c r="AQ258" s="190" t="s">
        <v>2553</v>
      </c>
      <c r="AR258" s="190" t="s">
        <v>2738</v>
      </c>
      <c r="AS258" s="999" t="s">
        <v>2758</v>
      </c>
      <c r="AT258" s="190" t="s">
        <v>800</v>
      </c>
      <c r="AU258" s="190" t="s">
        <v>1004</v>
      </c>
      <c r="AV258" s="190" t="s">
        <v>2765</v>
      </c>
      <c r="AW258" s="190" t="s">
        <v>2032</v>
      </c>
      <c r="AX258" s="190" t="s">
        <v>663</v>
      </c>
      <c r="AY258" s="190" t="s">
        <v>1510</v>
      </c>
      <c r="AZ258" s="190" t="s">
        <v>801</v>
      </c>
      <c r="BA258" s="190" t="s">
        <v>1792</v>
      </c>
      <c r="BB258" s="190" t="s">
        <v>1255</v>
      </c>
      <c r="BC258" s="190" t="s">
        <v>1000</v>
      </c>
      <c r="BD258" s="190" t="s">
        <v>999</v>
      </c>
      <c r="BE258" s="190" t="s">
        <v>1183</v>
      </c>
      <c r="BF258" s="190" t="s">
        <v>1001</v>
      </c>
      <c r="BG258" s="190" t="s">
        <v>1002</v>
      </c>
      <c r="BH258" s="190" t="s">
        <v>1003</v>
      </c>
    </row>
    <row r="259" spans="2:60" x14ac:dyDescent="0.25">
      <c r="B259" s="35"/>
      <c r="C259" s="39" t="str">
        <f t="shared" ref="C259:C270" si="42">C6</f>
        <v>Accumulation of Untreated Vent or Waste</v>
      </c>
      <c r="D259" s="19"/>
      <c r="AK259" s="39" t="str">
        <f>IPLD_FE_1</f>
        <v>Flame Detector Closes all Fuel Valves if no flame detected within time interval</v>
      </c>
      <c r="AL259" s="39"/>
      <c r="AM259" s="39"/>
      <c r="AN259" s="39"/>
      <c r="AO259" s="39"/>
      <c r="AP259" s="39"/>
      <c r="AQ259" s="738"/>
      <c r="AR259" s="39"/>
      <c r="AS259" s="1001"/>
      <c r="AT259" s="39"/>
      <c r="AU259" s="39"/>
      <c r="AV259" s="39"/>
      <c r="AW259" s="39"/>
      <c r="AX259" s="39"/>
      <c r="AY259" s="39"/>
      <c r="AZ259" s="39"/>
      <c r="BA259" s="39"/>
      <c r="BB259" s="39"/>
      <c r="BC259" s="39"/>
      <c r="BD259" s="39"/>
      <c r="BE259" s="39"/>
      <c r="BF259" s="39"/>
      <c r="BG259" s="39"/>
      <c r="BH259" s="39"/>
    </row>
    <row r="260" spans="2:60" x14ac:dyDescent="0.25">
      <c r="B260" s="35"/>
      <c r="C260" s="39" t="str">
        <f t="shared" si="42"/>
        <v>Blocked-In with Thermal Expansion</v>
      </c>
      <c r="D260" s="19"/>
      <c r="AK260" s="39"/>
      <c r="AL260" s="39"/>
      <c r="AM260" s="39"/>
      <c r="AN260" s="39"/>
      <c r="AO260" s="39"/>
      <c r="AP260" s="39"/>
      <c r="AQ260" s="738"/>
      <c r="AR260" s="39"/>
      <c r="AS260" s="1001"/>
      <c r="AT260" s="39"/>
      <c r="AU260" s="39"/>
      <c r="AV260" s="39"/>
      <c r="AW260" s="39"/>
      <c r="AX260" s="39"/>
      <c r="AY260" s="39"/>
      <c r="AZ260" s="39"/>
      <c r="BA260" s="39"/>
      <c r="BB260" s="39"/>
      <c r="BC260" s="39"/>
      <c r="BD260" s="39"/>
      <c r="BE260" s="39"/>
      <c r="BF260" s="39"/>
      <c r="BG260" s="39"/>
      <c r="BH260" s="39"/>
    </row>
    <row r="261" spans="2:60" x14ac:dyDescent="0.25">
      <c r="B261" s="35"/>
      <c r="C261" s="39" t="str">
        <f t="shared" si="42"/>
        <v>Casing or Containment Failure</v>
      </c>
      <c r="D261" s="19"/>
      <c r="AK261" s="1824"/>
      <c r="AL261" s="1824"/>
      <c r="AM261" s="1824"/>
      <c r="AN261" s="1824"/>
      <c r="AO261" s="1824"/>
      <c r="AP261" s="1824"/>
      <c r="AQ261" s="1824"/>
      <c r="AR261" s="1824"/>
      <c r="AS261" s="1824"/>
      <c r="AT261" s="1824"/>
      <c r="AU261" s="1824"/>
      <c r="AV261" s="1824"/>
      <c r="AW261" s="1824"/>
      <c r="AX261" s="1824"/>
      <c r="AY261" s="1824"/>
      <c r="AZ261" s="1824"/>
      <c r="BA261" s="1824"/>
      <c r="BB261" s="1824"/>
      <c r="BC261" s="1824"/>
      <c r="BD261" s="1824"/>
      <c r="BE261" s="1824"/>
      <c r="BF261" s="1824"/>
      <c r="BG261" s="1824"/>
      <c r="BH261" s="1824"/>
    </row>
    <row r="262" spans="2:60" x14ac:dyDescent="0.25">
      <c r="B262" s="35"/>
      <c r="C262" s="39" t="str">
        <f t="shared" si="42"/>
        <v>Connection Failure</v>
      </c>
      <c r="D262" s="19"/>
      <c r="AK262" s="39"/>
      <c r="AL262" s="39"/>
      <c r="AM262" s="39"/>
      <c r="AN262" s="39"/>
      <c r="AO262" s="39"/>
      <c r="AP262" s="39"/>
      <c r="AQ262" s="738"/>
      <c r="AR262" s="39"/>
      <c r="AS262" s="1001"/>
      <c r="AT262" s="39"/>
      <c r="AU262" s="39"/>
      <c r="AV262" s="39"/>
      <c r="AW262" s="39"/>
      <c r="AX262" s="39"/>
      <c r="AY262" s="39"/>
      <c r="AZ262" s="39"/>
      <c r="BA262" s="39"/>
      <c r="BB262" s="39"/>
      <c r="BC262" s="39"/>
      <c r="BD262" s="39"/>
      <c r="BE262" s="39"/>
      <c r="BF262" s="39"/>
      <c r="BG262" s="39"/>
      <c r="BH262" s="39"/>
    </row>
    <row r="263" spans="2:60" x14ac:dyDescent="0.25">
      <c r="B263" s="35"/>
      <c r="C263" s="39" t="str">
        <f t="shared" si="42"/>
        <v>Drain or Vent Valve Open</v>
      </c>
      <c r="D263" s="19"/>
      <c r="AK263" s="39"/>
      <c r="AL263" s="39"/>
      <c r="AM263" s="39"/>
      <c r="AN263" s="39"/>
      <c r="AO263" s="39"/>
      <c r="AP263" s="39"/>
      <c r="AQ263" s="738"/>
      <c r="AR263" s="39"/>
      <c r="AS263" s="1001"/>
      <c r="AT263" s="39"/>
      <c r="AU263" s="39"/>
      <c r="AV263" s="39"/>
      <c r="AW263" s="39"/>
      <c r="AX263" s="39"/>
      <c r="AY263" s="39"/>
      <c r="AZ263" s="39"/>
      <c r="BA263" s="39"/>
      <c r="BB263" s="39"/>
      <c r="BC263" s="39"/>
      <c r="BD263" s="39"/>
      <c r="BE263" s="39"/>
      <c r="BF263" s="39"/>
      <c r="BG263" s="39"/>
      <c r="BH263" s="39"/>
    </row>
    <row r="264" spans="2:60" x14ac:dyDescent="0.25">
      <c r="B264" s="35"/>
      <c r="C264" s="39" t="str">
        <f t="shared" si="42"/>
        <v>Dust Accumulation in Process Area</v>
      </c>
      <c r="D264" s="19"/>
      <c r="AK264" s="1475"/>
      <c r="AL264" s="1475"/>
      <c r="AM264" s="1475"/>
      <c r="AN264" s="1475"/>
      <c r="AO264" s="1475"/>
      <c r="AP264" s="1475"/>
      <c r="AQ264" s="1475"/>
      <c r="AR264" s="1475"/>
      <c r="AS264" s="1475"/>
      <c r="AT264" s="1475"/>
      <c r="AU264" s="1475"/>
      <c r="AV264" s="1475"/>
      <c r="AW264" s="1475"/>
      <c r="AX264" s="1475"/>
      <c r="AY264" s="1475"/>
      <c r="AZ264" s="1475"/>
      <c r="BA264" s="1475"/>
      <c r="BB264" s="1475"/>
      <c r="BC264" s="1475"/>
      <c r="BD264" s="1475"/>
      <c r="BE264" s="1475"/>
      <c r="BF264" s="1475"/>
      <c r="BG264" s="1475"/>
      <c r="BH264" s="1475"/>
    </row>
    <row r="265" spans="2:60" x14ac:dyDescent="0.25">
      <c r="B265" s="35"/>
      <c r="C265" s="39" t="str">
        <f t="shared" si="42"/>
        <v>Ignitable Headspace</v>
      </c>
      <c r="D265" s="19"/>
      <c r="AK265" s="39"/>
      <c r="AL265" s="39"/>
      <c r="AM265" s="39"/>
      <c r="AN265" s="39"/>
      <c r="AO265" s="39"/>
      <c r="AP265" s="39"/>
      <c r="AQ265" s="738"/>
      <c r="AR265" s="39"/>
      <c r="AS265" s="1001"/>
      <c r="AT265" s="39"/>
      <c r="AU265" s="39"/>
      <c r="AV265" s="39"/>
      <c r="AW265" s="39"/>
      <c r="AX265" s="39"/>
      <c r="AY265" s="39"/>
      <c r="AZ265" s="39"/>
      <c r="BA265" s="39"/>
      <c r="BB265" s="39"/>
      <c r="BC265" s="39"/>
      <c r="BD265" s="39"/>
      <c r="BE265" s="39"/>
      <c r="BF265" s="39"/>
      <c r="BG265" s="39"/>
      <c r="BH265" s="39"/>
    </row>
    <row r="266" spans="2:60" x14ac:dyDescent="0.25">
      <c r="B266" s="35"/>
      <c r="C266" s="39" t="str">
        <f t="shared" si="42"/>
        <v>Excessive Heat Input - Heat Transfer</v>
      </c>
      <c r="D266" s="19"/>
      <c r="AK266" s="39"/>
      <c r="AL266" s="39"/>
      <c r="AM266" s="39"/>
      <c r="AN266" s="39"/>
      <c r="AO266" s="39"/>
      <c r="AP266" s="39"/>
      <c r="AQ266" s="738"/>
      <c r="AR266" s="39"/>
      <c r="AS266" s="1001"/>
      <c r="AT266" s="39"/>
      <c r="AU266" s="39"/>
      <c r="AV266" s="39"/>
      <c r="AW266" s="39"/>
      <c r="AX266" s="39"/>
      <c r="AY266" s="39"/>
      <c r="AZ266" s="39"/>
      <c r="BA266" s="39"/>
      <c r="BB266" s="39"/>
      <c r="BC266" s="39"/>
      <c r="BD266" s="39"/>
      <c r="BE266" s="39"/>
      <c r="BF266" s="39"/>
      <c r="BG266" s="39"/>
      <c r="BH266" s="39"/>
    </row>
    <row r="267" spans="2:60" x14ac:dyDescent="0.25">
      <c r="B267" s="35"/>
      <c r="C267" s="39" t="str">
        <f t="shared" si="42"/>
        <v>Excessive Heat Input - Mechanical</v>
      </c>
      <c r="D267" s="19"/>
      <c r="AK267" s="39"/>
      <c r="AL267" s="39"/>
      <c r="AM267" s="39"/>
      <c r="AN267" s="39"/>
      <c r="AO267" s="39"/>
      <c r="AP267" s="39"/>
      <c r="AQ267" s="738"/>
      <c r="AR267" s="39"/>
      <c r="AS267" s="1001"/>
      <c r="AT267" s="39"/>
      <c r="AU267" s="39"/>
      <c r="AV267" s="39"/>
      <c r="AW267" s="39"/>
      <c r="AX267" s="39"/>
      <c r="AY267" s="39"/>
      <c r="AZ267" s="39"/>
      <c r="BA267" s="39"/>
      <c r="BB267" s="39"/>
      <c r="BC267" s="39"/>
      <c r="BD267" s="39"/>
      <c r="BE267" s="39"/>
      <c r="BF267" s="39"/>
      <c r="BG267" s="39"/>
      <c r="BH267" s="39"/>
    </row>
    <row r="268" spans="2:60" x14ac:dyDescent="0.25">
      <c r="B268" s="35"/>
      <c r="C268" s="39" t="str">
        <f t="shared" si="42"/>
        <v>Excessive Heat Input - Pool Fire Exposure</v>
      </c>
      <c r="D268" s="19"/>
      <c r="AK268" s="39"/>
      <c r="AL268" s="39"/>
      <c r="AM268" s="39"/>
      <c r="AN268" s="39"/>
      <c r="AO268" s="39"/>
      <c r="AP268" s="39"/>
      <c r="AQ268" s="738"/>
      <c r="AR268" s="39"/>
      <c r="AS268" s="1001"/>
      <c r="AT268" s="39"/>
      <c r="AU268" s="39"/>
      <c r="AV268" s="39"/>
      <c r="AW268" s="39"/>
      <c r="AX268" s="39"/>
      <c r="AY268" s="39"/>
      <c r="AZ268" s="39"/>
      <c r="BA268" s="39"/>
      <c r="BB268" s="39"/>
      <c r="BC268" s="39"/>
      <c r="BD268" s="39"/>
      <c r="BE268" s="39"/>
      <c r="BF268" s="39"/>
      <c r="BG268" s="39"/>
      <c r="BH268" s="39"/>
    </row>
    <row r="269" spans="2:60" x14ac:dyDescent="0.25">
      <c r="B269" s="35"/>
      <c r="C269" s="39" t="str">
        <f t="shared" si="42"/>
        <v>Excessive Pad Gas Pressure</v>
      </c>
      <c r="D269" s="19"/>
      <c r="AK269" s="39"/>
      <c r="AL269" s="39"/>
      <c r="AM269" s="39"/>
      <c r="AN269" s="39"/>
      <c r="AO269" s="39"/>
      <c r="AP269" s="39"/>
      <c r="AQ269" s="738"/>
      <c r="AR269" s="39"/>
      <c r="AS269" s="1001"/>
      <c r="AT269" s="39"/>
      <c r="AU269" s="39"/>
      <c r="AV269" s="39"/>
      <c r="AW269" s="39"/>
      <c r="AX269" s="39"/>
      <c r="AY269" s="39"/>
      <c r="AZ269" s="39"/>
      <c r="BA269" s="39"/>
      <c r="BB269" s="39"/>
      <c r="BC269" s="39"/>
      <c r="BD269" s="39"/>
      <c r="BE269" s="39"/>
      <c r="BF269" s="39"/>
      <c r="BG269" s="39"/>
      <c r="BH269" s="39"/>
    </row>
    <row r="270" spans="2:60" x14ac:dyDescent="0.25">
      <c r="B270" s="35"/>
      <c r="C270" s="39" t="str">
        <f t="shared" si="42"/>
        <v>Excessive Vapor Feed Flow</v>
      </c>
      <c r="D270" s="19"/>
      <c r="AK270" s="2394"/>
      <c r="AL270" s="2394"/>
      <c r="AM270" s="2394"/>
      <c r="AN270" s="2394"/>
      <c r="AO270" s="2394"/>
      <c r="AP270" s="2394"/>
      <c r="AQ270" s="2394"/>
      <c r="AR270" s="2394"/>
      <c r="AS270" s="2394"/>
      <c r="AT270" s="2394"/>
      <c r="AU270" s="2394"/>
      <c r="AV270" s="2394"/>
      <c r="AW270" s="2394"/>
      <c r="AX270" s="2394"/>
      <c r="AY270" s="2394"/>
      <c r="AZ270" s="2394"/>
      <c r="BA270" s="2394"/>
      <c r="BB270" s="2394"/>
      <c r="BC270" s="2394"/>
      <c r="BD270" s="2394"/>
      <c r="BE270" s="2394"/>
      <c r="BF270" s="2394"/>
      <c r="BG270" s="2394"/>
      <c r="BH270" s="2394"/>
    </row>
    <row r="271" spans="2:60" x14ac:dyDescent="0.25">
      <c r="B271" s="35"/>
      <c r="C271" s="39" t="str">
        <f t="shared" ref="C271" si="43">C18</f>
        <v>Pad Gas Compression</v>
      </c>
      <c r="D271" s="19"/>
      <c r="AK271" s="2394"/>
      <c r="AL271" s="2394"/>
      <c r="AM271" s="2394"/>
      <c r="AN271" s="2394"/>
      <c r="AO271" s="2394"/>
      <c r="AP271" s="2394"/>
      <c r="AQ271" s="2394"/>
      <c r="AR271" s="2394"/>
      <c r="AS271" s="2394"/>
      <c r="AT271" s="2394"/>
      <c r="AU271" s="2394"/>
      <c r="AV271" s="2394"/>
      <c r="AW271" s="2394"/>
      <c r="AX271" s="2394"/>
      <c r="AY271" s="2394"/>
      <c r="AZ271" s="2394"/>
      <c r="BA271" s="2394"/>
      <c r="BB271" s="2394"/>
      <c r="BC271" s="2394"/>
      <c r="BD271" s="2394"/>
      <c r="BE271" s="2394"/>
      <c r="BF271" s="2394"/>
      <c r="BG271" s="2394"/>
      <c r="BH271" s="2394"/>
    </row>
    <row r="272" spans="2:60" x14ac:dyDescent="0.25">
      <c r="B272" s="35"/>
      <c r="C272" s="39" t="str">
        <f t="shared" ref="C272" si="44">C19</f>
        <v>Exhaustion of Scrubbing Media</v>
      </c>
      <c r="D272" s="19"/>
      <c r="AK272" s="2060"/>
      <c r="AL272" s="2060"/>
      <c r="AM272" s="2060"/>
      <c r="AN272" s="2060"/>
      <c r="AO272" s="2060"/>
      <c r="AP272" s="2060"/>
      <c r="AQ272" s="2060"/>
      <c r="AR272" s="2060"/>
      <c r="AS272" s="2060"/>
      <c r="AT272" s="2060"/>
      <c r="AU272" s="2060"/>
      <c r="AV272" s="2060"/>
      <c r="AW272" s="2060"/>
      <c r="AX272" s="2060"/>
      <c r="AY272" s="2060"/>
      <c r="AZ272" s="2060"/>
      <c r="BA272" s="2060"/>
      <c r="BB272" s="2060"/>
      <c r="BC272" s="2060"/>
      <c r="BD272" s="2060"/>
      <c r="BE272" s="2060"/>
      <c r="BF272" s="2060"/>
      <c r="BG272" s="2060"/>
      <c r="BH272" s="2060"/>
    </row>
    <row r="273" spans="2:60" x14ac:dyDescent="0.25">
      <c r="B273" s="35"/>
      <c r="C273" s="39" t="str">
        <f t="shared" ref="C273:C282" si="45">C20</f>
        <v>Flash Back of Vent to Fired Equipment</v>
      </c>
      <c r="D273" s="19"/>
      <c r="AK273" s="39"/>
      <c r="AL273" s="39"/>
      <c r="AM273" s="39"/>
      <c r="AN273" s="39"/>
      <c r="AO273" s="39"/>
      <c r="AP273" s="39"/>
      <c r="AQ273" s="738"/>
      <c r="AR273" s="39"/>
      <c r="AS273" s="1001"/>
      <c r="AT273" s="39"/>
      <c r="AU273" s="39"/>
      <c r="AV273" s="39"/>
      <c r="AW273" s="39"/>
      <c r="AX273" s="39"/>
      <c r="AY273" s="39"/>
      <c r="AZ273" s="39"/>
      <c r="BA273" s="39"/>
      <c r="BB273" s="39"/>
      <c r="BC273" s="39"/>
      <c r="BD273" s="39"/>
      <c r="BE273" s="39"/>
      <c r="BF273" s="39"/>
      <c r="BG273" s="39"/>
      <c r="BH273" s="39"/>
    </row>
    <row r="274" spans="2:60" x14ac:dyDescent="0.25">
      <c r="B274" s="35"/>
      <c r="C274" s="39" t="str">
        <f t="shared" si="45"/>
        <v>Fuel Accumulation during Light Off</v>
      </c>
      <c r="D274" s="19"/>
      <c r="AK274" s="39" t="str">
        <f>IPLD_FE_1</f>
        <v>Flame Detector Closes all Fuel Valves if no flame detected within time interval</v>
      </c>
      <c r="AL274" s="39"/>
      <c r="AM274" s="39" t="str">
        <f>IPLD_FE_1</f>
        <v>Flame Detector Closes all Fuel Valves if no flame detected within time interval</v>
      </c>
      <c r="AN274" s="39"/>
      <c r="AO274" s="39"/>
      <c r="AP274" s="39"/>
      <c r="AQ274" s="738"/>
      <c r="AR274" s="39"/>
      <c r="AS274" s="1001"/>
      <c r="AT274" s="39"/>
      <c r="AU274" s="39"/>
      <c r="AV274" s="39"/>
      <c r="AW274" s="39"/>
      <c r="AX274" s="39"/>
      <c r="AY274" s="39"/>
      <c r="AZ274" s="39"/>
      <c r="BA274" s="39"/>
      <c r="BB274" s="39"/>
      <c r="BC274" s="39"/>
      <c r="BD274" s="39"/>
      <c r="BE274" s="39"/>
      <c r="BF274" s="39"/>
      <c r="BG274" s="39"/>
      <c r="BH274" s="39"/>
    </row>
    <row r="275" spans="2:60" x14ac:dyDescent="0.25">
      <c r="B275" s="35"/>
      <c r="C275" s="39" t="str">
        <f t="shared" si="45"/>
        <v>Fuel Accumulation during Operation</v>
      </c>
      <c r="D275" s="19"/>
      <c r="AK275" s="39" t="str">
        <f>IPLD_FE_1</f>
        <v>Flame Detector Closes all Fuel Valves if no flame detected within time interval</v>
      </c>
      <c r="AL275" s="39"/>
      <c r="AM275" s="39" t="str">
        <f>IPLD_FE_1</f>
        <v>Flame Detector Closes all Fuel Valves if no flame detected within time interval</v>
      </c>
      <c r="AN275" s="39"/>
      <c r="AO275" s="39"/>
      <c r="AP275" s="39"/>
      <c r="AQ275" s="738"/>
      <c r="AR275" s="39"/>
      <c r="AS275" s="1001"/>
      <c r="AT275" s="39"/>
      <c r="AU275" s="39"/>
      <c r="AV275" s="39"/>
      <c r="AW275" s="39"/>
      <c r="AX275" s="39"/>
      <c r="AY275" s="39"/>
      <c r="AZ275" s="39"/>
      <c r="BA275" s="39"/>
      <c r="BB275" s="39"/>
      <c r="BC275" s="39"/>
      <c r="BD275" s="39"/>
      <c r="BE275" s="39"/>
      <c r="BF275" s="39"/>
      <c r="BG275" s="39"/>
      <c r="BH275" s="39"/>
    </row>
    <row r="276" spans="2:60" x14ac:dyDescent="0.25">
      <c r="B276" s="35"/>
      <c r="C276" s="39" t="str">
        <f t="shared" si="45"/>
        <v>Fuel Accumulation while Down</v>
      </c>
      <c r="D276" s="19"/>
      <c r="AK276" s="39" t="str">
        <f>IPLD_FE_10</f>
        <v>Primary Fuel Block Valves are Closed and Bleed Open while down.</v>
      </c>
      <c r="AL276" s="39"/>
      <c r="AM276" s="39"/>
      <c r="AN276" s="39"/>
      <c r="AO276" s="39"/>
      <c r="AP276" s="39"/>
      <c r="AQ276" s="738"/>
      <c r="AR276" s="39"/>
      <c r="AS276" s="1001"/>
      <c r="AT276" s="39"/>
      <c r="AU276" s="39"/>
      <c r="AV276" s="39"/>
      <c r="AW276" s="39"/>
      <c r="AX276" s="39"/>
      <c r="AY276" s="39"/>
      <c r="AZ276" s="39"/>
      <c r="BA276" s="39"/>
      <c r="BB276" s="39"/>
      <c r="BC276" s="39"/>
      <c r="BD276" s="39"/>
      <c r="BE276" s="39"/>
      <c r="BF276" s="39"/>
      <c r="BG276" s="39"/>
      <c r="BH276" s="39"/>
    </row>
    <row r="277" spans="2:60" x14ac:dyDescent="0.25">
      <c r="B277" s="35"/>
      <c r="C277" s="39" t="str">
        <f t="shared" si="45"/>
        <v>High Fuel Flow or Energy Content</v>
      </c>
      <c r="D277" s="19"/>
      <c r="AK277" s="39"/>
      <c r="AL277" s="39"/>
      <c r="AM277" s="39"/>
      <c r="AN277" s="39"/>
      <c r="AO277" s="39"/>
      <c r="AP277" s="39"/>
      <c r="AQ277" s="738"/>
      <c r="AR277" s="39"/>
      <c r="AS277" s="1001"/>
      <c r="AT277" s="39"/>
      <c r="AU277" s="39"/>
      <c r="AV277" s="39"/>
      <c r="AW277" s="39"/>
      <c r="AX277" s="39"/>
      <c r="AY277" s="39"/>
      <c r="AZ277" s="39"/>
      <c r="BA277" s="39"/>
      <c r="BB277" s="39"/>
      <c r="BC277" s="39"/>
      <c r="BD277" s="39"/>
      <c r="BE277" s="39"/>
      <c r="BF277" s="39"/>
      <c r="BG277" s="39"/>
      <c r="BH277" s="39"/>
    </row>
    <row r="278" spans="2:60" x14ac:dyDescent="0.25">
      <c r="B278" s="35"/>
      <c r="C278" s="39" t="str">
        <f t="shared" si="45"/>
        <v>High Temperature Failure</v>
      </c>
      <c r="D278" s="19"/>
      <c r="AK278" s="1824"/>
      <c r="AL278" s="1824"/>
      <c r="AM278" s="1824"/>
      <c r="AN278" s="1824"/>
      <c r="AO278" s="1824"/>
      <c r="AP278" s="1824"/>
      <c r="AQ278" s="1824"/>
      <c r="AR278" s="1824"/>
      <c r="AS278" s="1824"/>
      <c r="AT278" s="1824"/>
      <c r="AU278" s="1824"/>
      <c r="AV278" s="1824"/>
      <c r="AW278" s="1824"/>
      <c r="AX278" s="1824"/>
      <c r="AY278" s="1824"/>
      <c r="AZ278" s="1824"/>
      <c r="BA278" s="1824"/>
      <c r="BB278" s="1824"/>
      <c r="BC278" s="1824"/>
      <c r="BD278" s="1824"/>
      <c r="BE278" s="1824"/>
      <c r="BF278" s="1824"/>
      <c r="BG278" s="1824"/>
      <c r="BH278" s="1824"/>
    </row>
    <row r="279" spans="2:60" x14ac:dyDescent="0.25">
      <c r="B279" s="35"/>
      <c r="C279" s="39" t="str">
        <f t="shared" si="45"/>
        <v>Hose or Loading Arm Connection</v>
      </c>
      <c r="D279" s="19"/>
      <c r="AK279" s="39"/>
      <c r="AL279" s="39"/>
      <c r="AM279" s="39"/>
      <c r="AN279" s="39"/>
      <c r="AO279" s="39"/>
      <c r="AP279" s="39"/>
      <c r="AQ279" s="738"/>
      <c r="AR279" s="39"/>
      <c r="AS279" s="1001"/>
      <c r="AT279" s="39"/>
      <c r="AU279" s="39"/>
      <c r="AV279" s="39"/>
      <c r="AW279" s="39"/>
      <c r="AX279" s="39"/>
      <c r="AY279" s="39"/>
      <c r="AZ279" s="39"/>
      <c r="BA279" s="39"/>
      <c r="BB279" s="39"/>
      <c r="BC279" s="39"/>
      <c r="BD279" s="39"/>
      <c r="BE279" s="39"/>
      <c r="BF279" s="39"/>
      <c r="BG279" s="39"/>
      <c r="BH279" s="39"/>
    </row>
    <row r="280" spans="2:60" x14ac:dyDescent="0.25">
      <c r="B280" s="35"/>
      <c r="C280" s="39" t="str">
        <f t="shared" si="45"/>
        <v>Damage from Movement</v>
      </c>
      <c r="D280" s="19"/>
      <c r="AK280" s="39"/>
      <c r="AL280" s="39"/>
      <c r="AM280" s="39"/>
      <c r="AN280" s="39"/>
      <c r="AO280" s="39"/>
      <c r="AP280" s="39"/>
      <c r="AQ280" s="738"/>
      <c r="AR280" s="39"/>
      <c r="AS280" s="1001"/>
      <c r="AT280" s="39"/>
      <c r="AU280" s="39"/>
      <c r="AV280" s="39"/>
      <c r="AW280" s="39"/>
      <c r="AX280" s="39"/>
      <c r="AY280" s="39"/>
      <c r="AZ280" s="39"/>
      <c r="BA280" s="39"/>
      <c r="BB280" s="39"/>
      <c r="BC280" s="39"/>
      <c r="BD280" s="39"/>
      <c r="BE280" s="39"/>
      <c r="BF280" s="39"/>
      <c r="BG280" s="39"/>
      <c r="BH280" s="39"/>
    </row>
    <row r="281" spans="2:60" x14ac:dyDescent="0.25">
      <c r="B281" s="35"/>
      <c r="C281" s="39" t="str">
        <f t="shared" si="45"/>
        <v>Hydraulic Surge</v>
      </c>
      <c r="D281" s="19"/>
      <c r="AK281" s="39"/>
      <c r="AL281" s="39"/>
      <c r="AM281" s="39"/>
      <c r="AN281" s="39"/>
      <c r="AO281" s="39"/>
      <c r="AP281" s="39"/>
      <c r="AQ281" s="738"/>
      <c r="AR281" s="39"/>
      <c r="AS281" s="1001"/>
      <c r="AT281" s="39"/>
      <c r="AU281" s="39"/>
      <c r="AV281" s="39"/>
      <c r="AW281" s="39"/>
      <c r="AX281" s="39"/>
      <c r="AY281" s="39"/>
      <c r="AZ281" s="39"/>
      <c r="BA281" s="39"/>
      <c r="BB281" s="39"/>
      <c r="BC281" s="39"/>
      <c r="BD281" s="39"/>
      <c r="BE281" s="39"/>
      <c r="BF281" s="39"/>
      <c r="BG281" s="39"/>
      <c r="BH281" s="39"/>
    </row>
    <row r="282" spans="2:60" x14ac:dyDescent="0.25">
      <c r="B282" s="35"/>
      <c r="C282" s="39" t="str">
        <f t="shared" si="45"/>
        <v>Hydraulic Overpressure</v>
      </c>
      <c r="D282" s="19"/>
      <c r="AK282" s="3158"/>
      <c r="AL282" s="3158"/>
      <c r="AM282" s="3158"/>
      <c r="AN282" s="3158"/>
      <c r="AO282" s="3158"/>
      <c r="AP282" s="3158"/>
      <c r="AQ282" s="3158"/>
      <c r="AR282" s="3158"/>
      <c r="AS282" s="3158"/>
      <c r="AT282" s="3158"/>
      <c r="AU282" s="3158"/>
      <c r="AV282" s="3158"/>
      <c r="AW282" s="3158"/>
      <c r="AX282" s="3158"/>
      <c r="AY282" s="3158"/>
      <c r="AZ282" s="3158"/>
      <c r="BA282" s="3158"/>
      <c r="BB282" s="3158"/>
      <c r="BC282" s="3158"/>
      <c r="BD282" s="3158"/>
      <c r="BE282" s="3158"/>
      <c r="BF282" s="3158"/>
      <c r="BG282" s="3158"/>
      <c r="BH282" s="3158"/>
    </row>
    <row r="283" spans="2:60" x14ac:dyDescent="0.25">
      <c r="B283" s="35"/>
      <c r="C283" s="39" t="str">
        <f t="shared" ref="C283:C291" si="46">C30</f>
        <v>Introduction of Foreign Material</v>
      </c>
      <c r="D283" s="19"/>
      <c r="AK283" s="39"/>
      <c r="AL283" s="39"/>
      <c r="AM283" s="39"/>
      <c r="AN283" s="39"/>
      <c r="AO283" s="39"/>
      <c r="AP283" s="39"/>
      <c r="AQ283" s="738"/>
      <c r="AR283" s="39"/>
      <c r="AS283" s="1001"/>
      <c r="AT283" s="39"/>
      <c r="AU283" s="39"/>
      <c r="AV283" s="39"/>
      <c r="AW283" s="39"/>
      <c r="AX283" s="39"/>
      <c r="AY283" s="39"/>
      <c r="AZ283" s="39"/>
      <c r="BA283" s="39"/>
      <c r="BB283" s="39"/>
      <c r="BC283" s="39"/>
      <c r="BD283" s="39"/>
      <c r="BE283" s="39"/>
      <c r="BF283" s="39"/>
      <c r="BG283" s="39"/>
      <c r="BH283" s="39"/>
    </row>
    <row r="284" spans="2:60" x14ac:dyDescent="0.25">
      <c r="B284" s="35"/>
      <c r="C284" s="39" t="str">
        <f t="shared" si="46"/>
        <v>Liquid in Vapor Feed</v>
      </c>
      <c r="D284" s="19"/>
      <c r="AK284" s="39"/>
      <c r="AL284" s="39"/>
      <c r="AM284" s="39"/>
      <c r="AN284" s="39"/>
      <c r="AO284" s="39"/>
      <c r="AP284" s="39"/>
      <c r="AQ284" s="738"/>
      <c r="AR284" s="39"/>
      <c r="AS284" s="1001"/>
      <c r="AT284" s="39"/>
      <c r="AU284" s="39"/>
      <c r="AV284" s="39"/>
      <c r="AW284" s="39"/>
      <c r="AX284" s="39"/>
      <c r="AY284" s="39"/>
      <c r="AZ284" s="39"/>
      <c r="BA284" s="39"/>
      <c r="BB284" s="39"/>
      <c r="BC284" s="39"/>
      <c r="BD284" s="39"/>
      <c r="BE284" s="39"/>
      <c r="BF284" s="39"/>
      <c r="BG284" s="39"/>
      <c r="BH284" s="39"/>
    </row>
    <row r="285" spans="2:60" x14ac:dyDescent="0.25">
      <c r="B285" s="35"/>
      <c r="C285" s="39" t="str">
        <f t="shared" si="46"/>
        <v>Loss of Flow - Adsorber or Scrubber</v>
      </c>
      <c r="D285" s="19"/>
      <c r="AK285" s="39"/>
      <c r="AL285" s="39"/>
      <c r="AM285" s="39"/>
      <c r="AN285" s="39"/>
      <c r="AO285" s="39"/>
      <c r="AP285" s="39"/>
      <c r="AQ285" s="738"/>
      <c r="AR285" s="39"/>
      <c r="AS285" s="1001"/>
      <c r="AT285" s="39"/>
      <c r="AU285" s="39"/>
      <c r="AV285" s="39"/>
      <c r="AW285" s="39"/>
      <c r="AX285" s="39"/>
      <c r="AY285" s="39"/>
      <c r="AZ285" s="39"/>
      <c r="BA285" s="39"/>
      <c r="BB285" s="39"/>
      <c r="BC285" s="39"/>
      <c r="BD285" s="39"/>
      <c r="BE285" s="39"/>
      <c r="BF285" s="39"/>
      <c r="BG285" s="39"/>
      <c r="BH285" s="39"/>
    </row>
    <row r="286" spans="2:60" x14ac:dyDescent="0.25">
      <c r="B286" s="35"/>
      <c r="C286" s="39" t="str">
        <f t="shared" si="46"/>
        <v>Loss of Flow or Level - Fired Equipment</v>
      </c>
      <c r="D286" s="19"/>
      <c r="AK286" s="39" t="str">
        <f>IPLD_FE_20</f>
        <v>Close all Fuel Valves on Quench or Heating Media High Temperature</v>
      </c>
      <c r="AL286" s="39"/>
      <c r="AM286" s="39" t="str">
        <f>IPLD_FE_20</f>
        <v>Close all Fuel Valves on Quench or Heating Media High Temperature</v>
      </c>
      <c r="AN286" s="39"/>
      <c r="AO286" s="39"/>
      <c r="AP286" s="39"/>
      <c r="AQ286" s="738"/>
      <c r="AR286" s="39"/>
      <c r="AS286" s="1001"/>
      <c r="AT286" s="39"/>
      <c r="AU286" s="39"/>
      <c r="AV286" s="39" t="str">
        <f>IPLD_FE_20</f>
        <v>Close all Fuel Valves on Quench or Heating Media High Temperature</v>
      </c>
      <c r="AW286" s="39"/>
      <c r="AX286" s="39"/>
      <c r="AY286" s="39"/>
      <c r="AZ286" s="39"/>
      <c r="BA286" s="39"/>
      <c r="BB286" s="39"/>
      <c r="BC286" s="39"/>
      <c r="BD286" s="39"/>
      <c r="BE286" s="39"/>
      <c r="BF286" s="39"/>
      <c r="BG286" s="39"/>
      <c r="BH286" s="39"/>
    </row>
    <row r="287" spans="2:60" x14ac:dyDescent="0.25">
      <c r="B287" s="35"/>
      <c r="C287" s="39" t="str">
        <f t="shared" si="46"/>
        <v>Loss of Pilot or Ignition</v>
      </c>
      <c r="D287" s="19"/>
      <c r="AK287" s="39"/>
      <c r="AL287" s="39"/>
      <c r="AM287" s="39"/>
      <c r="AN287" s="39"/>
      <c r="AO287" s="39"/>
      <c r="AP287" s="39"/>
      <c r="AQ287" s="738"/>
      <c r="AR287" s="39"/>
      <c r="AS287" s="1001"/>
      <c r="AT287" s="39"/>
      <c r="AU287" s="39"/>
      <c r="AV287" s="39"/>
      <c r="AW287" s="39"/>
      <c r="AX287" s="39"/>
      <c r="AY287" s="39"/>
      <c r="AZ287" s="39"/>
      <c r="BA287" s="39"/>
      <c r="BB287" s="39"/>
      <c r="BC287" s="39"/>
      <c r="BD287" s="39"/>
      <c r="BE287" s="39"/>
      <c r="BF287" s="39"/>
      <c r="BG287" s="39"/>
      <c r="BH287" s="39"/>
    </row>
    <row r="288" spans="2:60" x14ac:dyDescent="0.25">
      <c r="B288" s="35"/>
      <c r="C288" s="39" t="str">
        <f t="shared" si="46"/>
        <v>Loss of Vacuum - Thermal Oxidizer</v>
      </c>
      <c r="D288" s="19"/>
      <c r="AK288" s="39"/>
      <c r="AL288" s="39"/>
      <c r="AM288" s="39"/>
      <c r="AN288" s="39"/>
      <c r="AO288" s="39"/>
      <c r="AP288" s="39"/>
      <c r="AQ288" s="738"/>
      <c r="AR288" s="39"/>
      <c r="AS288" s="1001"/>
      <c r="AT288" s="39"/>
      <c r="AU288" s="39"/>
      <c r="AV288" s="39"/>
      <c r="AW288" s="39"/>
      <c r="AX288" s="39"/>
      <c r="AY288" s="39"/>
      <c r="AZ288" s="39"/>
      <c r="BA288" s="39"/>
      <c r="BB288" s="39"/>
      <c r="BC288" s="39"/>
      <c r="BD288" s="39"/>
      <c r="BE288" s="39"/>
      <c r="BF288" s="39"/>
      <c r="BG288" s="39"/>
      <c r="BH288" s="39"/>
    </row>
    <row r="289" spans="2:60" x14ac:dyDescent="0.25">
      <c r="B289" s="35"/>
      <c r="C289" s="39" t="str">
        <f t="shared" si="46"/>
        <v>Low Temperature Embrittlement</v>
      </c>
      <c r="D289" s="19"/>
      <c r="AK289" s="39"/>
      <c r="AL289" s="39"/>
      <c r="AM289" s="39"/>
      <c r="AN289" s="39"/>
      <c r="AO289" s="39"/>
      <c r="AP289" s="39"/>
      <c r="AQ289" s="738"/>
      <c r="AR289" s="39"/>
      <c r="AS289" s="1001"/>
      <c r="AT289" s="39"/>
      <c r="AU289" s="39"/>
      <c r="AV289" s="39"/>
      <c r="AW289" s="39"/>
      <c r="AX289" s="39"/>
      <c r="AY289" s="39"/>
      <c r="AZ289" s="39"/>
      <c r="BA289" s="39"/>
      <c r="BB289" s="39"/>
      <c r="BC289" s="39"/>
      <c r="BD289" s="39"/>
      <c r="BE289" s="39"/>
      <c r="BF289" s="39"/>
      <c r="BG289" s="39"/>
      <c r="BH289" s="39"/>
    </row>
    <row r="290" spans="2:60" x14ac:dyDescent="0.25">
      <c r="B290" s="35"/>
      <c r="C290" s="39" t="str">
        <f t="shared" si="46"/>
        <v>Overfill or Overflow</v>
      </c>
      <c r="D290" s="19"/>
      <c r="AK290" s="885"/>
      <c r="AL290" s="885"/>
      <c r="AM290" s="885"/>
      <c r="AN290" s="885"/>
      <c r="AO290" s="885"/>
      <c r="AP290" s="885"/>
      <c r="AQ290" s="885"/>
      <c r="AR290" s="885"/>
      <c r="AS290" s="1001"/>
      <c r="AT290" s="885"/>
      <c r="AU290" s="885"/>
      <c r="AV290" s="885"/>
      <c r="AW290" s="885"/>
      <c r="AX290" s="885"/>
      <c r="AY290" s="885"/>
      <c r="AZ290" s="885"/>
      <c r="BA290" s="885"/>
      <c r="BB290" s="885"/>
      <c r="BC290" s="885"/>
      <c r="BD290" s="885"/>
      <c r="BE290" s="885"/>
      <c r="BF290" s="885"/>
      <c r="BG290" s="885"/>
      <c r="BH290" s="885"/>
    </row>
    <row r="291" spans="2:60" x14ac:dyDescent="0.25">
      <c r="B291" s="35"/>
      <c r="C291" s="39" t="str">
        <f t="shared" si="46"/>
        <v>Overfill or Backflow</v>
      </c>
      <c r="D291" s="19"/>
      <c r="AK291" s="2892"/>
      <c r="AL291" s="2892"/>
      <c r="AM291" s="2892"/>
      <c r="AN291" s="2892"/>
      <c r="AO291" s="2892"/>
      <c r="AP291" s="2892"/>
      <c r="AQ291" s="2892"/>
      <c r="AR291" s="2892"/>
      <c r="AS291" s="2892"/>
      <c r="AT291" s="2892"/>
      <c r="AU291" s="2892"/>
      <c r="AV291" s="2892"/>
      <c r="AW291" s="2892"/>
      <c r="AX291" s="2892"/>
      <c r="AY291" s="2892"/>
      <c r="AZ291" s="2892"/>
      <c r="BA291" s="2892"/>
      <c r="BB291" s="2892"/>
      <c r="BC291" s="2892"/>
      <c r="BD291" s="2892"/>
      <c r="BE291" s="2892"/>
      <c r="BF291" s="2892"/>
      <c r="BG291" s="2892"/>
      <c r="BH291" s="2892"/>
    </row>
    <row r="292" spans="2:60" x14ac:dyDescent="0.25">
      <c r="B292" s="35"/>
      <c r="C292" s="39" t="str">
        <f t="shared" ref="C292:C316" si="47">C39</f>
        <v>Overflow - Flooding or Plugging</v>
      </c>
      <c r="D292" s="19"/>
      <c r="AK292" s="39"/>
      <c r="AL292" s="39"/>
      <c r="AM292" s="39"/>
      <c r="AN292" s="39"/>
      <c r="AO292" s="39"/>
      <c r="AP292" s="39"/>
      <c r="AQ292" s="738"/>
      <c r="AR292" s="39"/>
      <c r="AS292" s="1001"/>
      <c r="AT292" s="39"/>
      <c r="AU292" s="39"/>
      <c r="AV292" s="39"/>
      <c r="AW292" s="39"/>
      <c r="AX292" s="39"/>
      <c r="AY292" s="39"/>
      <c r="AZ292" s="39"/>
      <c r="BA292" s="39"/>
      <c r="BB292" s="39"/>
      <c r="BC292" s="39"/>
      <c r="BD292" s="39"/>
      <c r="BE292" s="39"/>
      <c r="BF292" s="39"/>
      <c r="BG292" s="39"/>
      <c r="BH292" s="39"/>
    </row>
    <row r="293" spans="2:60" x14ac:dyDescent="0.25">
      <c r="B293" s="35"/>
      <c r="C293" s="39" t="str">
        <f t="shared" si="47"/>
        <v>Physical Damage or Puncture</v>
      </c>
      <c r="D293" s="19"/>
      <c r="AK293" s="39"/>
      <c r="AL293" s="39"/>
      <c r="AM293" s="39"/>
      <c r="AN293" s="39"/>
      <c r="AO293" s="39"/>
      <c r="AP293" s="39"/>
      <c r="AQ293" s="738"/>
      <c r="AR293" s="39"/>
      <c r="AS293" s="1001"/>
      <c r="AT293" s="39"/>
      <c r="AU293" s="39"/>
      <c r="AV293" s="39"/>
      <c r="AW293" s="39"/>
      <c r="AX293" s="39"/>
      <c r="AY293" s="39"/>
      <c r="AZ293" s="39"/>
      <c r="BA293" s="39"/>
      <c r="BB293" s="39"/>
      <c r="BC293" s="39"/>
      <c r="BD293" s="39"/>
      <c r="BE293" s="39"/>
      <c r="BF293" s="39"/>
      <c r="BG293" s="39"/>
      <c r="BH293" s="39"/>
    </row>
    <row r="294" spans="2:60" x14ac:dyDescent="0.25">
      <c r="B294" s="35"/>
      <c r="C294" s="39" t="str">
        <f t="shared" si="47"/>
        <v>Mechanical Integrity Failure - Extremely Large</v>
      </c>
      <c r="D294" s="19"/>
      <c r="AK294" s="39"/>
      <c r="AL294" s="39"/>
      <c r="AM294" s="39"/>
      <c r="AN294" s="39"/>
      <c r="AO294" s="39"/>
      <c r="AP294" s="39"/>
      <c r="AQ294" s="738"/>
      <c r="AR294" s="39"/>
      <c r="AS294" s="1001"/>
      <c r="AT294" s="39"/>
      <c r="AU294" s="39"/>
      <c r="AV294" s="39"/>
      <c r="AW294" s="39"/>
      <c r="AX294" s="39"/>
      <c r="AY294" s="39"/>
      <c r="AZ294" s="39"/>
      <c r="BA294" s="39"/>
      <c r="BB294" s="39"/>
      <c r="BC294" s="39"/>
      <c r="BD294" s="39"/>
      <c r="BE294" s="39"/>
      <c r="BF294" s="39"/>
      <c r="BG294" s="39"/>
      <c r="BH294" s="39"/>
    </row>
    <row r="295" spans="2:60" x14ac:dyDescent="0.25">
      <c r="B295" s="35"/>
      <c r="C295" s="39" t="str">
        <f t="shared" si="47"/>
        <v>Mechanical Integrity Failure - Very Large</v>
      </c>
      <c r="D295" s="19"/>
      <c r="AK295" s="39"/>
      <c r="AL295" s="39"/>
      <c r="AM295" s="39"/>
      <c r="AN295" s="39"/>
      <c r="AO295" s="39"/>
      <c r="AP295" s="39"/>
      <c r="AQ295" s="738"/>
      <c r="AR295" s="39"/>
      <c r="AS295" s="1001"/>
      <c r="AT295" s="39"/>
      <c r="AU295" s="39"/>
      <c r="AV295" s="39"/>
      <c r="AW295" s="39"/>
      <c r="AX295" s="39"/>
      <c r="AY295" s="39"/>
      <c r="AZ295" s="39"/>
      <c r="BA295" s="39"/>
      <c r="BB295" s="39"/>
      <c r="BC295" s="39"/>
      <c r="BD295" s="39"/>
      <c r="BE295" s="39"/>
      <c r="BF295" s="39"/>
      <c r="BG295" s="39"/>
      <c r="BH295" s="39"/>
    </row>
    <row r="296" spans="2:60" x14ac:dyDescent="0.25">
      <c r="B296" s="35"/>
      <c r="C296" s="39" t="str">
        <f t="shared" si="47"/>
        <v>Piping or Equipment Leak - Full Bore</v>
      </c>
      <c r="D296" s="19"/>
      <c r="AK296" s="39"/>
      <c r="AL296" s="39"/>
      <c r="AM296" s="39"/>
      <c r="AN296" s="39"/>
      <c r="AO296" s="39"/>
      <c r="AP296" s="39"/>
      <c r="AQ296" s="738"/>
      <c r="AR296" s="39"/>
      <c r="AS296" s="1001"/>
      <c r="AT296" s="39"/>
      <c r="AU296" s="39"/>
      <c r="AV296" s="39"/>
      <c r="AW296" s="39"/>
      <c r="AX296" s="39"/>
      <c r="AY296" s="39"/>
      <c r="AZ296" s="39"/>
      <c r="BA296" s="39"/>
      <c r="BB296" s="39"/>
      <c r="BC296" s="39"/>
      <c r="BD296" s="39"/>
      <c r="BE296" s="39"/>
      <c r="BF296" s="39"/>
      <c r="BG296" s="39"/>
      <c r="BH296" s="39"/>
    </row>
    <row r="297" spans="2:60" x14ac:dyDescent="0.25">
      <c r="B297" s="35"/>
      <c r="C297" s="39" t="str">
        <f t="shared" si="47"/>
        <v>Mechanical Integrity Failure - Medium</v>
      </c>
      <c r="D297" s="19"/>
      <c r="AK297" s="39"/>
      <c r="AL297" s="39"/>
      <c r="AM297" s="39"/>
      <c r="AN297" s="39"/>
      <c r="AO297" s="39"/>
      <c r="AP297" s="39"/>
      <c r="AQ297" s="738"/>
      <c r="AR297" s="39"/>
      <c r="AS297" s="1001"/>
      <c r="AT297" s="39"/>
      <c r="AU297" s="39"/>
      <c r="AV297" s="39"/>
      <c r="AW297" s="39"/>
      <c r="AX297" s="39"/>
      <c r="AY297" s="39"/>
      <c r="AZ297" s="39"/>
      <c r="BA297" s="39"/>
      <c r="BB297" s="39"/>
      <c r="BC297" s="39"/>
      <c r="BD297" s="39"/>
      <c r="BE297" s="39"/>
      <c r="BF297" s="39"/>
      <c r="BG297" s="39"/>
      <c r="BH297" s="39"/>
    </row>
    <row r="298" spans="2:60" x14ac:dyDescent="0.25">
      <c r="B298" s="35"/>
      <c r="C298" s="39" t="str">
        <f t="shared" si="47"/>
        <v>Relief Device Failure</v>
      </c>
      <c r="D298" s="19"/>
      <c r="AK298" s="39"/>
      <c r="AL298" s="39"/>
      <c r="AM298" s="39"/>
      <c r="AN298" s="39"/>
      <c r="AO298" s="39"/>
      <c r="AP298" s="39"/>
      <c r="AQ298" s="738"/>
      <c r="AR298" s="39"/>
      <c r="AS298" s="1001"/>
      <c r="AT298" s="39"/>
      <c r="AU298" s="39"/>
      <c r="AV298" s="39"/>
      <c r="AW298" s="39"/>
      <c r="AX298" s="39"/>
      <c r="AY298" s="39"/>
      <c r="AZ298" s="39"/>
      <c r="BA298" s="39"/>
      <c r="BB298" s="39"/>
      <c r="BC298" s="39"/>
      <c r="BD298" s="39"/>
      <c r="BE298" s="39"/>
      <c r="BF298" s="39"/>
      <c r="BG298" s="39"/>
      <c r="BH298" s="39"/>
    </row>
    <row r="299" spans="2:60" x14ac:dyDescent="0.25">
      <c r="B299" s="35"/>
      <c r="C299" s="39" t="str">
        <f t="shared" si="47"/>
        <v>Piping or Equipment Leak - Small</v>
      </c>
      <c r="D299" s="19"/>
      <c r="AK299" s="1374"/>
      <c r="AL299" s="1374"/>
      <c r="AM299" s="1374"/>
      <c r="AN299" s="1374"/>
      <c r="AO299" s="1374"/>
      <c r="AP299" s="1374"/>
      <c r="AQ299" s="1374"/>
      <c r="AR299" s="1374"/>
      <c r="AS299" s="1374"/>
      <c r="AT299" s="1374"/>
      <c r="AU299" s="1374"/>
      <c r="AV299" s="1374"/>
      <c r="AW299" s="1374"/>
      <c r="AX299" s="1374"/>
      <c r="AY299" s="1374"/>
      <c r="AZ299" s="1374"/>
      <c r="BA299" s="1374"/>
      <c r="BB299" s="1374"/>
      <c r="BC299" s="1374"/>
      <c r="BD299" s="1374"/>
      <c r="BE299" s="1374"/>
      <c r="BF299" s="1374"/>
      <c r="BG299" s="1374"/>
      <c r="BH299" s="1374"/>
    </row>
    <row r="300" spans="2:60" x14ac:dyDescent="0.25">
      <c r="B300" s="35"/>
      <c r="C300" s="39" t="str">
        <f t="shared" si="47"/>
        <v>Mechanical Integrity Failure - Very Small</v>
      </c>
      <c r="D300" s="19"/>
      <c r="AK300" s="39"/>
      <c r="AL300" s="39"/>
      <c r="AM300" s="39"/>
      <c r="AN300" s="39"/>
      <c r="AO300" s="39"/>
      <c r="AP300" s="39"/>
      <c r="AQ300" s="738"/>
      <c r="AR300" s="39"/>
      <c r="AS300" s="1001"/>
      <c r="AT300" s="39"/>
      <c r="AU300" s="39"/>
      <c r="AV300" s="39"/>
      <c r="AW300" s="39"/>
      <c r="AX300" s="39"/>
      <c r="AY300" s="39"/>
      <c r="AZ300" s="39"/>
      <c r="BA300" s="39"/>
      <c r="BB300" s="39"/>
      <c r="BC300" s="39"/>
      <c r="BD300" s="39"/>
      <c r="BE300" s="39"/>
      <c r="BF300" s="39"/>
      <c r="BG300" s="39"/>
      <c r="BH300" s="39"/>
    </row>
    <row r="301" spans="2:60" x14ac:dyDescent="0.25">
      <c r="B301" s="35"/>
      <c r="C301" s="39" t="str">
        <f t="shared" si="47"/>
        <v>Plugged or Frozen Vent Line</v>
      </c>
      <c r="D301" s="19"/>
      <c r="AK301" s="39"/>
      <c r="AL301" s="39"/>
      <c r="AM301" s="39"/>
      <c r="AN301" s="39"/>
      <c r="AO301" s="39"/>
      <c r="AP301" s="39"/>
      <c r="AQ301" s="738"/>
      <c r="AR301" s="39"/>
      <c r="AS301" s="1001"/>
      <c r="AT301" s="39"/>
      <c r="AU301" s="39"/>
      <c r="AV301" s="39"/>
      <c r="AW301" s="39"/>
      <c r="AX301" s="39"/>
      <c r="AY301" s="39"/>
      <c r="AZ301" s="39"/>
      <c r="BA301" s="39"/>
      <c r="BB301" s="39"/>
      <c r="BC301" s="39"/>
      <c r="BD301" s="39"/>
      <c r="BE301" s="39"/>
      <c r="BF301" s="39"/>
      <c r="BG301" s="39"/>
      <c r="BH301" s="39"/>
    </row>
    <row r="302" spans="2:60" x14ac:dyDescent="0.25">
      <c r="B302" s="35"/>
      <c r="C302" s="39" t="str">
        <f t="shared" si="47"/>
        <v>Pressure Damage</v>
      </c>
      <c r="D302" s="19"/>
      <c r="AK302" s="39"/>
      <c r="AL302" s="39"/>
      <c r="AM302" s="39"/>
      <c r="AN302" s="39"/>
      <c r="AO302" s="39"/>
      <c r="AP302" s="39"/>
      <c r="AQ302" s="738"/>
      <c r="AR302" s="39"/>
      <c r="AS302" s="1001"/>
      <c r="AT302" s="39"/>
      <c r="AU302" s="39"/>
      <c r="AV302" s="39"/>
      <c r="AW302" s="39"/>
      <c r="AX302" s="39"/>
      <c r="AY302" s="39"/>
      <c r="AZ302" s="39"/>
      <c r="BA302" s="39"/>
      <c r="BB302" s="39"/>
      <c r="BC302" s="39"/>
      <c r="BD302" s="39"/>
      <c r="BE302" s="39"/>
      <c r="BF302" s="39"/>
      <c r="BG302" s="39"/>
      <c r="BH302" s="39"/>
    </row>
    <row r="303" spans="2:60" x14ac:dyDescent="0.25">
      <c r="B303" s="35"/>
      <c r="C303" s="39" t="str">
        <f t="shared" si="47"/>
        <v>Propagation of Flame or Burning Ember</v>
      </c>
      <c r="D303" s="19"/>
      <c r="AK303" s="1475"/>
      <c r="AL303" s="1475"/>
      <c r="AM303" s="1475"/>
      <c r="AN303" s="1475"/>
      <c r="AO303" s="1475"/>
      <c r="AP303" s="1475"/>
      <c r="AQ303" s="1475"/>
      <c r="AR303" s="1475"/>
      <c r="AS303" s="1475"/>
      <c r="AT303" s="1475"/>
      <c r="AU303" s="1475"/>
      <c r="AV303" s="1475"/>
      <c r="AW303" s="1475"/>
      <c r="AX303" s="1475"/>
      <c r="AY303" s="1475"/>
      <c r="AZ303" s="1475"/>
      <c r="BA303" s="1475"/>
      <c r="BB303" s="1475"/>
      <c r="BC303" s="1475"/>
      <c r="BD303" s="1475"/>
      <c r="BE303" s="1475"/>
      <c r="BF303" s="1475"/>
      <c r="BG303" s="1475"/>
      <c r="BH303" s="1475"/>
    </row>
    <row r="304" spans="2:60" x14ac:dyDescent="0.25">
      <c r="B304" s="35"/>
      <c r="C304" s="39" t="str">
        <f t="shared" si="47"/>
        <v>Pump Deadhead</v>
      </c>
      <c r="D304" s="19"/>
      <c r="AK304" s="39"/>
      <c r="AL304" s="39"/>
      <c r="AM304" s="39"/>
      <c r="AN304" s="39"/>
      <c r="AO304" s="39"/>
      <c r="AP304" s="39"/>
      <c r="AQ304" s="738"/>
      <c r="AR304" s="39"/>
      <c r="AS304" s="1001"/>
      <c r="AT304" s="39"/>
      <c r="AU304" s="39"/>
      <c r="AV304" s="39"/>
      <c r="AW304" s="39"/>
      <c r="AX304" s="39"/>
      <c r="AY304" s="39"/>
      <c r="AZ304" s="39"/>
      <c r="BA304" s="39"/>
      <c r="BB304" s="39"/>
      <c r="BC304" s="39"/>
      <c r="BD304" s="39"/>
      <c r="BE304" s="39"/>
      <c r="BF304" s="39"/>
      <c r="BG304" s="39"/>
      <c r="BH304" s="39"/>
    </row>
    <row r="305" spans="2:60" x14ac:dyDescent="0.25">
      <c r="B305" s="35"/>
      <c r="C305" s="39" t="str">
        <f t="shared" si="47"/>
        <v>Rotating Equipment Damage</v>
      </c>
      <c r="D305" s="19"/>
      <c r="AK305" s="39"/>
      <c r="AL305" s="39"/>
      <c r="AM305" s="39"/>
      <c r="AN305" s="39"/>
      <c r="AO305" s="39"/>
      <c r="AP305" s="39"/>
      <c r="AQ305" s="738"/>
      <c r="AR305" s="39"/>
      <c r="AS305" s="1001"/>
      <c r="AT305" s="39"/>
      <c r="AU305" s="39"/>
      <c r="AV305" s="39"/>
      <c r="AW305" s="39"/>
      <c r="AX305" s="39"/>
      <c r="AY305" s="39"/>
      <c r="AZ305" s="39"/>
      <c r="BA305" s="39"/>
      <c r="BB305" s="39"/>
      <c r="BC305" s="39"/>
      <c r="BD305" s="39"/>
      <c r="BE305" s="39"/>
      <c r="BF305" s="39"/>
      <c r="BG305" s="39"/>
      <c r="BH305" s="39"/>
    </row>
    <row r="306" spans="2:60" x14ac:dyDescent="0.25">
      <c r="B306" s="35"/>
      <c r="C306" s="39" t="str">
        <f t="shared" si="47"/>
        <v>Seal Leak</v>
      </c>
      <c r="D306" s="19"/>
      <c r="AK306" s="39"/>
      <c r="AL306" s="39"/>
      <c r="AM306" s="39"/>
      <c r="AN306" s="39"/>
      <c r="AO306" s="39"/>
      <c r="AP306" s="39"/>
      <c r="AQ306" s="738"/>
      <c r="AR306" s="39"/>
      <c r="AS306" s="1001"/>
      <c r="AT306" s="39"/>
      <c r="AU306" s="39"/>
      <c r="AV306" s="39"/>
      <c r="AW306" s="39"/>
      <c r="AX306" s="39"/>
      <c r="AY306" s="39"/>
      <c r="AZ306" s="39"/>
      <c r="BA306" s="39"/>
      <c r="BB306" s="39"/>
      <c r="BC306" s="39"/>
      <c r="BD306" s="39"/>
      <c r="BE306" s="39"/>
      <c r="BF306" s="39"/>
      <c r="BG306" s="39"/>
      <c r="BH306" s="39"/>
    </row>
    <row r="307" spans="2:60" x14ac:dyDescent="0.25">
      <c r="B307" s="35"/>
      <c r="C307" s="39" t="str">
        <f t="shared" si="47"/>
        <v>Tube Failure</v>
      </c>
      <c r="D307" s="19"/>
      <c r="AK307" s="39"/>
      <c r="AL307" s="39"/>
      <c r="AM307" s="39"/>
      <c r="AN307" s="39"/>
      <c r="AO307" s="39"/>
      <c r="AP307" s="39"/>
      <c r="AQ307" s="738"/>
      <c r="AR307" s="39"/>
      <c r="AS307" s="1001"/>
      <c r="AT307" s="39"/>
      <c r="AU307" s="39"/>
      <c r="AV307" s="39"/>
      <c r="AW307" s="39"/>
      <c r="AX307" s="39"/>
      <c r="AY307" s="39"/>
      <c r="AZ307" s="39"/>
      <c r="BA307" s="39"/>
      <c r="BB307" s="39"/>
      <c r="BC307" s="39"/>
      <c r="BD307" s="39"/>
      <c r="BE307" s="39"/>
      <c r="BF307" s="39"/>
      <c r="BG307" s="39"/>
      <c r="BH307" s="39"/>
    </row>
    <row r="308" spans="2:60" x14ac:dyDescent="0.25">
      <c r="B308" s="35"/>
      <c r="C308" s="39" t="str">
        <f t="shared" si="47"/>
        <v>Uncontrolled Reaction - Adiabatic</v>
      </c>
      <c r="D308" s="19"/>
      <c r="AK308" s="738"/>
      <c r="AL308" s="738"/>
      <c r="AM308" s="738"/>
      <c r="AN308" s="738"/>
      <c r="AO308" s="738"/>
      <c r="AP308" s="738"/>
      <c r="AQ308" s="738"/>
      <c r="AR308" s="738"/>
      <c r="AS308" s="1001"/>
      <c r="AT308" s="738"/>
      <c r="AU308" s="738"/>
      <c r="AV308" s="738"/>
      <c r="AW308" s="738"/>
      <c r="AX308" s="738"/>
      <c r="AY308" s="738"/>
      <c r="AZ308" s="738"/>
      <c r="BA308" s="738"/>
      <c r="BB308" s="738"/>
      <c r="BC308" s="738"/>
      <c r="BD308" s="738"/>
      <c r="BE308" s="738"/>
      <c r="BF308" s="738"/>
      <c r="BG308" s="738"/>
      <c r="BH308" s="738"/>
    </row>
    <row r="309" spans="2:60" x14ac:dyDescent="0.25">
      <c r="B309" s="35"/>
      <c r="C309" s="39" t="str">
        <f t="shared" si="47"/>
        <v>Uncontrolled Reaction - Thermal Initiation</v>
      </c>
      <c r="D309" s="19"/>
      <c r="AK309" s="39"/>
      <c r="AL309" s="39"/>
      <c r="AM309" s="39"/>
      <c r="AN309" s="39"/>
      <c r="AO309" s="39"/>
      <c r="AP309" s="39"/>
      <c r="AQ309" s="738"/>
      <c r="AR309" s="39"/>
      <c r="AS309" s="1001"/>
      <c r="AT309" s="39"/>
      <c r="AU309" s="39"/>
      <c r="AV309" s="39"/>
      <c r="AW309" s="39"/>
      <c r="AX309" s="39"/>
      <c r="AY309" s="39"/>
      <c r="AZ309" s="39"/>
      <c r="BA309" s="39"/>
      <c r="BB309" s="39"/>
      <c r="BC309" s="39"/>
      <c r="BD309" s="39"/>
      <c r="BE309" s="39"/>
      <c r="BF309" s="39"/>
      <c r="BG309" s="39"/>
      <c r="BH309" s="39"/>
    </row>
    <row r="310" spans="2:60" x14ac:dyDescent="0.25">
      <c r="B310" s="1155"/>
      <c r="C310" s="39" t="str">
        <f t="shared" si="47"/>
        <v>Uncontrolled Reaction - Fire Induced</v>
      </c>
      <c r="D310" s="19"/>
      <c r="AK310" s="39"/>
      <c r="AL310" s="39"/>
      <c r="AM310" s="39"/>
      <c r="AN310" s="39"/>
      <c r="AO310" s="39"/>
      <c r="AP310" s="39"/>
      <c r="AQ310" s="738"/>
      <c r="AR310" s="39"/>
      <c r="AS310" s="1001"/>
      <c r="AT310" s="39"/>
      <c r="AU310" s="39"/>
      <c r="AV310" s="39"/>
      <c r="AW310" s="39"/>
      <c r="AX310" s="39"/>
      <c r="AY310" s="39"/>
      <c r="AZ310" s="39"/>
      <c r="BA310" s="39"/>
      <c r="BB310" s="39"/>
      <c r="BC310" s="39"/>
      <c r="BD310" s="39"/>
      <c r="BE310" s="39"/>
      <c r="BF310" s="39"/>
      <c r="BG310" s="39"/>
      <c r="BH310" s="39"/>
    </row>
    <row r="311" spans="2:60" x14ac:dyDescent="0.25">
      <c r="B311" s="35"/>
      <c r="C311" s="39" t="str">
        <f t="shared" si="47"/>
        <v>Uncontrolled Reaction - Catalyst or Impurity</v>
      </c>
      <c r="D311" s="19"/>
      <c r="AK311" s="39"/>
      <c r="AL311" s="39"/>
      <c r="AM311" s="39"/>
      <c r="AN311" s="39"/>
      <c r="AO311" s="39"/>
      <c r="AP311" s="39"/>
      <c r="AQ311" s="738"/>
      <c r="AR311" s="39"/>
      <c r="AS311" s="1001"/>
      <c r="AT311" s="39"/>
      <c r="AU311" s="39"/>
      <c r="AV311" s="39"/>
      <c r="AW311" s="39"/>
      <c r="AX311" s="39"/>
      <c r="AY311" s="39"/>
      <c r="AZ311" s="39"/>
      <c r="BA311" s="39"/>
      <c r="BB311" s="39"/>
      <c r="BC311" s="39"/>
      <c r="BD311" s="39"/>
      <c r="BE311" s="39"/>
      <c r="BF311" s="39"/>
      <c r="BG311" s="39"/>
      <c r="BH311" s="39"/>
    </row>
    <row r="312" spans="2:60" x14ac:dyDescent="0.25">
      <c r="B312" s="35"/>
      <c r="C312" s="39" t="str">
        <f t="shared" si="47"/>
        <v>Uncontrolled Reaction - Pooling of Reactants</v>
      </c>
      <c r="D312" s="19"/>
      <c r="AK312" s="39"/>
      <c r="AL312" s="39"/>
      <c r="AM312" s="39"/>
      <c r="AN312" s="39"/>
      <c r="AO312" s="39"/>
      <c r="AP312" s="39"/>
      <c r="AQ312" s="738"/>
      <c r="AR312" s="39"/>
      <c r="AS312" s="1001"/>
      <c r="AT312" s="39"/>
      <c r="AU312" s="39"/>
      <c r="AV312" s="39"/>
      <c r="AW312" s="39"/>
      <c r="AX312" s="39"/>
      <c r="AY312" s="39"/>
      <c r="AZ312" s="39"/>
      <c r="BA312" s="39"/>
      <c r="BB312" s="39"/>
      <c r="BC312" s="39"/>
      <c r="BD312" s="39"/>
      <c r="BE312" s="39"/>
      <c r="BF312" s="39"/>
      <c r="BG312" s="39"/>
      <c r="BH312" s="39"/>
    </row>
    <row r="313" spans="2:60" x14ac:dyDescent="0.25">
      <c r="B313" s="35"/>
      <c r="C313" s="39" t="str">
        <f t="shared" si="47"/>
        <v>Uncontrolled Reaction - Mis-Loading</v>
      </c>
      <c r="D313" s="19"/>
      <c r="AK313" s="39"/>
      <c r="AL313" s="39"/>
      <c r="AM313" s="39"/>
      <c r="AN313" s="39"/>
      <c r="AO313" s="39"/>
      <c r="AP313" s="39"/>
      <c r="AQ313" s="738"/>
      <c r="AR313" s="39"/>
      <c r="AS313" s="1001"/>
      <c r="AT313" s="39"/>
      <c r="AU313" s="39"/>
      <c r="AV313" s="39"/>
      <c r="AW313" s="39"/>
      <c r="AX313" s="39"/>
      <c r="AY313" s="39"/>
      <c r="AZ313" s="39"/>
      <c r="BA313" s="39"/>
      <c r="BB313" s="39"/>
      <c r="BC313" s="39"/>
      <c r="BD313" s="39"/>
      <c r="BE313" s="39"/>
      <c r="BF313" s="39"/>
      <c r="BG313" s="39"/>
      <c r="BH313" s="39"/>
    </row>
    <row r="314" spans="2:60" x14ac:dyDescent="0.25">
      <c r="B314" s="35"/>
      <c r="C314" s="39" t="str">
        <f t="shared" si="47"/>
        <v>Uncontrolled Reaction - Incompatible Materials</v>
      </c>
      <c r="D314" s="19"/>
      <c r="AK314" s="39"/>
      <c r="AL314" s="39"/>
      <c r="AM314" s="39"/>
      <c r="AN314" s="39"/>
      <c r="AO314" s="39"/>
      <c r="AP314" s="39"/>
      <c r="AQ314" s="738"/>
      <c r="AR314" s="39"/>
      <c r="AS314" s="1001"/>
      <c r="AT314" s="39"/>
      <c r="AU314" s="39"/>
      <c r="AV314" s="39"/>
      <c r="AW314" s="39"/>
      <c r="AX314" s="39"/>
      <c r="AY314" s="39"/>
      <c r="AZ314" s="39"/>
      <c r="BA314" s="39"/>
      <c r="BB314" s="39"/>
      <c r="BC314" s="39"/>
      <c r="BD314" s="39"/>
      <c r="BE314" s="39"/>
      <c r="BF314" s="39"/>
      <c r="BG314" s="39"/>
      <c r="BH314" s="39"/>
    </row>
    <row r="315" spans="2:60" x14ac:dyDescent="0.25">
      <c r="B315" s="35"/>
      <c r="C315" s="39" t="str">
        <f t="shared" si="47"/>
        <v>Vacuum Damage</v>
      </c>
      <c r="D315" s="19"/>
      <c r="AK315" s="39"/>
      <c r="AL315" s="39"/>
      <c r="AM315" s="39"/>
      <c r="AN315" s="39"/>
      <c r="AO315" s="39"/>
      <c r="AP315" s="39"/>
      <c r="AQ315" s="738"/>
      <c r="AR315" s="39"/>
      <c r="AS315" s="1001"/>
      <c r="AT315" s="39"/>
      <c r="AU315" s="39"/>
      <c r="AV315" s="39"/>
      <c r="AW315" s="39"/>
      <c r="AX315" s="39"/>
      <c r="AY315" s="39"/>
      <c r="AZ315" s="39"/>
      <c r="BA315" s="39"/>
      <c r="BB315" s="39"/>
      <c r="BC315" s="39"/>
      <c r="BD315" s="39"/>
      <c r="BE315" s="39"/>
      <c r="BF315" s="39"/>
      <c r="BG315" s="39"/>
      <c r="BH315" s="39"/>
    </row>
    <row r="316" spans="2:60" x14ac:dyDescent="0.25">
      <c r="B316" s="35"/>
      <c r="C316" s="39" t="str">
        <f t="shared" si="47"/>
        <v>USER DEFINED - EVENT TYPE</v>
      </c>
      <c r="D316" s="19"/>
      <c r="AK316" s="39"/>
      <c r="AL316" s="39"/>
      <c r="AM316" s="39"/>
      <c r="AN316" s="39"/>
      <c r="AO316" s="39"/>
      <c r="AP316" s="39"/>
      <c r="AQ316" s="738"/>
      <c r="AR316" s="39"/>
      <c r="AS316" s="1001"/>
      <c r="AT316" s="39"/>
      <c r="AU316" s="39"/>
      <c r="AV316" s="39"/>
      <c r="AW316" s="39"/>
      <c r="AX316" s="39"/>
      <c r="AY316" s="39"/>
      <c r="AZ316" s="39"/>
      <c r="BA316" s="39"/>
      <c r="BB316" s="39"/>
      <c r="BC316" s="39"/>
      <c r="BD316" s="39"/>
      <c r="BE316" s="39"/>
      <c r="BF316" s="39"/>
      <c r="BG316" s="39"/>
      <c r="BH316" s="39"/>
    </row>
  </sheetData>
  <sheetProtection sheet="1" objects="1" scenarios="1"/>
  <mergeCells count="12">
    <mergeCell ref="E71:AI71"/>
    <mergeCell ref="E2:AI2"/>
    <mergeCell ref="BJ71:DJ71"/>
    <mergeCell ref="BJ2:DJ2"/>
    <mergeCell ref="AK2:BH2"/>
    <mergeCell ref="AK71:BH71"/>
    <mergeCell ref="AK195:BH195"/>
    <mergeCell ref="AK257:BH257"/>
    <mergeCell ref="DL2:DQ2"/>
    <mergeCell ref="BJ133:DJ133"/>
    <mergeCell ref="BJ195:DJ195"/>
    <mergeCell ref="AK133:BH133"/>
  </mergeCells>
  <phoneticPr fontId="3" type="noConversion"/>
  <pageMargins left="0.25" right="0" top="0" bottom="0" header="0" footer="0"/>
  <pageSetup scale="60" pageOrder="overThenDown" orientation="landscape" r:id="rId1"/>
  <headerFooter alignWithMargins="0"/>
  <rowBreaks count="2" manualBreakCount="2">
    <brk id="64" max="16383" man="1"/>
    <brk id="131" max="16383" man="1"/>
  </rowBreaks>
  <ignoredErrors>
    <ignoredError sqref="DX7:DY7 DY8:DY11 DX11:DX13 DY13:DY14 DX19:DY19 DX20:DX22 DX24:DX25 DY25:DY28 DX30:DX33 DY31:DY32 DY34:DY36 DX36 DX38:DY38 DX40:DY40 DY41:DY47 DX46 DX48:DX52 DY49 DY52:DY53 ED53 DX54:DX61 DY55:DY60 DY62 DY6" evalError="1"/>
    <ignoredError sqref="L17 Y17 AE17:AF17 AH17 AF46 AK86 AF113 BE114 AK119 AY120" formula="1"/>
    <ignoredError sqref="DH20 DS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218" r:id="rId4" name="Button 50">
              <controlPr defaultSize="0" print="0" autoFill="0" autoPict="0" macro="[0]!Show_All_Scenarios_Considered">
                <anchor moveWithCells="1" sizeWithCells="1">
                  <from>
                    <xdr:col>2</xdr:col>
                    <xdr:colOff>876300</xdr:colOff>
                    <xdr:row>0</xdr:row>
                    <xdr:rowOff>152400</xdr:rowOff>
                  </from>
                  <to>
                    <xdr:col>2</xdr:col>
                    <xdr:colOff>1981200</xdr:colOff>
                    <xdr:row>1</xdr:row>
                    <xdr:rowOff>203200</xdr:rowOff>
                  </to>
                </anchor>
              </controlPr>
            </control>
          </mc:Choice>
        </mc:AlternateContent>
        <mc:AlternateContent xmlns:mc="http://schemas.openxmlformats.org/markup-compatibility/2006">
          <mc:Choice Requires="x14">
            <control shapeId="7219" r:id="rId5" name="Button 51">
              <controlPr defaultSize="0" print="0" autoFill="0" autoPict="0" macro="[0]!Show_All_Scenarios">
                <anchor moveWithCells="1" sizeWithCells="1">
                  <from>
                    <xdr:col>2</xdr:col>
                    <xdr:colOff>69850</xdr:colOff>
                    <xdr:row>0</xdr:row>
                    <xdr:rowOff>146050</xdr:rowOff>
                  </from>
                  <to>
                    <xdr:col>2</xdr:col>
                    <xdr:colOff>762000</xdr:colOff>
                    <xdr:row>1</xdr:row>
                    <xdr:rowOff>190500</xdr:rowOff>
                  </to>
                </anchor>
              </controlPr>
            </control>
          </mc:Choice>
        </mc:AlternateContent>
        <mc:AlternateContent xmlns:mc="http://schemas.openxmlformats.org/markup-compatibility/2006">
          <mc:Choice Requires="x14">
            <control shapeId="7220" r:id="rId6" name="Button 52">
              <controlPr defaultSize="0" print="0" autoFill="0" autoPict="0" macro="[0]!Show_Only_Applicable_Scenarios">
                <anchor moveWithCells="1" sizeWithCells="1">
                  <from>
                    <xdr:col>2</xdr:col>
                    <xdr:colOff>2133600</xdr:colOff>
                    <xdr:row>0</xdr:row>
                    <xdr:rowOff>152400</xdr:rowOff>
                  </from>
                  <to>
                    <xdr:col>2</xdr:col>
                    <xdr:colOff>3346450</xdr:colOff>
                    <xdr:row>1</xdr:row>
                    <xdr:rowOff>203200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pageSetUpPr fitToPage="1"/>
  </sheetPr>
  <dimension ref="A2:G179"/>
  <sheetViews>
    <sheetView showGridLines="0" showRowColHeaders="0" topLeftCell="A119" zoomScale="75" workbookViewId="0">
      <selection activeCell="C133" sqref="C133"/>
    </sheetView>
  </sheetViews>
  <sheetFormatPr defaultColWidth="9.1796875" defaultRowHeight="12.5" x14ac:dyDescent="0.25"/>
  <cols>
    <col min="1" max="1" width="2.1796875" style="294" customWidth="1"/>
    <col min="2" max="2" width="12.453125" style="303" customWidth="1"/>
    <col min="3" max="3" width="67.1796875" style="294" customWidth="1"/>
    <col min="4" max="4" width="14.1796875" style="294" customWidth="1"/>
    <col min="5" max="5" width="68.81640625" style="294" customWidth="1"/>
    <col min="6" max="6" width="15.81640625" style="294" customWidth="1"/>
    <col min="7" max="7" width="72.1796875" style="294" customWidth="1"/>
    <col min="8" max="8" width="5.81640625" style="294" customWidth="1"/>
    <col min="9" max="16384" width="9.1796875" style="294"/>
  </cols>
  <sheetData>
    <row r="2" spans="2:7" ht="13" x14ac:dyDescent="0.25">
      <c r="B2" s="318"/>
      <c r="C2" s="319" t="s">
        <v>79</v>
      </c>
      <c r="D2" s="320"/>
      <c r="E2" s="319" t="s">
        <v>1732</v>
      </c>
      <c r="F2" s="320"/>
      <c r="G2" s="319" t="s">
        <v>1576</v>
      </c>
    </row>
    <row r="3" spans="2:7" ht="4.75" customHeight="1" thickBot="1" x14ac:dyDescent="0.3">
      <c r="B3" s="318"/>
      <c r="C3" s="320"/>
      <c r="D3" s="320"/>
      <c r="E3" s="319"/>
      <c r="F3" s="320"/>
      <c r="G3" s="320"/>
    </row>
    <row r="4" spans="2:7" ht="13.5" thickBot="1" x14ac:dyDescent="0.3">
      <c r="B4" s="308"/>
      <c r="C4" s="1386" t="s">
        <v>46</v>
      </c>
      <c r="D4" s="310"/>
      <c r="E4" s="309" t="s">
        <v>1213</v>
      </c>
      <c r="F4" s="310"/>
      <c r="G4" s="311" t="s">
        <v>1920</v>
      </c>
    </row>
    <row r="5" spans="2:7" x14ac:dyDescent="0.25">
      <c r="B5" s="2231" t="s">
        <v>436</v>
      </c>
      <c r="C5" s="2237" t="s">
        <v>75</v>
      </c>
      <c r="D5" s="2232" t="s">
        <v>437</v>
      </c>
      <c r="E5" s="296" t="s">
        <v>1851</v>
      </c>
      <c r="F5" s="296"/>
      <c r="G5" s="302"/>
    </row>
    <row r="6" spans="2:7" ht="13" x14ac:dyDescent="0.25">
      <c r="B6" s="2233" t="s">
        <v>49</v>
      </c>
      <c r="C6" s="2238" t="s">
        <v>78</v>
      </c>
      <c r="D6" s="303" t="s">
        <v>1296</v>
      </c>
      <c r="E6" s="294" t="s">
        <v>242</v>
      </c>
      <c r="F6" s="303"/>
      <c r="G6" s="298" t="s">
        <v>1577</v>
      </c>
    </row>
    <row r="7" spans="2:7" x14ac:dyDescent="0.25">
      <c r="B7" s="2233" t="s">
        <v>50</v>
      </c>
      <c r="C7" s="2238" t="s">
        <v>76</v>
      </c>
      <c r="D7" s="303" t="s">
        <v>1297</v>
      </c>
      <c r="E7" s="294" t="s">
        <v>1853</v>
      </c>
      <c r="F7" s="303" t="s">
        <v>438</v>
      </c>
      <c r="G7" s="1210" t="s">
        <v>3007</v>
      </c>
    </row>
    <row r="8" spans="2:7" ht="25" x14ac:dyDescent="0.25">
      <c r="B8" s="2233" t="s">
        <v>2786</v>
      </c>
      <c r="C8" s="2239" t="s">
        <v>5252</v>
      </c>
      <c r="D8" s="303" t="s">
        <v>1298</v>
      </c>
      <c r="E8" s="314" t="s">
        <v>1854</v>
      </c>
      <c r="F8" s="303" t="s">
        <v>1329</v>
      </c>
      <c r="G8" s="1210" t="s">
        <v>3009</v>
      </c>
    </row>
    <row r="9" spans="2:7" ht="25" x14ac:dyDescent="0.25">
      <c r="B9" s="2233"/>
      <c r="C9" s="2240" t="s">
        <v>1783</v>
      </c>
      <c r="D9" s="303" t="s">
        <v>1299</v>
      </c>
      <c r="E9" s="294" t="s">
        <v>1855</v>
      </c>
      <c r="F9" s="303" t="s">
        <v>1330</v>
      </c>
      <c r="G9" s="297" t="s">
        <v>1150</v>
      </c>
    </row>
    <row r="10" spans="2:7" x14ac:dyDescent="0.25">
      <c r="B10" s="2233" t="s">
        <v>51</v>
      </c>
      <c r="C10" s="2239" t="s">
        <v>5253</v>
      </c>
      <c r="D10" s="303" t="s">
        <v>1300</v>
      </c>
      <c r="E10" s="314" t="s">
        <v>1852</v>
      </c>
      <c r="F10" s="303" t="s">
        <v>1331</v>
      </c>
      <c r="G10" s="1210" t="s">
        <v>3008</v>
      </c>
    </row>
    <row r="11" spans="2:7" x14ac:dyDescent="0.25">
      <c r="B11" s="2233" t="s">
        <v>52</v>
      </c>
      <c r="C11" s="2239" t="s">
        <v>5254</v>
      </c>
      <c r="D11" s="303" t="s">
        <v>1301</v>
      </c>
      <c r="E11" s="294" t="s">
        <v>1388</v>
      </c>
      <c r="G11" s="297"/>
    </row>
    <row r="12" spans="2:7" ht="34.5" customHeight="1" x14ac:dyDescent="0.25">
      <c r="B12" s="2233" t="s">
        <v>53</v>
      </c>
      <c r="C12" s="2239" t="s">
        <v>4552</v>
      </c>
      <c r="D12" s="303" t="s">
        <v>1302</v>
      </c>
      <c r="E12" s="294" t="s">
        <v>3079</v>
      </c>
      <c r="F12" s="303"/>
      <c r="G12" s="297"/>
    </row>
    <row r="13" spans="2:7" x14ac:dyDescent="0.25">
      <c r="B13" s="2233" t="s">
        <v>1856</v>
      </c>
      <c r="C13" s="2238" t="s">
        <v>4064</v>
      </c>
      <c r="D13" s="303" t="s">
        <v>1303</v>
      </c>
      <c r="E13" s="294" t="s">
        <v>12</v>
      </c>
      <c r="F13" s="303"/>
      <c r="G13" s="297"/>
    </row>
    <row r="14" spans="2:7" ht="25" x14ac:dyDescent="0.25">
      <c r="B14" s="2233" t="s">
        <v>54</v>
      </c>
      <c r="C14" s="2239" t="s">
        <v>4553</v>
      </c>
      <c r="D14" s="303" t="s">
        <v>1304</v>
      </c>
      <c r="E14" s="294" t="s">
        <v>1387</v>
      </c>
      <c r="G14" s="298" t="s">
        <v>1917</v>
      </c>
    </row>
    <row r="15" spans="2:7" ht="37.5" x14ac:dyDescent="0.25">
      <c r="B15" s="2233" t="s">
        <v>1925</v>
      </c>
      <c r="C15" s="2239" t="s">
        <v>4554</v>
      </c>
      <c r="D15" s="303" t="s">
        <v>1306</v>
      </c>
      <c r="E15" s="294" t="s">
        <v>851</v>
      </c>
      <c r="F15" s="303" t="s">
        <v>1332</v>
      </c>
      <c r="G15" s="297" t="s">
        <v>854</v>
      </c>
    </row>
    <row r="16" spans="2:7" ht="26" x14ac:dyDescent="0.25">
      <c r="B16" s="2233" t="s">
        <v>1857</v>
      </c>
      <c r="C16" s="2239" t="s">
        <v>5255</v>
      </c>
      <c r="D16" s="303" t="s">
        <v>1305</v>
      </c>
      <c r="E16" s="2234" t="s">
        <v>5256</v>
      </c>
      <c r="F16" s="303" t="s">
        <v>1333</v>
      </c>
      <c r="G16" s="297" t="s">
        <v>884</v>
      </c>
    </row>
    <row r="17" spans="2:7" ht="37.5" x14ac:dyDescent="0.25">
      <c r="B17" s="2233" t="s">
        <v>312</v>
      </c>
      <c r="C17" s="2239" t="s">
        <v>4555</v>
      </c>
      <c r="D17" s="303" t="s">
        <v>1307</v>
      </c>
      <c r="E17" s="2234" t="s">
        <v>4003</v>
      </c>
      <c r="F17" s="303" t="s">
        <v>1334</v>
      </c>
      <c r="G17" s="297" t="s">
        <v>1608</v>
      </c>
    </row>
    <row r="18" spans="2:7" ht="28" customHeight="1" x14ac:dyDescent="0.25">
      <c r="B18" s="2233" t="s">
        <v>55</v>
      </c>
      <c r="C18" s="2238" t="s">
        <v>1928</v>
      </c>
      <c r="D18" s="329" t="s">
        <v>3014</v>
      </c>
      <c r="E18" s="1219" t="s">
        <v>3015</v>
      </c>
      <c r="F18" s="303" t="s">
        <v>3362</v>
      </c>
      <c r="G18" s="297" t="s">
        <v>3363</v>
      </c>
    </row>
    <row r="19" spans="2:7" ht="15.75" customHeight="1" x14ac:dyDescent="0.25">
      <c r="B19" s="2233" t="s">
        <v>56</v>
      </c>
      <c r="C19" s="2238" t="s">
        <v>363</v>
      </c>
      <c r="D19" s="329" t="s">
        <v>3046</v>
      </c>
      <c r="E19" s="1219" t="s">
        <v>3045</v>
      </c>
      <c r="F19" s="303" t="s">
        <v>3364</v>
      </c>
      <c r="G19" s="297" t="s">
        <v>3365</v>
      </c>
    </row>
    <row r="20" spans="2:7" ht="15.75" customHeight="1" x14ac:dyDescent="0.25">
      <c r="B20" s="2233" t="s">
        <v>57</v>
      </c>
      <c r="C20" s="2238" t="s">
        <v>364</v>
      </c>
      <c r="D20" s="329" t="s">
        <v>3284</v>
      </c>
      <c r="E20" s="1219" t="s">
        <v>3285</v>
      </c>
      <c r="F20" s="303" t="s">
        <v>3367</v>
      </c>
      <c r="G20" s="297" t="s">
        <v>3368</v>
      </c>
    </row>
    <row r="21" spans="2:7" ht="27" customHeight="1" x14ac:dyDescent="0.25">
      <c r="B21" s="2233" t="s">
        <v>313</v>
      </c>
      <c r="C21" s="2238" t="s">
        <v>48</v>
      </c>
      <c r="D21" s="329" t="s">
        <v>4164</v>
      </c>
      <c r="E21" s="1219" t="s">
        <v>5257</v>
      </c>
      <c r="F21" s="303" t="s">
        <v>3369</v>
      </c>
      <c r="G21" s="297" t="s">
        <v>3372</v>
      </c>
    </row>
    <row r="22" spans="2:7" ht="25" x14ac:dyDescent="0.25">
      <c r="B22" s="2233" t="s">
        <v>1196</v>
      </c>
      <c r="C22" s="2238" t="s">
        <v>1197</v>
      </c>
      <c r="E22" s="293" t="s">
        <v>1916</v>
      </c>
      <c r="F22" s="329" t="s">
        <v>4144</v>
      </c>
      <c r="G22" s="1210" t="s">
        <v>4145</v>
      </c>
    </row>
    <row r="23" spans="2:7" ht="30.75" customHeight="1" x14ac:dyDescent="0.25">
      <c r="B23" s="2233" t="s">
        <v>58</v>
      </c>
      <c r="C23" s="2238" t="s">
        <v>429</v>
      </c>
      <c r="D23" s="303" t="s">
        <v>1308</v>
      </c>
      <c r="E23" s="294" t="s">
        <v>1418</v>
      </c>
      <c r="G23" s="297"/>
    </row>
    <row r="24" spans="2:7" ht="25" x14ac:dyDescent="0.25">
      <c r="B24" s="2233" t="s">
        <v>59</v>
      </c>
      <c r="C24" s="2238" t="s">
        <v>77</v>
      </c>
      <c r="D24" s="303" t="s">
        <v>1309</v>
      </c>
      <c r="E24" s="294" t="s">
        <v>1244</v>
      </c>
      <c r="G24" s="297"/>
    </row>
    <row r="25" spans="2:7" ht="13.75" customHeight="1" x14ac:dyDescent="0.25">
      <c r="B25" s="2233" t="s">
        <v>60</v>
      </c>
      <c r="C25" s="2238" t="s">
        <v>80</v>
      </c>
      <c r="D25" s="303" t="s">
        <v>1310</v>
      </c>
      <c r="E25" s="294" t="s">
        <v>258</v>
      </c>
      <c r="G25" s="297"/>
    </row>
    <row r="26" spans="2:7" ht="14.25" customHeight="1" x14ac:dyDescent="0.25">
      <c r="B26" s="2233" t="s">
        <v>61</v>
      </c>
      <c r="C26" s="2238" t="s">
        <v>430</v>
      </c>
      <c r="D26" s="303" t="s">
        <v>1311</v>
      </c>
      <c r="E26" s="294" t="s">
        <v>248</v>
      </c>
      <c r="G26" s="298" t="s">
        <v>1919</v>
      </c>
    </row>
    <row r="27" spans="2:7" ht="25" x14ac:dyDescent="0.25">
      <c r="B27" s="2233" t="s">
        <v>314</v>
      </c>
      <c r="C27" s="2239" t="s">
        <v>3058</v>
      </c>
      <c r="D27" s="303" t="s">
        <v>1312</v>
      </c>
      <c r="E27" s="294" t="s">
        <v>300</v>
      </c>
      <c r="F27" s="329" t="s">
        <v>1335</v>
      </c>
      <c r="G27" s="297" t="s">
        <v>81</v>
      </c>
    </row>
    <row r="28" spans="2:7" ht="25" x14ac:dyDescent="0.25">
      <c r="B28" s="2233" t="s">
        <v>315</v>
      </c>
      <c r="C28" s="2239" t="s">
        <v>3059</v>
      </c>
      <c r="D28" s="303" t="s">
        <v>1313</v>
      </c>
      <c r="E28" s="1219" t="s">
        <v>5278</v>
      </c>
      <c r="F28" s="303" t="s">
        <v>1780</v>
      </c>
      <c r="G28" s="297" t="s">
        <v>1779</v>
      </c>
    </row>
    <row r="29" spans="2:7" ht="25" x14ac:dyDescent="0.25">
      <c r="B29" s="2233" t="s">
        <v>316</v>
      </c>
      <c r="C29" s="2238" t="s">
        <v>431</v>
      </c>
      <c r="D29" s="303" t="s">
        <v>1111</v>
      </c>
      <c r="E29" s="294" t="s">
        <v>1137</v>
      </c>
      <c r="F29" s="329" t="s">
        <v>3010</v>
      </c>
      <c r="G29" s="1210" t="s">
        <v>3011</v>
      </c>
    </row>
    <row r="30" spans="2:7" ht="32.25" customHeight="1" x14ac:dyDescent="0.25">
      <c r="B30" s="2233" t="s">
        <v>318</v>
      </c>
      <c r="C30" s="2239" t="s">
        <v>3056</v>
      </c>
      <c r="D30" s="303" t="s">
        <v>1112</v>
      </c>
      <c r="E30" s="294" t="s">
        <v>1235</v>
      </c>
      <c r="F30" s="303"/>
      <c r="G30" s="297"/>
    </row>
    <row r="31" spans="2:7" ht="37.5" x14ac:dyDescent="0.25">
      <c r="B31" s="2233" t="s">
        <v>317</v>
      </c>
      <c r="C31" s="2239" t="s">
        <v>3057</v>
      </c>
      <c r="D31" s="303" t="s">
        <v>1113</v>
      </c>
      <c r="E31" s="1219" t="s">
        <v>4075</v>
      </c>
      <c r="G31" s="297"/>
    </row>
    <row r="32" spans="2:7" ht="20.25" customHeight="1" x14ac:dyDescent="0.25">
      <c r="B32" s="2233" t="s">
        <v>319</v>
      </c>
      <c r="C32" s="2238" t="s">
        <v>1448</v>
      </c>
      <c r="D32" s="303" t="s">
        <v>1114</v>
      </c>
      <c r="E32" s="294" t="s">
        <v>1503</v>
      </c>
      <c r="G32" s="297"/>
    </row>
    <row r="33" spans="1:7" ht="39" customHeight="1" x14ac:dyDescent="0.25">
      <c r="B33" s="2233" t="s">
        <v>320</v>
      </c>
      <c r="C33" s="2239" t="s">
        <v>4032</v>
      </c>
      <c r="D33" s="303" t="s">
        <v>1115</v>
      </c>
      <c r="E33" s="1219" t="s">
        <v>3047</v>
      </c>
      <c r="F33" s="303"/>
      <c r="G33" s="297"/>
    </row>
    <row r="34" spans="1:7" ht="25" x14ac:dyDescent="0.25">
      <c r="B34" s="2233" t="s">
        <v>62</v>
      </c>
      <c r="C34" s="2239" t="s">
        <v>5258</v>
      </c>
      <c r="D34" s="303" t="s">
        <v>1116</v>
      </c>
      <c r="E34" s="294" t="s">
        <v>913</v>
      </c>
      <c r="F34" s="303"/>
      <c r="G34" s="298" t="s">
        <v>1918</v>
      </c>
    </row>
    <row r="35" spans="1:7" ht="25" x14ac:dyDescent="0.25">
      <c r="B35" s="2235" t="s">
        <v>63</v>
      </c>
      <c r="C35" s="2239" t="s">
        <v>4033</v>
      </c>
      <c r="D35" s="303" t="s">
        <v>1117</v>
      </c>
      <c r="E35" s="1219" t="s">
        <v>4000</v>
      </c>
      <c r="F35" s="329" t="s">
        <v>2980</v>
      </c>
      <c r="G35" s="1210" t="s">
        <v>2981</v>
      </c>
    </row>
    <row r="36" spans="1:7" x14ac:dyDescent="0.25">
      <c r="A36" s="303"/>
      <c r="B36" s="2235" t="s">
        <v>64</v>
      </c>
      <c r="C36" s="2239" t="s">
        <v>4035</v>
      </c>
      <c r="D36" s="329" t="s">
        <v>1118</v>
      </c>
      <c r="E36" s="1219" t="s">
        <v>1786</v>
      </c>
      <c r="F36" s="329"/>
      <c r="G36" s="297"/>
    </row>
    <row r="37" spans="1:7" ht="25" x14ac:dyDescent="0.25">
      <c r="A37" s="303"/>
      <c r="B37" s="2233" t="s">
        <v>65</v>
      </c>
      <c r="C37" s="2239" t="s">
        <v>4623</v>
      </c>
      <c r="D37" s="329" t="s">
        <v>3052</v>
      </c>
      <c r="E37" s="1219" t="s">
        <v>3051</v>
      </c>
      <c r="F37" s="329" t="s">
        <v>3136</v>
      </c>
      <c r="G37" s="297" t="s">
        <v>3137</v>
      </c>
    </row>
    <row r="38" spans="1:7" ht="25" x14ac:dyDescent="0.25">
      <c r="B38" s="2233" t="s">
        <v>66</v>
      </c>
      <c r="C38" s="2238" t="s">
        <v>1014</v>
      </c>
      <c r="D38" s="329" t="s">
        <v>4150</v>
      </c>
      <c r="E38" s="1219" t="s">
        <v>340</v>
      </c>
      <c r="F38" s="329"/>
      <c r="G38" s="297"/>
    </row>
    <row r="39" spans="1:7" ht="25" x14ac:dyDescent="0.25">
      <c r="B39" s="2233" t="s">
        <v>67</v>
      </c>
      <c r="C39" s="2239" t="s">
        <v>4622</v>
      </c>
      <c r="D39" s="329" t="s">
        <v>4151</v>
      </c>
      <c r="E39" s="1219" t="s">
        <v>4152</v>
      </c>
      <c r="F39" s="329"/>
      <c r="G39" s="1210"/>
    </row>
    <row r="40" spans="1:7" ht="25" x14ac:dyDescent="0.25">
      <c r="B40" s="2233"/>
      <c r="C40" s="2239"/>
      <c r="D40" s="329" t="s">
        <v>5210</v>
      </c>
      <c r="E40" s="1219" t="s">
        <v>5259</v>
      </c>
      <c r="F40" s="329"/>
      <c r="G40" s="1210"/>
    </row>
    <row r="41" spans="1:7" ht="25" x14ac:dyDescent="0.25">
      <c r="B41" s="2233" t="s">
        <v>68</v>
      </c>
      <c r="C41" s="2238" t="s">
        <v>1785</v>
      </c>
      <c r="E41" s="293" t="s">
        <v>302</v>
      </c>
      <c r="F41" s="329" t="s">
        <v>3355</v>
      </c>
      <c r="G41" s="1210" t="s">
        <v>5260</v>
      </c>
    </row>
    <row r="42" spans="1:7" ht="19" customHeight="1" x14ac:dyDescent="0.25">
      <c r="B42" s="2233" t="s">
        <v>69</v>
      </c>
      <c r="C42" s="2238" t="s">
        <v>1784</v>
      </c>
      <c r="D42" s="303" t="s">
        <v>1119</v>
      </c>
      <c r="E42" s="294" t="s">
        <v>1843</v>
      </c>
      <c r="F42" s="329" t="s">
        <v>3357</v>
      </c>
      <c r="G42" s="297" t="s">
        <v>3356</v>
      </c>
    </row>
    <row r="43" spans="1:7" ht="17.25" customHeight="1" x14ac:dyDescent="0.25">
      <c r="B43" s="2233" t="s">
        <v>70</v>
      </c>
      <c r="C43" s="2238" t="s">
        <v>911</v>
      </c>
      <c r="D43" s="303" t="s">
        <v>1120</v>
      </c>
      <c r="E43" s="1219" t="s">
        <v>5261</v>
      </c>
      <c r="F43" s="329" t="s">
        <v>3360</v>
      </c>
      <c r="G43" s="297" t="s">
        <v>3361</v>
      </c>
    </row>
    <row r="44" spans="1:7" ht="19" customHeight="1" x14ac:dyDescent="0.25">
      <c r="B44" s="2233" t="s">
        <v>1446</v>
      </c>
      <c r="C44" s="2238" t="s">
        <v>912</v>
      </c>
      <c r="D44" s="303" t="s">
        <v>1121</v>
      </c>
      <c r="E44" s="294" t="s">
        <v>260</v>
      </c>
      <c r="F44" s="329"/>
      <c r="G44" s="297"/>
    </row>
    <row r="45" spans="1:7" ht="14.25" customHeight="1" x14ac:dyDescent="0.25">
      <c r="B45" s="2233" t="s">
        <v>1447</v>
      </c>
      <c r="C45" s="2238" t="s">
        <v>1187</v>
      </c>
      <c r="D45" s="303" t="s">
        <v>1122</v>
      </c>
      <c r="E45" s="294" t="s">
        <v>1992</v>
      </c>
      <c r="F45" s="329" t="s">
        <v>4113</v>
      </c>
      <c r="G45" s="1210" t="s">
        <v>4115</v>
      </c>
    </row>
    <row r="46" spans="1:7" x14ac:dyDescent="0.25">
      <c r="B46" s="2235" t="s">
        <v>3235</v>
      </c>
      <c r="C46" s="2239" t="s">
        <v>5262</v>
      </c>
      <c r="D46" s="303" t="s">
        <v>1123</v>
      </c>
      <c r="E46" s="294" t="s">
        <v>209</v>
      </c>
      <c r="F46" s="329" t="s">
        <v>4114</v>
      </c>
      <c r="G46" s="1210" t="s">
        <v>4116</v>
      </c>
    </row>
    <row r="47" spans="1:7" x14ac:dyDescent="0.25">
      <c r="B47" s="2235" t="s">
        <v>4156</v>
      </c>
      <c r="C47" s="2239" t="s">
        <v>5263</v>
      </c>
      <c r="D47" s="303" t="s">
        <v>1124</v>
      </c>
      <c r="E47" s="294" t="s">
        <v>824</v>
      </c>
      <c r="G47" s="297"/>
    </row>
    <row r="48" spans="1:7" x14ac:dyDescent="0.25">
      <c r="B48" s="2235" t="s">
        <v>4160</v>
      </c>
      <c r="C48" s="2239" t="s">
        <v>4166</v>
      </c>
      <c r="D48" s="303" t="s">
        <v>1125</v>
      </c>
      <c r="E48" s="294" t="s">
        <v>2028</v>
      </c>
      <c r="G48" s="297"/>
    </row>
    <row r="49" spans="2:7" x14ac:dyDescent="0.25">
      <c r="B49" s="2235" t="s">
        <v>4173</v>
      </c>
      <c r="C49" s="2239" t="s">
        <v>4174</v>
      </c>
      <c r="D49" s="303" t="s">
        <v>1126</v>
      </c>
      <c r="E49" s="294" t="s">
        <v>1281</v>
      </c>
      <c r="G49" s="297"/>
    </row>
    <row r="50" spans="2:7" ht="25" x14ac:dyDescent="0.25">
      <c r="B50" s="2235" t="s">
        <v>4205</v>
      </c>
      <c r="C50" s="2239" t="s">
        <v>4621</v>
      </c>
      <c r="D50" s="329" t="s">
        <v>5199</v>
      </c>
      <c r="E50" s="1219" t="s">
        <v>5198</v>
      </c>
      <c r="G50" s="297"/>
    </row>
    <row r="51" spans="2:7" ht="37.5" x14ac:dyDescent="0.25">
      <c r="B51" s="2235" t="s">
        <v>4594</v>
      </c>
      <c r="C51" s="2239" t="s">
        <v>4614</v>
      </c>
      <c r="D51" s="303" t="s">
        <v>1127</v>
      </c>
      <c r="E51" s="294" t="s">
        <v>721</v>
      </c>
      <c r="G51" s="297"/>
    </row>
    <row r="52" spans="2:7" ht="25" x14ac:dyDescent="0.25">
      <c r="B52" s="2235" t="s">
        <v>4612</v>
      </c>
      <c r="C52" s="2239" t="s">
        <v>4619</v>
      </c>
      <c r="D52" s="303" t="s">
        <v>1128</v>
      </c>
      <c r="E52" s="294" t="s">
        <v>1314</v>
      </c>
      <c r="G52" s="297"/>
    </row>
    <row r="53" spans="2:7" ht="25" x14ac:dyDescent="0.25">
      <c r="B53" s="2235" t="s">
        <v>4613</v>
      </c>
      <c r="C53" s="2239" t="s">
        <v>4620</v>
      </c>
      <c r="D53" s="303" t="s">
        <v>1129</v>
      </c>
      <c r="E53" s="294" t="s">
        <v>368</v>
      </c>
      <c r="G53" s="297"/>
    </row>
    <row r="54" spans="2:7" ht="25" x14ac:dyDescent="0.25">
      <c r="B54" s="2235" t="s">
        <v>4624</v>
      </c>
      <c r="C54" s="2239" t="s">
        <v>4625</v>
      </c>
      <c r="D54" s="303"/>
      <c r="G54" s="297"/>
    </row>
    <row r="55" spans="2:7" ht="13" x14ac:dyDescent="0.25">
      <c r="B55" s="2233"/>
      <c r="C55" s="2240" t="s">
        <v>1013</v>
      </c>
      <c r="D55" s="303" t="s">
        <v>1315</v>
      </c>
      <c r="E55" s="294" t="s">
        <v>1786</v>
      </c>
      <c r="F55" s="329"/>
      <c r="G55" s="297"/>
    </row>
    <row r="56" spans="2:7" ht="25" x14ac:dyDescent="0.25">
      <c r="B56" s="2233" t="s">
        <v>321</v>
      </c>
      <c r="C56" s="2238" t="s">
        <v>1841</v>
      </c>
      <c r="D56" s="303" t="s">
        <v>1316</v>
      </c>
      <c r="E56" s="1219" t="s">
        <v>4074</v>
      </c>
      <c r="G56" s="297"/>
    </row>
    <row r="57" spans="2:7" x14ac:dyDescent="0.25">
      <c r="B57" s="2233" t="s">
        <v>322</v>
      </c>
      <c r="C57" s="2238" t="s">
        <v>432</v>
      </c>
      <c r="D57" s="303" t="s">
        <v>1317</v>
      </c>
      <c r="E57" s="294" t="s">
        <v>1906</v>
      </c>
      <c r="G57" s="297"/>
    </row>
    <row r="58" spans="2:7" ht="24.75" customHeight="1" x14ac:dyDescent="0.25">
      <c r="B58" s="2233" t="s">
        <v>337</v>
      </c>
      <c r="C58" s="2239" t="s">
        <v>4615</v>
      </c>
      <c r="D58" s="303" t="s">
        <v>1320</v>
      </c>
      <c r="E58" s="294" t="s">
        <v>584</v>
      </c>
      <c r="G58" s="297"/>
    </row>
    <row r="59" spans="2:7" ht="19.5" customHeight="1" x14ac:dyDescent="0.25">
      <c r="B59" s="2233" t="s">
        <v>323</v>
      </c>
      <c r="C59" s="2239" t="s">
        <v>4611</v>
      </c>
      <c r="D59" s="303" t="s">
        <v>1318</v>
      </c>
      <c r="E59" s="1219" t="s">
        <v>4132</v>
      </c>
      <c r="G59" s="297"/>
    </row>
    <row r="60" spans="2:7" ht="17.25" customHeight="1" x14ac:dyDescent="0.25">
      <c r="B60" s="2233" t="s">
        <v>324</v>
      </c>
      <c r="C60" s="2238" t="s">
        <v>4610</v>
      </c>
      <c r="D60" s="303" t="s">
        <v>1319</v>
      </c>
      <c r="E60" s="1219" t="s">
        <v>4155</v>
      </c>
      <c r="G60" s="297"/>
    </row>
    <row r="61" spans="2:7" ht="24.75" customHeight="1" x14ac:dyDescent="0.25">
      <c r="B61" s="2233" t="s">
        <v>325</v>
      </c>
      <c r="C61" s="2238" t="s">
        <v>1691</v>
      </c>
      <c r="D61" s="303" t="s">
        <v>1321</v>
      </c>
      <c r="E61" s="294" t="s">
        <v>1093</v>
      </c>
      <c r="G61" s="297"/>
    </row>
    <row r="62" spans="2:7" ht="15.75" customHeight="1" x14ac:dyDescent="0.25">
      <c r="B62" s="2233" t="s">
        <v>326</v>
      </c>
      <c r="C62" s="2239" t="s">
        <v>4036</v>
      </c>
      <c r="D62" s="303" t="s">
        <v>1322</v>
      </c>
      <c r="E62" s="294" t="s">
        <v>1490</v>
      </c>
      <c r="G62" s="297"/>
    </row>
    <row r="63" spans="2:7" ht="15.75" customHeight="1" x14ac:dyDescent="0.25">
      <c r="B63" s="2233" t="s">
        <v>327</v>
      </c>
      <c r="C63" s="2239" t="s">
        <v>4034</v>
      </c>
      <c r="D63" s="303" t="s">
        <v>1323</v>
      </c>
      <c r="E63" s="1219" t="s">
        <v>5264</v>
      </c>
      <c r="G63" s="297"/>
    </row>
    <row r="64" spans="2:7" x14ac:dyDescent="0.25">
      <c r="B64" s="2233" t="s">
        <v>328</v>
      </c>
      <c r="C64" s="2239" t="s">
        <v>3196</v>
      </c>
      <c r="D64" s="303" t="s">
        <v>1324</v>
      </c>
      <c r="E64" s="294" t="s">
        <v>470</v>
      </c>
      <c r="G64" s="297"/>
    </row>
    <row r="65" spans="2:7" ht="14.25" customHeight="1" x14ac:dyDescent="0.25">
      <c r="B65" s="2233" t="s">
        <v>1947</v>
      </c>
      <c r="C65" s="2238" t="s">
        <v>1948</v>
      </c>
      <c r="D65" s="303" t="s">
        <v>1325</v>
      </c>
      <c r="E65" s="294" t="s">
        <v>414</v>
      </c>
      <c r="G65" s="297"/>
    </row>
    <row r="66" spans="2:7" ht="15.75" customHeight="1" x14ac:dyDescent="0.25">
      <c r="B66" s="2233" t="s">
        <v>329</v>
      </c>
      <c r="C66" s="2238" t="s">
        <v>1188</v>
      </c>
      <c r="D66" s="303" t="s">
        <v>1326</v>
      </c>
      <c r="E66" s="294" t="s">
        <v>271</v>
      </c>
      <c r="G66" s="297"/>
    </row>
    <row r="67" spans="2:7" ht="15" customHeight="1" x14ac:dyDescent="0.25">
      <c r="B67" s="2233" t="s">
        <v>330</v>
      </c>
      <c r="C67" s="2239" t="s">
        <v>4162</v>
      </c>
      <c r="D67" s="303" t="s">
        <v>1327</v>
      </c>
      <c r="E67" s="294" t="s">
        <v>301</v>
      </c>
      <c r="G67" s="297"/>
    </row>
    <row r="68" spans="2:7" ht="15" customHeight="1" x14ac:dyDescent="0.25">
      <c r="B68" s="2233" t="s">
        <v>1943</v>
      </c>
      <c r="C68" s="2239" t="s">
        <v>4165</v>
      </c>
      <c r="D68" s="303" t="s">
        <v>1328</v>
      </c>
      <c r="E68" s="294" t="s">
        <v>422</v>
      </c>
      <c r="G68" s="297"/>
    </row>
    <row r="69" spans="2:7" ht="13.75" customHeight="1" x14ac:dyDescent="0.25">
      <c r="B69" s="2235" t="s">
        <v>4161</v>
      </c>
      <c r="C69" s="2239" t="s">
        <v>4163</v>
      </c>
      <c r="D69" s="329" t="s">
        <v>3300</v>
      </c>
      <c r="E69" s="1219" t="s">
        <v>3301</v>
      </c>
      <c r="G69" s="297"/>
    </row>
    <row r="70" spans="2:7" ht="13.75" customHeight="1" x14ac:dyDescent="0.25">
      <c r="B70" s="2233" t="s">
        <v>331</v>
      </c>
      <c r="C70" s="2238" t="s">
        <v>1848</v>
      </c>
      <c r="D70" s="329" t="s">
        <v>4077</v>
      </c>
      <c r="E70" s="1219" t="s">
        <v>4079</v>
      </c>
      <c r="G70" s="297"/>
    </row>
    <row r="71" spans="2:7" ht="13.75" customHeight="1" x14ac:dyDescent="0.25">
      <c r="B71" s="2233" t="s">
        <v>332</v>
      </c>
      <c r="C71" s="2238" t="s">
        <v>1694</v>
      </c>
      <c r="D71" s="329" t="s">
        <v>4078</v>
      </c>
      <c r="E71" s="1219" t="s">
        <v>4076</v>
      </c>
      <c r="G71" s="297"/>
    </row>
    <row r="72" spans="2:7" ht="24" customHeight="1" x14ac:dyDescent="0.25">
      <c r="B72" s="2233" t="s">
        <v>333</v>
      </c>
      <c r="C72" s="2238" t="s">
        <v>1693</v>
      </c>
      <c r="D72" s="329" t="s">
        <v>4197</v>
      </c>
      <c r="E72" s="1219" t="s">
        <v>4198</v>
      </c>
      <c r="G72" s="297"/>
    </row>
    <row r="73" spans="2:7" ht="15.75" customHeight="1" x14ac:dyDescent="0.25">
      <c r="B73" s="2233" t="s">
        <v>334</v>
      </c>
      <c r="C73" s="2238" t="s">
        <v>1849</v>
      </c>
      <c r="G73" s="297"/>
    </row>
    <row r="74" spans="2:7" ht="15" customHeight="1" x14ac:dyDescent="0.25">
      <c r="B74" s="2233" t="s">
        <v>335</v>
      </c>
      <c r="C74" s="2238" t="s">
        <v>1850</v>
      </c>
      <c r="G74" s="297"/>
    </row>
    <row r="75" spans="2:7" ht="13.75" customHeight="1" x14ac:dyDescent="0.25">
      <c r="B75" s="2233" t="s">
        <v>336</v>
      </c>
      <c r="C75" s="2238" t="s">
        <v>1523</v>
      </c>
      <c r="G75" s="297"/>
    </row>
    <row r="76" spans="2:7" ht="13.75" customHeight="1" x14ac:dyDescent="0.25">
      <c r="B76" s="2233" t="s">
        <v>1463</v>
      </c>
      <c r="C76" s="2238" t="s">
        <v>1692</v>
      </c>
      <c r="G76" s="297"/>
    </row>
    <row r="77" spans="2:7" ht="13.75" customHeight="1" x14ac:dyDescent="0.25">
      <c r="B77" s="2233" t="s">
        <v>1942</v>
      </c>
      <c r="C77" s="2238" t="s">
        <v>1944</v>
      </c>
      <c r="G77" s="297"/>
    </row>
    <row r="78" spans="2:7" ht="13.75" customHeight="1" x14ac:dyDescent="0.25">
      <c r="B78" s="2233" t="s">
        <v>2832</v>
      </c>
      <c r="C78" s="2238" t="s">
        <v>2834</v>
      </c>
      <c r="G78" s="297"/>
    </row>
    <row r="79" spans="2:7" x14ac:dyDescent="0.25">
      <c r="B79" s="2233" t="s">
        <v>2833</v>
      </c>
      <c r="C79" s="2238" t="s">
        <v>2835</v>
      </c>
      <c r="D79" s="303"/>
      <c r="G79" s="297"/>
    </row>
    <row r="80" spans="2:7" x14ac:dyDescent="0.25">
      <c r="B80" s="2235" t="s">
        <v>3050</v>
      </c>
      <c r="C80" s="2239" t="s">
        <v>5265</v>
      </c>
      <c r="D80" s="303"/>
      <c r="G80" s="297"/>
    </row>
    <row r="81" spans="2:7" x14ac:dyDescent="0.25">
      <c r="B81" s="2235" t="s">
        <v>3226</v>
      </c>
      <c r="C81" s="2239" t="s">
        <v>3225</v>
      </c>
      <c r="D81" s="303"/>
      <c r="G81" s="297"/>
    </row>
    <row r="82" spans="2:7" x14ac:dyDescent="0.25">
      <c r="B82" s="2235" t="s">
        <v>3385</v>
      </c>
      <c r="C82" s="2239" t="s">
        <v>3386</v>
      </c>
      <c r="D82" s="303"/>
      <c r="G82" s="297"/>
    </row>
    <row r="83" spans="2:7" ht="24" customHeight="1" x14ac:dyDescent="0.25">
      <c r="B83" s="2235" t="s">
        <v>4037</v>
      </c>
      <c r="C83" s="2239" t="s">
        <v>4177</v>
      </c>
      <c r="E83" s="293"/>
      <c r="G83" s="297"/>
    </row>
    <row r="84" spans="2:7" ht="22.5" customHeight="1" x14ac:dyDescent="0.25">
      <c r="B84" s="2235" t="s">
        <v>4038</v>
      </c>
      <c r="C84" s="2239" t="s">
        <v>4178</v>
      </c>
      <c r="E84" s="293"/>
      <c r="G84" s="297"/>
    </row>
    <row r="85" spans="2:7" ht="20.25" customHeight="1" x14ac:dyDescent="0.25">
      <c r="B85" s="2235" t="s">
        <v>4196</v>
      </c>
      <c r="C85" s="2239" t="s">
        <v>4199</v>
      </c>
      <c r="E85" s="293"/>
      <c r="G85" s="297"/>
    </row>
    <row r="86" spans="2:7" ht="28.5" customHeight="1" thickBot="1" x14ac:dyDescent="0.3">
      <c r="B86" s="2235" t="s">
        <v>5196</v>
      </c>
      <c r="C86" s="2239" t="s">
        <v>5197</v>
      </c>
      <c r="D86" s="299"/>
      <c r="E86" s="300"/>
      <c r="F86" s="299"/>
      <c r="G86" s="301"/>
    </row>
    <row r="87" spans="2:7" ht="5.25" customHeight="1" thickBot="1" x14ac:dyDescent="0.3">
      <c r="E87" s="293"/>
    </row>
    <row r="88" spans="2:7" ht="13.5" thickBot="1" x14ac:dyDescent="0.3">
      <c r="B88" s="308"/>
      <c r="C88" s="309" t="s">
        <v>435</v>
      </c>
      <c r="D88" s="310"/>
      <c r="E88" s="309" t="s">
        <v>435</v>
      </c>
      <c r="F88" s="310"/>
      <c r="G88" s="313"/>
    </row>
    <row r="89" spans="2:7" x14ac:dyDescent="0.25">
      <c r="B89" s="304" t="s">
        <v>439</v>
      </c>
      <c r="C89" s="296" t="s">
        <v>1945</v>
      </c>
      <c r="D89" s="312" t="s">
        <v>440</v>
      </c>
      <c r="E89" s="328" t="s">
        <v>1889</v>
      </c>
      <c r="F89" s="329" t="s">
        <v>2049</v>
      </c>
      <c r="G89" s="331" t="s">
        <v>5266</v>
      </c>
    </row>
    <row r="90" spans="2:7" ht="25" x14ac:dyDescent="0.25">
      <c r="B90" s="305" t="s">
        <v>345</v>
      </c>
      <c r="C90" s="1219" t="s">
        <v>4039</v>
      </c>
      <c r="D90" s="329" t="s">
        <v>2043</v>
      </c>
      <c r="E90" s="330" t="s">
        <v>2044</v>
      </c>
      <c r="F90" s="329" t="s">
        <v>3366</v>
      </c>
      <c r="G90" s="1219" t="s">
        <v>5267</v>
      </c>
    </row>
    <row r="91" spans="2:7" x14ac:dyDescent="0.25">
      <c r="B91" s="305" t="s">
        <v>346</v>
      </c>
      <c r="C91" s="1219" t="s">
        <v>4040</v>
      </c>
      <c r="D91" s="329" t="s">
        <v>2045</v>
      </c>
      <c r="E91" s="330" t="s">
        <v>2046</v>
      </c>
      <c r="F91" s="329" t="s">
        <v>4117</v>
      </c>
      <c r="G91" s="1219" t="s">
        <v>4118</v>
      </c>
    </row>
    <row r="92" spans="2:7" x14ac:dyDescent="0.25">
      <c r="B92" s="305" t="s">
        <v>347</v>
      </c>
      <c r="C92" s="1219" t="s">
        <v>4041</v>
      </c>
      <c r="D92" s="329" t="s">
        <v>2047</v>
      </c>
      <c r="E92" s="330" t="s">
        <v>2048</v>
      </c>
      <c r="F92" s="329"/>
      <c r="G92" s="297"/>
    </row>
    <row r="93" spans="2:7" x14ac:dyDescent="0.25">
      <c r="B93" s="305" t="s">
        <v>348</v>
      </c>
      <c r="C93" s="1219" t="s">
        <v>4042</v>
      </c>
      <c r="D93" s="303"/>
      <c r="G93" s="297"/>
    </row>
    <row r="94" spans="2:7" x14ac:dyDescent="0.25">
      <c r="B94" s="305" t="s">
        <v>349</v>
      </c>
      <c r="C94" s="1219" t="s">
        <v>4043</v>
      </c>
      <c r="D94" s="303"/>
      <c r="G94" s="297"/>
    </row>
    <row r="95" spans="2:7" x14ac:dyDescent="0.25">
      <c r="B95" s="305" t="s">
        <v>350</v>
      </c>
      <c r="C95" s="1219" t="s">
        <v>4044</v>
      </c>
      <c r="D95" s="303"/>
      <c r="G95" s="297"/>
    </row>
    <row r="96" spans="2:7" x14ac:dyDescent="0.25">
      <c r="B96" s="305" t="s">
        <v>1946</v>
      </c>
      <c r="C96" s="1219" t="s">
        <v>4045</v>
      </c>
      <c r="D96" s="303"/>
      <c r="G96" s="297"/>
    </row>
    <row r="97" spans="2:7" x14ac:dyDescent="0.25">
      <c r="B97" s="2041" t="s">
        <v>4148</v>
      </c>
      <c r="C97" s="1219" t="s">
        <v>4153</v>
      </c>
      <c r="D97" s="303"/>
      <c r="G97" s="297"/>
    </row>
    <row r="98" spans="2:7" x14ac:dyDescent="0.25">
      <c r="B98" s="2041" t="s">
        <v>4149</v>
      </c>
      <c r="C98" s="1219" t="s">
        <v>4154</v>
      </c>
      <c r="D98" s="303"/>
      <c r="G98" s="297"/>
    </row>
    <row r="99" spans="2:7" ht="25" x14ac:dyDescent="0.25">
      <c r="B99" s="2041" t="s">
        <v>4169</v>
      </c>
      <c r="C99" s="1219" t="s">
        <v>4208</v>
      </c>
      <c r="D99" s="303"/>
      <c r="G99" s="297"/>
    </row>
    <row r="100" spans="2:7" x14ac:dyDescent="0.25">
      <c r="B100" s="305"/>
      <c r="D100" s="303"/>
      <c r="G100" s="297"/>
    </row>
    <row r="101" spans="2:7" ht="5.25" customHeight="1" thickBot="1" x14ac:dyDescent="0.3">
      <c r="B101" s="317"/>
      <c r="C101" s="299"/>
      <c r="D101" s="307"/>
      <c r="E101" s="299"/>
      <c r="F101" s="299"/>
      <c r="G101" s="301"/>
    </row>
    <row r="102" spans="2:7" ht="4.75" customHeight="1" thickBot="1" x14ac:dyDescent="0.3"/>
    <row r="103" spans="2:7" ht="13.5" thickBot="1" x14ac:dyDescent="0.3">
      <c r="B103" s="308"/>
      <c r="C103" s="309" t="s">
        <v>45</v>
      </c>
      <c r="D103" s="310"/>
      <c r="E103" s="309" t="s">
        <v>45</v>
      </c>
      <c r="F103" s="310"/>
      <c r="G103" s="311" t="s">
        <v>45</v>
      </c>
    </row>
    <row r="104" spans="2:7" ht="13" x14ac:dyDescent="0.25">
      <c r="B104" s="304"/>
      <c r="C104" s="315" t="s">
        <v>739</v>
      </c>
      <c r="D104" s="312"/>
      <c r="E104" s="315" t="s">
        <v>743</v>
      </c>
      <c r="F104" s="312"/>
      <c r="G104" s="316" t="s">
        <v>744</v>
      </c>
    </row>
    <row r="105" spans="2:7" ht="25" x14ac:dyDescent="0.25">
      <c r="B105" s="305" t="s">
        <v>441</v>
      </c>
      <c r="C105" s="294" t="s">
        <v>745</v>
      </c>
      <c r="D105" s="303" t="s">
        <v>442</v>
      </c>
      <c r="E105" s="294" t="s">
        <v>746</v>
      </c>
      <c r="F105" s="303" t="s">
        <v>443</v>
      </c>
      <c r="G105" s="297" t="s">
        <v>1869</v>
      </c>
    </row>
    <row r="106" spans="2:7" ht="29.25" customHeight="1" x14ac:dyDescent="0.25">
      <c r="B106" s="305" t="s">
        <v>1283</v>
      </c>
      <c r="C106" s="294" t="s">
        <v>1192</v>
      </c>
      <c r="D106" s="303" t="s">
        <v>1336</v>
      </c>
      <c r="E106" s="294" t="s">
        <v>1487</v>
      </c>
      <c r="F106" s="303" t="s">
        <v>1369</v>
      </c>
      <c r="G106" s="297" t="s">
        <v>954</v>
      </c>
    </row>
    <row r="107" spans="2:7" ht="25" x14ac:dyDescent="0.25">
      <c r="B107" s="305"/>
      <c r="D107" s="303" t="s">
        <v>1337</v>
      </c>
      <c r="E107" s="314" t="s">
        <v>1486</v>
      </c>
      <c r="F107" s="303" t="s">
        <v>1370</v>
      </c>
      <c r="G107" s="297" t="s">
        <v>1257</v>
      </c>
    </row>
    <row r="108" spans="2:7" x14ac:dyDescent="0.25">
      <c r="B108" s="305"/>
      <c r="D108" s="303" t="s">
        <v>1338</v>
      </c>
      <c r="E108" s="294" t="s">
        <v>793</v>
      </c>
      <c r="F108" s="303" t="s">
        <v>1371</v>
      </c>
      <c r="G108" s="297" t="s">
        <v>1868</v>
      </c>
    </row>
    <row r="109" spans="2:7" ht="13" x14ac:dyDescent="0.25">
      <c r="B109" s="305"/>
      <c r="C109" s="293" t="s">
        <v>740</v>
      </c>
      <c r="D109" s="303"/>
      <c r="F109" s="303"/>
      <c r="G109" s="297"/>
    </row>
    <row r="110" spans="2:7" ht="25" x14ac:dyDescent="0.25">
      <c r="B110" s="305" t="s">
        <v>1284</v>
      </c>
      <c r="C110" s="294" t="s">
        <v>747</v>
      </c>
      <c r="D110" s="303" t="s">
        <v>1339</v>
      </c>
      <c r="E110" s="314" t="s">
        <v>748</v>
      </c>
      <c r="F110" s="303" t="s">
        <v>1372</v>
      </c>
      <c r="G110" s="297" t="s">
        <v>162</v>
      </c>
    </row>
    <row r="111" spans="2:7" ht="25" x14ac:dyDescent="0.25">
      <c r="B111" s="305" t="s">
        <v>1285</v>
      </c>
      <c r="C111" s="294" t="s">
        <v>1191</v>
      </c>
      <c r="D111" s="303" t="s">
        <v>1340</v>
      </c>
      <c r="E111" s="294" t="s">
        <v>750</v>
      </c>
      <c r="F111" s="303" t="s">
        <v>1373</v>
      </c>
      <c r="G111" s="297" t="s">
        <v>306</v>
      </c>
    </row>
    <row r="112" spans="2:7" ht="17.25" customHeight="1" x14ac:dyDescent="0.25">
      <c r="B112" s="305" t="s">
        <v>1287</v>
      </c>
      <c r="C112" s="294" t="s">
        <v>467</v>
      </c>
      <c r="D112" s="303" t="s">
        <v>1341</v>
      </c>
      <c r="E112" s="294" t="s">
        <v>1484</v>
      </c>
      <c r="F112" s="303" t="s">
        <v>1374</v>
      </c>
      <c r="G112" s="297" t="s">
        <v>1282</v>
      </c>
    </row>
    <row r="113" spans="2:7" x14ac:dyDescent="0.25">
      <c r="B113" s="305"/>
      <c r="D113" s="303" t="s">
        <v>1342</v>
      </c>
      <c r="E113" s="294" t="s">
        <v>74</v>
      </c>
      <c r="F113" s="303" t="s">
        <v>796</v>
      </c>
      <c r="G113" s="297" t="s">
        <v>1205</v>
      </c>
    </row>
    <row r="114" spans="2:7" ht="25" x14ac:dyDescent="0.25">
      <c r="B114" s="305"/>
      <c r="C114" s="293" t="s">
        <v>741</v>
      </c>
      <c r="D114" s="303" t="s">
        <v>1343</v>
      </c>
      <c r="E114" s="294" t="s">
        <v>1483</v>
      </c>
      <c r="F114" s="329" t="s">
        <v>3252</v>
      </c>
      <c r="G114" s="1210" t="s">
        <v>1578</v>
      </c>
    </row>
    <row r="115" spans="2:7" x14ac:dyDescent="0.25">
      <c r="B115" s="305" t="s">
        <v>1286</v>
      </c>
      <c r="C115" s="294" t="s">
        <v>1190</v>
      </c>
      <c r="D115" s="303" t="s">
        <v>1344</v>
      </c>
      <c r="E115" s="294" t="s">
        <v>1485</v>
      </c>
      <c r="F115" s="303"/>
      <c r="G115" s="297"/>
    </row>
    <row r="116" spans="2:7" ht="13" x14ac:dyDescent="0.25">
      <c r="B116" s="305"/>
      <c r="C116" s="293" t="s">
        <v>742</v>
      </c>
      <c r="D116" s="303"/>
      <c r="F116" s="303"/>
      <c r="G116" s="297"/>
    </row>
    <row r="117" spans="2:7" ht="25" x14ac:dyDescent="0.25">
      <c r="B117" s="305" t="s">
        <v>1288</v>
      </c>
      <c r="C117" s="294" t="s">
        <v>424</v>
      </c>
      <c r="D117" s="303" t="s">
        <v>1345</v>
      </c>
      <c r="E117" s="294" t="s">
        <v>297</v>
      </c>
      <c r="F117" s="303" t="s">
        <v>1375</v>
      </c>
      <c r="G117" s="297" t="s">
        <v>1258</v>
      </c>
    </row>
    <row r="118" spans="2:7" ht="25" x14ac:dyDescent="0.25">
      <c r="B118" s="305" t="s">
        <v>1289</v>
      </c>
      <c r="C118" s="1219" t="s">
        <v>5268</v>
      </c>
      <c r="D118" s="303"/>
      <c r="F118" s="303"/>
      <c r="G118" s="297"/>
    </row>
    <row r="119" spans="2:7" ht="25" x14ac:dyDescent="0.25">
      <c r="B119" s="305" t="s">
        <v>1290</v>
      </c>
      <c r="C119" s="294" t="s">
        <v>425</v>
      </c>
      <c r="D119" s="303" t="s">
        <v>1346</v>
      </c>
      <c r="E119" s="294" t="s">
        <v>298</v>
      </c>
      <c r="F119" s="303" t="s">
        <v>1376</v>
      </c>
      <c r="G119" s="297" t="s">
        <v>163</v>
      </c>
    </row>
    <row r="120" spans="2:7" ht="25" x14ac:dyDescent="0.25">
      <c r="B120" s="305" t="s">
        <v>1291</v>
      </c>
      <c r="C120" s="294" t="s">
        <v>1807</v>
      </c>
      <c r="D120" s="303" t="s">
        <v>1347</v>
      </c>
      <c r="E120" s="294" t="s">
        <v>606</v>
      </c>
      <c r="F120" s="303" t="s">
        <v>1377</v>
      </c>
      <c r="G120" s="297" t="s">
        <v>1609</v>
      </c>
    </row>
    <row r="121" spans="2:7" ht="19" customHeight="1" x14ac:dyDescent="0.25">
      <c r="B121" s="305" t="s">
        <v>1292</v>
      </c>
      <c r="C121" s="1219" t="s">
        <v>5269</v>
      </c>
      <c r="D121" s="303" t="s">
        <v>1348</v>
      </c>
      <c r="E121" s="294" t="s">
        <v>1278</v>
      </c>
      <c r="F121" s="303" t="s">
        <v>1378</v>
      </c>
      <c r="G121" s="297" t="s">
        <v>1280</v>
      </c>
    </row>
    <row r="122" spans="2:7" ht="13" x14ac:dyDescent="0.25">
      <c r="B122" s="305"/>
      <c r="C122" s="293" t="s">
        <v>1279</v>
      </c>
      <c r="D122" s="303" t="s">
        <v>1349</v>
      </c>
      <c r="E122" s="294" t="s">
        <v>1808</v>
      </c>
      <c r="F122" s="303"/>
      <c r="G122" s="297"/>
    </row>
    <row r="123" spans="2:7" x14ac:dyDescent="0.25">
      <c r="B123" s="305" t="s">
        <v>1293</v>
      </c>
      <c r="C123" s="294" t="s">
        <v>1445</v>
      </c>
      <c r="D123" s="303"/>
      <c r="F123" s="303"/>
      <c r="G123" s="297"/>
    </row>
    <row r="124" spans="2:7" ht="25" x14ac:dyDescent="0.25">
      <c r="B124" s="305" t="s">
        <v>1294</v>
      </c>
      <c r="C124" s="294" t="s">
        <v>1702</v>
      </c>
      <c r="D124" s="303" t="s">
        <v>1350</v>
      </c>
      <c r="E124" s="294" t="s">
        <v>1488</v>
      </c>
      <c r="F124" s="303" t="s">
        <v>3370</v>
      </c>
      <c r="G124" s="297" t="s">
        <v>3371</v>
      </c>
    </row>
    <row r="125" spans="2:7" x14ac:dyDescent="0.25">
      <c r="B125" s="305" t="s">
        <v>1295</v>
      </c>
      <c r="C125" s="294" t="s">
        <v>749</v>
      </c>
      <c r="D125" s="303" t="s">
        <v>1368</v>
      </c>
      <c r="E125" s="294" t="s">
        <v>1489</v>
      </c>
      <c r="F125" s="303" t="s">
        <v>863</v>
      </c>
      <c r="G125" s="297" t="s">
        <v>751</v>
      </c>
    </row>
    <row r="126" spans="2:7" x14ac:dyDescent="0.25">
      <c r="B126" s="305" t="s">
        <v>1464</v>
      </c>
      <c r="C126" s="294" t="s">
        <v>423</v>
      </c>
      <c r="F126" s="303"/>
      <c r="G126" s="297"/>
    </row>
    <row r="127" spans="2:7" ht="5.25" customHeight="1" thickBot="1" x14ac:dyDescent="0.3">
      <c r="B127" s="306"/>
      <c r="C127" s="299"/>
      <c r="D127" s="307"/>
      <c r="E127" s="299"/>
      <c r="F127" s="299"/>
      <c r="G127" s="301"/>
    </row>
    <row r="128" spans="2:7" ht="5.25" customHeight="1" thickBot="1" x14ac:dyDescent="0.3">
      <c r="E128" s="295"/>
    </row>
    <row r="129" spans="2:7" ht="13.5" thickBot="1" x14ac:dyDescent="0.3">
      <c r="B129" s="308"/>
      <c r="C129" s="309" t="s">
        <v>44</v>
      </c>
      <c r="D129" s="310"/>
      <c r="E129" s="309" t="s">
        <v>44</v>
      </c>
      <c r="F129" s="310"/>
      <c r="G129" s="313"/>
    </row>
    <row r="130" spans="2:7" ht="25" x14ac:dyDescent="0.25">
      <c r="B130" s="304" t="s">
        <v>445</v>
      </c>
      <c r="C130" s="296" t="s">
        <v>1198</v>
      </c>
      <c r="D130" s="312" t="s">
        <v>446</v>
      </c>
      <c r="E130" s="3271" t="s">
        <v>5270</v>
      </c>
      <c r="F130" s="312" t="s">
        <v>104</v>
      </c>
      <c r="G130" s="331" t="s">
        <v>5271</v>
      </c>
    </row>
    <row r="131" spans="2:7" ht="25" x14ac:dyDescent="0.25">
      <c r="B131" s="305" t="s">
        <v>534</v>
      </c>
      <c r="C131" s="294" t="s">
        <v>533</v>
      </c>
      <c r="D131" s="303" t="s">
        <v>100</v>
      </c>
      <c r="E131" s="1219" t="s">
        <v>5272</v>
      </c>
      <c r="G131" s="297"/>
    </row>
    <row r="132" spans="2:7" x14ac:dyDescent="0.25">
      <c r="B132" s="305" t="s">
        <v>535</v>
      </c>
      <c r="C132" s="294" t="s">
        <v>351</v>
      </c>
      <c r="D132" s="303" t="s">
        <v>101</v>
      </c>
      <c r="E132" s="294" t="s">
        <v>299</v>
      </c>
      <c r="G132" s="297"/>
    </row>
    <row r="133" spans="2:7" ht="25" x14ac:dyDescent="0.25">
      <c r="B133" s="305" t="s">
        <v>536</v>
      </c>
      <c r="C133" s="294" t="s">
        <v>352</v>
      </c>
      <c r="D133" s="303" t="s">
        <v>102</v>
      </c>
      <c r="E133" s="294" t="s">
        <v>3078</v>
      </c>
      <c r="G133" s="297"/>
    </row>
    <row r="134" spans="2:7" ht="17.25" customHeight="1" x14ac:dyDescent="0.25">
      <c r="B134" s="305" t="s">
        <v>537</v>
      </c>
      <c r="C134" s="1219" t="s">
        <v>4172</v>
      </c>
      <c r="D134" s="303" t="s">
        <v>103</v>
      </c>
      <c r="E134" s="294" t="s">
        <v>1195</v>
      </c>
      <c r="G134" s="297"/>
    </row>
    <row r="135" spans="2:7" ht="25" x14ac:dyDescent="0.25">
      <c r="B135" s="305" t="s">
        <v>538</v>
      </c>
      <c r="C135" s="294" t="s">
        <v>1189</v>
      </c>
      <c r="D135" s="303" t="s">
        <v>3289</v>
      </c>
      <c r="E135" s="1219" t="s">
        <v>4748</v>
      </c>
      <c r="G135" s="297"/>
    </row>
    <row r="136" spans="2:7" ht="25" x14ac:dyDescent="0.25">
      <c r="B136" s="305" t="s">
        <v>539</v>
      </c>
      <c r="C136" s="294" t="s">
        <v>1449</v>
      </c>
      <c r="D136" s="303" t="s">
        <v>3290</v>
      </c>
      <c r="E136" s="1219" t="s">
        <v>4753</v>
      </c>
      <c r="G136" s="297"/>
    </row>
    <row r="137" spans="2:7" ht="25" x14ac:dyDescent="0.25">
      <c r="B137" s="305" t="s">
        <v>1450</v>
      </c>
      <c r="C137" s="1219" t="s">
        <v>5273</v>
      </c>
      <c r="D137" s="329" t="s">
        <v>4167</v>
      </c>
      <c r="E137" s="1219" t="s">
        <v>4168</v>
      </c>
      <c r="G137" s="297"/>
    </row>
    <row r="138" spans="2:7" ht="18" customHeight="1" x14ac:dyDescent="0.25">
      <c r="B138" s="305" t="s">
        <v>3293</v>
      </c>
      <c r="C138" s="294" t="s">
        <v>3292</v>
      </c>
      <c r="G138" s="297"/>
    </row>
    <row r="139" spans="2:7" ht="18" customHeight="1" x14ac:dyDescent="0.25">
      <c r="B139" s="305" t="s">
        <v>3294</v>
      </c>
      <c r="C139" s="294" t="s">
        <v>3291</v>
      </c>
      <c r="G139" s="297"/>
    </row>
    <row r="140" spans="2:7" ht="20.25" customHeight="1" thickBot="1" x14ac:dyDescent="0.3">
      <c r="B140" s="2059" t="s">
        <v>4157</v>
      </c>
      <c r="C140" s="2236" t="s">
        <v>4158</v>
      </c>
      <c r="D140" s="299"/>
      <c r="E140" s="299"/>
      <c r="F140" s="299"/>
      <c r="G140" s="301"/>
    </row>
    <row r="141" spans="2:7" ht="4.75" customHeight="1" thickBot="1" x14ac:dyDescent="0.3">
      <c r="E141" s="295"/>
    </row>
    <row r="142" spans="2:7" ht="13.5" thickBot="1" x14ac:dyDescent="0.3">
      <c r="B142" s="308"/>
      <c r="C142" s="309" t="s">
        <v>47</v>
      </c>
      <c r="D142" s="310"/>
      <c r="E142" s="309" t="s">
        <v>47</v>
      </c>
      <c r="F142" s="310"/>
      <c r="G142" s="313"/>
    </row>
    <row r="143" spans="2:7" x14ac:dyDescent="0.25">
      <c r="B143" s="304" t="s">
        <v>444</v>
      </c>
      <c r="C143" s="296" t="s">
        <v>341</v>
      </c>
      <c r="D143" s="312" t="s">
        <v>447</v>
      </c>
      <c r="E143" s="296" t="s">
        <v>1990</v>
      </c>
      <c r="F143" s="312" t="s">
        <v>111</v>
      </c>
      <c r="G143" s="302" t="s">
        <v>112</v>
      </c>
    </row>
    <row r="144" spans="2:7" x14ac:dyDescent="0.25">
      <c r="B144" s="305" t="s">
        <v>541</v>
      </c>
      <c r="C144" s="294" t="s">
        <v>344</v>
      </c>
      <c r="D144" s="303" t="s">
        <v>105</v>
      </c>
      <c r="E144" s="1219" t="s">
        <v>5274</v>
      </c>
      <c r="F144" s="303"/>
      <c r="G144" s="297"/>
    </row>
    <row r="145" spans="2:7" x14ac:dyDescent="0.25">
      <c r="B145" s="305" t="s">
        <v>542</v>
      </c>
      <c r="C145" s="294" t="s">
        <v>540</v>
      </c>
      <c r="D145" s="303" t="s">
        <v>106</v>
      </c>
      <c r="E145" s="1219" t="s">
        <v>5275</v>
      </c>
      <c r="F145" s="303"/>
      <c r="G145" s="297"/>
    </row>
    <row r="146" spans="2:7" ht="25" x14ac:dyDescent="0.25">
      <c r="B146" s="305" t="s">
        <v>543</v>
      </c>
      <c r="C146" s="294" t="s">
        <v>1731</v>
      </c>
      <c r="D146" s="303" t="s">
        <v>107</v>
      </c>
      <c r="E146" s="294" t="s">
        <v>1991</v>
      </c>
      <c r="F146" s="303" t="s">
        <v>3358</v>
      </c>
      <c r="G146" s="297" t="s">
        <v>3359</v>
      </c>
    </row>
    <row r="147" spans="2:7" ht="13" x14ac:dyDescent="0.25">
      <c r="B147" s="305" t="s">
        <v>544</v>
      </c>
      <c r="C147" s="294" t="s">
        <v>342</v>
      </c>
      <c r="D147" s="303" t="s">
        <v>108</v>
      </c>
      <c r="E147" s="1219" t="s">
        <v>5276</v>
      </c>
      <c r="G147" s="298"/>
    </row>
    <row r="148" spans="2:7" ht="25" x14ac:dyDescent="0.25">
      <c r="B148" s="305" t="s">
        <v>545</v>
      </c>
      <c r="C148" s="294" t="s">
        <v>343</v>
      </c>
      <c r="D148" s="303" t="s">
        <v>109</v>
      </c>
      <c r="E148" s="294" t="s">
        <v>469</v>
      </c>
      <c r="G148" s="297"/>
    </row>
    <row r="149" spans="2:7" ht="25" x14ac:dyDescent="0.25">
      <c r="B149" s="305" t="s">
        <v>546</v>
      </c>
      <c r="C149" s="294" t="s">
        <v>1730</v>
      </c>
      <c r="D149" s="303" t="s">
        <v>110</v>
      </c>
      <c r="E149" s="294" t="s">
        <v>585</v>
      </c>
      <c r="G149" s="297"/>
    </row>
    <row r="150" spans="2:7" ht="17.25" customHeight="1" x14ac:dyDescent="0.25">
      <c r="B150" s="305" t="s">
        <v>1950</v>
      </c>
      <c r="C150" s="294" t="s">
        <v>1949</v>
      </c>
      <c r="D150" s="303"/>
      <c r="G150" s="297"/>
    </row>
    <row r="151" spans="2:7" ht="6.75" customHeight="1" thickBot="1" x14ac:dyDescent="0.3">
      <c r="B151" s="306"/>
      <c r="C151" s="299"/>
      <c r="D151" s="307"/>
      <c r="E151" s="299"/>
      <c r="F151" s="299"/>
      <c r="G151" s="301"/>
    </row>
    <row r="152" spans="2:7" ht="5.25" customHeight="1" thickBot="1" x14ac:dyDescent="0.3"/>
    <row r="153" spans="2:7" ht="13.5" thickBot="1" x14ac:dyDescent="0.3">
      <c r="B153" s="308"/>
      <c r="C153" s="309" t="s">
        <v>1524</v>
      </c>
      <c r="D153" s="310"/>
      <c r="E153" s="309" t="s">
        <v>43</v>
      </c>
      <c r="F153" s="310"/>
      <c r="G153" s="313"/>
    </row>
    <row r="154" spans="2:7" ht="25" x14ac:dyDescent="0.25">
      <c r="B154" s="305" t="s">
        <v>1211</v>
      </c>
      <c r="C154" s="294" t="s">
        <v>1525</v>
      </c>
      <c r="D154" s="303" t="s">
        <v>1212</v>
      </c>
      <c r="E154" s="1219" t="s">
        <v>3397</v>
      </c>
      <c r="F154" s="303" t="s">
        <v>3373</v>
      </c>
      <c r="G154" s="297" t="s">
        <v>3374</v>
      </c>
    </row>
    <row r="155" spans="2:7" ht="29.25" customHeight="1" x14ac:dyDescent="0.25">
      <c r="B155" s="305" t="s">
        <v>580</v>
      </c>
      <c r="C155" s="1219" t="s">
        <v>3424</v>
      </c>
      <c r="D155" s="303" t="s">
        <v>856</v>
      </c>
      <c r="E155" s="294" t="s">
        <v>113</v>
      </c>
      <c r="G155" s="297"/>
    </row>
    <row r="156" spans="2:7" ht="25" x14ac:dyDescent="0.25">
      <c r="B156" s="305" t="s">
        <v>581</v>
      </c>
      <c r="C156" s="1219" t="s">
        <v>3425</v>
      </c>
      <c r="D156" s="303" t="s">
        <v>857</v>
      </c>
      <c r="E156" s="294" t="s">
        <v>855</v>
      </c>
      <c r="G156" s="297"/>
    </row>
    <row r="157" spans="2:7" ht="25" x14ac:dyDescent="0.25">
      <c r="B157" s="305" t="s">
        <v>582</v>
      </c>
      <c r="C157" s="294" t="s">
        <v>547</v>
      </c>
      <c r="D157" s="329" t="s">
        <v>858</v>
      </c>
      <c r="E157" s="1219" t="s">
        <v>4058</v>
      </c>
      <c r="G157" s="297"/>
    </row>
    <row r="158" spans="2:7" ht="25" x14ac:dyDescent="0.25">
      <c r="B158" s="305" t="s">
        <v>583</v>
      </c>
      <c r="C158" s="1219" t="s">
        <v>3423</v>
      </c>
      <c r="D158" s="303" t="s">
        <v>859</v>
      </c>
      <c r="E158" s="294" t="s">
        <v>114</v>
      </c>
      <c r="G158" s="297"/>
    </row>
    <row r="159" spans="2:7" ht="37.5" x14ac:dyDescent="0.25">
      <c r="B159" s="305" t="s">
        <v>1746</v>
      </c>
      <c r="C159" s="1219" t="s">
        <v>3395</v>
      </c>
      <c r="D159" s="303" t="s">
        <v>860</v>
      </c>
      <c r="E159" s="294" t="s">
        <v>722</v>
      </c>
      <c r="G159" s="297"/>
    </row>
    <row r="160" spans="2:7" x14ac:dyDescent="0.25">
      <c r="B160" s="305" t="s">
        <v>1747</v>
      </c>
      <c r="C160" s="294" t="s">
        <v>1926</v>
      </c>
      <c r="D160" s="303" t="s">
        <v>861</v>
      </c>
      <c r="E160" s="294" t="s">
        <v>275</v>
      </c>
      <c r="G160" s="297"/>
    </row>
    <row r="161" spans="2:7" ht="37.5" x14ac:dyDescent="0.25">
      <c r="B161" s="305" t="s">
        <v>1046</v>
      </c>
      <c r="C161" s="1219" t="s">
        <v>3396</v>
      </c>
      <c r="D161" s="303" t="s">
        <v>862</v>
      </c>
      <c r="E161" s="294" t="s">
        <v>274</v>
      </c>
      <c r="G161" s="297"/>
    </row>
    <row r="162" spans="2:7" ht="37.5" x14ac:dyDescent="0.25">
      <c r="B162" s="305" t="s">
        <v>1047</v>
      </c>
      <c r="C162" s="294" t="s">
        <v>574</v>
      </c>
      <c r="D162" s="303" t="s">
        <v>795</v>
      </c>
      <c r="E162" s="294" t="s">
        <v>794</v>
      </c>
      <c r="G162" s="297"/>
    </row>
    <row r="163" spans="2:7" ht="45" customHeight="1" x14ac:dyDescent="0.25">
      <c r="B163" s="305" t="s">
        <v>1048</v>
      </c>
      <c r="C163" s="1219" t="s">
        <v>4134</v>
      </c>
      <c r="D163" s="329" t="s">
        <v>3055</v>
      </c>
      <c r="E163" s="1219" t="s">
        <v>3054</v>
      </c>
      <c r="G163" s="297"/>
    </row>
    <row r="164" spans="2:7" ht="25" x14ac:dyDescent="0.25">
      <c r="B164" s="305" t="s">
        <v>1049</v>
      </c>
      <c r="C164" s="294" t="s">
        <v>1551</v>
      </c>
      <c r="D164" s="329" t="s">
        <v>4600</v>
      </c>
      <c r="E164" s="1219" t="s">
        <v>4601</v>
      </c>
      <c r="G164" s="297"/>
    </row>
    <row r="165" spans="2:7" ht="25" x14ac:dyDescent="0.25">
      <c r="B165" s="305" t="s">
        <v>1050</v>
      </c>
      <c r="C165" s="294" t="s">
        <v>1553</v>
      </c>
      <c r="D165" s="303"/>
      <c r="G165" s="297"/>
    </row>
    <row r="166" spans="2:7" x14ac:dyDescent="0.25">
      <c r="B166" s="305" t="s">
        <v>1051</v>
      </c>
      <c r="C166" s="1219" t="s">
        <v>3422</v>
      </c>
      <c r="G166" s="297"/>
    </row>
    <row r="167" spans="2:7" ht="25" x14ac:dyDescent="0.25">
      <c r="B167" s="305" t="s">
        <v>1052</v>
      </c>
      <c r="C167" s="294" t="s">
        <v>575</v>
      </c>
      <c r="G167" s="297"/>
    </row>
    <row r="168" spans="2:7" ht="25" x14ac:dyDescent="0.25">
      <c r="B168" s="305" t="s">
        <v>1053</v>
      </c>
      <c r="C168" s="1219" t="s">
        <v>576</v>
      </c>
      <c r="G168" s="297"/>
    </row>
    <row r="169" spans="2:7" ht="24.75" customHeight="1" x14ac:dyDescent="0.25">
      <c r="B169" s="305" t="s">
        <v>1927</v>
      </c>
      <c r="C169" s="294" t="s">
        <v>577</v>
      </c>
      <c r="G169" s="297"/>
    </row>
    <row r="170" spans="2:7" ht="25" x14ac:dyDescent="0.25">
      <c r="B170" s="305" t="s">
        <v>1929</v>
      </c>
      <c r="C170" s="294" t="s">
        <v>578</v>
      </c>
      <c r="G170" s="297"/>
    </row>
    <row r="171" spans="2:7" x14ac:dyDescent="0.25">
      <c r="B171" s="305" t="s">
        <v>1951</v>
      </c>
      <c r="C171" s="294" t="s">
        <v>1186</v>
      </c>
      <c r="G171" s="297"/>
    </row>
    <row r="172" spans="2:7" ht="25" x14ac:dyDescent="0.25">
      <c r="B172" s="305" t="s">
        <v>1552</v>
      </c>
      <c r="C172" s="294" t="s">
        <v>579</v>
      </c>
      <c r="G172" s="297"/>
    </row>
    <row r="173" spans="2:7" x14ac:dyDescent="0.25">
      <c r="B173" s="2041" t="s">
        <v>4131</v>
      </c>
      <c r="C173" s="1219" t="s">
        <v>5277</v>
      </c>
      <c r="G173" s="297"/>
    </row>
    <row r="174" spans="2:7" ht="25" x14ac:dyDescent="0.25">
      <c r="B174" s="2041" t="s">
        <v>4170</v>
      </c>
      <c r="C174" s="1219" t="s">
        <v>4171</v>
      </c>
      <c r="G174" s="297"/>
    </row>
    <row r="175" spans="2:7" ht="25" x14ac:dyDescent="0.25">
      <c r="B175" s="2041" t="s">
        <v>4175</v>
      </c>
      <c r="C175" s="1219" t="s">
        <v>4176</v>
      </c>
      <c r="G175" s="297"/>
    </row>
    <row r="176" spans="2:7" x14ac:dyDescent="0.25">
      <c r="B176" s="2041" t="s">
        <v>4598</v>
      </c>
      <c r="C176" s="1219" t="s">
        <v>4599</v>
      </c>
      <c r="G176" s="297"/>
    </row>
    <row r="177" spans="2:7" ht="6" customHeight="1" thickBot="1" x14ac:dyDescent="0.3">
      <c r="B177" s="306"/>
      <c r="C177" s="299"/>
      <c r="D177" s="299"/>
      <c r="E177" s="299"/>
      <c r="F177" s="299"/>
      <c r="G177" s="301"/>
    </row>
    <row r="179" spans="2:7" ht="13" x14ac:dyDescent="0.25">
      <c r="E179" s="293"/>
    </row>
  </sheetData>
  <sheetProtection sheet="1" objects="1" scenarios="1"/>
  <phoneticPr fontId="3" type="noConversion"/>
  <pageMargins left="0.5" right="0" top="0.25" bottom="0.5" header="0.25" footer="0.25"/>
  <pageSetup paperSize="256" scale="53" fitToHeight="0" orientation="landscape" r:id="rId1"/>
  <headerFooter alignWithMargins="0">
    <oddFooter>&amp;CDOW RESTRICTED</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rgb="FFFF0000"/>
    <pageSetUpPr autoPageBreaks="0"/>
  </sheetPr>
  <dimension ref="B1:AR121"/>
  <sheetViews>
    <sheetView showGridLines="0" showRowColHeaders="0" topLeftCell="A10" zoomScale="70" zoomScaleNormal="70" workbookViewId="0">
      <selection activeCell="F46" sqref="F46"/>
    </sheetView>
  </sheetViews>
  <sheetFormatPr defaultColWidth="9.1796875" defaultRowHeight="13" x14ac:dyDescent="0.25"/>
  <cols>
    <col min="1" max="1" width="1.1796875" style="152" customWidth="1"/>
    <col min="2" max="2" width="22.81640625" style="150" customWidth="1"/>
    <col min="3" max="3" width="5.81640625" style="150" customWidth="1"/>
    <col min="4" max="5" width="5" style="150" customWidth="1"/>
    <col min="6" max="6" width="17" style="151" customWidth="1"/>
    <col min="7" max="7" width="3.81640625" style="152" customWidth="1"/>
    <col min="8" max="8" width="2" style="152" customWidth="1"/>
    <col min="9" max="9" width="2.81640625" style="152" customWidth="1"/>
    <col min="10" max="10" width="29.81640625" style="152" customWidth="1"/>
    <col min="11" max="22" width="3" style="152" customWidth="1"/>
    <col min="23" max="23" width="6.1796875" style="152" customWidth="1"/>
    <col min="24" max="24" width="9.1796875" style="1546"/>
    <col min="25" max="35" width="9.1796875" style="1384"/>
    <col min="36" max="42" width="9.1796875" style="1546"/>
    <col min="43" max="43" width="48.1796875" style="152" customWidth="1"/>
    <col min="44" max="44" width="33.453125" style="150" customWidth="1"/>
    <col min="45" max="16384" width="9.1796875" style="152"/>
  </cols>
  <sheetData>
    <row r="1" spans="2:44" ht="13.5" customHeight="1" x14ac:dyDescent="0.25">
      <c r="B1" s="153" t="s">
        <v>468</v>
      </c>
      <c r="I1" s="153" t="s">
        <v>4747</v>
      </c>
      <c r="O1" s="4082" t="s">
        <v>19</v>
      </c>
      <c r="P1" s="4082"/>
      <c r="Q1" s="4082"/>
      <c r="R1" s="4082"/>
      <c r="S1" s="4083" t="s">
        <v>20</v>
      </c>
      <c r="T1" s="4083"/>
      <c r="U1" s="4083"/>
      <c r="V1" s="4083"/>
      <c r="W1" s="1545" t="s">
        <v>1560</v>
      </c>
      <c r="AE1" s="1561" t="s">
        <v>1590</v>
      </c>
      <c r="AF1" s="1561" t="s">
        <v>1587</v>
      </c>
      <c r="AG1" s="1561" t="s">
        <v>1589</v>
      </c>
      <c r="AH1" s="1561" t="s">
        <v>1588</v>
      </c>
      <c r="AI1" s="1561" t="s">
        <v>1591</v>
      </c>
      <c r="AJ1" s="1384"/>
      <c r="AQ1" s="1589" t="s">
        <v>3381</v>
      </c>
      <c r="AR1" s="1642" t="e">
        <f>INDEX('Scenario Analysis'!CA5:CK57,MATCH('User Scenario'!$C$15,Incident_Explicit,0),MATCH('User Scenario'!$C$20,Results_TF,0))</f>
        <v>#N/A</v>
      </c>
    </row>
    <row r="2" spans="2:44" ht="12.75" customHeight="1" x14ac:dyDescent="0.25">
      <c r="B2" s="154" t="s">
        <v>519</v>
      </c>
      <c r="C2" s="4043" t="str">
        <f>IF(Plant_Section="","",Plant_Section)</f>
        <v/>
      </c>
      <c r="D2" s="4044"/>
      <c r="E2" s="4044"/>
      <c r="F2" s="4045"/>
      <c r="I2" s="251" t="str">
        <f>'Scenario Analysis'!F$3</f>
        <v>Consequence Analysis Reference</v>
      </c>
      <c r="J2" s="252"/>
      <c r="K2" s="252"/>
      <c r="L2" s="252"/>
      <c r="M2" s="252"/>
      <c r="N2" s="252"/>
      <c r="O2" s="4040" t="str">
        <f>IF(OR($C$15="",$C$15="USER DEFINED INCIDENT"),"",IF(INDEX(Outcome_Summary_Table,MATCH('User Scenario'!$C$15,Incident_Explicit,0),MATCH('User Scenario'!I2,Results_Release_Calcs,0))="","",INDEX(Outcome_Summary_Table,MATCH('User Scenario'!$C$15,Incident_Explicit,0),MATCH('User Scenario'!I2,Results_Release_Calcs,0))))</f>
        <v/>
      </c>
      <c r="P2" s="4040"/>
      <c r="Q2" s="4040"/>
      <c r="R2" s="4040"/>
      <c r="S2" s="4041"/>
      <c r="T2" s="4041"/>
      <c r="U2" s="4041"/>
      <c r="V2" s="4041"/>
      <c r="W2" s="1471"/>
      <c r="AE2" s="1562"/>
      <c r="AF2" s="1563"/>
      <c r="AG2" s="1562"/>
      <c r="AH2" s="1562"/>
      <c r="AI2" s="1562" t="str">
        <f>IF(AE2="","",AE2)</f>
        <v/>
      </c>
      <c r="AJ2" s="1384"/>
      <c r="AQ2" s="1589" t="s">
        <v>3382</v>
      </c>
      <c r="AR2" s="1642" t="e">
        <f>VLOOKUP(C31,Target_Factor_Table,2,FALSE)</f>
        <v>#N/A</v>
      </c>
    </row>
    <row r="3" spans="2:44" ht="12.75" customHeight="1" x14ac:dyDescent="0.25">
      <c r="B3" s="155" t="s">
        <v>1084</v>
      </c>
      <c r="C3" s="4043">
        <f>Equipment_Tag</f>
        <v>0</v>
      </c>
      <c r="D3" s="4044"/>
      <c r="E3" s="4044"/>
      <c r="F3" s="4045"/>
      <c r="I3" s="251" t="str">
        <f>'Scenario Analysis'!G$3</f>
        <v>Equipment Volume</v>
      </c>
      <c r="J3" s="252"/>
      <c r="K3" s="252"/>
      <c r="L3" s="252"/>
      <c r="M3" s="252"/>
      <c r="N3" s="252"/>
      <c r="O3" s="4040" t="str">
        <f>IF(OR($C$15="",$C$15="USER DEFINED INCIDENT"),"",IF(INDEX(Outcome_Summary_Table,MATCH('User Scenario'!$C$15,Incident_Explicit,0),MATCH('User Scenario'!I3,Results_Release_Calcs,0))="","",INDEX(Outcome_Summary_Table,MATCH('User Scenario'!$C$15,Incident_Explicit,0),MATCH('User Scenario'!I3,Results_Release_Calcs,0))))</f>
        <v/>
      </c>
      <c r="P3" s="4040"/>
      <c r="Q3" s="4040"/>
      <c r="R3" s="4040"/>
      <c r="S3" s="4041"/>
      <c r="T3" s="4041"/>
      <c r="U3" s="4041"/>
      <c r="V3" s="4041"/>
      <c r="W3" s="1471" t="str">
        <f>IF(Report_V&lt;&gt;"",Report_V,Volume_Units)</f>
        <v>liter</v>
      </c>
      <c r="AE3" s="1562"/>
      <c r="AF3" s="1563"/>
      <c r="AG3" s="1562" t="e">
        <f>VLOOKUP(AF3,'Unit Conversion'!$J$3:$K$59,2,FALSE)</f>
        <v>#N/A</v>
      </c>
      <c r="AH3" s="1562">
        <f>VLOOKUP(W3,'Unit Conversion'!$J$3:$K$59,2,FALSE)</f>
        <v>1E-3</v>
      </c>
      <c r="AI3" s="1562" t="str">
        <f>IF(AE3="","",ROUND(AE3*AG3/AH3,LOOKUP(AE3*AG3/AH3,mag,decimals)))</f>
        <v/>
      </c>
      <c r="AJ3" s="1384"/>
      <c r="AQ3" s="1589" t="s">
        <v>1461</v>
      </c>
      <c r="AR3" s="1643">
        <f>IF(User_Scenario_Type = "Fuel Accumulation during Light Off",0,1)+IF(AND(User_Scenario_Type = "Fuel Accumulation during Operation", User_Incident_Entered = "Equipment Rupture - Deflagration"),0,1)+IF(AND(NOT(User_Scenario_Type = "Loss of Inert or Air Ingress"), User_Incident_Entered = "Small Hole Size Leak (0.5 inch)", OR(User_Outcome = "Off-Site Toxic Release", User_Outcome = "On-Site Toxic Release", User_Outcome = "Indoor Toxic Release", User_Outcome = "Chemical Exposure")),0,1)</f>
        <v>3</v>
      </c>
    </row>
    <row r="4" spans="2:44" ht="12.75" customHeight="1" x14ac:dyDescent="0.25">
      <c r="B4" s="1470"/>
      <c r="C4" s="1467"/>
      <c r="D4" s="1468"/>
      <c r="E4" s="1468"/>
      <c r="F4" s="1469"/>
      <c r="I4" s="251" t="str">
        <f>'Scenario Analysis'!I$3</f>
        <v>Equivalent Hole Diameter</v>
      </c>
      <c r="J4" s="1213"/>
      <c r="K4" s="1213"/>
      <c r="L4" s="1213"/>
      <c r="M4" s="1213"/>
      <c r="N4" s="1213"/>
      <c r="O4" s="4084" t="str">
        <f>IF(OR($C$15="",$C$15="USER DEFINED INCIDENT"),"",IF(INDEX(Outcome_Summary_Table,MATCH('User Scenario'!$C$15,Incident_Explicit,0),MATCH('User Scenario'!I4,Results_Release_Calcs,0))="","",INDEX(Outcome_Summary_Table,MATCH('User Scenario'!$C$15,Incident_Explicit,0),MATCH('User Scenario'!I4,Results_Release_Calcs,0))))</f>
        <v/>
      </c>
      <c r="P4" s="4085"/>
      <c r="Q4" s="4085"/>
      <c r="R4" s="4086"/>
      <c r="S4" s="4041"/>
      <c r="T4" s="4041"/>
      <c r="U4" s="4041"/>
      <c r="V4" s="4041"/>
      <c r="W4" s="1471" t="str">
        <f>IF(Report_H&lt;&gt;"",Report_H,D_Units)</f>
        <v>mm</v>
      </c>
      <c r="AE4" s="1562"/>
      <c r="AF4" s="1563"/>
      <c r="AG4" s="1562" t="e">
        <f>VLOOKUP(AF4,'Unit Conversion'!$J$3:$K$59,2,FALSE)</f>
        <v>#N/A</v>
      </c>
      <c r="AH4" s="1562">
        <f>VLOOKUP(W4,'Unit Conversion'!$J$3:$K$59,2,FALSE)</f>
        <v>1E-3</v>
      </c>
      <c r="AI4" s="1562" t="str">
        <f>IF(AE4="","",ROUND(AE4*AG4/AH4,LOOKUP(AE4*AG4/AH4,mag,decimals)))</f>
        <v/>
      </c>
      <c r="AJ4" s="1384"/>
      <c r="AQ4" s="1589" t="s">
        <v>5279</v>
      </c>
      <c r="AR4" s="1642">
        <v>1</v>
      </c>
    </row>
    <row r="5" spans="2:44" ht="12.75" customHeight="1" x14ac:dyDescent="0.25">
      <c r="B5" s="155" t="s">
        <v>151</v>
      </c>
      <c r="C5" s="4043">
        <f>Equipment</f>
        <v>0</v>
      </c>
      <c r="D5" s="4044"/>
      <c r="E5" s="4044"/>
      <c r="F5" s="4045"/>
      <c r="I5" s="251" t="str">
        <f>'Scenario Analysis'!K$3</f>
        <v>Release location</v>
      </c>
      <c r="J5" s="1213"/>
      <c r="K5" s="1213"/>
      <c r="L5" s="1213"/>
      <c r="M5" s="1213"/>
      <c r="N5" s="1213"/>
      <c r="O5" s="4084" t="str">
        <f>IF(OR($C$15="",$C$15="USER DEFINED INCIDENT"),"",IF(INDEX(Outcome_Summary_Table,MATCH('User Scenario'!$C$15,Incident_Explicit,0),MATCH('User Scenario'!I5,Results_Release_Calcs,0))="","",INDEX(Outcome_Summary_Table,MATCH('User Scenario'!$C$15,Incident_Explicit,0),MATCH('User Scenario'!I5,Results_Release_Calcs,0))))</f>
        <v/>
      </c>
      <c r="P5" s="4085"/>
      <c r="Q5" s="4085"/>
      <c r="R5" s="4086"/>
      <c r="S5" s="4041"/>
      <c r="T5" s="4041"/>
      <c r="U5" s="4041"/>
      <c r="V5" s="4041"/>
      <c r="W5" s="1471"/>
      <c r="AE5" s="1562"/>
      <c r="AF5" s="1563"/>
      <c r="AG5" s="1562"/>
      <c r="AH5" s="1562"/>
      <c r="AI5" s="1562" t="str">
        <f>IF(AE5="","",AE5)</f>
        <v/>
      </c>
      <c r="AJ5" s="1384"/>
      <c r="AQ5" s="1589" t="s">
        <v>1502</v>
      </c>
      <c r="AR5" s="1642"/>
    </row>
    <row r="6" spans="2:44" ht="12.75" customHeight="1" x14ac:dyDescent="0.25">
      <c r="B6" s="1466"/>
      <c r="C6" s="1467"/>
      <c r="D6" s="1468"/>
      <c r="E6" s="1468"/>
      <c r="F6" s="1469"/>
      <c r="I6" s="251" t="str">
        <f>'Scenario Analysis'!L$3</f>
        <v>Total Release Quantity</v>
      </c>
      <c r="J6" s="252"/>
      <c r="K6" s="252"/>
      <c r="L6" s="252"/>
      <c r="M6" s="252"/>
      <c r="N6" s="252"/>
      <c r="O6" s="4040" t="str">
        <f>IF(OR($C$15="",$C$15="USER DEFINED INCIDENT"),"",IF(INDEX(Outcome_Summary_Table,MATCH('User Scenario'!$C$15,Incident_Explicit,0),MATCH('User Scenario'!I6,Results_Release_Calcs,0))="","",INDEX(Outcome_Summary_Table,MATCH('User Scenario'!$C$15,Incident_Explicit,0),MATCH('User Scenario'!I6,Results_Release_Calcs,0))))</f>
        <v/>
      </c>
      <c r="P6" s="4040"/>
      <c r="Q6" s="4040"/>
      <c r="R6" s="4040"/>
      <c r="S6" s="4041"/>
      <c r="T6" s="4041"/>
      <c r="U6" s="4041"/>
      <c r="V6" s="4041"/>
      <c r="W6" s="1471" t="str">
        <f>Small_Leak_AQ_Units</f>
        <v>kg</v>
      </c>
      <c r="AE6" s="1562"/>
      <c r="AF6" s="1563"/>
      <c r="AG6" s="1562" t="e">
        <f>VLOOKUP(AF6,'Unit Conversion'!$J$3:$K$59,2,FALSE)</f>
        <v>#N/A</v>
      </c>
      <c r="AH6" s="1562">
        <f>VLOOKUP(W6,'Unit Conversion'!$J$3:$K$59,2,FALSE)</f>
        <v>1</v>
      </c>
      <c r="AI6" s="1562" t="str">
        <f>IF(AE6="","",ROUND(AE6*AG6/AH6,LOOKUP(AE6*AG6/AH6,mag,decimals)))</f>
        <v/>
      </c>
      <c r="AJ6" s="1384"/>
      <c r="AP6" s="152"/>
      <c r="AQ6" s="1592" t="s">
        <v>208</v>
      </c>
      <c r="AR6" s="1642" t="e">
        <f>INDEX(Incident,MATCH('User Scenario'!$C$15,Incident_Explicit,0))</f>
        <v>#N/A</v>
      </c>
    </row>
    <row r="7" spans="2:44" ht="12.75" customHeight="1" x14ac:dyDescent="0.25">
      <c r="B7" s="141" t="s">
        <v>1799</v>
      </c>
      <c r="C7" s="4043">
        <f>IF(C15="",Chemical,INDEX('Scenario Analysis'!C5:C57,MATCH('User Scenario'!$C$15,Incident_Explicit,0)))</f>
        <v>0</v>
      </c>
      <c r="D7" s="4044"/>
      <c r="E7" s="4044"/>
      <c r="F7" s="4045"/>
      <c r="I7" s="251" t="str">
        <f>'Scenario Analysis'!N$3</f>
        <v>Feed Composition</v>
      </c>
      <c r="J7" s="252"/>
      <c r="K7" s="252"/>
      <c r="L7" s="252"/>
      <c r="M7" s="252"/>
      <c r="N7" s="252"/>
      <c r="O7" s="4040" t="str">
        <f>IF(OR($C$15="",$C$15="USER DEFINED INCIDENT"),"",IF(INDEX(Outcome_Summary_Table,MATCH('User Scenario'!$C$15,Incident_Explicit,0),MATCH('User Scenario'!I7,Results_Release_Calcs,0))="","",INDEX(Outcome_Summary_Table,MATCH('User Scenario'!$C$15,Incident_Explicit,0),MATCH('User Scenario'!I7,Results_Release_Calcs,0))))</f>
        <v/>
      </c>
      <c r="P7" s="4040"/>
      <c r="Q7" s="4040"/>
      <c r="R7" s="4040"/>
      <c r="S7" s="4087"/>
      <c r="T7" s="4088"/>
      <c r="U7" s="4088"/>
      <c r="V7" s="4088"/>
      <c r="W7"/>
      <c r="X7" s="1547"/>
      <c r="Y7" s="1547"/>
      <c r="Z7" s="1547"/>
      <c r="AA7" s="1547"/>
      <c r="AE7" s="1562"/>
      <c r="AF7" s="1563"/>
      <c r="AG7" s="1562"/>
      <c r="AH7" s="1562"/>
      <c r="AI7" s="1562" t="str">
        <f>IF(AE7="","",AE7)</f>
        <v/>
      </c>
      <c r="AJ7" s="1384"/>
      <c r="AP7" s="152"/>
      <c r="AQ7" s="72" t="s">
        <v>1030</v>
      </c>
      <c r="AR7" s="1642" t="str">
        <f>IF(OR(C15="",C20=""),"",IF(INDEX('Scenario Analysis'!FT5:GD57,MATCH('User Scenario'!$C$15,Incident_Explicit,0),MATCH('User Scenario'!$C$20,Results_PI_Desc,0))="","",INDEX('Scenario Analysis'!FT5:GD57,MATCH('User Scenario'!$C$15,Incident_Explicit,0),MATCH('User Scenario'!$C$20,Results_PI_Desc,0))))</f>
        <v/>
      </c>
    </row>
    <row r="8" spans="2:44" ht="12.75" customHeight="1" x14ac:dyDescent="0.25">
      <c r="B8" s="4094" t="s">
        <v>152</v>
      </c>
      <c r="C8" s="4058"/>
      <c r="D8" s="4059"/>
      <c r="E8" s="4059"/>
      <c r="F8" s="4060"/>
      <c r="I8" s="251" t="str">
        <f>'Scenario Analysis'!O$3</f>
        <v>Release Temperature (deg C)</v>
      </c>
      <c r="J8" s="1213"/>
      <c r="K8" s="1213"/>
      <c r="L8" s="1213"/>
      <c r="M8" s="1213"/>
      <c r="N8" s="1213"/>
      <c r="O8" s="4040" t="str">
        <f>IF(OR($C$15="",$C$15="USER DEFINED INCIDENT"),"",IF(INDEX(Outcome_Summary_Table,MATCH('User Scenario'!$C$15,Incident_Explicit,0),MATCH('User Scenario'!I8,Results_Release_Calcs,0))="","",INDEX(Outcome_Summary_Table,MATCH('User Scenario'!$C$15,Incident_Explicit,0),MATCH('User Scenario'!I8,Results_Release_Calcs,0))))</f>
        <v/>
      </c>
      <c r="P8" s="4040"/>
      <c r="Q8" s="4040"/>
      <c r="R8" s="4040"/>
      <c r="S8" s="4041"/>
      <c r="T8" s="4041"/>
      <c r="U8" s="4041"/>
      <c r="V8" s="4041"/>
      <c r="W8" s="1471" t="str">
        <f>T_Units</f>
        <v>C</v>
      </c>
      <c r="AE8" s="1562"/>
      <c r="AF8" s="1563"/>
      <c r="AG8" s="1562">
        <f>IF(AF8="F",(AE8-32)/1.8,AE8)</f>
        <v>0</v>
      </c>
      <c r="AH8" s="1562"/>
      <c r="AI8" s="1562" t="str">
        <f>IF(AE8="","",IF(W8=AF8,AE8,AG8))</f>
        <v/>
      </c>
      <c r="AJ8" s="1384"/>
      <c r="AP8" s="152"/>
      <c r="AQ8" s="72" t="s">
        <v>1031</v>
      </c>
      <c r="AR8" s="1642" t="str">
        <f>IF(OR(C15="",C20=""),"",IF(INDEX('Scenario Analysis'!GF5:GP57,MATCH('User Scenario'!$C$15,Incident_Explicit,0),MATCH('User Scenario'!$C$20,Results_PI_Detail,0))="","",INDEX('Scenario Analysis'!GF5:GP57,MATCH('User Scenario'!$C$15,Incident_Explicit,0),MATCH('User Scenario'!$C$20,Results_PI_Detail,0))))</f>
        <v/>
      </c>
    </row>
    <row r="9" spans="2:44" ht="12.75" customHeight="1" x14ac:dyDescent="0.25">
      <c r="B9" s="4095"/>
      <c r="C9" s="4061"/>
      <c r="D9" s="4062"/>
      <c r="E9" s="4062"/>
      <c r="F9" s="4063"/>
      <c r="I9" s="251" t="str">
        <f>'Scenario Analysis'!P$3</f>
        <v>Release Pressure</v>
      </c>
      <c r="J9" s="1213"/>
      <c r="K9" s="1213"/>
      <c r="L9" s="1213"/>
      <c r="M9" s="1213"/>
      <c r="N9" s="1213"/>
      <c r="O9" s="4040" t="str">
        <f>IF(OR($C$15="",$C$15="USER DEFINED INCIDENT"),"",IF(INDEX(Outcome_Summary_Table,MATCH('User Scenario'!$C$15,Incident_Explicit,0),MATCH('User Scenario'!I9,Results_Release_Calcs,0))="","",INDEX(Outcome_Summary_Table,MATCH('User Scenario'!$C$15,Incident_Explicit,0),MATCH('User Scenario'!I9,Results_Release_Calcs,0))))</f>
        <v/>
      </c>
      <c r="P9" s="4040"/>
      <c r="Q9" s="4040"/>
      <c r="R9" s="4040"/>
      <c r="S9" s="4041"/>
      <c r="T9" s="4041"/>
      <c r="U9" s="4041"/>
      <c r="V9" s="4041"/>
      <c r="W9" s="1471" t="str">
        <f>IF(Report_P&lt;&gt;"",Report_P,P_Units)</f>
        <v>bar</v>
      </c>
      <c r="AE9" s="1562"/>
      <c r="AF9" s="1563"/>
      <c r="AG9" s="1562" t="e">
        <f>VLOOKUP(AF9,'Unit Conversion'!$J$3:$K$59,2,FALSE)</f>
        <v>#N/A</v>
      </c>
      <c r="AH9" s="1562">
        <f>VLOOKUP(W9,'Unit Conversion'!$J$3:$K$59,2,FALSE)</f>
        <v>0.98692329999999995</v>
      </c>
      <c r="AI9" s="1562" t="str">
        <f>IF(AE9="","",ROUND(AE9*AG9/AH9,LOOKUP(AE9*AG9/AH9,mag,decimals)))</f>
        <v/>
      </c>
      <c r="AJ9" s="1384"/>
      <c r="AP9" s="152"/>
      <c r="AQ9" s="72" t="s">
        <v>1914</v>
      </c>
      <c r="AR9" s="1642" t="str">
        <f>IF(OR(C15="",C20=""),"",IF(INDEX('Scenario Analysis'!DX5:EH57,MATCH('User Scenario'!$C$15,Incident_Explicit,0),MATCH('User Scenario'!$C$20,Results_EF_Desc,0))="","",INDEX('Scenario Analysis'!DX5:EH57,MATCH('User Scenario'!$C$15,Incident_Explicit,0),MATCH('User Scenario'!$C$20,Results_EF_Desc,0))))</f>
        <v/>
      </c>
    </row>
    <row r="10" spans="2:44" ht="12.75" customHeight="1" x14ac:dyDescent="0.25">
      <c r="B10" s="4094" t="s">
        <v>2012</v>
      </c>
      <c r="C10" s="4058"/>
      <c r="D10" s="4059"/>
      <c r="E10" s="4059"/>
      <c r="F10" s="4060"/>
      <c r="I10" s="251" t="str">
        <f>'Scenario Analysis'!R$3</f>
        <v>Maximum Release Rate</v>
      </c>
      <c r="J10" s="252"/>
      <c r="K10" s="252"/>
      <c r="L10" s="252"/>
      <c r="M10" s="252"/>
      <c r="N10" s="252"/>
      <c r="O10" s="4040" t="str">
        <f>IF(OR($C$15="",$C$15="USER DEFINED INCIDENT"),"",IF(INDEX(Outcome_Summary_Table,MATCH('User Scenario'!$C$15,Incident_Explicit,0),MATCH('User Scenario'!I10,Results_Release_Calcs,0))="","",INDEX(Outcome_Summary_Table,MATCH('User Scenario'!$C$15,Incident_Explicit,0),MATCH('User Scenario'!I10,Results_Release_Calcs,0))))</f>
        <v/>
      </c>
      <c r="P10" s="4040"/>
      <c r="Q10" s="4040"/>
      <c r="R10" s="4040"/>
      <c r="S10" s="4041"/>
      <c r="T10" s="4041"/>
      <c r="U10" s="4041"/>
      <c r="V10" s="4041"/>
      <c r="W10" s="1471" t="str">
        <f>Small_Leak_Units</f>
        <v>kg/min</v>
      </c>
      <c r="AE10" s="1564"/>
      <c r="AF10" s="1563"/>
      <c r="AG10" s="1562" t="e">
        <f>VLOOKUP(AF10,'Unit Conversion'!$J$3:$K$59,2,FALSE)</f>
        <v>#N/A</v>
      </c>
      <c r="AH10" s="1562">
        <f>VLOOKUP(W10,'Unit Conversion'!$J$3:$K$59,2,FALSE)</f>
        <v>1.6666666666666666E-2</v>
      </c>
      <c r="AI10" s="1562" t="str">
        <f>IF(AE10="","",ROUND(AE10*AG10/AH10,LOOKUP(AE10*AG10/AH10,mag,decimals)))</f>
        <v/>
      </c>
      <c r="AJ10" s="1384"/>
      <c r="AP10" s="152"/>
      <c r="AQ10" s="1593" t="s">
        <v>1029</v>
      </c>
      <c r="AR10" s="1642" t="str">
        <f>IF(OR(C15="",C20=""),"",IF(INDEX('Scenario Analysis'!EJ5:ET57,MATCH('User Scenario'!$C$15,Incident_Explicit,0),MATCH('User Scenario'!$C$20,Results_EF_Detail,0))="","",INDEX('Scenario Analysis'!EJ5:ET57,MATCH('User Scenario'!$C$15,Incident_Explicit,0),MATCH('User Scenario'!$C$20,Results_EF_Detail,0))))</f>
        <v/>
      </c>
    </row>
    <row r="11" spans="2:44" ht="12.75" customHeight="1" x14ac:dyDescent="0.25">
      <c r="B11" s="4095"/>
      <c r="C11" s="4061"/>
      <c r="D11" s="4062"/>
      <c r="E11" s="4062"/>
      <c r="F11" s="4063"/>
      <c r="I11" s="251" t="str">
        <f>'Scenario Analysis'!T$3</f>
        <v>Duration at Max Release Rate (min)</v>
      </c>
      <c r="J11" s="1213"/>
      <c r="K11" s="1213"/>
      <c r="L11" s="1213"/>
      <c r="M11" s="1213"/>
      <c r="N11" s="1213"/>
      <c r="O11" s="4040" t="str">
        <f>IF(OR($C$15="",$C$15="USER DEFINED INCIDENT"),"",IF(INDEX(Outcome_Summary_Table,MATCH('User Scenario'!$C$15,Incident_Explicit,0),MATCH('User Scenario'!I11,Results_Release_Calcs,0))="","",INDEX(Outcome_Summary_Table,MATCH('User Scenario'!$C$15,Incident_Explicit,0),MATCH('User Scenario'!I11,Results_Release_Calcs,0))))</f>
        <v/>
      </c>
      <c r="P11" s="4040"/>
      <c r="Q11" s="4040"/>
      <c r="R11" s="4040"/>
      <c r="S11" s="4041"/>
      <c r="T11" s="4041"/>
      <c r="U11" s="4041"/>
      <c r="V11" s="4041"/>
      <c r="W11" s="1471" t="s">
        <v>262</v>
      </c>
      <c r="AE11" s="1562"/>
      <c r="AF11" s="1563"/>
      <c r="AG11" s="1562" t="e">
        <f>VLOOKUP(AF11,'Unit Conversion'!$J$3:$K$59,2,FALSE)</f>
        <v>#N/A</v>
      </c>
      <c r="AH11" s="1562">
        <f>VLOOKUP(W11,'Unit Conversion'!$J$3:$K$59,2,FALSE)</f>
        <v>60</v>
      </c>
      <c r="AI11" s="1562" t="str">
        <f>IF(AE11="","",ROUND(AE11*AG11/AH11,LOOKUP(AE11*AG11/AH11,mag,decimals)))</f>
        <v/>
      </c>
      <c r="AJ11" s="1384"/>
      <c r="AQ11" s="1589" t="s">
        <v>3436</v>
      </c>
      <c r="AR11" s="1645"/>
    </row>
    <row r="12" spans="2:44" ht="12.75" customHeight="1" x14ac:dyDescent="0.25">
      <c r="B12" s="4129" t="s">
        <v>1417</v>
      </c>
      <c r="C12" s="4067"/>
      <c r="D12" s="4068"/>
      <c r="E12" s="4068"/>
      <c r="F12" s="4069"/>
      <c r="I12" s="251" t="str">
        <f>'Scenario Analysis'!U$3</f>
        <v>Total Release Duration (min)</v>
      </c>
      <c r="J12" s="1213"/>
      <c r="K12" s="1213"/>
      <c r="L12" s="1213"/>
      <c r="M12" s="1213"/>
      <c r="N12" s="1213"/>
      <c r="O12" s="4040" t="str">
        <f>IF(OR($C$15="",$C$15="USER DEFINED INCIDENT"),"",IF(INDEX(Outcome_Summary_Table,MATCH('User Scenario'!$C$15,Incident_Explicit,0),MATCH('User Scenario'!I12,Results_Release_Calcs,0))="","",INDEX(Outcome_Summary_Table,MATCH('User Scenario'!$C$15,Incident_Explicit,0),MATCH('User Scenario'!I12,Results_Release_Calcs,0))))</f>
        <v/>
      </c>
      <c r="P12" s="4040"/>
      <c r="Q12" s="4040"/>
      <c r="R12" s="4040"/>
      <c r="S12" s="4041"/>
      <c r="T12" s="4041"/>
      <c r="U12" s="4041"/>
      <c r="V12" s="4041"/>
      <c r="W12" s="1471" t="s">
        <v>262</v>
      </c>
      <c r="AE12" s="1562"/>
      <c r="AF12" s="1563"/>
      <c r="AG12" s="1562" t="e">
        <f>VLOOKUP(AF12,'Unit Conversion'!$J$3:$K$59,2,FALSE)</f>
        <v>#N/A</v>
      </c>
      <c r="AH12" s="1562">
        <f>VLOOKUP(W12,'Unit Conversion'!$J$3:$K$59,2,FALSE)</f>
        <v>60</v>
      </c>
      <c r="AI12" s="1562" t="str">
        <f>IF(AE12="","",ROUND(AE12*AG12/AH12,LOOKUP(AE12*AG12/AH12,mag,decimals)))</f>
        <v/>
      </c>
      <c r="AJ12" s="1384"/>
      <c r="AQ12" s="1589" t="s">
        <v>3437</v>
      </c>
      <c r="AR12" s="1645"/>
    </row>
    <row r="13" spans="2:44" ht="12.75" customHeight="1" x14ac:dyDescent="0.25">
      <c r="B13" s="4116"/>
      <c r="C13" s="4070"/>
      <c r="D13" s="4071"/>
      <c r="E13" s="4071"/>
      <c r="F13" s="4072"/>
      <c r="I13" s="251" t="str">
        <f>'Scenario Analysis'!V$3</f>
        <v>Liquid Pool Area</v>
      </c>
      <c r="J13" s="1213"/>
      <c r="K13" s="1213"/>
      <c r="L13" s="1213"/>
      <c r="M13" s="1213"/>
      <c r="N13" s="1213"/>
      <c r="O13" s="4040" t="str">
        <f>IF(OR($C$15="",$C$15="USER DEFINED INCIDENT"),"",IF(INDEX(Outcome_Summary_Table,MATCH('User Scenario'!$C$15,Incident_Explicit,0),MATCH('User Scenario'!I13,Results_Release_Calcs,0))="","",INDEX(Outcome_Summary_Table,MATCH('User Scenario'!$C$15,Incident_Explicit,0),MATCH('User Scenario'!I13,Results_Release_Calcs,0))))</f>
        <v/>
      </c>
      <c r="P13" s="4040"/>
      <c r="Q13" s="4040"/>
      <c r="R13" s="4040"/>
      <c r="S13" s="4041"/>
      <c r="T13" s="4041"/>
      <c r="U13" s="4041"/>
      <c r="V13" s="4041"/>
      <c r="W13" s="1471" t="str">
        <f>IF(Report_A&lt;&gt;"",Report_A,IF(Dike_Area_Units="","sq m",Dike_Area_Units))</f>
        <v>sq m</v>
      </c>
      <c r="AE13" s="1562"/>
      <c r="AF13" s="1563"/>
      <c r="AG13" s="1562" t="e">
        <f>VLOOKUP(AF13,'Unit Conversion'!$J$3:$K$59,2,FALSE)</f>
        <v>#N/A</v>
      </c>
      <c r="AH13" s="1562">
        <f>VLOOKUP(W13,'Unit Conversion'!$J$3:$K$59,2,FALSE)</f>
        <v>1</v>
      </c>
      <c r="AI13" s="1562" t="str">
        <f>IF(AE13="","",ROUND(AE13*AG13/AH13,LOOKUP(AE13*AG13/AH13,mag,decimals)))</f>
        <v/>
      </c>
      <c r="AJ13" s="1384"/>
      <c r="AQ13" s="1589" t="s">
        <v>3438</v>
      </c>
      <c r="AR13" s="1644" t="str">
        <f>IF(ISERROR(SEARCH("USER DEFINED",UPPER(User_POE_Desc),1)),"No","Yes")</f>
        <v>No</v>
      </c>
    </row>
    <row r="14" spans="2:44" x14ac:dyDescent="0.25">
      <c r="B14" s="4130"/>
      <c r="C14" s="4073"/>
      <c r="D14" s="4074"/>
      <c r="E14" s="4074"/>
      <c r="F14" s="4075"/>
      <c r="I14" s="251" t="str">
        <f>'Scenario Analysis'!X$3</f>
        <v>Fraction Key Chemical in Airborne Vapor</v>
      </c>
      <c r="J14" s="252"/>
      <c r="K14" s="252"/>
      <c r="L14" s="252"/>
      <c r="M14" s="252"/>
      <c r="N14" s="252"/>
      <c r="O14" s="4042" t="str">
        <f>IF(OR($C$15="",$C$15="USER DEFINED INCIDENT"),"",IF(INDEX(Outcome_Summary_Table,MATCH('User Scenario'!$C$15,Incident_Explicit,0),MATCH('User Scenario'!I14,Results_Release_Calcs,0))="","",INDEX(Outcome_Summary_Table,MATCH('User Scenario'!$C$15,Incident_Explicit,0),MATCH('User Scenario'!I14,Results_Release_Calcs,0))))</f>
        <v/>
      </c>
      <c r="P14" s="4042"/>
      <c r="Q14" s="4042"/>
      <c r="R14" s="4042"/>
      <c r="S14" s="4041"/>
      <c r="T14" s="4041"/>
      <c r="U14" s="4041"/>
      <c r="V14" s="4041"/>
      <c r="W14" s="1471"/>
      <c r="AE14" s="1562"/>
      <c r="AF14" s="1563"/>
      <c r="AG14" s="1562"/>
      <c r="AH14" s="1562"/>
      <c r="AI14" s="1562" t="str">
        <f>IF(AE14="","",AE14)</f>
        <v/>
      </c>
      <c r="AJ14" s="1384"/>
    </row>
    <row r="15" spans="2:44" x14ac:dyDescent="0.25">
      <c r="B15" s="4094" t="s">
        <v>4745</v>
      </c>
      <c r="C15" s="4058"/>
      <c r="D15" s="4059"/>
      <c r="E15" s="4059"/>
      <c r="F15" s="4060"/>
      <c r="I15" s="251" t="str">
        <f>'Scenario Analysis'!Y$3</f>
        <v>Time-Scaled ERPG-2 (ppm)</v>
      </c>
      <c r="J15" s="1213"/>
      <c r="K15" s="1213"/>
      <c r="L15" s="1213"/>
      <c r="M15" s="1213"/>
      <c r="N15" s="1213"/>
      <c r="O15" s="4039" t="str">
        <f>IF(OR($C$15="",$C$15="USER DEFINED INCIDENT"),"",IF(INDEX(Outcome_Summary_Table,MATCH('User Scenario'!$C$15,Incident_Explicit,0),MATCH('User Scenario'!I15,Results_Release_Calcs,0))="","",INDEX(Outcome_Summary_Table,MATCH('User Scenario'!$C$15,Incident_Explicit,0),MATCH('User Scenario'!I15,Results_Release_Calcs,0))))</f>
        <v/>
      </c>
      <c r="P15" s="4039"/>
      <c r="Q15" s="4039"/>
      <c r="R15" s="4039"/>
      <c r="S15" s="4041"/>
      <c r="T15" s="4041"/>
      <c r="U15" s="4041"/>
      <c r="V15" s="4041"/>
      <c r="W15" s="1471" t="s">
        <v>1506</v>
      </c>
      <c r="AE15" s="1562"/>
      <c r="AF15" s="1563"/>
      <c r="AG15" s="1562"/>
      <c r="AH15" s="1562"/>
      <c r="AI15" s="1562" t="str">
        <f>IF(AE15="","",AE15)</f>
        <v/>
      </c>
      <c r="AJ15" s="1384"/>
    </row>
    <row r="16" spans="2:44" ht="12.75" customHeight="1" x14ac:dyDescent="0.25">
      <c r="B16" s="4095"/>
      <c r="C16" s="4061"/>
      <c r="D16" s="4062"/>
      <c r="E16" s="4062"/>
      <c r="F16" s="4063"/>
      <c r="I16" s="251" t="str">
        <f>'Scenario Analysis'!Z$3</f>
        <v>Time-Scaled ERPF-3 (ppm)</v>
      </c>
      <c r="J16" s="1213"/>
      <c r="K16" s="1213"/>
      <c r="L16" s="1213"/>
      <c r="M16" s="1213"/>
      <c r="N16" s="1213"/>
      <c r="O16" s="4039" t="str">
        <f>IF(OR($C$15="",$C$15="USER DEFINED INCIDENT"),"",IF(INDEX(Outcome_Summary_Table,MATCH('User Scenario'!$C$15,Incident_Explicit,0),MATCH('User Scenario'!I16,Results_Release_Calcs,0))="","",INDEX(Outcome_Summary_Table,MATCH('User Scenario'!$C$15,Incident_Explicit,0),MATCH('User Scenario'!I16,Results_Release_Calcs,0))))</f>
        <v/>
      </c>
      <c r="P16" s="4039"/>
      <c r="Q16" s="4039"/>
      <c r="R16" s="4039"/>
      <c r="S16" s="4041"/>
      <c r="T16" s="4041"/>
      <c r="U16" s="4041"/>
      <c r="V16" s="4041"/>
      <c r="W16" s="1471" t="s">
        <v>1506</v>
      </c>
      <c r="AE16" s="1562"/>
      <c r="AF16" s="1563"/>
      <c r="AG16" s="1562"/>
      <c r="AH16" s="1562"/>
      <c r="AI16" s="1562" t="str">
        <f>IF(AE16="","",AE16)</f>
        <v/>
      </c>
      <c r="AJ16" s="1384"/>
    </row>
    <row r="17" spans="2:36" ht="12.75" customHeight="1" x14ac:dyDescent="0.3">
      <c r="B17" s="1003" t="str">
        <f>IF(User_Incident_Entered="USER DEFINED VAPOR VENT RATE at Relief Temp","Specified Vapor Rate",IF(User_Incident_Entered="USER DEFINED LEAK RATE","Specified Leak Rate",IF(OR(User_Incident_Entered="USER DEFINED HOLE SIZE",User_Incident_Entered="USER DEFINED HOLE SIZE above Liquid Level"),"  Specified Hole Size","")))</f>
        <v/>
      </c>
      <c r="C17" s="4117"/>
      <c r="D17" s="4118"/>
      <c r="E17" s="4119"/>
      <c r="F17" s="1004" t="str">
        <f>IF(User_Incident_Entered="USER DEFINED VAPOR VENT RATE at Relief Temp",Small_Leak_Units,IF(User_Incident_Entered="USER DEFINED LEAK RATE",Small_Leak_Units,IF(OR(User_Incident_Entered="USER DEFINED HOLE SIZE",User_Incident_Entered="USER DEFINED HOLE SIZE above Liquid Level"),D_Units,"")))</f>
        <v/>
      </c>
      <c r="I17" s="251" t="str">
        <f>'Scenario Analysis'!AA$3</f>
        <v>Estimated 1 hour LC-1 Concentration (ppm)</v>
      </c>
      <c r="J17" s="1716"/>
      <c r="K17" s="1716"/>
      <c r="L17" s="1716"/>
      <c r="M17" s="1716"/>
      <c r="N17" s="1716"/>
      <c r="O17" s="4039" t="str">
        <f>IF(OR($C$15="",$C$15="USER DEFINED INCIDENT"),"",IF(INDEX(Outcome_Summary_Table,MATCH('User Scenario'!$C$15,Incident_Explicit,0),MATCH('User Scenario'!I17,Results_Release_Calcs,0))="","",INDEX(Outcome_Summary_Table,MATCH('User Scenario'!$C$15,Incident_Explicit,0),MATCH('User Scenario'!I17,Results_Release_Calcs,0))))</f>
        <v/>
      </c>
      <c r="P17" s="4039"/>
      <c r="Q17" s="4039"/>
      <c r="R17" s="4039"/>
      <c r="S17" s="4041"/>
      <c r="T17" s="4041"/>
      <c r="U17" s="4041"/>
      <c r="V17" s="4041"/>
      <c r="W17" s="1471" t="s">
        <v>1506</v>
      </c>
      <c r="AE17" s="1562"/>
      <c r="AF17" s="1563"/>
      <c r="AG17" s="1562"/>
      <c r="AH17" s="1562"/>
      <c r="AI17" s="1562"/>
      <c r="AJ17" s="1384"/>
    </row>
    <row r="18" spans="2:36" ht="12.75" customHeight="1" x14ac:dyDescent="0.3">
      <c r="B18" s="3155" t="str">
        <f>IF(OR(User_Incident_Entered="USER DEFINED HOLE SIZE",User_Incident_Entered="USER DEFINED HOLE SIZE above Liquid Level",User_Incident_Entered="USER DEFINED LEAK RATE",),"    Specified Temperature","")</f>
        <v/>
      </c>
      <c r="C18" s="4046">
        <v>150</v>
      </c>
      <c r="D18" s="4047"/>
      <c r="E18" s="4048"/>
      <c r="F18" s="3156" t="str">
        <f>IF(OR(User_Incident_Entered="USER DEFINED HOLE SIZE",User_Incident_Entered="USER DEFINED HOLE SIZE above Liquid Level",User_Incident_Entered="USER DEFINED LEAK RATE",),T_Units,"")</f>
        <v/>
      </c>
      <c r="I18" s="251" t="str">
        <f>'Scenario Analysis'!AB$3</f>
        <v>Estimated 1 hour LC-50 Concentration (ppm)</v>
      </c>
      <c r="J18" s="1716"/>
      <c r="K18" s="1716"/>
      <c r="L18" s="1716"/>
      <c r="M18" s="1716"/>
      <c r="N18" s="1716"/>
      <c r="O18" s="4039" t="str">
        <f>IF(OR($C$15="",$C$15="USER DEFINED INCIDENT"),"",IF(INDEX(Outcome_Summary_Table,MATCH('User Scenario'!$C$15,Incident_Explicit,0),MATCH('User Scenario'!I18,Results_Release_Calcs,0))="","",INDEX(Outcome_Summary_Table,MATCH('User Scenario'!$C$15,Incident_Explicit,0),MATCH('User Scenario'!I18,Results_Release_Calcs,0))))</f>
        <v/>
      </c>
      <c r="P18" s="4039"/>
      <c r="Q18" s="4039"/>
      <c r="R18" s="4039"/>
      <c r="S18" s="4041"/>
      <c r="T18" s="4041"/>
      <c r="U18" s="4041"/>
      <c r="V18" s="4041"/>
      <c r="W18" s="1471" t="s">
        <v>1506</v>
      </c>
      <c r="AE18" s="1562"/>
      <c r="AF18" s="1563"/>
      <c r="AG18" s="1562"/>
      <c r="AH18" s="1562"/>
      <c r="AI18" s="1562"/>
      <c r="AJ18" s="1384"/>
    </row>
    <row r="19" spans="2:36" ht="12.75" customHeight="1" x14ac:dyDescent="0.3">
      <c r="B19" s="3155" t="str">
        <f>IF(OR(User_Incident_Entered="USER DEFINED HOLE SIZE",User_Incident_Entered="USER DEFINED HOLE SIZE above Liquid Level",User_Incident_Entered="USER DEFINED LEAK RATE",),"    Specified Pressure","")</f>
        <v/>
      </c>
      <c r="C19" s="4046">
        <v>12</v>
      </c>
      <c r="D19" s="4047"/>
      <c r="E19" s="4048"/>
      <c r="F19" s="3156" t="str">
        <f>IF(OR(User_Incident_Entered="USER DEFINED HOLE SIZE",User_Incident_Entered="USER DEFINED HOLE SIZE above Liquid Level",User_Incident_Entered="USER DEFINED LEAK RATE",),P_Units,"")</f>
        <v/>
      </c>
      <c r="I19" s="251" t="str">
        <f>'Scenario Analysis'!AC$3</f>
        <v>Estimated Time-Scaled LC-1 Concentration (ppm)</v>
      </c>
      <c r="J19" s="1716"/>
      <c r="K19" s="1716"/>
      <c r="L19" s="1716"/>
      <c r="M19" s="1716"/>
      <c r="N19" s="1716"/>
      <c r="O19" s="4039" t="str">
        <f>IF(OR($C$15="",$C$15="USER DEFINED INCIDENT"),"",IF(INDEX(Outcome_Summary_Table,MATCH('User Scenario'!$C$15,Incident_Explicit,0),MATCH('User Scenario'!I19,Results_Release_Calcs,0))="","",INDEX(Outcome_Summary_Table,MATCH('User Scenario'!$C$15,Incident_Explicit,0),MATCH('User Scenario'!I19,Results_Release_Calcs,0))))</f>
        <v/>
      </c>
      <c r="P19" s="4039"/>
      <c r="Q19" s="4039"/>
      <c r="R19" s="4039"/>
      <c r="S19" s="4041"/>
      <c r="T19" s="4041"/>
      <c r="U19" s="4041"/>
      <c r="V19" s="4041"/>
      <c r="W19" s="1471" t="s">
        <v>1506</v>
      </c>
      <c r="AE19" s="1562"/>
      <c r="AF19" s="1563"/>
      <c r="AG19" s="1562"/>
      <c r="AH19" s="1562"/>
      <c r="AI19" s="1562"/>
      <c r="AJ19" s="1384"/>
    </row>
    <row r="20" spans="2:36" x14ac:dyDescent="0.25">
      <c r="B20" s="4120" t="s">
        <v>308</v>
      </c>
      <c r="C20" s="4058"/>
      <c r="D20" s="4121"/>
      <c r="E20" s="4121"/>
      <c r="F20" s="4122"/>
      <c r="I20" s="251" t="str">
        <f>'Scenario Analysis'!AD$3</f>
        <v>Lower Flammable Limit (vol %)</v>
      </c>
      <c r="J20" s="1213"/>
      <c r="K20" s="1213"/>
      <c r="L20" s="1213"/>
      <c r="M20" s="1213"/>
      <c r="N20" s="1213"/>
      <c r="O20" s="4042" t="str">
        <f>IF(OR($C$15="",$C$15="USER DEFINED INCIDENT"),"",IF(INDEX(Outcome_Summary_Table,MATCH('User Scenario'!$C$15,Incident_Explicit,0),MATCH('User Scenario'!I20,Results_Release_Calcs,0))="","",INDEX(Outcome_Summary_Table,MATCH('User Scenario'!$C$15,Incident_Explicit,0),MATCH('User Scenario'!I20,Results_Release_Calcs,0))))</f>
        <v/>
      </c>
      <c r="P20" s="4042"/>
      <c r="Q20" s="4042"/>
      <c r="R20" s="4042"/>
      <c r="S20" s="4041"/>
      <c r="T20" s="4041"/>
      <c r="U20" s="4041"/>
      <c r="V20" s="4041"/>
      <c r="W20" s="1471" t="s">
        <v>1021</v>
      </c>
      <c r="AE20" s="1562"/>
      <c r="AF20" s="1563"/>
      <c r="AG20" s="1562"/>
      <c r="AH20" s="1562"/>
      <c r="AI20" s="1562" t="str">
        <f>IF(AE20="","",AE20)</f>
        <v/>
      </c>
      <c r="AJ20" s="1384"/>
    </row>
    <row r="21" spans="2:36" ht="12.75" customHeight="1" x14ac:dyDescent="0.25">
      <c r="B21" s="4120"/>
      <c r="C21" s="4123"/>
      <c r="D21" s="4124"/>
      <c r="E21" s="4124"/>
      <c r="F21" s="4125"/>
      <c r="I21" s="251" t="str">
        <f>'Scenario Analysis'!AE$3</f>
        <v>Total Airborne Quantity</v>
      </c>
      <c r="J21" s="252"/>
      <c r="K21" s="252"/>
      <c r="L21" s="252"/>
      <c r="M21" s="252"/>
      <c r="N21" s="252"/>
      <c r="O21" s="4042" t="str">
        <f>IF(OR($C$15="",$C$15="USER DEFINED INCIDENT"),"",IF(INDEX(Outcome_Summary_Table,MATCH('User Scenario'!$C$15,Incident_Explicit,0),MATCH('User Scenario'!I21,Results_Release_Calcs,0))="","",INDEX(Outcome_Summary_Table,MATCH('User Scenario'!$C$15,Incident_Explicit,0),MATCH('User Scenario'!I21,Results_Release_Calcs,0))))</f>
        <v/>
      </c>
      <c r="P21" s="4042"/>
      <c r="Q21" s="4042"/>
      <c r="R21" s="4042"/>
      <c r="S21" s="4041"/>
      <c r="T21" s="4041"/>
      <c r="U21" s="4041"/>
      <c r="V21" s="4041"/>
      <c r="W21" s="1471" t="str">
        <f>Small_Leak_AQ_Units</f>
        <v>kg</v>
      </c>
      <c r="AE21" s="1562"/>
      <c r="AF21" s="1563"/>
      <c r="AG21" s="1562" t="e">
        <f>VLOOKUP(AF21,'Unit Conversion'!$J$3:$K$59,2,FALSE)</f>
        <v>#N/A</v>
      </c>
      <c r="AH21" s="1562">
        <f>VLOOKUP(W21,'Unit Conversion'!$J$3:$K$59,2,FALSE)</f>
        <v>1</v>
      </c>
      <c r="AI21" s="1562" t="str">
        <f t="shared" ref="AI21:AI27" si="0">IF(AE21="","",ROUND(AE21*AG21/AH21,LOOKUP(AE21*AG21/AH21,mag,decimals)))</f>
        <v/>
      </c>
      <c r="AJ21" s="1384"/>
    </row>
    <row r="22" spans="2:36" ht="12.75" customHeight="1" x14ac:dyDescent="0.25">
      <c r="B22" s="4094" t="s">
        <v>1194</v>
      </c>
      <c r="C22" s="4098" t="str">
        <f>IF(OR(C15="",C20=""),"",IF(INDEX('Scenario Analysis'!CZ5:DJ57,MATCH('User Scenario'!C15,Incident_Explicit,0),MATCH('User Scenario'!C20,Outcome_Desc,0))="","",INDEX('Scenario Analysis'!CZ5:DJ57,MATCH('User Scenario'!C15,Incident_Explicit,0),MATCH('User Scenario'!C20,Outcome_Desc,0))))</f>
        <v/>
      </c>
      <c r="D22" s="4099"/>
      <c r="E22" s="4099"/>
      <c r="F22" s="4100"/>
      <c r="I22" s="251" t="str">
        <f>'Scenario Analysis'!AG$3</f>
        <v>Max Airborne Rate  (blank if Instantaneous)</v>
      </c>
      <c r="J22" s="252"/>
      <c r="K22" s="252"/>
      <c r="L22" s="252"/>
      <c r="M22" s="252"/>
      <c r="N22" s="252"/>
      <c r="O22" s="4040" t="str">
        <f>IF(OR($C$15="",$C$15="USER DEFINED INCIDENT"),"",IF(INDEX(Outcome_Summary_Table,MATCH('User Scenario'!$C$15,Incident_Explicit,0),MATCH('User Scenario'!I22,Results_Release_Calcs,0))="","",INDEX(Outcome_Summary_Table,MATCH('User Scenario'!$C$15,Incident_Explicit,0),MATCH('User Scenario'!I22,Results_Release_Calcs,0))))</f>
        <v/>
      </c>
      <c r="P22" s="4040"/>
      <c r="Q22" s="4040"/>
      <c r="R22" s="4040"/>
      <c r="S22" s="4041"/>
      <c r="T22" s="4041"/>
      <c r="U22" s="4041"/>
      <c r="V22" s="4041"/>
      <c r="W22" s="1471" t="str">
        <f>Small_Leak_Units</f>
        <v>kg/min</v>
      </c>
      <c r="AE22" s="1562"/>
      <c r="AF22" s="1563"/>
      <c r="AG22" s="1562" t="e">
        <f>VLOOKUP(AF22,'Unit Conversion'!$J$3:$K$59,2,FALSE)</f>
        <v>#N/A</v>
      </c>
      <c r="AH22" s="1562">
        <f>VLOOKUP(W22,'Unit Conversion'!$J$3:$K$59,2,FALSE)</f>
        <v>1.6666666666666666E-2</v>
      </c>
      <c r="AI22" s="1562" t="str">
        <f t="shared" si="0"/>
        <v/>
      </c>
      <c r="AJ22" s="1384"/>
    </row>
    <row r="23" spans="2:36" ht="12.75" customHeight="1" x14ac:dyDescent="0.25">
      <c r="B23" s="4116"/>
      <c r="C23" s="4101"/>
      <c r="D23" s="4102"/>
      <c r="E23" s="4102"/>
      <c r="F23" s="4103"/>
      <c r="I23" s="251" t="str">
        <f>'Scenario Analysis'!AI$3</f>
        <v>Distance to ERPG-2 Concentration (HD2)</v>
      </c>
      <c r="J23" s="252"/>
      <c r="K23" s="252"/>
      <c r="L23" s="252"/>
      <c r="M23" s="252"/>
      <c r="N23" s="252"/>
      <c r="O23" s="4040" t="str">
        <f>IF(OR($C$15="",$C$15="USER DEFINED INCIDENT"),"",IF(INDEX(Outcome_Summary_Table,MATCH('User Scenario'!$C$15,Incident_Explicit,0),MATCH('User Scenario'!I23,Results_Release_Calcs,0))="","",INDEX(Outcome_Summary_Table,MATCH('User Scenario'!$C$15,Incident_Explicit,0),MATCH('User Scenario'!I23,Results_Release_Calcs,0))))</f>
        <v/>
      </c>
      <c r="P23" s="4040"/>
      <c r="Q23" s="4040"/>
      <c r="R23" s="4040"/>
      <c r="S23" s="4041"/>
      <c r="T23" s="4041"/>
      <c r="U23" s="4041"/>
      <c r="V23" s="4041"/>
      <c r="W23" s="1471" t="str">
        <f>IF(Report_D&lt;&gt;"",Report_D,Public_Units)</f>
        <v>m</v>
      </c>
      <c r="AE23" s="1562"/>
      <c r="AF23" s="1563"/>
      <c r="AG23" s="1562" t="e">
        <f>VLOOKUP(AF23,'Unit Conversion'!$J$3:$K$59,2,FALSE)</f>
        <v>#N/A</v>
      </c>
      <c r="AH23" s="1562">
        <f>VLOOKUP(W23,'Unit Conversion'!$J$3:$K$59,2,FALSE)</f>
        <v>1</v>
      </c>
      <c r="AI23" s="1562" t="str">
        <f t="shared" si="0"/>
        <v/>
      </c>
      <c r="AJ23" s="1384"/>
    </row>
    <row r="24" spans="2:36" ht="12.75" customHeight="1" x14ac:dyDescent="0.25">
      <c r="B24" s="4095"/>
      <c r="C24" s="4104"/>
      <c r="D24" s="4105"/>
      <c r="E24" s="4105"/>
      <c r="F24" s="4106"/>
      <c r="I24" s="251" t="str">
        <f>'Scenario Analysis'!AK$3</f>
        <v>Distance to ERPG-3 Concentration (HD3)</v>
      </c>
      <c r="J24" s="252"/>
      <c r="K24" s="252"/>
      <c r="L24" s="252"/>
      <c r="M24" s="252"/>
      <c r="N24" s="252"/>
      <c r="O24" s="4040" t="str">
        <f>IF(OR($C$15="",$C$15="USER DEFINED INCIDENT"),"",IF(INDEX(Outcome_Summary_Table,MATCH('User Scenario'!$C$15,Incident_Explicit,0),MATCH('User Scenario'!I24,Results_Release_Calcs,0))="","",INDEX(Outcome_Summary_Table,MATCH('User Scenario'!$C$15,Incident_Explicit,0),MATCH('User Scenario'!I24,Results_Release_Calcs,0))))</f>
        <v/>
      </c>
      <c r="P24" s="4040"/>
      <c r="Q24" s="4040"/>
      <c r="R24" s="4040"/>
      <c r="S24" s="4041"/>
      <c r="T24" s="4041"/>
      <c r="U24" s="4041"/>
      <c r="V24" s="4041"/>
      <c r="W24" s="1471" t="str">
        <f>IF(Report_D&lt;&gt;"",Report_D,Public_Units)</f>
        <v>m</v>
      </c>
      <c r="AE24" s="1562"/>
      <c r="AF24" s="1563"/>
      <c r="AG24" s="1562" t="e">
        <f>VLOOKUP(AF24,'Unit Conversion'!$J$3:$K$59,2,FALSE)</f>
        <v>#N/A</v>
      </c>
      <c r="AH24" s="1562">
        <f>VLOOKUP(W24,'Unit Conversion'!$J$3:$K$59,2,FALSE)</f>
        <v>1</v>
      </c>
      <c r="AI24" s="1562" t="str">
        <f t="shared" si="0"/>
        <v/>
      </c>
      <c r="AJ24" s="1384"/>
    </row>
    <row r="25" spans="2:36" ht="12.75" customHeight="1" x14ac:dyDescent="0.25">
      <c r="B25" s="4094" t="s">
        <v>309</v>
      </c>
      <c r="C25" s="4107" t="str">
        <f>IF(OR(C15="",C20=""),"",IF(INDEX('Scenario Analysis'!CN5:CX57,MATCH('User Scenario'!C15,Incident_Explicit,0),MATCH('User Scenario'!C20,Outcome,0))="",IF(User_Consequence_User="","Consequence Does Not Exceed Threshold Criteria for Continuing with LOPA",""),INDEX('Scenario Analysis'!CN5:CX57,MATCH('User Scenario'!C15,Incident_Explicit,0),MATCH('User Scenario'!C20,Outcome,0))))</f>
        <v/>
      </c>
      <c r="D25" s="4108"/>
      <c r="E25" s="4108"/>
      <c r="F25" s="4109"/>
      <c r="I25" s="251" t="str">
        <f>'Scenario Analysis'!AM$3</f>
        <v>Distance to Severe Toxic Impact (LC-50 Concentration)</v>
      </c>
      <c r="J25" s="252"/>
      <c r="K25" s="252"/>
      <c r="L25" s="252"/>
      <c r="M25" s="252"/>
      <c r="N25" s="252"/>
      <c r="O25" s="4040" t="str">
        <f>IF(OR($C$15="",$C$15="USER DEFINED INCIDENT"),"",IF(INDEX(Outcome_Summary_Table,MATCH('User Scenario'!$C$15,Incident_Explicit,0),MATCH('User Scenario'!I25,Results_Release_Calcs,0))="","",INDEX(Outcome_Summary_Table,MATCH('User Scenario'!$C$15,Incident_Explicit,0),MATCH('User Scenario'!I25,Results_Release_Calcs,0))))</f>
        <v/>
      </c>
      <c r="P25" s="4040"/>
      <c r="Q25" s="4040"/>
      <c r="R25" s="4040"/>
      <c r="S25" s="4041"/>
      <c r="T25" s="4041"/>
      <c r="U25" s="4041"/>
      <c r="V25" s="4041"/>
      <c r="W25" s="1471" t="str">
        <f>IF(Report_D&lt;&gt;"",Report_D,Public_Units)</f>
        <v>m</v>
      </c>
      <c r="AE25" s="1562"/>
      <c r="AF25" s="1563"/>
      <c r="AG25" s="1562" t="e">
        <f>VLOOKUP(AF25,'Unit Conversion'!$J$3:$K$59,2,FALSE)</f>
        <v>#N/A</v>
      </c>
      <c r="AH25" s="1562">
        <f>VLOOKUP(W25,'Unit Conversion'!$J$3:$K$59,2,FALSE)</f>
        <v>1</v>
      </c>
      <c r="AI25" s="1562" t="str">
        <f t="shared" si="0"/>
        <v/>
      </c>
      <c r="AJ25" s="1384"/>
    </row>
    <row r="26" spans="2:36" ht="12.75" customHeight="1" x14ac:dyDescent="0.25">
      <c r="B26" s="4116"/>
      <c r="C26" s="4110"/>
      <c r="D26" s="4111"/>
      <c r="E26" s="4111"/>
      <c r="F26" s="4112"/>
      <c r="I26" s="1590" t="str">
        <f>'Scenario Analysis'!AO$3</f>
        <v>Distance to Time-Scaled LC-1 Concentration - D Weather</v>
      </c>
      <c r="J26" s="1716"/>
      <c r="K26" s="1716"/>
      <c r="L26" s="1716"/>
      <c r="M26" s="1716"/>
      <c r="N26" s="1716"/>
      <c r="O26" s="4040" t="str">
        <f>IF(OR($C$15="",$C$15="USER DEFINED INCIDENT"),"",IF(INDEX(Outcome_Summary_Table,MATCH('User Scenario'!$C$15,Incident_Explicit,0),MATCH('User Scenario'!I26,Results_Release_Calcs,0))="","",INDEX(Outcome_Summary_Table,MATCH('User Scenario'!$C$15,Incident_Explicit,0),MATCH('User Scenario'!I26,Results_Release_Calcs,0))))</f>
        <v/>
      </c>
      <c r="P26" s="4040"/>
      <c r="Q26" s="4040"/>
      <c r="R26" s="4040"/>
      <c r="S26" s="4041"/>
      <c r="T26" s="4041"/>
      <c r="U26" s="4041"/>
      <c r="V26" s="4041"/>
      <c r="W26" s="1471" t="str">
        <f>IF(Report_D&lt;&gt;"",Report_D,Public_Units)</f>
        <v>m</v>
      </c>
      <c r="AE26" s="1562"/>
      <c r="AF26" s="1563"/>
      <c r="AG26" s="1562" t="e">
        <f>VLOOKUP(AF26,'Unit Conversion'!$J$3:$K$59,2,FALSE)</f>
        <v>#N/A</v>
      </c>
      <c r="AH26" s="1562">
        <f>VLOOKUP(W26,'Unit Conversion'!$J$3:$K$59,2,FALSE)</f>
        <v>1</v>
      </c>
      <c r="AI26" s="1562" t="str">
        <f t="shared" si="0"/>
        <v/>
      </c>
      <c r="AJ26" s="1384"/>
    </row>
    <row r="27" spans="2:36" ht="12.75" customHeight="1" x14ac:dyDescent="0.25">
      <c r="B27" s="4095"/>
      <c r="C27" s="4113"/>
      <c r="D27" s="4114"/>
      <c r="E27" s="4114"/>
      <c r="F27" s="4115"/>
      <c r="G27" s="1587"/>
      <c r="I27" s="1590" t="str">
        <f>'Scenario Analysis'!AQ$3</f>
        <v>Distance to Time-Scaled LC-1 Concentration - F Weather</v>
      </c>
      <c r="J27" s="1716"/>
      <c r="K27" s="1716"/>
      <c r="L27" s="1716"/>
      <c r="M27" s="1716"/>
      <c r="N27" s="1716"/>
      <c r="O27" s="4040" t="str">
        <f>IF(OR($C$15="",$C$15="USER DEFINED INCIDENT"),"",IF(INDEX(Outcome_Summary_Table,MATCH('User Scenario'!$C$15,Incident_Explicit,0),MATCH('User Scenario'!I27,Results_Release_Calcs,0))="","",INDEX(Outcome_Summary_Table,MATCH('User Scenario'!$C$15,Incident_Explicit,0),MATCH('User Scenario'!I27,Results_Release_Calcs,0))))</f>
        <v/>
      </c>
      <c r="P27" s="4040"/>
      <c r="Q27" s="4040"/>
      <c r="R27" s="4040"/>
      <c r="S27" s="4041"/>
      <c r="T27" s="4041"/>
      <c r="U27" s="4041"/>
      <c r="V27" s="4041"/>
      <c r="W27" s="1471" t="str">
        <f>IF(Report_D&lt;&gt;"",Report_D,Public_Units)</f>
        <v>m</v>
      </c>
      <c r="AE27" s="1562"/>
      <c r="AF27" s="1563"/>
      <c r="AG27" s="1562" t="e">
        <f>VLOOKUP(AF27,'Unit Conversion'!$J$3:$K$59,2,FALSE)</f>
        <v>#N/A</v>
      </c>
      <c r="AH27" s="1562">
        <f>VLOOKUP(W27,'Unit Conversion'!$J$3:$K$59,2,FALSE)</f>
        <v>1</v>
      </c>
      <c r="AI27" s="1562" t="str">
        <f t="shared" si="0"/>
        <v/>
      </c>
      <c r="AJ27" s="1384"/>
    </row>
    <row r="28" spans="2:36" ht="12.75" customHeight="1" x14ac:dyDescent="0.25">
      <c r="B28" s="4094" t="s">
        <v>3379</v>
      </c>
      <c r="C28" s="4076"/>
      <c r="D28" s="4077"/>
      <c r="E28" s="4077"/>
      <c r="F28" s="4078"/>
      <c r="I28" s="1590" t="str">
        <f>'Scenario Analysis'!AS$3</f>
        <v>Name of Building 1</v>
      </c>
      <c r="J28" s="1716"/>
      <c r="K28" s="1716"/>
      <c r="L28" s="1716"/>
      <c r="M28" s="1716"/>
      <c r="N28" s="1716"/>
      <c r="O28" s="4040" t="str">
        <f>IF(OR($C$15="",$C$15="USER DEFINED INCIDENT"),"",IF(INDEX(Outcome_Summary_Table,MATCH('User Scenario'!$C$15,Incident_Explicit,0),MATCH('User Scenario'!I28,Results_Release_Calcs,0))="","",INDEX(Outcome_Summary_Table,MATCH('User Scenario'!$C$15,Incident_Explicit,0),MATCH('User Scenario'!I28,Results_Release_Calcs,0))))</f>
        <v/>
      </c>
      <c r="P28" s="4040"/>
      <c r="Q28" s="4040"/>
      <c r="R28" s="4040"/>
      <c r="S28" s="4041"/>
      <c r="T28" s="4041"/>
      <c r="U28" s="4041"/>
      <c r="V28" s="4041"/>
      <c r="W28" s="1471"/>
      <c r="AE28" s="1562"/>
      <c r="AF28" s="1563"/>
      <c r="AG28" s="1562"/>
      <c r="AH28" s="1562"/>
      <c r="AI28" s="1562"/>
      <c r="AJ28" s="1384"/>
    </row>
    <row r="29" spans="2:36" ht="12.75" customHeight="1" x14ac:dyDescent="0.25">
      <c r="B29" s="4116"/>
      <c r="C29" s="4126"/>
      <c r="D29" s="4127"/>
      <c r="E29" s="4127"/>
      <c r="F29" s="4128"/>
      <c r="I29" s="1590" t="str">
        <f>'Scenario Analysis'!AT$3</f>
        <v>Name of Building 2</v>
      </c>
      <c r="J29" s="1716"/>
      <c r="K29" s="1716"/>
      <c r="L29" s="1716"/>
      <c r="M29" s="1716"/>
      <c r="N29" s="1716"/>
      <c r="O29" s="4040" t="str">
        <f>IF(OR($C$15="",$C$15="USER DEFINED INCIDENT"),"",IF(INDEX(Outcome_Summary_Table,MATCH('User Scenario'!$C$15,Incident_Explicit,0),MATCH('User Scenario'!I29,Results_Release_Calcs,0))="","",INDEX(Outcome_Summary_Table,MATCH('User Scenario'!$C$15,Incident_Explicit,0),MATCH('User Scenario'!I29,Results_Release_Calcs,0))))</f>
        <v/>
      </c>
      <c r="P29" s="4040"/>
      <c r="Q29" s="4040"/>
      <c r="R29" s="4040"/>
      <c r="S29" s="4041"/>
      <c r="T29" s="4041"/>
      <c r="U29" s="4041"/>
      <c r="V29" s="4041"/>
      <c r="W29" s="1471"/>
      <c r="AE29" s="1562"/>
      <c r="AF29" s="1563"/>
      <c r="AG29" s="1562"/>
      <c r="AH29" s="1562"/>
      <c r="AI29" s="1562"/>
      <c r="AJ29" s="1384"/>
    </row>
    <row r="30" spans="2:36" ht="12.75" customHeight="1" x14ac:dyDescent="0.25">
      <c r="B30" s="4095"/>
      <c r="C30" s="4079"/>
      <c r="D30" s="4080"/>
      <c r="E30" s="4080"/>
      <c r="F30" s="4081"/>
      <c r="I30" s="1590" t="str">
        <f>'Scenario Analysis'!AU$3</f>
        <v>Occ Bldgs 1 and 2 in Same Wind Direction?</v>
      </c>
      <c r="J30" s="1716"/>
      <c r="K30" s="1716"/>
      <c r="L30" s="1716"/>
      <c r="M30" s="1716"/>
      <c r="N30" s="1716"/>
      <c r="O30" s="4040" t="str">
        <f>IF(OR($C$15="",$C$15="USER DEFINED INCIDENT"),"",IF(INDEX(Outcome_Summary_Table,MATCH('User Scenario'!$C$15,Incident_Explicit,0),MATCH('User Scenario'!I30,Results_Release_Calcs,0))="","",INDEX(Outcome_Summary_Table,MATCH('User Scenario'!$C$15,Incident_Explicit,0),MATCH('User Scenario'!I30,Results_Release_Calcs,0))))</f>
        <v/>
      </c>
      <c r="P30" s="4040"/>
      <c r="Q30" s="4040"/>
      <c r="R30" s="4040"/>
      <c r="S30" s="4041"/>
      <c r="T30" s="4041"/>
      <c r="U30" s="4041"/>
      <c r="V30" s="4041"/>
      <c r="W30" s="1471"/>
      <c r="AE30" s="1562"/>
      <c r="AF30" s="1563"/>
      <c r="AG30" s="1562"/>
      <c r="AH30" s="1562"/>
      <c r="AI30" s="1562"/>
      <c r="AJ30" s="1384"/>
    </row>
    <row r="31" spans="2:36" ht="12.75" customHeight="1" x14ac:dyDescent="0.25">
      <c r="B31" s="4094" t="s">
        <v>3378</v>
      </c>
      <c r="C31" s="4076"/>
      <c r="D31" s="4077"/>
      <c r="E31" s="4077"/>
      <c r="F31" s="4078"/>
      <c r="I31" s="251" t="str">
        <f>'Scenario Analysis'!AV$3</f>
        <v>Concentration within Occupied Building 1 (ppm)</v>
      </c>
      <c r="J31" s="252"/>
      <c r="K31" s="252"/>
      <c r="L31" s="252"/>
      <c r="M31" s="252"/>
      <c r="N31" s="252"/>
      <c r="O31" s="4040" t="str">
        <f>IF(OR($C$15="",$C$15="USER DEFINED INCIDENT"),"",IF(INDEX(Outcome_Summary_Table,MATCH('User Scenario'!$C$15,Incident_Explicit,0),MATCH('User Scenario'!I31,Results_Release_Calcs,0))="","",INDEX(Outcome_Summary_Table,MATCH('User Scenario'!$C$15,Incident_Explicit,0),MATCH('User Scenario'!I31,Results_Release_Calcs,0))))</f>
        <v/>
      </c>
      <c r="P31" s="4040"/>
      <c r="Q31" s="4040"/>
      <c r="R31" s="4040"/>
      <c r="S31" s="4041"/>
      <c r="T31" s="4041"/>
      <c r="U31" s="4041"/>
      <c r="V31" s="4041"/>
      <c r="W31" s="1471" t="s">
        <v>1506</v>
      </c>
      <c r="AE31" s="1562"/>
      <c r="AF31" s="1563"/>
      <c r="AG31" s="1562"/>
      <c r="AH31" s="1562"/>
      <c r="AI31" s="1562" t="str">
        <f>IF(AE31="","",AE31)</f>
        <v/>
      </c>
      <c r="AJ31" s="1384"/>
    </row>
    <row r="32" spans="2:36" ht="12.75" customHeight="1" x14ac:dyDescent="0.25">
      <c r="B32" s="4095"/>
      <c r="C32" s="4079"/>
      <c r="D32" s="4080"/>
      <c r="E32" s="4080"/>
      <c r="F32" s="4081"/>
      <c r="I32" s="251" t="str">
        <f>'Scenario Analysis'!AW$3</f>
        <v>Concentration within Occupied Building 2 (ppm)</v>
      </c>
      <c r="J32" s="1716"/>
      <c r="K32" s="1716"/>
      <c r="L32" s="1716"/>
      <c r="M32" s="1716"/>
      <c r="N32" s="1716"/>
      <c r="O32" s="4040" t="str">
        <f>IF(OR($C$15="",$C$15="USER DEFINED INCIDENT"),"",IF(INDEX(Outcome_Summary_Table,MATCH('User Scenario'!$C$15,Incident_Explicit,0),MATCH('User Scenario'!I32,Results_Release_Calcs,0))="","",INDEX(Outcome_Summary_Table,MATCH('User Scenario'!$C$15,Incident_Explicit,0),MATCH('User Scenario'!I32,Results_Release_Calcs,0))))</f>
        <v/>
      </c>
      <c r="P32" s="4040"/>
      <c r="Q32" s="4040"/>
      <c r="R32" s="4040"/>
      <c r="S32" s="4041"/>
      <c r="T32" s="4041"/>
      <c r="U32" s="4041"/>
      <c r="V32" s="4041"/>
      <c r="W32" s="1471" t="s">
        <v>1506</v>
      </c>
      <c r="AE32" s="1562"/>
      <c r="AF32" s="1563"/>
      <c r="AG32" s="1562"/>
      <c r="AH32" s="1562"/>
      <c r="AI32" s="1562"/>
      <c r="AJ32" s="1384"/>
    </row>
    <row r="33" spans="2:36" ht="12.75" customHeight="1" x14ac:dyDescent="0.25">
      <c r="B33" s="4096" t="str">
        <f>IF(AND(User_Incident_Entered&lt;&gt;"USER DEFINED INCIDENT",User_Outcome&lt;&gt;"",User_TF=""),"WARNING: Incident + Outcome selected not calculated, select different combination or select User Defined Incident and Consequence.",IF(AND(User_Incident_Entered="USER DEFINED INCIDENT",User_Consequence_User=0,User_TF=""),"WARNING: Enter incident result values for tool to calculate a consequence or select a user defined consequence.",""))</f>
        <v/>
      </c>
      <c r="C33" s="4096"/>
      <c r="D33" s="4096"/>
      <c r="E33" s="4096"/>
      <c r="F33" s="4096"/>
      <c r="I33" s="251" t="str">
        <f>'Scenario Analysis'!AX$3</f>
        <v>Time to LC-1 for Occupied Building 1 (sec)</v>
      </c>
      <c r="J33" s="1716"/>
      <c r="K33" s="1716"/>
      <c r="L33" s="1716"/>
      <c r="M33" s="1716"/>
      <c r="N33" s="1716"/>
      <c r="O33" s="4040" t="str">
        <f>IF(OR($C$15="",$C$15="USER DEFINED INCIDENT"),"",IF(INDEX(Outcome_Summary_Table,MATCH('User Scenario'!$C$15,Incident_Explicit,0),MATCH('User Scenario'!I33,Results_Release_Calcs,0))="","",INDEX(Outcome_Summary_Table,MATCH('User Scenario'!$C$15,Incident_Explicit,0),MATCH('User Scenario'!I33,Results_Release_Calcs,0))))</f>
        <v/>
      </c>
      <c r="P33" s="4040"/>
      <c r="Q33" s="4040"/>
      <c r="R33" s="4040"/>
      <c r="S33" s="4041"/>
      <c r="T33" s="4041"/>
      <c r="U33" s="4041"/>
      <c r="V33" s="4041"/>
      <c r="W33" s="1471" t="s">
        <v>1760</v>
      </c>
      <c r="AE33" s="1562"/>
      <c r="AF33" s="1563"/>
      <c r="AG33" s="1562"/>
      <c r="AH33" s="1562"/>
      <c r="AI33" s="1562"/>
      <c r="AJ33" s="1384"/>
    </row>
    <row r="34" spans="2:36" ht="12.75" customHeight="1" x14ac:dyDescent="0.25">
      <c r="B34" s="4097"/>
      <c r="C34" s="4097"/>
      <c r="D34" s="4097"/>
      <c r="E34" s="4097"/>
      <c r="F34" s="4097"/>
      <c r="I34" s="251" t="str">
        <f>'Scenario Analysis'!AY$3</f>
        <v>Time to LC-1 for Occupied Building 2 (sec)</v>
      </c>
      <c r="J34" s="1716"/>
      <c r="K34" s="1716"/>
      <c r="L34" s="1716"/>
      <c r="M34" s="1716"/>
      <c r="N34" s="1716"/>
      <c r="O34" s="4040" t="str">
        <f>IF(OR($C$15="",$C$15="USER DEFINED INCIDENT"),"",IF(INDEX(Outcome_Summary_Table,MATCH('User Scenario'!$C$15,Incident_Explicit,0),MATCH('User Scenario'!I34,Results_Release_Calcs,0))="","",INDEX(Outcome_Summary_Table,MATCH('User Scenario'!$C$15,Incident_Explicit,0),MATCH('User Scenario'!I34,Results_Release_Calcs,0))))</f>
        <v/>
      </c>
      <c r="P34" s="4040"/>
      <c r="Q34" s="4040"/>
      <c r="R34" s="4040"/>
      <c r="S34" s="4041"/>
      <c r="T34" s="4041"/>
      <c r="U34" s="4041"/>
      <c r="V34" s="4041"/>
      <c r="W34" s="1471" t="s">
        <v>1760</v>
      </c>
      <c r="AE34" s="1562"/>
      <c r="AF34" s="1563"/>
      <c r="AG34" s="1562"/>
      <c r="AH34" s="1562"/>
      <c r="AI34" s="1562"/>
      <c r="AJ34" s="1384"/>
    </row>
    <row r="35" spans="2:36" ht="12.75" customHeight="1" x14ac:dyDescent="0.25">
      <c r="B35" s="4134" t="s">
        <v>4217</v>
      </c>
      <c r="C35" s="4134"/>
      <c r="D35" s="1309" t="str">
        <f>IF(AND(User_Consequence_User="",C15=""),"",IF(User_Consequence_User&lt;&gt;"",IF(AR2=0,"",AR2),IF(AR1=0,"",AR1)))</f>
        <v/>
      </c>
      <c r="E35" s="511"/>
      <c r="F35" s="1589"/>
      <c r="I35" s="251" t="str">
        <f>'Scenario Analysis'!AZ$3</f>
        <v>Enclosed Process Area Concentration w/o Ventilation (ppm)</v>
      </c>
      <c r="J35" s="252"/>
      <c r="K35" s="252"/>
      <c r="L35" s="252"/>
      <c r="M35" s="252"/>
      <c r="N35" s="252"/>
      <c r="O35" s="4040" t="str">
        <f>IF(OR($C$15="",$C$15="USER DEFINED INCIDENT"),"",IF(INDEX(Outcome_Summary_Table,MATCH('User Scenario'!$C$15,Incident_Explicit,0),MATCH('User Scenario'!I35,Results_Release_Calcs,0))="","",INDEX(Outcome_Summary_Table,MATCH('User Scenario'!$C$15,Incident_Explicit,0),MATCH('User Scenario'!I35,Results_Release_Calcs,0))))</f>
        <v/>
      </c>
      <c r="P35" s="4040"/>
      <c r="Q35" s="4040"/>
      <c r="R35" s="4040"/>
      <c r="S35" s="4041"/>
      <c r="T35" s="4041"/>
      <c r="U35" s="4041"/>
      <c r="V35" s="4041"/>
      <c r="W35" s="1471" t="s">
        <v>1506</v>
      </c>
      <c r="AE35" s="1562"/>
      <c r="AF35" s="1563"/>
      <c r="AG35" s="1562"/>
      <c r="AH35" s="1562"/>
      <c r="AI35" s="1562" t="str">
        <f>IF(AE35="","",AE35)</f>
        <v/>
      </c>
      <c r="AJ35" s="1384"/>
    </row>
    <row r="36" spans="2:36" ht="12.75" customHeight="1" x14ac:dyDescent="0.25">
      <c r="B36" s="4064" t="s">
        <v>310</v>
      </c>
      <c r="C36" s="4065"/>
      <c r="D36" s="8" t="str">
        <f>IF(C10="","",INDEX('Scenario Identification'!AK4:BH4,MATCH('User Scenario'!C10,Initiating_Event,0)))</f>
        <v/>
      </c>
      <c r="E36" s="511"/>
      <c r="F36" s="152"/>
      <c r="I36" s="251" t="str">
        <f>'Scenario Analysis'!BA$3</f>
        <v>Enclosed Process Area Concentration w Ventilation (ppm)</v>
      </c>
      <c r="J36" s="2035"/>
      <c r="K36" s="2035"/>
      <c r="L36" s="2035"/>
      <c r="M36" s="2035"/>
      <c r="N36" s="2035"/>
      <c r="O36" s="4040" t="str">
        <f>IF(OR($C$15="",$C$15="USER DEFINED INCIDENT"),"",IF(INDEX(Outcome_Summary_Table,MATCH('User Scenario'!$C$15,Incident_Explicit,0),MATCH('User Scenario'!I36,Results_Release_Calcs,0))="","",INDEX(Outcome_Summary_Table,MATCH('User Scenario'!$C$15,Incident_Explicit,0),MATCH('User Scenario'!I36,Results_Release_Calcs,0))))</f>
        <v/>
      </c>
      <c r="P36" s="4040"/>
      <c r="Q36" s="4040"/>
      <c r="R36" s="4040"/>
      <c r="S36" s="4041"/>
      <c r="T36" s="4041"/>
      <c r="U36" s="4041"/>
      <c r="V36" s="4041"/>
      <c r="W36" s="1471" t="s">
        <v>1506</v>
      </c>
      <c r="AE36" s="1562"/>
      <c r="AF36" s="1563"/>
      <c r="AG36" s="1562"/>
      <c r="AH36" s="1562"/>
      <c r="AI36" s="1562"/>
      <c r="AJ36" s="1384"/>
    </row>
    <row r="37" spans="2:36" ht="12.75" customHeight="1" x14ac:dyDescent="0.25">
      <c r="B37" s="4064" t="s">
        <v>1461</v>
      </c>
      <c r="C37" s="4065"/>
      <c r="D37" s="8" t="str">
        <f>IF(OR(C15="",C20=""),"",IF(OR(INDEX('Scenario Analysis'!FH5:FR57,MATCH('User Scenario'!$C$15,Incident_Explicit,0),MATCH('User Scenario'!$C$20,Results_POI,0))="",AR3&lt;3),"",INDEX('Scenario Analysis'!FH5:FR57,MATCH('User Scenario'!$C$15,Incident_Explicit,0),MATCH('User Scenario'!$C$20,Results_POI,0))))</f>
        <v/>
      </c>
      <c r="E37" s="511"/>
      <c r="F37" s="1589"/>
      <c r="I37" s="251" t="str">
        <f>'Scenario Analysis'!BB$3</f>
        <v>Time to Reach LC-1 Enclosed Process Area w/o Ventilation (sec)</v>
      </c>
      <c r="J37" s="2035"/>
      <c r="K37" s="2035"/>
      <c r="L37" s="2035"/>
      <c r="M37" s="2035"/>
      <c r="N37" s="2035"/>
      <c r="O37" s="4040" t="str">
        <f>IF(OR($C$15="",$C$15="USER DEFINED INCIDENT"),"",IF(INDEX(Outcome_Summary_Table,MATCH('User Scenario'!$C$15,Incident_Explicit,0),MATCH('User Scenario'!I37,Results_Release_Calcs,0))="","",INDEX(Outcome_Summary_Table,MATCH('User Scenario'!$C$15,Incident_Explicit,0),MATCH('User Scenario'!I37,Results_Release_Calcs,0))))</f>
        <v/>
      </c>
      <c r="P37" s="4040"/>
      <c r="Q37" s="4040"/>
      <c r="R37" s="4040"/>
      <c r="S37" s="4041"/>
      <c r="T37" s="4041"/>
      <c r="U37" s="4041"/>
      <c r="V37" s="4041"/>
      <c r="W37" s="1471" t="s">
        <v>1760</v>
      </c>
      <c r="AE37" s="1562"/>
      <c r="AF37" s="1563"/>
      <c r="AG37" s="1562"/>
      <c r="AH37" s="1562"/>
      <c r="AI37" s="1562"/>
      <c r="AJ37" s="1384"/>
    </row>
    <row r="38" spans="2:36" ht="12.75" customHeight="1" x14ac:dyDescent="0.25">
      <c r="B38" s="4064" t="s">
        <v>292</v>
      </c>
      <c r="C38" s="4065"/>
      <c r="D38" s="8" t="str">
        <f>IF(OR(C15="",C20=""),"",IF(NOT(User_Incident_Entered="USER DEFINED INCIDENT"),IF(INDEX('Scenario Analysis'!DL5:DV57,MATCH('User Scenario'!$C$15,Incident_Explicit,0),MATCH('User Scenario'!$C$20,Results_TEF,0))="","",INDEX('Scenario Analysis'!DL5:DV57,MATCH('User Scenario'!$C$15,Incident_Explicit,0),MATCH('User Scenario'!$C$20,Results_TEF,0))),""))</f>
        <v/>
      </c>
      <c r="E38" s="511"/>
      <c r="F38" s="1589"/>
      <c r="I38" s="251" t="str">
        <f>'Scenario Analysis'!BC$3</f>
        <v>Time to Reach LC-1 Enclosed Process Area w Ventilation (sec)</v>
      </c>
      <c r="J38" s="2035"/>
      <c r="K38" s="2035"/>
      <c r="L38" s="2035"/>
      <c r="M38" s="2035"/>
      <c r="N38" s="2035"/>
      <c r="O38" s="4040" t="str">
        <f>IF(OR($C$15="",$C$15="USER DEFINED INCIDENT"),"",IF(INDEX(Outcome_Summary_Table,MATCH('User Scenario'!$C$15,Incident_Explicit,0),MATCH('User Scenario'!I38,Results_Release_Calcs,0))="","",INDEX(Outcome_Summary_Table,MATCH('User Scenario'!$C$15,Incident_Explicit,0),MATCH('User Scenario'!I38,Results_Release_Calcs,0))))</f>
        <v/>
      </c>
      <c r="P38" s="4040"/>
      <c r="Q38" s="4040"/>
      <c r="R38" s="4040"/>
      <c r="S38" s="4041"/>
      <c r="T38" s="4041"/>
      <c r="U38" s="4041"/>
      <c r="V38" s="4041"/>
      <c r="W38" s="1471" t="s">
        <v>1760</v>
      </c>
      <c r="AE38" s="1562"/>
      <c r="AF38" s="1563"/>
      <c r="AG38" s="1562"/>
      <c r="AH38" s="1562"/>
      <c r="AI38" s="1562"/>
      <c r="AJ38" s="1384"/>
    </row>
    <row r="39" spans="2:36" ht="12.75" customHeight="1" x14ac:dyDescent="0.25">
      <c r="B39" s="1585" t="s">
        <v>180</v>
      </c>
      <c r="C39" s="1586"/>
      <c r="D39" s="8" t="str">
        <f>IF(AR13="Yes",User_POE_Entered,IF(Operating_Time="","",IF(OR(User_Cause="Human Failure Action more than once per quarter", User_Cause="Human Failure Action once per quarter or less", User_Cause="Operator Action Failure",User_Cause="Operator Action Failure &lt; 1/Qtr"),0,VLOOKUP(LOOKUP(Operating_Time,{"Greater Than 10%","Less Than 1% &amp; 1/Qtr","Less Than 10%"},{"In Operation &gt; 10%","In Operation &lt; 1% and Occurs &lt; 1/Qtr","In Operation &lt; 10%"}),POE_Table,2))))</f>
        <v/>
      </c>
      <c r="E39" s="511"/>
      <c r="F39" s="1589"/>
      <c r="I39" s="251" t="str">
        <f>'Scenario Analysis'!BD$3</f>
        <v>Distance to Lower Flammable Limit (LFL) Concentration</v>
      </c>
      <c r="J39" s="2035"/>
      <c r="K39" s="2035"/>
      <c r="L39" s="2035"/>
      <c r="M39" s="2035"/>
      <c r="N39" s="2035"/>
      <c r="O39" s="4040" t="str">
        <f>IF(OR($C$15="",$C$15="USER DEFINED INCIDENT"),"",IF(INDEX(Outcome_Summary_Table,MATCH('User Scenario'!$C$15,Incident_Explicit,0),MATCH('User Scenario'!I39,Results_Release_Calcs,0))="","",INDEX(Outcome_Summary_Table,MATCH('User Scenario'!$C$15,Incident_Explicit,0),MATCH('User Scenario'!I39,Results_Release_Calcs,0))))</f>
        <v/>
      </c>
      <c r="P39" s="4040"/>
      <c r="Q39" s="4040"/>
      <c r="R39" s="4040"/>
      <c r="S39" s="4041"/>
      <c r="T39" s="4041"/>
      <c r="U39" s="4041"/>
      <c r="V39" s="4041"/>
      <c r="W39" s="1471" t="str">
        <f>IF(Report_D&lt;&gt;"",Report_D,Public_Units)</f>
        <v>m</v>
      </c>
      <c r="AE39" s="1562"/>
      <c r="AF39" s="1563"/>
      <c r="AG39" s="1562"/>
      <c r="AH39" s="1562"/>
      <c r="AI39" s="1562" t="str">
        <f>IF(AE39="","",AE39)</f>
        <v/>
      </c>
      <c r="AJ39" s="1384"/>
    </row>
    <row r="40" spans="2:36" ht="12.75" customHeight="1" x14ac:dyDescent="0.25">
      <c r="B40" s="4066" t="s">
        <v>1798</v>
      </c>
      <c r="C40" s="4066"/>
      <c r="D40" s="158" t="str">
        <f>IF(ISERROR(D35-SUM(D36:D39)),"",D35-SUM(D36:D39))</f>
        <v/>
      </c>
      <c r="E40" s="511"/>
      <c r="I40" s="251" t="str">
        <f>'Scenario Analysis'!BF$3</f>
        <v>Distance to Severe Flammable Impact (0.5 LFL, BLEVE, or Dust Fireball)</v>
      </c>
      <c r="J40" s="252"/>
      <c r="K40" s="252"/>
      <c r="L40" s="252"/>
      <c r="M40" s="252"/>
      <c r="N40" s="252"/>
      <c r="O40" s="4040" t="str">
        <f>IF(OR($C$15="",$C$15="USER DEFINED INCIDENT"),"",IF(INDEX(Outcome_Summary_Table,MATCH('User Scenario'!$C$15,Incident_Explicit,0),MATCH('User Scenario'!I40,Results_Release_Calcs,0))="","",INDEX(Outcome_Summary_Table,MATCH('User Scenario'!$C$15,Incident_Explicit,0),MATCH('User Scenario'!I40,Results_Release_Calcs,0))))</f>
        <v/>
      </c>
      <c r="P40" s="4040"/>
      <c r="Q40" s="4040"/>
      <c r="R40" s="4040"/>
      <c r="S40" s="4041"/>
      <c r="T40" s="4041"/>
      <c r="U40" s="4041"/>
      <c r="V40" s="4041"/>
      <c r="W40" s="1471" t="str">
        <f>IF(Report_D&lt;&gt;"",Report_D,Public_Units)</f>
        <v>m</v>
      </c>
      <c r="AE40" s="1562"/>
      <c r="AF40" s="1563"/>
      <c r="AG40" s="1562"/>
      <c r="AH40" s="1562"/>
      <c r="AI40" s="1562" t="str">
        <f>IF(AE40="","",AE40)</f>
        <v/>
      </c>
      <c r="AJ40" s="1384"/>
    </row>
    <row r="41" spans="2:36" x14ac:dyDescent="0.25">
      <c r="B41" s="511"/>
      <c r="C41" s="511"/>
      <c r="D41" s="511"/>
      <c r="E41" s="511"/>
      <c r="I41" s="251" t="str">
        <f>'Scenario Analysis'!BH$3</f>
        <v>Rupture Distance to Direct Blast Impact (Overpressure or Fragments)</v>
      </c>
      <c r="J41" s="252"/>
      <c r="K41" s="252"/>
      <c r="L41" s="252"/>
      <c r="M41" s="252"/>
      <c r="N41" s="252"/>
      <c r="O41" s="4040" t="str">
        <f>IF(OR($C$15="",$C$15="USER DEFINED INCIDENT"),"",IF(INDEX(Outcome_Summary_Table,MATCH('User Scenario'!$C$15,Incident_Explicit,0),MATCH('User Scenario'!I41,Results_Release_Calcs,0))="","",INDEX(Outcome_Summary_Table,MATCH('User Scenario'!$C$15,Incident_Explicit,0),MATCH('User Scenario'!I41,Results_Release_Calcs,0))))</f>
        <v/>
      </c>
      <c r="P41" s="4040"/>
      <c r="Q41" s="4040"/>
      <c r="R41" s="4040"/>
      <c r="S41" s="4041"/>
      <c r="T41" s="4041"/>
      <c r="U41" s="4041"/>
      <c r="V41" s="4041"/>
      <c r="W41" s="1471" t="str">
        <f>IF(Report_D&lt;&gt;"",Report_D,Public_Units)</f>
        <v>m</v>
      </c>
      <c r="AE41" s="1562"/>
      <c r="AF41" s="1563"/>
      <c r="AG41" s="1562" t="e">
        <f>VLOOKUP(AF41,'Unit Conversion'!$J$3:$K$59,2,FALSE)</f>
        <v>#N/A</v>
      </c>
      <c r="AH41" s="1562">
        <f>VLOOKUP(W41,'Unit Conversion'!$J$3:$K$59,2,FALSE)</f>
        <v>1</v>
      </c>
      <c r="AI41" s="1562" t="str">
        <f>IF(AE41="","",ROUND(AE41*AG41/AH41,LOOKUP(AE41*AG41/AH41,mag,decimals)))</f>
        <v/>
      </c>
      <c r="AJ41" s="1384"/>
    </row>
    <row r="42" spans="2:36" ht="12.75" customHeight="1" x14ac:dyDescent="0.25">
      <c r="I42" s="251" t="str">
        <f>'Scenario Analysis'!BJ$3</f>
        <v>Rupture Distance to 1 psi Overpressure</v>
      </c>
      <c r="J42" s="252"/>
      <c r="K42" s="252"/>
      <c r="L42" s="252"/>
      <c r="M42" s="252"/>
      <c r="N42" s="252"/>
      <c r="O42" s="4040" t="str">
        <f>IF(OR($C$15="",$C$15="USER DEFINED INCIDENT"),"",IF(INDEX(Outcome_Summary_Table,MATCH('User Scenario'!$C$15,Incident_Explicit,0),MATCH('User Scenario'!I42,Results_Release_Calcs,0))="","",INDEX(Outcome_Summary_Table,MATCH('User Scenario'!$C$15,Incident_Explicit,0),MATCH('User Scenario'!I42,Results_Release_Calcs,0))))</f>
        <v/>
      </c>
      <c r="P42" s="4040"/>
      <c r="Q42" s="4040"/>
      <c r="R42" s="4040"/>
      <c r="S42" s="4041"/>
      <c r="T42" s="4041"/>
      <c r="U42" s="4041"/>
      <c r="V42" s="4041"/>
      <c r="W42" s="1471" t="str">
        <f>IF(Report_D&lt;&gt;"",Report_D,Public_Units)</f>
        <v>m</v>
      </c>
      <c r="AE42" s="1562"/>
      <c r="AF42" s="1563"/>
      <c r="AG42" s="1562" t="e">
        <f>VLOOKUP(AF42,'Unit Conversion'!$J$3:$K$59,2,FALSE)</f>
        <v>#N/A</v>
      </c>
      <c r="AH42" s="1562">
        <f>VLOOKUP(W42,'Unit Conversion'!$J$3:$K$59,2,FALSE)</f>
        <v>1</v>
      </c>
      <c r="AI42" s="1562" t="str">
        <f>IF(AE42="","",ROUND(AE42*AG42/AH42,LOOKUP(AE42*AG42/AH42,mag,decimals)))</f>
        <v/>
      </c>
      <c r="AJ42" s="1384"/>
    </row>
    <row r="43" spans="2:36" ht="12.75" customHeight="1" x14ac:dyDescent="0.25">
      <c r="I43" s="251" t="str">
        <f>'Scenario Analysis'!BL$3</f>
        <v>Maximum Fragment Range</v>
      </c>
      <c r="J43" s="2035"/>
      <c r="K43" s="2035"/>
      <c r="L43" s="2035"/>
      <c r="M43" s="2035"/>
      <c r="N43" s="2035"/>
      <c r="O43" s="4040" t="str">
        <f>IF(OR($C$15="",$C$15="USER DEFINED INCIDENT"),"",IF(INDEX(Outcome_Summary_Table,MATCH('User Scenario'!$C$15,Incident_Explicit,0),MATCH('User Scenario'!I43,Results_Release_Calcs,0))="","",INDEX(Outcome_Summary_Table,MATCH('User Scenario'!$C$15,Incident_Explicit,0),MATCH('User Scenario'!I43,Results_Release_Calcs,0))))</f>
        <v/>
      </c>
      <c r="P43" s="4040"/>
      <c r="Q43" s="4040"/>
      <c r="R43" s="4040"/>
      <c r="S43" s="4041"/>
      <c r="T43" s="4041"/>
      <c r="U43" s="4041"/>
      <c r="V43" s="4041"/>
      <c r="W43" s="1471" t="str">
        <f>IF(Report_D&lt;&gt;"",Report_D,Public_Units)</f>
        <v>m</v>
      </c>
      <c r="AE43" s="1562"/>
      <c r="AF43" s="1563"/>
      <c r="AG43" s="1562"/>
      <c r="AH43" s="1562"/>
      <c r="AI43" s="1562"/>
      <c r="AJ43" s="1384"/>
    </row>
    <row r="44" spans="2:36" ht="12.75" customHeight="1" x14ac:dyDescent="0.25">
      <c r="F44" s="152"/>
      <c r="I44" s="251" t="str">
        <f>'Scenario Analysis'!BN$3</f>
        <v>Rupture Overpressure at  Typical Construction Occupied Bldg 1</v>
      </c>
      <c r="J44" s="252"/>
      <c r="K44" s="252"/>
      <c r="L44" s="252"/>
      <c r="M44" s="252"/>
      <c r="N44" s="252"/>
      <c r="O44" s="4040" t="str">
        <f>IF(OR($C$15="",$C$15="USER DEFINED INCIDENT"),"",IF(INDEX(Outcome_Summary_Table,MATCH('User Scenario'!$C$15,Incident_Explicit,0),MATCH('User Scenario'!I44,Results_Release_Calcs,0))="","",INDEX(Outcome_Summary_Table,MATCH('User Scenario'!$C$15,Incident_Explicit,0),MATCH('User Scenario'!I44,Results_Release_Calcs,0))))</f>
        <v/>
      </c>
      <c r="P44" s="4040"/>
      <c r="Q44" s="4040"/>
      <c r="R44" s="4040"/>
      <c r="S44" s="4041"/>
      <c r="T44" s="4041"/>
      <c r="U44" s="4041"/>
      <c r="V44" s="4041"/>
      <c r="W44" s="1471" t="s">
        <v>968</v>
      </c>
      <c r="AE44" s="1562"/>
      <c r="AF44" s="1563"/>
      <c r="AG44" s="1562" t="e">
        <f>VLOOKUP(AF44,'Unit Conversion'!$J$3:$K$59,2,FALSE)</f>
        <v>#N/A</v>
      </c>
      <c r="AH44" s="1562">
        <f>VLOOKUP(W44,'Unit Conversion'!$J$3:$K$59,2,FALSE)</f>
        <v>6.8045960000000003E-2</v>
      </c>
      <c r="AI44" s="1562" t="str">
        <f>IF(AE44="","",ROUND(AE44*AG44/AH44,LOOKUP(AE44*AG44/AH44,mag,decimals)))</f>
        <v/>
      </c>
      <c r="AJ44" s="1384"/>
    </row>
    <row r="45" spans="2:36" ht="12.75" customHeight="1" x14ac:dyDescent="0.25">
      <c r="F45" s="152"/>
      <c r="I45" s="251" t="str">
        <f>'Scenario Analysis'!BO$3</f>
        <v>Rupture Overpressure at  Typical Construction Occupied Bldg 2</v>
      </c>
      <c r="J45" s="1716"/>
      <c r="K45" s="1716"/>
      <c r="L45" s="1716"/>
      <c r="M45" s="1716"/>
      <c r="N45" s="1716"/>
      <c r="O45" s="4040" t="str">
        <f>IF(OR($C$15="",$C$15="USER DEFINED INCIDENT"),"",IF(INDEX(Outcome_Summary_Table,MATCH('User Scenario'!$C$15,Incident_Explicit,0),MATCH('User Scenario'!I45,Results_Release_Calcs,0))="","",INDEX(Outcome_Summary_Table,MATCH('User Scenario'!$C$15,Incident_Explicit,0),MATCH('User Scenario'!I45,Results_Release_Calcs,0))))</f>
        <v/>
      </c>
      <c r="P45" s="4040"/>
      <c r="Q45" s="4040"/>
      <c r="R45" s="4040"/>
      <c r="S45" s="4135"/>
      <c r="T45" s="3576"/>
      <c r="U45" s="3576"/>
      <c r="V45" s="3576"/>
      <c r="W45" s="1471" t="s">
        <v>968</v>
      </c>
      <c r="AE45" s="1562"/>
      <c r="AF45" s="1563"/>
      <c r="AG45" s="1562"/>
      <c r="AH45" s="1562"/>
      <c r="AI45" s="1562"/>
      <c r="AJ45" s="1384"/>
    </row>
    <row r="46" spans="2:36" ht="12.75" customHeight="1" x14ac:dyDescent="0.25">
      <c r="I46" s="251" t="str">
        <f>'Scenario Analysis'!BP$3</f>
        <v>Flammable Vapor Rate</v>
      </c>
      <c r="J46" s="252"/>
      <c r="K46" s="252"/>
      <c r="L46" s="252"/>
      <c r="M46" s="252"/>
      <c r="N46" s="252"/>
      <c r="O46" s="4040" t="str">
        <f>IF(OR($C$15="",$C$15="USER DEFINED INCIDENT"),"",IF(INDEX(Outcome_Summary_Table,MATCH('User Scenario'!$C$15,Incident_Explicit,0),MATCH('User Scenario'!I46,Results_Release_Calcs,0))="","",INDEX(Outcome_Summary_Table,MATCH('User Scenario'!$C$15,Incident_Explicit,0),MATCH('User Scenario'!I46,Results_Release_Calcs,0))))</f>
        <v/>
      </c>
      <c r="P46" s="4040"/>
      <c r="Q46" s="4040"/>
      <c r="R46" s="4040"/>
      <c r="S46" s="4041"/>
      <c r="T46" s="4041"/>
      <c r="U46" s="4041"/>
      <c r="V46" s="4041"/>
      <c r="W46" s="1471" t="str">
        <f>Small_Leak_Units</f>
        <v>kg/min</v>
      </c>
      <c r="AE46" s="1562"/>
      <c r="AF46" s="1563"/>
      <c r="AG46" s="1562" t="e">
        <f>VLOOKUP(AF46,'Unit Conversion'!$J$3:$K$59,2,FALSE)</f>
        <v>#N/A</v>
      </c>
      <c r="AH46" s="1562">
        <f>VLOOKUP(W46,'Unit Conversion'!$J$3:$K$59,2,FALSE)</f>
        <v>1.6666666666666666E-2</v>
      </c>
      <c r="AI46" s="1562" t="str">
        <f>IF(AE46="","",ROUND(AE46*AG46/AH46,LOOKUP(AE46*AG46/AH46,mag,decimals)))</f>
        <v/>
      </c>
      <c r="AJ46" s="1384"/>
    </row>
    <row r="47" spans="2:36" ht="13.75" customHeight="1" x14ac:dyDescent="0.25">
      <c r="B47" s="152"/>
      <c r="C47" s="152"/>
      <c r="D47" s="152"/>
      <c r="E47" s="1588"/>
      <c r="F47" s="1588"/>
      <c r="I47" s="251" t="str">
        <f>'Scenario Analysis'!BR$3</f>
        <v>Explosion Distance to 1 psi Overpressure</v>
      </c>
      <c r="J47" s="252"/>
      <c r="K47" s="252"/>
      <c r="L47" s="252"/>
      <c r="M47" s="252"/>
      <c r="N47" s="252"/>
      <c r="O47" s="4040" t="str">
        <f>IF(OR($C$15="",$C$15="USER DEFINED INCIDENT"),"",IF(INDEX(Outcome_Summary_Table,MATCH('User Scenario'!$C$15,Incident_Explicit,0),MATCH('User Scenario'!I47,Results_Release_Calcs,0))="","",INDEX(Outcome_Summary_Table,MATCH('User Scenario'!$C$15,Incident_Explicit,0),MATCH('User Scenario'!I47,Results_Release_Calcs,0))))</f>
        <v/>
      </c>
      <c r="P47" s="4040"/>
      <c r="Q47" s="4040"/>
      <c r="R47" s="4040"/>
      <c r="S47" s="4041"/>
      <c r="T47" s="4041"/>
      <c r="U47" s="4041"/>
      <c r="V47" s="4041"/>
      <c r="W47" s="1471" t="str">
        <f>Public_Units</f>
        <v>m</v>
      </c>
      <c r="AE47" s="1562"/>
      <c r="AF47" s="1563"/>
      <c r="AG47" s="1562" t="e">
        <f>VLOOKUP(AF47,'Unit Conversion'!$J$3:$K$59,2,FALSE)</f>
        <v>#N/A</v>
      </c>
      <c r="AH47" s="1562">
        <f>VLOOKUP(W47,'Unit Conversion'!$J$3:$K$59,2,FALSE)</f>
        <v>1</v>
      </c>
      <c r="AI47" s="1562" t="str">
        <f>IF(AE47="","",ROUND(AE47*AG47/AH47,LOOKUP(AE47*AG47/AH47,mag,decimals)))</f>
        <v/>
      </c>
      <c r="AJ47" s="1384"/>
    </row>
    <row r="48" spans="2:36" ht="13.75" customHeight="1" x14ac:dyDescent="0.25">
      <c r="B48" s="152"/>
      <c r="C48" s="152"/>
      <c r="D48" s="152"/>
      <c r="E48" s="1588"/>
      <c r="F48" s="1588"/>
      <c r="I48" s="1590" t="str">
        <f>'Scenario Analysis'!BT$3</f>
        <v>Explosion Overpressure at Typical Construction Occupied Bldg 1 (psi)</v>
      </c>
      <c r="J48" s="252"/>
      <c r="K48" s="252"/>
      <c r="L48" s="252"/>
      <c r="M48" s="252"/>
      <c r="N48" s="252"/>
      <c r="O48" s="4040" t="str">
        <f>IF(OR($C$15="",$C$15="USER DEFINED INCIDENT"),"",IF(INDEX(Outcome_Summary_Table,MATCH('User Scenario'!$C$15,Incident_Explicit,0),MATCH('User Scenario'!I48,Results_Release_Calcs,0))="","",INDEX(Outcome_Summary_Table,MATCH('User Scenario'!$C$15,Incident_Explicit,0),MATCH('User Scenario'!I48,Results_Release_Calcs,0))))</f>
        <v/>
      </c>
      <c r="P48" s="4040"/>
      <c r="Q48" s="4040"/>
      <c r="R48" s="4040"/>
      <c r="S48" s="4041"/>
      <c r="T48" s="4041"/>
      <c r="U48" s="4041"/>
      <c r="V48" s="4041"/>
      <c r="W48" s="1471" t="s">
        <v>968</v>
      </c>
      <c r="AE48" s="1562"/>
      <c r="AF48" s="1563"/>
      <c r="AG48" s="1562" t="e">
        <f>VLOOKUP(AF48,'Unit Conversion'!$J$3:$K$59,2,FALSE)</f>
        <v>#N/A</v>
      </c>
      <c r="AH48" s="1562">
        <f>VLOOKUP(W48,'Unit Conversion'!$J$3:$K$59,2,FALSE)</f>
        <v>6.8045960000000003E-2</v>
      </c>
      <c r="AI48" s="1562" t="str">
        <f>IF(AE48="","",ROUND(AE48*AG48/AH48,LOOKUP(AE48*AG48/AH48,mag,decimals)))</f>
        <v/>
      </c>
      <c r="AJ48" s="1384"/>
    </row>
    <row r="49" spans="2:36" ht="13.75" customHeight="1" x14ac:dyDescent="0.25">
      <c r="B49" s="152"/>
      <c r="C49" s="152"/>
      <c r="D49" s="152"/>
      <c r="E49" s="26"/>
      <c r="F49" s="26"/>
      <c r="I49" s="1590" t="str">
        <f>'Scenario Analysis'!BU$3</f>
        <v>Explosion Overpressure at Typical Construction Occupied Bldg 2 (psi)</v>
      </c>
      <c r="J49" s="1648"/>
      <c r="K49" s="1648"/>
      <c r="L49" s="1648"/>
      <c r="M49" s="1648"/>
      <c r="N49" s="1648"/>
      <c r="O49" s="4040" t="str">
        <f>IF(OR($C$15="",$C$15="USER DEFINED INCIDENT"),"",IF(INDEX(Outcome_Summary_Table,MATCH('User Scenario'!$C$15,Incident_Explicit,0),MATCH('User Scenario'!I49,Results_Release_Calcs,0))="","",INDEX(Outcome_Summary_Table,MATCH('User Scenario'!$C$15,Incident_Explicit,0),MATCH('User Scenario'!I49,Results_Release_Calcs,0))))</f>
        <v/>
      </c>
      <c r="P49" s="4040"/>
      <c r="Q49" s="4040"/>
      <c r="R49" s="4040"/>
      <c r="S49" s="4041"/>
      <c r="T49" s="4041"/>
      <c r="U49" s="4041"/>
      <c r="V49" s="4041"/>
      <c r="W49" s="1471" t="s">
        <v>968</v>
      </c>
      <c r="AE49" s="1562"/>
      <c r="AF49" s="1563"/>
      <c r="AG49" s="1562"/>
      <c r="AH49" s="1562"/>
      <c r="AI49" s="1562"/>
      <c r="AJ49" s="1384"/>
    </row>
    <row r="50" spans="2:36" ht="12.75" customHeight="1" x14ac:dyDescent="0.25">
      <c r="B50" s="152"/>
      <c r="C50" s="152"/>
      <c r="D50" s="152"/>
      <c r="E50" s="26"/>
      <c r="F50" s="26"/>
      <c r="G50" s="1588"/>
      <c r="I50" s="1647" t="str">
        <f>'Scenario Analysis'!BV3</f>
        <v>Time to Relief Set Pressure or Burst</v>
      </c>
      <c r="J50" s="1648"/>
      <c r="K50" s="1648"/>
      <c r="L50" s="1648"/>
      <c r="M50" s="1648"/>
      <c r="N50" s="1649"/>
      <c r="O50" s="4093" t="str">
        <f>IF(OR($C$15="",$C$15="USER DEFINED INCIDENT"),"",IF(INDEX(Outcome_Summary_Table,MATCH('User Scenario'!$C$15,Incident_Explicit,0),MATCH('User Scenario'!I50,Results_Release_Calcs,0))="","",INDEX(Outcome_Summary_Table,MATCH('User Scenario'!$C$15,Incident_Explicit,0),MATCH('User Scenario'!I50,Results_Release_Calcs,0))))</f>
        <v/>
      </c>
      <c r="P50" s="4093"/>
      <c r="Q50" s="4093"/>
      <c r="R50" s="4093"/>
      <c r="S50" s="4041"/>
      <c r="T50" s="4041"/>
      <c r="U50" s="4041"/>
      <c r="V50" s="4041"/>
      <c r="W50" s="1471" t="s">
        <v>1760</v>
      </c>
      <c r="AE50" s="1562"/>
      <c r="AF50" s="1563"/>
      <c r="AG50" s="1562" t="e">
        <f>VLOOKUP(AF50,'Unit Conversion'!$J$3:$K$59,2,FALSE)</f>
        <v>#N/A</v>
      </c>
      <c r="AH50" s="1562">
        <f>VLOOKUP(W50,'Unit Conversion'!$J$3:$K$59,2,FALSE)</f>
        <v>1</v>
      </c>
      <c r="AI50" s="1562" t="str">
        <f>IF(AE50="","",ROUND(AE50*AG50/AH50,LOOKUP(AE50*AG50/AH50,mag,decimals)))</f>
        <v/>
      </c>
      <c r="AJ50" s="1384"/>
    </row>
    <row r="51" spans="2:36" ht="12.75" customHeight="1" thickBot="1" x14ac:dyDescent="0.3">
      <c r="B51" s="152"/>
      <c r="C51" s="152"/>
      <c r="D51" s="152"/>
      <c r="E51" s="26"/>
      <c r="F51" s="26"/>
      <c r="G51" s="1588"/>
      <c r="I51" s="1650"/>
      <c r="J51" s="1650"/>
      <c r="K51" s="1650"/>
      <c r="L51" s="1650"/>
      <c r="M51" s="1650"/>
      <c r="N51" s="1650"/>
      <c r="O51" s="1650"/>
      <c r="P51" s="1650"/>
      <c r="Q51" s="1650"/>
      <c r="R51" s="1650"/>
      <c r="S51" s="1383"/>
      <c r="T51" s="1383"/>
      <c r="U51" s="1383"/>
      <c r="V51" s="1383"/>
      <c r="W51" s="1383"/>
      <c r="X51" s="1591"/>
      <c r="Y51" s="1563"/>
      <c r="AJ51" s="1384"/>
    </row>
    <row r="52" spans="2:36" ht="12.75" customHeight="1" thickBot="1" x14ac:dyDescent="0.3">
      <c r="G52" s="26"/>
      <c r="I52" s="4049" t="s">
        <v>156</v>
      </c>
      <c r="J52" s="4050"/>
      <c r="K52" s="4089" t="s">
        <v>308</v>
      </c>
      <c r="L52" s="3673"/>
      <c r="M52" s="3673"/>
      <c r="N52" s="3673"/>
      <c r="O52" s="3673"/>
      <c r="P52" s="3673"/>
      <c r="Q52" s="3673"/>
      <c r="R52" s="3673"/>
      <c r="S52" s="3673"/>
      <c r="T52" s="3673"/>
      <c r="U52" s="3660"/>
      <c r="Y52" s="1546"/>
      <c r="AJ52" s="1384"/>
    </row>
    <row r="53" spans="2:36" ht="12.75" customHeight="1" x14ac:dyDescent="0.25">
      <c r="D53" s="178"/>
      <c r="E53" s="178"/>
      <c r="F53" s="178"/>
      <c r="G53" s="26"/>
      <c r="I53" s="4051"/>
      <c r="J53" s="4052"/>
      <c r="K53" s="4055" t="str">
        <f>'Scenario Analysis'!CA3</f>
        <v>Off-Site Toxic Release</v>
      </c>
      <c r="L53" s="4055" t="str">
        <f>'Scenario Analysis'!CB3</f>
        <v>On-Site Toxic Release</v>
      </c>
      <c r="M53" s="4055" t="str">
        <f>'Scenario Analysis'!CC3</f>
        <v>Indoor Toxic Release</v>
      </c>
      <c r="N53" s="4055" t="str">
        <f>'Scenario Analysis'!CD3</f>
        <v>Toxic Infiltration</v>
      </c>
      <c r="O53" s="4055" t="str">
        <f>'Scenario Analysis'!CE3</f>
        <v>Chemical Exposure</v>
      </c>
      <c r="P53" s="4055" t="str">
        <f>'Scenario Analysis'!CF3</f>
        <v>Flash Fire or Fireball</v>
      </c>
      <c r="Q53" s="4055" t="str">
        <f>'Scenario Analysis'!CG3</f>
        <v>Vapor Cloud Explosion</v>
      </c>
      <c r="R53" s="4055" t="str">
        <f>'Scenario Analysis'!CH3</f>
        <v>Building Explosion</v>
      </c>
      <c r="S53" s="4055" t="str">
        <f>'Scenario Analysis'!CI3</f>
        <v>Equipment Explosion</v>
      </c>
      <c r="T53" s="4055" t="str">
        <f>'Scenario Analysis'!CJ3</f>
        <v>Property Damage or Business Loss</v>
      </c>
      <c r="U53" s="4090" t="str">
        <f>'Scenario Analysis'!CK3</f>
        <v>Environmental Damage</v>
      </c>
      <c r="Y53" s="1546"/>
      <c r="AJ53" s="1384"/>
    </row>
    <row r="54" spans="2:36" ht="13.75" customHeight="1" x14ac:dyDescent="0.25">
      <c r="B54" s="1318"/>
      <c r="C54" s="178"/>
      <c r="D54" s="178"/>
      <c r="E54" s="178"/>
      <c r="F54" s="178"/>
      <c r="I54" s="4051"/>
      <c r="J54" s="4052"/>
      <c r="K54" s="4056"/>
      <c r="L54" s="4056"/>
      <c r="M54" s="4056"/>
      <c r="N54" s="4056"/>
      <c r="O54" s="4056"/>
      <c r="P54" s="4056"/>
      <c r="Q54" s="4056"/>
      <c r="R54" s="4056"/>
      <c r="S54" s="4056"/>
      <c r="T54" s="4056"/>
      <c r="U54" s="4091"/>
      <c r="Y54" s="1546"/>
      <c r="AJ54" s="1384"/>
    </row>
    <row r="55" spans="2:36" ht="13.75" customHeight="1" x14ac:dyDescent="0.25">
      <c r="G55" s="26"/>
      <c r="I55" s="4051"/>
      <c r="J55" s="4052"/>
      <c r="K55" s="4056"/>
      <c r="L55" s="4056"/>
      <c r="M55" s="4056"/>
      <c r="N55" s="4056"/>
      <c r="O55" s="4056"/>
      <c r="P55" s="4056"/>
      <c r="Q55" s="4056"/>
      <c r="R55" s="4056"/>
      <c r="S55" s="4056"/>
      <c r="T55" s="4056"/>
      <c r="U55" s="4091"/>
      <c r="Y55" s="1546"/>
      <c r="AJ55" s="1384"/>
    </row>
    <row r="56" spans="2:36" ht="13.75" customHeight="1" x14ac:dyDescent="0.25">
      <c r="I56" s="4051"/>
      <c r="J56" s="4052"/>
      <c r="K56" s="4056"/>
      <c r="L56" s="4056"/>
      <c r="M56" s="4056"/>
      <c r="N56" s="4056"/>
      <c r="O56" s="4056"/>
      <c r="P56" s="4056"/>
      <c r="Q56" s="4056"/>
      <c r="R56" s="4056"/>
      <c r="S56" s="4056"/>
      <c r="T56" s="4056"/>
      <c r="U56" s="4091"/>
      <c r="Y56" s="1546"/>
      <c r="AJ56" s="1384"/>
    </row>
    <row r="57" spans="2:36" ht="13.75" customHeight="1" x14ac:dyDescent="0.25">
      <c r="G57" s="178"/>
      <c r="I57" s="4051"/>
      <c r="J57" s="4052"/>
      <c r="K57" s="4056"/>
      <c r="L57" s="4056"/>
      <c r="M57" s="4056"/>
      <c r="N57" s="4056"/>
      <c r="O57" s="4056"/>
      <c r="P57" s="4056"/>
      <c r="Q57" s="4056"/>
      <c r="R57" s="4056"/>
      <c r="S57" s="4056"/>
      <c r="T57" s="4056"/>
      <c r="U57" s="4091"/>
      <c r="Y57" s="1546"/>
      <c r="AJ57" s="1384"/>
    </row>
    <row r="58" spans="2:36" ht="12.75" customHeight="1" x14ac:dyDescent="0.25">
      <c r="G58" s="178"/>
      <c r="I58" s="4051"/>
      <c r="J58" s="4052"/>
      <c r="K58" s="4056"/>
      <c r="L58" s="4056"/>
      <c r="M58" s="4056"/>
      <c r="N58" s="4056"/>
      <c r="O58" s="4056"/>
      <c r="P58" s="4056"/>
      <c r="Q58" s="4056"/>
      <c r="R58" s="4056"/>
      <c r="S58" s="4056"/>
      <c r="T58" s="4056"/>
      <c r="U58" s="4091"/>
      <c r="Y58" s="1546"/>
      <c r="AJ58" s="1384"/>
    </row>
    <row r="59" spans="2:36" ht="13.75" customHeight="1" x14ac:dyDescent="0.25">
      <c r="I59" s="4051"/>
      <c r="J59" s="4052"/>
      <c r="K59" s="4056"/>
      <c r="L59" s="4056"/>
      <c r="M59" s="4056"/>
      <c r="N59" s="4056"/>
      <c r="O59" s="4056"/>
      <c r="P59" s="4056"/>
      <c r="Q59" s="4056"/>
      <c r="R59" s="4056"/>
      <c r="S59" s="4056"/>
      <c r="T59" s="4056"/>
      <c r="U59" s="4091"/>
      <c r="Y59" s="1546"/>
      <c r="AJ59" s="1384"/>
    </row>
    <row r="60" spans="2:36" ht="12.75" customHeight="1" x14ac:dyDescent="0.25">
      <c r="I60" s="4051"/>
      <c r="J60" s="4052"/>
      <c r="K60" s="4056"/>
      <c r="L60" s="4056"/>
      <c r="M60" s="4056"/>
      <c r="N60" s="4056"/>
      <c r="O60" s="4056"/>
      <c r="P60" s="4056"/>
      <c r="Q60" s="4056"/>
      <c r="R60" s="4056"/>
      <c r="S60" s="4056"/>
      <c r="T60" s="4056"/>
      <c r="U60" s="4091"/>
      <c r="Y60" s="1546"/>
      <c r="AJ60" s="1384"/>
    </row>
    <row r="61" spans="2:36" ht="12.75" customHeight="1" thickBot="1" x14ac:dyDescent="0.3">
      <c r="I61" s="4053"/>
      <c r="J61" s="4054"/>
      <c r="K61" s="4057"/>
      <c r="L61" s="4057"/>
      <c r="M61" s="4057"/>
      <c r="N61" s="4057"/>
      <c r="O61" s="4057"/>
      <c r="P61" s="4057"/>
      <c r="Q61" s="4057"/>
      <c r="R61" s="4057"/>
      <c r="S61" s="4057"/>
      <c r="T61" s="4057"/>
      <c r="U61" s="4092"/>
      <c r="Y61" s="1546"/>
      <c r="AJ61" s="1384"/>
    </row>
    <row r="62" spans="2:36" ht="13.75" customHeight="1" x14ac:dyDescent="0.25">
      <c r="I62" s="4131" t="s">
        <v>82</v>
      </c>
      <c r="J62" s="142" t="str">
        <f>'Scenario Identification'!BJ$72</f>
        <v>Very Small Hole Size Leak</v>
      </c>
      <c r="K62" s="1005" t="str">
        <f>IF(ISNUMBER('Scenario Analysis'!CA5),'Scenario Analysis'!CA5,"")</f>
        <v/>
      </c>
      <c r="L62" s="1006" t="str">
        <f>IF(ISNUMBER('Scenario Analysis'!CB5),'Scenario Analysis'!CB5,"")</f>
        <v/>
      </c>
      <c r="M62" s="1006" t="str">
        <f>IF(ISNUMBER('Scenario Analysis'!CC5),'Scenario Analysis'!CC5,"")</f>
        <v/>
      </c>
      <c r="N62" s="1006" t="str">
        <f>IF(ISNUMBER('Scenario Analysis'!CD5),'Scenario Analysis'!CD5,"")</f>
        <v/>
      </c>
      <c r="O62" s="1006" t="str">
        <f>IF(ISNUMBER('Scenario Analysis'!CE5),'Scenario Analysis'!CE5,"")</f>
        <v/>
      </c>
      <c r="P62" s="1006" t="str">
        <f>IF(ISNUMBER('Scenario Analysis'!CF5),'Scenario Analysis'!CF5,"")</f>
        <v/>
      </c>
      <c r="Q62" s="1006" t="str">
        <f>IF(ISNUMBER('Scenario Analysis'!CG5),'Scenario Analysis'!CG5,"")</f>
        <v/>
      </c>
      <c r="R62" s="1006" t="str">
        <f>IF(ISNUMBER('Scenario Analysis'!CH5),'Scenario Analysis'!CH5,"")</f>
        <v/>
      </c>
      <c r="S62" s="1006" t="str">
        <f>IF(ISNUMBER('Scenario Analysis'!CI5),'Scenario Analysis'!CI5,"")</f>
        <v/>
      </c>
      <c r="T62" s="1006" t="str">
        <f>IF(ISNUMBER('Scenario Analysis'!CJ5),'Scenario Analysis'!CJ5,"")</f>
        <v/>
      </c>
      <c r="U62" s="1007" t="str">
        <f>IF(ISNUMBER('Scenario Analysis'!CK5),'Scenario Analysis'!CK5,"")</f>
        <v/>
      </c>
      <c r="Y62" s="1546"/>
      <c r="AJ62" s="1384"/>
    </row>
    <row r="63" spans="2:36" ht="12.75" customHeight="1" x14ac:dyDescent="0.25">
      <c r="I63" s="4132"/>
      <c r="J63" s="256" t="str">
        <f>'Scenario Identification'!BK$72</f>
        <v>Mechanical Seal Failure</v>
      </c>
      <c r="K63" s="1008" t="str">
        <f>IF(ISNUMBER('Scenario Analysis'!CA6),'Scenario Analysis'!CA6,"")</f>
        <v/>
      </c>
      <c r="L63" s="1009" t="str">
        <f>IF(ISNUMBER('Scenario Analysis'!CB6),'Scenario Analysis'!CB6,"")</f>
        <v/>
      </c>
      <c r="M63" s="1009" t="str">
        <f>IF(ISNUMBER('Scenario Analysis'!CC6),'Scenario Analysis'!CC6,"")</f>
        <v/>
      </c>
      <c r="N63" s="1009" t="str">
        <f>IF(ISNUMBER('Scenario Analysis'!CD6),'Scenario Analysis'!CD6,"")</f>
        <v/>
      </c>
      <c r="O63" s="1009" t="str">
        <f>IF(ISNUMBER('Scenario Analysis'!CE6),'Scenario Analysis'!CE6,"")</f>
        <v/>
      </c>
      <c r="P63" s="1009" t="str">
        <f>IF(ISNUMBER('Scenario Analysis'!CF6),'Scenario Analysis'!CF6,"")</f>
        <v/>
      </c>
      <c r="Q63" s="1009" t="str">
        <f>IF(ISNUMBER('Scenario Analysis'!CG6),'Scenario Analysis'!CG6,"")</f>
        <v/>
      </c>
      <c r="R63" s="1009" t="str">
        <f>IF(ISNUMBER('Scenario Analysis'!CH6),'Scenario Analysis'!CH6,"")</f>
        <v/>
      </c>
      <c r="S63" s="1009" t="str">
        <f>IF(ISNUMBER('Scenario Analysis'!CI6),'Scenario Analysis'!CI6,"")</f>
        <v/>
      </c>
      <c r="T63" s="1009" t="str">
        <f>IF(ISNUMBER('Scenario Analysis'!CJ6),'Scenario Analysis'!CJ6,"")</f>
        <v/>
      </c>
      <c r="U63" s="1010" t="str">
        <f>IF(ISNUMBER('Scenario Analysis'!CK6),'Scenario Analysis'!CK6,"")</f>
        <v/>
      </c>
      <c r="Y63" s="1546"/>
      <c r="AJ63" s="1384"/>
    </row>
    <row r="64" spans="2:36" ht="12.75" customHeight="1" x14ac:dyDescent="0.25">
      <c r="I64" s="4132"/>
      <c r="J64" s="256" t="str">
        <f>'Scenario Identification'!BL$72</f>
        <v>Mechanical Seal Failure above Liquid Level</v>
      </c>
      <c r="K64" s="1008" t="str">
        <f>IF(ISNUMBER('Scenario Analysis'!CA7),'Scenario Analysis'!CA7,"")</f>
        <v/>
      </c>
      <c r="L64" s="1009" t="str">
        <f>IF(ISNUMBER('Scenario Analysis'!CB7),'Scenario Analysis'!CB7,"")</f>
        <v/>
      </c>
      <c r="M64" s="1009" t="str">
        <f>IF(ISNUMBER('Scenario Analysis'!CC7),'Scenario Analysis'!CC7,"")</f>
        <v/>
      </c>
      <c r="N64" s="1009" t="str">
        <f>IF(ISNUMBER('Scenario Analysis'!CD7),'Scenario Analysis'!CD7,"")</f>
        <v/>
      </c>
      <c r="O64" s="1009" t="str">
        <f>IF(ISNUMBER('Scenario Analysis'!CE7),'Scenario Analysis'!CE7,"")</f>
        <v/>
      </c>
      <c r="P64" s="1009" t="str">
        <f>IF(ISNUMBER('Scenario Analysis'!CF7),'Scenario Analysis'!CF7,"")</f>
        <v/>
      </c>
      <c r="Q64" s="1009" t="str">
        <f>IF(ISNUMBER('Scenario Analysis'!CG7),'Scenario Analysis'!CG7,"")</f>
        <v/>
      </c>
      <c r="R64" s="1009" t="str">
        <f>IF(ISNUMBER('Scenario Analysis'!CH7),'Scenario Analysis'!CH7,"")</f>
        <v/>
      </c>
      <c r="S64" s="1009" t="str">
        <f>IF(ISNUMBER('Scenario Analysis'!CI7),'Scenario Analysis'!CI7,"")</f>
        <v/>
      </c>
      <c r="T64" s="1009" t="str">
        <f>IF(ISNUMBER('Scenario Analysis'!CJ7),'Scenario Analysis'!CJ7,"")</f>
        <v/>
      </c>
      <c r="U64" s="1010" t="str">
        <f>IF(ISNUMBER('Scenario Analysis'!CK7),'Scenario Analysis'!CK7,"")</f>
        <v/>
      </c>
      <c r="Y64" s="1546"/>
      <c r="AJ64" s="1384"/>
    </row>
    <row r="65" spans="9:36" x14ac:dyDescent="0.25">
      <c r="I65" s="4132"/>
      <c r="J65" s="256" t="str">
        <f>'Scenario Identification'!BM$72</f>
        <v>Gasket Failure</v>
      </c>
      <c r="K65" s="1008" t="str">
        <f>IF(ISNUMBER('Scenario Analysis'!CA8),'Scenario Analysis'!CA8,"")</f>
        <v/>
      </c>
      <c r="L65" s="1009" t="str">
        <f>IF(ISNUMBER('Scenario Analysis'!CB8),'Scenario Analysis'!CB8,"")</f>
        <v/>
      </c>
      <c r="M65" s="1009" t="str">
        <f>IF(ISNUMBER('Scenario Analysis'!CC8),'Scenario Analysis'!CC8,"")</f>
        <v/>
      </c>
      <c r="N65" s="1009" t="str">
        <f>IF(ISNUMBER('Scenario Analysis'!CD8),'Scenario Analysis'!CD8,"")</f>
        <v/>
      </c>
      <c r="O65" s="1009" t="str">
        <f>IF(ISNUMBER('Scenario Analysis'!CE8),'Scenario Analysis'!CE8,"")</f>
        <v/>
      </c>
      <c r="P65" s="1009" t="str">
        <f>IF(ISNUMBER('Scenario Analysis'!CF8),'Scenario Analysis'!CF8,"")</f>
        <v/>
      </c>
      <c r="Q65" s="1009" t="str">
        <f>IF(ISNUMBER('Scenario Analysis'!CG8),'Scenario Analysis'!CG8,"")</f>
        <v/>
      </c>
      <c r="R65" s="1009" t="str">
        <f>IF(ISNUMBER('Scenario Analysis'!CH8),'Scenario Analysis'!CH8,"")</f>
        <v/>
      </c>
      <c r="S65" s="1009" t="str">
        <f>IF(ISNUMBER('Scenario Analysis'!CI8),'Scenario Analysis'!CI8,"")</f>
        <v/>
      </c>
      <c r="T65" s="1009" t="str">
        <f>IF(ISNUMBER('Scenario Analysis'!CJ8),'Scenario Analysis'!CJ8,"")</f>
        <v/>
      </c>
      <c r="U65" s="1010" t="str">
        <f>IF(ISNUMBER('Scenario Analysis'!CK8),'Scenario Analysis'!CK8,"")</f>
        <v/>
      </c>
      <c r="X65" s="1547"/>
      <c r="Y65" s="1547"/>
      <c r="AJ65" s="1384"/>
    </row>
    <row r="66" spans="9:36" ht="12.75" customHeight="1" x14ac:dyDescent="0.25">
      <c r="I66" s="4132"/>
      <c r="J66" s="256" t="str">
        <f>'Scenario Identification'!BN$72</f>
        <v>Gasket Failure above Liquid Level</v>
      </c>
      <c r="K66" s="1008" t="str">
        <f>IF(ISNUMBER('Scenario Analysis'!CA9),'Scenario Analysis'!CA9,"")</f>
        <v/>
      </c>
      <c r="L66" s="1009" t="str">
        <f>IF(ISNUMBER('Scenario Analysis'!CB9),'Scenario Analysis'!CB9,"")</f>
        <v/>
      </c>
      <c r="M66" s="1009" t="str">
        <f>IF(ISNUMBER('Scenario Analysis'!CC9),'Scenario Analysis'!CC9,"")</f>
        <v/>
      </c>
      <c r="N66" s="1009" t="str">
        <f>IF(ISNUMBER('Scenario Analysis'!CD9),'Scenario Analysis'!CD9,"")</f>
        <v/>
      </c>
      <c r="O66" s="1009" t="str">
        <f>IF(ISNUMBER('Scenario Analysis'!CE9),'Scenario Analysis'!CE9,"")</f>
        <v/>
      </c>
      <c r="P66" s="1009" t="str">
        <f>IF(ISNUMBER('Scenario Analysis'!CF9),'Scenario Analysis'!CF9,"")</f>
        <v/>
      </c>
      <c r="Q66" s="1009" t="str">
        <f>IF(ISNUMBER('Scenario Analysis'!CG9),'Scenario Analysis'!CG9,"")</f>
        <v/>
      </c>
      <c r="R66" s="1009" t="str">
        <f>IF(ISNUMBER('Scenario Analysis'!CH9),'Scenario Analysis'!CH9,"")</f>
        <v/>
      </c>
      <c r="S66" s="1009" t="str">
        <f>IF(ISNUMBER('Scenario Analysis'!CI9),'Scenario Analysis'!CI9,"")</f>
        <v/>
      </c>
      <c r="T66" s="1009" t="str">
        <f>IF(ISNUMBER('Scenario Analysis'!CJ9),'Scenario Analysis'!CJ9,"")</f>
        <v/>
      </c>
      <c r="U66" s="1010" t="str">
        <f>IF(ISNUMBER('Scenario Analysis'!CK9),'Scenario Analysis'!CK9,"")</f>
        <v/>
      </c>
      <c r="X66" s="1646"/>
      <c r="Y66" s="1547"/>
      <c r="AJ66" s="1384"/>
    </row>
    <row r="67" spans="9:36" ht="12.75" customHeight="1" x14ac:dyDescent="0.25">
      <c r="I67" s="4132"/>
      <c r="J67" s="256" t="str">
        <f>'Scenario Identification'!BO$72</f>
        <v>Gasket Failure at 1.3 MAWP</v>
      </c>
      <c r="K67" s="1008" t="str">
        <f>IF(ISNUMBER('Scenario Analysis'!CA10),'Scenario Analysis'!CA10,"")</f>
        <v/>
      </c>
      <c r="L67" s="1009" t="str">
        <f>IF(ISNUMBER('Scenario Analysis'!CB10),'Scenario Analysis'!CB10,"")</f>
        <v/>
      </c>
      <c r="M67" s="1009" t="str">
        <f>IF(ISNUMBER('Scenario Analysis'!CC10),'Scenario Analysis'!CC10,"")</f>
        <v/>
      </c>
      <c r="N67" s="1009" t="str">
        <f>IF(ISNUMBER('Scenario Analysis'!CD10),'Scenario Analysis'!CD10,"")</f>
        <v/>
      </c>
      <c r="O67" s="1009" t="str">
        <f>IF(ISNUMBER('Scenario Analysis'!CE10),'Scenario Analysis'!CE10,"")</f>
        <v/>
      </c>
      <c r="P67" s="1009" t="str">
        <f>IF(ISNUMBER('Scenario Analysis'!CF10),'Scenario Analysis'!CF10,"")</f>
        <v/>
      </c>
      <c r="Q67" s="1009" t="str">
        <f>IF(ISNUMBER('Scenario Analysis'!CG10),'Scenario Analysis'!CG10,"")</f>
        <v/>
      </c>
      <c r="R67" s="1009" t="str">
        <f>IF(ISNUMBER('Scenario Analysis'!CH10),'Scenario Analysis'!CH10,"")</f>
        <v/>
      </c>
      <c r="S67" s="1009" t="str">
        <f>IF(ISNUMBER('Scenario Analysis'!CI10),'Scenario Analysis'!CI10,"")</f>
        <v/>
      </c>
      <c r="T67" s="1009" t="str">
        <f>IF(ISNUMBER('Scenario Analysis'!CJ10),'Scenario Analysis'!CJ10,"")</f>
        <v/>
      </c>
      <c r="U67" s="1010" t="str">
        <f>IF(ISNUMBER('Scenario Analysis'!CK10),'Scenario Analysis'!CK10,"")</f>
        <v/>
      </c>
      <c r="X67" s="1547"/>
      <c r="Y67" s="1547"/>
      <c r="AJ67" s="1384"/>
    </row>
    <row r="68" spans="9:36" ht="12.75" customHeight="1" x14ac:dyDescent="0.25">
      <c r="I68" s="4132"/>
      <c r="J68" s="256" t="str">
        <f>'Scenario Identification'!BP$72</f>
        <v>Gasket Failure at 1.3 MAWP above Liquid Level</v>
      </c>
      <c r="K68" s="1008" t="str">
        <f>IF(ISNUMBER('Scenario Analysis'!CA11),'Scenario Analysis'!CA11,"")</f>
        <v/>
      </c>
      <c r="L68" s="1009" t="str">
        <f>IF(ISNUMBER('Scenario Analysis'!CB11),'Scenario Analysis'!CB11,"")</f>
        <v/>
      </c>
      <c r="M68" s="1009" t="str">
        <f>IF(ISNUMBER('Scenario Analysis'!CC11),'Scenario Analysis'!CC11,"")</f>
        <v/>
      </c>
      <c r="N68" s="1009" t="str">
        <f>IF(ISNUMBER('Scenario Analysis'!CD11),'Scenario Analysis'!CD11,"")</f>
        <v/>
      </c>
      <c r="O68" s="1009" t="str">
        <f>IF(ISNUMBER('Scenario Analysis'!CE11),'Scenario Analysis'!CE11,"")</f>
        <v/>
      </c>
      <c r="P68" s="1009" t="str">
        <f>IF(ISNUMBER('Scenario Analysis'!CF11),'Scenario Analysis'!CF11,"")</f>
        <v/>
      </c>
      <c r="Q68" s="1009" t="str">
        <f>IF(ISNUMBER('Scenario Analysis'!CG11),'Scenario Analysis'!CG11,"")</f>
        <v/>
      </c>
      <c r="R68" s="1009" t="str">
        <f>IF(ISNUMBER('Scenario Analysis'!CH11),'Scenario Analysis'!CH11,"")</f>
        <v/>
      </c>
      <c r="S68" s="1009" t="str">
        <f>IF(ISNUMBER('Scenario Analysis'!CI11),'Scenario Analysis'!CI11,"")</f>
        <v/>
      </c>
      <c r="T68" s="1009" t="str">
        <f>IF(ISNUMBER('Scenario Analysis'!CJ11),'Scenario Analysis'!CJ11,"")</f>
        <v/>
      </c>
      <c r="U68" s="1010" t="str">
        <f>IF(ISNUMBER('Scenario Analysis'!CK11),'Scenario Analysis'!CK11,"")</f>
        <v/>
      </c>
      <c r="X68" s="1547"/>
      <c r="Y68" s="1547"/>
      <c r="AJ68" s="1384"/>
    </row>
    <row r="69" spans="9:36" ht="12.75" customHeight="1" x14ac:dyDescent="0.25">
      <c r="I69" s="4132"/>
      <c r="J69" s="256" t="str">
        <f>'Scenario Identification'!BQ$72</f>
        <v>Drain or Vent Leak</v>
      </c>
      <c r="K69" s="1008" t="str">
        <f>IF(ISNUMBER('Scenario Analysis'!CA12),'Scenario Analysis'!CA12,"")</f>
        <v/>
      </c>
      <c r="L69" s="1009" t="str">
        <f>IF(ISNUMBER('Scenario Analysis'!CB12),'Scenario Analysis'!CB12,"")</f>
        <v/>
      </c>
      <c r="M69" s="1009" t="str">
        <f>IF(ISNUMBER('Scenario Analysis'!CC12),'Scenario Analysis'!CC12,"")</f>
        <v/>
      </c>
      <c r="N69" s="1009" t="str">
        <f>IF(ISNUMBER('Scenario Analysis'!CD12),'Scenario Analysis'!CD12,"")</f>
        <v/>
      </c>
      <c r="O69" s="1009" t="str">
        <f>IF(ISNUMBER('Scenario Analysis'!CE12),'Scenario Analysis'!CE12,"")</f>
        <v/>
      </c>
      <c r="P69" s="1009" t="str">
        <f>IF(ISNUMBER('Scenario Analysis'!CF12),'Scenario Analysis'!CF12,"")</f>
        <v/>
      </c>
      <c r="Q69" s="1009" t="str">
        <f>IF(ISNUMBER('Scenario Analysis'!CG12),'Scenario Analysis'!CG12,"")</f>
        <v/>
      </c>
      <c r="R69" s="1009" t="str">
        <f>IF(ISNUMBER('Scenario Analysis'!CH12),'Scenario Analysis'!CH12,"")</f>
        <v/>
      </c>
      <c r="S69" s="1009" t="str">
        <f>IF(ISNUMBER('Scenario Analysis'!CI12),'Scenario Analysis'!CI12,"")</f>
        <v/>
      </c>
      <c r="T69" s="1009" t="str">
        <f>IF(ISNUMBER('Scenario Analysis'!CJ12),'Scenario Analysis'!CJ12,"")</f>
        <v/>
      </c>
      <c r="U69" s="1010" t="str">
        <f>IF(ISNUMBER('Scenario Analysis'!CK12),'Scenario Analysis'!CK12,"")</f>
        <v/>
      </c>
      <c r="X69" s="1547"/>
      <c r="Y69" s="1547"/>
      <c r="AJ69" s="1384"/>
    </row>
    <row r="70" spans="9:36" x14ac:dyDescent="0.25">
      <c r="I70" s="4132"/>
      <c r="J70" s="256" t="str">
        <f>'Scenario Identification'!BR$72</f>
        <v>Drain or Vent Leak above Liquid Level</v>
      </c>
      <c r="K70" s="1008" t="str">
        <f>IF(ISNUMBER('Scenario Analysis'!CA13),'Scenario Analysis'!CA13,"")</f>
        <v/>
      </c>
      <c r="L70" s="1009" t="str">
        <f>IF(ISNUMBER('Scenario Analysis'!CB13),'Scenario Analysis'!CB13,"")</f>
        <v/>
      </c>
      <c r="M70" s="1009" t="str">
        <f>IF(ISNUMBER('Scenario Analysis'!CC13),'Scenario Analysis'!CC13,"")</f>
        <v/>
      </c>
      <c r="N70" s="1009" t="str">
        <f>IF(ISNUMBER('Scenario Analysis'!CD13),'Scenario Analysis'!CD13,"")</f>
        <v/>
      </c>
      <c r="O70" s="1009" t="str">
        <f>IF(ISNUMBER('Scenario Analysis'!CE13),'Scenario Analysis'!CE13,"")</f>
        <v/>
      </c>
      <c r="P70" s="1009" t="str">
        <f>IF(ISNUMBER('Scenario Analysis'!CF13),'Scenario Analysis'!CF13,"")</f>
        <v/>
      </c>
      <c r="Q70" s="1009" t="str">
        <f>IF(ISNUMBER('Scenario Analysis'!CG13),'Scenario Analysis'!CG13,"")</f>
        <v/>
      </c>
      <c r="R70" s="1009" t="str">
        <f>IF(ISNUMBER('Scenario Analysis'!CH13),'Scenario Analysis'!CH13,"")</f>
        <v/>
      </c>
      <c r="S70" s="1009" t="str">
        <f>IF(ISNUMBER('Scenario Analysis'!CI13),'Scenario Analysis'!CI13,"")</f>
        <v/>
      </c>
      <c r="T70" s="1009" t="str">
        <f>IF(ISNUMBER('Scenario Analysis'!CJ13),'Scenario Analysis'!CJ13,"")</f>
        <v/>
      </c>
      <c r="U70" s="1010" t="str">
        <f>IF(ISNUMBER('Scenario Analysis'!CK13),'Scenario Analysis'!CK13,"")</f>
        <v/>
      </c>
      <c r="X70" s="1547"/>
      <c r="Y70" s="1547"/>
      <c r="AJ70" s="1384"/>
    </row>
    <row r="71" spans="9:36" x14ac:dyDescent="0.25">
      <c r="I71" s="4132"/>
      <c r="J71" s="256" t="str">
        <f>'Scenario Identification'!BS$72</f>
        <v>USER DEFINED HOLE SIZE</v>
      </c>
      <c r="K71" s="1008" t="str">
        <f>IF(ISNUMBER('Scenario Analysis'!CA14),'Scenario Analysis'!CA14,"")</f>
        <v/>
      </c>
      <c r="L71" s="1009" t="str">
        <f>IF(ISNUMBER('Scenario Analysis'!CB14),'Scenario Analysis'!CB14,"")</f>
        <v/>
      </c>
      <c r="M71" s="1009" t="str">
        <f>IF(ISNUMBER('Scenario Analysis'!CC14),'Scenario Analysis'!CC14,"")</f>
        <v/>
      </c>
      <c r="N71" s="1009" t="str">
        <f>IF(ISNUMBER('Scenario Analysis'!CD14),'Scenario Analysis'!CD14,"")</f>
        <v/>
      </c>
      <c r="O71" s="1009" t="str">
        <f>IF(ISNUMBER('Scenario Analysis'!CE14),'Scenario Analysis'!CE14,"")</f>
        <v/>
      </c>
      <c r="P71" s="1009" t="str">
        <f>IF(ISNUMBER('Scenario Analysis'!CF14),'Scenario Analysis'!CF14,"")</f>
        <v/>
      </c>
      <c r="Q71" s="1009" t="str">
        <f>IF(ISNUMBER('Scenario Analysis'!CG14),'Scenario Analysis'!CG14,"")</f>
        <v/>
      </c>
      <c r="R71" s="1009" t="str">
        <f>IF(ISNUMBER('Scenario Analysis'!CH14),'Scenario Analysis'!CH14,"")</f>
        <v/>
      </c>
      <c r="S71" s="1009" t="str">
        <f>IF(ISNUMBER('Scenario Analysis'!CI14),'Scenario Analysis'!CI14,"")</f>
        <v/>
      </c>
      <c r="T71" s="1009" t="str">
        <f>IF(ISNUMBER('Scenario Analysis'!CJ14),'Scenario Analysis'!CJ14,"")</f>
        <v/>
      </c>
      <c r="U71" s="1010" t="str">
        <f>IF(ISNUMBER('Scenario Analysis'!CK14),'Scenario Analysis'!CK14,"")</f>
        <v/>
      </c>
      <c r="X71" s="1547"/>
      <c r="Y71" s="1547"/>
      <c r="AJ71" s="1384"/>
    </row>
    <row r="72" spans="9:36" x14ac:dyDescent="0.25">
      <c r="I72" s="4132"/>
      <c r="J72" s="256" t="str">
        <f>'Scenario Identification'!BT$72</f>
        <v>USER DEFINED HOLE SIZE above Liquid Level</v>
      </c>
      <c r="K72" s="1008" t="str">
        <f>IF(ISNUMBER('Scenario Analysis'!CA15),'Scenario Analysis'!CA15,"")</f>
        <v/>
      </c>
      <c r="L72" s="1009" t="str">
        <f>IF(ISNUMBER('Scenario Analysis'!CB15),'Scenario Analysis'!CB15,"")</f>
        <v/>
      </c>
      <c r="M72" s="1009" t="str">
        <f>IF(ISNUMBER('Scenario Analysis'!CC15),'Scenario Analysis'!CC15,"")</f>
        <v/>
      </c>
      <c r="N72" s="1009" t="str">
        <f>IF(ISNUMBER('Scenario Analysis'!CD15),'Scenario Analysis'!CD15,"")</f>
        <v/>
      </c>
      <c r="O72" s="1009" t="str">
        <f>IF(ISNUMBER('Scenario Analysis'!CE15),'Scenario Analysis'!CE15,"")</f>
        <v/>
      </c>
      <c r="P72" s="1009" t="str">
        <f>IF(ISNUMBER('Scenario Analysis'!CF15),'Scenario Analysis'!CF15,"")</f>
        <v/>
      </c>
      <c r="Q72" s="1009" t="str">
        <f>IF(ISNUMBER('Scenario Analysis'!CG15),'Scenario Analysis'!CG15,"")</f>
        <v/>
      </c>
      <c r="R72" s="1009" t="str">
        <f>IF(ISNUMBER('Scenario Analysis'!CH15),'Scenario Analysis'!CH15,"")</f>
        <v/>
      </c>
      <c r="S72" s="1009" t="str">
        <f>IF(ISNUMBER('Scenario Analysis'!CI15),'Scenario Analysis'!CI15,"")</f>
        <v/>
      </c>
      <c r="T72" s="1009" t="str">
        <f>IF(ISNUMBER('Scenario Analysis'!CJ15),'Scenario Analysis'!CJ15,"")</f>
        <v/>
      </c>
      <c r="U72" s="1010" t="str">
        <f>IF(ISNUMBER('Scenario Analysis'!CK15),'Scenario Analysis'!CK15,"")</f>
        <v/>
      </c>
      <c r="X72" s="1547"/>
      <c r="Y72" s="1547"/>
      <c r="AJ72" s="1384"/>
    </row>
    <row r="73" spans="9:36" ht="12.75" customHeight="1" x14ac:dyDescent="0.25">
      <c r="I73" s="4132"/>
      <c r="J73" s="256" t="str">
        <f>'Scenario Identification'!BU$72</f>
        <v>Small Hole Size Leak</v>
      </c>
      <c r="K73" s="1008" t="str">
        <f>IF(ISNUMBER('Scenario Analysis'!CA16),'Scenario Analysis'!CA16,"")</f>
        <v/>
      </c>
      <c r="L73" s="1009" t="str">
        <f>IF(ISNUMBER('Scenario Analysis'!CB16),'Scenario Analysis'!CB16,"")</f>
        <v/>
      </c>
      <c r="M73" s="1009" t="str">
        <f>IF(ISNUMBER('Scenario Analysis'!CC16),'Scenario Analysis'!CC16,"")</f>
        <v/>
      </c>
      <c r="N73" s="1009" t="str">
        <f>IF(ISNUMBER('Scenario Analysis'!CD16),'Scenario Analysis'!CD16,"")</f>
        <v/>
      </c>
      <c r="O73" s="1009" t="str">
        <f>IF(ISNUMBER('Scenario Analysis'!CE16),'Scenario Analysis'!CE16,"")</f>
        <v/>
      </c>
      <c r="P73" s="1009" t="str">
        <f>IF(ISNUMBER('Scenario Analysis'!CF16),'Scenario Analysis'!CF16,"")</f>
        <v/>
      </c>
      <c r="Q73" s="1009" t="str">
        <f>IF(ISNUMBER('Scenario Analysis'!CG16),'Scenario Analysis'!CG16,"")</f>
        <v/>
      </c>
      <c r="R73" s="1009" t="str">
        <f>IF(ISNUMBER('Scenario Analysis'!CH16),'Scenario Analysis'!CH16,"")</f>
        <v/>
      </c>
      <c r="S73" s="1009" t="str">
        <f>IF(ISNUMBER('Scenario Analysis'!CI16),'Scenario Analysis'!CI16,"")</f>
        <v/>
      </c>
      <c r="T73" s="1009" t="str">
        <f>IF(ISNUMBER('Scenario Analysis'!CJ16),'Scenario Analysis'!CJ16,"")</f>
        <v/>
      </c>
      <c r="U73" s="1010" t="str">
        <f>IF(ISNUMBER('Scenario Analysis'!CK16),'Scenario Analysis'!CK16,"")</f>
        <v/>
      </c>
      <c r="X73" s="1547"/>
      <c r="Y73" s="1547"/>
      <c r="AJ73" s="1384"/>
    </row>
    <row r="74" spans="9:36" ht="12.75" customHeight="1" x14ac:dyDescent="0.25">
      <c r="I74" s="4132"/>
      <c r="J74" s="256" t="str">
        <f>'Scenario Identification'!BV$72</f>
        <v>Small Hole Size Leak above Liquid Level</v>
      </c>
      <c r="K74" s="1008" t="str">
        <f>IF(ISNUMBER('Scenario Analysis'!CA17),'Scenario Analysis'!CA17,"")</f>
        <v/>
      </c>
      <c r="L74" s="1009" t="str">
        <f>IF(ISNUMBER('Scenario Analysis'!CB17),'Scenario Analysis'!CB17,"")</f>
        <v/>
      </c>
      <c r="M74" s="1009" t="str">
        <f>IF(ISNUMBER('Scenario Analysis'!CC17),'Scenario Analysis'!CC17,"")</f>
        <v/>
      </c>
      <c r="N74" s="1009" t="str">
        <f>IF(ISNUMBER('Scenario Analysis'!CD17),'Scenario Analysis'!CD17,"")</f>
        <v/>
      </c>
      <c r="O74" s="1009" t="str">
        <f>IF(ISNUMBER('Scenario Analysis'!CE17),'Scenario Analysis'!CE17,"")</f>
        <v/>
      </c>
      <c r="P74" s="1009" t="str">
        <f>IF(ISNUMBER('Scenario Analysis'!CF17),'Scenario Analysis'!CF17,"")</f>
        <v/>
      </c>
      <c r="Q74" s="1009" t="str">
        <f>IF(ISNUMBER('Scenario Analysis'!CG17),'Scenario Analysis'!CG17,"")</f>
        <v/>
      </c>
      <c r="R74" s="1009" t="str">
        <f>IF(ISNUMBER('Scenario Analysis'!CH17),'Scenario Analysis'!CH17,"")</f>
        <v/>
      </c>
      <c r="S74" s="1009" t="str">
        <f>IF(ISNUMBER('Scenario Analysis'!CI17),'Scenario Analysis'!CI17,"")</f>
        <v/>
      </c>
      <c r="T74" s="1009" t="str">
        <f>IF(ISNUMBER('Scenario Analysis'!CJ17),'Scenario Analysis'!CJ17,"")</f>
        <v/>
      </c>
      <c r="U74" s="1010" t="str">
        <f>IF(ISNUMBER('Scenario Analysis'!CK17),'Scenario Analysis'!CK17,"")</f>
        <v/>
      </c>
      <c r="X74" s="1547"/>
      <c r="Y74" s="1547"/>
      <c r="AJ74" s="1384"/>
    </row>
    <row r="75" spans="9:36" ht="12.75" customHeight="1" x14ac:dyDescent="0.25">
      <c r="I75" s="4132"/>
      <c r="J75" s="256" t="str">
        <f>'Scenario Identification'!BW$72</f>
        <v>Medium Hole Size Leak</v>
      </c>
      <c r="K75" s="1008" t="str">
        <f>IF(ISNUMBER('Scenario Analysis'!CA18),'Scenario Analysis'!CA18,"")</f>
        <v/>
      </c>
      <c r="L75" s="1009" t="str">
        <f>IF(ISNUMBER('Scenario Analysis'!CB18),'Scenario Analysis'!CB18,"")</f>
        <v/>
      </c>
      <c r="M75" s="1009" t="str">
        <f>IF(ISNUMBER('Scenario Analysis'!CC18),'Scenario Analysis'!CC18,"")</f>
        <v/>
      </c>
      <c r="N75" s="1009" t="str">
        <f>IF(ISNUMBER('Scenario Analysis'!CD18),'Scenario Analysis'!CD18,"")</f>
        <v/>
      </c>
      <c r="O75" s="1009" t="str">
        <f>IF(ISNUMBER('Scenario Analysis'!CE18),'Scenario Analysis'!CE18,"")</f>
        <v/>
      </c>
      <c r="P75" s="1009" t="str">
        <f>IF(ISNUMBER('Scenario Analysis'!CF18),'Scenario Analysis'!CF18,"")</f>
        <v/>
      </c>
      <c r="Q75" s="1009" t="str">
        <f>IF(ISNUMBER('Scenario Analysis'!CG18),'Scenario Analysis'!CG18,"")</f>
        <v/>
      </c>
      <c r="R75" s="1009" t="str">
        <f>IF(ISNUMBER('Scenario Analysis'!CH18),'Scenario Analysis'!CH18,"")</f>
        <v/>
      </c>
      <c r="S75" s="1009" t="str">
        <f>IF(ISNUMBER('Scenario Analysis'!CI18),'Scenario Analysis'!CI18,"")</f>
        <v/>
      </c>
      <c r="T75" s="1009" t="str">
        <f>IF(ISNUMBER('Scenario Analysis'!CJ18),'Scenario Analysis'!CJ18,"")</f>
        <v/>
      </c>
      <c r="U75" s="1010" t="str">
        <f>IF(ISNUMBER('Scenario Analysis'!CK18),'Scenario Analysis'!CK18,"")</f>
        <v/>
      </c>
      <c r="X75" s="1547"/>
      <c r="Y75" s="1547"/>
      <c r="AJ75" s="1384"/>
    </row>
    <row r="76" spans="9:36" ht="12.75" customHeight="1" x14ac:dyDescent="0.25">
      <c r="I76" s="4132"/>
      <c r="J76" s="256" t="str">
        <f>'Scenario Identification'!BX$72</f>
        <v>Medium Hole Size Leak above Liquid Level</v>
      </c>
      <c r="K76" s="1008" t="str">
        <f>IF(ISNUMBER('Scenario Analysis'!CA19),'Scenario Analysis'!CA19,"")</f>
        <v/>
      </c>
      <c r="L76" s="1009" t="str">
        <f>IF(ISNUMBER('Scenario Analysis'!CB19),'Scenario Analysis'!CB19,"")</f>
        <v/>
      </c>
      <c r="M76" s="1009" t="str">
        <f>IF(ISNUMBER('Scenario Analysis'!CC19),'Scenario Analysis'!CC19,"")</f>
        <v/>
      </c>
      <c r="N76" s="1009" t="str">
        <f>IF(ISNUMBER('Scenario Analysis'!CD19),'Scenario Analysis'!CD19,"")</f>
        <v/>
      </c>
      <c r="O76" s="1009" t="str">
        <f>IF(ISNUMBER('Scenario Analysis'!CE19),'Scenario Analysis'!CE19,"")</f>
        <v/>
      </c>
      <c r="P76" s="1009" t="str">
        <f>IF(ISNUMBER('Scenario Analysis'!CF19),'Scenario Analysis'!CF19,"")</f>
        <v/>
      </c>
      <c r="Q76" s="1009" t="str">
        <f>IF(ISNUMBER('Scenario Analysis'!CG19),'Scenario Analysis'!CG19,"")</f>
        <v/>
      </c>
      <c r="R76" s="1009" t="str">
        <f>IF(ISNUMBER('Scenario Analysis'!CH19),'Scenario Analysis'!CH19,"")</f>
        <v/>
      </c>
      <c r="S76" s="1009" t="str">
        <f>IF(ISNUMBER('Scenario Analysis'!CI19),'Scenario Analysis'!CI19,"")</f>
        <v/>
      </c>
      <c r="T76" s="1009" t="str">
        <f>IF(ISNUMBER('Scenario Analysis'!CJ19),'Scenario Analysis'!CJ19,"")</f>
        <v/>
      </c>
      <c r="U76" s="1010" t="str">
        <f>IF(ISNUMBER('Scenario Analysis'!CK19),'Scenario Analysis'!CK19,"")</f>
        <v/>
      </c>
      <c r="X76" s="1547"/>
      <c r="Y76" s="1547"/>
      <c r="AJ76" s="1384"/>
    </row>
    <row r="77" spans="9:36" ht="12.75" customHeight="1" x14ac:dyDescent="0.25">
      <c r="I77" s="4132"/>
      <c r="J77" s="256" t="str">
        <f>'Scenario Identification'!BY$72</f>
        <v>Full Bore Hole Size Leak</v>
      </c>
      <c r="K77" s="1008" t="str">
        <f>IF(ISNUMBER('Scenario Analysis'!CA20),'Scenario Analysis'!CA20,"")</f>
        <v/>
      </c>
      <c r="L77" s="1009" t="str">
        <f>IF(ISNUMBER('Scenario Analysis'!CB20),'Scenario Analysis'!CB20,"")</f>
        <v/>
      </c>
      <c r="M77" s="1009" t="str">
        <f>IF(ISNUMBER('Scenario Analysis'!CC20),'Scenario Analysis'!CC20,"")</f>
        <v/>
      </c>
      <c r="N77" s="1009" t="str">
        <f>IF(ISNUMBER('Scenario Analysis'!CD20),'Scenario Analysis'!CD20,"")</f>
        <v/>
      </c>
      <c r="O77" s="1009" t="str">
        <f>IF(ISNUMBER('Scenario Analysis'!CE20),'Scenario Analysis'!CE20,"")</f>
        <v/>
      </c>
      <c r="P77" s="1009" t="str">
        <f>IF(ISNUMBER('Scenario Analysis'!CF20),'Scenario Analysis'!CF20,"")</f>
        <v/>
      </c>
      <c r="Q77" s="1009" t="str">
        <f>IF(ISNUMBER('Scenario Analysis'!CG20),'Scenario Analysis'!CG20,"")</f>
        <v/>
      </c>
      <c r="R77" s="1009" t="str">
        <f>IF(ISNUMBER('Scenario Analysis'!CH20),'Scenario Analysis'!CH20,"")</f>
        <v/>
      </c>
      <c r="S77" s="1009" t="str">
        <f>IF(ISNUMBER('Scenario Analysis'!CI20),'Scenario Analysis'!CI20,"")</f>
        <v/>
      </c>
      <c r="T77" s="1009" t="str">
        <f>IF(ISNUMBER('Scenario Analysis'!CJ20),'Scenario Analysis'!CJ20,"")</f>
        <v/>
      </c>
      <c r="U77" s="1010" t="str">
        <f>IF(ISNUMBER('Scenario Analysis'!CK20),'Scenario Analysis'!CK20,"")</f>
        <v/>
      </c>
      <c r="X77" s="1547"/>
      <c r="Y77" s="1547"/>
      <c r="AJ77" s="1384"/>
    </row>
    <row r="78" spans="9:36" ht="12.75" customHeight="1" x14ac:dyDescent="0.25">
      <c r="I78" s="4132"/>
      <c r="J78" s="256" t="str">
        <f>'Scenario Identification'!BZ$72</f>
        <v>Full Bore Hole Size Leak above Liquid Level</v>
      </c>
      <c r="K78" s="1008" t="str">
        <f>IF(ISNUMBER('Scenario Analysis'!CA21),'Scenario Analysis'!CA21,"")</f>
        <v/>
      </c>
      <c r="L78" s="1009" t="str">
        <f>IF(ISNUMBER('Scenario Analysis'!CB21),'Scenario Analysis'!CB21,"")</f>
        <v/>
      </c>
      <c r="M78" s="1009" t="str">
        <f>IF(ISNUMBER('Scenario Analysis'!CC21),'Scenario Analysis'!CC21,"")</f>
        <v/>
      </c>
      <c r="N78" s="1009" t="str">
        <f>IF(ISNUMBER('Scenario Analysis'!CD21),'Scenario Analysis'!CD21,"")</f>
        <v/>
      </c>
      <c r="O78" s="1009" t="str">
        <f>IF(ISNUMBER('Scenario Analysis'!CE21),'Scenario Analysis'!CE21,"")</f>
        <v/>
      </c>
      <c r="P78" s="1009" t="str">
        <f>IF(ISNUMBER('Scenario Analysis'!CF21),'Scenario Analysis'!CF21,"")</f>
        <v/>
      </c>
      <c r="Q78" s="1009" t="str">
        <f>IF(ISNUMBER('Scenario Analysis'!CG21),'Scenario Analysis'!CG21,"")</f>
        <v/>
      </c>
      <c r="R78" s="1009" t="str">
        <f>IF(ISNUMBER('Scenario Analysis'!CH21),'Scenario Analysis'!CH21,"")</f>
        <v/>
      </c>
      <c r="S78" s="1009" t="str">
        <f>IF(ISNUMBER('Scenario Analysis'!CI21),'Scenario Analysis'!CI21,"")</f>
        <v/>
      </c>
      <c r="T78" s="1009" t="str">
        <f>IF(ISNUMBER('Scenario Analysis'!CJ21),'Scenario Analysis'!CJ21,"")</f>
        <v/>
      </c>
      <c r="U78" s="1010" t="str">
        <f>IF(ISNUMBER('Scenario Analysis'!CK21),'Scenario Analysis'!CK21,"")</f>
        <v/>
      </c>
      <c r="X78" s="1547"/>
      <c r="Y78" s="1547"/>
      <c r="AJ78" s="1384"/>
    </row>
    <row r="79" spans="9:36" ht="13.75" customHeight="1" x14ac:dyDescent="0.25">
      <c r="I79" s="4132"/>
      <c r="J79" s="256" t="str">
        <f>'Scenario Identification'!CA$72</f>
        <v>Very Large Hole Size Leak</v>
      </c>
      <c r="K79" s="1008" t="str">
        <f>IF(ISNUMBER('Scenario Analysis'!CA22),'Scenario Analysis'!CA22,"")</f>
        <v/>
      </c>
      <c r="L79" s="1009" t="str">
        <f>IF(ISNUMBER('Scenario Analysis'!CB22),'Scenario Analysis'!CB22,"")</f>
        <v/>
      </c>
      <c r="M79" s="1009" t="str">
        <f>IF(ISNUMBER('Scenario Analysis'!CC22),'Scenario Analysis'!CC22,"")</f>
        <v/>
      </c>
      <c r="N79" s="1009" t="str">
        <f>IF(ISNUMBER('Scenario Analysis'!CD22),'Scenario Analysis'!CD22,"")</f>
        <v/>
      </c>
      <c r="O79" s="1009" t="str">
        <f>IF(ISNUMBER('Scenario Analysis'!CE22),'Scenario Analysis'!CE22,"")</f>
        <v/>
      </c>
      <c r="P79" s="1009" t="str">
        <f>IF(ISNUMBER('Scenario Analysis'!CF22),'Scenario Analysis'!CF22,"")</f>
        <v/>
      </c>
      <c r="Q79" s="1009" t="str">
        <f>IF(ISNUMBER('Scenario Analysis'!CG22),'Scenario Analysis'!CG22,"")</f>
        <v/>
      </c>
      <c r="R79" s="1009" t="str">
        <f>IF(ISNUMBER('Scenario Analysis'!CH22),'Scenario Analysis'!CH22,"")</f>
        <v/>
      </c>
      <c r="S79" s="1009" t="str">
        <f>IF(ISNUMBER('Scenario Analysis'!CI22),'Scenario Analysis'!CI22,"")</f>
        <v/>
      </c>
      <c r="T79" s="1009" t="str">
        <f>IF(ISNUMBER('Scenario Analysis'!CJ22),'Scenario Analysis'!CJ22,"")</f>
        <v/>
      </c>
      <c r="U79" s="1010" t="str">
        <f>IF(ISNUMBER('Scenario Analysis'!CK22),'Scenario Analysis'!CK22,"")</f>
        <v/>
      </c>
      <c r="X79" s="1547"/>
      <c r="Y79" s="1547"/>
      <c r="AJ79" s="1384"/>
    </row>
    <row r="80" spans="9:36" x14ac:dyDescent="0.25">
      <c r="I80" s="4132"/>
      <c r="J80" s="256" t="str">
        <f>'Scenario Identification'!CB$72</f>
        <v>Very Large Hole Size Leak above Liquid Level</v>
      </c>
      <c r="K80" s="1008" t="str">
        <f>IF(ISNUMBER('Scenario Analysis'!CA23),'Scenario Analysis'!CA23,"")</f>
        <v/>
      </c>
      <c r="L80" s="1009" t="str">
        <f>IF(ISNUMBER('Scenario Analysis'!CB23),'Scenario Analysis'!CB23,"")</f>
        <v/>
      </c>
      <c r="M80" s="1009" t="str">
        <f>IF(ISNUMBER('Scenario Analysis'!CC23),'Scenario Analysis'!CC23,"")</f>
        <v/>
      </c>
      <c r="N80" s="1009" t="str">
        <f>IF(ISNUMBER('Scenario Analysis'!CD23),'Scenario Analysis'!CD23,"")</f>
        <v/>
      </c>
      <c r="O80" s="1009" t="str">
        <f>IF(ISNUMBER('Scenario Analysis'!CE23),'Scenario Analysis'!CE23,"")</f>
        <v/>
      </c>
      <c r="P80" s="1009" t="str">
        <f>IF(ISNUMBER('Scenario Analysis'!CF23),'Scenario Analysis'!CF23,"")</f>
        <v/>
      </c>
      <c r="Q80" s="1009" t="str">
        <f>IF(ISNUMBER('Scenario Analysis'!CG23),'Scenario Analysis'!CG23,"")</f>
        <v/>
      </c>
      <c r="R80" s="1009" t="str">
        <f>IF(ISNUMBER('Scenario Analysis'!CH23),'Scenario Analysis'!CH23,"")</f>
        <v/>
      </c>
      <c r="S80" s="1009" t="str">
        <f>IF(ISNUMBER('Scenario Analysis'!CI23),'Scenario Analysis'!CI23,"")</f>
        <v/>
      </c>
      <c r="T80" s="1009" t="str">
        <f>IF(ISNUMBER('Scenario Analysis'!CJ23),'Scenario Analysis'!CJ23,"")</f>
        <v/>
      </c>
      <c r="U80" s="1010" t="str">
        <f>IF(ISNUMBER('Scenario Analysis'!CK23),'Scenario Analysis'!CK23,"")</f>
        <v/>
      </c>
      <c r="X80" s="1547"/>
      <c r="Y80" s="1547"/>
      <c r="AJ80" s="1384"/>
    </row>
    <row r="81" spans="9:36" x14ac:dyDescent="0.25">
      <c r="I81" s="4132"/>
      <c r="J81" s="256" t="str">
        <f>'Scenario Identification'!CC$72</f>
        <v>Extremely Large Hole Size Leak</v>
      </c>
      <c r="K81" s="1008" t="str">
        <f>IF(ISNUMBER('Scenario Analysis'!CA24),'Scenario Analysis'!CA24,"")</f>
        <v/>
      </c>
      <c r="L81" s="1009" t="str">
        <f>IF(ISNUMBER('Scenario Analysis'!CB24),'Scenario Analysis'!CB24,"")</f>
        <v/>
      </c>
      <c r="M81" s="1009" t="str">
        <f>IF(ISNUMBER('Scenario Analysis'!CC24),'Scenario Analysis'!CC24,"")</f>
        <v/>
      </c>
      <c r="N81" s="1009" t="str">
        <f>IF(ISNUMBER('Scenario Analysis'!CD24),'Scenario Analysis'!CD24,"")</f>
        <v/>
      </c>
      <c r="O81" s="1009" t="str">
        <f>IF(ISNUMBER('Scenario Analysis'!CE24),'Scenario Analysis'!CE24,"")</f>
        <v/>
      </c>
      <c r="P81" s="1009" t="str">
        <f>IF(ISNUMBER('Scenario Analysis'!CF24),'Scenario Analysis'!CF24,"")</f>
        <v/>
      </c>
      <c r="Q81" s="1009" t="str">
        <f>IF(ISNUMBER('Scenario Analysis'!CG24),'Scenario Analysis'!CG24,"")</f>
        <v/>
      </c>
      <c r="R81" s="1009" t="str">
        <f>IF(ISNUMBER('Scenario Analysis'!CH24),'Scenario Analysis'!CH24,"")</f>
        <v/>
      </c>
      <c r="S81" s="1009" t="str">
        <f>IF(ISNUMBER('Scenario Analysis'!CI24),'Scenario Analysis'!CI24,"")</f>
        <v/>
      </c>
      <c r="T81" s="1009" t="str">
        <f>IF(ISNUMBER('Scenario Analysis'!CJ24),'Scenario Analysis'!CJ24,"")</f>
        <v/>
      </c>
      <c r="U81" s="1010" t="str">
        <f>IF(ISNUMBER('Scenario Analysis'!CK24),'Scenario Analysis'!CK24,"")</f>
        <v/>
      </c>
      <c r="X81" s="1547"/>
      <c r="Y81" s="1547"/>
      <c r="AJ81" s="1384"/>
    </row>
    <row r="82" spans="9:36" x14ac:dyDescent="0.25">
      <c r="I82" s="4132"/>
      <c r="J82" s="256" t="str">
        <f>'Scenario Identification'!CD$72</f>
        <v>Extremely Large Hole Size Leak above Liquid Level</v>
      </c>
      <c r="K82" s="1008" t="str">
        <f>IF(ISNUMBER('Scenario Analysis'!CA25),'Scenario Analysis'!CA25,"")</f>
        <v/>
      </c>
      <c r="L82" s="1009" t="str">
        <f>IF(ISNUMBER('Scenario Analysis'!CB25),'Scenario Analysis'!CB25,"")</f>
        <v/>
      </c>
      <c r="M82" s="1009" t="str">
        <f>IF(ISNUMBER('Scenario Analysis'!CC25),'Scenario Analysis'!CC25,"")</f>
        <v/>
      </c>
      <c r="N82" s="1009" t="str">
        <f>IF(ISNUMBER('Scenario Analysis'!CD25),'Scenario Analysis'!CD25,"")</f>
        <v/>
      </c>
      <c r="O82" s="1009" t="str">
        <f>IF(ISNUMBER('Scenario Analysis'!CE25),'Scenario Analysis'!CE25,"")</f>
        <v/>
      </c>
      <c r="P82" s="1009" t="str">
        <f>IF(ISNUMBER('Scenario Analysis'!CF25),'Scenario Analysis'!CF25,"")</f>
        <v/>
      </c>
      <c r="Q82" s="1009" t="str">
        <f>IF(ISNUMBER('Scenario Analysis'!CG25),'Scenario Analysis'!CG25,"")</f>
        <v/>
      </c>
      <c r="R82" s="1009" t="str">
        <f>IF(ISNUMBER('Scenario Analysis'!CH25),'Scenario Analysis'!CH25,"")</f>
        <v/>
      </c>
      <c r="S82" s="1009" t="str">
        <f>IF(ISNUMBER('Scenario Analysis'!CI25),'Scenario Analysis'!CI25,"")</f>
        <v/>
      </c>
      <c r="T82" s="1009" t="str">
        <f>IF(ISNUMBER('Scenario Analysis'!CJ25),'Scenario Analysis'!CJ25,"")</f>
        <v/>
      </c>
      <c r="U82" s="1010" t="str">
        <f>IF(ISNUMBER('Scenario Analysis'!CK25),'Scenario Analysis'!CK25,"")</f>
        <v/>
      </c>
      <c r="X82" s="1547"/>
      <c r="Y82" s="1547"/>
      <c r="AJ82" s="1384"/>
    </row>
    <row r="83" spans="9:36" x14ac:dyDescent="0.25">
      <c r="I83" s="4132"/>
      <c r="J83" s="256" t="str">
        <f>'Scenario Identification'!CE$72</f>
        <v>Solids Spill</v>
      </c>
      <c r="K83" s="1008" t="str">
        <f>IF(ISNUMBER('Scenario Analysis'!CA26),'Scenario Analysis'!CA26,"")</f>
        <v/>
      </c>
      <c r="L83" s="1009" t="str">
        <f>IF(ISNUMBER('Scenario Analysis'!CB26),'Scenario Analysis'!CB26,"")</f>
        <v/>
      </c>
      <c r="M83" s="1009" t="str">
        <f>IF(ISNUMBER('Scenario Analysis'!CC26),'Scenario Analysis'!CC26,"")</f>
        <v/>
      </c>
      <c r="N83" s="1009" t="str">
        <f>IF(ISNUMBER('Scenario Analysis'!CD26),'Scenario Analysis'!CD26,"")</f>
        <v/>
      </c>
      <c r="O83" s="1009" t="str">
        <f>IF(ISNUMBER('Scenario Analysis'!CE26),'Scenario Analysis'!CE26,"")</f>
        <v/>
      </c>
      <c r="P83" s="1009" t="str">
        <f>IF(ISNUMBER('Scenario Analysis'!CF26),'Scenario Analysis'!CF26,"")</f>
        <v/>
      </c>
      <c r="Q83" s="1009" t="str">
        <f>IF(ISNUMBER('Scenario Analysis'!CG26),'Scenario Analysis'!CG26,"")</f>
        <v/>
      </c>
      <c r="R83" s="1009" t="str">
        <f>IF(ISNUMBER('Scenario Analysis'!CH26),'Scenario Analysis'!CH26,"")</f>
        <v/>
      </c>
      <c r="S83" s="1009" t="str">
        <f>IF(ISNUMBER('Scenario Analysis'!CI26),'Scenario Analysis'!CI26,"")</f>
        <v/>
      </c>
      <c r="T83" s="1009" t="str">
        <f>IF(ISNUMBER('Scenario Analysis'!CJ26),'Scenario Analysis'!CJ26,"")</f>
        <v/>
      </c>
      <c r="U83" s="1010" t="str">
        <f>IF(ISNUMBER('Scenario Analysis'!CK26),'Scenario Analysis'!CK26,"")</f>
        <v/>
      </c>
      <c r="X83" s="1547"/>
      <c r="Y83" s="1547"/>
      <c r="AJ83" s="1384"/>
    </row>
    <row r="84" spans="9:36" x14ac:dyDescent="0.25">
      <c r="I84" s="4132"/>
      <c r="J84" s="256" t="str">
        <f>'Scenario Identification'!CF$72</f>
        <v>Secondary Dust Release</v>
      </c>
      <c r="K84" s="1008" t="str">
        <f>IF(ISNUMBER('Scenario Analysis'!CA27),'Scenario Analysis'!CA27,"")</f>
        <v/>
      </c>
      <c r="L84" s="1009" t="str">
        <f>IF(ISNUMBER('Scenario Analysis'!CB27),'Scenario Analysis'!CB27,"")</f>
        <v/>
      </c>
      <c r="M84" s="1009" t="str">
        <f>IF(ISNUMBER('Scenario Analysis'!CC27),'Scenario Analysis'!CC27,"")</f>
        <v/>
      </c>
      <c r="N84" s="1009" t="str">
        <f>IF(ISNUMBER('Scenario Analysis'!CD27),'Scenario Analysis'!CD27,"")</f>
        <v/>
      </c>
      <c r="O84" s="1009" t="str">
        <f>IF(ISNUMBER('Scenario Analysis'!CE27),'Scenario Analysis'!CE27,"")</f>
        <v/>
      </c>
      <c r="P84" s="1009" t="str">
        <f>IF(ISNUMBER('Scenario Analysis'!CF27),'Scenario Analysis'!CF27,"")</f>
        <v/>
      </c>
      <c r="Q84" s="1009" t="str">
        <f>IF(ISNUMBER('Scenario Analysis'!CG27),'Scenario Analysis'!CG27,"")</f>
        <v/>
      </c>
      <c r="R84" s="1009" t="str">
        <f>IF(ISNUMBER('Scenario Analysis'!CH27),'Scenario Analysis'!CH27,"")</f>
        <v/>
      </c>
      <c r="S84" s="1009" t="str">
        <f>IF(ISNUMBER('Scenario Analysis'!CI27),'Scenario Analysis'!CI27,"")</f>
        <v/>
      </c>
      <c r="T84" s="1009" t="str">
        <f>IF(ISNUMBER('Scenario Analysis'!CJ27),'Scenario Analysis'!CJ27,"")</f>
        <v/>
      </c>
      <c r="U84" s="1010" t="str">
        <f>IF(ISNUMBER('Scenario Analysis'!CK27),'Scenario Analysis'!CK27,"")</f>
        <v/>
      </c>
      <c r="X84" s="1547"/>
      <c r="Y84" s="1547"/>
      <c r="AJ84" s="1384"/>
    </row>
    <row r="85" spans="9:36" x14ac:dyDescent="0.25">
      <c r="I85" s="4132"/>
      <c r="J85" s="256" t="str">
        <f>'Scenario Identification'!CG$72</f>
        <v>Flaming Liquid Release</v>
      </c>
      <c r="K85" s="1008" t="str">
        <f>IF(ISNUMBER('Scenario Analysis'!CA28),'Scenario Analysis'!CA28,"")</f>
        <v/>
      </c>
      <c r="L85" s="1009" t="str">
        <f>IF(ISNUMBER('Scenario Analysis'!CB28),'Scenario Analysis'!CB28,"")</f>
        <v/>
      </c>
      <c r="M85" s="1009" t="str">
        <f>IF(ISNUMBER('Scenario Analysis'!CC28),'Scenario Analysis'!CC28,"")</f>
        <v/>
      </c>
      <c r="N85" s="1009" t="str">
        <f>IF(ISNUMBER('Scenario Analysis'!CD28),'Scenario Analysis'!CD28,"")</f>
        <v/>
      </c>
      <c r="O85" s="1009" t="str">
        <f>IF(ISNUMBER('Scenario Analysis'!CE28),'Scenario Analysis'!CE28,"")</f>
        <v/>
      </c>
      <c r="P85" s="1009" t="str">
        <f>IF(ISNUMBER('Scenario Analysis'!CF28),'Scenario Analysis'!CF28,"")</f>
        <v/>
      </c>
      <c r="Q85" s="1009" t="str">
        <f>IF(ISNUMBER('Scenario Analysis'!CG28),'Scenario Analysis'!CG28,"")</f>
        <v/>
      </c>
      <c r="R85" s="1009" t="str">
        <f>IF(ISNUMBER('Scenario Analysis'!CH28),'Scenario Analysis'!CH28,"")</f>
        <v/>
      </c>
      <c r="S85" s="1009" t="str">
        <f>IF(ISNUMBER('Scenario Analysis'!CI28),'Scenario Analysis'!CI28,"")</f>
        <v/>
      </c>
      <c r="T85" s="1009" t="str">
        <f>IF(ISNUMBER('Scenario Analysis'!CJ28),'Scenario Analysis'!CJ28,"")</f>
        <v/>
      </c>
      <c r="U85" s="1010" t="str">
        <f>IF(ISNUMBER('Scenario Analysis'!CK28),'Scenario Analysis'!CK28,"")</f>
        <v/>
      </c>
      <c r="X85" s="1547"/>
      <c r="Y85" s="1547"/>
      <c r="AJ85" s="1384"/>
    </row>
    <row r="86" spans="9:36" x14ac:dyDescent="0.25">
      <c r="I86" s="4132"/>
      <c r="J86" s="256" t="str">
        <f>'Scenario Identification'!CH$72</f>
        <v>Relief Size Release</v>
      </c>
      <c r="K86" s="1008" t="str">
        <f>IF(ISNUMBER('Scenario Analysis'!CA29),'Scenario Analysis'!CA29,"")</f>
        <v/>
      </c>
      <c r="L86" s="1009" t="str">
        <f>IF(ISNUMBER('Scenario Analysis'!CB29),'Scenario Analysis'!CB29,"")</f>
        <v/>
      </c>
      <c r="M86" s="1009" t="str">
        <f>IF(ISNUMBER('Scenario Analysis'!CC29),'Scenario Analysis'!CC29,"")</f>
        <v/>
      </c>
      <c r="N86" s="1009" t="str">
        <f>IF(ISNUMBER('Scenario Analysis'!CD29),'Scenario Analysis'!CD29,"")</f>
        <v/>
      </c>
      <c r="O86" s="1009" t="str">
        <f>IF(ISNUMBER('Scenario Analysis'!CE29),'Scenario Analysis'!CE29,"")</f>
        <v/>
      </c>
      <c r="P86" s="1009" t="str">
        <f>IF(ISNUMBER('Scenario Analysis'!CF29),'Scenario Analysis'!CF29,"")</f>
        <v/>
      </c>
      <c r="Q86" s="1009" t="str">
        <f>IF(ISNUMBER('Scenario Analysis'!CG29),'Scenario Analysis'!CG29,"")</f>
        <v/>
      </c>
      <c r="R86" s="1009" t="str">
        <f>IF(ISNUMBER('Scenario Analysis'!CH29),'Scenario Analysis'!CH29,"")</f>
        <v/>
      </c>
      <c r="S86" s="1009" t="str">
        <f>IF(ISNUMBER('Scenario Analysis'!CI29),'Scenario Analysis'!CI29,"")</f>
        <v/>
      </c>
      <c r="T86" s="1009" t="str">
        <f>IF(ISNUMBER('Scenario Analysis'!CJ29),'Scenario Analysis'!CJ29,"")</f>
        <v/>
      </c>
      <c r="U86" s="1010" t="str">
        <f>IF(ISNUMBER('Scenario Analysis'!CK29),'Scenario Analysis'!CK29,"")</f>
        <v/>
      </c>
      <c r="X86" s="1547"/>
      <c r="Y86" s="1547"/>
      <c r="AJ86" s="1384"/>
    </row>
    <row r="87" spans="9:36" x14ac:dyDescent="0.25">
      <c r="I87" s="4132"/>
      <c r="J87" s="256" t="str">
        <f>'Scenario Identification'!CI$72</f>
        <v>Relief Size Release above Liquid Level</v>
      </c>
      <c r="K87" s="1008" t="str">
        <f>IF(ISNUMBER('Scenario Analysis'!CA30),'Scenario Analysis'!CA30,"")</f>
        <v/>
      </c>
      <c r="L87" s="1009" t="str">
        <f>IF(ISNUMBER('Scenario Analysis'!CB30),'Scenario Analysis'!CB30,"")</f>
        <v/>
      </c>
      <c r="M87" s="1009" t="str">
        <f>IF(ISNUMBER('Scenario Analysis'!CC30),'Scenario Analysis'!CC30,"")</f>
        <v/>
      </c>
      <c r="N87" s="1009" t="str">
        <f>IF(ISNUMBER('Scenario Analysis'!CD30),'Scenario Analysis'!CD30,"")</f>
        <v/>
      </c>
      <c r="O87" s="1009" t="str">
        <f>IF(ISNUMBER('Scenario Analysis'!CE30),'Scenario Analysis'!CE30,"")</f>
        <v/>
      </c>
      <c r="P87" s="1009" t="str">
        <f>IF(ISNUMBER('Scenario Analysis'!CF30),'Scenario Analysis'!CF30,"")</f>
        <v/>
      </c>
      <c r="Q87" s="1009" t="str">
        <f>IF(ISNUMBER('Scenario Analysis'!CG30),'Scenario Analysis'!CG30,"")</f>
        <v/>
      </c>
      <c r="R87" s="1009" t="str">
        <f>IF(ISNUMBER('Scenario Analysis'!CH30),'Scenario Analysis'!CH30,"")</f>
        <v/>
      </c>
      <c r="S87" s="1009" t="str">
        <f>IF(ISNUMBER('Scenario Analysis'!CI30),'Scenario Analysis'!CI30,"")</f>
        <v/>
      </c>
      <c r="T87" s="1009" t="str">
        <f>IF(ISNUMBER('Scenario Analysis'!CJ30),'Scenario Analysis'!CJ30,"")</f>
        <v/>
      </c>
      <c r="U87" s="1010" t="str">
        <f>IF(ISNUMBER('Scenario Analysis'!CK30),'Scenario Analysis'!CK30,"")</f>
        <v/>
      </c>
      <c r="X87" s="1547"/>
      <c r="Y87" s="1547"/>
      <c r="AJ87" s="1384"/>
    </row>
    <row r="88" spans="9:36" x14ac:dyDescent="0.25">
      <c r="I88" s="4132"/>
      <c r="J88" s="256" t="str">
        <f>'Scenario Identification'!CJ$72</f>
        <v>Overfill Release</v>
      </c>
      <c r="K88" s="1008" t="str">
        <f>IF(ISNUMBER('Scenario Analysis'!CA31),'Scenario Analysis'!CA31,"")</f>
        <v/>
      </c>
      <c r="L88" s="1009" t="str">
        <f>IF(ISNUMBER('Scenario Analysis'!CB31),'Scenario Analysis'!CB31,"")</f>
        <v/>
      </c>
      <c r="M88" s="1009" t="str">
        <f>IF(ISNUMBER('Scenario Analysis'!CC31),'Scenario Analysis'!CC31,"")</f>
        <v/>
      </c>
      <c r="N88" s="1009" t="str">
        <f>IF(ISNUMBER('Scenario Analysis'!CD31),'Scenario Analysis'!CD31,"")</f>
        <v/>
      </c>
      <c r="O88" s="1009" t="str">
        <f>IF(ISNUMBER('Scenario Analysis'!CE31),'Scenario Analysis'!CE31,"")</f>
        <v/>
      </c>
      <c r="P88" s="1009" t="str">
        <f>IF(ISNUMBER('Scenario Analysis'!CF31),'Scenario Analysis'!CF31,"")</f>
        <v/>
      </c>
      <c r="Q88" s="1009" t="str">
        <f>IF(ISNUMBER('Scenario Analysis'!CG31),'Scenario Analysis'!CG31,"")</f>
        <v/>
      </c>
      <c r="R88" s="1009" t="str">
        <f>IF(ISNUMBER('Scenario Analysis'!CH31),'Scenario Analysis'!CH31,"")</f>
        <v/>
      </c>
      <c r="S88" s="1009" t="str">
        <f>IF(ISNUMBER('Scenario Analysis'!CI31),'Scenario Analysis'!CI31,"")</f>
        <v/>
      </c>
      <c r="T88" s="1009" t="str">
        <f>IF(ISNUMBER('Scenario Analysis'!CJ31),'Scenario Analysis'!CJ31,"")</f>
        <v/>
      </c>
      <c r="U88" s="1010" t="str">
        <f>IF(ISNUMBER('Scenario Analysis'!CK31),'Scenario Analysis'!CK31,"")</f>
        <v/>
      </c>
      <c r="X88" s="1547"/>
      <c r="Y88" s="1547"/>
      <c r="AJ88" s="1384"/>
    </row>
    <row r="89" spans="9:36" x14ac:dyDescent="0.25">
      <c r="I89" s="4132"/>
      <c r="J89" s="256" t="str">
        <f>'Scenario Identification'!CK$72</f>
        <v>Backflow Release</v>
      </c>
      <c r="K89" s="1008" t="str">
        <f>IF(ISNUMBER('Scenario Analysis'!CA32),'Scenario Analysis'!CA32,"")</f>
        <v/>
      </c>
      <c r="L89" s="1009" t="str">
        <f>IF(ISNUMBER('Scenario Analysis'!CB32),'Scenario Analysis'!CB32,"")</f>
        <v/>
      </c>
      <c r="M89" s="1009" t="str">
        <f>IF(ISNUMBER('Scenario Analysis'!CC32),'Scenario Analysis'!CC32,"")</f>
        <v/>
      </c>
      <c r="N89" s="1009" t="str">
        <f>IF(ISNUMBER('Scenario Analysis'!CD32),'Scenario Analysis'!CD32,"")</f>
        <v/>
      </c>
      <c r="O89" s="1009" t="str">
        <f>IF(ISNUMBER('Scenario Analysis'!CE32),'Scenario Analysis'!CE32,"")</f>
        <v/>
      </c>
      <c r="P89" s="1009" t="str">
        <f>IF(ISNUMBER('Scenario Analysis'!CF32),'Scenario Analysis'!CF32,"")</f>
        <v/>
      </c>
      <c r="Q89" s="1009" t="str">
        <f>IF(ISNUMBER('Scenario Analysis'!CG32),'Scenario Analysis'!CG32,"")</f>
        <v/>
      </c>
      <c r="R89" s="1009" t="str">
        <f>IF(ISNUMBER('Scenario Analysis'!CH32),'Scenario Analysis'!CH32,"")</f>
        <v/>
      </c>
      <c r="S89" s="1009" t="str">
        <f>IF(ISNUMBER('Scenario Analysis'!CI32),'Scenario Analysis'!CI32,"")</f>
        <v/>
      </c>
      <c r="T89" s="1009" t="str">
        <f>IF(ISNUMBER('Scenario Analysis'!CJ32),'Scenario Analysis'!CJ32,"")</f>
        <v/>
      </c>
      <c r="U89" s="1010" t="str">
        <f>IF(ISNUMBER('Scenario Analysis'!CK32),'Scenario Analysis'!CK32,"")</f>
        <v/>
      </c>
      <c r="X89" s="1547"/>
      <c r="Y89" s="1547"/>
      <c r="AJ89" s="1384"/>
    </row>
    <row r="90" spans="9:36" x14ac:dyDescent="0.25">
      <c r="I90" s="4132"/>
      <c r="J90" s="256" t="str">
        <f>'Scenario Identification'!CL$72</f>
        <v>Vent Release</v>
      </c>
      <c r="K90" s="1008" t="str">
        <f>IF(ISNUMBER('Scenario Analysis'!CA33),'Scenario Analysis'!CA33,"")</f>
        <v/>
      </c>
      <c r="L90" s="1009" t="str">
        <f>IF(ISNUMBER('Scenario Analysis'!CB33),'Scenario Analysis'!CB33,"")</f>
        <v/>
      </c>
      <c r="M90" s="1009" t="str">
        <f>IF(ISNUMBER('Scenario Analysis'!CC33),'Scenario Analysis'!CC33,"")</f>
        <v/>
      </c>
      <c r="N90" s="1009" t="str">
        <f>IF(ISNUMBER('Scenario Analysis'!CD33),'Scenario Analysis'!CD33,"")</f>
        <v/>
      </c>
      <c r="O90" s="1009" t="str">
        <f>IF(ISNUMBER('Scenario Analysis'!CE33),'Scenario Analysis'!CE33,"")</f>
        <v/>
      </c>
      <c r="P90" s="1009" t="str">
        <f>IF(ISNUMBER('Scenario Analysis'!CF33),'Scenario Analysis'!CF33,"")</f>
        <v/>
      </c>
      <c r="Q90" s="1009" t="str">
        <f>IF(ISNUMBER('Scenario Analysis'!CG33),'Scenario Analysis'!CG33,"")</f>
        <v/>
      </c>
      <c r="R90" s="1009" t="str">
        <f>IF(ISNUMBER('Scenario Analysis'!CH33),'Scenario Analysis'!CH33,"")</f>
        <v/>
      </c>
      <c r="S90" s="1009" t="str">
        <f>IF(ISNUMBER('Scenario Analysis'!CI33),'Scenario Analysis'!CI33,"")</f>
        <v/>
      </c>
      <c r="T90" s="1009" t="str">
        <f>IF(ISNUMBER('Scenario Analysis'!CJ33),'Scenario Analysis'!CJ33,"")</f>
        <v/>
      </c>
      <c r="U90" s="1010" t="str">
        <f>IF(ISNUMBER('Scenario Analysis'!CK33),'Scenario Analysis'!CK33,"")</f>
        <v/>
      </c>
      <c r="X90" s="1547"/>
      <c r="Y90" s="1547"/>
      <c r="AJ90" s="1384"/>
    </row>
    <row r="91" spans="9:36" x14ac:dyDescent="0.25">
      <c r="I91" s="4132"/>
      <c r="J91" s="256" t="str">
        <f>'Scenario Identification'!CM$72</f>
        <v>Tube Hole Size Leak (Process Fluid)</v>
      </c>
      <c r="K91" s="1008" t="str">
        <f>IF(ISNUMBER('Scenario Analysis'!CA34),'Scenario Analysis'!CA34,"")</f>
        <v/>
      </c>
      <c r="L91" s="1009" t="str">
        <f>IF(ISNUMBER('Scenario Analysis'!CB34),'Scenario Analysis'!CB34,"")</f>
        <v/>
      </c>
      <c r="M91" s="1009" t="str">
        <f>IF(ISNUMBER('Scenario Analysis'!CC34),'Scenario Analysis'!CC34,"")</f>
        <v/>
      </c>
      <c r="N91" s="1009" t="str">
        <f>IF(ISNUMBER('Scenario Analysis'!CD34),'Scenario Analysis'!CD34,"")</f>
        <v/>
      </c>
      <c r="O91" s="1009" t="str">
        <f>IF(ISNUMBER('Scenario Analysis'!CE34),'Scenario Analysis'!CE34,"")</f>
        <v/>
      </c>
      <c r="P91" s="1009" t="str">
        <f>IF(ISNUMBER('Scenario Analysis'!CF34),'Scenario Analysis'!CF34,"")</f>
        <v/>
      </c>
      <c r="Q91" s="1009" t="str">
        <f>IF(ISNUMBER('Scenario Analysis'!CG34),'Scenario Analysis'!CG34,"")</f>
        <v/>
      </c>
      <c r="R91" s="1009" t="str">
        <f>IF(ISNUMBER('Scenario Analysis'!CH34),'Scenario Analysis'!CH34,"")</f>
        <v/>
      </c>
      <c r="S91" s="1009" t="str">
        <f>IF(ISNUMBER('Scenario Analysis'!CI34),'Scenario Analysis'!CI34,"")</f>
        <v/>
      </c>
      <c r="T91" s="1009" t="str">
        <f>IF(ISNUMBER('Scenario Analysis'!CJ34),'Scenario Analysis'!CJ34,"")</f>
        <v/>
      </c>
      <c r="U91" s="1010" t="str">
        <f>IF(ISNUMBER('Scenario Analysis'!CK34),'Scenario Analysis'!CK34,"")</f>
        <v/>
      </c>
      <c r="X91" s="1547"/>
      <c r="Y91" s="1547"/>
      <c r="AJ91" s="1384"/>
    </row>
    <row r="92" spans="9:36" x14ac:dyDescent="0.25">
      <c r="I92" s="4132"/>
      <c r="J92" s="256" t="str">
        <f>'Scenario Identification'!CN$72</f>
        <v>Tube Hole Size Leak (Heat Transfer Fluid)</v>
      </c>
      <c r="K92" s="1008" t="str">
        <f>IF(ISNUMBER('Scenario Analysis'!CA35),'Scenario Analysis'!CA35,"")</f>
        <v/>
      </c>
      <c r="L92" s="1009" t="str">
        <f>IF(ISNUMBER('Scenario Analysis'!CB35),'Scenario Analysis'!CB35,"")</f>
        <v/>
      </c>
      <c r="M92" s="1009" t="str">
        <f>IF(ISNUMBER('Scenario Analysis'!CC35),'Scenario Analysis'!CC35,"")</f>
        <v/>
      </c>
      <c r="N92" s="1009" t="str">
        <f>IF(ISNUMBER('Scenario Analysis'!CD35),'Scenario Analysis'!CD35,"")</f>
        <v/>
      </c>
      <c r="O92" s="1009" t="str">
        <f>IF(ISNUMBER('Scenario Analysis'!CE35),'Scenario Analysis'!CE35,"")</f>
        <v/>
      </c>
      <c r="P92" s="1009" t="str">
        <f>IF(ISNUMBER('Scenario Analysis'!CF35),'Scenario Analysis'!CF35,"")</f>
        <v/>
      </c>
      <c r="Q92" s="1009" t="str">
        <f>IF(ISNUMBER('Scenario Analysis'!CG35),'Scenario Analysis'!CG35,"")</f>
        <v/>
      </c>
      <c r="R92" s="1009" t="str">
        <f>IF(ISNUMBER('Scenario Analysis'!CH35),'Scenario Analysis'!CH35,"")</f>
        <v/>
      </c>
      <c r="S92" s="1009" t="str">
        <f>IF(ISNUMBER('Scenario Analysis'!CI35),'Scenario Analysis'!CI35,"")</f>
        <v/>
      </c>
      <c r="T92" s="1009" t="str">
        <f>IF(ISNUMBER('Scenario Analysis'!CJ35),'Scenario Analysis'!CJ35,"")</f>
        <v/>
      </c>
      <c r="U92" s="1010" t="str">
        <f>IF(ISNUMBER('Scenario Analysis'!CK35),'Scenario Analysis'!CK35,"")</f>
        <v/>
      </c>
      <c r="X92" s="1547"/>
      <c r="Y92" s="1547"/>
      <c r="AJ92" s="1384"/>
    </row>
    <row r="93" spans="9:36" x14ac:dyDescent="0.25">
      <c r="I93" s="4132"/>
      <c r="J93" s="256" t="str">
        <f>'Scenario Identification'!CO$72</f>
        <v>Pad Gas Release</v>
      </c>
      <c r="K93" s="1008" t="str">
        <f>IF(ISNUMBER('Scenario Analysis'!CA36),'Scenario Analysis'!CA36,"")</f>
        <v/>
      </c>
      <c r="L93" s="1009" t="str">
        <f>IF(ISNUMBER('Scenario Analysis'!CB36),'Scenario Analysis'!CB36,"")</f>
        <v/>
      </c>
      <c r="M93" s="1009" t="str">
        <f>IF(ISNUMBER('Scenario Analysis'!CC36),'Scenario Analysis'!CC36,"")</f>
        <v/>
      </c>
      <c r="N93" s="1009" t="str">
        <f>IF(ISNUMBER('Scenario Analysis'!CD36),'Scenario Analysis'!CD36,"")</f>
        <v/>
      </c>
      <c r="O93" s="1009" t="str">
        <f>IF(ISNUMBER('Scenario Analysis'!CE36),'Scenario Analysis'!CE36,"")</f>
        <v/>
      </c>
      <c r="P93" s="1009" t="str">
        <f>IF(ISNUMBER('Scenario Analysis'!CF36),'Scenario Analysis'!CF36,"")</f>
        <v/>
      </c>
      <c r="Q93" s="1009" t="str">
        <f>IF(ISNUMBER('Scenario Analysis'!CG36),'Scenario Analysis'!CG36,"")</f>
        <v/>
      </c>
      <c r="R93" s="1009" t="str">
        <f>IF(ISNUMBER('Scenario Analysis'!CH36),'Scenario Analysis'!CH36,"")</f>
        <v/>
      </c>
      <c r="S93" s="1009" t="str">
        <f>IF(ISNUMBER('Scenario Analysis'!CI36),'Scenario Analysis'!CI36,"")</f>
        <v/>
      </c>
      <c r="T93" s="1009" t="str">
        <f>IF(ISNUMBER('Scenario Analysis'!CJ36),'Scenario Analysis'!CJ36,"")</f>
        <v/>
      </c>
      <c r="U93" s="1010" t="str">
        <f>IF(ISNUMBER('Scenario Analysis'!CK36),'Scenario Analysis'!CK36,"")</f>
        <v/>
      </c>
      <c r="X93" s="1547"/>
      <c r="Y93" s="1547"/>
      <c r="AJ93" s="1384"/>
    </row>
    <row r="94" spans="9:36" x14ac:dyDescent="0.25">
      <c r="I94" s="4132"/>
      <c r="J94" s="256" t="str">
        <f>'Scenario Identification'!CP$72</f>
        <v>Vapor Displacement from Liquid Filling</v>
      </c>
      <c r="K94" s="1008" t="str">
        <f>IF(ISNUMBER('Scenario Analysis'!CA37),'Scenario Analysis'!CA37,"")</f>
        <v/>
      </c>
      <c r="L94" s="1009" t="str">
        <f>IF(ISNUMBER('Scenario Analysis'!CB37),'Scenario Analysis'!CB37,"")</f>
        <v/>
      </c>
      <c r="M94" s="1009" t="str">
        <f>IF(ISNUMBER('Scenario Analysis'!CC37),'Scenario Analysis'!CC37,"")</f>
        <v/>
      </c>
      <c r="N94" s="1009" t="str">
        <f>IF(ISNUMBER('Scenario Analysis'!CD37),'Scenario Analysis'!CD37,"")</f>
        <v/>
      </c>
      <c r="O94" s="1009" t="str">
        <f>IF(ISNUMBER('Scenario Analysis'!CE37),'Scenario Analysis'!CE37,"")</f>
        <v/>
      </c>
      <c r="P94" s="1009" t="str">
        <f>IF(ISNUMBER('Scenario Analysis'!CF37),'Scenario Analysis'!CF37,"")</f>
        <v/>
      </c>
      <c r="Q94" s="1009" t="str">
        <f>IF(ISNUMBER('Scenario Analysis'!CG37),'Scenario Analysis'!CG37,"")</f>
        <v/>
      </c>
      <c r="R94" s="1009" t="str">
        <f>IF(ISNUMBER('Scenario Analysis'!CH37),'Scenario Analysis'!CH37,"")</f>
        <v/>
      </c>
      <c r="S94" s="1009" t="str">
        <f>IF(ISNUMBER('Scenario Analysis'!CI37),'Scenario Analysis'!CI37,"")</f>
        <v/>
      </c>
      <c r="T94" s="1009" t="str">
        <f>IF(ISNUMBER('Scenario Analysis'!CJ37),'Scenario Analysis'!CJ37,"")</f>
        <v/>
      </c>
      <c r="U94" s="1010" t="str">
        <f>IF(ISNUMBER('Scenario Analysis'!CK37),'Scenario Analysis'!CK37,"")</f>
        <v/>
      </c>
      <c r="X94" s="1547"/>
      <c r="Y94" s="1547"/>
      <c r="AJ94" s="1384"/>
    </row>
    <row r="95" spans="9:36" x14ac:dyDescent="0.25">
      <c r="I95" s="4132"/>
      <c r="J95" s="256" t="str">
        <f>'Scenario Identification'!CQ$72</f>
        <v>USER DEFINED LEAK RATE</v>
      </c>
      <c r="K95" s="1008" t="str">
        <f>IF(ISNUMBER('Scenario Analysis'!CA38),'Scenario Analysis'!CA38,"")</f>
        <v/>
      </c>
      <c r="L95" s="1009" t="str">
        <f>IF(ISNUMBER('Scenario Analysis'!CB38),'Scenario Analysis'!CB38,"")</f>
        <v/>
      </c>
      <c r="M95" s="1009" t="str">
        <f>IF(ISNUMBER('Scenario Analysis'!CC38),'Scenario Analysis'!CC38,"")</f>
        <v/>
      </c>
      <c r="N95" s="1009" t="str">
        <f>IF(ISNUMBER('Scenario Analysis'!CD38),'Scenario Analysis'!CD38,"")</f>
        <v/>
      </c>
      <c r="O95" s="1009" t="str">
        <f>IF(ISNUMBER('Scenario Analysis'!CE38),'Scenario Analysis'!CE38,"")</f>
        <v/>
      </c>
      <c r="P95" s="1009" t="str">
        <f>IF(ISNUMBER('Scenario Analysis'!CF38),'Scenario Analysis'!CF38,"")</f>
        <v/>
      </c>
      <c r="Q95" s="1009" t="str">
        <f>IF(ISNUMBER('Scenario Analysis'!CG38),'Scenario Analysis'!CG38,"")</f>
        <v/>
      </c>
      <c r="R95" s="1009" t="str">
        <f>IF(ISNUMBER('Scenario Analysis'!CH38),'Scenario Analysis'!CH38,"")</f>
        <v/>
      </c>
      <c r="S95" s="1009" t="str">
        <f>IF(ISNUMBER('Scenario Analysis'!CI38),'Scenario Analysis'!CI38,"")</f>
        <v/>
      </c>
      <c r="T95" s="1009" t="str">
        <f>IF(ISNUMBER('Scenario Analysis'!CJ38),'Scenario Analysis'!CJ38,"")</f>
        <v/>
      </c>
      <c r="U95" s="1010" t="str">
        <f>IF(ISNUMBER('Scenario Analysis'!CK38),'Scenario Analysis'!CK38,"")</f>
        <v/>
      </c>
      <c r="X95" s="1547"/>
      <c r="Y95" s="1547"/>
      <c r="AJ95" s="1384"/>
    </row>
    <row r="96" spans="9:36" x14ac:dyDescent="0.25">
      <c r="I96" s="4132"/>
      <c r="J96" s="256" t="str">
        <f>'Scenario Identification'!CR$72</f>
        <v>Vapor Relief Vent - Fire</v>
      </c>
      <c r="K96" s="1008" t="str">
        <f>IF(ISNUMBER('Scenario Analysis'!CA39),'Scenario Analysis'!CA39,"")</f>
        <v/>
      </c>
      <c r="L96" s="1009" t="str">
        <f>IF(ISNUMBER('Scenario Analysis'!CB39),'Scenario Analysis'!CB39,"")</f>
        <v/>
      </c>
      <c r="M96" s="1009" t="str">
        <f>IF(ISNUMBER('Scenario Analysis'!CC39),'Scenario Analysis'!CC39,"")</f>
        <v/>
      </c>
      <c r="N96" s="1009" t="str">
        <f>IF(ISNUMBER('Scenario Analysis'!CD39),'Scenario Analysis'!CD39,"")</f>
        <v/>
      </c>
      <c r="O96" s="1009" t="str">
        <f>IF(ISNUMBER('Scenario Analysis'!CE39),'Scenario Analysis'!CE39,"")</f>
        <v/>
      </c>
      <c r="P96" s="1009" t="str">
        <f>IF(ISNUMBER('Scenario Analysis'!CF39),'Scenario Analysis'!CF39,"")</f>
        <v/>
      </c>
      <c r="Q96" s="1009" t="str">
        <f>IF(ISNUMBER('Scenario Analysis'!CG39),'Scenario Analysis'!CG39,"")</f>
        <v/>
      </c>
      <c r="R96" s="1009" t="str">
        <f>IF(ISNUMBER('Scenario Analysis'!CH39),'Scenario Analysis'!CH39,"")</f>
        <v/>
      </c>
      <c r="S96" s="1009" t="str">
        <f>IF(ISNUMBER('Scenario Analysis'!CI39),'Scenario Analysis'!CI39,"")</f>
        <v/>
      </c>
      <c r="T96" s="1009" t="str">
        <f>IF(ISNUMBER('Scenario Analysis'!CJ39),'Scenario Analysis'!CJ39,"")</f>
        <v/>
      </c>
      <c r="U96" s="1010" t="str">
        <f>IF(ISNUMBER('Scenario Analysis'!CK39),'Scenario Analysis'!CK39,"")</f>
        <v/>
      </c>
      <c r="X96" s="1547"/>
      <c r="Y96" s="1547"/>
      <c r="AJ96" s="1384"/>
    </row>
    <row r="97" spans="9:36" x14ac:dyDescent="0.25">
      <c r="I97" s="4132"/>
      <c r="J97" s="256" t="str">
        <f>'Scenario Identification'!CS$72</f>
        <v>Vapor Relief Vent - Heat Transfer</v>
      </c>
      <c r="K97" s="1008" t="str">
        <f>IF(ISNUMBER('Scenario Analysis'!CA40),'Scenario Analysis'!CA40,"")</f>
        <v/>
      </c>
      <c r="L97" s="1009" t="str">
        <f>IF(ISNUMBER('Scenario Analysis'!CB40),'Scenario Analysis'!CB40,"")</f>
        <v/>
      </c>
      <c r="M97" s="1009" t="str">
        <f>IF(ISNUMBER('Scenario Analysis'!CC40),'Scenario Analysis'!CC40,"")</f>
        <v/>
      </c>
      <c r="N97" s="1009" t="str">
        <f>IF(ISNUMBER('Scenario Analysis'!CD40),'Scenario Analysis'!CD40,"")</f>
        <v/>
      </c>
      <c r="O97" s="1009" t="str">
        <f>IF(ISNUMBER('Scenario Analysis'!CE40),'Scenario Analysis'!CE40,"")</f>
        <v/>
      </c>
      <c r="P97" s="1009" t="str">
        <f>IF(ISNUMBER('Scenario Analysis'!CF40),'Scenario Analysis'!CF40,"")</f>
        <v/>
      </c>
      <c r="Q97" s="1009" t="str">
        <f>IF(ISNUMBER('Scenario Analysis'!CG40),'Scenario Analysis'!CG40,"")</f>
        <v/>
      </c>
      <c r="R97" s="1009" t="str">
        <f>IF(ISNUMBER('Scenario Analysis'!CH40),'Scenario Analysis'!CH40,"")</f>
        <v/>
      </c>
      <c r="S97" s="1009" t="str">
        <f>IF(ISNUMBER('Scenario Analysis'!CI40),'Scenario Analysis'!CI40,"")</f>
        <v/>
      </c>
      <c r="T97" s="1009" t="str">
        <f>IF(ISNUMBER('Scenario Analysis'!CJ40),'Scenario Analysis'!CJ40,"")</f>
        <v/>
      </c>
      <c r="U97" s="1010" t="str">
        <f>IF(ISNUMBER('Scenario Analysis'!CK40),'Scenario Analysis'!CK40,"")</f>
        <v/>
      </c>
      <c r="X97" s="1547"/>
      <c r="Y97" s="1547"/>
      <c r="AJ97" s="1384"/>
    </row>
    <row r="98" spans="9:36" x14ac:dyDescent="0.25">
      <c r="I98" s="4132"/>
      <c r="J98" s="256" t="str">
        <f>'Scenario Identification'!CT$72</f>
        <v>Vapor Relief Vent - Mechanical Energy</v>
      </c>
      <c r="K98" s="1008" t="str">
        <f>IF(ISNUMBER('Scenario Analysis'!CA41),'Scenario Analysis'!CA41,"")</f>
        <v/>
      </c>
      <c r="L98" s="1009" t="str">
        <f>IF(ISNUMBER('Scenario Analysis'!CB41),'Scenario Analysis'!CB41,"")</f>
        <v/>
      </c>
      <c r="M98" s="1009" t="str">
        <f>IF(ISNUMBER('Scenario Analysis'!CC41),'Scenario Analysis'!CC41,"")</f>
        <v/>
      </c>
      <c r="N98" s="1009" t="str">
        <f>IF(ISNUMBER('Scenario Analysis'!CD41),'Scenario Analysis'!CD41,"")</f>
        <v/>
      </c>
      <c r="O98" s="1009" t="str">
        <f>IF(ISNUMBER('Scenario Analysis'!CE41),'Scenario Analysis'!CE41,"")</f>
        <v/>
      </c>
      <c r="P98" s="1009" t="str">
        <f>IF(ISNUMBER('Scenario Analysis'!CF41),'Scenario Analysis'!CF41,"")</f>
        <v/>
      </c>
      <c r="Q98" s="1009" t="str">
        <f>IF(ISNUMBER('Scenario Analysis'!CG41),'Scenario Analysis'!CG41,"")</f>
        <v/>
      </c>
      <c r="R98" s="1009" t="str">
        <f>IF(ISNUMBER('Scenario Analysis'!CH41),'Scenario Analysis'!CH41,"")</f>
        <v/>
      </c>
      <c r="S98" s="1009" t="str">
        <f>IF(ISNUMBER('Scenario Analysis'!CI41),'Scenario Analysis'!CI41,"")</f>
        <v/>
      </c>
      <c r="T98" s="1009" t="str">
        <f>IF(ISNUMBER('Scenario Analysis'!CJ41),'Scenario Analysis'!CJ41,"")</f>
        <v/>
      </c>
      <c r="U98" s="1010" t="str">
        <f>IF(ISNUMBER('Scenario Analysis'!CK41),'Scenario Analysis'!CK41,"")</f>
        <v/>
      </c>
      <c r="X98" s="1547"/>
      <c r="Y98" s="1547"/>
      <c r="AJ98" s="1384"/>
    </row>
    <row r="99" spans="9:36" x14ac:dyDescent="0.25">
      <c r="I99" s="4132"/>
      <c r="J99" s="256" t="str">
        <f>'Scenario Identification'!CU$72</f>
        <v>Vapor Relief Vent - Reaction</v>
      </c>
      <c r="K99" s="1008" t="str">
        <f>IF(ISNUMBER('Scenario Analysis'!CA42),'Scenario Analysis'!CA42,"")</f>
        <v/>
      </c>
      <c r="L99" s="1009" t="str">
        <f>IF(ISNUMBER('Scenario Analysis'!CB42),'Scenario Analysis'!CB42,"")</f>
        <v/>
      </c>
      <c r="M99" s="1009" t="str">
        <f>IF(ISNUMBER('Scenario Analysis'!CC42),'Scenario Analysis'!CC42,"")</f>
        <v/>
      </c>
      <c r="N99" s="1009" t="str">
        <f>IF(ISNUMBER('Scenario Analysis'!CD42),'Scenario Analysis'!CD42,"")</f>
        <v/>
      </c>
      <c r="O99" s="1009" t="str">
        <f>IF(ISNUMBER('Scenario Analysis'!CE42),'Scenario Analysis'!CE42,"")</f>
        <v/>
      </c>
      <c r="P99" s="1009" t="str">
        <f>IF(ISNUMBER('Scenario Analysis'!CF42),'Scenario Analysis'!CF42,"")</f>
        <v/>
      </c>
      <c r="Q99" s="1009" t="str">
        <f>IF(ISNUMBER('Scenario Analysis'!CG42),'Scenario Analysis'!CG42,"")</f>
        <v/>
      </c>
      <c r="R99" s="1009" t="str">
        <f>IF(ISNUMBER('Scenario Analysis'!CH42),'Scenario Analysis'!CH42,"")</f>
        <v/>
      </c>
      <c r="S99" s="1009" t="str">
        <f>IF(ISNUMBER('Scenario Analysis'!CI42),'Scenario Analysis'!CI42,"")</f>
        <v/>
      </c>
      <c r="T99" s="1009" t="str">
        <f>IF(ISNUMBER('Scenario Analysis'!CJ42),'Scenario Analysis'!CJ42,"")</f>
        <v/>
      </c>
      <c r="U99" s="1010" t="str">
        <f>IF(ISNUMBER('Scenario Analysis'!CK42),'Scenario Analysis'!CK42,"")</f>
        <v/>
      </c>
      <c r="X99" s="1547"/>
      <c r="Y99" s="1547"/>
      <c r="AJ99" s="1384"/>
    </row>
    <row r="100" spans="9:36" x14ac:dyDescent="0.25">
      <c r="I100" s="4132"/>
      <c r="J100" s="256" t="str">
        <f>'Scenario Identification'!CV$72</f>
        <v>Vapor Relief Vent - Reaction with External Heat</v>
      </c>
      <c r="K100" s="1008" t="str">
        <f>IF(ISNUMBER('Scenario Analysis'!CA43),'Scenario Analysis'!CA43,"")</f>
        <v/>
      </c>
      <c r="L100" s="1009" t="str">
        <f>IF(ISNUMBER('Scenario Analysis'!CB43),'Scenario Analysis'!CB43,"")</f>
        <v/>
      </c>
      <c r="M100" s="1009" t="str">
        <f>IF(ISNUMBER('Scenario Analysis'!CC43),'Scenario Analysis'!CC43,"")</f>
        <v/>
      </c>
      <c r="N100" s="1009" t="str">
        <f>IF(ISNUMBER('Scenario Analysis'!CD43),'Scenario Analysis'!CD43,"")</f>
        <v/>
      </c>
      <c r="O100" s="1009" t="str">
        <f>IF(ISNUMBER('Scenario Analysis'!CE43),'Scenario Analysis'!CE43,"")</f>
        <v/>
      </c>
      <c r="P100" s="1009" t="str">
        <f>IF(ISNUMBER('Scenario Analysis'!CF43),'Scenario Analysis'!CF43,"")</f>
        <v/>
      </c>
      <c r="Q100" s="1009" t="str">
        <f>IF(ISNUMBER('Scenario Analysis'!CG43),'Scenario Analysis'!CG43,"")</f>
        <v/>
      </c>
      <c r="R100" s="1009" t="str">
        <f>IF(ISNUMBER('Scenario Analysis'!CH43),'Scenario Analysis'!CH43,"")</f>
        <v/>
      </c>
      <c r="S100" s="1009" t="str">
        <f>IF(ISNUMBER('Scenario Analysis'!CI43),'Scenario Analysis'!CI43,"")</f>
        <v/>
      </c>
      <c r="T100" s="1009" t="str">
        <f>IF(ISNUMBER('Scenario Analysis'!CJ43),'Scenario Analysis'!CJ43,"")</f>
        <v/>
      </c>
      <c r="U100" s="1010" t="str">
        <f>IF(ISNUMBER('Scenario Analysis'!CK43),'Scenario Analysis'!CK43,"")</f>
        <v/>
      </c>
      <c r="X100" s="1547"/>
      <c r="Y100" s="1547"/>
      <c r="AJ100" s="1384"/>
    </row>
    <row r="101" spans="9:36" x14ac:dyDescent="0.25">
      <c r="I101" s="4132"/>
      <c r="J101" s="256" t="str">
        <f>'Scenario Identification'!CW$72</f>
        <v>Vapor Relief Vent - Reaction with Fire</v>
      </c>
      <c r="K101" s="1008" t="str">
        <f>IF(ISNUMBER('Scenario Analysis'!CA44),'Scenario Analysis'!CA44,"")</f>
        <v/>
      </c>
      <c r="L101" s="1009" t="str">
        <f>IF(ISNUMBER('Scenario Analysis'!CB44),'Scenario Analysis'!CB44,"")</f>
        <v/>
      </c>
      <c r="M101" s="1009" t="str">
        <f>IF(ISNUMBER('Scenario Analysis'!CC44),'Scenario Analysis'!CC44,"")</f>
        <v/>
      </c>
      <c r="N101" s="1009" t="str">
        <f>IF(ISNUMBER('Scenario Analysis'!CD44),'Scenario Analysis'!CD44,"")</f>
        <v/>
      </c>
      <c r="O101" s="1009" t="str">
        <f>IF(ISNUMBER('Scenario Analysis'!CE44),'Scenario Analysis'!CE44,"")</f>
        <v/>
      </c>
      <c r="P101" s="1009" t="str">
        <f>IF(ISNUMBER('Scenario Analysis'!CF44),'Scenario Analysis'!CF44,"")</f>
        <v/>
      </c>
      <c r="Q101" s="1009" t="str">
        <f>IF(ISNUMBER('Scenario Analysis'!CG44),'Scenario Analysis'!CG44,"")</f>
        <v/>
      </c>
      <c r="R101" s="1009" t="str">
        <f>IF(ISNUMBER('Scenario Analysis'!CH44),'Scenario Analysis'!CH44,"")</f>
        <v/>
      </c>
      <c r="S101" s="1009" t="str">
        <f>IF(ISNUMBER('Scenario Analysis'!CI44),'Scenario Analysis'!CI44,"")</f>
        <v/>
      </c>
      <c r="T101" s="1009" t="str">
        <f>IF(ISNUMBER('Scenario Analysis'!CJ44),'Scenario Analysis'!CJ44,"")</f>
        <v/>
      </c>
      <c r="U101" s="1010" t="str">
        <f>IF(ISNUMBER('Scenario Analysis'!CK44),'Scenario Analysis'!CK44,"")</f>
        <v/>
      </c>
      <c r="X101" s="1547"/>
      <c r="Y101" s="1547"/>
      <c r="AJ101" s="1384"/>
    </row>
    <row r="102" spans="9:36" x14ac:dyDescent="0.25">
      <c r="I102" s="4132"/>
      <c r="J102" s="256" t="str">
        <f>'Scenario Identification'!CX$72</f>
        <v>Vapor Relief Vent - Reaction with Catalyst</v>
      </c>
      <c r="K102" s="1008" t="str">
        <f>IF(ISNUMBER('Scenario Analysis'!CA45),'Scenario Analysis'!CA45,"")</f>
        <v/>
      </c>
      <c r="L102" s="1009" t="str">
        <f>IF(ISNUMBER('Scenario Analysis'!CB45),'Scenario Analysis'!CB45,"")</f>
        <v/>
      </c>
      <c r="M102" s="1009" t="str">
        <f>IF(ISNUMBER('Scenario Analysis'!CC45),'Scenario Analysis'!CC45,"")</f>
        <v/>
      </c>
      <c r="N102" s="1009" t="str">
        <f>IF(ISNUMBER('Scenario Analysis'!CD45),'Scenario Analysis'!CD45,"")</f>
        <v/>
      </c>
      <c r="O102" s="1009" t="str">
        <f>IF(ISNUMBER('Scenario Analysis'!CE45),'Scenario Analysis'!CE45,"")</f>
        <v/>
      </c>
      <c r="P102" s="1009" t="str">
        <f>IF(ISNUMBER('Scenario Analysis'!CF45),'Scenario Analysis'!CF45,"")</f>
        <v/>
      </c>
      <c r="Q102" s="1009" t="str">
        <f>IF(ISNUMBER('Scenario Analysis'!CG45),'Scenario Analysis'!CG45,"")</f>
        <v/>
      </c>
      <c r="R102" s="1009" t="str">
        <f>IF(ISNUMBER('Scenario Analysis'!CH45),'Scenario Analysis'!CH45,"")</f>
        <v/>
      </c>
      <c r="S102" s="1009" t="str">
        <f>IF(ISNUMBER('Scenario Analysis'!CI45),'Scenario Analysis'!CI45,"")</f>
        <v/>
      </c>
      <c r="T102" s="1009" t="str">
        <f>IF(ISNUMBER('Scenario Analysis'!CJ45),'Scenario Analysis'!CJ45,"")</f>
        <v/>
      </c>
      <c r="U102" s="1010" t="str">
        <f>IF(ISNUMBER('Scenario Analysis'!CK45),'Scenario Analysis'!CK45,"")</f>
        <v/>
      </c>
      <c r="X102" s="1547"/>
      <c r="Y102" s="1547"/>
      <c r="AJ102" s="1384"/>
    </row>
    <row r="103" spans="9:36" x14ac:dyDescent="0.25">
      <c r="I103" s="4132"/>
      <c r="J103" s="256" t="str">
        <f>'Scenario Identification'!CY$72</f>
        <v>Vapor Relief Vent - Reaction with Pooling</v>
      </c>
      <c r="K103" s="1008" t="str">
        <f>IF(ISNUMBER('Scenario Analysis'!CA46),'Scenario Analysis'!CA46,"")</f>
        <v/>
      </c>
      <c r="L103" s="1009" t="str">
        <f>IF(ISNUMBER('Scenario Analysis'!CB46),'Scenario Analysis'!CB46,"")</f>
        <v/>
      </c>
      <c r="M103" s="1009" t="str">
        <f>IF(ISNUMBER('Scenario Analysis'!CC46),'Scenario Analysis'!CC46,"")</f>
        <v/>
      </c>
      <c r="N103" s="1009" t="str">
        <f>IF(ISNUMBER('Scenario Analysis'!CD46),'Scenario Analysis'!CD46,"")</f>
        <v/>
      </c>
      <c r="O103" s="1009" t="str">
        <f>IF(ISNUMBER('Scenario Analysis'!CE46),'Scenario Analysis'!CE46,"")</f>
        <v/>
      </c>
      <c r="P103" s="1009" t="str">
        <f>IF(ISNUMBER('Scenario Analysis'!CF46),'Scenario Analysis'!CF46,"")</f>
        <v/>
      </c>
      <c r="Q103" s="1009" t="str">
        <f>IF(ISNUMBER('Scenario Analysis'!CG46),'Scenario Analysis'!CG46,"")</f>
        <v/>
      </c>
      <c r="R103" s="1009" t="str">
        <f>IF(ISNUMBER('Scenario Analysis'!CH46),'Scenario Analysis'!CH46,"")</f>
        <v/>
      </c>
      <c r="S103" s="1009" t="str">
        <f>IF(ISNUMBER('Scenario Analysis'!CI46),'Scenario Analysis'!CI46,"")</f>
        <v/>
      </c>
      <c r="T103" s="1009" t="str">
        <f>IF(ISNUMBER('Scenario Analysis'!CJ46),'Scenario Analysis'!CJ46,"")</f>
        <v/>
      </c>
      <c r="U103" s="1010" t="str">
        <f>IF(ISNUMBER('Scenario Analysis'!CK46),'Scenario Analysis'!CK46,"")</f>
        <v/>
      </c>
      <c r="X103" s="1547"/>
      <c r="Y103" s="1547"/>
      <c r="AJ103" s="1384"/>
    </row>
    <row r="104" spans="9:36" x14ac:dyDescent="0.25">
      <c r="I104" s="4132"/>
      <c r="J104" s="256" t="str">
        <f>'Scenario Identification'!CZ$72</f>
        <v>Vapor Relief Vent - Reaction with Mis-Loading</v>
      </c>
      <c r="K104" s="1008" t="str">
        <f>IF(ISNUMBER('Scenario Analysis'!CA47),'Scenario Analysis'!CA47,"")</f>
        <v/>
      </c>
      <c r="L104" s="1009" t="str">
        <f>IF(ISNUMBER('Scenario Analysis'!CB47),'Scenario Analysis'!CB47,"")</f>
        <v/>
      </c>
      <c r="M104" s="1009" t="str">
        <f>IF(ISNUMBER('Scenario Analysis'!CC47),'Scenario Analysis'!CC47,"")</f>
        <v/>
      </c>
      <c r="N104" s="1009" t="str">
        <f>IF(ISNUMBER('Scenario Analysis'!CD47),'Scenario Analysis'!CD47,"")</f>
        <v/>
      </c>
      <c r="O104" s="1009" t="str">
        <f>IF(ISNUMBER('Scenario Analysis'!CE47),'Scenario Analysis'!CE47,"")</f>
        <v/>
      </c>
      <c r="P104" s="1009" t="str">
        <f>IF(ISNUMBER('Scenario Analysis'!CF47),'Scenario Analysis'!CF47,"")</f>
        <v/>
      </c>
      <c r="Q104" s="1009" t="str">
        <f>IF(ISNUMBER('Scenario Analysis'!CG47),'Scenario Analysis'!CG47,"")</f>
        <v/>
      </c>
      <c r="R104" s="1009" t="str">
        <f>IF(ISNUMBER('Scenario Analysis'!CH47),'Scenario Analysis'!CH47,"")</f>
        <v/>
      </c>
      <c r="S104" s="1009" t="str">
        <f>IF(ISNUMBER('Scenario Analysis'!CI47),'Scenario Analysis'!CI47,"")</f>
        <v/>
      </c>
      <c r="T104" s="1009" t="str">
        <f>IF(ISNUMBER('Scenario Analysis'!CJ47),'Scenario Analysis'!CJ47,"")</f>
        <v/>
      </c>
      <c r="U104" s="1010" t="str">
        <f>IF(ISNUMBER('Scenario Analysis'!CK47),'Scenario Analysis'!CK47,"")</f>
        <v/>
      </c>
      <c r="Y104" s="1546"/>
      <c r="AJ104" s="1384"/>
    </row>
    <row r="105" spans="9:36" x14ac:dyDescent="0.25">
      <c r="I105" s="4132"/>
      <c r="J105" s="256" t="str">
        <f>'Scenario Identification'!DA$72</f>
        <v>USER DEFINED VAPOR VENT RATE at Relief Temp</v>
      </c>
      <c r="K105" s="1008" t="str">
        <f>IF(ISNUMBER('Scenario Analysis'!CA48),'Scenario Analysis'!CA48,"")</f>
        <v/>
      </c>
      <c r="L105" s="1009" t="str">
        <f>IF(ISNUMBER('Scenario Analysis'!CB48),'Scenario Analysis'!CB48,"")</f>
        <v/>
      </c>
      <c r="M105" s="1009" t="str">
        <f>IF(ISNUMBER('Scenario Analysis'!CC48),'Scenario Analysis'!CC48,"")</f>
        <v/>
      </c>
      <c r="N105" s="1009" t="str">
        <f>IF(ISNUMBER('Scenario Analysis'!CD48),'Scenario Analysis'!CD48,"")</f>
        <v/>
      </c>
      <c r="O105" s="1009" t="str">
        <f>IF(ISNUMBER('Scenario Analysis'!CE48),'Scenario Analysis'!CE48,"")</f>
        <v/>
      </c>
      <c r="P105" s="1009" t="str">
        <f>IF(ISNUMBER('Scenario Analysis'!CF48),'Scenario Analysis'!CF48,"")</f>
        <v/>
      </c>
      <c r="Q105" s="1009" t="str">
        <f>IF(ISNUMBER('Scenario Analysis'!CG48),'Scenario Analysis'!CG48,"")</f>
        <v/>
      </c>
      <c r="R105" s="1009" t="str">
        <f>IF(ISNUMBER('Scenario Analysis'!CH48),'Scenario Analysis'!CH48,"")</f>
        <v/>
      </c>
      <c r="S105" s="1009" t="str">
        <f>IF(ISNUMBER('Scenario Analysis'!CI48),'Scenario Analysis'!CI48,"")</f>
        <v/>
      </c>
      <c r="T105" s="1009" t="str">
        <f>IF(ISNUMBER('Scenario Analysis'!CJ48),'Scenario Analysis'!CJ48,"")</f>
        <v/>
      </c>
      <c r="U105" s="1010" t="str">
        <f>IF(ISNUMBER('Scenario Analysis'!CK48),'Scenario Analysis'!CK48,"")</f>
        <v/>
      </c>
      <c r="Y105" s="1546"/>
      <c r="AJ105" s="1384"/>
    </row>
    <row r="106" spans="9:36" x14ac:dyDescent="0.25">
      <c r="I106" s="4132"/>
      <c r="J106" s="256" t="str">
        <f>'Scenario Identification'!DB$72</f>
        <v>Equipment Damage</v>
      </c>
      <c r="K106" s="1008" t="str">
        <f>IF(ISNUMBER('Scenario Analysis'!CA49),'Scenario Analysis'!CA49,"")</f>
        <v/>
      </c>
      <c r="L106" s="1009" t="str">
        <f>IF(ISNUMBER('Scenario Analysis'!CB49),'Scenario Analysis'!CB49,"")</f>
        <v/>
      </c>
      <c r="M106" s="1009" t="str">
        <f>IF(ISNUMBER('Scenario Analysis'!CC49),'Scenario Analysis'!CC49,"")</f>
        <v/>
      </c>
      <c r="N106" s="1009" t="str">
        <f>IF(ISNUMBER('Scenario Analysis'!CD49),'Scenario Analysis'!CD49,"")</f>
        <v/>
      </c>
      <c r="O106" s="1009" t="str">
        <f>IF(ISNUMBER('Scenario Analysis'!CE49),'Scenario Analysis'!CE49,"")</f>
        <v/>
      </c>
      <c r="P106" s="1009" t="str">
        <f>IF(ISNUMBER('Scenario Analysis'!CF49),'Scenario Analysis'!CF49,"")</f>
        <v/>
      </c>
      <c r="Q106" s="1009" t="str">
        <f>IF(ISNUMBER('Scenario Analysis'!CG49),'Scenario Analysis'!CG49,"")</f>
        <v/>
      </c>
      <c r="R106" s="1009" t="str">
        <f>IF(ISNUMBER('Scenario Analysis'!CH49),'Scenario Analysis'!CH49,"")</f>
        <v/>
      </c>
      <c r="S106" s="1009" t="str">
        <f>IF(ISNUMBER('Scenario Analysis'!CI49),'Scenario Analysis'!CI49,"")</f>
        <v/>
      </c>
      <c r="T106" s="1009">
        <f>IF(ISNUMBER('Scenario Analysis'!CJ49),'Scenario Analysis'!CJ49,"")</f>
        <v>3</v>
      </c>
      <c r="U106" s="1010" t="str">
        <f>IF(ISNUMBER('Scenario Analysis'!CK49),'Scenario Analysis'!CK49,"")</f>
        <v/>
      </c>
      <c r="Y106" s="1546"/>
      <c r="AJ106" s="1384"/>
    </row>
    <row r="107" spans="9:36" x14ac:dyDescent="0.25">
      <c r="I107" s="4132"/>
      <c r="J107" s="256" t="str">
        <f>'Scenario Identification'!DC$72</f>
        <v>Equipment Failure above Design Temperature</v>
      </c>
      <c r="K107" s="1008" t="str">
        <f>IF(ISNUMBER('Scenario Analysis'!CA50),'Scenario Analysis'!CA50,"")</f>
        <v/>
      </c>
      <c r="L107" s="1009" t="str">
        <f>IF(ISNUMBER('Scenario Analysis'!CB50),'Scenario Analysis'!CB50,"")</f>
        <v/>
      </c>
      <c r="M107" s="1009" t="str">
        <f>IF(ISNUMBER('Scenario Analysis'!CC50),'Scenario Analysis'!CC50,"")</f>
        <v/>
      </c>
      <c r="N107" s="1009" t="str">
        <f>IF(ISNUMBER('Scenario Analysis'!CD50),'Scenario Analysis'!CD50,"")</f>
        <v/>
      </c>
      <c r="O107" s="1009" t="str">
        <f>IF(ISNUMBER('Scenario Analysis'!CE50),'Scenario Analysis'!CE50,"")</f>
        <v/>
      </c>
      <c r="P107" s="1009" t="str">
        <f>IF(ISNUMBER('Scenario Analysis'!CF50),'Scenario Analysis'!CF50,"")</f>
        <v/>
      </c>
      <c r="Q107" s="1009" t="str">
        <f>IF(ISNUMBER('Scenario Analysis'!CG50),'Scenario Analysis'!CG50,"")</f>
        <v/>
      </c>
      <c r="R107" s="1009" t="str">
        <f>IF(ISNUMBER('Scenario Analysis'!CH50),'Scenario Analysis'!CH50,"")</f>
        <v/>
      </c>
      <c r="S107" s="1009" t="str">
        <f>IF(ISNUMBER('Scenario Analysis'!CI50),'Scenario Analysis'!CI50,"")</f>
        <v/>
      </c>
      <c r="T107" s="1009" t="str">
        <f>IF(ISNUMBER('Scenario Analysis'!CJ50),'Scenario Analysis'!CJ50,"")</f>
        <v/>
      </c>
      <c r="U107" s="1010" t="str">
        <f>IF(ISNUMBER('Scenario Analysis'!CK50),'Scenario Analysis'!CK50,"")</f>
        <v/>
      </c>
      <c r="Y107" s="1546"/>
      <c r="AJ107" s="1384"/>
    </row>
    <row r="108" spans="9:36" x14ac:dyDescent="0.25">
      <c r="I108" s="4132"/>
      <c r="J108" s="256" t="str">
        <f>'Scenario Identification'!DD$72</f>
        <v>Equipment Rupture at Operating Temperature</v>
      </c>
      <c r="K108" s="1008" t="str">
        <f>IF(ISNUMBER('Scenario Analysis'!CA51),'Scenario Analysis'!CA51,"")</f>
        <v/>
      </c>
      <c r="L108" s="1009" t="str">
        <f>IF(ISNUMBER('Scenario Analysis'!CB51),'Scenario Analysis'!CB51,"")</f>
        <v/>
      </c>
      <c r="M108" s="1009" t="str">
        <f>IF(ISNUMBER('Scenario Analysis'!CC51),'Scenario Analysis'!CC51,"")</f>
        <v/>
      </c>
      <c r="N108" s="1009" t="str">
        <f>IF(ISNUMBER('Scenario Analysis'!CD51),'Scenario Analysis'!CD51,"")</f>
        <v/>
      </c>
      <c r="O108" s="1009" t="str">
        <f>IF(ISNUMBER('Scenario Analysis'!CE51),'Scenario Analysis'!CE51,"")</f>
        <v/>
      </c>
      <c r="P108" s="1009" t="str">
        <f>IF(ISNUMBER('Scenario Analysis'!CF51),'Scenario Analysis'!CF51,"")</f>
        <v/>
      </c>
      <c r="Q108" s="1009" t="str">
        <f>IF(ISNUMBER('Scenario Analysis'!CG51),'Scenario Analysis'!CG51,"")</f>
        <v/>
      </c>
      <c r="R108" s="1009" t="str">
        <f>IF(ISNUMBER('Scenario Analysis'!CH51),'Scenario Analysis'!CH51,"")</f>
        <v/>
      </c>
      <c r="S108" s="1009" t="str">
        <f>IF(ISNUMBER('Scenario Analysis'!CI51),'Scenario Analysis'!CI51,"")</f>
        <v/>
      </c>
      <c r="T108" s="1009" t="str">
        <f>IF(ISNUMBER('Scenario Analysis'!CJ51),'Scenario Analysis'!CJ51,"")</f>
        <v/>
      </c>
      <c r="U108" s="1010" t="str">
        <f>IF(ISNUMBER('Scenario Analysis'!CK51),'Scenario Analysis'!CK51,"")</f>
        <v/>
      </c>
      <c r="Y108" s="1546"/>
      <c r="AJ108" s="1384"/>
    </row>
    <row r="109" spans="9:36" x14ac:dyDescent="0.25">
      <c r="I109" s="4132"/>
      <c r="J109" s="256" t="str">
        <f>'Scenario Identification'!DE$72</f>
        <v>Equipment Rupture at Saturation Temperature</v>
      </c>
      <c r="K109" s="1008" t="str">
        <f>IF(ISNUMBER('Scenario Analysis'!CA52),'Scenario Analysis'!CA52,"")</f>
        <v/>
      </c>
      <c r="L109" s="1009" t="str">
        <f>IF(ISNUMBER('Scenario Analysis'!CB52),'Scenario Analysis'!CB52,"")</f>
        <v/>
      </c>
      <c r="M109" s="1009" t="str">
        <f>IF(ISNUMBER('Scenario Analysis'!CC52),'Scenario Analysis'!CC52,"")</f>
        <v/>
      </c>
      <c r="N109" s="1009" t="str">
        <f>IF(ISNUMBER('Scenario Analysis'!CD52),'Scenario Analysis'!CD52,"")</f>
        <v/>
      </c>
      <c r="O109" s="1009" t="str">
        <f>IF(ISNUMBER('Scenario Analysis'!CE52),'Scenario Analysis'!CE52,"")</f>
        <v/>
      </c>
      <c r="P109" s="1009" t="str">
        <f>IF(ISNUMBER('Scenario Analysis'!CF52),'Scenario Analysis'!CF52,"")</f>
        <v/>
      </c>
      <c r="Q109" s="1009" t="str">
        <f>IF(ISNUMBER('Scenario Analysis'!CG52),'Scenario Analysis'!CG52,"")</f>
        <v/>
      </c>
      <c r="R109" s="1009" t="str">
        <f>IF(ISNUMBER('Scenario Analysis'!CH52),'Scenario Analysis'!CH52,"")</f>
        <v/>
      </c>
      <c r="S109" s="1009" t="str">
        <f>IF(ISNUMBER('Scenario Analysis'!CI52),'Scenario Analysis'!CI52,"")</f>
        <v/>
      </c>
      <c r="T109" s="1009" t="str">
        <f>IF(ISNUMBER('Scenario Analysis'!CJ52),'Scenario Analysis'!CJ52,"")</f>
        <v/>
      </c>
      <c r="U109" s="1010" t="str">
        <f>IF(ISNUMBER('Scenario Analysis'!CK52),'Scenario Analysis'!CK52,"")</f>
        <v/>
      </c>
      <c r="Y109" s="1546"/>
      <c r="AJ109" s="1384"/>
    </row>
    <row r="110" spans="9:36" x14ac:dyDescent="0.25">
      <c r="I110" s="4132"/>
      <c r="J110" s="256" t="str">
        <f>'Scenario Identification'!DF$72</f>
        <v>Equipment Rupture at Peak Temperature</v>
      </c>
      <c r="K110" s="1008" t="str">
        <f>IF(ISNUMBER('Scenario Analysis'!CA53),'Scenario Analysis'!CA53,"")</f>
        <v/>
      </c>
      <c r="L110" s="1009" t="str">
        <f>IF(ISNUMBER('Scenario Analysis'!CB53),'Scenario Analysis'!CB53,"")</f>
        <v/>
      </c>
      <c r="M110" s="1009" t="str">
        <f>IF(ISNUMBER('Scenario Analysis'!CC53),'Scenario Analysis'!CC53,"")</f>
        <v/>
      </c>
      <c r="N110" s="1009" t="str">
        <f>IF(ISNUMBER('Scenario Analysis'!CD53),'Scenario Analysis'!CD53,"")</f>
        <v/>
      </c>
      <c r="O110" s="1009" t="str">
        <f>IF(ISNUMBER('Scenario Analysis'!CE53),'Scenario Analysis'!CE53,"")</f>
        <v/>
      </c>
      <c r="P110" s="1009" t="str">
        <f>IF(ISNUMBER('Scenario Analysis'!CF53),'Scenario Analysis'!CF53,"")</f>
        <v/>
      </c>
      <c r="Q110" s="1009" t="str">
        <f>IF(ISNUMBER('Scenario Analysis'!CG53),'Scenario Analysis'!CG53,"")</f>
        <v/>
      </c>
      <c r="R110" s="1009" t="str">
        <f>IF(ISNUMBER('Scenario Analysis'!CH53),'Scenario Analysis'!CH53,"")</f>
        <v/>
      </c>
      <c r="S110" s="1009" t="str">
        <f>IF(ISNUMBER('Scenario Analysis'!CI53),'Scenario Analysis'!CI53,"")</f>
        <v/>
      </c>
      <c r="T110" s="1009" t="str">
        <f>IF(ISNUMBER('Scenario Analysis'!CJ53),'Scenario Analysis'!CJ53,"")</f>
        <v/>
      </c>
      <c r="U110" s="1010" t="str">
        <f>IF(ISNUMBER('Scenario Analysis'!CK53),'Scenario Analysis'!CK53,"")</f>
        <v/>
      </c>
      <c r="Y110" s="1546"/>
      <c r="AJ110" s="1384"/>
    </row>
    <row r="111" spans="9:36" x14ac:dyDescent="0.25">
      <c r="I111" s="4132"/>
      <c r="J111" s="256" t="str">
        <f>'Scenario Identification'!DG$72</f>
        <v>Equipment Rupture at Fire Conditions</v>
      </c>
      <c r="K111" s="1008" t="str">
        <f>IF(ISNUMBER('Scenario Analysis'!CA54),'Scenario Analysis'!CA54,"")</f>
        <v/>
      </c>
      <c r="L111" s="1009" t="str">
        <f>IF(ISNUMBER('Scenario Analysis'!CB54),'Scenario Analysis'!CB54,"")</f>
        <v/>
      </c>
      <c r="M111" s="1009" t="str">
        <f>IF(ISNUMBER('Scenario Analysis'!CC54),'Scenario Analysis'!CC54,"")</f>
        <v/>
      </c>
      <c r="N111" s="1009" t="str">
        <f>IF(ISNUMBER('Scenario Analysis'!CD54),'Scenario Analysis'!CD54,"")</f>
        <v/>
      </c>
      <c r="O111" s="1009" t="str">
        <f>IF(ISNUMBER('Scenario Analysis'!CE54),'Scenario Analysis'!CE54,"")</f>
        <v/>
      </c>
      <c r="P111" s="1009" t="str">
        <f>IF(ISNUMBER('Scenario Analysis'!CF54),'Scenario Analysis'!CF54,"")</f>
        <v/>
      </c>
      <c r="Q111" s="1009" t="str">
        <f>IF(ISNUMBER('Scenario Analysis'!CG54),'Scenario Analysis'!CG54,"")</f>
        <v/>
      </c>
      <c r="R111" s="1009" t="str">
        <f>IF(ISNUMBER('Scenario Analysis'!CH54),'Scenario Analysis'!CH54,"")</f>
        <v/>
      </c>
      <c r="S111" s="1009" t="str">
        <f>IF(ISNUMBER('Scenario Analysis'!CI54),'Scenario Analysis'!CI54,"")</f>
        <v/>
      </c>
      <c r="T111" s="1009" t="str">
        <f>IF(ISNUMBER('Scenario Analysis'!CJ54),'Scenario Analysis'!CJ54,"")</f>
        <v/>
      </c>
      <c r="U111" s="1010" t="str">
        <f>IF(ISNUMBER('Scenario Analysis'!CK54),'Scenario Analysis'!CK54,"")</f>
        <v/>
      </c>
      <c r="Y111" s="1546"/>
      <c r="AJ111" s="1384"/>
    </row>
    <row r="112" spans="9:36" x14ac:dyDescent="0.25">
      <c r="I112" s="4132"/>
      <c r="J112" s="256" t="str">
        <f>'Scenario Identification'!DH$72</f>
        <v>Equipment Rupture - Deflagration</v>
      </c>
      <c r="K112" s="1008" t="str">
        <f>IF(ISNUMBER('Scenario Analysis'!CA55),'Scenario Analysis'!CA55,"")</f>
        <v/>
      </c>
      <c r="L112" s="1009" t="str">
        <f>IF(ISNUMBER('Scenario Analysis'!CB55),'Scenario Analysis'!CB55,"")</f>
        <v/>
      </c>
      <c r="M112" s="1009" t="str">
        <f>IF(ISNUMBER('Scenario Analysis'!CC55),'Scenario Analysis'!CC55,"")</f>
        <v/>
      </c>
      <c r="N112" s="1009" t="str">
        <f>IF(ISNUMBER('Scenario Analysis'!CD55),'Scenario Analysis'!CD55,"")</f>
        <v/>
      </c>
      <c r="O112" s="1009" t="str">
        <f>IF(ISNUMBER('Scenario Analysis'!CE55),'Scenario Analysis'!CE55,"")</f>
        <v/>
      </c>
      <c r="P112" s="1009" t="str">
        <f>IF(ISNUMBER('Scenario Analysis'!CF55),'Scenario Analysis'!CF55,"")</f>
        <v/>
      </c>
      <c r="Q112" s="1009" t="str">
        <f>IF(ISNUMBER('Scenario Analysis'!CG55),'Scenario Analysis'!CG55,"")</f>
        <v/>
      </c>
      <c r="R112" s="1009" t="str">
        <f>IF(ISNUMBER('Scenario Analysis'!CH55),'Scenario Analysis'!CH55,"")</f>
        <v/>
      </c>
      <c r="S112" s="1009" t="str">
        <f>IF(ISNUMBER('Scenario Analysis'!CI55),'Scenario Analysis'!CI55,"")</f>
        <v/>
      </c>
      <c r="T112" s="1009" t="str">
        <f>IF(ISNUMBER('Scenario Analysis'!CJ55),'Scenario Analysis'!CJ55,"")</f>
        <v/>
      </c>
      <c r="U112" s="1010" t="str">
        <f>IF(ISNUMBER('Scenario Analysis'!CK55),'Scenario Analysis'!CK55,"")</f>
        <v/>
      </c>
      <c r="Y112" s="1546"/>
      <c r="AJ112" s="1384"/>
    </row>
    <row r="113" spans="9:36" x14ac:dyDescent="0.25">
      <c r="I113" s="4132"/>
      <c r="J113" s="256" t="str">
        <f>'Scenario Identification'!DI$72</f>
        <v>Equipment Rupture - Detonation/Deflagration</v>
      </c>
      <c r="K113" s="1008" t="str">
        <f>IF(ISNUMBER('Scenario Analysis'!CA56),'Scenario Analysis'!CA56,"")</f>
        <v/>
      </c>
      <c r="L113" s="1009" t="str">
        <f>IF(ISNUMBER('Scenario Analysis'!CB56),'Scenario Analysis'!CB56,"")</f>
        <v/>
      </c>
      <c r="M113" s="1009" t="str">
        <f>IF(ISNUMBER('Scenario Analysis'!CC56),'Scenario Analysis'!CC56,"")</f>
        <v/>
      </c>
      <c r="N113" s="1009" t="str">
        <f>IF(ISNUMBER('Scenario Analysis'!CD56),'Scenario Analysis'!CD56,"")</f>
        <v/>
      </c>
      <c r="O113" s="1009" t="str">
        <f>IF(ISNUMBER('Scenario Analysis'!CE56),'Scenario Analysis'!CE56,"")</f>
        <v/>
      </c>
      <c r="P113" s="1009" t="str">
        <f>IF(ISNUMBER('Scenario Analysis'!CF56),'Scenario Analysis'!CF56,"")</f>
        <v/>
      </c>
      <c r="Q113" s="1009" t="str">
        <f>IF(ISNUMBER('Scenario Analysis'!CG56),'Scenario Analysis'!CG56,"")</f>
        <v/>
      </c>
      <c r="R113" s="1009" t="str">
        <f>IF(ISNUMBER('Scenario Analysis'!CH56),'Scenario Analysis'!CH56,"")</f>
        <v/>
      </c>
      <c r="S113" s="1009" t="str">
        <f>IF(ISNUMBER('Scenario Analysis'!CI56),'Scenario Analysis'!CI56,"")</f>
        <v/>
      </c>
      <c r="T113" s="1009" t="str">
        <f>IF(ISNUMBER('Scenario Analysis'!CJ56),'Scenario Analysis'!CJ56,"")</f>
        <v/>
      </c>
      <c r="U113" s="1010" t="str">
        <f>IF(ISNUMBER('Scenario Analysis'!CK56),'Scenario Analysis'!CK56,"")</f>
        <v/>
      </c>
      <c r="Y113" s="1546"/>
      <c r="AJ113" s="1384"/>
    </row>
    <row r="114" spans="9:36" ht="13.5" thickBot="1" x14ac:dyDescent="0.3">
      <c r="I114" s="4133"/>
      <c r="J114" s="257" t="str">
        <f>'Scenario Identification'!DJ72</f>
        <v>USER DEFINED LOSS EVENT</v>
      </c>
      <c r="K114" s="1008" t="str">
        <f>IF(ISNUMBER('Scenario Analysis'!CA57),'Scenario Analysis'!CA57,"")</f>
        <v/>
      </c>
      <c r="L114" s="1009" t="str">
        <f>IF(ISNUMBER('Scenario Analysis'!CB57),'Scenario Analysis'!CB57,"")</f>
        <v/>
      </c>
      <c r="M114" s="1009" t="str">
        <f>IF(ISNUMBER('Scenario Analysis'!CC57),'Scenario Analysis'!CC57,"")</f>
        <v/>
      </c>
      <c r="N114" s="1009" t="str">
        <f>IF(ISNUMBER('Scenario Analysis'!CD57),'Scenario Analysis'!CD57,"")</f>
        <v/>
      </c>
      <c r="O114" s="1009" t="str">
        <f>IF(ISNUMBER('Scenario Analysis'!CE57),'Scenario Analysis'!CE57,"")</f>
        <v/>
      </c>
      <c r="P114" s="1009" t="str">
        <f>IF(ISNUMBER('Scenario Analysis'!CF57),'Scenario Analysis'!CF57,"")</f>
        <v/>
      </c>
      <c r="Q114" s="1009" t="str">
        <f>IF(ISNUMBER('Scenario Analysis'!CG57),'Scenario Analysis'!CG57,"")</f>
        <v/>
      </c>
      <c r="R114" s="1009" t="str">
        <f>IF(ISNUMBER('Scenario Analysis'!CH57),'Scenario Analysis'!CH57,"")</f>
        <v/>
      </c>
      <c r="S114" s="1009" t="str">
        <f>IF(ISNUMBER('Scenario Analysis'!CI57),'Scenario Analysis'!CI57,"")</f>
        <v/>
      </c>
      <c r="T114" s="1009" t="str">
        <f>IF(ISNUMBER('Scenario Analysis'!CJ57),'Scenario Analysis'!CJ57,"")</f>
        <v/>
      </c>
      <c r="U114" s="1010" t="str">
        <f>IF(ISNUMBER('Scenario Analysis'!CK57),'Scenario Analysis'!CK57,"")</f>
        <v/>
      </c>
      <c r="Y114" s="1546"/>
      <c r="AJ114" s="1384"/>
    </row>
    <row r="115" spans="9:36" x14ac:dyDescent="0.25">
      <c r="J115" s="9" t="s">
        <v>852</v>
      </c>
      <c r="Y115" s="1546"/>
      <c r="AJ115" s="1384"/>
    </row>
    <row r="116" spans="9:36" x14ac:dyDescent="0.25">
      <c r="J116" s="9"/>
      <c r="AJ116" s="1384"/>
    </row>
    <row r="117" spans="9:36" x14ac:dyDescent="0.25">
      <c r="AJ117" s="1384"/>
    </row>
    <row r="118" spans="9:36" x14ac:dyDescent="0.25">
      <c r="AJ118" s="1384"/>
    </row>
    <row r="119" spans="9:36" x14ac:dyDescent="0.25">
      <c r="AJ119" s="1384"/>
    </row>
    <row r="120" spans="9:36" x14ac:dyDescent="0.25">
      <c r="AJ120" s="1384"/>
    </row>
    <row r="121" spans="9:36" x14ac:dyDescent="0.25">
      <c r="AJ121" s="1384"/>
    </row>
  </sheetData>
  <sheetProtection sheet="1" objects="1" scenarios="1"/>
  <mergeCells count="145">
    <mergeCell ref="I62:I114"/>
    <mergeCell ref="B35:C35"/>
    <mergeCell ref="S33:V33"/>
    <mergeCell ref="O30:R30"/>
    <mergeCell ref="O17:R17"/>
    <mergeCell ref="O18:R18"/>
    <mergeCell ref="O19:R19"/>
    <mergeCell ref="O32:R32"/>
    <mergeCell ref="O26:R26"/>
    <mergeCell ref="O27:R27"/>
    <mergeCell ref="S25:V25"/>
    <mergeCell ref="S22:V22"/>
    <mergeCell ref="S17:V17"/>
    <mergeCell ref="S18:V18"/>
    <mergeCell ref="S19:V19"/>
    <mergeCell ref="S28:V28"/>
    <mergeCell ref="S29:V29"/>
    <mergeCell ref="S30:V30"/>
    <mergeCell ref="S32:V32"/>
    <mergeCell ref="S39:V39"/>
    <mergeCell ref="S34:V34"/>
    <mergeCell ref="S45:V45"/>
    <mergeCell ref="S42:V42"/>
    <mergeCell ref="R53:R61"/>
    <mergeCell ref="B8:B9"/>
    <mergeCell ref="B33:F34"/>
    <mergeCell ref="C22:F24"/>
    <mergeCell ref="C25:F27"/>
    <mergeCell ref="B22:B24"/>
    <mergeCell ref="B25:B27"/>
    <mergeCell ref="C15:F16"/>
    <mergeCell ref="B15:B16"/>
    <mergeCell ref="C10:F11"/>
    <mergeCell ref="B10:B11"/>
    <mergeCell ref="C17:E17"/>
    <mergeCell ref="B20:B21"/>
    <mergeCell ref="C20:F21"/>
    <mergeCell ref="B28:B30"/>
    <mergeCell ref="C28:F30"/>
    <mergeCell ref="B12:B14"/>
    <mergeCell ref="B31:B32"/>
    <mergeCell ref="S53:S61"/>
    <mergeCell ref="O45:R45"/>
    <mergeCell ref="O49:R49"/>
    <mergeCell ref="O42:R42"/>
    <mergeCell ref="S49:V49"/>
    <mergeCell ref="O43:R43"/>
    <mergeCell ref="S43:V43"/>
    <mergeCell ref="T53:T61"/>
    <mergeCell ref="K52:U52"/>
    <mergeCell ref="U53:U61"/>
    <mergeCell ref="N53:N61"/>
    <mergeCell ref="Q53:Q61"/>
    <mergeCell ref="O50:R50"/>
    <mergeCell ref="O44:R44"/>
    <mergeCell ref="O46:R46"/>
    <mergeCell ref="S44:V44"/>
    <mergeCell ref="S46:V46"/>
    <mergeCell ref="S47:V47"/>
    <mergeCell ref="S48:V48"/>
    <mergeCell ref="S50:V50"/>
    <mergeCell ref="O1:R1"/>
    <mergeCell ref="O6:R6"/>
    <mergeCell ref="S1:V1"/>
    <mergeCell ref="S2:V2"/>
    <mergeCell ref="S6:V6"/>
    <mergeCell ref="O4:R4"/>
    <mergeCell ref="S4:V4"/>
    <mergeCell ref="O2:R2"/>
    <mergeCell ref="O22:R22"/>
    <mergeCell ref="S12:V12"/>
    <mergeCell ref="S10:V10"/>
    <mergeCell ref="O16:R16"/>
    <mergeCell ref="S16:V16"/>
    <mergeCell ref="O20:R20"/>
    <mergeCell ref="S20:V20"/>
    <mergeCell ref="O11:R11"/>
    <mergeCell ref="S11:V11"/>
    <mergeCell ref="O14:R14"/>
    <mergeCell ref="S15:V15"/>
    <mergeCell ref="O7:R7"/>
    <mergeCell ref="O3:R3"/>
    <mergeCell ref="S7:V7"/>
    <mergeCell ref="S8:V8"/>
    <mergeCell ref="O5:R5"/>
    <mergeCell ref="I52:J61"/>
    <mergeCell ref="P53:P61"/>
    <mergeCell ref="O53:O61"/>
    <mergeCell ref="M53:M61"/>
    <mergeCell ref="C7:F7"/>
    <mergeCell ref="O10:R10"/>
    <mergeCell ref="O12:R12"/>
    <mergeCell ref="O47:R47"/>
    <mergeCell ref="O48:R48"/>
    <mergeCell ref="K53:K61"/>
    <mergeCell ref="O23:R23"/>
    <mergeCell ref="C8:F9"/>
    <mergeCell ref="B37:C37"/>
    <mergeCell ref="B40:C40"/>
    <mergeCell ref="B38:C38"/>
    <mergeCell ref="O33:R33"/>
    <mergeCell ref="B36:C36"/>
    <mergeCell ref="C12:F14"/>
    <mergeCell ref="C31:F32"/>
    <mergeCell ref="C19:E19"/>
    <mergeCell ref="L53:L61"/>
    <mergeCell ref="O40:R40"/>
    <mergeCell ref="O25:R25"/>
    <mergeCell ref="O39:R39"/>
    <mergeCell ref="S3:V3"/>
    <mergeCell ref="C2:F2"/>
    <mergeCell ref="C3:F3"/>
    <mergeCell ref="C5:F5"/>
    <mergeCell ref="O41:R41"/>
    <mergeCell ref="S26:V26"/>
    <mergeCell ref="S41:V41"/>
    <mergeCell ref="S35:V35"/>
    <mergeCell ref="S31:V31"/>
    <mergeCell ref="O35:R35"/>
    <mergeCell ref="S27:V27"/>
    <mergeCell ref="O36:R36"/>
    <mergeCell ref="O38:R38"/>
    <mergeCell ref="S36:V36"/>
    <mergeCell ref="S37:V37"/>
    <mergeCell ref="S38:V38"/>
    <mergeCell ref="O37:R37"/>
    <mergeCell ref="O34:R34"/>
    <mergeCell ref="O29:R29"/>
    <mergeCell ref="C18:E18"/>
    <mergeCell ref="S5:V5"/>
    <mergeCell ref="O8:R8"/>
    <mergeCell ref="S23:V23"/>
    <mergeCell ref="S14:V14"/>
    <mergeCell ref="O15:R15"/>
    <mergeCell ref="O9:R9"/>
    <mergeCell ref="S9:V9"/>
    <mergeCell ref="O13:R13"/>
    <mergeCell ref="S13:V13"/>
    <mergeCell ref="O21:R21"/>
    <mergeCell ref="S21:V21"/>
    <mergeCell ref="O24:R24"/>
    <mergeCell ref="S40:V40"/>
    <mergeCell ref="O31:R31"/>
    <mergeCell ref="S24:V24"/>
    <mergeCell ref="O28:R28"/>
  </mergeCells>
  <phoneticPr fontId="3" type="noConversion"/>
  <conditionalFormatting sqref="F17:F19">
    <cfRule type="expression" dxfId="379" priority="122" stopIfTrue="1">
      <formula>IF($B$17&lt;&gt;"",TRUE,FALSE)</formula>
    </cfRule>
  </conditionalFormatting>
  <conditionalFormatting sqref="K75:U114 K62:U72">
    <cfRule type="expression" dxfId="378" priority="106" stopIfTrue="1">
      <formula>IF(K$53=User_Outcome,TRUE,FALSE)</formula>
    </cfRule>
  </conditionalFormatting>
  <conditionalFormatting sqref="K53">
    <cfRule type="expression" dxfId="377" priority="108" stopIfTrue="1">
      <formula>IF(K$53=User_Outcome,TRUE,FALSE)</formula>
    </cfRule>
  </conditionalFormatting>
  <conditionalFormatting sqref="L53:U53">
    <cfRule type="expression" dxfId="376" priority="107" stopIfTrue="1">
      <formula>IF(L$53=User_Outcome,TRUE,FALSE)</formula>
    </cfRule>
  </conditionalFormatting>
  <conditionalFormatting sqref="K75:U114 K62:U72">
    <cfRule type="expression" dxfId="375" priority="93">
      <formula>IF($J62=User_Incident_Entered,TRUE,FALSE)</formula>
    </cfRule>
  </conditionalFormatting>
  <conditionalFormatting sqref="L96:U96">
    <cfRule type="expression" dxfId="374" priority="92" stopIfTrue="1">
      <formula>IF(L$53=User_Outcome,TRUE,FALSE)</formula>
    </cfRule>
  </conditionalFormatting>
  <conditionalFormatting sqref="L96:U96">
    <cfRule type="expression" dxfId="373" priority="91">
      <formula>IF($J96=User_Incident_Entered,TRUE,FALSE)</formula>
    </cfRule>
  </conditionalFormatting>
  <conditionalFormatting sqref="K97:K114">
    <cfRule type="expression" dxfId="372" priority="90" stopIfTrue="1">
      <formula>IF(K$53=User_Outcome,TRUE,FALSE)</formula>
    </cfRule>
  </conditionalFormatting>
  <conditionalFormatting sqref="K97:K114">
    <cfRule type="expression" dxfId="371" priority="89">
      <formula>IF($J97=User_Incident_Entered,TRUE,FALSE)</formula>
    </cfRule>
  </conditionalFormatting>
  <conditionalFormatting sqref="L97:U114">
    <cfRule type="expression" dxfId="370" priority="88" stopIfTrue="1">
      <formula>IF(L$53=User_Outcome,TRUE,FALSE)</formula>
    </cfRule>
  </conditionalFormatting>
  <conditionalFormatting sqref="L97:U114">
    <cfRule type="expression" dxfId="369" priority="87">
      <formula>IF($J97=User_Incident_Entered,TRUE,FALSE)</formula>
    </cfRule>
  </conditionalFormatting>
  <conditionalFormatting sqref="K75:U114 K62:U72">
    <cfRule type="cellIs" dxfId="368" priority="111" operator="equal">
      <formula>""</formula>
    </cfRule>
  </conditionalFormatting>
  <conditionalFormatting sqref="C22">
    <cfRule type="expression" dxfId="367" priority="21">
      <formula>IF(ISERROR($C$22),TRUE,FALSE)</formula>
    </cfRule>
  </conditionalFormatting>
  <conditionalFormatting sqref="C25">
    <cfRule type="expression" dxfId="366" priority="20">
      <formula>IF(ISERROR($C$25),TRUE,FALSE)</formula>
    </cfRule>
  </conditionalFormatting>
  <conditionalFormatting sqref="J75:J113 J62:J72">
    <cfRule type="cellIs" dxfId="365" priority="129" stopIfTrue="1" operator="equal">
      <formula>$C$15</formula>
    </cfRule>
  </conditionalFormatting>
  <conditionalFormatting sqref="S2:V6 S8:V16 S20:V27 S31:V31 S46:V48 S45 S50:V50 S35:V44">
    <cfRule type="expression" dxfId="364" priority="132">
      <formula>IF($C$15="USER DEFINED INCIDENT",TRUE,FALSE)</formula>
    </cfRule>
  </conditionalFormatting>
  <conditionalFormatting sqref="B33:F34">
    <cfRule type="expression" dxfId="363" priority="19">
      <formula>IF(ISERROR($B$33),TRUE,FALSE)</formula>
    </cfRule>
  </conditionalFormatting>
  <conditionalFormatting sqref="S7:V7">
    <cfRule type="expression" dxfId="362" priority="17">
      <formula>IF($C$15="USER DEFINED INCIDENT",TRUE,FALSE)</formula>
    </cfRule>
  </conditionalFormatting>
  <conditionalFormatting sqref="K73:U74">
    <cfRule type="expression" dxfId="361" priority="14" stopIfTrue="1">
      <formula>IF(K$53=User_Outcome,TRUE,FALSE)</formula>
    </cfRule>
  </conditionalFormatting>
  <conditionalFormatting sqref="K73:U74">
    <cfRule type="expression" dxfId="360" priority="13">
      <formula>IF($J73=User_Incident_Entered,TRUE,FALSE)</formula>
    </cfRule>
  </conditionalFormatting>
  <conditionalFormatting sqref="K73:U74">
    <cfRule type="cellIs" dxfId="359" priority="15" operator="equal">
      <formula>""</formula>
    </cfRule>
  </conditionalFormatting>
  <conditionalFormatting sqref="J73:J74">
    <cfRule type="cellIs" dxfId="358" priority="16" stopIfTrue="1" operator="equal">
      <formula>$C$15</formula>
    </cfRule>
  </conditionalFormatting>
  <conditionalFormatting sqref="S32:V32">
    <cfRule type="expression" dxfId="357" priority="12">
      <formula>IF($C$15="USER DEFINED INCIDENT",TRUE,FALSE)</formula>
    </cfRule>
  </conditionalFormatting>
  <conditionalFormatting sqref="S17:V17">
    <cfRule type="expression" dxfId="356" priority="11">
      <formula>IF($C$15="USER DEFINED INCIDENT",TRUE,FALSE)</formula>
    </cfRule>
  </conditionalFormatting>
  <conditionalFormatting sqref="S18:V18">
    <cfRule type="expression" dxfId="355" priority="10">
      <formula>IF($C$15="USER DEFINED INCIDENT",TRUE,FALSE)</formula>
    </cfRule>
  </conditionalFormatting>
  <conditionalFormatting sqref="S19:V19">
    <cfRule type="expression" dxfId="354" priority="9">
      <formula>IF($C$15="USER DEFINED INCIDENT",TRUE,FALSE)</formula>
    </cfRule>
  </conditionalFormatting>
  <conditionalFormatting sqref="S28:V28">
    <cfRule type="expression" dxfId="353" priority="8">
      <formula>IF($C$15="USER DEFINED INCIDENT",TRUE,FALSE)</formula>
    </cfRule>
  </conditionalFormatting>
  <conditionalFormatting sqref="S29:V29">
    <cfRule type="expression" dxfId="352" priority="7">
      <formula>IF($C$15="USER DEFINED INCIDENT",TRUE,FALSE)</formula>
    </cfRule>
  </conditionalFormatting>
  <conditionalFormatting sqref="S30:V30">
    <cfRule type="expression" dxfId="351" priority="6">
      <formula>IF($C$15="USER DEFINED INCIDENT",TRUE,FALSE)</formula>
    </cfRule>
  </conditionalFormatting>
  <conditionalFormatting sqref="S49:V49">
    <cfRule type="expression" dxfId="350" priority="5">
      <formula>IF($C$15="USER DEFINED INCIDENT",TRUE,FALSE)</formula>
    </cfRule>
  </conditionalFormatting>
  <conditionalFormatting sqref="S33:V33">
    <cfRule type="expression" dxfId="349" priority="4">
      <formula>IF($C$15="USER DEFINED INCIDENT",TRUE,FALSE)</formula>
    </cfRule>
  </conditionalFormatting>
  <conditionalFormatting sqref="S34:V34">
    <cfRule type="expression" dxfId="348" priority="3">
      <formula>IF($C$15="USER DEFINED INCIDENT",TRUE,FALSE)</formula>
    </cfRule>
  </conditionalFormatting>
  <conditionalFormatting sqref="C18:E19">
    <cfRule type="expression" dxfId="347" priority="2">
      <formula>IF($C$15="USER DEFINED VAPOR VENT RATE at Relief Temp",TRUE,FALSE)</formula>
    </cfRule>
  </conditionalFormatting>
  <conditionalFormatting sqref="C17:E19">
    <cfRule type="expression" dxfId="346" priority="1">
      <formula>IF($C$15="USER DEFINED LOSS EVENT",TRUE,FALSE)</formula>
    </cfRule>
  </conditionalFormatting>
  <dataValidations count="6">
    <dataValidation type="list" allowBlank="1" showInputMessage="1" showErrorMessage="1" sqref="C20" xr:uid="{00000000-0002-0000-1600-000000000000}">
      <formula1>Results_TF</formula1>
    </dataValidation>
    <dataValidation type="list" allowBlank="1" showInputMessage="1" showErrorMessage="1" sqref="C15" xr:uid="{00000000-0002-0000-1600-000001000000}">
      <formula1>Incident_Explicit</formula1>
    </dataValidation>
    <dataValidation type="list" allowBlank="1" showInputMessage="1" showErrorMessage="1" sqref="C10" xr:uid="{00000000-0002-0000-1600-000002000000}">
      <formula1>Initiating_Event</formula1>
    </dataValidation>
    <dataValidation type="list" allowBlank="1" showInputMessage="1" showErrorMessage="1" sqref="S5:V5" xr:uid="{00000000-0002-0000-1600-000003000000}">
      <formula1>Location_List</formula1>
    </dataValidation>
    <dataValidation type="list" allowBlank="1" showInputMessage="1" showErrorMessage="1" sqref="C8" xr:uid="{00000000-0002-0000-1600-000004000000}">
      <formula1>Scenario_Type</formula1>
    </dataValidation>
    <dataValidation type="list" allowBlank="1" showInputMessage="1" showErrorMessage="1" sqref="C31:F32" xr:uid="{00000000-0002-0000-1600-000005000000}">
      <formula1>Consequence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8561" r:id="rId4" name="Button 193">
              <controlPr defaultSize="0" print="0" autoFill="0" autoPict="0" macro="[0]!Save_Scenario">
                <anchor moveWithCells="1" sizeWithCells="1">
                  <from>
                    <xdr:col>1</xdr:col>
                    <xdr:colOff>812800</xdr:colOff>
                    <xdr:row>41</xdr:row>
                    <xdr:rowOff>76200</xdr:rowOff>
                  </from>
                  <to>
                    <xdr:col>2</xdr:col>
                    <xdr:colOff>69850</xdr:colOff>
                    <xdr:row>42</xdr:row>
                    <xdr:rowOff>107950</xdr:rowOff>
                  </to>
                </anchor>
              </controlPr>
            </control>
          </mc:Choice>
        </mc:AlternateContent>
        <mc:AlternateContent xmlns:mc="http://schemas.openxmlformats.org/markup-compatibility/2006">
          <mc:Choice Requires="x14">
            <control shapeId="58562" r:id="rId5" name="Button 194">
              <controlPr defaultSize="0" print="0" autoFill="0" autoPict="0" macro="[0]!Cancel_User_Scenario">
                <anchor moveWithCells="1" sizeWithCells="1">
                  <from>
                    <xdr:col>2</xdr:col>
                    <xdr:colOff>152400</xdr:colOff>
                    <xdr:row>41</xdr:row>
                    <xdr:rowOff>76200</xdr:rowOff>
                  </from>
                  <to>
                    <xdr:col>5</xdr:col>
                    <xdr:colOff>127000</xdr:colOff>
                    <xdr:row>42</xdr:row>
                    <xdr:rowOff>107950</xdr:rowOff>
                  </to>
                </anchor>
              </controlPr>
            </control>
          </mc:Choice>
        </mc:AlternateContent>
        <mc:AlternateContent xmlns:mc="http://schemas.openxmlformats.org/markup-compatibility/2006">
          <mc:Choice Requires="x14">
            <control shapeId="58563" r:id="rId6" name="Button 195">
              <controlPr defaultSize="0" print="0" autoFill="0" autoPict="0" macro="[0]!Clear_User_Scenario_Inputs">
                <anchor moveWithCells="1" sizeWithCells="1">
                  <from>
                    <xdr:col>1</xdr:col>
                    <xdr:colOff>0</xdr:colOff>
                    <xdr:row>41</xdr:row>
                    <xdr:rowOff>76200</xdr:rowOff>
                  </from>
                  <to>
                    <xdr:col>1</xdr:col>
                    <xdr:colOff>641350</xdr:colOff>
                    <xdr:row>42</xdr:row>
                    <xdr:rowOff>107950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
    <tabColor rgb="FFFF0000"/>
    <pageSetUpPr autoPageBreaks="0"/>
  </sheetPr>
  <dimension ref="A1:HL61"/>
  <sheetViews>
    <sheetView showGridLines="0" zoomScale="80" zoomScaleNormal="80" workbookViewId="0">
      <pane xSplit="4" ySplit="4" topLeftCell="E5" activePane="bottomRight" state="frozenSplit"/>
      <selection pane="topRight" activeCell="D1" sqref="D1"/>
      <selection pane="bottomLeft" activeCell="A5" sqref="A5"/>
      <selection pane="bottomRight" activeCell="C8" sqref="C8"/>
    </sheetView>
  </sheetViews>
  <sheetFormatPr defaultColWidth="9.1796875" defaultRowHeight="13" x14ac:dyDescent="0.25"/>
  <cols>
    <col min="1" max="1" width="1.1796875" style="26" customWidth="1"/>
    <col min="2" max="2" width="61.453125" style="26" customWidth="1"/>
    <col min="3" max="3" width="18.453125" style="26" customWidth="1"/>
    <col min="4" max="4" width="5.1796875" style="26" customWidth="1"/>
    <col min="5" max="5" width="8.1796875" style="26" customWidth="1"/>
    <col min="6" max="6" width="17.81640625" style="26" customWidth="1"/>
    <col min="7" max="7" width="14.453125" style="26" customWidth="1"/>
    <col min="8" max="8" width="5" style="26" customWidth="1"/>
    <col min="9" max="9" width="11.81640625" style="26" customWidth="1"/>
    <col min="10" max="10" width="5.453125" style="26" customWidth="1"/>
    <col min="11" max="11" width="11.81640625" style="26" customWidth="1"/>
    <col min="12" max="12" width="12" style="26" bestFit="1" customWidth="1"/>
    <col min="13" max="13" width="5.453125" style="26" customWidth="1"/>
    <col min="14" max="14" width="28.81640625" style="26" customWidth="1"/>
    <col min="15" max="15" width="12" style="26" customWidth="1"/>
    <col min="16" max="16" width="11.453125" style="26" customWidth="1"/>
    <col min="17" max="17" width="5.453125" style="26" customWidth="1"/>
    <col min="18" max="18" width="12" style="26" customWidth="1"/>
    <col min="19" max="19" width="7.1796875" style="40" customWidth="1"/>
    <col min="20" max="22" width="12" style="26" customWidth="1"/>
    <col min="23" max="23" width="6.453125" style="26" customWidth="1"/>
    <col min="24" max="30" width="12" style="26" customWidth="1"/>
    <col min="31" max="31" width="10" style="26" customWidth="1"/>
    <col min="32" max="32" width="5.81640625" style="26" customWidth="1"/>
    <col min="33" max="33" width="15.81640625" style="26" customWidth="1"/>
    <col min="34" max="34" width="6.81640625" style="26" customWidth="1"/>
    <col min="35" max="35" width="9" style="26" customWidth="1"/>
    <col min="36" max="36" width="5.1796875" style="26" customWidth="1"/>
    <col min="37" max="37" width="8.81640625" style="26" customWidth="1"/>
    <col min="38" max="38" width="4.81640625" style="26" customWidth="1"/>
    <col min="39" max="39" width="8.81640625" style="26" customWidth="1"/>
    <col min="40" max="47" width="9.453125" style="26" customWidth="1"/>
    <col min="48" max="48" width="9.81640625" style="26" bestFit="1" customWidth="1"/>
    <col min="49" max="51" width="9.81640625" style="26" customWidth="1"/>
    <col min="52" max="55" width="10.81640625" style="19" customWidth="1"/>
    <col min="56" max="56" width="10.1796875" style="19" customWidth="1"/>
    <col min="57" max="57" width="4.453125" style="19" customWidth="1"/>
    <col min="58" max="58" width="8.81640625" style="26" customWidth="1"/>
    <col min="59" max="59" width="5" style="26" customWidth="1"/>
    <col min="60" max="60" width="8.81640625" style="26" customWidth="1"/>
    <col min="61" max="61" width="5" style="26" customWidth="1"/>
    <col min="62" max="62" width="8.81640625" style="26" customWidth="1"/>
    <col min="63" max="65" width="4.81640625" style="26" customWidth="1"/>
    <col min="66" max="67" width="8.81640625" style="26" customWidth="1"/>
    <col min="68" max="68" width="10.81640625" style="26" customWidth="1"/>
    <col min="69" max="69" width="7.453125" style="26" customWidth="1"/>
    <col min="70" max="70" width="8.81640625" style="26" customWidth="1"/>
    <col min="71" max="71" width="4.453125" style="26" customWidth="1"/>
    <col min="72" max="73" width="8.81640625" style="26" customWidth="1"/>
    <col min="74" max="74" width="11.81640625" style="26" customWidth="1"/>
    <col min="75" max="75" width="5.1796875" style="26" customWidth="1"/>
    <col min="76" max="76" width="3" style="30" customWidth="1"/>
    <col min="77" max="77" width="8.81640625" style="30" customWidth="1"/>
    <col min="78" max="78" width="3.1796875" style="26" customWidth="1"/>
    <col min="79" max="80" width="4.81640625" style="26" customWidth="1"/>
    <col min="81" max="81" width="3.81640625" style="26" customWidth="1"/>
    <col min="82" max="82" width="4.1796875" style="26" bestFit="1" customWidth="1"/>
    <col min="83" max="83" width="4.81640625" style="26" customWidth="1"/>
    <col min="84" max="85" width="4.1796875" style="26" customWidth="1"/>
    <col min="86" max="89" width="4.81640625" style="26" customWidth="1"/>
    <col min="90" max="90" width="1.1796875" style="26" customWidth="1"/>
    <col min="91" max="91" width="4.1796875" style="26" customWidth="1"/>
    <col min="92" max="92" width="3.1796875" style="26" customWidth="1"/>
    <col min="93" max="93" width="4" style="26" customWidth="1"/>
    <col min="94" max="94" width="3.81640625" style="26" customWidth="1"/>
    <col min="95" max="95" width="3.1796875" style="26" customWidth="1"/>
    <col min="96" max="103" width="3.81640625" style="26" customWidth="1"/>
    <col min="104" max="105" width="3.453125" style="26" customWidth="1"/>
    <col min="106" max="106" width="3.81640625" style="26" customWidth="1"/>
    <col min="107" max="107" width="3.1796875" style="26" customWidth="1"/>
    <col min="108" max="108" width="4.1796875" style="26" customWidth="1"/>
    <col min="109" max="109" width="3.453125" style="26" customWidth="1"/>
    <col min="110" max="110" width="3.1796875" style="26" customWidth="1"/>
    <col min="111" max="111" width="3.453125" style="26" customWidth="1"/>
    <col min="112" max="112" width="2.54296875" style="26" customWidth="1"/>
    <col min="113" max="114" width="3.81640625" style="26" customWidth="1"/>
    <col min="115" max="116" width="3.1796875" style="26" customWidth="1"/>
    <col min="117" max="140" width="3.81640625" style="26" customWidth="1"/>
    <col min="141" max="141" width="4.54296875" style="26" customWidth="1"/>
    <col min="142" max="143" width="3.81640625" style="26" customWidth="1"/>
    <col min="144" max="144" width="3.453125" style="26" customWidth="1"/>
    <col min="145" max="147" width="3.81640625" style="26" customWidth="1"/>
    <col min="148" max="148" width="3" style="26" customWidth="1"/>
    <col min="149" max="151" width="3.81640625" style="26" customWidth="1"/>
    <col min="152" max="152" width="4.1796875" style="19" bestFit="1" customWidth="1"/>
    <col min="153" max="154" width="8.453125" style="19" customWidth="1"/>
    <col min="155" max="155" width="4.1796875" style="19" bestFit="1" customWidth="1"/>
    <col min="156" max="157" width="8.453125" style="19" customWidth="1"/>
    <col min="158" max="159" width="4.1796875" style="19" bestFit="1" customWidth="1"/>
    <col min="160" max="160" width="7.1796875" style="19" customWidth="1"/>
    <col min="161" max="162" width="4.1796875" style="19" bestFit="1" customWidth="1"/>
    <col min="163" max="167" width="3.81640625" style="26" customWidth="1"/>
    <col min="168" max="168" width="3.1796875" style="19" customWidth="1"/>
    <col min="169" max="169" width="3.81640625" style="19" customWidth="1"/>
    <col min="170" max="170" width="3.1796875" style="19" customWidth="1"/>
    <col min="171" max="171" width="3.81640625" style="19" customWidth="1"/>
    <col min="172" max="192" width="3.81640625" style="26" customWidth="1"/>
    <col min="193" max="193" width="3.54296875" style="19" customWidth="1"/>
    <col min="194" max="194" width="3.26953125" style="26" customWidth="1"/>
    <col min="195" max="195" width="4" style="26" customWidth="1"/>
    <col min="196" max="197" width="3.81640625" style="26" customWidth="1"/>
    <col min="198" max="198" width="3.1796875" style="26" customWidth="1"/>
    <col min="199" max="199" width="3.81640625" style="26" customWidth="1"/>
    <col min="200" max="200" width="39.453125" style="26" customWidth="1"/>
    <col min="201" max="202" width="3.81640625" style="26" customWidth="1"/>
    <col min="203" max="203" width="54.81640625" style="26" customWidth="1"/>
    <col min="204" max="204" width="6.81640625" style="26" customWidth="1"/>
    <col min="205" max="205" width="5.1796875" style="26" customWidth="1"/>
    <col min="206" max="206" width="5.1796875" style="26" bestFit="1" customWidth="1"/>
    <col min="207" max="217" width="5.1796875" style="26" customWidth="1"/>
    <col min="218" max="16384" width="9.1796875" style="26"/>
  </cols>
  <sheetData>
    <row r="1" spans="1:217" ht="13.5" customHeight="1" x14ac:dyDescent="0.25">
      <c r="A1" s="164"/>
      <c r="C1" s="40"/>
      <c r="D1" s="40"/>
      <c r="E1" s="40"/>
      <c r="F1" s="40"/>
      <c r="G1" s="40"/>
      <c r="H1" s="40"/>
      <c r="I1" s="40"/>
      <c r="J1" s="40"/>
      <c r="K1" s="40"/>
      <c r="L1" s="40"/>
      <c r="M1" s="40"/>
      <c r="O1" s="40"/>
      <c r="P1" s="40"/>
      <c r="Q1" s="40"/>
      <c r="R1" s="40"/>
      <c r="T1" s="40"/>
      <c r="U1" s="40"/>
      <c r="V1" s="40"/>
      <c r="W1" s="40"/>
      <c r="X1" s="40"/>
      <c r="Y1" s="40"/>
      <c r="Z1" s="40"/>
      <c r="AA1" s="40"/>
      <c r="AB1" s="40"/>
      <c r="AC1" s="40"/>
      <c r="AD1" s="40"/>
      <c r="AE1" s="40"/>
      <c r="AF1" s="40"/>
      <c r="AM1" s="19"/>
      <c r="AN1" s="19"/>
      <c r="AO1" s="19"/>
      <c r="AP1" s="19"/>
      <c r="AQ1" s="19"/>
      <c r="AR1" s="19"/>
      <c r="AS1" s="19"/>
      <c r="AT1" s="19"/>
      <c r="AU1" s="19"/>
      <c r="AV1" s="19"/>
      <c r="AW1" s="19"/>
      <c r="AX1" s="19"/>
      <c r="AY1" s="19"/>
      <c r="BF1" s="132"/>
      <c r="BG1" s="132"/>
      <c r="BH1" s="19"/>
      <c r="BI1" s="19"/>
      <c r="BJ1" s="19"/>
      <c r="BK1" s="19"/>
      <c r="BL1" s="19"/>
      <c r="BM1" s="19"/>
      <c r="BN1" s="19"/>
      <c r="BO1" s="19"/>
      <c r="BP1" s="19"/>
      <c r="BQ1" s="19"/>
      <c r="BR1" s="19"/>
      <c r="BS1" s="19"/>
      <c r="BT1" s="19"/>
      <c r="BU1" s="19"/>
      <c r="BV1" s="19"/>
      <c r="BW1" s="19"/>
      <c r="BX1" s="5"/>
      <c r="BY1" s="5"/>
      <c r="BZ1" s="19"/>
      <c r="CA1" s="40"/>
      <c r="CL1" s="19"/>
      <c r="CM1" s="19"/>
      <c r="CN1" s="19"/>
      <c r="CP1" s="40"/>
      <c r="CQ1" s="40"/>
      <c r="CR1" s="40"/>
      <c r="CS1" s="40"/>
      <c r="CT1" s="40"/>
      <c r="CU1" s="40"/>
      <c r="CV1" s="40"/>
      <c r="CW1" s="40"/>
      <c r="CX1" s="40"/>
      <c r="CY1" s="40"/>
      <c r="DW1" s="40"/>
      <c r="FS1" s="40"/>
    </row>
    <row r="2" spans="1:217" s="30" customFormat="1" ht="35.25" customHeight="1" x14ac:dyDescent="0.25">
      <c r="A2" s="29"/>
      <c r="B2" s="72"/>
      <c r="C2" s="3145"/>
      <c r="D2" s="40"/>
      <c r="E2" s="4139" t="s">
        <v>593</v>
      </c>
      <c r="F2" s="4140"/>
      <c r="G2" s="4140"/>
      <c r="H2" s="4140"/>
      <c r="I2" s="4140"/>
      <c r="J2" s="4140"/>
      <c r="K2" s="4140"/>
      <c r="L2" s="4140"/>
      <c r="M2" s="4140"/>
      <c r="N2" s="4140"/>
      <c r="O2" s="4140"/>
      <c r="P2" s="4140"/>
      <c r="Q2" s="4140"/>
      <c r="R2" s="4140"/>
      <c r="S2" s="4140"/>
      <c r="T2" s="4140"/>
      <c r="U2" s="4140"/>
      <c r="V2" s="4140"/>
      <c r="W2" s="4140"/>
      <c r="X2" s="4140"/>
      <c r="Y2" s="4140"/>
      <c r="Z2" s="4140"/>
      <c r="AA2" s="4140"/>
      <c r="AB2" s="4140"/>
      <c r="AC2" s="4140"/>
      <c r="AD2" s="4140"/>
      <c r="AE2" s="4140"/>
      <c r="AF2" s="4140"/>
      <c r="AG2" s="4140"/>
      <c r="AH2" s="4140"/>
      <c r="AI2" s="4140"/>
      <c r="AJ2" s="4140"/>
      <c r="AK2" s="4140"/>
      <c r="AL2" s="4140"/>
      <c r="AM2" s="4140"/>
      <c r="AN2" s="4140"/>
      <c r="AO2" s="4140"/>
      <c r="AP2" s="4140"/>
      <c r="AQ2" s="4140"/>
      <c r="AR2" s="4140"/>
      <c r="AS2" s="4140"/>
      <c r="AT2" s="4140"/>
      <c r="AU2" s="4140"/>
      <c r="AV2" s="4140"/>
      <c r="AW2" s="4140"/>
      <c r="AX2" s="4140"/>
      <c r="AY2" s="4140"/>
      <c r="AZ2" s="4140"/>
      <c r="BA2" s="4140"/>
      <c r="BB2" s="4140"/>
      <c r="BC2" s="4140"/>
      <c r="BD2" s="4141"/>
      <c r="BE2" s="4141"/>
      <c r="BF2" s="4140"/>
      <c r="BG2" s="4140"/>
      <c r="BH2" s="4140"/>
      <c r="BI2" s="4140"/>
      <c r="BJ2" s="4140"/>
      <c r="BK2" s="4140"/>
      <c r="BL2" s="4140"/>
      <c r="BM2" s="4140"/>
      <c r="BN2" s="4140"/>
      <c r="BO2" s="4140"/>
      <c r="BP2" s="4140"/>
      <c r="BQ2" s="4140"/>
      <c r="BR2" s="4140"/>
      <c r="BS2" s="4140"/>
      <c r="BT2" s="4140"/>
      <c r="BU2" s="4140"/>
      <c r="BV2" s="4140"/>
      <c r="BW2" s="4142"/>
      <c r="BX2" s="259"/>
      <c r="BY2" s="259"/>
      <c r="BZ2" s="123"/>
      <c r="CA2" s="3794" t="s">
        <v>450</v>
      </c>
      <c r="CB2" s="3794"/>
      <c r="CC2" s="3794"/>
      <c r="CD2" s="4138"/>
      <c r="CE2" s="3794"/>
      <c r="CF2" s="3794"/>
      <c r="CG2" s="3794"/>
      <c r="CH2" s="3794"/>
      <c r="CI2" s="3794"/>
      <c r="CJ2" s="3794"/>
      <c r="CK2" s="3794"/>
      <c r="CL2" s="123"/>
      <c r="CM2" s="123"/>
      <c r="CN2" s="3794" t="s">
        <v>1833</v>
      </c>
      <c r="CO2" s="3794"/>
      <c r="CP2" s="3794"/>
      <c r="CQ2" s="4138"/>
      <c r="CR2" s="3794"/>
      <c r="CS2" s="3794"/>
      <c r="CT2" s="3794"/>
      <c r="CU2" s="3794"/>
      <c r="CV2" s="3794"/>
      <c r="CW2" s="3794"/>
      <c r="CX2" s="3794"/>
      <c r="CY2" s="29"/>
      <c r="CZ2" s="3794" t="s">
        <v>1952</v>
      </c>
      <c r="DA2" s="4030"/>
      <c r="DB2" s="4030"/>
      <c r="DC2" s="4033"/>
      <c r="DD2" s="4030"/>
      <c r="DE2" s="4030"/>
      <c r="DF2" s="4030"/>
      <c r="DG2" s="4030"/>
      <c r="DH2" s="4030"/>
      <c r="DI2" s="4030"/>
      <c r="DJ2" s="4030"/>
      <c r="DK2" s="26"/>
      <c r="DL2" s="3794" t="s">
        <v>1982</v>
      </c>
      <c r="DM2" s="3794"/>
      <c r="DN2" s="3794"/>
      <c r="DO2" s="4138"/>
      <c r="DP2" s="3794"/>
      <c r="DQ2" s="3794"/>
      <c r="DR2" s="3794"/>
      <c r="DS2" s="3794"/>
      <c r="DT2" s="3794"/>
      <c r="DU2" s="3794"/>
      <c r="DV2" s="3794"/>
      <c r="DW2" s="29"/>
      <c r="DX2" s="3794" t="s">
        <v>87</v>
      </c>
      <c r="DY2" s="4030"/>
      <c r="DZ2" s="4030"/>
      <c r="EA2" s="4033"/>
      <c r="EB2" s="4030"/>
      <c r="EC2" s="4030"/>
      <c r="ED2" s="4030"/>
      <c r="EE2" s="4030"/>
      <c r="EF2" s="4030"/>
      <c r="EG2" s="4030"/>
      <c r="EH2" s="4030"/>
      <c r="EI2" s="29"/>
      <c r="EJ2" s="3794" t="s">
        <v>237</v>
      </c>
      <c r="EK2" s="4030"/>
      <c r="EL2" s="4030"/>
      <c r="EM2" s="4033"/>
      <c r="EN2" s="4030"/>
      <c r="EO2" s="4030"/>
      <c r="EP2" s="4030"/>
      <c r="EQ2" s="4030"/>
      <c r="ER2" s="4030"/>
      <c r="ES2" s="4030"/>
      <c r="ET2" s="4030"/>
      <c r="EU2" s="29"/>
      <c r="EV2" s="3794" t="s">
        <v>3511</v>
      </c>
      <c r="EW2" s="4030"/>
      <c r="EX2" s="4030"/>
      <c r="EY2" s="4033"/>
      <c r="EZ2" s="4030"/>
      <c r="FA2" s="4030"/>
      <c r="FB2" s="4030"/>
      <c r="FC2" s="4030"/>
      <c r="FD2" s="4030"/>
      <c r="FE2" s="4030"/>
      <c r="FF2" s="4030"/>
      <c r="FG2" s="29"/>
      <c r="FH2" s="3794" t="s">
        <v>259</v>
      </c>
      <c r="FI2" s="3794"/>
      <c r="FJ2" s="3794"/>
      <c r="FK2" s="4138"/>
      <c r="FL2" s="3794"/>
      <c r="FM2" s="3794"/>
      <c r="FN2" s="3794"/>
      <c r="FO2" s="3794"/>
      <c r="FP2" s="3794"/>
      <c r="FQ2" s="3794"/>
      <c r="FR2" s="3794"/>
      <c r="FS2" s="29"/>
      <c r="FT2" s="3794" t="s">
        <v>88</v>
      </c>
      <c r="FU2" s="4030"/>
      <c r="FV2" s="4030"/>
      <c r="FW2" s="4033"/>
      <c r="FX2" s="4030"/>
      <c r="FY2" s="4030"/>
      <c r="FZ2" s="4030"/>
      <c r="GA2" s="4030"/>
      <c r="GB2" s="4030"/>
      <c r="GC2" s="4030"/>
      <c r="GD2" s="4030"/>
      <c r="GE2" s="29"/>
      <c r="GF2" s="3794" t="s">
        <v>207</v>
      </c>
      <c r="GG2" s="4030"/>
      <c r="GH2" s="4030"/>
      <c r="GI2" s="4033"/>
      <c r="GJ2" s="4030"/>
      <c r="GK2" s="4030"/>
      <c r="GL2" s="4030"/>
      <c r="GM2" s="4030"/>
      <c r="GN2" s="4030"/>
      <c r="GO2" s="4030"/>
      <c r="GP2" s="4030"/>
      <c r="GQ2" s="29"/>
      <c r="GR2" s="33"/>
      <c r="GS2" s="33"/>
      <c r="GT2" s="29"/>
      <c r="GU2" s="40"/>
      <c r="GV2" s="26"/>
      <c r="GW2" s="26"/>
      <c r="GX2" s="3794" t="s">
        <v>149</v>
      </c>
      <c r="GY2" s="3794"/>
      <c r="GZ2" s="3794"/>
      <c r="HA2" s="3794"/>
      <c r="HB2" s="4138"/>
      <c r="HC2" s="3794"/>
      <c r="HD2" s="3794"/>
      <c r="HE2" s="3794"/>
      <c r="HF2" s="3794"/>
      <c r="HG2" s="3794"/>
      <c r="HH2" s="3794"/>
      <c r="HI2" s="3794"/>
    </row>
    <row r="3" spans="1:217" s="5" customFormat="1" ht="170.25" customHeight="1" x14ac:dyDescent="0.25">
      <c r="A3" s="149"/>
      <c r="B3" s="28" t="s">
        <v>594</v>
      </c>
      <c r="C3" s="1355" t="s">
        <v>849</v>
      </c>
      <c r="D3" s="29"/>
      <c r="E3" s="2500" t="s">
        <v>4674</v>
      </c>
      <c r="F3" s="1450" t="s">
        <v>717</v>
      </c>
      <c r="G3" s="1461" t="s">
        <v>123</v>
      </c>
      <c r="H3" s="1461" t="s">
        <v>1824</v>
      </c>
      <c r="I3" s="1450" t="s">
        <v>2991</v>
      </c>
      <c r="J3" s="1450" t="s">
        <v>3259</v>
      </c>
      <c r="K3" s="1426" t="s">
        <v>3242</v>
      </c>
      <c r="L3" s="1461" t="s">
        <v>1037</v>
      </c>
      <c r="M3" s="1461" t="s">
        <v>3260</v>
      </c>
      <c r="N3" s="1423" t="s">
        <v>3243</v>
      </c>
      <c r="O3" s="1450" t="s">
        <v>3231</v>
      </c>
      <c r="P3" s="1461" t="s">
        <v>3229</v>
      </c>
      <c r="Q3" s="2275" t="s">
        <v>3261</v>
      </c>
      <c r="R3" s="1461" t="s">
        <v>3228</v>
      </c>
      <c r="S3" s="2275" t="s">
        <v>3262</v>
      </c>
      <c r="T3" s="1423" t="s">
        <v>3232</v>
      </c>
      <c r="U3" s="1450" t="s">
        <v>3233</v>
      </c>
      <c r="V3" s="2276" t="s">
        <v>3230</v>
      </c>
      <c r="W3" s="2277" t="s">
        <v>3263</v>
      </c>
      <c r="X3" s="1423" t="s">
        <v>2731</v>
      </c>
      <c r="Y3" s="1389" t="s">
        <v>4503</v>
      </c>
      <c r="Z3" s="1389" t="s">
        <v>4515</v>
      </c>
      <c r="AA3" s="2252" t="s">
        <v>3570</v>
      </c>
      <c r="AB3" s="2252" t="s">
        <v>3571</v>
      </c>
      <c r="AC3" s="2252" t="s">
        <v>3572</v>
      </c>
      <c r="AD3" s="1450" t="s">
        <v>3236</v>
      </c>
      <c r="AE3" s="2276" t="s">
        <v>1641</v>
      </c>
      <c r="AF3" s="2281" t="s">
        <v>3264</v>
      </c>
      <c r="AG3" s="2276" t="s">
        <v>3666</v>
      </c>
      <c r="AH3" s="2281" t="s">
        <v>3265</v>
      </c>
      <c r="AI3" s="2276" t="s">
        <v>4518</v>
      </c>
      <c r="AJ3" s="2281" t="s">
        <v>4516</v>
      </c>
      <c r="AK3" s="2276" t="s">
        <v>4517</v>
      </c>
      <c r="AL3" s="2281" t="s">
        <v>4519</v>
      </c>
      <c r="AM3" s="2276" t="str">
        <f>"Distance to Severe Toxic Impact (LC-50 Concentration)"</f>
        <v>Distance to Severe Toxic Impact (LC-50 Concentration)</v>
      </c>
      <c r="AN3" s="2281" t="str">
        <f>"Distance to Severe Toxic Impact (LC-50 Concentration) Units"</f>
        <v>Distance to Severe Toxic Impact (LC-50 Concentration) Units</v>
      </c>
      <c r="AO3" s="2276" t="s">
        <v>3567</v>
      </c>
      <c r="AP3" s="2281" t="s">
        <v>3566</v>
      </c>
      <c r="AQ3" s="2278" t="s">
        <v>3568</v>
      </c>
      <c r="AR3" s="2281" t="s">
        <v>3569</v>
      </c>
      <c r="AS3" s="2283" t="s">
        <v>3667</v>
      </c>
      <c r="AT3" s="2253" t="s">
        <v>3668</v>
      </c>
      <c r="AU3" s="2254" t="s">
        <v>3669</v>
      </c>
      <c r="AV3" s="1423" t="s">
        <v>4892</v>
      </c>
      <c r="AW3" s="1423" t="s">
        <v>4893</v>
      </c>
      <c r="AX3" s="2254" t="s">
        <v>4712</v>
      </c>
      <c r="AY3" s="2254" t="s">
        <v>4713</v>
      </c>
      <c r="AZ3" s="2255" t="s">
        <v>4112</v>
      </c>
      <c r="BA3" s="2255" t="s">
        <v>4119</v>
      </c>
      <c r="BB3" s="2255" t="s">
        <v>4715</v>
      </c>
      <c r="BC3" s="2284" t="s">
        <v>4716</v>
      </c>
      <c r="BD3" s="2284" t="s">
        <v>4724</v>
      </c>
      <c r="BE3" s="2583" t="s">
        <v>4732</v>
      </c>
      <c r="BF3" s="2278" t="str">
        <f>"Distance to Severe Flammable Impact ("&amp;LFL_Fract_FlashFIre&amp;" LFL, BLEVE, or Dust Fireball)"</f>
        <v>Distance to Severe Flammable Impact (0.5 LFL, BLEVE, or Dust Fireball)</v>
      </c>
      <c r="BG3" s="2281" t="s">
        <v>4733</v>
      </c>
      <c r="BH3" s="2276" t="s">
        <v>210</v>
      </c>
      <c r="BI3" s="2281" t="s">
        <v>3266</v>
      </c>
      <c r="BJ3" s="2276" t="s">
        <v>1622</v>
      </c>
      <c r="BK3" s="2281" t="s">
        <v>3267</v>
      </c>
      <c r="BL3" s="2276" t="s">
        <v>4143</v>
      </c>
      <c r="BM3" s="2281" t="s">
        <v>4810</v>
      </c>
      <c r="BN3" s="2286" t="str">
        <f>"Rupture Overpressure at  "&amp;IF(Bldg_Type="","Typical Construction",Bldg_Type)&amp;" Occupied Bldg 1"</f>
        <v>Rupture Overpressure at  Typical Construction Occupied Bldg 1</v>
      </c>
      <c r="BO3" s="2286" t="str">
        <f>"Rupture Overpressure at  "&amp;IF(Bldg_Type="","Typical Construction",Bldg_Type)&amp;" Occupied Bldg 2"</f>
        <v>Rupture Overpressure at  Typical Construction Occupied Bldg 2</v>
      </c>
      <c r="BP3" s="2276" t="s">
        <v>2938</v>
      </c>
      <c r="BQ3" s="2281" t="s">
        <v>3268</v>
      </c>
      <c r="BR3" s="2276" t="s">
        <v>236</v>
      </c>
      <c r="BS3" s="2281" t="s">
        <v>3269</v>
      </c>
      <c r="BT3" s="2283" t="str">
        <f>"Explosion Overpressure at "&amp;IF(Bldg_Type="","Typical Construction",Bldg_Type)&amp;" Occupied Bldg 1 (psi)"</f>
        <v>Explosion Overpressure at Typical Construction Occupied Bldg 1 (psi)</v>
      </c>
      <c r="BU3" s="2256" t="str">
        <f>"Explosion Overpressure at "&amp;IF(Bldg_Type="","Typical Construction",Bldg_Type)&amp;" Occupied Bldg 2 (psi)"</f>
        <v>Explosion Overpressure at Typical Construction Occupied Bldg 2 (psi)</v>
      </c>
      <c r="BV3" s="2257" t="s">
        <v>1017</v>
      </c>
      <c r="BW3" s="2285" t="s">
        <v>3270</v>
      </c>
      <c r="BX3" s="260"/>
      <c r="BY3" s="260"/>
      <c r="BZ3" s="123"/>
      <c r="CA3" s="190" t="s">
        <v>1100</v>
      </c>
      <c r="CB3" s="190" t="s">
        <v>2039</v>
      </c>
      <c r="CC3" s="190" t="s">
        <v>1101</v>
      </c>
      <c r="CD3" s="734" t="s">
        <v>2552</v>
      </c>
      <c r="CE3" s="190" t="s">
        <v>1193</v>
      </c>
      <c r="CF3" s="190" t="s">
        <v>4140</v>
      </c>
      <c r="CG3" s="190" t="s">
        <v>1740</v>
      </c>
      <c r="CH3" s="190" t="s">
        <v>1741</v>
      </c>
      <c r="CI3" s="190" t="s">
        <v>1959</v>
      </c>
      <c r="CJ3" s="190" t="s">
        <v>1728</v>
      </c>
      <c r="CK3" s="190" t="s">
        <v>1664</v>
      </c>
      <c r="CL3" s="149"/>
      <c r="CM3" s="149"/>
      <c r="CN3" s="190" t="str">
        <f>CA3</f>
        <v>Off-Site Toxic Release</v>
      </c>
      <c r="CO3" s="190" t="str">
        <f>CB3</f>
        <v>On-Site Toxic Release</v>
      </c>
      <c r="CP3" s="190" t="str">
        <f>CC3</f>
        <v>Indoor Toxic Release</v>
      </c>
      <c r="CQ3" s="190" t="str">
        <f>CD3</f>
        <v>Toxic Infiltration</v>
      </c>
      <c r="CR3" s="190" t="str">
        <f>CE3</f>
        <v>Chemical Exposure</v>
      </c>
      <c r="CS3" s="190" t="str">
        <f t="shared" ref="CS3:CX3" si="0">CF3</f>
        <v>Flash Fire or Fireball</v>
      </c>
      <c r="CT3" s="190" t="str">
        <f t="shared" si="0"/>
        <v>Vapor Cloud Explosion</v>
      </c>
      <c r="CU3" s="190" t="str">
        <f t="shared" si="0"/>
        <v>Building Explosion</v>
      </c>
      <c r="CV3" s="190" t="str">
        <f t="shared" si="0"/>
        <v>Equipment Explosion</v>
      </c>
      <c r="CW3" s="190" t="str">
        <f t="shared" si="0"/>
        <v>Property Damage or Business Loss</v>
      </c>
      <c r="CX3" s="190" t="str">
        <f t="shared" si="0"/>
        <v>Environmental Damage</v>
      </c>
      <c r="CY3" s="149"/>
      <c r="CZ3" s="190" t="str">
        <f>CA3</f>
        <v>Off-Site Toxic Release</v>
      </c>
      <c r="DA3" s="190" t="str">
        <f>CB3</f>
        <v>On-Site Toxic Release</v>
      </c>
      <c r="DB3" s="190" t="str">
        <f>CC3</f>
        <v>Indoor Toxic Release</v>
      </c>
      <c r="DC3" s="190" t="str">
        <f>CD3</f>
        <v>Toxic Infiltration</v>
      </c>
      <c r="DD3" s="190" t="str">
        <f>CE3</f>
        <v>Chemical Exposure</v>
      </c>
      <c r="DE3" s="190" t="str">
        <f t="shared" ref="DE3:DJ3" si="1">CF3</f>
        <v>Flash Fire or Fireball</v>
      </c>
      <c r="DF3" s="190" t="str">
        <f t="shared" si="1"/>
        <v>Vapor Cloud Explosion</v>
      </c>
      <c r="DG3" s="190" t="str">
        <f t="shared" si="1"/>
        <v>Building Explosion</v>
      </c>
      <c r="DH3" s="190" t="str">
        <f t="shared" si="1"/>
        <v>Equipment Explosion</v>
      </c>
      <c r="DI3" s="190" t="str">
        <f t="shared" si="1"/>
        <v>Property Damage or Business Loss</v>
      </c>
      <c r="DJ3" s="190" t="str">
        <f t="shared" si="1"/>
        <v>Environmental Damage</v>
      </c>
      <c r="DK3" s="19"/>
      <c r="DL3" s="190" t="str">
        <f>CA3</f>
        <v>Off-Site Toxic Release</v>
      </c>
      <c r="DM3" s="190" t="str">
        <f>CB3</f>
        <v>On-Site Toxic Release</v>
      </c>
      <c r="DN3" s="190" t="str">
        <f>CC3</f>
        <v>Indoor Toxic Release</v>
      </c>
      <c r="DO3" s="190" t="str">
        <f>CD3</f>
        <v>Toxic Infiltration</v>
      </c>
      <c r="DP3" s="190" t="str">
        <f>CE3</f>
        <v>Chemical Exposure</v>
      </c>
      <c r="DQ3" s="190" t="str">
        <f t="shared" ref="DQ3:DV3" si="2">CF3</f>
        <v>Flash Fire or Fireball</v>
      </c>
      <c r="DR3" s="190" t="str">
        <f t="shared" si="2"/>
        <v>Vapor Cloud Explosion</v>
      </c>
      <c r="DS3" s="190" t="str">
        <f t="shared" si="2"/>
        <v>Building Explosion</v>
      </c>
      <c r="DT3" s="190" t="str">
        <f t="shared" si="2"/>
        <v>Equipment Explosion</v>
      </c>
      <c r="DU3" s="190" t="str">
        <f t="shared" si="2"/>
        <v>Property Damage or Business Loss</v>
      </c>
      <c r="DV3" s="190" t="str">
        <f t="shared" si="2"/>
        <v>Environmental Damage</v>
      </c>
      <c r="DW3" s="149"/>
      <c r="DX3" s="190" t="str">
        <f>CA3</f>
        <v>Off-Site Toxic Release</v>
      </c>
      <c r="DY3" s="190" t="str">
        <f>CB3</f>
        <v>On-Site Toxic Release</v>
      </c>
      <c r="DZ3" s="190" t="str">
        <f>CC3</f>
        <v>Indoor Toxic Release</v>
      </c>
      <c r="EA3" s="190" t="str">
        <f>CD3</f>
        <v>Toxic Infiltration</v>
      </c>
      <c r="EB3" s="190" t="str">
        <f t="shared" ref="EB3:EH3" si="3">CE3</f>
        <v>Chemical Exposure</v>
      </c>
      <c r="EC3" s="190" t="str">
        <f t="shared" si="3"/>
        <v>Flash Fire or Fireball</v>
      </c>
      <c r="ED3" s="190" t="str">
        <f t="shared" si="3"/>
        <v>Vapor Cloud Explosion</v>
      </c>
      <c r="EE3" s="190" t="str">
        <f t="shared" si="3"/>
        <v>Building Explosion</v>
      </c>
      <c r="EF3" s="190" t="str">
        <f t="shared" si="3"/>
        <v>Equipment Explosion</v>
      </c>
      <c r="EG3" s="190" t="str">
        <f t="shared" si="3"/>
        <v>Property Damage or Business Loss</v>
      </c>
      <c r="EH3" s="190" t="str">
        <f t="shared" si="3"/>
        <v>Environmental Damage</v>
      </c>
      <c r="EI3" s="123"/>
      <c r="EJ3" s="190" t="str">
        <f>CA3</f>
        <v>Off-Site Toxic Release</v>
      </c>
      <c r="EK3" s="1871" t="str">
        <f>CB3</f>
        <v>On-Site Toxic Release</v>
      </c>
      <c r="EL3" s="1871" t="str">
        <f>CC3</f>
        <v>Indoor Toxic Release</v>
      </c>
      <c r="EM3" s="1871" t="str">
        <f>CD3</f>
        <v>Toxic Infiltration</v>
      </c>
      <c r="EN3" s="190" t="str">
        <f t="shared" ref="EN3:ET3" si="4">CE3</f>
        <v>Chemical Exposure</v>
      </c>
      <c r="EO3" s="190" t="str">
        <f t="shared" si="4"/>
        <v>Flash Fire or Fireball</v>
      </c>
      <c r="EP3" s="190" t="str">
        <f t="shared" si="4"/>
        <v>Vapor Cloud Explosion</v>
      </c>
      <c r="EQ3" s="190" t="str">
        <f t="shared" si="4"/>
        <v>Building Explosion</v>
      </c>
      <c r="ER3" s="190" t="str">
        <f t="shared" si="4"/>
        <v>Equipment Explosion</v>
      </c>
      <c r="ES3" s="190" t="str">
        <f t="shared" si="4"/>
        <v>Property Damage or Business Loss</v>
      </c>
      <c r="ET3" s="190" t="str">
        <f t="shared" si="4"/>
        <v>Environmental Damage</v>
      </c>
      <c r="EU3" s="123"/>
      <c r="EV3" s="190" t="str">
        <f>EJ3</f>
        <v>Off-Site Toxic Release</v>
      </c>
      <c r="EW3" s="1871" t="str">
        <f t="shared" ref="EW3:FF3" si="5">EK3</f>
        <v>On-Site Toxic Release</v>
      </c>
      <c r="EX3" s="1871" t="str">
        <f t="shared" si="5"/>
        <v>Indoor Toxic Release</v>
      </c>
      <c r="EY3" s="1871" t="str">
        <f t="shared" si="5"/>
        <v>Toxic Infiltration</v>
      </c>
      <c r="EZ3" s="1871" t="str">
        <f t="shared" si="5"/>
        <v>Chemical Exposure</v>
      </c>
      <c r="FA3" s="190" t="str">
        <f t="shared" si="5"/>
        <v>Flash Fire or Fireball</v>
      </c>
      <c r="FB3" s="190" t="str">
        <f t="shared" si="5"/>
        <v>Vapor Cloud Explosion</v>
      </c>
      <c r="FC3" s="190" t="str">
        <f t="shared" si="5"/>
        <v>Building Explosion</v>
      </c>
      <c r="FD3" s="190" t="str">
        <f t="shared" si="5"/>
        <v>Equipment Explosion</v>
      </c>
      <c r="FE3" s="190" t="str">
        <f t="shared" si="5"/>
        <v>Property Damage or Business Loss</v>
      </c>
      <c r="FF3" s="190" t="str">
        <f t="shared" si="5"/>
        <v>Environmental Damage</v>
      </c>
      <c r="FG3" s="123"/>
      <c r="FH3" s="190" t="str">
        <f>CA3</f>
        <v>Off-Site Toxic Release</v>
      </c>
      <c r="FI3" s="190" t="str">
        <f>CB3</f>
        <v>On-Site Toxic Release</v>
      </c>
      <c r="FJ3" s="190" t="str">
        <f>CC3</f>
        <v>Indoor Toxic Release</v>
      </c>
      <c r="FK3" s="190" t="str">
        <f>CD3</f>
        <v>Toxic Infiltration</v>
      </c>
      <c r="FL3" s="190" t="str">
        <f>CE3</f>
        <v>Chemical Exposure</v>
      </c>
      <c r="FM3" s="190" t="str">
        <f t="shared" ref="FM3:FR3" si="6">CF3</f>
        <v>Flash Fire or Fireball</v>
      </c>
      <c r="FN3" s="190" t="str">
        <f t="shared" si="6"/>
        <v>Vapor Cloud Explosion</v>
      </c>
      <c r="FO3" s="190" t="str">
        <f t="shared" si="6"/>
        <v>Building Explosion</v>
      </c>
      <c r="FP3" s="190" t="str">
        <f t="shared" si="6"/>
        <v>Equipment Explosion</v>
      </c>
      <c r="FQ3" s="190" t="str">
        <f t="shared" si="6"/>
        <v>Property Damage or Business Loss</v>
      </c>
      <c r="FR3" s="190" t="str">
        <f t="shared" si="6"/>
        <v>Environmental Damage</v>
      </c>
      <c r="FS3" s="149"/>
      <c r="FT3" s="190" t="str">
        <f>CA3</f>
        <v>Off-Site Toxic Release</v>
      </c>
      <c r="FU3" s="190" t="str">
        <f>CB3</f>
        <v>On-Site Toxic Release</v>
      </c>
      <c r="FV3" s="190" t="str">
        <f>CC3</f>
        <v>Indoor Toxic Release</v>
      </c>
      <c r="FW3" s="190" t="str">
        <f>CD3</f>
        <v>Toxic Infiltration</v>
      </c>
      <c r="FX3" s="190" t="str">
        <f t="shared" ref="FX3:GD3" si="7">CE3</f>
        <v>Chemical Exposure</v>
      </c>
      <c r="FY3" s="190" t="str">
        <f t="shared" si="7"/>
        <v>Flash Fire or Fireball</v>
      </c>
      <c r="FZ3" s="190" t="str">
        <f t="shared" si="7"/>
        <v>Vapor Cloud Explosion</v>
      </c>
      <c r="GA3" s="190" t="str">
        <f t="shared" si="7"/>
        <v>Building Explosion</v>
      </c>
      <c r="GB3" s="190" t="str">
        <f t="shared" si="7"/>
        <v>Equipment Explosion</v>
      </c>
      <c r="GC3" s="190" t="str">
        <f t="shared" si="7"/>
        <v>Property Damage or Business Loss</v>
      </c>
      <c r="GD3" s="190" t="str">
        <f t="shared" si="7"/>
        <v>Environmental Damage</v>
      </c>
      <c r="GE3" s="123"/>
      <c r="GF3" s="190" t="str">
        <f>CA3</f>
        <v>Off-Site Toxic Release</v>
      </c>
      <c r="GG3" s="190" t="str">
        <f>CB3</f>
        <v>On-Site Toxic Release</v>
      </c>
      <c r="GH3" s="190" t="str">
        <f>CC3</f>
        <v>Indoor Toxic Release</v>
      </c>
      <c r="GI3" s="190" t="str">
        <f>CD3</f>
        <v>Toxic Infiltration</v>
      </c>
      <c r="GJ3" s="190" t="str">
        <f t="shared" ref="GJ3:GP3" si="8">CE3</f>
        <v>Chemical Exposure</v>
      </c>
      <c r="GK3" s="190" t="str">
        <f t="shared" si="8"/>
        <v>Flash Fire or Fireball</v>
      </c>
      <c r="GL3" s="190" t="str">
        <f t="shared" si="8"/>
        <v>Vapor Cloud Explosion</v>
      </c>
      <c r="GM3" s="190" t="str">
        <f t="shared" si="8"/>
        <v>Building Explosion</v>
      </c>
      <c r="GN3" s="190" t="str">
        <f t="shared" si="8"/>
        <v>Equipment Explosion</v>
      </c>
      <c r="GO3" s="190" t="str">
        <f t="shared" si="8"/>
        <v>Property Damage or Business Loss</v>
      </c>
      <c r="GP3" s="190" t="str">
        <f t="shared" si="8"/>
        <v>Environmental Damage</v>
      </c>
      <c r="GQ3" s="123"/>
      <c r="GR3" s="190" t="s">
        <v>648</v>
      </c>
      <c r="GS3" s="123"/>
      <c r="GT3" s="123"/>
      <c r="GU3" s="4136" t="s">
        <v>4520</v>
      </c>
      <c r="GV3" s="4137"/>
      <c r="GW3" s="19"/>
      <c r="GX3" s="190" t="s">
        <v>4217</v>
      </c>
      <c r="GY3" s="190" t="str">
        <f t="shared" ref="GY3:HI3" si="9">CA3</f>
        <v>Off-Site Toxic Release</v>
      </c>
      <c r="GZ3" s="190" t="str">
        <f t="shared" si="9"/>
        <v>On-Site Toxic Release</v>
      </c>
      <c r="HA3" s="190" t="str">
        <f t="shared" si="9"/>
        <v>Indoor Toxic Release</v>
      </c>
      <c r="HB3" s="190" t="str">
        <f t="shared" si="9"/>
        <v>Toxic Infiltration</v>
      </c>
      <c r="HC3" s="190" t="str">
        <f t="shared" si="9"/>
        <v>Chemical Exposure</v>
      </c>
      <c r="HD3" s="190" t="str">
        <f t="shared" si="9"/>
        <v>Flash Fire or Fireball</v>
      </c>
      <c r="HE3" s="190" t="str">
        <f t="shared" si="9"/>
        <v>Vapor Cloud Explosion</v>
      </c>
      <c r="HF3" s="190" t="str">
        <f t="shared" si="9"/>
        <v>Building Explosion</v>
      </c>
      <c r="HG3" s="190" t="str">
        <f t="shared" si="9"/>
        <v>Equipment Explosion</v>
      </c>
      <c r="HH3" s="190" t="str">
        <f t="shared" si="9"/>
        <v>Property Damage or Business Loss</v>
      </c>
      <c r="HI3" s="190" t="str">
        <f t="shared" si="9"/>
        <v>Environmental Damage</v>
      </c>
    </row>
    <row r="4" spans="1:217" s="5" customFormat="1" ht="15" customHeight="1" x14ac:dyDescent="0.25">
      <c r="A4" s="149"/>
      <c r="B4" s="191"/>
      <c r="C4" s="1430"/>
      <c r="D4" s="68"/>
      <c r="E4" s="2501">
        <v>0.1</v>
      </c>
      <c r="F4" s="2258" t="str">
        <f>IF(Report_M&lt;&gt;"",Report_M,IF(Feedrate_Units&lt;&gt;"",IF(OR(Inventory_Units="",Inventory_Units="liter",Inventory_Units="cu m"),"Kg",IF(OR(Inventory_Units="gal",Inventory_Units="cu ft"),"Lb",Inventory_Units)),"Kg"))</f>
        <v>kg</v>
      </c>
      <c r="G4" s="2259">
        <f>VLOOKUP(IF(Report_V&lt;&gt;"",Report_V,Volume_Units),'Unit Conversion'!$J$3:$K$59,2,FALSE)</f>
        <v>1E-3</v>
      </c>
      <c r="H4" s="2260"/>
      <c r="I4" s="2261">
        <f>100*VLOOKUP(IF(Report_H&lt;&gt;"",Report_H,D_Units),'Unit Conversion'!$J$3:$K$59,2,FALSE)</f>
        <v>0.1</v>
      </c>
      <c r="J4" s="2262"/>
      <c r="K4" s="2258"/>
      <c r="L4" s="2259">
        <f>VLOOKUP(IF(Report_M&lt;&gt;"",Report_M,Small_Leak_AQ_Units),'Unit Conversion'!$J$3:$K$59,2,FALSE)</f>
        <v>1</v>
      </c>
      <c r="M4" s="2263"/>
      <c r="N4" s="2264"/>
      <c r="O4" s="2259"/>
      <c r="P4" s="2259">
        <f>VLOOKUP(IF(Report_P&lt;&gt;"",Report_P,P_Units),'Unit Conversion'!$J$3:$K$59,2,FALSE)</f>
        <v>0.98692329999999995</v>
      </c>
      <c r="Q4" s="2260"/>
      <c r="R4" s="2261" t="str">
        <f>IF(Report_F&lt;&gt;"",Report_F,IF(Feedrate_Units&lt;&gt;"",IF(OR(Feedrate_Units="liter/min",Feedrate_Units="cu m/min"),"Kg/min",IF(OR(Feedrate_Units="gal/min",Feedrate_Units="cu ft/min"),"Lb/min",IF(Feedrate_Units="cu m/hr","Kg/hr",IF(Feedrate_Units="cu ft/hr","Lb/hr",Feedrate_Units)))),"Kg/sec"))</f>
        <v>kg/min</v>
      </c>
      <c r="S4" s="2265"/>
      <c r="T4" s="2266">
        <v>60</v>
      </c>
      <c r="U4" s="2267">
        <v>60</v>
      </c>
      <c r="V4" s="2259">
        <f>IF(AND(Report_A="",Dike_Area_Units=""),1,VLOOKUP(IF(Report_A&lt;&gt;"",Report_A,Dike_Area_Units),'Unit Conversion'!$J$3:$K$59,2,FALSE))</f>
        <v>1</v>
      </c>
      <c r="W4" s="2263"/>
      <c r="X4" s="2263"/>
      <c r="Y4" s="2268"/>
      <c r="Z4" s="2268"/>
      <c r="AA4" s="2269"/>
      <c r="AB4" s="2269"/>
      <c r="AC4" s="2269"/>
      <c r="AD4" s="2259"/>
      <c r="AE4" s="2280">
        <f>VLOOKUP(Small_Leak_AQ_Units,'Unit Conversion'!$J$3:$K$59,2,FALSE)</f>
        <v>1</v>
      </c>
      <c r="AF4" s="2279"/>
      <c r="AG4" s="2282">
        <f>VLOOKUP(Small_Leak_Units,'Unit Conversion'!$J$3:$K$59,2,FALSE)</f>
        <v>1.6666666666666666E-2</v>
      </c>
      <c r="AH4" s="2279"/>
      <c r="AI4" s="2280">
        <f>VLOOKUP(IF(Report_D&lt;&gt;"",Report_D,Public_Units),'Unit Conversion'!$J$3:$K$59,2,FALSE)</f>
        <v>1</v>
      </c>
      <c r="AJ4" s="2279"/>
      <c r="AK4" s="2280">
        <f>VLOOKUP(IF(Report_D&lt;&gt;"",Report_D,Public_Units),'Unit Conversion'!$J$3:$K$59,2,FALSE)</f>
        <v>1</v>
      </c>
      <c r="AL4" s="2279"/>
      <c r="AM4" s="2280">
        <f>VLOOKUP(IF(Report_D&lt;&gt;"",Report_D,Public_Units),'Unit Conversion'!$J$3:$K$59,2,FALSE)</f>
        <v>1</v>
      </c>
      <c r="AN4" s="2279"/>
      <c r="AO4" s="2280">
        <f>VLOOKUP(IF(Report_D&lt;&gt;"",Report_D,Public_Units),'Unit Conversion'!$J$3:$K$59,2,FALSE)</f>
        <v>1</v>
      </c>
      <c r="AP4" s="2279"/>
      <c r="AQ4" s="2280">
        <f>VLOOKUP(IF(Report_D&lt;&gt;"",Report_D,Public_Units),'Unit Conversion'!$J$3:$K$59,2,FALSE)</f>
        <v>1</v>
      </c>
      <c r="AR4" s="2279"/>
      <c r="AS4" s="2270"/>
      <c r="AT4" s="2270"/>
      <c r="AU4" s="2270"/>
      <c r="AV4" s="2263"/>
      <c r="AW4" s="2270"/>
      <c r="AX4" s="2270"/>
      <c r="AY4" s="2270"/>
      <c r="AZ4" s="2271"/>
      <c r="BA4" s="2272"/>
      <c r="BB4" s="2272"/>
      <c r="BC4" s="2272"/>
      <c r="BD4" s="2574">
        <f>VLOOKUP(IF(Report_D&lt;&gt;"",Report_D,Public_Units),'Unit Conversion'!$J$3:$K$59,2,FALSE)</f>
        <v>1</v>
      </c>
      <c r="BE4" s="2575"/>
      <c r="BF4" s="2570">
        <f>VLOOKUP(IF(Report_D&lt;&gt;"",Report_D,Public_Units),'Unit Conversion'!$J$3:$K$59,2,FALSE)</f>
        <v>1</v>
      </c>
      <c r="BG4" s="2279"/>
      <c r="BH4" s="2280">
        <f>VLOOKUP(Public_Units,'Unit Conversion'!$J$3:$K$59,2,FALSE)</f>
        <v>1</v>
      </c>
      <c r="BI4" s="2279"/>
      <c r="BJ4" s="2280">
        <f>VLOOKUP(Public_Units,'Unit Conversion'!$J$3:$K$59,2,FALSE)</f>
        <v>1</v>
      </c>
      <c r="BK4" s="2279"/>
      <c r="BL4" s="2280">
        <f>VLOOKUP(Public_Units,'Unit Conversion'!$J$3:$K$59,2,FALSE)</f>
        <v>1</v>
      </c>
      <c r="BM4" s="2570"/>
      <c r="BN4" s="2280"/>
      <c r="BO4" s="2280"/>
      <c r="BP4" s="2280">
        <f>VLOOKUP(Small_Leak_Units,'Unit Conversion'!$J$3:$K$59,2,FALSE)</f>
        <v>1.6666666666666666E-2</v>
      </c>
      <c r="BQ4" s="2279"/>
      <c r="BR4" s="2273">
        <f>VLOOKUP(IF(Report_D&lt;&gt;"",Report_D,Public_Units),'Unit Conversion'!$J$3:$K$59,2,FALSE)</f>
        <v>1</v>
      </c>
      <c r="BS4" s="2273"/>
      <c r="BT4" s="2260"/>
      <c r="BU4" s="2274"/>
      <c r="BV4" s="2259"/>
      <c r="BW4" s="2263"/>
      <c r="BX4" s="261"/>
      <c r="BY4" s="261"/>
      <c r="BZ4" s="123"/>
      <c r="CA4" s="190"/>
      <c r="CB4" s="190"/>
      <c r="CC4" s="190"/>
      <c r="CD4" s="734"/>
      <c r="CE4" s="190"/>
      <c r="CF4" s="190"/>
      <c r="CG4" s="190"/>
      <c r="CH4" s="190"/>
      <c r="CI4" s="190"/>
      <c r="CJ4" s="190"/>
      <c r="CK4" s="190"/>
      <c r="CL4" s="149"/>
      <c r="CM4" s="149"/>
      <c r="CN4" s="192"/>
      <c r="CO4" s="192"/>
      <c r="CP4" s="192"/>
      <c r="CQ4" s="736"/>
      <c r="CR4" s="192"/>
      <c r="CS4" s="192"/>
      <c r="CT4" s="192"/>
      <c r="CU4" s="192"/>
      <c r="CV4" s="192"/>
      <c r="CW4" s="192"/>
      <c r="CX4" s="192"/>
      <c r="CY4" s="149"/>
      <c r="CZ4" s="190"/>
      <c r="DA4" s="190"/>
      <c r="DB4" s="190"/>
      <c r="DC4" s="734"/>
      <c r="DD4" s="190"/>
      <c r="DE4" s="190"/>
      <c r="DF4" s="190"/>
      <c r="DG4" s="190"/>
      <c r="DH4" s="190"/>
      <c r="DI4" s="190"/>
      <c r="DJ4" s="190"/>
      <c r="DK4" s="19"/>
      <c r="DL4" s="190"/>
      <c r="DM4" s="190"/>
      <c r="DN4" s="190"/>
      <c r="DO4" s="734"/>
      <c r="DP4" s="190"/>
      <c r="DQ4" s="190"/>
      <c r="DR4" s="190"/>
      <c r="DS4" s="190"/>
      <c r="DT4" s="190"/>
      <c r="DU4" s="190"/>
      <c r="DV4" s="190"/>
      <c r="DW4" s="149"/>
      <c r="DX4" s="190"/>
      <c r="DY4" s="190"/>
      <c r="DZ4" s="190"/>
      <c r="EA4" s="734"/>
      <c r="EB4" s="190"/>
      <c r="EC4" s="190"/>
      <c r="ED4" s="190"/>
      <c r="EE4" s="190"/>
      <c r="EF4" s="190"/>
      <c r="EG4" s="190"/>
      <c r="EH4" s="190"/>
      <c r="EI4" s="123"/>
      <c r="EJ4" s="190"/>
      <c r="EK4" s="190"/>
      <c r="EL4" s="190"/>
      <c r="EM4" s="734"/>
      <c r="EN4" s="190"/>
      <c r="EO4" s="190"/>
      <c r="EP4" s="190"/>
      <c r="EQ4" s="190"/>
      <c r="ER4" s="190"/>
      <c r="ES4" s="190"/>
      <c r="ET4" s="190"/>
      <c r="EU4" s="123"/>
      <c r="EV4" s="190"/>
      <c r="EW4" s="190"/>
      <c r="EX4" s="190"/>
      <c r="EY4" s="734"/>
      <c r="EZ4" s="190"/>
      <c r="FA4" s="190"/>
      <c r="FB4" s="190"/>
      <c r="FC4" s="190"/>
      <c r="FD4" s="190"/>
      <c r="FE4" s="190"/>
      <c r="FF4" s="190"/>
      <c r="FG4" s="123"/>
      <c r="FH4" s="190"/>
      <c r="FI4" s="190"/>
      <c r="FJ4" s="190"/>
      <c r="FK4" s="734"/>
      <c r="FL4" s="190"/>
      <c r="FM4" s="190"/>
      <c r="FN4" s="190"/>
      <c r="FO4" s="190"/>
      <c r="FP4" s="190"/>
      <c r="FQ4" s="190"/>
      <c r="FR4" s="190"/>
      <c r="FS4" s="149"/>
      <c r="FT4" s="190"/>
      <c r="FU4" s="190"/>
      <c r="FV4" s="190"/>
      <c r="FW4" s="734"/>
      <c r="FX4" s="190"/>
      <c r="FY4" s="190"/>
      <c r="FZ4" s="190"/>
      <c r="GA4" s="190"/>
      <c r="GB4" s="190"/>
      <c r="GC4" s="190"/>
      <c r="GD4" s="190"/>
      <c r="GE4" s="123"/>
      <c r="GF4" s="190"/>
      <c r="GG4" s="190"/>
      <c r="GH4" s="190"/>
      <c r="GI4" s="734"/>
      <c r="GJ4" s="190"/>
      <c r="GK4" s="190"/>
      <c r="GL4" s="190"/>
      <c r="GM4" s="190"/>
      <c r="GN4" s="190"/>
      <c r="GO4" s="190"/>
      <c r="GP4" s="190"/>
      <c r="GQ4" s="123"/>
      <c r="GR4" s="10" t="str">
        <f>IF(CA4="","",CA$3&amp;" - ")&amp;IF(CB4="","",CB$3&amp;" - ")&amp;IF(CC4="","",CC$3&amp;" - ")&amp;IF(CE4="","",CE$3&amp;" - ")&amp;IF(CF4="","",CF$3&amp;" - ")&amp;IF(CG4="","",CG$3&amp;" - ")&amp;IF(CH4="","",CH$3&amp;" - ")&amp;IF(CI4="","",CI$3&amp;" - ")&amp;IF(CJ4="","",CJ$3&amp;" - ")&amp;IF(CK4="","",CK$3)</f>
        <v/>
      </c>
      <c r="GS4" s="123"/>
      <c r="GT4" s="123"/>
      <c r="GU4" s="4025"/>
      <c r="GV4" s="4025"/>
      <c r="GW4" s="19"/>
      <c r="GX4" s="10"/>
      <c r="GY4" s="37"/>
      <c r="GZ4" s="10"/>
      <c r="HA4" s="10"/>
      <c r="HB4" s="742"/>
      <c r="HC4" s="10"/>
      <c r="HD4" s="10"/>
      <c r="HE4" s="10"/>
      <c r="HF4" s="10"/>
      <c r="HG4" s="10"/>
      <c r="HH4" s="10"/>
      <c r="HI4" s="10"/>
    </row>
    <row r="5" spans="1:217" s="5" customFormat="1" ht="12.75" customHeight="1" x14ac:dyDescent="0.25">
      <c r="A5" s="35"/>
      <c r="B5" s="64" t="str">
        <f>'Scenario Identification'!BJ3</f>
        <v>Very Small Hole Size Leak</v>
      </c>
      <c r="C5" s="1457" t="str">
        <f t="shared" ref="C5:C38" si="10">Chemical&amp;IF(Pseudo_Chem="Yes"," Pseudo Mix","")</f>
        <v/>
      </c>
      <c r="D5" s="65"/>
      <c r="E5" s="2487" t="str">
        <f>IF(MAX('Release Calculations'!P35,'Release Calculations'!P43,'Release Calculations'!P62,1-'Release Calculations'!P82,ABS(MIN('Release Calculations'!P35,'Release Calculations'!P43,'Release Calculations'!P62,1-'Release Calculations'!P82)))&gt;$E$4,"Yes","")</f>
        <v/>
      </c>
      <c r="F5" s="1418" t="s">
        <v>428</v>
      </c>
      <c r="G5" s="1434">
        <f t="shared" ref="G5:G50" si="11">ROUND(Volume/(1000*$G$4),0)</f>
        <v>0</v>
      </c>
      <c r="H5" s="1427" t="str">
        <f>IF(Report_V&lt;&gt;"",Report_V,Volume_Units)</f>
        <v>liter</v>
      </c>
      <c r="I5" s="1418">
        <f>ROUND('Release Calculations'!P7/$I$4,2)</f>
        <v>3</v>
      </c>
      <c r="J5" s="1421" t="str">
        <f>IF(Report_H&lt;&gt;"",Report_H,D_Units)</f>
        <v>mm</v>
      </c>
      <c r="K5" s="1427">
        <f t="shared" ref="K5:K26" si="12">Location</f>
        <v>0</v>
      </c>
      <c r="L5" s="1434">
        <f>sig('Release Calculations'!$P$16/$L$4,3,100,0)</f>
        <v>0</v>
      </c>
      <c r="M5" s="1435" t="str">
        <f t="shared" ref="M5:M50" si="13">Small_Leak_AQ_Units</f>
        <v>kg</v>
      </c>
      <c r="N5" s="1432" t="str">
        <f t="shared" ref="N5:N34" si="14">State&amp;":  "&amp;Fract_Key_Chemical&amp;" "&amp;Chemical&amp;", "&amp;WtFract_2&amp;" "&amp;Chemical_2&amp;", "&amp;WtFract_3&amp;" "&amp;Chemical_3&amp;", "&amp;WtFract_4&amp;" "&amp;Chemical_4&amp;", "&amp;WtFract_5&amp;" "&amp;Chemical_5</f>
        <v xml:space="preserve">Liquid:   ,  ,  ,  ,  </v>
      </c>
      <c r="O5" s="1434">
        <f>ROUND('Release Calculations'!$P$9,0)</f>
        <v>0</v>
      </c>
      <c r="P5" s="1434">
        <f>ROUND('Release Calculations'!$DR$8/$P$4,2)</f>
        <v>0</v>
      </c>
      <c r="Q5" s="1446" t="str">
        <f t="shared" ref="Q5:Q50" si="15">IF(Report_P&lt;&gt;"",Report_P,P_Units)</f>
        <v>bar</v>
      </c>
      <c r="R5" s="1434">
        <f>sig('Release Calculations'!$P$23/$AG$4,3,10,0)</f>
        <v>0</v>
      </c>
      <c r="S5" s="1447" t="str">
        <f t="shared" ref="S5:S50" si="16">Small_Leak_Units</f>
        <v>kg/min</v>
      </c>
      <c r="T5" s="1435">
        <f>ROUND('Release Calculations'!$P$13/$T$4,0)</f>
        <v>0</v>
      </c>
      <c r="U5" s="1434">
        <f>ROUND(('Release Calculations'!$P$13+'Release Calculations'!$P$14)/$U$4,0)</f>
        <v>0</v>
      </c>
      <c r="V5" s="1434">
        <f>sig('Release Calculations'!$P$55/$V$4,3,100,0)</f>
        <v>0</v>
      </c>
      <c r="W5" s="1435" t="str">
        <f>IF(Report_A&lt;&gt;"",Report_A,IF(Dike_Area_Units="","sq m",Dike_Area_Units))</f>
        <v>sq m</v>
      </c>
      <c r="X5" s="1438">
        <f>ROUND('Release Calculations'!P$214,3)</f>
        <v>0</v>
      </c>
      <c r="Y5" s="1458" t="str">
        <f>IF('Release Calculations'!$P$225="","",sig('Release Calculations'!$P$225,3,1000,0))</f>
        <v/>
      </c>
      <c r="Z5" s="1458" t="str">
        <f>IF('Release Calculations'!$P$231="","",sig('Release Calculations'!$P$231,3,1000,0))</f>
        <v/>
      </c>
      <c r="AA5" s="1458" t="str">
        <f>IF('Release Calculations'!$P$255="","",sig('Release Calculations'!$P$255,3,1000,0))</f>
        <v/>
      </c>
      <c r="AB5" s="1458" t="str">
        <f>IF('Release Calculations'!$P$261="","",sig('Release Calculations'!$P$261,3,1000,0))</f>
        <v/>
      </c>
      <c r="AC5" s="1458" t="str">
        <f>IF('Release Calculations'!$P$267="","",sig('Release Calculations'!$P$267,3,1000,0))</f>
        <v/>
      </c>
      <c r="AD5" s="1196" t="str">
        <f>IF('Release Calculations'!$P$249="","",ROUND('Release Calculations'!$P$249,1))</f>
        <v/>
      </c>
      <c r="AE5" s="1451">
        <f>sig('Release Calculations'!$P$70/$AE$4,3,100,0)</f>
        <v>0</v>
      </c>
      <c r="AF5" s="1452" t="str">
        <f t="shared" ref="AF5:AF50" si="17">Small_Leak_AQ_Units</f>
        <v>kg</v>
      </c>
      <c r="AG5" s="1772">
        <f>sig('Release Calculations'!P$89/$AG$4,3,10,3)</f>
        <v>3.0000000000000001E-3</v>
      </c>
      <c r="AH5" s="1452" t="str">
        <f>Small_Leak_Units</f>
        <v>kg/min</v>
      </c>
      <c r="AI5" s="1451">
        <f>sig('Release Calculations'!$P$282/$AI$4,3,100,0)</f>
        <v>0</v>
      </c>
      <c r="AJ5" s="1452" t="str">
        <f t="shared" ref="AJ5:AJ25" si="18">IF(Report_D&lt;&gt;"",Report_D,Public_Units)</f>
        <v>m</v>
      </c>
      <c r="AK5" s="1451">
        <f>sig('Release Calculations'!$P$285/$AK$4,3,100,0)</f>
        <v>0</v>
      </c>
      <c r="AL5" s="1452" t="str">
        <f t="shared" ref="AL5:AL25" si="19">IF(Report_D&lt;&gt;"",Report_D,Public_Units)</f>
        <v>m</v>
      </c>
      <c r="AM5" s="1451">
        <f>sig('Release Calculations'!$P$287/$AM$4,3,100,0)</f>
        <v>0</v>
      </c>
      <c r="AN5" s="1452" t="str">
        <f t="shared" ref="AN5:AR25" si="20">IF(Report_D&lt;&gt;"",Report_D,Public_Units)</f>
        <v>m</v>
      </c>
      <c r="AO5" s="1451">
        <f>sig('Release Calculations'!$P$288/$AO$4,3,100,0)</f>
        <v>0</v>
      </c>
      <c r="AP5" s="1452" t="str">
        <f t="shared" si="20"/>
        <v>m</v>
      </c>
      <c r="AQ5" s="1451">
        <f>sig('Release Calculations'!$P$290/$AQ$4,3,100,0)</f>
        <v>0</v>
      </c>
      <c r="AR5" s="1452" t="str">
        <f t="shared" si="20"/>
        <v>m</v>
      </c>
      <c r="AS5" s="1452" t="str">
        <f t="shared" ref="AS5:AS25" si="21">IF(Occ_Bldg_Name=0,"",Occ_Bldg_Name)</f>
        <v/>
      </c>
      <c r="AT5" s="1452" t="str">
        <f t="shared" ref="AT5:AT25" si="22">IF(Occ_Bldg2_Name=0,"",Occ_Bldg2_Name)</f>
        <v/>
      </c>
      <c r="AU5" s="1452" t="str">
        <f t="shared" ref="AU5:AU25" si="23">IF(Occ_Bldg2_Direction=0,"",Occ_Bldg2_Direction)</f>
        <v/>
      </c>
      <c r="AV5" s="114">
        <f>sig('Release Calculations'!$P$296,3,1000,-1)</f>
        <v>0</v>
      </c>
      <c r="AW5" s="114">
        <f>sig('Release Calculations'!$P$297,3,1000,-1)</f>
        <v>0</v>
      </c>
      <c r="AX5" s="114" t="str">
        <f>sig('Release Calculations'!$P$298,3,1000,0)</f>
        <v/>
      </c>
      <c r="AY5" s="114" t="str">
        <f>sig('Release Calculations'!$P$299,3,1000,0)</f>
        <v/>
      </c>
      <c r="AZ5" s="114">
        <f>sig('Release Calculations'!$P$300,3,1000,-1)</f>
        <v>0</v>
      </c>
      <c r="BA5" s="114">
        <f>sig('Release Calculations'!$P$301,3,1000,-1)</f>
        <v>0</v>
      </c>
      <c r="BB5" s="114" t="str">
        <f>sig('Release Calculations'!$P$302,3,10,3)</f>
        <v/>
      </c>
      <c r="BC5" s="2576" t="str">
        <f>sig('Release Calculations'!$P$303,3,10,3)</f>
        <v/>
      </c>
      <c r="BD5" s="2569">
        <f>sig('Release Calculations'!$P$320/$BD$4,3,100,0)</f>
        <v>0</v>
      </c>
      <c r="BE5" s="1435" t="str">
        <f>IF(Report_D&lt;&gt;"",Report_D,Public_Units)</f>
        <v>m</v>
      </c>
      <c r="BF5" s="2569">
        <f>sig('Release Calculations'!$P$319/$BF$4,3,100,0)</f>
        <v>0</v>
      </c>
      <c r="BG5" s="1435" t="str">
        <f>IF(Report_D&lt;&gt;"",Report_D,Public_Units)</f>
        <v>m</v>
      </c>
      <c r="BH5" s="1419"/>
      <c r="BI5" s="1422"/>
      <c r="BJ5" s="1419"/>
      <c r="BK5" s="1422"/>
      <c r="BL5" s="2573"/>
      <c r="BM5" s="2573"/>
      <c r="BN5" s="1441"/>
      <c r="BO5" s="1746"/>
      <c r="BP5" s="1503">
        <f>sig('Release Calculations'!$P$90/$BP$4,3,10,1)</f>
        <v>0</v>
      </c>
      <c r="BQ5" s="1435" t="str">
        <f t="shared" ref="BQ5:BQ25" si="24">Small_Leak_Units</f>
        <v>kg/min</v>
      </c>
      <c r="BR5" s="1434">
        <f>sig(IF(Location="Indoors",'Release Calculations'!P311/$BR$4,'Release Calculations'!P325/$BR$4),3,100,0)</f>
        <v>0</v>
      </c>
      <c r="BS5" s="1435" t="str">
        <f t="shared" ref="BS5:BS50" si="25">IF(Report_D&lt;&gt;"",Report_D,Public_Units)</f>
        <v>m</v>
      </c>
      <c r="BT5" s="1748">
        <f>ROUND(IF(Location="Indoors",'Release Calculations'!$P314,'Release Calculations'!$P330),1)</f>
        <v>0</v>
      </c>
      <c r="BU5" s="1748">
        <f>ROUND(IF(Location="Indoors",'Release Calculations'!$P316,'Release Calculations'!$P334),1)</f>
        <v>0</v>
      </c>
      <c r="BV5" s="1436"/>
      <c r="BW5" s="1442"/>
      <c r="BX5" s="262"/>
      <c r="BY5" s="262"/>
      <c r="BZ5" s="123"/>
      <c r="CA5" s="4" t="str">
        <f>IF('Release Calculations'!P$338="NA","",'Release Calculations'!P$338)</f>
        <v/>
      </c>
      <c r="CB5" s="4" t="str">
        <f>IF('Release Calculations'!P$368="NA","",'Release Calculations'!P$368)</f>
        <v/>
      </c>
      <c r="CC5" s="4" t="str">
        <f>IF('Release Calculations'!P$373="NA","",'Release Calculations'!P$373)</f>
        <v/>
      </c>
      <c r="CD5" s="735" t="str">
        <f>IF('Release Calculations'!P$378="NA","",'Release Calculations'!P$378)</f>
        <v/>
      </c>
      <c r="CE5" s="4" t="str">
        <f>IF('Release Calculations'!P$384="NA","",'Release Calculations'!P$384)</f>
        <v/>
      </c>
      <c r="CF5" s="4" t="str">
        <f>IF('Release Calculations'!P$389="NA","",'Release Calculations'!P$389)</f>
        <v/>
      </c>
      <c r="CG5" s="4" t="str">
        <f>IF('Release Calculations'!P$409="NA","",'Release Calculations'!P$409)</f>
        <v/>
      </c>
      <c r="CH5" s="4" t="str">
        <f>IF('Release Calculations'!P$399="NA","",'Release Calculations'!P$399)</f>
        <v/>
      </c>
      <c r="CI5" s="4"/>
      <c r="CJ5" s="4"/>
      <c r="CK5" s="4" t="str">
        <f>IF('Release Calculations'!BD$417="NA","",'Release Calculations'!BD$417)</f>
        <v/>
      </c>
      <c r="CL5" s="19"/>
      <c r="CM5" s="19"/>
      <c r="CN5" s="189" t="str">
        <f>IF(CA5="","",IF('Release Calculations'!P$284="Yes",IF(CB5=Conseq_VeryLow,Desc_VeryLow,IF(CB5=Conseq_Low,Desc_Low,IF(CB5=Conseq_Moderate,Desc_Moderate,IF(CB5=Conseq_High,Desc_High,IF(CB5=Conseq_VeryHigh,Desc_VeryHigh,IF(CB5=Conseq_ExtremeHigh,Desc_ExtremeHigh,Desc_GT_ExtremeHigh)))))),IF(CB5=Conseq_Low_Offsite,Desc_Low_Offsite,Desc_VeryLow_Offsite)))</f>
        <v/>
      </c>
      <c r="CO5" s="189" t="str">
        <f t="shared" ref="CO5:CU6" si="26">IF(CB5="","",IF(CB5=Conseq_VeryLow,Desc_VeryLow,IF(CB5=Conseq_Low,Desc_Low,IF(CB5=Conseq_Moderate,Desc_Moderate,IF(CB5=Conseq_High,Desc_High,IF(CB5=Conseq_VeryHigh,Desc_VeryHigh,IF(CB5=Conseq_ExtremeHigh,Desc_ExtremeHigh,Desc_GT_ExtremeHigh)))))))</f>
        <v/>
      </c>
      <c r="CP5" s="189" t="str">
        <f t="shared" si="26"/>
        <v/>
      </c>
      <c r="CQ5" s="189" t="str">
        <f t="shared" si="26"/>
        <v/>
      </c>
      <c r="CR5" s="189" t="str">
        <f t="shared" si="26"/>
        <v/>
      </c>
      <c r="CS5" s="189" t="str">
        <f t="shared" si="26"/>
        <v/>
      </c>
      <c r="CT5" s="189" t="str">
        <f t="shared" si="26"/>
        <v/>
      </c>
      <c r="CU5" s="189" t="str">
        <f t="shared" si="26"/>
        <v/>
      </c>
      <c r="CV5" s="67"/>
      <c r="CW5" s="67"/>
      <c r="CX5" s="189" t="str">
        <f>IF(CK5="","",IF(CK5=Conseq_VeryLow,Desc_VeryLow_Environ,IF(CK5=Conseq_Low,Desc_Low_Environ,IF(CK5=Conseq_Moderate,Desc_Moderate_Environ,IF(CK5=Conseq_High,Desc_High_Environ,IF(CK5=Conseq_VeryHigh,Desc_VeryHigh_Environ,Desc_ExtremeHigh_Environ))))))</f>
        <v/>
      </c>
      <c r="CY5" s="40" t="s">
        <v>822</v>
      </c>
      <c r="CZ5" s="189" t="str">
        <f>IF(CA5="","",IF('Release Calculations'!P$284="Yes"," at a "&amp;$AI$3&amp;" of "&amp;AI5&amp;" "&amp;AJ5&amp;" which exceeds Distance to the Fence Line of "&amp;Public_Input&amp;" "&amp;Public_Units))</f>
        <v/>
      </c>
      <c r="DA5" s="189" t="str">
        <f>IF(CB5="","",IF('Release Calculations'!$P$292="Yes"," with operating personnel in close proximity and a "&amp;$AM$3&amp;" of "&amp;AM5&amp;" "&amp;AN5," at a "&amp;$AM$3&amp;" of "&amp;AM5&amp;" "&amp;AN5)&amp;IF('Release Calculations'!$P$287&gt;Public," which exceeds Distance to the Fence Line of "&amp;Public_Input&amp;" "&amp;Public_Units&amp;".  Target Factor may be conservative",))</f>
        <v/>
      </c>
      <c r="DB5" s="226" t="str">
        <f>IF(CC5="","",IF('Release Calculations'!P305="Yes","and Potential for Asphyxiation","")&amp;" at an "&amp;$AZ$3&amp;" of "&amp;AZ5&amp;" ppm")</f>
        <v/>
      </c>
      <c r="DC5" s="189" t="str">
        <f t="shared" ref="DC5:DC25" si="27">IF(CD5="",""," at a "&amp;$AV$3&amp;" of "&amp;AV5&amp;" ppm")</f>
        <v/>
      </c>
      <c r="DD5" s="189" t="str">
        <f>IF(CE5="",""," of a "&amp;IF(Ease_of_Ignition_Feed="High","pyrophoric ","high/low temperature ")&amp;IF(Dermal_Tox_Feed&lt;&gt;"","or "&amp;Dermal_Tox_Feed,"")&amp;" chemical"&amp;IF('Release Calculations'!$P$292="Yes"," with operating personnel in close proximity",""))</f>
        <v/>
      </c>
      <c r="DE5" s="189" t="str">
        <f>IF(CF5="",""," at a "&amp;$BF$3&amp;" of "&amp;BF5&amp;" "&amp;BG5)</f>
        <v/>
      </c>
      <c r="DF5" s="189" t="str">
        <f>IF(CG5="","",IF('Release Calculations'!P$326="Yes"," with "&amp;$BR$3&amp;" of "&amp;BR5&amp;" "&amp;BS5&amp;IF('Release Calculations'!P$335&lt;&gt;"Yes",""," including "&amp;$BT$3&amp;" of "&amp;BT5&amp;" psi.")&amp;" 1 psi Blast Overpresssure exceeds Distance to the Fence Line of "&amp;Public_Input&amp;" "&amp;Public_Units&amp;".  Consider adjustment for Off-Site Impacts",IF('Release Calculations'!P$335&lt;&gt;"Yes"," impacting on site personnel at a "&amp;$BR$3&amp;" of "&amp;BR5&amp;" "&amp;BS5," impacting on site personnel at a "&amp;$BR$3&amp;" of "&amp;BR5&amp;" "&amp;BS5&amp;" including "&amp;$BT$3&amp;" of "&amp;BT5&amp;" psi")))</f>
        <v/>
      </c>
      <c r="DG5" s="189" t="str">
        <f>IF(CH5="","",IF('Release Calculations'!P$312="Yes"," with "&amp;$BR$3&amp;" of "&amp;BR5&amp;" "&amp;BS5&amp;IF('Release Calculations'!P$317&lt;&gt;"Yes",""," including "&amp;$BT$3&amp;" of "&amp;BT5&amp;" psi.")&amp;"  1 psi Blast Overpresssure exceeds Distance to the Fence Line of "&amp;Public_Input&amp;" "&amp;Public_Units&amp;".  Consider adjustment for Off-Site Impacts",IF('Release Calculations'!P$317&lt;&gt;"Yes"," impacting enclosed area operating personnel, on site personnel at a "&amp;$BR$3&amp;" of "&amp;BR5&amp;" "&amp;BS5," impacting enclosed area operating personnel, on site personnel at a "&amp;$BR$3&amp;" of "&amp;BR5&amp;" "&amp;BS5&amp;" including "&amp;$BT$3&amp;" of "&amp;BT5&amp;" psi")))</f>
        <v/>
      </c>
      <c r="DH5" s="67"/>
      <c r="DI5" s="67"/>
      <c r="DJ5" s="189" t="str">
        <f>IF('Release Calculations'!AZ417&gt;0,"Groundwater or Remediation Issue",IF('Release Calculations'!BB417&gt;0,"High Aqueous Toxicity",""))</f>
        <v/>
      </c>
      <c r="DK5" s="19" t="s">
        <v>822</v>
      </c>
      <c r="DL5" s="39"/>
      <c r="DM5" s="239">
        <f>'Release Calculations'!P366</f>
        <v>0</v>
      </c>
      <c r="DN5" s="239">
        <f>'Release Calculations'!P$371</f>
        <v>0</v>
      </c>
      <c r="DO5" s="34"/>
      <c r="DP5" s="239">
        <f>'Release Calculations'!P382</f>
        <v>0</v>
      </c>
      <c r="DQ5" s="239">
        <f>'Release Calculations'!P387</f>
        <v>0</v>
      </c>
      <c r="DR5" s="34"/>
      <c r="DS5" s="34"/>
      <c r="DT5" s="34"/>
      <c r="DU5" s="34"/>
      <c r="DV5" s="6"/>
      <c r="DW5" s="40"/>
      <c r="DX5" s="250"/>
      <c r="DY5" s="249" t="s">
        <v>2983</v>
      </c>
      <c r="DZ5" s="250" t="s">
        <v>292</v>
      </c>
      <c r="EA5" s="740"/>
      <c r="EB5" s="249" t="str">
        <f>"Probability of Exposure to Hot or Toxic Material"</f>
        <v>Probability of Exposure to Hot or Toxic Material</v>
      </c>
      <c r="EC5" s="249" t="s">
        <v>292</v>
      </c>
      <c r="ED5" s="248"/>
      <c r="EE5" s="248"/>
      <c r="EF5" s="248"/>
      <c r="EG5" s="248"/>
      <c r="EH5" s="248"/>
      <c r="EI5" s="19"/>
      <c r="EJ5" s="250"/>
      <c r="EK5" s="249" t="str">
        <f>IF(Attended_Op="Yes","Noted as Personnel Routinely in Immediate Area or Equipment Type involves Materials Handling - "&amp;IF('Release Calculations'!P210*3600&lt;30," with a very Short Exposure Duration (&lt; 30 sec)","Time at Risk May Apply"),"Probability of Personnel to be in Close Proximity to Chemical Release based on Toxic Impact Area to "&amp;AM5&amp;" "&amp;AN5&amp;IF('Release Calculations'!P365&lt;0.01," (with potential for higher POE credit upon further review)",""))</f>
        <v>Probability of Personnel to be in Close Proximity to Chemical Release based on Toxic Impact Area to 0 m (with potential for higher POE credit upon further review)</v>
      </c>
      <c r="EL5" s="250" t="str">
        <f>IF(Attended_Op="Yes","Noted as Personnel Routinely in Immediate Area or Equipment Type involves Materials Handling - Time at Risk May Apply","Probability of Personnel to be in Close Proximity to Chemical Release based on Ratio Enclosed Process Area Concentation of "&amp;AZ5&amp;" ppm to 10 ER-3 for "&amp;Chemical&amp;IF(Fract_Key_Chemical&lt;1," mixture "," ")&amp;IF('Release Calculations'!$P$370&lt;0.01,"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5" s="248"/>
      <c r="EN5"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Calculations'!$P$381&lt;0.01," (with potential for higher POE credit upon further review)",""))</f>
        <v>Probability of Personnel to be in Close Proximity to Chemical Release based on Spray Distance of 1 m (with potential for higher POE credit upon further review)</v>
      </c>
      <c r="EO5"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"&amp;AZ5&amp;" to "&amp;LFL_Fract_FlashFIre&amp;" LFL","Flammable Impact Area to "&amp;BF5&amp;" "&amp;BG5)&amp;IF('Release Calculations'!$P$386&lt;0.01," (with potential for higher POE credit upon further review)",""))</f>
        <v>Probability of Personnel to be in Close Proximity to Chemical Release based on Flammable Impact Area to 0 m (with potential for higher POE credit upon further review)</v>
      </c>
      <c r="EP5" s="248"/>
      <c r="EQ5" s="248"/>
      <c r="ER5" s="248"/>
      <c r="ES5" s="248"/>
      <c r="ET5" s="248"/>
      <c r="EU5" s="19"/>
      <c r="EV5" s="1379"/>
      <c r="EW5" s="957">
        <f>'Release Calculations'!P365</f>
        <v>6.0000000000000008E-7</v>
      </c>
      <c r="EX5" s="957">
        <f>'Release Calculations'!$P$370</f>
        <v>0</v>
      </c>
      <c r="EY5" s="1380"/>
      <c r="EZ5" s="957">
        <f>'Release Calculations'!$P$381</f>
        <v>0</v>
      </c>
      <c r="FA5" s="957">
        <f>'Release Calculations'!$P$386</f>
        <v>0</v>
      </c>
      <c r="FB5" s="6"/>
      <c r="FC5" s="6"/>
      <c r="FD5" s="6"/>
      <c r="FE5" s="6"/>
      <c r="FF5" s="6"/>
      <c r="FG5" s="19"/>
      <c r="FH5" s="34"/>
      <c r="FI5" s="34"/>
      <c r="FJ5" s="34"/>
      <c r="FK5" s="739"/>
      <c r="FL5" s="34"/>
      <c r="FM5" s="239" t="str">
        <f>IF(Location="Outdoors",'Release Calculations'!P$323,'Release Calculations'!P$309)</f>
        <v/>
      </c>
      <c r="FN5" s="239" t="str">
        <f>'Release Calculations'!P$324</f>
        <v/>
      </c>
      <c r="FO5" s="39" t="str">
        <f>IF(State&lt;&gt;"Solid",'Release Calculations'!P$309,Dust_SecondExpl_POE)</f>
        <v/>
      </c>
      <c r="FP5" s="34"/>
      <c r="FQ5" s="34"/>
      <c r="FR5" s="6"/>
      <c r="FS5" s="40"/>
      <c r="FT5" s="248"/>
      <c r="FU5" s="248"/>
      <c r="FV5" s="248"/>
      <c r="FW5" s="741"/>
      <c r="FX5" s="248"/>
      <c r="FY5" s="249" t="s">
        <v>1461</v>
      </c>
      <c r="FZ5" s="249" t="s">
        <v>1460</v>
      </c>
      <c r="GA5" s="250" t="s">
        <v>1461</v>
      </c>
      <c r="GB5" s="248"/>
      <c r="GC5" s="248"/>
      <c r="GD5" s="248"/>
      <c r="GE5" s="19"/>
      <c r="GF5" s="248"/>
      <c r="GG5" s="248"/>
      <c r="GH5" s="248"/>
      <c r="GI5" s="741"/>
      <c r="GJ5" s="248"/>
      <c r="GK5"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"&amp;BP5&amp;" "&amp;BQ5&amp;" Easily Ignited Material with Distance to LFL of "&amp;BD5&amp;" "&amp;BE5,IF(OR(Ease_of_Ignition_Feed="Low",AND(Flash_Pt_Feed&gt;MAX(Ambient_Temp,T),Aerosol_Potential="Yes")),"Outdoor Release of Difficult to Ignite Material or Combustible Aerosol","Outdoor release of "&amp;BP5&amp;" "&amp;BQ5&amp;" Flammable Material with Distance to LFL of "&amp;BD5&amp;" "&amp;BD5)),IF(Ease_of_Ignition_Feed="Elevated","Indoor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5" s="2581" t="str">
        <f t="shared" ref="GL5:GL25" si="28">IF(Flash_Pt_Feed="","No Flash Point Entered",IF(Ease_of_Ignition_Feed="High","Noted as Pyrophoric Material",IF(Ease_of_Ignition_Feed="Elevated","Outdoor Release of "&amp;BP5&amp;" " &amp;BQ5&amp;" Easily Ignited Material with Distance to LFL of "&amp;BD5&amp;" "&amp;BE5&amp;"-POX",IF(Ease_of_Ignition_Feed="Low","Outdoor Release of "&amp;BP5&amp;" " &amp;BQ5&amp;" Difficult to Ignite Material with Distance to LFL of "&amp;BD5&amp;" "&amp;BE5&amp;"-POX","Outdoor Release of "&amp;BP5&amp;" " &amp;BQ5&amp;" Flammable Material with Distance to LFL of "&amp;BD5&amp;" "&amp;BE5&amp;"-POX"))))</f>
        <v>No Flash Point Entered</v>
      </c>
      <c r="GM5" s="250" t="str">
        <f t="shared" ref="GM5:GM25" si="29">IF(OR(Ease_of_Ignition_Feed="High",Ease_of_Ignition_Feed="Elevated"),"Indoor Release of Easily Ignited Material-POX",IF(Ease_of_Ignition_Feed="Low","Indoor Release of Difficult to Ignite Material-POX","Indoor Release of Flammable Material-POX"))</f>
        <v>Indoor Release of Flammable Material-POX</v>
      </c>
      <c r="GN5" s="248"/>
      <c r="GO5" s="248"/>
      <c r="GP5" s="248"/>
      <c r="GQ5" s="19"/>
      <c r="GR5" s="189" t="str">
        <f>IF(CA5="","",CA$3&amp;"; ")&amp;IF(CB5="","",CB$3&amp;"; ")&amp;IF(CC5="","",CC$3&amp;"; ")&amp;IF(CD5="","",CD$3&amp;"; ")&amp;IF(CE5="","",CE$3&amp;"; ")&amp;IF(CF5="","",CF$3&amp;"; ")&amp;IF(CG5="","",CG$3&amp;"; ")&amp;IF(CH5="","",CH$3&amp;"; ")&amp;IF(CI5="","",CI$3&amp;"; ")&amp;IF(CJ5="","",CJ$3&amp;"; ")&amp;IF(CK5="","",CK$3)</f>
        <v/>
      </c>
      <c r="GS5" s="19"/>
      <c r="GT5" s="19"/>
      <c r="GU5" s="64" t="s">
        <v>1540</v>
      </c>
      <c r="GV5" s="193"/>
      <c r="GW5" s="19"/>
      <c r="GX5" s="37">
        <f>Conseq_VeryLow</f>
        <v>2</v>
      </c>
      <c r="GY5" s="189" t="str">
        <f>Desc_VeryLow_Offsite</f>
        <v>Potential for Adverse Local Publicity</v>
      </c>
      <c r="GZ5" s="189" t="str">
        <f t="shared" ref="GZ5:HG5" si="30">Desc_VeryLow</f>
        <v>Moderate Severity</v>
      </c>
      <c r="HA5" s="189" t="str">
        <f t="shared" si="30"/>
        <v>Moderate Severity</v>
      </c>
      <c r="HB5" s="189" t="str">
        <f t="shared" si="30"/>
        <v>Moderate Severity</v>
      </c>
      <c r="HC5" s="189" t="str">
        <f t="shared" si="30"/>
        <v>Moderate Severity</v>
      </c>
      <c r="HD5" s="189" t="str">
        <f t="shared" si="30"/>
        <v>Moderate Severity</v>
      </c>
      <c r="HE5" s="189" t="str">
        <f t="shared" si="30"/>
        <v>Moderate Severity</v>
      </c>
      <c r="HF5" s="189" t="str">
        <f t="shared" si="30"/>
        <v>Moderate Severity</v>
      </c>
      <c r="HG5" s="189" t="str">
        <f t="shared" si="30"/>
        <v>Moderate Severity</v>
      </c>
      <c r="HH5" s="189" t="str">
        <f>Desc_VeryLow_Bus</f>
        <v>Property Damage and Business Loss &lt; $50M</v>
      </c>
      <c r="HI5" s="189" t="str">
        <f>Desc_VeryLow_Environ</f>
        <v>Reportable Incident to Environmental Agency</v>
      </c>
    </row>
    <row r="6" spans="1:217" s="5" customFormat="1" ht="12.75" customHeight="1" x14ac:dyDescent="0.25">
      <c r="A6" s="35"/>
      <c r="B6" s="64" t="str">
        <f>'Scenario Identification'!BK3</f>
        <v>Mechanical Seal Failure</v>
      </c>
      <c r="C6" s="1457" t="str">
        <f t="shared" si="10"/>
        <v/>
      </c>
      <c r="D6" s="65"/>
      <c r="E6" s="2483" t="str">
        <f>IF(MAX('Release Calculations'!D35,'Release Calculations'!D43,'Release Calculations'!D62,1-'Release Calculations'!D82,ABS(MIN('Release Calculations'!D35,'Release Calculations'!D43,'Release Calculations'!D62,1-'Release Calculations'!D82)))&gt;$E$4,"Yes","")</f>
        <v/>
      </c>
      <c r="F6" s="1418" t="s">
        <v>428</v>
      </c>
      <c r="G6" s="1434">
        <f t="shared" si="11"/>
        <v>0</v>
      </c>
      <c r="H6" s="1427" t="str">
        <f t="shared" ref="H6:H50" si="31">IF(Report_V&lt;&gt;"",Report_V,Volume_Units)</f>
        <v>liter</v>
      </c>
      <c r="I6" s="1418">
        <f>ROUND('Release Calculations'!D7/$I$4,2)</f>
        <v>10</v>
      </c>
      <c r="J6" s="1421" t="str">
        <f t="shared" ref="J6:J25" si="32">IF(Report_H&lt;&gt;"",Report_H,D_Units)</f>
        <v>mm</v>
      </c>
      <c r="K6" s="1427">
        <f t="shared" si="12"/>
        <v>0</v>
      </c>
      <c r="L6" s="1434">
        <f>sig('Release Calculations'!$D$16/$L$4,3,100,0)</f>
        <v>0</v>
      </c>
      <c r="M6" s="1435" t="str">
        <f t="shared" si="13"/>
        <v>kg</v>
      </c>
      <c r="N6" s="1432" t="str">
        <f t="shared" si="14"/>
        <v xml:space="preserve">Liquid:   ,  ,  ,  ,  </v>
      </c>
      <c r="O6" s="1434">
        <f>ROUND('Release Calculations'!$D$9,0)</f>
        <v>0</v>
      </c>
      <c r="P6" s="1434">
        <f>ROUND('Release Calculations'!$D$8/$P$4,2)</f>
        <v>0</v>
      </c>
      <c r="Q6" s="1446" t="str">
        <f>IF(Report_P&lt;&gt;"",Report_P,P_Units)</f>
        <v>bar</v>
      </c>
      <c r="R6" s="1434">
        <f>sig('Release Calculations'!$D$23/$AG$4,3,10,0)</f>
        <v>0</v>
      </c>
      <c r="S6" s="1447" t="str">
        <f t="shared" si="16"/>
        <v>kg/min</v>
      </c>
      <c r="T6" s="1435">
        <f>ROUND('Release Calculations'!$D$13/$T$4,0)</f>
        <v>0</v>
      </c>
      <c r="U6" s="1434">
        <f>ROUND(('Release Calculations'!$D$13+'Release Calculations'!$D$14)/$U$4,0)</f>
        <v>0</v>
      </c>
      <c r="V6" s="1434">
        <f>sig('Release Calculations'!$D$55/$V$4,3,100,0)</f>
        <v>0</v>
      </c>
      <c r="W6" s="1435" t="str">
        <f>IF(Report_A&lt;&gt;"",Report_A,IF(Dike_Area_Units="","sq m",Dike_Area_Units))</f>
        <v>sq m</v>
      </c>
      <c r="X6" s="1438">
        <f>ROUND('Release Calculations'!D$214,3)</f>
        <v>0</v>
      </c>
      <c r="Y6" s="1458" t="str">
        <f>IF('Release Calculations'!$D$225="","",sig('Release Calculations'!$D$225,3,1000,0))</f>
        <v/>
      </c>
      <c r="Z6" s="1458" t="str">
        <f>IF('Release Calculations'!$D$231="","",sig('Release Calculations'!$D$231,3,1000,0))</f>
        <v/>
      </c>
      <c r="AA6" s="1458" t="str">
        <f>IF('Release Calculations'!$D$255="","",sig('Release Calculations'!$D$255,3,1000,0))</f>
        <v/>
      </c>
      <c r="AB6" s="1458" t="str">
        <f>IF('Release Calculations'!$D$261="","",sig('Release Calculations'!$D$261,3,1000,0))</f>
        <v/>
      </c>
      <c r="AC6" s="1458" t="str">
        <f>IF('Release Calculations'!$D$267="","",sig('Release Calculations'!$D$267,3,1000,0))</f>
        <v/>
      </c>
      <c r="AD6" s="1196" t="str">
        <f>IF('Release Calculations'!$D$249="","",ROUND('Release Calculations'!$D$249,1))</f>
        <v/>
      </c>
      <c r="AE6" s="1434">
        <f>sig('Release Calculations'!$D$70/$AE$4,3,100,0)</f>
        <v>0</v>
      </c>
      <c r="AF6" s="1435" t="str">
        <f t="shared" si="17"/>
        <v>kg</v>
      </c>
      <c r="AG6" s="1326">
        <f>sig('Release Calculations'!D$89/$AG$4,3,10,3)</f>
        <v>3.0000000000000001E-3</v>
      </c>
      <c r="AH6" s="1435" t="str">
        <f t="shared" ref="AH6:AH50" si="33">Small_Leak_Units</f>
        <v>kg/min</v>
      </c>
      <c r="AI6" s="1434">
        <f>sig('Release Calculations'!$D$282/$AI$4,3,100,0)</f>
        <v>0</v>
      </c>
      <c r="AJ6" s="1435" t="str">
        <f>IF(Report_D&lt;&gt;"",Report_D,Public_Units)</f>
        <v>m</v>
      </c>
      <c r="AK6" s="1434">
        <f>sig('Release Calculations'!$D$285/$AK$4,3,100,0)</f>
        <v>0</v>
      </c>
      <c r="AL6" s="1435" t="str">
        <f t="shared" si="19"/>
        <v>m</v>
      </c>
      <c r="AM6" s="1434">
        <f>sig('Release Calculations'!$D$287/$AM$4,3,100,0)</f>
        <v>0</v>
      </c>
      <c r="AN6" s="1435" t="str">
        <f t="shared" si="20"/>
        <v>m</v>
      </c>
      <c r="AO6" s="1434">
        <f>sig('Release Calculations'!$D$288/$AO$4,3,100,0)</f>
        <v>0</v>
      </c>
      <c r="AP6" s="1452" t="str">
        <f t="shared" si="20"/>
        <v>m</v>
      </c>
      <c r="AQ6" s="1434">
        <f>sig('Release Calculations'!$D$290/$AQ$4,3,100,0)</f>
        <v>0</v>
      </c>
      <c r="AR6" s="1452" t="str">
        <f t="shared" si="20"/>
        <v>m</v>
      </c>
      <c r="AS6" s="1452" t="str">
        <f t="shared" si="21"/>
        <v/>
      </c>
      <c r="AT6" s="1452" t="str">
        <f t="shared" si="22"/>
        <v/>
      </c>
      <c r="AU6" s="1452" t="str">
        <f t="shared" si="23"/>
        <v/>
      </c>
      <c r="AV6" s="114">
        <f>sig('Release Calculations'!$D$296,3,1000,-1)</f>
        <v>0</v>
      </c>
      <c r="AW6" s="114">
        <f>sig('Release Calculations'!$D$297,3,1000,-1)</f>
        <v>0</v>
      </c>
      <c r="AX6" s="114" t="str">
        <f>sig('Release Calculations'!$D$298,3,1000,0)</f>
        <v/>
      </c>
      <c r="AY6" s="114" t="str">
        <f>sig('Release Calculations'!$D$299,3,1000,0)</f>
        <v/>
      </c>
      <c r="AZ6" s="114">
        <f>sig('Release Calculations'!$D$300,3,1000,-1)</f>
        <v>0</v>
      </c>
      <c r="BA6" s="114">
        <f>sig('Release Calculations'!$D$301,3,1000,-1)</f>
        <v>0</v>
      </c>
      <c r="BB6" s="114" t="str">
        <f>sig('Release Calculations'!$D$302,3,10,3)</f>
        <v/>
      </c>
      <c r="BC6" s="2576" t="str">
        <f>sig('Release Calculations'!$D$303,3,10,3)</f>
        <v/>
      </c>
      <c r="BD6" s="2569">
        <f>sig('Release Calculations'!$D$320/$BD$4,3,100,0)</f>
        <v>0</v>
      </c>
      <c r="BE6" s="1435" t="str">
        <f t="shared" ref="BE6:BG50" si="34">IF(Report_D&lt;&gt;"",Report_D,Public_Units)</f>
        <v>m</v>
      </c>
      <c r="BF6" s="2569">
        <f>sig('Release Calculations'!$D$319/$BF$4,3,100,0)</f>
        <v>0</v>
      </c>
      <c r="BG6" s="1435" t="str">
        <f t="shared" si="34"/>
        <v>m</v>
      </c>
      <c r="BH6" s="1419"/>
      <c r="BI6" s="1422"/>
      <c r="BJ6" s="1419"/>
      <c r="BK6" s="1422"/>
      <c r="BL6" s="2573"/>
      <c r="BM6" s="2573"/>
      <c r="BN6" s="1441"/>
      <c r="BO6" s="1746"/>
      <c r="BP6" s="1503">
        <f>sig('Release Calculations'!$D$90/$BP$4,3,10,1)</f>
        <v>0</v>
      </c>
      <c r="BQ6" s="1435" t="str">
        <f t="shared" si="24"/>
        <v>kg/min</v>
      </c>
      <c r="BR6" s="1434">
        <f>sig(IF(Location="Indoors",'Release Calculations'!$D$311/$BR$4,'Release Calculations'!$D$325/$BR$4),3,100,0)</f>
        <v>0</v>
      </c>
      <c r="BS6" s="1435" t="str">
        <f t="shared" si="25"/>
        <v>m</v>
      </c>
      <c r="BT6" s="1748">
        <f>ROUND(IF(Location="Indoors",'Release Calculations'!$D$314,'Release Calculations'!$D$330),1)</f>
        <v>0</v>
      </c>
      <c r="BU6" s="1748">
        <f>ROUND(IF(Location="Indoors",'Release Calculations'!$D$316,'Release Calculations'!$D$334),1)</f>
        <v>0</v>
      </c>
      <c r="BV6" s="1436"/>
      <c r="BW6" s="1442"/>
      <c r="BX6" s="262"/>
      <c r="BY6" s="262"/>
      <c r="BZ6" s="123"/>
      <c r="CA6" s="4" t="str">
        <f>IF('Release Calculations'!D$338="NA","",'Release Calculations'!D$338)</f>
        <v/>
      </c>
      <c r="CB6" s="4" t="str">
        <f>IF('Release Calculations'!D$368="NA","",'Release Calculations'!D$368)</f>
        <v/>
      </c>
      <c r="CC6" s="4" t="str">
        <f>IF('Release Calculations'!D$373="NA","",'Release Calculations'!D$373)</f>
        <v/>
      </c>
      <c r="CD6" s="735" t="str">
        <f>IF('Release Calculations'!D$378="NA","",'Release Calculations'!D$378)</f>
        <v/>
      </c>
      <c r="CE6" s="4" t="str">
        <f>IF('Release Calculations'!D$384="NA","",'Release Calculations'!D$384)</f>
        <v/>
      </c>
      <c r="CF6" s="4" t="str">
        <f>IF('Release Calculations'!D$389="NA","",'Release Calculations'!D$389)</f>
        <v/>
      </c>
      <c r="CG6" s="4" t="str">
        <f>IF('Release Calculations'!D$409="NA","",'Release Calculations'!D$409)</f>
        <v/>
      </c>
      <c r="CH6" s="4" t="str">
        <f>IF('Release Calculations'!D$399="NA","",'Release Calculations'!D$399)</f>
        <v/>
      </c>
      <c r="CI6" s="4"/>
      <c r="CJ6" s="4"/>
      <c r="CK6" s="4" t="str">
        <f>IF('Release Calculations'!BD418="NA","",'Release Calculations'!BD418)</f>
        <v/>
      </c>
      <c r="CL6" s="19"/>
      <c r="CM6" s="19"/>
      <c r="CN6" s="189" t="str">
        <f>IF(CA6="","",IF('Release Calculations'!D$284="Yes",IF(CA6=Conseq_VeryLow,Desc_VeryLow,IF(CA6=Conseq_Low,Desc_Low,IF(CA6=Conseq_Moderate,Desc_Moderate,IF(CA6=Conseq_High,Desc_High,IF(CA6=Conseq_VeryHigh,Desc_VeryHigh,IF(CA6=Conseq_ExtremeHigh,Desc_ExtremeHigh,Desc_GT_ExtremeHigh)))))),IF(CA6=Conseq_Low_Offsite,Desc_Low_Offsite,Desc_VeryLow_Offsite)))</f>
        <v/>
      </c>
      <c r="CO6" s="189" t="str">
        <f t="shared" si="26"/>
        <v/>
      </c>
      <c r="CP6" s="189" t="str">
        <f t="shared" si="26"/>
        <v/>
      </c>
      <c r="CQ6" s="189" t="str">
        <f t="shared" si="26"/>
        <v/>
      </c>
      <c r="CR6" s="189" t="str">
        <f t="shared" si="26"/>
        <v/>
      </c>
      <c r="CS6" s="189" t="str">
        <f t="shared" si="26"/>
        <v/>
      </c>
      <c r="CT6" s="189" t="str">
        <f t="shared" si="26"/>
        <v/>
      </c>
      <c r="CU6" s="189" t="str">
        <f t="shared" si="26"/>
        <v/>
      </c>
      <c r="CV6" s="67"/>
      <c r="CW6" s="67"/>
      <c r="CX6" s="189" t="str">
        <f>IF(CK6="","",IF(CK6=Conseq_VeryLow,Desc_VeryLow_Environ,IF(CK6=Conseq_Low,Desc_Low_Environ,IF(CK6=Conseq_Moderate,Desc_Moderate_Environ,IF(CK6=Conseq_High,Desc_High_Environ,IF(CK6=Conseq_VeryHigh,Desc_VeryHigh_Environ,Desc_ExtremeHigh_Environ))))))</f>
        <v/>
      </c>
      <c r="CY6" s="40" t="s">
        <v>822</v>
      </c>
      <c r="CZ6" s="189" t="str">
        <f>IF(CA6="","",IF('Release Calculations'!D$284="Yes"," at a "&amp;$AI$3&amp;" of "&amp;AI6&amp;" "&amp;AJ6&amp;" which exceeds Distance to the Fence Line of "&amp;Public_Input&amp;" "&amp;Public_Units))</f>
        <v/>
      </c>
      <c r="DA6" s="1233" t="str">
        <f>IF(CB6="","",IF('Release Calculations'!$D$292="Yes"," with operating personnel in close proximity and a "&amp;$AM$3&amp;" of "&amp;AM6&amp;" "&amp;AN6," at a "&amp;$AM$3&amp;" of "&amp;AM6&amp;" "&amp;AN6)&amp;IF('Release Calculations'!$D$287&gt;Public," which exceeds Distance to the Fence Line of "&amp;Public_Input&amp;" "&amp;Public_Units&amp;".  Target Factor may be conservative",))</f>
        <v/>
      </c>
      <c r="DB6" s="226" t="str">
        <f>IF(CC6="","",IF('Release Calculations'!D305="Yes","and Potential for Asphyxiation","")&amp;IF('Release Calculations'!D$292="Yes"," with operations personnel in close proximity at an "&amp;$AZ$3&amp;" of "&amp;AZ6&amp;" ppm"," at an "&amp;$AZ$3&amp;" of "&amp;AZ6&amp;" ppm"))</f>
        <v/>
      </c>
      <c r="DC6" s="189" t="str">
        <f t="shared" si="27"/>
        <v/>
      </c>
      <c r="DD6" s="189" t="str">
        <f>IF(CE6="",""," of a "&amp;IF(Ease_of_Ignition_Feed="High","pyrophoric ","high/low temperature ")&amp;IF(Dermal_Tox_Feed&lt;&gt;"","or "&amp;Dermal_Tox_Feed,"")&amp;" chemical"&amp;IF('Release Calculations'!$D$292="Yes"," with operating personnel in close proximity",""))</f>
        <v/>
      </c>
      <c r="DE6" s="189" t="str">
        <f>IF(CF6="","",IF('Release Calculations'!$D$292="Yes"," with operating personnel in close proximity and a "&amp;$BF$3&amp;" of "&amp;BF6&amp;" "&amp;BG6," at a "&amp;$BF$3&amp;" of "&amp;BF6&amp;" "&amp;BG6))</f>
        <v/>
      </c>
      <c r="DF6" s="189" t="str">
        <f>IF(CG6="","",IF('Release Calculations'!D$326="Yes"," with "&amp;$BR$3&amp;" of "&amp;BR6&amp;" "&amp;BS6&amp;IF('Release Calculations'!D$335&lt;&gt;"Yes",""," including "&amp;$BT$3&amp;" of "&amp;BT6&amp;" psi.")&amp;" 1 psi Blast Overpresssure exceeds Distance to the Fence Line of "&amp;Public_Input&amp;" "&amp;Public_Units&amp;".  Consider adjustment for Off-Site Impacts",IF('Release Calculations'!D$335&lt;&gt;"Yes"," impacting on site personnel at a "&amp;$BR$3&amp;" of "&amp;BR6&amp;" "&amp;BS6," impacting on site personnel at a "&amp;$BR$3&amp;" of "&amp;BR6&amp;" "&amp;BS6&amp;" including "&amp;$BT$3&amp;" of "&amp;BT6&amp;" psi")))</f>
        <v/>
      </c>
      <c r="DG6" s="189" t="str">
        <f>IF(CH6="","",IF('Release Calculations'!D$312="Yes"," with "&amp;$BR$3&amp;" of "&amp;BR6&amp;" "&amp;BS6&amp;IF('Release Calculations'!D$317&lt;&gt;"Yes",""," including "&amp;$BT$3&amp;" of "&amp;BT6&amp;" psi.")&amp;"  1 psi Blast Overpresssure exceeds Distance to the Fence Line of "&amp;Public_Input&amp;" "&amp;Public_Units&amp;".  Consider adjustment for Off-Site Impacts",IF('Release Calculations'!D$317&lt;&gt;"Yes"," impacting enclosed area operating personnel, on site personnel at a "&amp;$BR$3&amp;" of "&amp;BR6&amp;" "&amp;BS6," impacting enclosed area operating personnel, on site personnel at a "&amp;$BR$3&amp;" of "&amp;BR6&amp;" "&amp;BS6&amp;" including "&amp;$BT$3&amp;" of "&amp;BT6&amp;" psi")))</f>
        <v/>
      </c>
      <c r="DH6" s="67"/>
      <c r="DI6" s="67"/>
      <c r="DJ6" s="189" t="str">
        <f>IF('Release Calculations'!AZ418&gt;0,"Groundwater or Remediation Issue",IF('Release Calculations'!BB418&gt;0,"High Aqueous Toxicity",""))</f>
        <v/>
      </c>
      <c r="DK6" s="19"/>
      <c r="DL6" s="39"/>
      <c r="DM6" s="239">
        <f>'Release Calculations'!D$366</f>
        <v>0</v>
      </c>
      <c r="DN6" s="239">
        <f>'Release Calculations'!D$371</f>
        <v>0</v>
      </c>
      <c r="DO6" s="34"/>
      <c r="DP6" s="239">
        <f>'Release Calculations'!D$382</f>
        <v>0</v>
      </c>
      <c r="DQ6" s="239">
        <f>'Release Calculations'!D$387</f>
        <v>0</v>
      </c>
      <c r="DR6" s="34"/>
      <c r="DS6" s="34"/>
      <c r="DT6" s="34"/>
      <c r="DU6" s="34"/>
      <c r="DV6" s="6"/>
      <c r="DW6" s="40"/>
      <c r="DX6" s="250"/>
      <c r="DY6" s="249" t="s">
        <v>2983</v>
      </c>
      <c r="DZ6" s="250" t="s">
        <v>292</v>
      </c>
      <c r="EA6" s="740"/>
      <c r="EB6" s="249" t="str">
        <f>"Probability of Exposure to Hot or Toxic Material"</f>
        <v>Probability of Exposure to Hot or Toxic Material</v>
      </c>
      <c r="EC6" s="249" t="s">
        <v>292</v>
      </c>
      <c r="ED6" s="248"/>
      <c r="EE6" s="248"/>
      <c r="EF6" s="248"/>
      <c r="EG6" s="248"/>
      <c r="EH6" s="248"/>
      <c r="EI6" s="19"/>
      <c r="EJ6" s="250"/>
      <c r="EK6" s="249" t="str">
        <f>IF(Attended_Op="Yes","Noted as Personnel Routinely in Immediate Area or Equipment Type involves Materials Handling - "&amp;IF('Release Calculations'!D210*3600&lt;30," with a very Short Exposure Duration (&lt; 30 sec)","Time at Risk May Apply"),"Probability of Personnel to be in Close Proximity to Chemical Release based on Toxic Impact Area to "&amp;AM6&amp;" "&amp;AN6&amp;IF('Release Calculations'!D365&lt;0.01," (with potential for higher POE credit upon further review)",""))</f>
        <v>Probability of Personnel to be in Close Proximity to Chemical Release based on Toxic Impact Area to 0 m (with potential for higher POE credit upon further review)</v>
      </c>
      <c r="EL6" s="250" t="str">
        <f>IF(Attended_Op="Yes","Noted as Personnel Routinely in Immediate Area or Equipment Type involves Materials Handling - Time at Risk May Apply","Probability of Personnel to be in Close Proximity to Chemical Release based on Ratio Enclosed Process Area Concentation of "&amp;AZ6&amp;" ppm to 10 ER-3 for "&amp;Chemical&amp;IF(Fract_Key_Chemical&lt;1," mixture "," ")&amp;IF('Release Calculations'!$D$370&lt;0.01,"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6" s="248"/>
      <c r="EN6"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Calculations'!$D$381&lt;0.01," (with potential for higher POE credit upon further review)",""))</f>
        <v>Probability of Personnel to be in Close Proximity to Chemical Release based on Spray Distance of 1 m (with potential for higher POE credit upon further review)</v>
      </c>
      <c r="EO6"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"&amp;AZ6&amp;" to "&amp;LFL_Fract_FlashFIre&amp;" LFL","Flammable Impact Area to "&amp;BF6&amp;" "&amp;BG6)&amp;IF('Release Calculations'!$D$386&lt;0.01," (with potential for higher POE credit upon further review)",""))</f>
        <v>Probability of Personnel to be in Close Proximity to Chemical Release based on Flammable Impact Area to 0 m (with potential for higher POE credit upon further review)</v>
      </c>
      <c r="EP6" s="248"/>
      <c r="EQ6" s="248"/>
      <c r="ER6" s="248"/>
      <c r="ES6" s="248"/>
      <c r="ET6" s="248"/>
      <c r="EU6" s="19"/>
      <c r="EV6" s="1379"/>
      <c r="EW6" s="957">
        <f>'Release Calculations'!D365</f>
        <v>6.0000000000000008E-7</v>
      </c>
      <c r="EX6" s="957">
        <f>'Release Calculations'!$D$370</f>
        <v>0</v>
      </c>
      <c r="EY6" s="1380"/>
      <c r="EZ6" s="957">
        <f>'Release Calculations'!$D$381</f>
        <v>0</v>
      </c>
      <c r="FA6" s="957">
        <f>'Release Calculations'!$D$386</f>
        <v>0</v>
      </c>
      <c r="FB6" s="6"/>
      <c r="FC6" s="6"/>
      <c r="FD6" s="6"/>
      <c r="FE6" s="6"/>
      <c r="FF6" s="6"/>
      <c r="FG6" s="19"/>
      <c r="FH6" s="34"/>
      <c r="FI6" s="34"/>
      <c r="FJ6" s="34"/>
      <c r="FK6" s="34"/>
      <c r="FL6" s="34"/>
      <c r="FM6" s="239" t="str">
        <f>IF(Location="Outdoors",'Release Calculations'!D$323,'Release Calculations'!D$309)</f>
        <v/>
      </c>
      <c r="FN6" s="239" t="str">
        <f>'Release Calculations'!D$324</f>
        <v/>
      </c>
      <c r="FO6" s="39" t="str">
        <f>IF(State&lt;&gt;"Solid",'Release Calculations'!D$309,Dust_SecondExpl_POE)</f>
        <v/>
      </c>
      <c r="FP6" s="34"/>
      <c r="FQ6" s="34"/>
      <c r="FR6" s="6"/>
      <c r="FS6" s="40"/>
      <c r="FT6" s="248"/>
      <c r="FU6" s="248"/>
      <c r="FV6" s="248"/>
      <c r="FW6" s="248"/>
      <c r="FX6" s="248"/>
      <c r="FY6" s="249" t="s">
        <v>1461</v>
      </c>
      <c r="FZ6" s="249" t="s">
        <v>1460</v>
      </c>
      <c r="GA6" s="250" t="s">
        <v>1461</v>
      </c>
      <c r="GB6" s="248"/>
      <c r="GC6" s="248"/>
      <c r="GD6" s="248"/>
      <c r="GE6" s="19"/>
      <c r="GF6" s="67"/>
      <c r="GG6" s="67"/>
      <c r="GH6" s="67"/>
      <c r="GI6" s="67"/>
      <c r="GJ6" s="67"/>
      <c r="GK6"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"&amp;BP6&amp;" "&amp;BQ6&amp;" Easily Ignited Material with Distance to LFL of "&amp;BD6&amp;" "&amp;BE6,IF(OR(Ease_of_Ignition_Feed="Low",AND(Flash_Pt_Feed&gt;MAX(Ambient_Temp,T),Aerosol_Potential="Yes")),"Outdoor Release of Difficult to Ignite Material  or Combustible Aerosol","Outdoor release of "&amp;BP6&amp;" "&amp;BQ6&amp;" Flammable Material with Distance to LFL of "&amp;BD6&amp;" "&amp;BE6)),IF(Ease_of_Ignition_Feed="Elevated","Indoor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6" s="2581" t="str">
        <f t="shared" si="28"/>
        <v>No Flash Point Entered</v>
      </c>
      <c r="GM6" s="250" t="str">
        <f t="shared" si="29"/>
        <v>Indoor Release of Flammable Material-POX</v>
      </c>
      <c r="GN6" s="248"/>
      <c r="GO6" s="248"/>
      <c r="GP6" s="248"/>
      <c r="GQ6" s="19"/>
      <c r="GR6" s="189" t="str">
        <f t="shared" ref="GR6:GR57" si="35">IF(CA6="","",CA$3&amp;"; ")&amp;IF(CB6="","",CB$3&amp;"; ")&amp;IF(CC6="","",CC$3&amp;"; ")&amp;IF(CD6="","",CD$3&amp;"; ")&amp;IF(CE6="","",CE$3&amp;"; ")&amp;IF(CF6="","",CF$3&amp;"; ")&amp;IF(CG6="","",CG$3&amp;"; ")&amp;IF(CH6="","",CH$3&amp;"; ")&amp;IF(CI6="","",CI$3&amp;"; ")&amp;IF(CJ6="","",CJ$3&amp;"; ")&amp;IF(CK6="","",CK$3)</f>
        <v/>
      </c>
      <c r="GS6" s="19"/>
      <c r="GT6" s="19"/>
      <c r="GU6" s="64" t="str">
        <f>Desc_VeryLow</f>
        <v>Moderate Severity</v>
      </c>
      <c r="GV6" s="193">
        <f>Conseq_VeryLow</f>
        <v>2</v>
      </c>
      <c r="GW6" s="19"/>
      <c r="GX6" s="37">
        <f>Conseq_Low</f>
        <v>3</v>
      </c>
      <c r="GY6" s="189" t="str">
        <f>Desc_Low_Offsite</f>
        <v>Public Required to Shelter Indoors</v>
      </c>
      <c r="GZ6" s="189" t="str">
        <f t="shared" ref="GZ6:HG6" si="36">Desc_Low</f>
        <v>High Severity</v>
      </c>
      <c r="HA6" s="189" t="str">
        <f t="shared" si="36"/>
        <v>High Severity</v>
      </c>
      <c r="HB6" s="189" t="str">
        <f t="shared" si="36"/>
        <v>High Severity</v>
      </c>
      <c r="HC6" s="189" t="str">
        <f t="shared" si="36"/>
        <v>High Severity</v>
      </c>
      <c r="HD6" s="189" t="str">
        <f t="shared" si="36"/>
        <v>High Severity</v>
      </c>
      <c r="HE6" s="189" t="str">
        <f t="shared" si="36"/>
        <v>High Severity</v>
      </c>
      <c r="HF6" s="189" t="str">
        <f t="shared" si="36"/>
        <v>High Severity</v>
      </c>
      <c r="HG6" s="189" t="str">
        <f t="shared" si="36"/>
        <v>High Severity</v>
      </c>
      <c r="HH6" s="189" t="str">
        <f>Desc_Low_Bus</f>
        <v>Property Damage and Business Loss $50 M to $500 M</v>
      </c>
      <c r="HI6" s="189" t="str">
        <f>Desc_Low_Environ</f>
        <v>Environmental Contamination Confined to Site</v>
      </c>
    </row>
    <row r="7" spans="1:217" s="19" customFormat="1" ht="12.75" customHeight="1" x14ac:dyDescent="0.25">
      <c r="A7" s="35"/>
      <c r="B7" s="64" t="str">
        <f>'Scenario Identification'!BL3</f>
        <v>Mechanical Seal Failure above Liquid Level</v>
      </c>
      <c r="C7" s="1457" t="str">
        <f t="shared" si="10"/>
        <v/>
      </c>
      <c r="D7" s="65"/>
      <c r="E7" s="2483" t="str">
        <f>IF(MAX('Release Calculations'!D426,1-'Release Calculations'!D455,ABS(MIN('Release Calculations'!D426,1-'Release Calculations'!D455)))&gt;$E$4,"Yes","")</f>
        <v/>
      </c>
      <c r="F7" s="1418" t="s">
        <v>428</v>
      </c>
      <c r="G7" s="1434">
        <f t="shared" si="11"/>
        <v>0</v>
      </c>
      <c r="H7" s="1427" t="str">
        <f t="shared" si="31"/>
        <v>liter</v>
      </c>
      <c r="I7" s="1418">
        <f>ROUND('Release Calculations'!D7/$I$4,2)</f>
        <v>10</v>
      </c>
      <c r="J7" s="1421" t="str">
        <f t="shared" si="32"/>
        <v>mm</v>
      </c>
      <c r="K7" s="1427">
        <f t="shared" si="12"/>
        <v>0</v>
      </c>
      <c r="L7" s="1434">
        <f>sig('Release Calculations'!$D$437/$L$4,3,100,0)</f>
        <v>0</v>
      </c>
      <c r="M7" s="1435" t="str">
        <f t="shared" si="13"/>
        <v>kg</v>
      </c>
      <c r="N7" s="1432" t="str">
        <f t="shared" si="14"/>
        <v xml:space="preserve">Liquid:   ,  ,  ,  ,  </v>
      </c>
      <c r="O7" s="1434">
        <f>ROUND('Release Calculations'!$D$416,0)</f>
        <v>0</v>
      </c>
      <c r="P7" s="1434">
        <f>ROUND('Release Calculations'!$D$415/$P$4,2)</f>
        <v>0</v>
      </c>
      <c r="Q7" s="1446" t="str">
        <f t="shared" si="15"/>
        <v>bar</v>
      </c>
      <c r="R7" s="1434">
        <f>sig('Release Calculations'!$D$418/$AG$4,3,10,0)</f>
        <v>0</v>
      </c>
      <c r="S7" s="1447" t="str">
        <f t="shared" si="16"/>
        <v>kg/min</v>
      </c>
      <c r="T7" s="1435">
        <f>ROUND('Release Calculations'!$D$434/$T$4,0)</f>
        <v>0</v>
      </c>
      <c r="U7" s="1434">
        <f>ROUND(('Release Calculations'!$D$434+'Release Calculations'!$D$435)/$U$4,0)</f>
        <v>60</v>
      </c>
      <c r="V7" s="1434"/>
      <c r="W7" s="1435"/>
      <c r="X7" s="1438">
        <f>ROUND('Release Calculations'!D$589,3)</f>
        <v>0</v>
      </c>
      <c r="Y7" s="1458" t="str">
        <f>IF('Release Calculations'!$D$602="","",sig('Release Calculations'!$D$602,3,1000,0))</f>
        <v/>
      </c>
      <c r="Z7" s="1458" t="str">
        <f>IF('Release Calculations'!$D$609="","",sig('Release Calculations'!$D$609,3,1000,0))</f>
        <v/>
      </c>
      <c r="AA7" s="1458" t="str">
        <f>IF('Release Calculations'!$D$637="","",sig('Release Calculations'!$D$637,3,1000,0))</f>
        <v/>
      </c>
      <c r="AB7" s="1458" t="str">
        <f>IF('Release Calculations'!$D$644="","",sig('Release Calculations'!DH$430,3,1000,0))</f>
        <v/>
      </c>
      <c r="AC7" s="1458" t="str">
        <f>IF('Release Calculations'!$D$651="","",sig('Release Calculations'!$D$651,3,1000,0))</f>
        <v/>
      </c>
      <c r="AD7" s="1196" t="str">
        <f>IF('Release Calculations'!$D$630="","",ROUND('Release Calculations'!$D$630,1))</f>
        <v/>
      </c>
      <c r="AE7" s="1434">
        <f>sig('Release Calculations'!DH$335/$AE$4,3,100,0)</f>
        <v>0</v>
      </c>
      <c r="AF7" s="1435" t="str">
        <f t="shared" si="17"/>
        <v>kg</v>
      </c>
      <c r="AG7" s="1326">
        <f>sig('Release Calculations'!D$464/$AG$4,3,10,3)</f>
        <v>4.7E-2</v>
      </c>
      <c r="AH7" s="1435" t="str">
        <f t="shared" si="33"/>
        <v>kg/min</v>
      </c>
      <c r="AI7" s="1434">
        <f>sig('Release Calculations'!$D$666/$AI$4,3,100,0)</f>
        <v>0</v>
      </c>
      <c r="AJ7" s="1435" t="str">
        <f t="shared" si="18"/>
        <v>m</v>
      </c>
      <c r="AK7" s="1434">
        <f>sig('Release Calculations'!$D$669/$AK$4,3,100,0)</f>
        <v>0</v>
      </c>
      <c r="AL7" s="1435" t="str">
        <f t="shared" si="19"/>
        <v>m</v>
      </c>
      <c r="AM7" s="1434">
        <f>sig('Release Calculations'!$D$671/$AM$4,3,100,0)</f>
        <v>0</v>
      </c>
      <c r="AN7" s="1435" t="str">
        <f t="shared" si="20"/>
        <v>m</v>
      </c>
      <c r="AO7" s="1434">
        <f>sig('Release Calculations'!$D$672/$AO$4,3,100,0)</f>
        <v>0</v>
      </c>
      <c r="AP7" s="1452" t="str">
        <f t="shared" si="20"/>
        <v>m</v>
      </c>
      <c r="AQ7" s="1434">
        <f>sig('Release Calculations'!$D$674/$AQ$4,3,100,0)</f>
        <v>0</v>
      </c>
      <c r="AR7" s="1452" t="str">
        <f t="shared" si="20"/>
        <v>m</v>
      </c>
      <c r="AS7" s="1452" t="str">
        <f t="shared" si="21"/>
        <v/>
      </c>
      <c r="AT7" s="1452" t="str">
        <f t="shared" si="22"/>
        <v/>
      </c>
      <c r="AU7" s="1452" t="str">
        <f t="shared" si="23"/>
        <v/>
      </c>
      <c r="AV7" s="114">
        <f>sig('Release Calculations'!$D$679,3,1000,-1)</f>
        <v>0</v>
      </c>
      <c r="AW7" s="114">
        <f>sig('Release Calculations'!$D$680,3,1000,-1)</f>
        <v>0</v>
      </c>
      <c r="AX7" s="114" t="str">
        <f>sig('Release Calculations'!$D$681,3,1000,0)</f>
        <v/>
      </c>
      <c r="AY7" s="114" t="str">
        <f>sig('Release Calculations'!$D$682,3,1000,0)</f>
        <v/>
      </c>
      <c r="AZ7" s="114">
        <f>sig('Release Calculations'!$D$683,3,1000,-1)</f>
        <v>0</v>
      </c>
      <c r="BA7" s="114">
        <f>sig('Release Calculations'!$D$684,3,1000,-1)</f>
        <v>0</v>
      </c>
      <c r="BB7" s="114" t="str">
        <f>sig('Release Calculations'!$D$685,3,10,3)</f>
        <v/>
      </c>
      <c r="BC7" s="2576" t="str">
        <f>sig('Release Calculations'!$D$686,3,10,3)</f>
        <v/>
      </c>
      <c r="BD7" s="2569">
        <f>sig('Release Calculations'!$D$703/$BD$4,3,100,0)</f>
        <v>0</v>
      </c>
      <c r="BE7" s="1435" t="str">
        <f t="shared" si="34"/>
        <v>m</v>
      </c>
      <c r="BF7" s="2569">
        <f>sig('Release Calculations'!$D$702/$BF$4,3,100,0)</f>
        <v>0</v>
      </c>
      <c r="BG7" s="1435" t="str">
        <f t="shared" si="34"/>
        <v>m</v>
      </c>
      <c r="BH7" s="1419"/>
      <c r="BI7" s="1422"/>
      <c r="BJ7" s="1419"/>
      <c r="BK7" s="1422"/>
      <c r="BL7" s="2573"/>
      <c r="BM7" s="2573"/>
      <c r="BN7" s="1441"/>
      <c r="BO7" s="1746"/>
      <c r="BP7" s="1503">
        <f>sig('Release Calculations'!$D$465/$BP$4,3,10,1)</f>
        <v>0</v>
      </c>
      <c r="BQ7" s="1435" t="str">
        <f t="shared" si="24"/>
        <v>kg/min</v>
      </c>
      <c r="BR7" s="1434">
        <f>sig(IF(Location="Indoors",'Release Calculations'!$D$694/$BR$4,'Release Calculations'!$D$708/$BR$4),3,100,0)</f>
        <v>0</v>
      </c>
      <c r="BS7" s="1435" t="str">
        <f t="shared" si="25"/>
        <v>m</v>
      </c>
      <c r="BT7" s="1748">
        <f>ROUND(IF(Location="Indoors",'Release Calculations'!$D$697,'Release Calculations'!$F$713),1)</f>
        <v>0</v>
      </c>
      <c r="BU7" s="1748">
        <f>ROUND(IF(Location="Indoors",'Release Calculations'!$D$699,'Release Calculations'!$D$717),1)</f>
        <v>0</v>
      </c>
      <c r="BV7" s="1436"/>
      <c r="BW7" s="1442"/>
      <c r="BX7" s="1415"/>
      <c r="BY7" s="1415"/>
      <c r="BZ7" s="123"/>
      <c r="CA7" s="4" t="str">
        <f>IF('Release Calculations'!D$721="NA","",'Release Calculations'!D$721)</f>
        <v/>
      </c>
      <c r="CB7" s="4" t="str">
        <f>IF('Release Calculations'!D$751="NA","",'Release Calculations'!D$751)</f>
        <v/>
      </c>
      <c r="CC7" s="4" t="str">
        <f>IF('Release Calculations'!D$756="NA","",'Release Calculations'!D$756)</f>
        <v/>
      </c>
      <c r="CD7" s="735" t="str">
        <f>IF('Release Calculations'!D$761="NA","",'Release Calculations'!D$761)</f>
        <v/>
      </c>
      <c r="CE7" s="4"/>
      <c r="CF7" s="4" t="str">
        <f>IF('Release Calculations'!D$766="NA","",'Release Calculations'!D$766)</f>
        <v/>
      </c>
      <c r="CG7" s="4" t="str">
        <f>IF('Release Calculations'!D$786="NA","",'Release Calculations'!D$786)</f>
        <v/>
      </c>
      <c r="CH7" s="4" t="str">
        <f>IF('Release Calculations'!D$776="NA","",'Release Calculations'!D$776)</f>
        <v/>
      </c>
      <c r="CI7" s="4"/>
      <c r="CJ7" s="4"/>
      <c r="CK7" s="4"/>
      <c r="CN7" s="189" t="str">
        <f>IF(CA7="","",IF('Release Calculations'!D$668="Yes",IF(CA7=Conseq_VeryLow,Desc_VeryLow,IF(CA7=Conseq_Low,Desc_Low,IF(CA7=Conseq_Moderate,Desc_Moderate,IF(CA7=Conseq_High,Desc_High,IF(CA7=Conseq_VeryHigh,Desc_VeryHigh,IF(CA7=Conseq_ExtremeHigh,Desc_ExtremeHigh,Desc_GT_ExtremeHigh)))))),IF(CA7=Conseq_Low_Offsite,Desc_Low_Offsite,Desc_VeryLow_Offsite)))</f>
        <v/>
      </c>
      <c r="CO7" s="189" t="str">
        <f t="shared" ref="CO7:CO25" si="37">IF(CB7="","",IF(CB7=Conseq_VeryLow,Desc_VeryLow,IF(CB7=Conseq_Low,Desc_Low,IF(CB7=Conseq_Moderate,Desc_Moderate,IF(CB7=Conseq_High,Desc_High,IF(CB7=Conseq_VeryHigh,Desc_VeryHigh,IF(CB7=Conseq_ExtremeHigh,Desc_ExtremeHigh,Desc_GT_ExtremeHigh)))))))</f>
        <v/>
      </c>
      <c r="CP7" s="189" t="str">
        <f t="shared" ref="CP7:CP25" si="38">IF(CC7="","",IF(CC7=Conseq_VeryLow,Desc_VeryLow,IF(CC7=Conseq_Low,Desc_Low,IF(CC7=Conseq_Moderate,Desc_Moderate,IF(CC7=Conseq_High,Desc_High,IF(CC7=Conseq_VeryHigh,Desc_VeryHigh,IF(CC7=Conseq_ExtremeHigh,Desc_ExtremeHigh,Desc_GT_ExtremeHigh)))))))</f>
        <v/>
      </c>
      <c r="CQ7" s="189" t="str">
        <f t="shared" ref="CQ7:CQ25" si="39">IF(CD7="","",IF(CD7=Conseq_VeryLow,Desc_VeryLow,IF(CD7=Conseq_Low,Desc_Low,IF(CD7=Conseq_Moderate,Desc_Moderate,IF(CD7=Conseq_High,Desc_High,IF(CD7=Conseq_VeryHigh,Desc_VeryHigh,IF(CD7=Conseq_ExtremeHigh,Desc_ExtremeHigh,Desc_GT_ExtremeHigh)))))))</f>
        <v/>
      </c>
      <c r="CR7" s="67"/>
      <c r="CS7" s="189" t="str">
        <f t="shared" ref="CS7:CS26" si="40">IF(CF7="","",IF(CF7=Conseq_VeryLow,Desc_VeryLow,IF(CF7=Conseq_Low,Desc_Low,IF(CF7=Conseq_Moderate,Desc_Moderate,IF(CF7=Conseq_High,Desc_High,IF(CF7=Conseq_VeryHigh,Desc_VeryHigh,IF(CF7=Conseq_ExtremeHigh,Desc_ExtremeHigh,Desc_GT_ExtremeHigh)))))))</f>
        <v/>
      </c>
      <c r="CT7" s="189" t="str">
        <f t="shared" ref="CT7:CT25" si="41">IF(CG7="","",IF(CG7=Conseq_VeryLow,Desc_VeryLow,IF(CG7=Conseq_Low,Desc_Low,IF(CG7=Conseq_Moderate,Desc_Moderate,IF(CG7=Conseq_High,Desc_High,IF(CG7=Conseq_VeryHigh,Desc_VeryHigh,IF(CG7=Conseq_ExtremeHigh,Desc_ExtremeHigh,Desc_GT_ExtremeHigh)))))))</f>
        <v/>
      </c>
      <c r="CU7" s="189" t="str">
        <f t="shared" ref="CU7:CU25" si="42">IF(CH7="","",IF(CH7=Conseq_VeryLow,Desc_VeryLow,IF(CH7=Conseq_Low,Desc_Low,IF(CH7=Conseq_Moderate,Desc_Moderate,IF(CH7=Conseq_High,Desc_High,IF(CH7=Conseq_VeryHigh,Desc_VeryHigh,IF(CH7=Conseq_ExtremeHigh,Desc_ExtremeHigh,Desc_GT_ExtremeHigh)))))))</f>
        <v/>
      </c>
      <c r="CV7" s="67"/>
      <c r="CW7" s="67"/>
      <c r="CX7" s="189" t="str">
        <f>IF(CK7="","",IF(CK7=Conseq_VeryLow,Desc_VeryLow_Environ,IF(CK7=Conseq_Low,Desc_Low_Environ,IF(CK7=Conseq_Moderate,Desc_Moderate_Environ,IF(CK7=Conseq_High,Desc_High_Environ,IF(CK7=Conseq_VeryHigh,Desc_VeryHigh_Environ,Desc_ExtremeHigh_Environ))))))</f>
        <v/>
      </c>
      <c r="CY7" s="40" t="s">
        <v>822</v>
      </c>
      <c r="CZ7" s="189" t="str">
        <f>IF(CA7="","",IF('Release Calculations'!D$668="Yes"," at a "&amp;$AI$3&amp;" of "&amp;AI7&amp;" "&amp;AJ7&amp;" which exceeds Distance to the Fence Line of "&amp;Public_Input&amp;" "&amp;Public_Units))</f>
        <v/>
      </c>
      <c r="DA7" s="189" t="str">
        <f>IF(CB7="","",IF('Release Calculations'!$D$292="Yes"," with operating personnel in close proximity and a "&amp;$AM$3&amp;" of "&amp;AM7&amp;" "&amp;AN7," at a "&amp;$AM$3&amp;" of "&amp;AM7&amp;" "&amp;AN7)&amp;IF('Release Calculations'!$D$671&gt;Public," which exceeds Distance to the Fence Line of "&amp;Public_Input&amp;" "&amp;Public_Units&amp;".  Target Factor may be conservative",))</f>
        <v/>
      </c>
      <c r="DB7" s="226" t="str">
        <f>IF(CC7="","",IF('Release Calculations'!D688="Yes","and Potential for Asphyxiation","")&amp;IF('Release Calculations'!H$292="Yes"," with operations personnel in close proximity at an "&amp;$AZ$3&amp;" of "&amp;AZ7&amp;" ppm"," at an "&amp;$AZ$3&amp;" of "&amp;AZ7&amp;" ppm"))</f>
        <v/>
      </c>
      <c r="DC7" s="189" t="str">
        <f t="shared" si="27"/>
        <v/>
      </c>
      <c r="DD7" s="189"/>
      <c r="DE7" s="189" t="str">
        <f>IF(CF7="","",IF('Release Calculations'!$D$292="Yes"," with operating personnel in close proximity and a "&amp;$BF$3&amp;" of "&amp;BF7&amp;" "&amp;BG7," at a "&amp;$BF$3&amp;" of "&amp;BF7&amp;" "&amp;BG7))</f>
        <v/>
      </c>
      <c r="DF7" s="189" t="str">
        <f>IF(CG7="","",IF('Release Calculations'!D$709="Yes"," with "&amp;$BR$3&amp;" of "&amp;BR7&amp;" "&amp;BS7&amp;IF('Release Calculations'!D$718&lt;&gt;"Yes",""," including "&amp;$BT$3&amp;" of "&amp;BT7&amp;" psi.")&amp;" 1 psi Blast Overpresssure exceeds Distance to the Fence Line of "&amp;Public_Input&amp;" "&amp;Public_Units&amp;".  Consider adjustment for Off-Site Impacts",IF('Release Calculations'!D$718&lt;&gt;"Yes"," impacting on site personnel at a "&amp;$BR$3&amp;" of "&amp;BR7&amp;" "&amp;BS7," impacting on site personnel at a "&amp;$BR$3&amp;" of "&amp;BR7&amp;" "&amp;BS7&amp;" including "&amp;$BT$3&amp;" of "&amp;BT7&amp;" psi")))</f>
        <v/>
      </c>
      <c r="DG7" s="189" t="str">
        <f>IF(CH7="","",IF('Release Calculations'!D$695="Yes"," with "&amp;$BR$3&amp;" of "&amp;BR7&amp;" "&amp;BS7&amp;IF('Release Calculations'!D$700&lt;&gt;"Yes",""," including "&amp;$BT$3&amp;" of "&amp;BT7&amp;" psi.")&amp;" exceeding 1 psi Blast Overpresssure exceeds Distance to the Fence Line of "&amp;Public_Input&amp;" "&amp;Public_Units&amp;".  Consider adjustment for Off-Site Impacts",IF('Release Calculations'!D$700&lt;&gt;"Yes"," impacting enclosed area operating personnel, on site personnel at a "&amp;$BR$3&amp;" of "&amp;BR7&amp;" "&amp;BS7," impacting enclosed area operating personnel, on site personnel at a "&amp;$BR$3&amp;" of "&amp;BR7&amp;" "&amp;BS7&amp;" including "&amp;$BT$3&amp;" of "&amp;BT7&amp;" psi")))</f>
        <v/>
      </c>
      <c r="DH7" s="67"/>
      <c r="DI7" s="67"/>
      <c r="DJ7" s="189"/>
      <c r="DL7" s="39"/>
      <c r="DM7" s="239">
        <f>'Release Calculations'!D$749</f>
        <v>0</v>
      </c>
      <c r="DN7" s="239">
        <f>'Release Calculations'!D$754</f>
        <v>0</v>
      </c>
      <c r="DO7" s="67"/>
      <c r="DP7" s="67"/>
      <c r="DQ7" s="239">
        <f>'Release Calculations'!D$764</f>
        <v>0</v>
      </c>
      <c r="DR7" s="67"/>
      <c r="DS7" s="67"/>
      <c r="DT7" s="67"/>
      <c r="DU7" s="67"/>
      <c r="DV7" s="67"/>
      <c r="DW7" s="67"/>
      <c r="DX7" s="250"/>
      <c r="DY7" s="249" t="s">
        <v>2983</v>
      </c>
      <c r="DZ7" s="250" t="s">
        <v>292</v>
      </c>
      <c r="EA7" s="740"/>
      <c r="EB7" s="250"/>
      <c r="EC7" s="249" t="s">
        <v>292</v>
      </c>
      <c r="ED7" s="67"/>
      <c r="EE7" s="67"/>
      <c r="EF7" s="67"/>
      <c r="EG7" s="67"/>
      <c r="EH7" s="67"/>
      <c r="EJ7" s="250"/>
      <c r="EK7" s="249" t="str">
        <f>IF(Attended_Op="Yes","Noted as Personnel Routinely in Immediate Area or Equipment Type involves Materials Handling - "&amp;IF('Release Calculations'!D586*3600&lt;30," with a very Short Exposure Duration (&lt; 30 sec)","Time at Risk May Apply"),"Probability of Personnel to be in Close Proximity to Chemical Release based on Toxic Impact Area to "&amp;AM7&amp;" "&amp;AN7&amp;IF('Release Calculations'!D748&lt;0.01," (with potential for higher POE credit upon further review)",""))</f>
        <v>Probability of Personnel to be in Close Proximity to Chemical Release based on Toxic Impact Area to 0 m (with potential for higher POE credit upon further review)</v>
      </c>
      <c r="EL7" s="250" t="str">
        <f>IF(Attended_Op="Yes","Noted as Personnel Routinely in Immediate Area or Equipment Type involves Materials Handling - Time at Risk May Apply","Probability of Personnel to be in Close Proximity to Chemical Release based on Ratio Enclosed Process Area Concentation of "&amp;AZ7&amp;" ppm to 10 ER-3 for "&amp;Chemical&amp;IF(Fract_Key_Chemical&lt;1," mixture "," ")&amp;IF('Release Calculations'!$D$753&lt;0.01,"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7" s="67"/>
      <c r="EN7" s="250"/>
      <c r="EO7"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"&amp;AZ7&amp;" to "&amp;LFL_Fract_FlashFIre&amp;" LFL","Flammable Impact Area to "&amp;BF7&amp;" "&amp;BG7)&amp;IF('Release Calculations'!$D$763&lt;0.01," (with potential for higher POE credit upon further review)",""))</f>
        <v>Probability of Personnel to be in Close Proximity to Chemical Release based on Flammable Impact Area to 0 m (with potential for higher POE credit upon further review)</v>
      </c>
      <c r="EP7" s="67"/>
      <c r="EQ7" s="67"/>
      <c r="ER7" s="67"/>
      <c r="ES7" s="67"/>
      <c r="ET7" s="67"/>
      <c r="EV7" s="67"/>
      <c r="EW7" s="957">
        <f>'Release Calculations'!D748</f>
        <v>6.0000000000000008E-7</v>
      </c>
      <c r="EX7" s="957">
        <f>'Release Calculations'!$D$753</f>
        <v>0</v>
      </c>
      <c r="EY7" s="67"/>
      <c r="EZ7" s="957"/>
      <c r="FA7" s="957">
        <f>'Release Calculations'!$D$763</f>
        <v>0</v>
      </c>
      <c r="FB7" s="67"/>
      <c r="FC7" s="67"/>
      <c r="FD7" s="67"/>
      <c r="FE7" s="67"/>
      <c r="FF7" s="67"/>
      <c r="FH7" s="67"/>
      <c r="FI7" s="67"/>
      <c r="FJ7" s="67"/>
      <c r="FK7" s="67"/>
      <c r="FL7" s="67"/>
      <c r="FM7" s="239" t="str">
        <f>IF(Location="Outdoors",'Release Calculations'!D$706,'Release Calculations'!D$692)</f>
        <v/>
      </c>
      <c r="FN7" s="239" t="str">
        <f>'Release Calculations'!D$707</f>
        <v/>
      </c>
      <c r="FO7" s="39" t="str">
        <f>IF(State&lt;&gt;"Solid",'Release Calculations'!D$692,Dust_SecondExpl_POE)</f>
        <v/>
      </c>
      <c r="FP7" s="67"/>
      <c r="FQ7" s="67"/>
      <c r="FR7" s="67"/>
      <c r="FS7" s="40"/>
      <c r="FT7" s="67"/>
      <c r="FU7" s="67"/>
      <c r="FV7" s="67"/>
      <c r="FW7" s="67"/>
      <c r="FX7" s="67"/>
      <c r="FY7" s="249" t="s">
        <v>1461</v>
      </c>
      <c r="FZ7" s="249" t="s">
        <v>1460</v>
      </c>
      <c r="GA7" s="250" t="s">
        <v>1461</v>
      </c>
      <c r="GB7" s="67"/>
      <c r="GC7" s="67"/>
      <c r="GD7" s="67"/>
      <c r="GF7" s="67"/>
      <c r="GG7" s="67"/>
      <c r="GH7" s="67"/>
      <c r="GI7" s="67"/>
      <c r="GJ7" s="67"/>
      <c r="GK7" s="440" t="str">
        <f>IF(Ease_of_Ignition_Feed="High","Noted as Pyrophoric Material",IF(Ease_of_Ignition_Feed="High","Noted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"&amp;BP7&amp;" "&amp;BQ7&amp;" Easily Ignited Material with Distance to LFL of "&amp;BD7&amp;" "&amp;BE7,IF(Ease_of_Ignition_Feed="Low","Outdoor Release of Difficult to Ignite Material","Outdoor release of "&amp;BP7&amp;" "&amp;BQ7&amp;" Flammable Material with Distance to LFL of "&amp;BD7&amp;" "&amp;BE7)),IF(Ease_of_Ignition_Feed="Elevated","Indoor Release of Easily Ignited Material",IF(Ease_of_Ignition_Feed="Low","Indoor Release of Difficult to Ignite Material","Indoor Release of Flammable Material"))))))))</f>
        <v>No Flash Point Entered</v>
      </c>
      <c r="GL7" s="2581" t="str">
        <f t="shared" si="28"/>
        <v>No Flash Point Entered</v>
      </c>
      <c r="GM7" s="250" t="str">
        <f t="shared" si="29"/>
        <v>Indoor Release of Flammable Material-POX</v>
      </c>
      <c r="GN7" s="67"/>
      <c r="GO7" s="67"/>
      <c r="GP7" s="67"/>
      <c r="GR7" s="189" t="str">
        <f>IF(CA7="","",CA$3&amp;"; ")&amp;IF(CB7="","",CB$3&amp;"; ")&amp;IF(CC7="","",CC$3&amp;"; ")&amp;IF(CD7="","",CD$3&amp;"; ")&amp;IF(CE7="","",CE$3&amp;"; ")&amp;IF(CF7="","",CF$3&amp;"; ")&amp;IF(CG7="","",CG$3&amp;"; ")&amp;IF(CH7="","",CH$3&amp;"; ")&amp;IF(CI7="","",CI$3&amp;"; ")&amp;IF(CJ7="","",CJ$3&amp;"; ")&amp;IF(CK7="","",CK$3)</f>
        <v/>
      </c>
      <c r="GU7" s="64" t="str">
        <f>Desc_Low</f>
        <v>High Severity</v>
      </c>
      <c r="GV7" s="193">
        <f>Conseq_Low</f>
        <v>3</v>
      </c>
      <c r="GX7" s="2250">
        <f>Conseq_Moderate</f>
        <v>4</v>
      </c>
      <c r="GY7" s="189" t="str">
        <f t="shared" ref="GY7:HG7" si="43">Desc_Moderate</f>
        <v>Very High Severity</v>
      </c>
      <c r="GZ7" s="189" t="str">
        <f t="shared" si="43"/>
        <v>Very High Severity</v>
      </c>
      <c r="HA7" s="189" t="str">
        <f t="shared" si="43"/>
        <v>Very High Severity</v>
      </c>
      <c r="HB7" s="189" t="str">
        <f t="shared" si="43"/>
        <v>Very High Severity</v>
      </c>
      <c r="HC7" s="189" t="str">
        <f t="shared" si="43"/>
        <v>Very High Severity</v>
      </c>
      <c r="HD7" s="189" t="str">
        <f t="shared" si="43"/>
        <v>Very High Severity</v>
      </c>
      <c r="HE7" s="189" t="str">
        <f t="shared" si="43"/>
        <v>Very High Severity</v>
      </c>
      <c r="HF7" s="189" t="str">
        <f t="shared" si="43"/>
        <v>Very High Severity</v>
      </c>
      <c r="HG7" s="189" t="str">
        <f t="shared" si="43"/>
        <v>Very High Severity</v>
      </c>
      <c r="HH7" s="189" t="str">
        <f>Desc_Moderate_Bus</f>
        <v>Property Damage and Business Loss $500 M to $5 MM</v>
      </c>
      <c r="HI7" s="189" t="str">
        <f>Desc_Moderate_Environ</f>
        <v>Environmental Contamination of Local Groundwater</v>
      </c>
    </row>
    <row r="8" spans="1:217" s="5" customFormat="1" ht="12.75" customHeight="1" x14ac:dyDescent="0.25">
      <c r="A8" s="35"/>
      <c r="B8" s="64" t="str">
        <f>'Scenario Identification'!BM3</f>
        <v>Gasket Failure</v>
      </c>
      <c r="C8" s="1457" t="str">
        <f t="shared" si="10"/>
        <v/>
      </c>
      <c r="D8" s="65"/>
      <c r="E8" s="2483" t="str">
        <f>IF(MAX('Release Calculations'!F35,'Release Calculations'!F43,'Release Calculations'!F62,1-'Release Calculations'!F82,ABS(MIN('Release Calculations'!F35,'Release Calculations'!F43,'Release Calculations'!F62,1-'Release Calculations'!F82)))&gt;$E$4,"Yes","")</f>
        <v/>
      </c>
      <c r="F8" s="1418" t="s">
        <v>428</v>
      </c>
      <c r="G8" s="1434">
        <f t="shared" si="11"/>
        <v>0</v>
      </c>
      <c r="H8" s="1427" t="str">
        <f t="shared" si="31"/>
        <v>liter</v>
      </c>
      <c r="I8" s="1418">
        <f>ROUND('Release Calculations'!F7/$I$4,2)</f>
        <v>10</v>
      </c>
      <c r="J8" s="1421" t="str">
        <f t="shared" si="32"/>
        <v>mm</v>
      </c>
      <c r="K8" s="1427">
        <f t="shared" si="12"/>
        <v>0</v>
      </c>
      <c r="L8" s="1434">
        <f>sig('Release Calculations'!$F$16/$L$4,3,100,0)</f>
        <v>0</v>
      </c>
      <c r="M8" s="1435" t="str">
        <f t="shared" si="13"/>
        <v>kg</v>
      </c>
      <c r="N8" s="1432" t="str">
        <f t="shared" si="14"/>
        <v xml:space="preserve">Liquid:   ,  ,  ,  ,  </v>
      </c>
      <c r="O8" s="1434">
        <f>ROUND('Release Calculations'!$F$9,0)</f>
        <v>0</v>
      </c>
      <c r="P8" s="1434">
        <f>ROUND('Release Calculations'!$F$8/$P$4,2)</f>
        <v>0</v>
      </c>
      <c r="Q8" s="1446" t="str">
        <f t="shared" si="15"/>
        <v>bar</v>
      </c>
      <c r="R8" s="1434">
        <f>sig('Release Calculations'!$F$23/$AG$4,3,10,0)</f>
        <v>0</v>
      </c>
      <c r="S8" s="1447" t="str">
        <f t="shared" si="16"/>
        <v>kg/min</v>
      </c>
      <c r="T8" s="1435">
        <f>ROUND('Release Calculations'!$F$13/$T$4,0)</f>
        <v>0</v>
      </c>
      <c r="U8" s="1434">
        <f>ROUND(('Release Calculations'!$F$13+'Release Calculations'!$F$14)/$U$4,0)</f>
        <v>0</v>
      </c>
      <c r="V8" s="1434">
        <f>sig('Release Calculations'!$F$55/$V$4,3,100,0)</f>
        <v>0</v>
      </c>
      <c r="W8" s="1435" t="str">
        <f>IF(Report_A&lt;&gt;"",Report_A,IF(Dike_Area_Units="","sq m",Dike_Area_Units))</f>
        <v>sq m</v>
      </c>
      <c r="X8" s="1438">
        <f>ROUND('Release Calculations'!H$214,3)</f>
        <v>0</v>
      </c>
      <c r="Y8" s="1458" t="str">
        <f>IF('Release Calculations'!$F$225="","",sig('Release Calculations'!$F$225,3,1000,0))</f>
        <v/>
      </c>
      <c r="Z8" s="1458" t="str">
        <f>IF('Release Calculations'!$F$231="","",sig('Release Calculations'!$F$231,3,1000,0))</f>
        <v/>
      </c>
      <c r="AA8" s="1458" t="str">
        <f>IF('Release Calculations'!$F$255="","",sig('Release Calculations'!$F$255,3,1000,0))</f>
        <v/>
      </c>
      <c r="AB8" s="1458" t="str">
        <f>IF('Release Calculations'!$F$261="","",sig('Release Calculations'!$F$261,3,1000,0))</f>
        <v/>
      </c>
      <c r="AC8" s="1458" t="str">
        <f>IF('Release Calculations'!$F$267="","",sig('Release Calculations'!$F$267,3,1000,0))</f>
        <v/>
      </c>
      <c r="AD8" s="1196" t="str">
        <f>IF('Release Calculations'!$F$249="","",ROUND('Release Calculations'!$F$249,1))</f>
        <v/>
      </c>
      <c r="AE8" s="1434">
        <f>sig('Release Calculations'!$F$70/$AE$4,3,100,0)</f>
        <v>0</v>
      </c>
      <c r="AF8" s="1435" t="str">
        <f t="shared" si="17"/>
        <v>kg</v>
      </c>
      <c r="AG8" s="1326">
        <f>sig('Release Calculations'!H$89/$AG$4,3,10,3)</f>
        <v>3.0000000000000001E-3</v>
      </c>
      <c r="AH8" s="1435" t="str">
        <f t="shared" si="33"/>
        <v>kg/min</v>
      </c>
      <c r="AI8" s="1434">
        <f>sig('Release Calculations'!$F$282/$AI$4,3,100,0)</f>
        <v>0</v>
      </c>
      <c r="AJ8" s="1435" t="str">
        <f t="shared" si="18"/>
        <v>m</v>
      </c>
      <c r="AK8" s="1434">
        <f>sig('Release Calculations'!$F$285/$AK$4,3,100,0)</f>
        <v>0</v>
      </c>
      <c r="AL8" s="1435" t="str">
        <f t="shared" si="19"/>
        <v>m</v>
      </c>
      <c r="AM8" s="1434">
        <f>sig('Release Calculations'!$F$287/$AM$4,3,100,0)</f>
        <v>0</v>
      </c>
      <c r="AN8" s="1435" t="str">
        <f t="shared" si="20"/>
        <v>m</v>
      </c>
      <c r="AO8" s="1434">
        <f>sig('Release Calculations'!$F$288/$AO$4,3,100,0)</f>
        <v>0</v>
      </c>
      <c r="AP8" s="1452" t="str">
        <f t="shared" si="20"/>
        <v>m</v>
      </c>
      <c r="AQ8" s="1434">
        <f>sig('Release Calculations'!$F$291/$AQ$4,3,100,0)</f>
        <v>0</v>
      </c>
      <c r="AR8" s="1452" t="str">
        <f t="shared" si="20"/>
        <v>m</v>
      </c>
      <c r="AS8" s="1452" t="str">
        <f t="shared" si="21"/>
        <v/>
      </c>
      <c r="AT8" s="1452" t="str">
        <f>IF(Occ_Bldg2_Name=0,"",Occ_Bldg2_Name)</f>
        <v/>
      </c>
      <c r="AU8" s="1452" t="str">
        <f t="shared" si="23"/>
        <v/>
      </c>
      <c r="AV8" s="114">
        <f>sig('Release Calculations'!$F$296,3,1000,-1)</f>
        <v>0</v>
      </c>
      <c r="AW8" s="114">
        <f>sig('Release Calculations'!$F$297,3,1000,-1)</f>
        <v>0</v>
      </c>
      <c r="AX8" s="114" t="str">
        <f>sig('Release Calculations'!$F$298,3,1000,0)</f>
        <v/>
      </c>
      <c r="AY8" s="114" t="str">
        <f>sig('Release Calculations'!$F$299,3,1000,0)</f>
        <v/>
      </c>
      <c r="AZ8" s="114">
        <f>sig('Release Calculations'!$F$300,3,1000,-1)</f>
        <v>0</v>
      </c>
      <c r="BA8" s="114">
        <f>sig('Release Calculations'!$F$301,3,1000,-1)</f>
        <v>0</v>
      </c>
      <c r="BB8" s="114" t="str">
        <f>sig('Release Calculations'!$F$302,3,10,3)</f>
        <v/>
      </c>
      <c r="BC8" s="2576" t="str">
        <f>sig('Release Calculations'!$F$303,3,10,3)</f>
        <v/>
      </c>
      <c r="BD8" s="2569">
        <f>sig('Release Calculations'!$F$320/$BD$4,3,100,0)</f>
        <v>0</v>
      </c>
      <c r="BE8" s="1435" t="str">
        <f>IF(Report_D&lt;&gt;"",Report_D,Public_Units)</f>
        <v>m</v>
      </c>
      <c r="BF8" s="2569">
        <f>sig('Release Calculations'!$F$319/$BF$4,3,100,0)</f>
        <v>0</v>
      </c>
      <c r="BG8" s="1435" t="str">
        <f>IF(Report_D&lt;&gt;"",Report_D,Public_Units)</f>
        <v>m</v>
      </c>
      <c r="BH8" s="1419"/>
      <c r="BI8" s="1422"/>
      <c r="BJ8" s="1419"/>
      <c r="BK8" s="1422"/>
      <c r="BL8" s="2573"/>
      <c r="BM8" s="2573"/>
      <c r="BN8" s="1441"/>
      <c r="BO8" s="1746"/>
      <c r="BP8" s="1503">
        <f>sig('Release Calculations'!$F$90/$BP$4,3,10,1)</f>
        <v>0</v>
      </c>
      <c r="BQ8" s="1435" t="str">
        <f t="shared" si="24"/>
        <v>kg/min</v>
      </c>
      <c r="BR8" s="1434">
        <f>sig(IF(Location="Indoors",'Release Calculations'!$F$311/$BR$4,'Release Calculations'!$F$325/$BR$4),3,100,0)</f>
        <v>0</v>
      </c>
      <c r="BS8" s="1435" t="str">
        <f t="shared" si="25"/>
        <v>m</v>
      </c>
      <c r="BT8" s="1748">
        <f>ROUND(IF(Location="Indoors",'Release Calculations'!$F$314,'Release Calculations'!$F$330),1)</f>
        <v>0</v>
      </c>
      <c r="BU8" s="1748">
        <f>ROUND(IF(Location="Indoors",'Release Calculations'!$F$316,'Release Calculations'!$F$334),1)</f>
        <v>0</v>
      </c>
      <c r="BV8" s="1436"/>
      <c r="BW8" s="1442"/>
      <c r="BX8" s="262"/>
      <c r="BY8" s="262"/>
      <c r="BZ8" s="123"/>
      <c r="CA8" s="4" t="str">
        <f>IF('Release Calculations'!F$338="NA","",'Release Calculations'!F$338)</f>
        <v/>
      </c>
      <c r="CB8" s="4" t="str">
        <f>IF('Release Calculations'!F$368="NA","",'Release Calculations'!F$368)</f>
        <v/>
      </c>
      <c r="CC8" s="4" t="str">
        <f>IF('Release Calculations'!F$373="NA","",'Release Calculations'!F$373)</f>
        <v/>
      </c>
      <c r="CD8" s="735" t="str">
        <f>IF('Release Calculations'!F$378="NA","",'Release Calculations'!F$378)</f>
        <v/>
      </c>
      <c r="CE8" s="4" t="str">
        <f>IF('Release Calculations'!F$384="NA","",'Release Calculations'!F$384)</f>
        <v/>
      </c>
      <c r="CF8" s="4" t="str">
        <f>IF('Release Calculations'!F$389="NA","",'Release Calculations'!F$389)</f>
        <v/>
      </c>
      <c r="CG8" s="4" t="str">
        <f>IF('Release Calculations'!F$409="NA","",'Release Calculations'!F$409)</f>
        <v/>
      </c>
      <c r="CH8" s="4" t="str">
        <f>IF('Release Calculations'!F$399="NA","",'Release Calculations'!F$399)</f>
        <v/>
      </c>
      <c r="CI8" s="4"/>
      <c r="CJ8" s="4"/>
      <c r="CK8" s="4" t="str">
        <f>IF('Release Calculations'!BD419="NA","",'Release Calculations'!BD419)</f>
        <v/>
      </c>
      <c r="CL8" s="19"/>
      <c r="CM8" s="19"/>
      <c r="CN8" s="189" t="str">
        <f>IF(CA8="","",IF('Release Calculations'!F$284="Yes",IF(CA8=Conseq_VeryLow,Desc_VeryLow,IF(CA8=Conseq_Low,Desc_Low,IF(CA8=Conseq_Moderate,Desc_Moderate,IF(CA8=Conseq_High,Desc_High,IF(CA8=Conseq_VeryHigh,Desc_VeryHigh,IF(CA8=Conseq_ExtremeHigh,Desc_ExtremeHigh,Desc_GT_ExtremeHigh)))))),IF(CA8=Conseq_Low_Offsite,Desc_Low_Offsite,Desc_VeryLow_Offsite)))</f>
        <v/>
      </c>
      <c r="CO8" s="189" t="str">
        <f t="shared" si="37"/>
        <v/>
      </c>
      <c r="CP8" s="189" t="str">
        <f t="shared" si="38"/>
        <v/>
      </c>
      <c r="CQ8" s="189" t="str">
        <f t="shared" si="39"/>
        <v/>
      </c>
      <c r="CR8" s="189" t="str">
        <f>IF(CE8="","",IF(CE8=Conseq_VeryLow,Desc_VeryLow,IF(CE8=Conseq_Low,Desc_Low,IF(CE8=Conseq_Moderate,Desc_Moderate,IF(CE8=Conseq_High,Desc_High,IF(CE8=Conseq_VeryHigh,Desc_VeryHigh,IF(CE8=Conseq_ExtremeHigh,Desc_ExtremeHigh,Desc_GT_ExtremeHigh)))))))</f>
        <v/>
      </c>
      <c r="CS8" s="189" t="str">
        <f t="shared" si="40"/>
        <v/>
      </c>
      <c r="CT8" s="189" t="str">
        <f t="shared" si="41"/>
        <v/>
      </c>
      <c r="CU8" s="189" t="str">
        <f t="shared" si="42"/>
        <v/>
      </c>
      <c r="CV8" s="67"/>
      <c r="CW8" s="67"/>
      <c r="CX8" s="189" t="str">
        <f>IF(CK8="","",IF(CK8=Conseq_VeryLow,Desc_VeryLow_Environ,IF(CK8=Conseq_Low,Desc_Low_Environ,IF(CK8=Conseq_Moderate,Desc_Moderate_Environ,IF(CK8=Conseq_High,Desc_High_Environ,IF(CK8=Conseq_VeryHigh,Desc_VeryHigh_Environ,Desc_ExtremeHigh_Environ))))))</f>
        <v/>
      </c>
      <c r="CY8" s="40" t="s">
        <v>822</v>
      </c>
      <c r="CZ8" s="189" t="str">
        <f>IF(CA8="","",IF('Release Calculations'!F$284="Yes"," at a "&amp;$AI$3&amp;" of "&amp;AI8&amp;" "&amp;AJ8&amp;" which exceeds Distance to the Fence Line of "&amp;Public_Input&amp;" "&amp;Public_Units))</f>
        <v/>
      </c>
      <c r="DA8" s="189" t="str">
        <f>IF(CB8="","",IF('Release Calculations'!$F$292="Yes"," with operating personnel in close proximity and a "&amp;$AM$3&amp;" of "&amp;AM8&amp;" "&amp;AN8," at a "&amp;$AM$3&amp;" of "&amp;AM8&amp;" "&amp;AN8)&amp;IF('Release Calculations'!$F$287&gt;Public," which exceeds Distance to the Fence Line of "&amp;Public_Input&amp;" "&amp;Public_Units&amp;".  Target Factor may be conservative",))</f>
        <v/>
      </c>
      <c r="DB8" s="226" t="str">
        <f>IF(CC8="","",IF('Release Calculations'!F305="Yes","and Potential for Asphyxiation","")&amp;IF('Release Calculations'!F$292="Yes"," with operations personnel in close proximity at an "&amp;$AZ$3&amp;" of "&amp;AZ8&amp;" ppm"," at an "&amp;$AZ$3&amp;" of "&amp;AZ8&amp;" ppm"))</f>
        <v/>
      </c>
      <c r="DC8" s="189" t="str">
        <f t="shared" si="27"/>
        <v/>
      </c>
      <c r="DD8" s="189" t="str">
        <f>IF(CE8="",""," of a "&amp;IF(Ease_of_Ignition_Feed="High","pyrophoric ","high/low temperature ")&amp;IF(Dermal_Tox_Feed&lt;&gt;"","or "&amp;Dermal_Tox_Feed,"")&amp;" chemical"&amp;IF('Release Calculations'!$F$292="Yes"," with operating personnel in close proximity",""))</f>
        <v/>
      </c>
      <c r="DE8" s="189" t="str">
        <f>IF(CF8="","",IF('Release Calculations'!$F$292="Yes"," with operating personnel in close proximity and a "&amp;$BF$3&amp;" of "&amp;BF8&amp;" "&amp;BG8," at a "&amp;$BF$3&amp;" of "&amp;BF8&amp;" "&amp;BG8))</f>
        <v/>
      </c>
      <c r="DF8" s="189" t="str">
        <f>IF(CG8="","",IF('Release Calculations'!F$326="Yes"," with "&amp;$BR$3&amp;" of "&amp;BR8&amp;" "&amp;BS8&amp;IF('Release Calculations'!F$335&lt;&gt;"Yes",""," including "&amp;$BT$3&amp;" of "&amp;BT8&amp;" psi.")&amp;" 1 psi Blast Overpresssure exceeds Distance to the Fence Line of "&amp;Public_Input&amp;" "&amp;Public_Units&amp;".  Consider adjustment for Off-Site Impacts",IF('Release Calculations'!F$335&lt;&gt;"Yes"," impacting on site personnel at a "&amp;$BR$3&amp;" of "&amp;BR8&amp;" "&amp;BS8," impacting on site personnel at a "&amp;$BR$3&amp;" of "&amp;BR8&amp;" "&amp;BS8&amp;" including "&amp;$BT$3&amp;" of "&amp;BT8&amp;" psi")))</f>
        <v/>
      </c>
      <c r="DG8" s="189" t="str">
        <f>IF(CH8="","",IF('Release Calculations'!F$312="Yes"," with "&amp;$BR$3&amp;" of "&amp;BR8&amp;" "&amp;BS8&amp;IF('Release Calculations'!F$317&lt;&gt;"Yes",""," including "&amp;$BT$3&amp;" of "&amp;BT8&amp;" psi.")&amp;"  1 psi Blast Overpresssure exceeds Distance to the Fence Line of "&amp;Public_Input&amp;" "&amp;Public_Units&amp;".  Consider adjustment for Off-Site Impacts",IF('Release Calculations'!F$317&lt;&gt;"Yes"," impacting enclosed area operating personnel, on site personnel at a "&amp;$BR$3&amp;" of "&amp;BR8&amp;" "&amp;BS8," impacting enclosed area operating personnel, on site personnel at a "&amp;$BR$3&amp;" of "&amp;BR8&amp;" "&amp;BS8&amp;" including "&amp;$BT$3&amp;" of "&amp;BT8&amp;" psi")))</f>
        <v/>
      </c>
      <c r="DH8" s="67"/>
      <c r="DI8" s="67"/>
      <c r="DJ8" s="189" t="str">
        <f>IF('Release Calculations'!AZ419&gt;0,"Groundwater or Remediation Issue",IF('Release Calculations'!BB419&gt;0,"High Aqueous Toxicity",""))</f>
        <v/>
      </c>
      <c r="DK8" s="19"/>
      <c r="DL8" s="39"/>
      <c r="DM8" s="239">
        <f>'Release Calculations'!F$366</f>
        <v>0</v>
      </c>
      <c r="DN8" s="239">
        <f>'Release Calculations'!F$371</f>
        <v>0</v>
      </c>
      <c r="DO8" s="34"/>
      <c r="DP8" s="239">
        <f>'Release Calculations'!F$382</f>
        <v>0</v>
      </c>
      <c r="DQ8" s="239">
        <f>'Release Calculations'!F$387</f>
        <v>0</v>
      </c>
      <c r="DR8" s="34"/>
      <c r="DS8" s="34"/>
      <c r="DT8" s="34"/>
      <c r="DU8" s="34"/>
      <c r="DV8" s="6"/>
      <c r="DW8" s="40"/>
      <c r="DX8" s="250"/>
      <c r="DY8" s="249" t="s">
        <v>2983</v>
      </c>
      <c r="DZ8" s="250" t="s">
        <v>292</v>
      </c>
      <c r="EA8" s="740"/>
      <c r="EB8" s="249" t="str">
        <f>"Probability of Exposure to Hot or Toxic Material"</f>
        <v>Probability of Exposure to Hot or Toxic Material</v>
      </c>
      <c r="EC8" s="249" t="s">
        <v>292</v>
      </c>
      <c r="ED8" s="248"/>
      <c r="EE8" s="248"/>
      <c r="EF8" s="248"/>
      <c r="EG8" s="248"/>
      <c r="EH8" s="248"/>
      <c r="EI8" s="19"/>
      <c r="EJ8" s="250"/>
      <c r="EK8" s="249" t="str">
        <f>IF(Attended_Op="Yes","Noted as Personnel Routinely in Immediate Area or Equipment Type involves Materials Handling - "&amp;IF('Release Calculations'!F210*3600&lt;30," with a very Short Exposure Duration (&lt; 30 sec)","Time at Risk May Apply"),"Probability of Personnel to be in Close Proximity to Chemical Release based on Toxic Impact Area to "&amp;AM8&amp;" "&amp;AN8&amp;IF('Release Calculations'!F365&lt;0.01," (with potential for higher POE credit upon further review)",""))</f>
        <v>Probability of Personnel to be in Close Proximity to Chemical Release based on Toxic Impact Area to 0 m (with potential for higher POE credit upon further review)</v>
      </c>
      <c r="EL8" s="250" t="str">
        <f>IF(Attended_Op="Yes","Noted as Personnel Routinely in Immediate Area or Equipment Type involves Materials Handling - Time at Risk May Apply","Probability of Personnel to be in Close Proximity to Chemical Release based on Ratio Enclosed Process Area Concentation of "&amp;AZ8&amp;" ppm to 10 ER-3 for "&amp;Chemical&amp;IF(Fract_Key_Chemical&lt;1," mixture "," ")&amp;IF('Release Calculations'!$F$370&lt;0.01,"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8" s="248"/>
      <c r="EN8"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Calculations'!$F$381&lt;0.01," (with potential for higher POE credit upon further review)",""))</f>
        <v>Probability of Personnel to be in Close Proximity to Chemical Release based on Spray Distance of 1 m (with potential for higher POE credit upon further review)</v>
      </c>
      <c r="EO8"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"&amp;AZ8&amp;" to "&amp;LFL_Fract_FlashFIre&amp;" LFL","Flammable Impact Area to "&amp;BF8&amp;" "&amp;BG8)&amp;IF('Release Calculations'!$F$386&lt;0.01," (with potential for higher POE credit upon further review)",""))</f>
        <v>Probability of Personnel to be in Close Proximity to Chemical Release based on Flammable Impact Area to 0 m (with potential for higher POE credit upon further review)</v>
      </c>
      <c r="EP8" s="248"/>
      <c r="EQ8" s="248"/>
      <c r="ER8" s="248"/>
      <c r="ES8" s="248"/>
      <c r="ET8" s="248"/>
      <c r="EU8" s="19"/>
      <c r="EV8" s="1379"/>
      <c r="EW8" s="957">
        <f>'Release Calculations'!F365</f>
        <v>6.0000000000000008E-7</v>
      </c>
      <c r="EX8" s="957">
        <f>'Release Calculations'!$F$370</f>
        <v>0</v>
      </c>
      <c r="EY8" s="1380"/>
      <c r="EZ8" s="957">
        <f>'Release Calculations'!$F$381</f>
        <v>0</v>
      </c>
      <c r="FA8" s="957">
        <f>'Release Calculations'!$F$386</f>
        <v>0</v>
      </c>
      <c r="FB8" s="6"/>
      <c r="FC8" s="6"/>
      <c r="FD8" s="6"/>
      <c r="FE8" s="6"/>
      <c r="FF8" s="6"/>
      <c r="FG8" s="19"/>
      <c r="FH8" s="34"/>
      <c r="FI8" s="34"/>
      <c r="FJ8" s="34"/>
      <c r="FK8" s="34"/>
      <c r="FL8" s="34"/>
      <c r="FM8" s="239" t="str">
        <f>IF(Location="Outdoors",'Release Calculations'!F$323,'Release Calculations'!F$309)</f>
        <v/>
      </c>
      <c r="FN8" s="239" t="str">
        <f>'Release Calculations'!F$324</f>
        <v/>
      </c>
      <c r="FO8" s="39" t="str">
        <f>IF(State&lt;&gt;"Solid",'Release Calculations'!F$309,Dust_SecondExpl_POE)</f>
        <v/>
      </c>
      <c r="FP8" s="34"/>
      <c r="FQ8" s="34"/>
      <c r="FR8" s="6"/>
      <c r="FS8" s="40"/>
      <c r="FT8" s="248"/>
      <c r="FU8" s="248"/>
      <c r="FV8" s="248"/>
      <c r="FW8" s="248"/>
      <c r="FX8" s="248"/>
      <c r="FY8" s="249" t="s">
        <v>1461</v>
      </c>
      <c r="FZ8" s="249" t="s">
        <v>1460</v>
      </c>
      <c r="GA8" s="250" t="s">
        <v>1461</v>
      </c>
      <c r="GB8" s="248"/>
      <c r="GC8" s="248"/>
      <c r="GD8" s="248"/>
      <c r="GE8" s="19"/>
      <c r="GF8" s="67"/>
      <c r="GG8" s="67"/>
      <c r="GH8" s="67"/>
      <c r="GI8" s="67"/>
      <c r="GJ8" s="67"/>
      <c r="GK8"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"&amp;BP8&amp;" "&amp;BQ8&amp;" Easily Ignited Material with Distance to LFL of "&amp;BD8&amp;" "&amp;BE8,IF(OR(Ease_of_Ignition_Feed="Low",AND(Flash_Pt_Feed&gt;MAX(Ambient_Temp,T),Aerosol_Potential="Yes")),"Outdoor Release of Difficult to Ignite Material or Combustible Aerosol","Outdoor release of "&amp;BP8&amp;" "&amp;BQ8&amp;" Flammable Material with Distance to LFL of "&amp;BD8&amp;" "&amp;BE8)),IF(Ease_of_Ignition_Feed="Elevated","Indoor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8" s="2581" t="str">
        <f t="shared" si="28"/>
        <v>No Flash Point Entered</v>
      </c>
      <c r="GM8" s="250" t="str">
        <f t="shared" si="29"/>
        <v>Indoor Release of Flammable Material-POX</v>
      </c>
      <c r="GN8" s="248"/>
      <c r="GO8" s="248"/>
      <c r="GP8" s="248"/>
      <c r="GQ8" s="19"/>
      <c r="GR8" s="189" t="str">
        <f t="shared" si="35"/>
        <v/>
      </c>
      <c r="GS8" s="19"/>
      <c r="GT8" s="19"/>
      <c r="GU8" s="64" t="str">
        <f>Desc_Moderate</f>
        <v>Very High Severity</v>
      </c>
      <c r="GV8" s="193">
        <f>Conseq_Moderate</f>
        <v>4</v>
      </c>
      <c r="GW8" s="19"/>
      <c r="GX8" s="37">
        <f>Conseq_High</f>
        <v>5</v>
      </c>
      <c r="GY8" s="189" t="str">
        <f t="shared" ref="GY8:HG10" si="44">Desc_High</f>
        <v>Extremely High Severity</v>
      </c>
      <c r="GZ8" s="189" t="str">
        <f t="shared" si="44"/>
        <v>Extremely High Severity</v>
      </c>
      <c r="HA8" s="189" t="str">
        <f t="shared" si="44"/>
        <v>Extremely High Severity</v>
      </c>
      <c r="HB8" s="189" t="str">
        <f t="shared" si="44"/>
        <v>Extremely High Severity</v>
      </c>
      <c r="HC8" s="189" t="str">
        <f t="shared" si="44"/>
        <v>Extremely High Severity</v>
      </c>
      <c r="HD8" s="189" t="str">
        <f t="shared" si="44"/>
        <v>Extremely High Severity</v>
      </c>
      <c r="HE8" s="189" t="str">
        <f t="shared" si="44"/>
        <v>Extremely High Severity</v>
      </c>
      <c r="HF8" s="189" t="str">
        <f t="shared" si="44"/>
        <v>Extremely High Severity</v>
      </c>
      <c r="HG8" s="189" t="str">
        <f t="shared" si="44"/>
        <v>Extremely High Severity</v>
      </c>
      <c r="HH8" s="189" t="str">
        <f>Desc_High_Bus</f>
        <v>Property Damage and Business Loss $5 MM to $50 MM</v>
      </c>
      <c r="HI8" s="189" t="str">
        <f>Desc_High_Environ</f>
        <v>Incident Requiring Significant Off-Site Remediation</v>
      </c>
    </row>
    <row r="9" spans="1:217" s="5" customFormat="1" ht="12.75" customHeight="1" x14ac:dyDescent="0.25">
      <c r="A9" s="35"/>
      <c r="B9" s="64" t="str">
        <f>'Scenario Identification'!BN3</f>
        <v>Gasket Failure above Liquid Level</v>
      </c>
      <c r="C9" s="1457" t="str">
        <f t="shared" si="10"/>
        <v/>
      </c>
      <c r="D9" s="65"/>
      <c r="E9" s="2483" t="str">
        <f>IF(MAX('Release Calculations'!F426,1-'Release Calculations'!F455,ABS(MIN('Release Calculations'!F426,1-'Release Calculations'!F455)))&gt;$E$4,"Yes","")</f>
        <v/>
      </c>
      <c r="F9" s="1418" t="s">
        <v>428</v>
      </c>
      <c r="G9" s="1434">
        <f t="shared" si="11"/>
        <v>0</v>
      </c>
      <c r="H9" s="1427" t="str">
        <f t="shared" si="31"/>
        <v>liter</v>
      </c>
      <c r="I9" s="1418">
        <f>ROUND('Release Calculations'!F7/$I$4,2)</f>
        <v>10</v>
      </c>
      <c r="J9" s="1421" t="str">
        <f t="shared" si="32"/>
        <v>mm</v>
      </c>
      <c r="K9" s="1427">
        <f t="shared" si="12"/>
        <v>0</v>
      </c>
      <c r="L9" s="1434">
        <f>sig('Release Calculations'!$F$437/$L$4,3,100,0)</f>
        <v>0</v>
      </c>
      <c r="M9" s="1435" t="str">
        <f t="shared" si="13"/>
        <v>kg</v>
      </c>
      <c r="N9" s="1432" t="str">
        <f t="shared" si="14"/>
        <v xml:space="preserve">Liquid:   ,  ,  ,  ,  </v>
      </c>
      <c r="O9" s="1434">
        <f>ROUND('Release Calculations'!$F$416,0)</f>
        <v>0</v>
      </c>
      <c r="P9" s="1434">
        <f>ROUND('Release Calculations'!$F$415/$P$4,2)</f>
        <v>0</v>
      </c>
      <c r="Q9" s="1446" t="str">
        <f t="shared" si="15"/>
        <v>bar</v>
      </c>
      <c r="R9" s="1434">
        <f>sig('Release Calculations'!$F$418/$AG$4,3,10,0)</f>
        <v>0</v>
      </c>
      <c r="S9" s="1447" t="str">
        <f t="shared" si="16"/>
        <v>kg/min</v>
      </c>
      <c r="T9" s="1435">
        <f>ROUND('Release Calculations'!$F$434/$T$4,0)</f>
        <v>0</v>
      </c>
      <c r="U9" s="1434">
        <f>ROUND(('Release Calculations'!$F$434+'Release Calculations'!$F$435)/$U$4,0)</f>
        <v>60</v>
      </c>
      <c r="V9" s="1434"/>
      <c r="W9" s="1435"/>
      <c r="X9" s="1438">
        <f>ROUND('Release Calculations'!H$589,3)</f>
        <v>0</v>
      </c>
      <c r="Y9" s="1458" t="str">
        <f>IF('Release Calculations'!$F$602="","",sig('Release Calculations'!$F$602,3,1000,0))</f>
        <v/>
      </c>
      <c r="Z9" s="1458" t="str">
        <f>IF('Release Calculations'!$F$609="","",sig('Release Calculations'!$F$609,3,1000,0))</f>
        <v/>
      </c>
      <c r="AA9" s="1458" t="str">
        <f>IF('Release Calculations'!$F$637="","",sig('Release Calculations'!$F$637,3,1000,0))</f>
        <v/>
      </c>
      <c r="AB9" s="1458" t="str">
        <f>IF('Release Calculations'!$F$644="","",sig('Release Calculations'!$F$644,3,1000,0))</f>
        <v/>
      </c>
      <c r="AC9" s="1458" t="str">
        <f>IF('Release Calculations'!$F$651="","",sig('Release Calculations'!$F$651,3,1000,0))</f>
        <v/>
      </c>
      <c r="AD9" s="1196" t="str">
        <f>IF('Release Calculations'!$F$630="","",ROUND('Release Calculations'!$F$630,1))</f>
        <v/>
      </c>
      <c r="AE9" s="1434">
        <f>sig('Release Calculations'!$F$437/$AE$4,3,100,0)</f>
        <v>0</v>
      </c>
      <c r="AF9" s="1435" t="str">
        <f t="shared" si="17"/>
        <v>kg</v>
      </c>
      <c r="AG9" s="1326">
        <f>sig('Release Calculations'!H$464/$AG$4,3,10,3)</f>
        <v>0</v>
      </c>
      <c r="AH9" s="1435" t="str">
        <f t="shared" si="33"/>
        <v>kg/min</v>
      </c>
      <c r="AI9" s="1434">
        <f>sig('Release Calculations'!$F$666/$AI$4,3,100,0)</f>
        <v>0</v>
      </c>
      <c r="AJ9" s="1435" t="str">
        <f t="shared" si="18"/>
        <v>m</v>
      </c>
      <c r="AK9" s="1434">
        <f>sig('Release Calculations'!$F$669/$AK$4,3,100,0)</f>
        <v>0</v>
      </c>
      <c r="AL9" s="1435" t="str">
        <f t="shared" si="19"/>
        <v>m</v>
      </c>
      <c r="AM9" s="1434">
        <f>sig('Release Calculations'!$F$671/$AM$4,3,100,0)</f>
        <v>0</v>
      </c>
      <c r="AN9" s="1435" t="str">
        <f t="shared" si="20"/>
        <v>m</v>
      </c>
      <c r="AO9" s="1434">
        <f>sig('Release Calculations'!$F$672/$AO$4,3,100,0)</f>
        <v>0</v>
      </c>
      <c r="AP9" s="1452" t="str">
        <f t="shared" si="20"/>
        <v>m</v>
      </c>
      <c r="AQ9" s="1434">
        <f>sig('Release Calculations'!$F$674/$AQ$4,3,100,0)</f>
        <v>0</v>
      </c>
      <c r="AR9" s="1452" t="str">
        <f t="shared" si="20"/>
        <v>m</v>
      </c>
      <c r="AS9" s="1452" t="str">
        <f t="shared" si="21"/>
        <v/>
      </c>
      <c r="AT9" s="1452" t="str">
        <f t="shared" si="22"/>
        <v/>
      </c>
      <c r="AU9" s="1452" t="str">
        <f t="shared" si="23"/>
        <v/>
      </c>
      <c r="AV9" s="114">
        <f>sig('Release Calculations'!$F$679,3,1000,-1)</f>
        <v>0</v>
      </c>
      <c r="AW9" s="114">
        <f>sig('Release Calculations'!$F$680,3,1000,-1)</f>
        <v>0</v>
      </c>
      <c r="AX9" s="114" t="str">
        <f>sig('Release Calculations'!$F$681,3,1000,0)</f>
        <v/>
      </c>
      <c r="AY9" s="114" t="str">
        <f>sig('Release Calculations'!$F$682,3,1000,0)</f>
        <v/>
      </c>
      <c r="AZ9" s="114">
        <f>sig('Release Calculations'!$F$683,3,1000,-1)</f>
        <v>0</v>
      </c>
      <c r="BA9" s="114">
        <f>sig('Release Calculations'!$F$684,3,1000,-1)</f>
        <v>0</v>
      </c>
      <c r="BB9" s="114" t="str">
        <f>sig('Release Calculations'!$F$685,3,10,3)</f>
        <v/>
      </c>
      <c r="BC9" s="2576" t="str">
        <f>sig('Release Calculations'!$F$686,3,10,3)</f>
        <v/>
      </c>
      <c r="BD9" s="2569">
        <f>sig('Release Calculations'!$F$703/$BD$4,3,100,0)</f>
        <v>0</v>
      </c>
      <c r="BE9" s="1435" t="str">
        <f t="shared" si="34"/>
        <v>m</v>
      </c>
      <c r="BF9" s="2569">
        <f>sig('Release Calculations'!$F$702/$BF$4,3,100,0)</f>
        <v>0</v>
      </c>
      <c r="BG9" s="1435" t="str">
        <f t="shared" si="34"/>
        <v>m</v>
      </c>
      <c r="BH9" s="1419"/>
      <c r="BI9" s="1422"/>
      <c r="BJ9" s="1419"/>
      <c r="BK9" s="1422"/>
      <c r="BL9" s="2573"/>
      <c r="BM9" s="2573"/>
      <c r="BN9" s="1441"/>
      <c r="BO9" s="1746"/>
      <c r="BP9" s="1503">
        <f>sig('Release Calculations'!$F$465/$BP$4,3,10,1)</f>
        <v>0</v>
      </c>
      <c r="BQ9" s="1435" t="str">
        <f t="shared" si="24"/>
        <v>kg/min</v>
      </c>
      <c r="BR9" s="1434">
        <f>sig(IF(Location="Indoors",'Release Calculations'!$F$694/$BR$4,'Release Calculations'!$F$708/$BR$4),3,100,0)</f>
        <v>0</v>
      </c>
      <c r="BS9" s="1435" t="str">
        <f t="shared" si="25"/>
        <v>m</v>
      </c>
      <c r="BT9" s="1748">
        <f>ROUND(IF(Location="Indoors",'Release Calculations'!$F$697,'Release Calculations'!$F$713),1)</f>
        <v>0</v>
      </c>
      <c r="BU9" s="1748">
        <f>ROUND(IF(Location="Indoors",'Release Calculations'!$F$699,'Release Calculations'!$F$717),1)</f>
        <v>0</v>
      </c>
      <c r="BV9" s="1436"/>
      <c r="BW9" s="1442"/>
      <c r="BX9" s="262"/>
      <c r="BY9" s="262"/>
      <c r="BZ9" s="123"/>
      <c r="CA9" s="4" t="str">
        <f>IF('Release Calculations'!F$721="NA","",'Release Calculations'!F$721)</f>
        <v/>
      </c>
      <c r="CB9" s="4" t="str">
        <f>IF('Release Calculations'!F$751="NA","",'Release Calculations'!F$751)</f>
        <v/>
      </c>
      <c r="CC9" s="4" t="str">
        <f>IF('Release Calculations'!F$756="NA","",'Release Calculations'!F$756)</f>
        <v/>
      </c>
      <c r="CD9" s="735" t="str">
        <f>IF('Release Calculations'!F$761="NA","",'Release Calculations'!F$761)</f>
        <v/>
      </c>
      <c r="CE9" s="4"/>
      <c r="CF9" s="4" t="str">
        <f>IF('Release Calculations'!F$766="NA","",'Release Calculations'!F$766)</f>
        <v/>
      </c>
      <c r="CG9" s="4" t="str">
        <f>IF('Release Calculations'!F$786="NA","",'Release Calculations'!F$786)</f>
        <v/>
      </c>
      <c r="CH9" s="4" t="str">
        <f>IF('Release Calculations'!F$776="NA","",'Release Calculations'!F$776)</f>
        <v/>
      </c>
      <c r="CI9" s="4"/>
      <c r="CJ9" s="4"/>
      <c r="CK9" s="4"/>
      <c r="CL9" s="19"/>
      <c r="CM9" s="19"/>
      <c r="CN9" s="189" t="str">
        <f>IF(CA9="","",IF('Release Calculations'!F$668="Yes",IF(CA9=Conseq_VeryLow,Desc_VeryLow,IF(CA9=Conseq_Low,Desc_Low,IF(CA9=Conseq_Moderate,Desc_Moderate,IF(CA9=Conseq_High,Desc_High,IF(CA9=Conseq_VeryHigh,Desc_VeryHigh,IF(CA9=Conseq_ExtremeHigh,Desc_ExtremeHigh,Desc_GT_ExtremeHigh)))))),IF(CA9=Conseq_Low_Offsite,Desc_Low_Offsite,Desc_VeryLow_Offsite)))</f>
        <v/>
      </c>
      <c r="CO9" s="189" t="str">
        <f t="shared" si="37"/>
        <v/>
      </c>
      <c r="CP9" s="189" t="str">
        <f t="shared" si="38"/>
        <v/>
      </c>
      <c r="CQ9" s="189" t="str">
        <f t="shared" si="39"/>
        <v/>
      </c>
      <c r="CR9" s="67"/>
      <c r="CS9" s="189" t="str">
        <f t="shared" si="40"/>
        <v/>
      </c>
      <c r="CT9" s="189" t="str">
        <f t="shared" si="41"/>
        <v/>
      </c>
      <c r="CU9" s="189" t="str">
        <f t="shared" si="42"/>
        <v/>
      </c>
      <c r="CV9" s="67"/>
      <c r="CW9" s="67"/>
      <c r="CX9" s="67"/>
      <c r="CY9" s="40" t="s">
        <v>822</v>
      </c>
      <c r="CZ9" s="189" t="str">
        <f>IF(CA9="","",IF('Release Calculations'!F$668="Yes"," at a "&amp;$AI$3&amp;" of "&amp;AI9&amp;" "&amp;AJ9&amp;" which exceeds Distance to the Fence Line of "&amp;Public_Input&amp;" "&amp;Public_Units))</f>
        <v/>
      </c>
      <c r="DA9" s="189" t="str">
        <f>IF(CB9="","",IF('Release Calculations'!$F$292="Yes"," with operating personnel in close proximity and a "&amp;$AM$3&amp;" of "&amp;AM9&amp;" "&amp;AN9," at a "&amp;$AM$3&amp;" of "&amp;AM9&amp;" "&amp;AN9)&amp;IF('Release Calculations'!$F$671&gt;Public," which exceeds Distance to the Fence Line of "&amp;Public_Input&amp;" "&amp;Public_Units&amp;".  Target Factor may be conservative",))</f>
        <v/>
      </c>
      <c r="DB9" s="226" t="str">
        <f>IF(CC9="","",IF('Release Calculations'!F690="Yes","and Potential for Asphyxiation","")&amp;IF('Release Calculations'!F$292="Yes"," with operations personnel in close proximity at an "&amp;$AZ$3&amp;" of "&amp;AZ9&amp;" ppm"," at an "&amp;$AZ$3&amp;" of "&amp;AZ9&amp;" ppm"))</f>
        <v/>
      </c>
      <c r="DC9" s="189" t="str">
        <f t="shared" si="27"/>
        <v/>
      </c>
      <c r="DD9" s="67"/>
      <c r="DE9" s="189" t="str">
        <f>IF(CF9="","",IF('Release Calculations'!$F$292="Yes"," with operating personnel in close proximity and a "&amp;$BF$3&amp;" of "&amp;BF9&amp;" "&amp;BG9," at a "&amp;$BF$3&amp;" of "&amp;BF9&amp;" "&amp;BG9))</f>
        <v/>
      </c>
      <c r="DF9" s="189" t="str">
        <f>IF(CG9="","",IF('Release Calculations'!F$709="Yes"," with "&amp;$BR$3&amp;" of "&amp;BR9&amp;" "&amp;BS9&amp;IF('Release Calculations'!F$718&lt;&gt;"Yes",""," including "&amp;$BT$3&amp;" of "&amp;BT9&amp;" psi.")&amp;" 1 psi Blast Overpresssure exceeds Distance to the Fence Line of "&amp;Public_Input&amp;" "&amp;Public_Units&amp;".  Consider adjustment for Off-Site Impacts",IF('Release Calculations'!F$718&lt;&gt;"Yes"," impacting on site personnel at a "&amp;$BR$3&amp;" of "&amp;BR9&amp;" "&amp;BS9," impacting on site personnel at a "&amp;$BR$3&amp;" of "&amp;BR9&amp;" "&amp;BS9&amp;" including "&amp;$BT$3&amp;" of "&amp;BT9&amp;" psi")))</f>
        <v/>
      </c>
      <c r="DG9" s="189" t="str">
        <f>IF(CH9="","",IF('Release Calculations'!F$695="Yes"," with "&amp;$BR$3&amp;" of "&amp;BR9&amp;" "&amp;BS9&amp;IF('Release Calculations'!F$700&lt;&gt;"Yes",""," including "&amp;$BT$3&amp;" of "&amp;BT9&amp;" psi.")&amp;"  1 psi Blast Overpresssure exceeds Distance to the Fence Line of "&amp;Public_Input&amp;" "&amp;Public_Units&amp;".  Consider adjustment for Off-Site Impacts",IF('Release Calculations'!F$700&lt;&gt;"Yes"," impacting enclosed area operating personnel, on site personnel at a "&amp;$BR$3&amp;" of "&amp;BR9&amp;" "&amp;BS9," impacting enclosed area operating personnel, on site personnel at a "&amp;$BR$3&amp;" of "&amp;BR9&amp;" "&amp;BS9&amp;" including "&amp;$BT$3&amp;" of "&amp;BT9&amp;" psi")))</f>
        <v/>
      </c>
      <c r="DH9" s="67"/>
      <c r="DI9" s="67"/>
      <c r="DJ9" s="67"/>
      <c r="DK9" s="19"/>
      <c r="DL9" s="39"/>
      <c r="DM9" s="239">
        <f>'Release Calculations'!F$749</f>
        <v>0</v>
      </c>
      <c r="DN9" s="239">
        <f>'Release Calculations'!F$754</f>
        <v>0</v>
      </c>
      <c r="DO9" s="34"/>
      <c r="DP9" s="34"/>
      <c r="DQ9" s="239">
        <f>'Release Calculations'!F$764</f>
        <v>0</v>
      </c>
      <c r="DR9" s="34"/>
      <c r="DS9" s="34"/>
      <c r="DT9" s="34"/>
      <c r="DU9" s="34"/>
      <c r="DV9" s="6"/>
      <c r="DW9" s="40"/>
      <c r="DX9" s="250"/>
      <c r="DY9" s="249" t="s">
        <v>2983</v>
      </c>
      <c r="DZ9" s="250" t="s">
        <v>292</v>
      </c>
      <c r="EA9" s="740"/>
      <c r="EB9" s="248"/>
      <c r="EC9" s="249" t="s">
        <v>292</v>
      </c>
      <c r="ED9" s="248"/>
      <c r="EE9" s="248"/>
      <c r="EF9" s="248"/>
      <c r="EG9" s="248"/>
      <c r="EH9" s="248"/>
      <c r="EI9" s="19"/>
      <c r="EJ9" s="250"/>
      <c r="EK9" s="249" t="str">
        <f>IF(Attended_Op="Yes","Noted as Personnel Routinely in Immediate Area or Equipment Type involves Materials Handling - "&amp;IF('Release Calculations'!F586*3600&lt;30," with a very Short Exposure Duration (&lt; 30 sec)","Time at Risk May Apply"),"Probability of Personnel to be in Close Proximity to Chemical Release based on Toxic Impact Area to "&amp;AM9&amp;" "&amp;AN9&amp;IF('Release Calculations'!F748&lt;0.01," (with potential for higher POE credit upon further review)",""))</f>
        <v>Probability of Personnel to be in Close Proximity to Chemical Release based on Toxic Impact Area to 0 m (with potential for higher POE credit upon further review)</v>
      </c>
      <c r="EL9" s="250" t="str">
        <f>IF(Attended_Op="Yes","Noted as Personnel Routinely in Immediate Area or Equipment Type involves Materials Handling - Time at Risk May Apply","Probability of Personnel to be in Close Proximity to Chemical Release based on Ratio Enclosed Process Area Concentation of "&amp;AZ9&amp;" ppm to 10 ER-3 for "&amp;Chemical&amp;IF(Fract_Key_Chemical&lt;1," mixture "," ")&amp;IF('Release Calculations'!$F$753&lt;0.01,"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9" s="248"/>
      <c r="EN9" s="248"/>
      <c r="EO9"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"&amp;AZ9&amp;" to "&amp;LFL_Fract_FlashFIre&amp;" LFL","Flammable Impact Area to "&amp;BF9&amp;" "&amp;BG9)&amp;IF('Release Calculations'!$F$763&lt;0.01," (with potential for higher POE credit upon further review)",""))</f>
        <v>Probability of Personnel to be in Close Proximity to Chemical Release based on Flammable Impact Area to 0 m (with potential for higher POE credit upon further review)</v>
      </c>
      <c r="EP9" s="248"/>
      <c r="EQ9" s="248"/>
      <c r="ER9" s="248"/>
      <c r="ES9" s="248"/>
      <c r="ET9" s="248"/>
      <c r="EU9" s="19"/>
      <c r="EV9" s="1379"/>
      <c r="EW9" s="957">
        <f>'Release Calculations'!F748</f>
        <v>6.0000000000000008E-7</v>
      </c>
      <c r="EX9" s="957">
        <f>'Release Calculations'!$F$753</f>
        <v>0</v>
      </c>
      <c r="EY9" s="1380"/>
      <c r="EZ9" s="1380"/>
      <c r="FA9" s="957">
        <f>'Release Calculations'!$F$763</f>
        <v>0</v>
      </c>
      <c r="FB9" s="6"/>
      <c r="FC9" s="6"/>
      <c r="FD9" s="6"/>
      <c r="FE9" s="6"/>
      <c r="FF9" s="6"/>
      <c r="FG9" s="19"/>
      <c r="FH9" s="34"/>
      <c r="FI9" s="34"/>
      <c r="FJ9" s="34"/>
      <c r="FK9" s="739"/>
      <c r="FL9" s="34"/>
      <c r="FM9" s="239" t="str">
        <f>IF(Location="Outdoors",'Release Calculations'!F$706,'Release Calculations'!F$692)</f>
        <v/>
      </c>
      <c r="FN9" s="239" t="str">
        <f>'Release Calculations'!F$707</f>
        <v/>
      </c>
      <c r="FO9" s="39" t="str">
        <f>IF(State&lt;&gt;"Solid",'Release Calculations'!F$692,Dust_SecondExpl_POE)</f>
        <v/>
      </c>
      <c r="FP9" s="34"/>
      <c r="FQ9" s="34"/>
      <c r="FR9" s="6"/>
      <c r="FS9" s="40"/>
      <c r="FT9" s="248"/>
      <c r="FU9" s="248"/>
      <c r="FV9" s="248"/>
      <c r="FW9" s="741"/>
      <c r="FX9" s="248"/>
      <c r="FY9" s="249" t="s">
        <v>1461</v>
      </c>
      <c r="FZ9" s="249" t="s">
        <v>1460</v>
      </c>
      <c r="GA9" s="250" t="s">
        <v>1461</v>
      </c>
      <c r="GB9" s="248"/>
      <c r="GC9" s="248"/>
      <c r="GD9" s="248"/>
      <c r="GE9" s="19"/>
      <c r="GF9" s="248"/>
      <c r="GG9" s="248"/>
      <c r="GH9" s="248"/>
      <c r="GI9" s="741"/>
      <c r="GJ9" s="248"/>
      <c r="GK9" s="440" t="str">
        <f>IF(Ease_of_Ignition_Feed="High","Noted as Pyrophoric Material",IF(Ease_of_Ignition_Feed="High","Noted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"&amp;BP9&amp;" "&amp;BQ9&amp;" Easily Ignited Material with Distance to LFL of "&amp;BD9&amp;" "&amp;BE9,IF(Ease_of_Ignition_Feed="Low","Outdoor Release of Difficult to Ignite Material","Outdoor release of "&amp;BP9&amp;" "&amp;BQ9&amp;" Flammable Material with Distance to LFL of "&amp;BD9&amp;" "&amp;BE9)),IF(Ease_of_Ignition_Feed="Elevated","Indoor Release of Easily Ignited Material",IF(Ease_of_Ignition_Feed="Low","Indoor Release of Difficult to Ignite Material","Indoor Release of Flammable Material"))))))))</f>
        <v>No Flash Point Entered</v>
      </c>
      <c r="GL9" s="2581" t="str">
        <f t="shared" si="28"/>
        <v>No Flash Point Entered</v>
      </c>
      <c r="GM9" s="250" t="str">
        <f t="shared" si="29"/>
        <v>Indoor Release of Flammable Material-POX</v>
      </c>
      <c r="GN9" s="248"/>
      <c r="GO9" s="248"/>
      <c r="GP9" s="248"/>
      <c r="GQ9" s="19"/>
      <c r="GR9" s="189" t="str">
        <f t="shared" si="35"/>
        <v/>
      </c>
      <c r="GS9" s="19"/>
      <c r="GT9" s="19"/>
      <c r="GU9" s="64" t="str">
        <f>Desc_High</f>
        <v>Extremely High Severity</v>
      </c>
      <c r="GV9" s="193">
        <f>Conseq_High</f>
        <v>5</v>
      </c>
      <c r="GW9" s="19"/>
      <c r="GX9" s="37">
        <f>Conseq_VeryHigh</f>
        <v>6</v>
      </c>
      <c r="GY9" s="189" t="str">
        <f t="shared" ref="GY9:HG11" si="45">Desc_VeryHigh</f>
        <v>Catastrophic Severity</v>
      </c>
      <c r="GZ9" s="189" t="str">
        <f t="shared" si="45"/>
        <v>Catastrophic Severity</v>
      </c>
      <c r="HA9" s="189" t="str">
        <f t="shared" si="45"/>
        <v>Catastrophic Severity</v>
      </c>
      <c r="HB9" s="189" t="str">
        <f t="shared" si="45"/>
        <v>Catastrophic Severity</v>
      </c>
      <c r="HC9" s="189" t="str">
        <f t="shared" si="45"/>
        <v>Catastrophic Severity</v>
      </c>
      <c r="HD9" s="189" t="str">
        <f t="shared" si="45"/>
        <v>Catastrophic Severity</v>
      </c>
      <c r="HE9" s="189" t="str">
        <f t="shared" si="45"/>
        <v>Catastrophic Severity</v>
      </c>
      <c r="HF9" s="189" t="str">
        <f t="shared" si="45"/>
        <v>Catastrophic Severity</v>
      </c>
      <c r="HG9" s="189" t="str">
        <f t="shared" si="45"/>
        <v>Catastrophic Severity</v>
      </c>
      <c r="HH9" s="189" t="str">
        <f>Desc_VeryHigh_Bus</f>
        <v>Property Damage and Business Loss &gt; $50 MM</v>
      </c>
      <c r="HI9" s="189" t="str">
        <f>Desc_VeryHigh_Environ</f>
        <v>Incident with Significant National Media Attention</v>
      </c>
    </row>
    <row r="10" spans="1:217" s="5" customFormat="1" ht="12.75" customHeight="1" x14ac:dyDescent="0.25">
      <c r="A10" s="35"/>
      <c r="B10" s="64" t="str">
        <f>'Scenario Identification'!BO3</f>
        <v>Gasket Failure at 1.3 MAWP</v>
      </c>
      <c r="C10" s="1457" t="str">
        <f t="shared" si="10"/>
        <v/>
      </c>
      <c r="D10" s="65"/>
      <c r="E10" s="3181" t="str">
        <f>IF(MAX('Release Calculations'!H35,'Release Calculations'!H43,'Release Calculations'!H62,1-'Release Calculations'!H82,ABS(MIN('Release Calculations'!H35,'Release Calculations'!H43,'Release Calculations'!H62,1-'Release Calculations'!F82)))&gt;$E$4,"Yes","")</f>
        <v/>
      </c>
      <c r="F10" s="1418" t="s">
        <v>428</v>
      </c>
      <c r="G10" s="1434">
        <f t="shared" si="11"/>
        <v>0</v>
      </c>
      <c r="H10" s="1427" t="str">
        <f t="shared" si="31"/>
        <v>liter</v>
      </c>
      <c r="I10" s="3182">
        <f>ROUND('Release Calculations'!H7/$I$4,2)</f>
        <v>10</v>
      </c>
      <c r="J10" s="1421" t="str">
        <f t="shared" si="32"/>
        <v>mm</v>
      </c>
      <c r="K10" s="1427">
        <f t="shared" si="12"/>
        <v>0</v>
      </c>
      <c r="L10" s="3183">
        <f>sig('Release Calculations'!$H$16/$L$4,3,100,0)</f>
        <v>0</v>
      </c>
      <c r="M10" s="1435" t="str">
        <f t="shared" si="13"/>
        <v>kg</v>
      </c>
      <c r="N10" s="1432" t="str">
        <f t="shared" si="14"/>
        <v xml:space="preserve">Liquid:   ,  ,  ,  ,  </v>
      </c>
      <c r="O10" s="3183">
        <f>ROUND('Release Calculations'!$H$9,0)</f>
        <v>0</v>
      </c>
      <c r="P10" s="3183">
        <f>ROUND('Release Calculations'!$H$8/$P$4,2)</f>
        <v>0</v>
      </c>
      <c r="Q10" s="1446" t="str">
        <f t="shared" si="15"/>
        <v>bar</v>
      </c>
      <c r="R10" s="3183">
        <f>sig('Release Calculations'!$H$23/$AG$4,3,10,0)</f>
        <v>0</v>
      </c>
      <c r="S10" s="1447" t="str">
        <f t="shared" si="16"/>
        <v>kg/min</v>
      </c>
      <c r="T10" s="3184">
        <f>ROUND('Release Calculations'!$H$13/$T$4,0)</f>
        <v>0</v>
      </c>
      <c r="U10" s="3183">
        <f>ROUND(('Release Calculations'!$H$13+'Release Calculations'!$H$14)/$U$4,0)</f>
        <v>0</v>
      </c>
      <c r="V10" s="3183">
        <f>sig('Release Calculations'!$H$55/$V$4,3,100,0)</f>
        <v>0</v>
      </c>
      <c r="W10" s="1435" t="str">
        <f>IF(Report_A&lt;&gt;"",Report_A,IF(Dike_Area_Units="","sq m",Dike_Area_Units))</f>
        <v>sq m</v>
      </c>
      <c r="X10" s="3186">
        <f>ROUND('Release Calculations'!H$214,3)</f>
        <v>0</v>
      </c>
      <c r="Y10" s="3187" t="str">
        <f>IF('Release Calculations'!$H$225="","",sig('Release Calculations'!$H$225,3,1000,0))</f>
        <v/>
      </c>
      <c r="Z10" s="3187" t="str">
        <f>IF('Release Calculations'!$H$231="","",sig('Release Calculations'!$H$231,3,1000,0))</f>
        <v/>
      </c>
      <c r="AA10" s="3187" t="str">
        <f>IF('Release Calculations'!$H$255="","",sig('Release Calculations'!$H$255,3,1000,0))</f>
        <v/>
      </c>
      <c r="AB10" s="3187" t="str">
        <f>IF('Release Calculations'!$H$261="","",sig('Release Calculations'!$H$261,3,1000,0))</f>
        <v/>
      </c>
      <c r="AC10" s="3187" t="str">
        <f>IF('Release Calculations'!$H$267="","",sig('Release Calculations'!$H$267,3,1000,0))</f>
        <v/>
      </c>
      <c r="AD10" s="3188" t="str">
        <f>IF('Release Calculations'!$H$249="","",ROUND('Release Calculations'!$H$249,1))</f>
        <v/>
      </c>
      <c r="AE10" s="3183">
        <f>sig('Release Calculations'!$H$70/$AE$4,3,100,0)</f>
        <v>0</v>
      </c>
      <c r="AF10" s="1435" t="str">
        <f t="shared" si="17"/>
        <v>kg</v>
      </c>
      <c r="AG10" s="3189">
        <f>sig('Release Calculations'!H$89/$AG$4,3,10,3)</f>
        <v>3.0000000000000001E-3</v>
      </c>
      <c r="AH10" s="1435" t="str">
        <f t="shared" si="33"/>
        <v>kg/min</v>
      </c>
      <c r="AI10" s="3183">
        <f>sig('Release Calculations'!$H$282/$AI$4,3,100,0)</f>
        <v>0</v>
      </c>
      <c r="AJ10" s="1435" t="str">
        <f t="shared" si="18"/>
        <v>m</v>
      </c>
      <c r="AK10" s="3183">
        <f>sig('Release Calculations'!$H$285/$AK$4,3,100,0)</f>
        <v>0</v>
      </c>
      <c r="AL10" s="1435" t="str">
        <f t="shared" si="19"/>
        <v>m</v>
      </c>
      <c r="AM10" s="3183">
        <f>sig('Release Calculations'!$H$287/$AM$4,3,100,0)</f>
        <v>0</v>
      </c>
      <c r="AN10" s="1435" t="str">
        <f t="shared" si="20"/>
        <v>m</v>
      </c>
      <c r="AO10" s="3183">
        <f>sig('Release Calculations'!$H$288/$AO$4,3,100,0)</f>
        <v>0</v>
      </c>
      <c r="AP10" s="1452" t="str">
        <f t="shared" si="20"/>
        <v>m</v>
      </c>
      <c r="AQ10" s="3183">
        <f>sig('Release Calculations'!$H$291/$AQ$4,3,100,0)</f>
        <v>0</v>
      </c>
      <c r="AR10" s="1452" t="str">
        <f t="shared" si="20"/>
        <v>m</v>
      </c>
      <c r="AS10" s="1452" t="str">
        <f t="shared" si="21"/>
        <v/>
      </c>
      <c r="AT10" s="1452" t="str">
        <f>IF(Occ_Bldg2_Name=0,"",Occ_Bldg2_Name)</f>
        <v/>
      </c>
      <c r="AU10" s="1452" t="str">
        <f t="shared" si="23"/>
        <v/>
      </c>
      <c r="AV10" s="3187">
        <f>sig('Release Calculations'!$H$296,3,1000,-1)</f>
        <v>0</v>
      </c>
      <c r="AW10" s="3187">
        <f>sig('Release Calculations'!$H$297,3,1000,-1)</f>
        <v>0</v>
      </c>
      <c r="AX10" s="3187" t="str">
        <f>sig('Release Calculations'!$H$298,3,1000,0)</f>
        <v/>
      </c>
      <c r="AY10" s="3187" t="str">
        <f>sig('Release Calculations'!$H$299,3,1000,0)</f>
        <v/>
      </c>
      <c r="AZ10" s="3187">
        <f>sig('Release Calculations'!$H$300,3,1000,-1)</f>
        <v>0</v>
      </c>
      <c r="BA10" s="3187">
        <f>sig('Release Calculations'!$H$301,3,1000,-1)</f>
        <v>0</v>
      </c>
      <c r="BB10" s="3187" t="str">
        <f>sig('Release Calculations'!$H$302,3,10,3)</f>
        <v/>
      </c>
      <c r="BC10" s="3187" t="str">
        <f>sig('Release Calculations'!$H$303,3,10,3)</f>
        <v/>
      </c>
      <c r="BD10" s="3185">
        <f>sig('Release Calculations'!$H$320/$BD$4,3,100,0)</f>
        <v>0</v>
      </c>
      <c r="BE10" s="1435" t="str">
        <f t="shared" si="34"/>
        <v>m</v>
      </c>
      <c r="BF10" s="3185">
        <f>sig('Release Calculations'!$H$319/$BF$4,3,100,0)</f>
        <v>0</v>
      </c>
      <c r="BG10" s="1435" t="str">
        <f t="shared" si="34"/>
        <v>m</v>
      </c>
      <c r="BH10" s="3190"/>
      <c r="BI10" s="3191"/>
      <c r="BJ10" s="3190"/>
      <c r="BK10" s="3191"/>
      <c r="BL10" s="3192"/>
      <c r="BM10" s="3192"/>
      <c r="BN10" s="3193"/>
      <c r="BO10" s="3193"/>
      <c r="BP10" s="3194">
        <f>sig('Release Calculations'!$H$90/$BP$4,3,10,1)</f>
        <v>0</v>
      </c>
      <c r="BQ10" s="1435" t="str">
        <f t="shared" si="24"/>
        <v>kg/min</v>
      </c>
      <c r="BR10" s="3183">
        <f>sig(IF(Location="Indoors",'Release Calculations'!$H$311/$BR$4,'Release Calculations'!$H$325/$BR$4),3,100,0)</f>
        <v>0</v>
      </c>
      <c r="BS10" s="1435" t="str">
        <f t="shared" si="25"/>
        <v>m</v>
      </c>
      <c r="BT10" s="3195">
        <f>ROUND(IF(Location="Indoors",'Release Calculations'!$H$314,'Release Calculations'!$H$330),1)</f>
        <v>0</v>
      </c>
      <c r="BU10" s="3195">
        <f>ROUND(IF(Location="Indoors",'Release Calculations'!$H$316,'Release Calculations'!$H$334),1)</f>
        <v>0</v>
      </c>
      <c r="BV10" s="3196"/>
      <c r="BW10" s="3197"/>
      <c r="BX10" s="262"/>
      <c r="BY10" s="262"/>
      <c r="BZ10" s="123"/>
      <c r="CA10" s="3198" t="str">
        <f>IF('Release Calculations'!H$338="NA","",'Release Calculations'!H$338)</f>
        <v/>
      </c>
      <c r="CB10" s="3198" t="str">
        <f>IF('Release Calculations'!H$368="NA","",'Release Calculations'!H$368)</f>
        <v/>
      </c>
      <c r="CC10" s="3198" t="str">
        <f>IF('Release Calculations'!H$373="NA","",'Release Calculations'!H$373)</f>
        <v/>
      </c>
      <c r="CD10" s="3198" t="str">
        <f>IF('Release Calculations'!H$378="NA","",'Release Calculations'!H$378)</f>
        <v/>
      </c>
      <c r="CE10" s="3198" t="str">
        <f>IF('Release Calculations'!H$384="NA","",'Release Calculations'!H$384)</f>
        <v/>
      </c>
      <c r="CF10" s="3198" t="str">
        <f>IF('Release Calculations'!H$389="NA","",'Release Calculations'!H$389)</f>
        <v/>
      </c>
      <c r="CG10" s="3198" t="str">
        <f>IF('Release Calculations'!H$409="NA","",'Release Calculations'!H$409)</f>
        <v/>
      </c>
      <c r="CH10" s="3198" t="str">
        <f>IF('Release Calculations'!H$399="NA","",'Release Calculations'!H$399)</f>
        <v/>
      </c>
      <c r="CI10" s="3198"/>
      <c r="CJ10" s="3198"/>
      <c r="CK10" s="3198" t="str">
        <f>IF('Release Calculations'!BD420="NA","",'Release Calculations'!BD420)</f>
        <v/>
      </c>
      <c r="CL10" s="19"/>
      <c r="CM10" s="19"/>
      <c r="CN10" s="3199" t="str">
        <f>IF(CA10="","",IF('Release Calculations'!H$284="Yes",IF(CA10=Conseq_VeryLow,Desc_VeryLow,IF(CA10=Conseq_Low,Desc_Low,IF(CA10=Conseq_Moderate,Desc_Moderate,IF(CA10=Conseq_High,Desc_High,IF(CA10=Conseq_VeryHigh,Desc_VeryHigh,IF(CA10=Conseq_ExtremeHigh,Desc_ExtremeHigh,Desc_GT_ExtremeHigh)))))),IF(CA10=Conseq_Low_Offsite,Desc_Low_Offsite,Desc_VeryLow_Offsite)))</f>
        <v/>
      </c>
      <c r="CO10" s="3199" t="str">
        <f t="shared" ref="CO10:CO11" si="46">IF(CB10="","",IF(CB10=Conseq_VeryLow,Desc_VeryLow,IF(CB10=Conseq_Low,Desc_Low,IF(CB10=Conseq_Moderate,Desc_Moderate,IF(CB10=Conseq_High,Desc_High,IF(CB10=Conseq_VeryHigh,Desc_VeryHigh,IF(CB10=Conseq_ExtremeHigh,Desc_ExtremeHigh,Desc_GT_ExtremeHigh)))))))</f>
        <v/>
      </c>
      <c r="CP10" s="3199" t="str">
        <f t="shared" ref="CP10:CP11" si="47">IF(CC10="","",IF(CC10=Conseq_VeryLow,Desc_VeryLow,IF(CC10=Conseq_Low,Desc_Low,IF(CC10=Conseq_Moderate,Desc_Moderate,IF(CC10=Conseq_High,Desc_High,IF(CC10=Conseq_VeryHigh,Desc_VeryHigh,IF(CC10=Conseq_ExtremeHigh,Desc_ExtremeHigh,Desc_GT_ExtremeHigh)))))))</f>
        <v/>
      </c>
      <c r="CQ10" s="3199" t="str">
        <f t="shared" ref="CQ10:CQ11" si="48">IF(CD10="","",IF(CD10=Conseq_VeryLow,Desc_VeryLow,IF(CD10=Conseq_Low,Desc_Low,IF(CD10=Conseq_Moderate,Desc_Moderate,IF(CD10=Conseq_High,Desc_High,IF(CD10=Conseq_VeryHigh,Desc_VeryHigh,IF(CD10=Conseq_ExtremeHigh,Desc_ExtremeHigh,Desc_GT_ExtremeHigh)))))))</f>
        <v/>
      </c>
      <c r="CR10" s="3200" t="str">
        <f>IF(CE10="","",IF(CE10=Conseq_VeryLow,Desc_VeryLow,IF(CE10=Conseq_Low,Desc_Low,IF(CE10=Conseq_Moderate,Desc_Moderate,IF(CE10=Conseq_High,Desc_High,IF(CE10=Conseq_VeryHigh,Desc_VeryHigh,IF(CE10=Conseq_ExtremeHigh,Desc_ExtremeHigh,Desc_GT_ExtremeHigh)))))))</f>
        <v/>
      </c>
      <c r="CS10" s="3199" t="str">
        <f t="shared" ref="CS10:CS11" si="49">IF(CF10="","",IF(CF10=Conseq_VeryLow,Desc_VeryLow,IF(CF10=Conseq_Low,Desc_Low,IF(CF10=Conseq_Moderate,Desc_Moderate,IF(CF10=Conseq_High,Desc_High,IF(CF10=Conseq_VeryHigh,Desc_VeryHigh,IF(CF10=Conseq_ExtremeHigh,Desc_ExtremeHigh,Desc_GT_ExtremeHigh)))))))</f>
        <v/>
      </c>
      <c r="CT10" s="3199" t="str">
        <f t="shared" ref="CT10:CT11" si="50">IF(CG10="","",IF(CG10=Conseq_VeryLow,Desc_VeryLow,IF(CG10=Conseq_Low,Desc_Low,IF(CG10=Conseq_Moderate,Desc_Moderate,IF(CG10=Conseq_High,Desc_High,IF(CG10=Conseq_VeryHigh,Desc_VeryHigh,IF(CG10=Conseq_ExtremeHigh,Desc_ExtremeHigh,Desc_GT_ExtremeHigh)))))))</f>
        <v/>
      </c>
      <c r="CU10" s="3199" t="str">
        <f t="shared" ref="CU10:CU11" si="51">IF(CH10="","",IF(CH10=Conseq_VeryLow,Desc_VeryLow,IF(CH10=Conseq_Low,Desc_Low,IF(CH10=Conseq_Moderate,Desc_Moderate,IF(CH10=Conseq_High,Desc_High,IF(CH10=Conseq_VeryHigh,Desc_VeryHigh,IF(CH10=Conseq_ExtremeHigh,Desc_ExtremeHigh,Desc_GT_ExtremeHigh)))))))</f>
        <v/>
      </c>
      <c r="CV10" s="3200"/>
      <c r="CW10" s="3200"/>
      <c r="CX10" s="3200" t="str">
        <f>IF(CK10="","",IF(CK10=Conseq_VeryLow,Desc_VeryLow_Environ,IF(CK10=Conseq_Low,Desc_Low_Environ,IF(CK10=Conseq_Moderate,Desc_Moderate_Environ,IF(CK10=Conseq_High,Desc_High_Environ,IF(CK10=Conseq_VeryHigh,Desc_VeryHigh_Environ,Desc_ExtremeHigh_Environ))))))</f>
        <v/>
      </c>
      <c r="CY10" s="40" t="s">
        <v>822</v>
      </c>
      <c r="CZ10" s="3199" t="str">
        <f>IF(CA10="","",IF('Release Calculations'!H$284="Yes"," at a "&amp;$AI$3&amp;" of "&amp;AI10&amp;" "&amp;AJ10&amp;" which exceeds Distance to the Fence Line of "&amp;Public_Input&amp;" "&amp;Public_Units))</f>
        <v/>
      </c>
      <c r="DA10" s="3199" t="str">
        <f>IF(CB10="","",IF('Release Calculations'!$H$292="Yes"," with operating personnel in close proximity and a "&amp;$AM$3&amp;" of "&amp;AM10&amp;" "&amp;AN10," at a "&amp;$AM$3&amp;" of "&amp;AM10&amp;" "&amp;AN10)&amp;IF('Release Calculations'!$H$287&gt;Public," which exceeds Distance to the Fence Line of "&amp;Public_Input&amp;" "&amp;Public_Units&amp;".  Target Factor may be conservative",))</f>
        <v/>
      </c>
      <c r="DB10" s="3201" t="str">
        <f>IF(CC10="","",IF('Release Calculations'!H307="Yes","and Potential for Asphyxiation","")&amp;IF('Release Calculations'!H$292="Yes"," with operations personnel in close proximity at an "&amp;$AZ$3&amp;" of "&amp;AZ10&amp;" ppm"," at an "&amp;$AZ$3&amp;" of "&amp;AZ10&amp;" ppm"))</f>
        <v/>
      </c>
      <c r="DC10" s="3199" t="str">
        <f t="shared" ref="DC10:DC11" si="52">IF(CD10="",""," at a "&amp;$AV$3&amp;" of "&amp;AV10&amp;" ppm")</f>
        <v/>
      </c>
      <c r="DD10" s="3200" t="str">
        <f>IF(CE10="",""," of a "&amp;IF(Ease_of_Ignition_Feed="High","pyrophoric ","high/low temperature ")&amp;IF(Dermal_Tox_Feed&lt;&gt;"","or "&amp;Dermal_Tox_Feed,"")&amp;" chemical"&amp;IF('Release Calculations'!$H$292="Yes"," with operating personnel in close proximity",""))</f>
        <v/>
      </c>
      <c r="DE10" s="3199" t="str">
        <f>IF(CF10="","",IF('Release Calculations'!$H$292="Yes"," with operating personnel in close proximity and a "&amp;$BF$3&amp;" of "&amp;BF10&amp;" "&amp;BG10," at a "&amp;$BF$3&amp;" of "&amp;BF10&amp;" "&amp;BG10))</f>
        <v/>
      </c>
      <c r="DF10" s="3199" t="str">
        <f>IF(CG10="","",IF('Release Calculations'!H$326="Yes"," with "&amp;$BR$3&amp;" of "&amp;BR10&amp;" "&amp;BS10&amp;IF('Release Calculations'!H$335&lt;&gt;"Yes",""," including "&amp;$BT$3&amp;" of "&amp;BT10&amp;" psi.")&amp;" 1 psi Blast Overpresssure exceeds Distance to the Fence Line of "&amp;Public_Input&amp;" "&amp;Public_Units&amp;".  Consider adjustment for Off-Site Impacts",IF('Release Calculations'!H$335&lt;&gt;"Yes"," impacting on site personnel at a "&amp;$BR$3&amp;" of "&amp;BR10&amp;" "&amp;BS10," impacting on site personnel at a "&amp;$BR$3&amp;" of "&amp;BR10&amp;" "&amp;BS10&amp;" including "&amp;$BT$3&amp;" of "&amp;BT10&amp;" psi")))</f>
        <v/>
      </c>
      <c r="DG10" s="3199" t="str">
        <f>IF(CH10="","",IF('Release Calculations'!H$312="Yes"," with "&amp;$BR$3&amp;" of "&amp;BR10&amp;" "&amp;BS10&amp;IF('Release Calculations'!H$317&lt;&gt;"Yes",""," including "&amp;$BT$3&amp;" of "&amp;BT10&amp;" psi.")&amp;"  1 psi Blast Overpresssure exceeds Distance to the Fence Line of "&amp;Public_Input&amp;" "&amp;Public_Units&amp;".  Consider adjustment for Off-Site Impacts",IF('Release Calculations'!H$317&lt;&gt;"Yes"," impacting enclosed area operating personnel, on site personnel at a "&amp;$BR$3&amp;" of "&amp;BR10&amp;" "&amp;BS10," impacting enclosed area operating personnel, on site personnel at a "&amp;$BR$3&amp;" of "&amp;BR10&amp;" "&amp;BS10&amp;" including "&amp;$BT$3&amp;" of "&amp;BT10&amp;" psi")))</f>
        <v/>
      </c>
      <c r="DH10" s="3200"/>
      <c r="DI10" s="3200"/>
      <c r="DJ10" s="3200" t="str">
        <f>IF('Release Calculations'!AZ420&gt;0,"Groundwater or Remediation Issue",IF('Release Calculations'!BB420&gt;0,"High Aqueous Toxicity",""))</f>
        <v/>
      </c>
      <c r="DK10" s="19"/>
      <c r="DL10" s="3180"/>
      <c r="DM10" s="3202">
        <f>'Release Calculations'!H$366</f>
        <v>0</v>
      </c>
      <c r="DN10" s="3202">
        <f>'Release Calculations'!H$371</f>
        <v>0</v>
      </c>
      <c r="DO10" s="3178"/>
      <c r="DP10" s="3203">
        <f>'Release Calculations'!H$382</f>
        <v>0</v>
      </c>
      <c r="DQ10" s="3202">
        <f>'Release Calculations'!H$387</f>
        <v>0</v>
      </c>
      <c r="DR10" s="3178"/>
      <c r="DS10" s="3178"/>
      <c r="DT10" s="3178"/>
      <c r="DU10" s="3178"/>
      <c r="DV10" s="3204"/>
      <c r="DW10" s="40"/>
      <c r="DX10" s="3205"/>
      <c r="DY10" s="3206" t="s">
        <v>2983</v>
      </c>
      <c r="DZ10" s="3205" t="s">
        <v>292</v>
      </c>
      <c r="EA10" s="3205"/>
      <c r="EB10" s="3207" t="str">
        <f>"Probability of Exposure to Hot or Toxic Material"</f>
        <v>Probability of Exposure to Hot or Toxic Material</v>
      </c>
      <c r="EC10" s="3206" t="s">
        <v>292</v>
      </c>
      <c r="ED10" s="3207"/>
      <c r="EE10" s="3207"/>
      <c r="EF10" s="3207"/>
      <c r="EG10" s="3207"/>
      <c r="EH10" s="3207"/>
      <c r="EI10" s="19"/>
      <c r="EJ10" s="3205"/>
      <c r="EK10" s="3206" t="str">
        <f>IF(Attended_Op="Yes","Noted as Personnel Routinely in Immediate Area or Equipment Type involves Materials Handling - "&amp;IF('Release Calculations'!H212*3600&lt;30," with a very Short Exposure Duration (&lt; 30 sec)","Time at Risk May Apply"),"Probability of Personnel to be in Close Proximity to Chemical Release based on Toxic Impact Area to "&amp;AM10&amp;" "&amp;AN10&amp;IF('Release Calculations'!H367&lt;0.01," (with potential for higher POE credit upon further review)",""))</f>
        <v>Probability of Personnel to be in Close Proximity to Chemical Release based on Toxic Impact Area to 0 m</v>
      </c>
      <c r="EL10" s="3205" t="str">
        <f>IF(Attended_Op="Yes","Noted as Personnel Routinely in Immediate Area or Equipment Type involves Materials Handling - Time at Risk May Apply","Probability of Personnel to be in Close Proximity to Chemical Release based on Ratio Enclosed Process Area Concentation of "&amp;AZ10&amp;" ppm to 10 ER-3 for "&amp;Chemical&amp;IF(Fract_Key_Chemical&lt;1," mixture "," ")&amp;IF('Release Calculations'!$H$370&lt;0.01,"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10" s="3207"/>
      <c r="EN10" s="3207"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Calculations'!$H$381&lt;0.01," (with potential for higher POE credit upon further review)",""))</f>
        <v>Probability of Personnel to be in Close Proximity to Chemical Release based on Spray Distance of 1 m (with potential for higher POE credit upon further review)</v>
      </c>
      <c r="EO10" s="3206"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"&amp;AZ10&amp;" to "&amp;LFL_Fract_FlashFIre&amp;" LFL","Flammable Impact Area to "&amp;BF10&amp;" "&amp;BG10)&amp;IF('Release Calculations'!$H$386&lt;0.01," (with potential for higher POE credit upon further review)",""))</f>
        <v>Probability of Personnel to be in Close Proximity to Chemical Release based on Flammable Impact Area to 0 m (with potential for higher POE credit upon further review)</v>
      </c>
      <c r="EP10" s="3207"/>
      <c r="EQ10" s="3207"/>
      <c r="ER10" s="3207"/>
      <c r="ES10" s="3207"/>
      <c r="ET10" s="3207"/>
      <c r="EU10" s="19"/>
      <c r="EV10" s="3208"/>
      <c r="EW10" s="3188" t="str">
        <f>'Release Calculations'!H367</f>
        <v>NA</v>
      </c>
      <c r="EX10" s="3188">
        <f>'Release Calculations'!$H$370</f>
        <v>0</v>
      </c>
      <c r="EY10" s="3209"/>
      <c r="EZ10" s="3188">
        <f>'Release Calculations'!$H$381</f>
        <v>0</v>
      </c>
      <c r="FA10" s="3188">
        <f>'Release Calculations'!$H$386</f>
        <v>0</v>
      </c>
      <c r="FB10" s="3204"/>
      <c r="FC10" s="3204"/>
      <c r="FD10" s="3204"/>
      <c r="FE10" s="3204"/>
      <c r="FF10" s="3204"/>
      <c r="FG10" s="19"/>
      <c r="FH10" s="3178"/>
      <c r="FI10" s="3178"/>
      <c r="FJ10" s="3178"/>
      <c r="FK10" s="3178"/>
      <c r="FL10" s="3178"/>
      <c r="FM10" s="3202" t="str">
        <f>IF(Location="Outdoors",'Release Calculations'!H$323,'Release Calculations'!H$309)</f>
        <v/>
      </c>
      <c r="FN10" s="3202" t="str">
        <f>'Release Calculations'!H$324</f>
        <v/>
      </c>
      <c r="FO10" s="3180" t="str">
        <f>IF(State&lt;&gt;"Solid",'Release Calculations'!H$309,Dust_SecondExpl_POE)</f>
        <v/>
      </c>
      <c r="FP10" s="3178"/>
      <c r="FQ10" s="3178"/>
      <c r="FR10" s="3204"/>
      <c r="FS10" s="40"/>
      <c r="FT10" s="3207"/>
      <c r="FU10" s="3207"/>
      <c r="FV10" s="3207"/>
      <c r="FW10" s="3207"/>
      <c r="FX10" s="3207"/>
      <c r="FY10" s="3206" t="s">
        <v>1461</v>
      </c>
      <c r="FZ10" s="3206" t="s">
        <v>1460</v>
      </c>
      <c r="GA10" s="3205" t="s">
        <v>1461</v>
      </c>
      <c r="GB10" s="3207"/>
      <c r="GC10" s="3207"/>
      <c r="GD10" s="3207"/>
      <c r="GE10" s="19"/>
      <c r="GF10" s="3207"/>
      <c r="GG10" s="3207"/>
      <c r="GH10" s="3207"/>
      <c r="GI10" s="3207"/>
      <c r="GJ10" s="3207"/>
      <c r="GK10" s="321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"&amp;BP10&amp;" "&amp;BQ10&amp;" Easily Ignited Material with Distance to LFL of "&amp;BD10&amp;" "&amp;BE10,IF(OR(Ease_of_Ignition_Feed="Low",AND(Flash_Pt_Feed&gt;MAX(Ambient_Temp,T),Aerosol_Potential="Yes")),"Outdoor Release of Difficult to Ignite Material or Combustible Aerosol","Outdoor release of "&amp;BP10&amp;" "&amp;BQ10&amp;" Flammable Material with Distance to LFL of "&amp;BD10&amp;" "&amp;BE10)),IF(Ease_of_Ignition_Feed="Elevated","Indoor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10" s="3211" t="str">
        <f t="shared" ref="GL10:GL11" si="53">IF(Flash_Pt_Feed="","No Flash Point Entered",IF(Ease_of_Ignition_Feed="High","Noted as Pyrophoric Material",IF(Ease_of_Ignition_Feed="Elevated","Outdoor Release of "&amp;BP10&amp;" " &amp;BQ10&amp;" Easily Ignited Material with Distance to LFL of "&amp;BD10&amp;" "&amp;BE10&amp;"-POX",IF(Ease_of_Ignition_Feed="Low","Outdoor Release of "&amp;BP10&amp;" " &amp;BQ10&amp;" Difficult to Ignite Material with Distance to LFL of "&amp;BD10&amp;" "&amp;BE10&amp;"-POX","Outdoor Release of "&amp;BP10&amp;" " &amp;BQ10&amp;" Flammable Material with Distance to LFL of "&amp;BD10&amp;" "&amp;BE10&amp;"-POX"))))</f>
        <v>No Flash Point Entered</v>
      </c>
      <c r="GM10" s="3205" t="str">
        <f t="shared" si="29"/>
        <v>Indoor Release of Flammable Material-POX</v>
      </c>
      <c r="GN10" s="3207"/>
      <c r="GO10" s="3207"/>
      <c r="GP10" s="3207"/>
      <c r="GQ10" s="19"/>
      <c r="GR10" s="3199" t="str">
        <f t="shared" ref="GR10:GR11" si="54">IF(CA10="","",CA$3&amp;"; ")&amp;IF(CB10="","",CB$3&amp;"; ")&amp;IF(CC10="","",CC$3&amp;"; ")&amp;IF(CD10="","",CD$3&amp;"; ")&amp;IF(CE10="","",CE$3&amp;"; ")&amp;IF(CF10="","",CF$3&amp;"; ")&amp;IF(CG10="","",CG$3&amp;"; ")&amp;IF(CH10="","",CH$3&amp;"; ")&amp;IF(CI10="","",CI$3&amp;"; ")&amp;IF(CJ10="","",CJ$3&amp;"; ")&amp;IF(CK10="","",CK$3)</f>
        <v/>
      </c>
      <c r="GS10" s="19"/>
      <c r="GT10" s="19"/>
      <c r="GU10" s="3212" t="str">
        <f>Desc_Moderate</f>
        <v>Very High Severity</v>
      </c>
      <c r="GV10" s="3213">
        <f>Conseq_Moderate</f>
        <v>4</v>
      </c>
      <c r="GW10" s="19"/>
      <c r="GX10" s="3214">
        <f>Conseq_High</f>
        <v>5</v>
      </c>
      <c r="GY10" s="3199" t="str">
        <f t="shared" si="44"/>
        <v>Extremely High Severity</v>
      </c>
      <c r="GZ10" s="3199" t="str">
        <f t="shared" si="44"/>
        <v>Extremely High Severity</v>
      </c>
      <c r="HA10" s="3199" t="str">
        <f t="shared" si="44"/>
        <v>Extremely High Severity</v>
      </c>
      <c r="HB10" s="3199" t="str">
        <f t="shared" si="44"/>
        <v>Extremely High Severity</v>
      </c>
      <c r="HC10" s="3199" t="str">
        <f t="shared" si="44"/>
        <v>Extremely High Severity</v>
      </c>
      <c r="HD10" s="3199" t="str">
        <f t="shared" si="44"/>
        <v>Extremely High Severity</v>
      </c>
      <c r="HE10" s="3199" t="str">
        <f t="shared" si="44"/>
        <v>Extremely High Severity</v>
      </c>
      <c r="HF10" s="3199" t="str">
        <f t="shared" si="44"/>
        <v>Extremely High Severity</v>
      </c>
      <c r="HG10" s="3199" t="str">
        <f t="shared" si="44"/>
        <v>Extremely High Severity</v>
      </c>
      <c r="HH10" s="3199" t="str">
        <f>Desc_High_Bus</f>
        <v>Property Damage and Business Loss $5 MM to $50 MM</v>
      </c>
      <c r="HI10" s="3199" t="str">
        <f>Desc_High_Environ</f>
        <v>Incident Requiring Significant Off-Site Remediation</v>
      </c>
    </row>
    <row r="11" spans="1:217" s="5" customFormat="1" ht="12.75" customHeight="1" x14ac:dyDescent="0.25">
      <c r="A11" s="35"/>
      <c r="B11" s="64" t="str">
        <f>'Scenario Identification'!BP3</f>
        <v>Gasket Failure at 1.3 MAWP above Liquid Level</v>
      </c>
      <c r="C11" s="1457" t="str">
        <f t="shared" si="10"/>
        <v/>
      </c>
      <c r="D11" s="65"/>
      <c r="E11" s="3181" t="str">
        <f>IF(MAX('Release Calculations'!H426,1-'Release Calculations'!H455,ABS(MIN('Release Calculations'!H426,1-'Release Calculations'!H455)))&gt;$E$4,"Yes","")</f>
        <v/>
      </c>
      <c r="F11" s="1418" t="s">
        <v>428</v>
      </c>
      <c r="G11" s="1434">
        <f t="shared" si="11"/>
        <v>0</v>
      </c>
      <c r="H11" s="1427" t="str">
        <f t="shared" si="31"/>
        <v>liter</v>
      </c>
      <c r="I11" s="3182">
        <f>ROUND('Release Calculations'!H7/$I$4,2)</f>
        <v>10</v>
      </c>
      <c r="J11" s="1421" t="str">
        <f t="shared" si="32"/>
        <v>mm</v>
      </c>
      <c r="K11" s="1427">
        <f t="shared" si="12"/>
        <v>0</v>
      </c>
      <c r="L11" s="3183">
        <f>sig('Release Calculations'!$H$437/$L$4,3,100,0)</f>
        <v>0</v>
      </c>
      <c r="M11" s="1435" t="str">
        <f t="shared" si="13"/>
        <v>kg</v>
      </c>
      <c r="N11" s="1432" t="str">
        <f t="shared" si="14"/>
        <v xml:space="preserve">Liquid:   ,  ,  ,  ,  </v>
      </c>
      <c r="O11" s="3183">
        <f>ROUND('Release Calculations'!$H$416,0)</f>
        <v>0</v>
      </c>
      <c r="P11" s="3183">
        <f>ROUND('Release Calculations'!$H$415/$P$4,2)</f>
        <v>0</v>
      </c>
      <c r="Q11" s="1446" t="str">
        <f t="shared" si="15"/>
        <v>bar</v>
      </c>
      <c r="R11" s="3183">
        <f>sig('Release Calculations'!$H$418/$AG$4,3,10,0)</f>
        <v>0</v>
      </c>
      <c r="S11" s="1447" t="str">
        <f t="shared" si="16"/>
        <v>kg/min</v>
      </c>
      <c r="T11" s="3184">
        <f>ROUND('Release Calculations'!$H$434/$T$4,0)</f>
        <v>60</v>
      </c>
      <c r="U11" s="3183">
        <f>ROUND(('Release Calculations'!$H$434+'Release Calculations'!$H$435)/$U$4,0)</f>
        <v>60</v>
      </c>
      <c r="V11" s="3183"/>
      <c r="W11" s="3184"/>
      <c r="X11" s="3186">
        <f>ROUND('Release Calculations'!H$589,3)</f>
        <v>0</v>
      </c>
      <c r="Y11" s="3187" t="str">
        <f>IF('Release Calculations'!$H$602="","",sig('Release Calculations'!$H$602,3,1000,0))</f>
        <v/>
      </c>
      <c r="Z11" s="3187" t="str">
        <f>IF('Release Calculations'!$H$609="","",sig('Release Calculations'!$H$609,3,1000,0))</f>
        <v/>
      </c>
      <c r="AA11" s="3187" t="str">
        <f>IF('Release Calculations'!$H$637="","",sig('Release Calculations'!$H$637,3,1000,0))</f>
        <v/>
      </c>
      <c r="AB11" s="3187" t="str">
        <f>IF('Release Calculations'!$H$644="","",sig('Release Calculations'!$H$644,3,1000,0))</f>
        <v/>
      </c>
      <c r="AC11" s="3187" t="str">
        <f>IF('Release Calculations'!$H$651="","",sig('Release Calculations'!$H$651,3,1000,0))</f>
        <v/>
      </c>
      <c r="AD11" s="3188" t="str">
        <f>IF('Release Calculations'!$H$630="","",ROUND('Release Calculations'!$H$630,1))</f>
        <v/>
      </c>
      <c r="AE11" s="3183">
        <f>sig('Release Calculations'!$H$437/$AE$4,3,100,0)</f>
        <v>0</v>
      </c>
      <c r="AF11" s="1435" t="str">
        <f t="shared" si="17"/>
        <v>kg</v>
      </c>
      <c r="AG11" s="3189">
        <f>sig('Release Calculations'!H$464/$AG$4,3,10,3)</f>
        <v>0</v>
      </c>
      <c r="AH11" s="1435" t="str">
        <f t="shared" si="33"/>
        <v>kg/min</v>
      </c>
      <c r="AI11" s="3183">
        <f>sig('Release Calculations'!$H$666/$AI$4,3,100,0)</f>
        <v>0</v>
      </c>
      <c r="AJ11" s="1435" t="str">
        <f t="shared" si="18"/>
        <v>m</v>
      </c>
      <c r="AK11" s="3183">
        <f>sig('Release Calculations'!$H$669/$AK$4,3,100,0)</f>
        <v>0</v>
      </c>
      <c r="AL11" s="1435" t="str">
        <f t="shared" si="19"/>
        <v>m</v>
      </c>
      <c r="AM11" s="3183">
        <f>sig('Release Calculations'!$H$671/$AM$4,3,100,0)</f>
        <v>0</v>
      </c>
      <c r="AN11" s="1435" t="str">
        <f t="shared" si="20"/>
        <v>m</v>
      </c>
      <c r="AO11" s="3183">
        <f>sig('Release Calculations'!$H$672/$AO$4,3,100,0)</f>
        <v>0</v>
      </c>
      <c r="AP11" s="1452" t="str">
        <f t="shared" si="20"/>
        <v>m</v>
      </c>
      <c r="AQ11" s="3183">
        <f>sig('Release Calculations'!$F$674/$AQ$4,3,100,0)</f>
        <v>0</v>
      </c>
      <c r="AR11" s="1452" t="str">
        <f t="shared" si="20"/>
        <v>m</v>
      </c>
      <c r="AS11" s="1452" t="str">
        <f t="shared" si="21"/>
        <v/>
      </c>
      <c r="AT11" s="1452" t="str">
        <f>IF(Occ_Bldg2_Name=0,"",Occ_Bldg2_Name)</f>
        <v/>
      </c>
      <c r="AU11" s="1452" t="str">
        <f t="shared" si="23"/>
        <v/>
      </c>
      <c r="AV11" s="3187">
        <f>sig('Release Calculations'!$H$679,3,1000,-1)</f>
        <v>0</v>
      </c>
      <c r="AW11" s="3187">
        <f>sig('Release Calculations'!$H$680,3,1000,-1)</f>
        <v>0</v>
      </c>
      <c r="AX11" s="3187" t="str">
        <f>sig('Release Calculations'!$H$681,3,1000,0)</f>
        <v/>
      </c>
      <c r="AY11" s="3187" t="str">
        <f>sig('Release Calculations'!$H$682,3,1000,0)</f>
        <v/>
      </c>
      <c r="AZ11" s="3187">
        <f>sig('Release Calculations'!$H$683,3,1000,-1)</f>
        <v>0</v>
      </c>
      <c r="BA11" s="3187">
        <f>sig('Release Calculations'!$H$684,3,1000,-1)</f>
        <v>0</v>
      </c>
      <c r="BB11" s="3187" t="str">
        <f>sig('Release Calculations'!$H$685,3,10,3)</f>
        <v/>
      </c>
      <c r="BC11" s="3187" t="str">
        <f>sig('Release Calculations'!$H$686,3,10,3)</f>
        <v/>
      </c>
      <c r="BD11" s="3185">
        <f>sig('Release Calculations'!$H$703/$BD$4,3,100,0)</f>
        <v>0</v>
      </c>
      <c r="BE11" s="1435" t="str">
        <f t="shared" si="34"/>
        <v>m</v>
      </c>
      <c r="BF11" s="3185">
        <f>sig('Release Calculations'!$H$702/$BF$4,3,100,0)</f>
        <v>0</v>
      </c>
      <c r="BG11" s="1435" t="str">
        <f t="shared" si="34"/>
        <v>m</v>
      </c>
      <c r="BH11" s="3190"/>
      <c r="BI11" s="3191"/>
      <c r="BJ11" s="3190"/>
      <c r="BK11" s="3191"/>
      <c r="BL11" s="3192"/>
      <c r="BM11" s="3192"/>
      <c r="BN11" s="3193"/>
      <c r="BO11" s="3193"/>
      <c r="BP11" s="3194">
        <f>sig('Release Calculations'!$H$465/$BP$4,3,10,1)</f>
        <v>0</v>
      </c>
      <c r="BQ11" s="1435" t="str">
        <f t="shared" si="24"/>
        <v>kg/min</v>
      </c>
      <c r="BR11" s="3183">
        <f>sig(IF(Location="Indoors",'Release Calculations'!$H$694/$BR$4,'Release Calculations'!$H$708/$BR$4),3,100,0)</f>
        <v>0</v>
      </c>
      <c r="BS11" s="1435" t="str">
        <f t="shared" si="25"/>
        <v>m</v>
      </c>
      <c r="BT11" s="3195">
        <f>ROUND(IF(Location="Indoors",'Release Calculations'!$H$697,'Release Calculations'!$H$713),1)</f>
        <v>0</v>
      </c>
      <c r="BU11" s="3195">
        <f>ROUND(IF(Location="Indoors",'Release Calculations'!$H$699,'Release Calculations'!$H$717),1)</f>
        <v>0</v>
      </c>
      <c r="BV11" s="3196"/>
      <c r="BW11" s="3197"/>
      <c r="BX11" s="262"/>
      <c r="BY11" s="262"/>
      <c r="BZ11" s="123"/>
      <c r="CA11" s="3198" t="str">
        <f>IF('Release Calculations'!H$721="NA","",'Release Calculations'!H$721)</f>
        <v/>
      </c>
      <c r="CB11" s="3198" t="str">
        <f>IF('Release Calculations'!H$751="NA","",'Release Calculations'!H$751)</f>
        <v/>
      </c>
      <c r="CC11" s="3198" t="str">
        <f>IF('Release Calculations'!H$756="NA","",'Release Calculations'!H$756)</f>
        <v/>
      </c>
      <c r="CD11" s="3198" t="str">
        <f>IF('Release Calculations'!H$761="NA","",'Release Calculations'!H$761)</f>
        <v/>
      </c>
      <c r="CE11" s="3198"/>
      <c r="CF11" s="3198" t="str">
        <f>IF('Release Calculations'!H$766="NA","",'Release Calculations'!H$766)</f>
        <v/>
      </c>
      <c r="CG11" s="3198" t="str">
        <f>IF('Release Calculations'!H$786="NA","",'Release Calculations'!H$786)</f>
        <v/>
      </c>
      <c r="CH11" s="3198" t="str">
        <f>IF('Release Calculations'!H$776="NA","",'Release Calculations'!H$776)</f>
        <v/>
      </c>
      <c r="CI11" s="3198"/>
      <c r="CJ11" s="3198"/>
      <c r="CK11" s="3198"/>
      <c r="CL11" s="19"/>
      <c r="CM11" s="19"/>
      <c r="CN11" s="3199" t="str">
        <f>IF(CA11="","",IF('Release Calculations'!H$668="Yes",IF(CA11=Conseq_VeryLow,Desc_VeryLow,IF(CA11=Conseq_Low,Desc_Low,IF(CA11=Conseq_Moderate,Desc_Moderate,IF(CA11=Conseq_High,Desc_High,IF(CA11=Conseq_VeryHigh,Desc_VeryHigh,IF(CA11=Conseq_ExtremeHigh,Desc_ExtremeHigh,Desc_GT_ExtremeHigh)))))),IF(CA11=Conseq_Low_Offsite,Desc_Low_Offsite,Desc_VeryLow_Offsite)))</f>
        <v/>
      </c>
      <c r="CO11" s="3199" t="str">
        <f t="shared" si="46"/>
        <v/>
      </c>
      <c r="CP11" s="3199" t="str">
        <f t="shared" si="47"/>
        <v/>
      </c>
      <c r="CQ11" s="3199" t="str">
        <f t="shared" si="48"/>
        <v/>
      </c>
      <c r="CR11" s="3200"/>
      <c r="CS11" s="3199" t="str">
        <f t="shared" si="49"/>
        <v/>
      </c>
      <c r="CT11" s="3199" t="str">
        <f t="shared" si="50"/>
        <v/>
      </c>
      <c r="CU11" s="3199" t="str">
        <f t="shared" si="51"/>
        <v/>
      </c>
      <c r="CV11" s="3200"/>
      <c r="CW11" s="3200"/>
      <c r="CX11" s="3200"/>
      <c r="CY11" s="40" t="s">
        <v>822</v>
      </c>
      <c r="CZ11" s="3199" t="str">
        <f>IF(CA11="","",IF('Release Calculations'!H$668="Yes"," at a "&amp;$AI$3&amp;" of "&amp;AI11&amp;" "&amp;AJ11&amp;" which exceeds Distance to the Fence Line of "&amp;Public_Input&amp;" "&amp;Public_Units))</f>
        <v/>
      </c>
      <c r="DA11" s="3199" t="str">
        <f>IF(CB11="","",IF('Release Calculations'!$H$292="Yes"," with operating personnel in close proximity and a "&amp;$AM$3&amp;" of "&amp;AM11&amp;" "&amp;AN11," at a "&amp;$AM$3&amp;" of "&amp;AM11&amp;" "&amp;AN11)&amp;IF('Release Calculations'!$H$671&gt;Public," which exceeds Distance to the Fence Line of "&amp;Public_Input&amp;" "&amp;Public_Units&amp;".  Target Factor may be conservative",))</f>
        <v/>
      </c>
      <c r="DB11" s="3201" t="str">
        <f>IF(CC11="","",IF('Release Calculations'!H692="Yes","and Potential for Asphyxiation","")&amp;IF('Release Calculations'!H$292="Yes"," with operations personnel in close proximity at an "&amp;$AZ$3&amp;" of "&amp;AZ11&amp;" ppm"," at an "&amp;$AZ$3&amp;" of "&amp;AZ11&amp;" ppm"))</f>
        <v/>
      </c>
      <c r="DC11" s="3199" t="str">
        <f t="shared" si="52"/>
        <v/>
      </c>
      <c r="DD11" s="3200"/>
      <c r="DE11" s="3199" t="str">
        <f>IF(CF11="","",IF('Release Calculations'!$H$292="Yes"," with operating personnel in close proximity and a "&amp;$BF$3&amp;" of "&amp;BF11&amp;" "&amp;BG11," at a "&amp;$BF$3&amp;" of "&amp;BF11&amp;" "&amp;BG11))</f>
        <v/>
      </c>
      <c r="DF11" s="3199" t="str">
        <f>IF(CG11="","",IF('Release Calculations'!H$709="Yes"," with "&amp;$BR$3&amp;" of "&amp;BR11&amp;" "&amp;BS11&amp;IF('Release Calculations'!H$718&lt;&gt;"Yes",""," including "&amp;$BT$3&amp;" of "&amp;BT11&amp;" psi.")&amp;" 1 psi Blast Overpresssure exceeds Distance to the Fence Line of "&amp;Public_Input&amp;" "&amp;Public_Units&amp;".  Consider adjustment for Off-Site Impacts",IF('Release Calculations'!H$718&lt;&gt;"Yes"," impacting on site personnel at a "&amp;$BR$3&amp;" of "&amp;BR11&amp;" "&amp;BS11," impacting on site personnel at a "&amp;$BR$3&amp;" of "&amp;BR11&amp;" "&amp;BS11&amp;" including "&amp;$BT$3&amp;" of "&amp;BT11&amp;" psi")))</f>
        <v/>
      </c>
      <c r="DG11" s="3199" t="str">
        <f>IF(CH11="","",IF('Release Calculations'!H$695="Yes"," with "&amp;$BR$3&amp;" of "&amp;BR11&amp;" "&amp;BS11&amp;IF('Release Calculations'!H$700&lt;&gt;"Yes",""," including "&amp;$BT$3&amp;" of "&amp;BT11&amp;" psi.")&amp;"  1 psi Blast Overpresssure exceeds Distance to the Fence Line of "&amp;Public_Input&amp;" "&amp;Public_Units&amp;".  Consider adjustment for Off-Site Impacts",IF('Release Calculations'!H$700&lt;&gt;"Yes"," impacting enclosed area operating personnel, on site personnel at a "&amp;$BR$3&amp;" of "&amp;BR11&amp;" "&amp;BS11," impacting enclosed area operating personnel, on site personnel at a "&amp;$BR$3&amp;" of "&amp;BR11&amp;" "&amp;BS11&amp;" including "&amp;$BT$3&amp;" of "&amp;BT11&amp;" psi")))</f>
        <v/>
      </c>
      <c r="DH11" s="3200"/>
      <c r="DI11" s="3200"/>
      <c r="DJ11" s="3200"/>
      <c r="DK11" s="19"/>
      <c r="DL11" s="3180"/>
      <c r="DM11" s="3202">
        <f>'Release Calculations'!H$749</f>
        <v>0</v>
      </c>
      <c r="DN11" s="3202">
        <f>'Release Calculations'!H$754</f>
        <v>0</v>
      </c>
      <c r="DO11" s="3178"/>
      <c r="DP11" s="3178"/>
      <c r="DQ11" s="3202">
        <f>'Release Calculations'!H$764</f>
        <v>0</v>
      </c>
      <c r="DR11" s="3178"/>
      <c r="DS11" s="3178"/>
      <c r="DT11" s="3178"/>
      <c r="DU11" s="3178"/>
      <c r="DV11" s="3204"/>
      <c r="DW11" s="40"/>
      <c r="DX11" s="3205"/>
      <c r="DY11" s="3206" t="s">
        <v>2983</v>
      </c>
      <c r="DZ11" s="3205" t="s">
        <v>292</v>
      </c>
      <c r="EA11" s="3205"/>
      <c r="EB11" s="3207"/>
      <c r="EC11" s="3206" t="s">
        <v>292</v>
      </c>
      <c r="ED11" s="3207"/>
      <c r="EE11" s="3207"/>
      <c r="EF11" s="3207"/>
      <c r="EG11" s="3207"/>
      <c r="EH11" s="3207"/>
      <c r="EI11" s="19"/>
      <c r="EJ11" s="3205"/>
      <c r="EK11" s="3206" t="str">
        <f>IF(Attended_Op="Yes","Noted as Personnel Routinely in Immediate Area or Equipment Type involves Materials Handling - "&amp;IF('Release Calculations'!H588*3600&lt;30," with a very Short Exposure Duration (&lt; 30 sec)","Time at Risk May Apply"),"Probability of Personnel to be in Close Proximity to Chemical Release based on Toxic Impact Area to "&amp;AM11&amp;" "&amp;AN11&amp;IF('Release Calculations'!H750&lt;0.01," (with potential for higher POE credit upon further review)",""))</f>
        <v>Probability of Personnel to be in Close Proximity to Chemical Release based on Toxic Impact Area to 0 m</v>
      </c>
      <c r="EL11" s="3205" t="str">
        <f>IF(Attended_Op="Yes","Noted as Personnel Routinely in Immediate Area or Equipment Type involves Materials Handling - Time at Risk May Apply","Probability of Personnel to be in Close Proximity to Chemical Release based on Ratio Enclosed Process Area Concentation of "&amp;AZ11&amp;" ppm to 10 ER-3 for "&amp;Chemical&amp;IF(Fract_Key_Chemical&lt;1," mixture "," ")&amp;IF('Release Calculations'!$H$753&lt;0.01,"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11" s="3207"/>
      <c r="EN11" s="3207"/>
      <c r="EO11" s="3206"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"&amp;AZ11&amp;" to "&amp;LFL_Fract_FlashFIre&amp;" LFL","Flammable Impact Area to "&amp;BF11&amp;" "&amp;BG11)&amp;IF('Release Calculations'!$H$763&lt;0.01," (with potential for higher POE credit upon further review)",""))</f>
        <v>Probability of Personnel to be in Close Proximity to Chemical Release based on Flammable Impact Area to 0 m (with potential for higher POE credit upon further review)</v>
      </c>
      <c r="EP11" s="3207"/>
      <c r="EQ11" s="3207"/>
      <c r="ER11" s="3207"/>
      <c r="ES11" s="3207"/>
      <c r="ET11" s="3207"/>
      <c r="EU11" s="19"/>
      <c r="EV11" s="3208"/>
      <c r="EW11" s="3188" t="str">
        <f>'Release Calculations'!H750</f>
        <v>NA</v>
      </c>
      <c r="EX11" s="3188">
        <f>'Release Calculations'!$H$753</f>
        <v>0</v>
      </c>
      <c r="EY11" s="3209"/>
      <c r="EZ11" s="3209"/>
      <c r="FA11" s="3188">
        <f>'Release Calculations'!$H$763</f>
        <v>0</v>
      </c>
      <c r="FB11" s="3204"/>
      <c r="FC11" s="3204"/>
      <c r="FD11" s="3204"/>
      <c r="FE11" s="3204"/>
      <c r="FF11" s="3204"/>
      <c r="FG11" s="19"/>
      <c r="FH11" s="3178"/>
      <c r="FI11" s="3178"/>
      <c r="FJ11" s="3178"/>
      <c r="FK11" s="3178"/>
      <c r="FL11" s="3178"/>
      <c r="FM11" s="3202" t="str">
        <f>IF(Location="Outdoors",'Release Calculations'!H$706,'Release Calculations'!H$692)</f>
        <v/>
      </c>
      <c r="FN11" s="3202" t="str">
        <f>'Release Calculations'!H$707</f>
        <v/>
      </c>
      <c r="FO11" s="3180" t="str">
        <f>IF(State&lt;&gt;"Solid",'Release Calculations'!H$692,Dust_SecondExpl_POE)</f>
        <v/>
      </c>
      <c r="FP11" s="3178"/>
      <c r="FQ11" s="3178"/>
      <c r="FR11" s="3204"/>
      <c r="FS11" s="40"/>
      <c r="FT11" s="3207"/>
      <c r="FU11" s="3207"/>
      <c r="FV11" s="3207"/>
      <c r="FW11" s="3207"/>
      <c r="FX11" s="3207"/>
      <c r="FY11" s="3206" t="s">
        <v>1461</v>
      </c>
      <c r="FZ11" s="3206" t="s">
        <v>1460</v>
      </c>
      <c r="GA11" s="3205" t="s">
        <v>1461</v>
      </c>
      <c r="GB11" s="3207"/>
      <c r="GC11" s="3207"/>
      <c r="GD11" s="3207"/>
      <c r="GE11" s="19"/>
      <c r="GF11" s="3207"/>
      <c r="GG11" s="3207"/>
      <c r="GH11" s="3207"/>
      <c r="GI11" s="3207"/>
      <c r="GJ11" s="3207"/>
      <c r="GK11" s="3210" t="str">
        <f>IF(Ease_of_Ignition_Feed="High","Noted as Pyrophoric Material",IF(Ease_of_Ignition_Feed="High","Noted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"&amp;BP11&amp;" "&amp;BQ11&amp;" Easily Ignited Material with Distance to LFL of "&amp;BD11&amp;" "&amp;BE11,IF(Ease_of_Ignition_Feed="Low","Outdoor Release of Difficult to Ignite Material","Outdoor release of "&amp;BP11&amp;" "&amp;BQ11&amp;" Flammable Material with Distance to LFL of "&amp;BD11&amp;" "&amp;BE11)),IF(Ease_of_Ignition_Feed="Elevated","Indoor Release of Easily Ignited Material",IF(Ease_of_Ignition_Feed="Low","Indoor Release of Difficult to Ignite Material","Indoor Release of Flammable Material"))))))))</f>
        <v>No Flash Point Entered</v>
      </c>
      <c r="GL11" s="3211" t="str">
        <f t="shared" si="53"/>
        <v>No Flash Point Entered</v>
      </c>
      <c r="GM11" s="3205" t="str">
        <f t="shared" si="29"/>
        <v>Indoor Release of Flammable Material-POX</v>
      </c>
      <c r="GN11" s="3207"/>
      <c r="GO11" s="3207"/>
      <c r="GP11" s="3207"/>
      <c r="GQ11" s="19"/>
      <c r="GR11" s="3199" t="str">
        <f t="shared" si="54"/>
        <v/>
      </c>
      <c r="GS11" s="19"/>
      <c r="GT11" s="19"/>
      <c r="GU11" s="3212" t="str">
        <f>Desc_High</f>
        <v>Extremely High Severity</v>
      </c>
      <c r="GV11" s="3213">
        <f>Conseq_High</f>
        <v>5</v>
      </c>
      <c r="GW11" s="19"/>
      <c r="GX11" s="3214">
        <f>Conseq_VeryHigh</f>
        <v>6</v>
      </c>
      <c r="GY11" s="3199" t="str">
        <f t="shared" si="45"/>
        <v>Catastrophic Severity</v>
      </c>
      <c r="GZ11" s="3199" t="str">
        <f t="shared" si="45"/>
        <v>Catastrophic Severity</v>
      </c>
      <c r="HA11" s="3199" t="str">
        <f t="shared" si="45"/>
        <v>Catastrophic Severity</v>
      </c>
      <c r="HB11" s="3199" t="str">
        <f t="shared" si="45"/>
        <v>Catastrophic Severity</v>
      </c>
      <c r="HC11" s="3199" t="str">
        <f t="shared" si="45"/>
        <v>Catastrophic Severity</v>
      </c>
      <c r="HD11" s="3199" t="str">
        <f t="shared" si="45"/>
        <v>Catastrophic Severity</v>
      </c>
      <c r="HE11" s="3199" t="str">
        <f t="shared" si="45"/>
        <v>Catastrophic Severity</v>
      </c>
      <c r="HF11" s="3199" t="str">
        <f t="shared" si="45"/>
        <v>Catastrophic Severity</v>
      </c>
      <c r="HG11" s="3199" t="str">
        <f t="shared" si="45"/>
        <v>Catastrophic Severity</v>
      </c>
      <c r="HH11" s="3199" t="str">
        <f>Desc_VeryHigh_Bus</f>
        <v>Property Damage and Business Loss &gt; $50 MM</v>
      </c>
      <c r="HI11" s="3199" t="str">
        <f>Desc_VeryHigh_Environ</f>
        <v>Incident with Significant National Media Attention</v>
      </c>
    </row>
    <row r="12" spans="1:217" s="5" customFormat="1" ht="12.75" customHeight="1" x14ac:dyDescent="0.25">
      <c r="A12" s="35"/>
      <c r="B12" s="64" t="str">
        <f>'Scenario Identification'!BQ3</f>
        <v>Drain or Vent Leak</v>
      </c>
      <c r="C12" s="1457" t="str">
        <f t="shared" si="10"/>
        <v/>
      </c>
      <c r="D12" s="65"/>
      <c r="E12" s="2483" t="str">
        <f>IF(MAX('Release Calculations'!J35,'Release Calculations'!J43,'Release Calculations'!J62,1-'Release Calculations'!J82,ABS(MIN('Release Calculations'!J35,'Release Calculations'!J43,'Release Calculations'!J62,1-'Release Calculations'!J82)))&gt;$E$4,"Yes","")</f>
        <v/>
      </c>
      <c r="F12" s="1418" t="s">
        <v>428</v>
      </c>
      <c r="G12" s="1434">
        <f t="shared" si="11"/>
        <v>0</v>
      </c>
      <c r="H12" s="1427" t="str">
        <f t="shared" si="31"/>
        <v>liter</v>
      </c>
      <c r="I12" s="1418">
        <f>ROUND('Release Calculations'!J7/$I$4,2)</f>
        <v>10</v>
      </c>
      <c r="J12" s="1421" t="str">
        <f t="shared" si="32"/>
        <v>mm</v>
      </c>
      <c r="K12" s="1427">
        <f t="shared" si="12"/>
        <v>0</v>
      </c>
      <c r="L12" s="1434">
        <f>sig('Release Calculations'!$J$16/$L$4,3,100,0)</f>
        <v>0</v>
      </c>
      <c r="M12" s="1435" t="str">
        <f t="shared" si="13"/>
        <v>kg</v>
      </c>
      <c r="N12" s="1432" t="str">
        <f t="shared" si="14"/>
        <v xml:space="preserve">Liquid:   ,  ,  ,  ,  </v>
      </c>
      <c r="O12" s="1434">
        <f>ROUND('Release Calculations'!$J$9,0)</f>
        <v>0</v>
      </c>
      <c r="P12" s="1434">
        <f>ROUND('Release Calculations'!$J$8/$P$4,2)</f>
        <v>0</v>
      </c>
      <c r="Q12" s="1446" t="str">
        <f t="shared" si="15"/>
        <v>bar</v>
      </c>
      <c r="R12" s="1434">
        <f>sig('Release Calculations'!$J$23/$AG$4,3,10,0)</f>
        <v>0</v>
      </c>
      <c r="S12" s="1447" t="str">
        <f t="shared" si="16"/>
        <v>kg/min</v>
      </c>
      <c r="T12" s="1435">
        <f>ROUND('Release Calculations'!$J$13/$T$4,0)</f>
        <v>0</v>
      </c>
      <c r="U12" s="1434">
        <f>ROUND(('Release Calculations'!$J$13+'Release Calculations'!$J$14)/$U$4,0)</f>
        <v>0</v>
      </c>
      <c r="V12" s="1434">
        <f>sig('Release Calculations'!$J$55/$V$4,3,100,0)</f>
        <v>0</v>
      </c>
      <c r="W12" s="1435" t="str">
        <f>IF(Report_A&lt;&gt;"",Report_A,IF(Dike_Area_Units="","sq m",Dike_Area_Units))</f>
        <v>sq m</v>
      </c>
      <c r="X12" s="1438">
        <f>ROUND('Release Calculations'!J$214,3)</f>
        <v>0</v>
      </c>
      <c r="Y12" s="1458" t="str">
        <f>IF('Release Calculations'!$J$225="","",sig('Release Calculations'!$J$225,3,1000,0))</f>
        <v/>
      </c>
      <c r="Z12" s="1458" t="str">
        <f>IF('Release Calculations'!$J$231="","",sig('Release Calculations'!$J$231,3,1000,0))</f>
        <v/>
      </c>
      <c r="AA12" s="1458" t="str">
        <f>IF('Release Calculations'!$J$255="","",sig('Release Calculations'!$J$255,3,1000,0))</f>
        <v/>
      </c>
      <c r="AB12" s="1458" t="str">
        <f>IF('Release Calculations'!$J$261="","",sig('Release Calculations'!$J$261,3,1000,0))</f>
        <v/>
      </c>
      <c r="AC12" s="1458" t="str">
        <f>IF('Release Calculations'!$J$267="","",sig('Release Calculations'!$J$267,3,1000,0))</f>
        <v/>
      </c>
      <c r="AD12" s="1196" t="str">
        <f>IF('Release Calculations'!$J$249="","",ROUND('Release Calculations'!$J$249,1))</f>
        <v/>
      </c>
      <c r="AE12" s="1434">
        <f>sig('Release Calculations'!$J$70/$AE$4,3,100,0)</f>
        <v>0</v>
      </c>
      <c r="AF12" s="1435" t="str">
        <f t="shared" si="17"/>
        <v>kg</v>
      </c>
      <c r="AG12" s="1326">
        <f>sig('Release Calculations'!J$89/$AG$4,3,10,3)</f>
        <v>3.0000000000000001E-3</v>
      </c>
      <c r="AH12" s="1435" t="str">
        <f t="shared" si="33"/>
        <v>kg/min</v>
      </c>
      <c r="AI12" s="1434">
        <f>sig('Release Calculations'!$J$282/$AI$4,3,100,0)</f>
        <v>0</v>
      </c>
      <c r="AJ12" s="1435" t="str">
        <f t="shared" si="18"/>
        <v>m</v>
      </c>
      <c r="AK12" s="1434">
        <f>sig('Release Calculations'!$J$285/$AK$4,3,100,0)</f>
        <v>0</v>
      </c>
      <c r="AL12" s="1435" t="str">
        <f t="shared" si="19"/>
        <v>m</v>
      </c>
      <c r="AM12" s="1434">
        <f>sig('Release Calculations'!$J$287/$AM$4,3,100,0)</f>
        <v>0</v>
      </c>
      <c r="AN12" s="1435" t="str">
        <f t="shared" si="20"/>
        <v>m</v>
      </c>
      <c r="AO12" s="1434">
        <f>sig('Release Calculations'!$J$288/$AO$4,3,100,0)</f>
        <v>0</v>
      </c>
      <c r="AP12" s="1452" t="str">
        <f t="shared" si="20"/>
        <v>m</v>
      </c>
      <c r="AQ12" s="1434">
        <f>sig('Release Calculations'!$J$290/$AQ$4,3,100,0)</f>
        <v>0</v>
      </c>
      <c r="AR12" s="1452" t="str">
        <f t="shared" si="20"/>
        <v>m</v>
      </c>
      <c r="AS12" s="1452" t="str">
        <f t="shared" si="21"/>
        <v/>
      </c>
      <c r="AT12" s="1452" t="str">
        <f t="shared" si="22"/>
        <v/>
      </c>
      <c r="AU12" s="1452" t="str">
        <f t="shared" si="23"/>
        <v/>
      </c>
      <c r="AV12" s="114">
        <f>sig('Release Calculations'!$J$296,3,1000,-1)</f>
        <v>0</v>
      </c>
      <c r="AW12" s="114">
        <f>sig('Release Calculations'!$J$297,3,1000,-1)</f>
        <v>0</v>
      </c>
      <c r="AX12" s="114" t="str">
        <f>sig('Release Calculations'!$J$298,3,1000,0)</f>
        <v/>
      </c>
      <c r="AY12" s="114" t="str">
        <f>sig('Release Calculations'!$J$299,3,1000,0)</f>
        <v/>
      </c>
      <c r="AZ12" s="114">
        <f>sig('Release Calculations'!$J$300,3,1000,-1)</f>
        <v>0</v>
      </c>
      <c r="BA12" s="114">
        <f>sig('Release Calculations'!$J$301,3,1000,-1)</f>
        <v>0</v>
      </c>
      <c r="BB12" s="114" t="str">
        <f>sig('Release Calculations'!$J$302,3,10,3)</f>
        <v/>
      </c>
      <c r="BC12" s="2576" t="str">
        <f>sig('Release Calculations'!$J$303,3,10,3)</f>
        <v/>
      </c>
      <c r="BD12" s="2569">
        <f>sig('Release Calculations'!$J$320/$BD$4,3,100,0)</f>
        <v>0</v>
      </c>
      <c r="BE12" s="1435" t="str">
        <f t="shared" si="34"/>
        <v>m</v>
      </c>
      <c r="BF12" s="2569">
        <f>sig('Release Calculations'!$J$319/$BF$4,3,100,0)</f>
        <v>0</v>
      </c>
      <c r="BG12" s="1435" t="str">
        <f t="shared" si="34"/>
        <v>m</v>
      </c>
      <c r="BH12" s="1419"/>
      <c r="BI12" s="1422"/>
      <c r="BJ12" s="1419"/>
      <c r="BK12" s="1422"/>
      <c r="BL12" s="2573"/>
      <c r="BM12" s="2573"/>
      <c r="BN12" s="1441"/>
      <c r="BO12" s="1746"/>
      <c r="BP12" s="1503">
        <f>sig('Release Calculations'!$J$90/$BP$4,3,10,1)</f>
        <v>0</v>
      </c>
      <c r="BQ12" s="1435" t="str">
        <f t="shared" si="24"/>
        <v>kg/min</v>
      </c>
      <c r="BR12" s="1434">
        <f>sig(IF(Location="Indoors",'Release Calculations'!$J$311/$BR$4,'Release Calculations'!$J$325/$BR$4),3,100,0)</f>
        <v>0</v>
      </c>
      <c r="BS12" s="1435" t="str">
        <f t="shared" si="25"/>
        <v>m</v>
      </c>
      <c r="BT12" s="1748">
        <f>ROUND(IF(Location="Indoors",'Release Calculations'!$J$314,'Release Calculations'!$J$330),1)</f>
        <v>0</v>
      </c>
      <c r="BU12" s="1748">
        <f>ROUND(IF(Location="Indoors",'Release Calculations'!$J$316,'Release Calculations'!$J$334),1)</f>
        <v>0</v>
      </c>
      <c r="BV12" s="1436"/>
      <c r="BW12" s="1442"/>
      <c r="BX12" s="262"/>
      <c r="BY12" s="262"/>
      <c r="BZ12" s="123"/>
      <c r="CA12" s="4" t="str">
        <f>IF('Release Calculations'!J$338="NA","",'Release Calculations'!J$338)</f>
        <v/>
      </c>
      <c r="CB12" s="4" t="str">
        <f>IF('Release Calculations'!J$368="NA","",'Release Calculations'!J$368)</f>
        <v/>
      </c>
      <c r="CC12" s="4" t="str">
        <f>IF('Release Calculations'!J$373="NA","",'Release Calculations'!J$373)</f>
        <v/>
      </c>
      <c r="CD12" s="735" t="str">
        <f>IF('Release Calculations'!J$378="NA","",'Release Calculations'!J$378)</f>
        <v/>
      </c>
      <c r="CE12" s="4" t="str">
        <f>IF('Release Calculations'!J$384="NA","",'Release Calculations'!J$384)</f>
        <v/>
      </c>
      <c r="CF12" s="4" t="str">
        <f>IF('Release Calculations'!J$389="NA","",'Release Calculations'!J$389)</f>
        <v/>
      </c>
      <c r="CG12" s="4" t="str">
        <f>IF('Release Calculations'!J$409="NA","",'Release Calculations'!J$409)</f>
        <v/>
      </c>
      <c r="CH12" s="4" t="str">
        <f>IF('Release Calculations'!J$399="NA","",'Release Calculations'!J$399)</f>
        <v/>
      </c>
      <c r="CI12" s="4"/>
      <c r="CJ12" s="4"/>
      <c r="CK12" s="4" t="str">
        <f>IF('Release Calculations'!BD$421="NA","",'Release Calculations'!BD$421)</f>
        <v/>
      </c>
      <c r="CL12" s="19"/>
      <c r="CM12" s="19"/>
      <c r="CN12" s="189" t="str">
        <f>IF(CA12="","",IF('Release Calculations'!J$284="Yes",IF(CA12=Conseq_VeryLow,Desc_VeryLow,IF(CA12=Conseq_Low,Desc_Low,IF(CA12=Conseq_Moderate,Desc_Moderate,IF(CA12=Conseq_High,Desc_High,IF(CA12=Conseq_VeryHigh,Desc_VeryHigh,IF(CA12=Conseq_ExtremeHigh,Desc_ExtremeHigh,Desc_GT_ExtremeHigh)))))),IF(CA12=Conseq_Low_Offsite,Desc_Low_Offsite,Desc_VeryLow_Offsite)))</f>
        <v/>
      </c>
      <c r="CO12" s="189" t="str">
        <f t="shared" si="37"/>
        <v/>
      </c>
      <c r="CP12" s="189" t="str">
        <f t="shared" si="38"/>
        <v/>
      </c>
      <c r="CQ12" s="189" t="str">
        <f t="shared" si="39"/>
        <v/>
      </c>
      <c r="CR12" s="189" t="str">
        <f>IF(CE12="","",IF(CE12=Conseq_VeryLow,Desc_VeryLow,IF(CE12=Conseq_Low,Desc_Low,IF(CE12=Conseq_Moderate,Desc_Moderate,IF(CE12=Conseq_High,Desc_High,IF(CE12=Conseq_VeryHigh,Desc_VeryHigh,IF(CE12=Conseq_ExtremeHigh,Desc_ExtremeHigh,Desc_GT_ExtremeHigh)))))))</f>
        <v/>
      </c>
      <c r="CS12" s="189" t="str">
        <f t="shared" si="40"/>
        <v/>
      </c>
      <c r="CT12" s="189" t="str">
        <f t="shared" si="41"/>
        <v/>
      </c>
      <c r="CU12" s="189" t="str">
        <f t="shared" si="42"/>
        <v/>
      </c>
      <c r="CV12" s="67"/>
      <c r="CW12" s="67"/>
      <c r="CX12" s="189" t="str">
        <f>IF(CK12="","",IF(CK12=Conseq_VeryLow,Desc_VeryLow_Environ,IF(CK12=Conseq_Low,Desc_Low_Environ,IF(CK12=Conseq_Moderate,Desc_Moderate_Environ,IF(CK12=Conseq_High,Desc_High_Environ,IF(CK12=Conseq_VeryHigh,Desc_VeryHigh_Environ,Desc_ExtremeHigh_Environ))))))</f>
        <v/>
      </c>
      <c r="CY12" s="40"/>
      <c r="CZ12" s="189" t="str">
        <f>IF(CA12="","",IF('Release Calculations'!J$284="Yes"," at a "&amp;$AI$3&amp;" of "&amp;AI12&amp;" "&amp;AJ12&amp;" which exceeds Distance to the Fence Line of "&amp;Public_Input&amp;" "&amp;Public_Units))</f>
        <v/>
      </c>
      <c r="DA12" s="189" t="str">
        <f>IF(CB12="","",IF('Release Calculations'!$J$292="Yes"," with operating personnel in close proximity and a "&amp;$AM$3&amp;" of "&amp;AM12&amp;" "&amp;AN12," at a "&amp;$AM$3&amp;" of "&amp;AM12&amp;" "&amp;AN12)&amp;IF('Release Calculations'!$J$287&gt;Public," which exceeds Distance to the Fence Line of "&amp;Public_Input&amp;" "&amp;Public_Units&amp;".  Target Factor may be conservative",))</f>
        <v/>
      </c>
      <c r="DB12" s="226" t="str">
        <f>IF(CC12="","",IF('Release Calculations'!J305="Yes","and Potential for Asphyxiation","")&amp;IF('Release Calculations'!J$292="Yes"," with operations personnel in close proximity at an "&amp;$AZ$3&amp;" of "&amp;AZ12&amp;" ppm"," at an "&amp;$AZ$3&amp;" of "&amp;AZ12&amp;" ppm"))</f>
        <v/>
      </c>
      <c r="DC12" s="189" t="str">
        <f t="shared" si="27"/>
        <v/>
      </c>
      <c r="DD12" s="189" t="str">
        <f>IF(CE12="",""," of a "&amp;IF(Ease_of_Ignition_Feed="High","pyrophoric ","high/low temperature ")&amp;IF(Dermal_Tox_Feed&lt;&gt;"","or "&amp;Dermal_Tox_Feed,"")&amp;" chemical"&amp;IF('Release Calculations'!$J$292="Yes"," with operating personnel in close proximity",""))</f>
        <v/>
      </c>
      <c r="DE12" s="189" t="str">
        <f>IF(CF12="","",IF('Release Calculations'!$J$292="Yes"," with operating personnel in close proximity and a "&amp;$BF$3&amp;" of "&amp;BF12&amp;" "&amp;BG12," at a "&amp;$BF$3&amp;" of "&amp;BF12&amp;" "&amp;BG12))</f>
        <v/>
      </c>
      <c r="DF12" s="189" t="str">
        <f>IF(CG12="","",IF('Release Calculations'!J$326="Yes"," with "&amp;$BR$3&amp;" of "&amp;BR12&amp;" "&amp;BS12&amp;IF('Release Calculations'!J$335&lt;&gt;"Yes",""," including "&amp;$BT$3&amp;" of "&amp;BT12&amp;" psi.")&amp;" 1 psi Blast Overpresssure exceeds Distance to the Fence Line of "&amp;Public_Input&amp;" "&amp;Public_Units&amp;".  Consider adjustment for Off-Site Impacts",IF('Release Calculations'!J$335&lt;&gt;"Yes"," impacting on site personnel at a "&amp;$BR$3&amp;" of "&amp;BR12&amp;" "&amp;BS12," impacting on site personnel at a "&amp;$BR$3&amp;" of "&amp;BR12&amp;" "&amp;BS12&amp;" including "&amp;$BT$3&amp;" of "&amp;BT12&amp;" psi")))</f>
        <v/>
      </c>
      <c r="DG12" s="189" t="str">
        <f>IF(CH12="","",IF('Release Calculations'!J$312="Yes"," with "&amp;$BR$3&amp;" of "&amp;BR12&amp;" "&amp;BS12&amp;IF('Release Calculations'!J$317&lt;&gt;"Yes",""," including "&amp;$BT$3&amp;" of "&amp;BT12&amp;" psi.")&amp;"  1 psi Blast Overpresssure exceeds Distance to the Fence Line of "&amp;Public_Input&amp;" "&amp;Public_Units&amp;".  Consider adjustment for Off-Site Impacts",IF('Release Calculations'!J$317&lt;&gt;"Yes"," impacting enclosed area operating personnel, on site personnel at a "&amp;$BR$3&amp;" of "&amp;BR12&amp;" "&amp;BS12," impacting enclosed area operating personnel, on site personnel at a "&amp;$BR$3&amp;" of "&amp;BR12&amp;" "&amp;BS12&amp;" including "&amp;$BT$3&amp;" of "&amp;BT12&amp;" psi")))</f>
        <v/>
      </c>
      <c r="DH12" s="67"/>
      <c r="DI12" s="67"/>
      <c r="DJ12" s="189" t="str">
        <f>IF('Release Calculations'!AZ421&gt;0,"Groundwater or Remediation Issue",IF('Release Calculations'!BB421&gt;0,"High Aqueous Toxicity",""))</f>
        <v/>
      </c>
      <c r="DK12" s="19"/>
      <c r="DL12" s="39"/>
      <c r="DM12" s="239">
        <f>'Release Calculations'!J$366</f>
        <v>0</v>
      </c>
      <c r="DN12" s="239">
        <f>'Release Calculations'!J$371</f>
        <v>0</v>
      </c>
      <c r="DO12" s="34"/>
      <c r="DP12" s="239">
        <f>'Release Calculations'!J$382</f>
        <v>0</v>
      </c>
      <c r="DQ12" s="239">
        <f>'Release Calculations'!J$387</f>
        <v>0</v>
      </c>
      <c r="DR12" s="34"/>
      <c r="DS12" s="34"/>
      <c r="DT12" s="34"/>
      <c r="DU12" s="34"/>
      <c r="DV12" s="6"/>
      <c r="DW12" s="40"/>
      <c r="DX12" s="250"/>
      <c r="DY12" s="249" t="s">
        <v>2983</v>
      </c>
      <c r="DZ12" s="250" t="s">
        <v>292</v>
      </c>
      <c r="EA12" s="740"/>
      <c r="EB12" s="249" t="str">
        <f>"Probability of Exposure to Hot or Toxic Material"</f>
        <v>Probability of Exposure to Hot or Toxic Material</v>
      </c>
      <c r="EC12" s="249" t="s">
        <v>292</v>
      </c>
      <c r="ED12" s="248"/>
      <c r="EE12" s="248"/>
      <c r="EF12" s="248"/>
      <c r="EG12" s="248"/>
      <c r="EH12" s="248"/>
      <c r="EI12" s="19"/>
      <c r="EJ12" s="250"/>
      <c r="EK12" s="249" t="str">
        <f>IF(Attended_Op="Yes","Noted as Personnel Routinely in Immediate Area or Equipment Type involves Materials Handling - "&amp;IF('Release Calculations'!J210*3600&lt;30," with a very Short Exposure Duration (&lt; 30 sec)","Time at Risk May Apply"),"Probability of Personnel to be in Close Proximity to Chemical Release based on Toxic Impact Area to "&amp;AM12&amp;" "&amp;AN12&amp;IF('Release Calculations'!J365&lt;0.01," (with potential for higher POE credit upon further review)",""))</f>
        <v>Probability of Personnel to be in Close Proximity to Chemical Release based on Toxic Impact Area to 0 m (with potential for higher POE credit upon further review)</v>
      </c>
      <c r="EL12" s="250" t="str">
        <f>IF(Attended_Op="Yes","Noted as Personnel Routinely in Immediate Area or Equipment Type involves Materials Handling - Time at Risk May Apply","Probability of Personnel to be in Close Proximity to Chemical Release based on Ratio Enclosed Process Area Concentation of "&amp;AZ12&amp;" ppm to 10 ER-3 for "&amp;Chemical&amp;IF(Fract_Key_Chemical&lt;1," mixture "," ")&amp;IF('Release Calculations'!$J$370&lt;0.01,"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12" s="248"/>
      <c r="EN12"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Calculations'!$J$381&lt;0.01," (with potential for higher POE credit upon further review)",""))</f>
        <v>Probability of Personnel to be in Close Proximity to Chemical Release based on Spray Distance of 1 m (with potential for higher POE credit upon further review)</v>
      </c>
      <c r="EO12"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"&amp;AZ12&amp;" "&amp;LFL_Fract_FlashFIre&amp;" LFL","Flammable Impact Area to "&amp;BF12&amp;" "&amp;BG12)&amp;IF('Release Calculations'!$J$386&lt;0.01," (with potential for higher POE credit upon further review)",""))</f>
        <v>Probability of Personnel to be in Close Proximity to Chemical Release based on Flammable Impact Area to 0 m (with potential for higher POE credit upon further review)</v>
      </c>
      <c r="EP12" s="248"/>
      <c r="EQ12" s="248"/>
      <c r="ER12" s="248"/>
      <c r="ES12" s="248"/>
      <c r="ET12" s="248"/>
      <c r="EU12" s="19"/>
      <c r="EV12" s="1379"/>
      <c r="EW12" s="1381">
        <f>'Release Calculations'!J365</f>
        <v>6.0000000000000008E-7</v>
      </c>
      <c r="EX12" s="957">
        <f>'Release Calculations'!$J$370</f>
        <v>0</v>
      </c>
      <c r="EY12" s="1380"/>
      <c r="EZ12" s="957">
        <f>'Release Calculations'!$J$381</f>
        <v>0</v>
      </c>
      <c r="FA12" s="957">
        <f>'Release Calculations'!$J$386</f>
        <v>0</v>
      </c>
      <c r="FB12" s="6"/>
      <c r="FC12" s="6"/>
      <c r="FD12" s="6"/>
      <c r="FE12" s="6"/>
      <c r="FF12" s="6"/>
      <c r="FG12" s="19"/>
      <c r="FH12" s="34"/>
      <c r="FI12" s="34"/>
      <c r="FJ12" s="34"/>
      <c r="FK12" s="739"/>
      <c r="FL12" s="34"/>
      <c r="FM12" s="239" t="str">
        <f>IF(Location="Outdoors",'Release Calculations'!J$323,'Release Calculations'!J$309)</f>
        <v/>
      </c>
      <c r="FN12" s="239" t="str">
        <f>'Release Calculations'!J$324</f>
        <v/>
      </c>
      <c r="FO12" s="39" t="str">
        <f>IF(State&lt;&gt;"Solid",'Release Calculations'!J$309,Dust_SecondExpl_POE)</f>
        <v/>
      </c>
      <c r="FP12" s="34"/>
      <c r="FQ12" s="34"/>
      <c r="FR12" s="6"/>
      <c r="FS12" s="40"/>
      <c r="FT12" s="248"/>
      <c r="FU12" s="248"/>
      <c r="FV12" s="248"/>
      <c r="FW12" s="741"/>
      <c r="FX12" s="248"/>
      <c r="FY12" s="249" t="s">
        <v>1461</v>
      </c>
      <c r="FZ12" s="249" t="s">
        <v>1460</v>
      </c>
      <c r="GA12" s="250" t="s">
        <v>1461</v>
      </c>
      <c r="GB12" s="248"/>
      <c r="GC12" s="248"/>
      <c r="GD12" s="248"/>
      <c r="GE12" s="19"/>
      <c r="GF12" s="248"/>
      <c r="GG12" s="248"/>
      <c r="GH12" s="248"/>
      <c r="GI12" s="741"/>
      <c r="GJ12" s="248"/>
      <c r="GK12"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"&amp;BP12&amp;" "&amp;BQ12&amp;" Easily Ignited Material with Distance to LFL of "&amp;BD12&amp;" "&amp;BE12,IF(OR(Ease_of_Ignition_Feed="Low",AND(Flash_Pt_Feed&gt;MAX(Ambient_Temp,T),Aerosol_Potential="Yes")),"Outdoor Release of Difficult to Ignite Material or Combustible Aerosol","Outdoor release of "&amp;BP12&amp;" "&amp;BQ12&amp;" Flammable Material with Distance to LFL of "&amp;BD12&amp;" "&amp;BE12)),IF(Ease_of_Ignition_Feed="Elevated","Indoor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12" s="2581" t="str">
        <f t="shared" si="28"/>
        <v>No Flash Point Entered</v>
      </c>
      <c r="GM12" s="250" t="str">
        <f t="shared" si="29"/>
        <v>Indoor Release of Flammable Material-POX</v>
      </c>
      <c r="GN12" s="248"/>
      <c r="GO12" s="248"/>
      <c r="GP12" s="248"/>
      <c r="GQ12" s="19"/>
      <c r="GR12" s="189" t="str">
        <f t="shared" si="35"/>
        <v/>
      </c>
      <c r="GS12" s="19"/>
      <c r="GT12" s="19"/>
      <c r="GU12" s="64" t="str">
        <f>Desc_VeryHigh</f>
        <v>Catastrophic Severity</v>
      </c>
      <c r="GV12" s="193">
        <f>Conseq_VeryHigh</f>
        <v>6</v>
      </c>
      <c r="GW12" s="19"/>
      <c r="GX12" s="37">
        <f>Conseq_ExtremeHigh</f>
        <v>6</v>
      </c>
      <c r="GY12" s="189" t="str">
        <f t="shared" ref="GY12:HG12" si="55">Desc_ExtremeHigh</f>
        <v>Catastrophic Severity</v>
      </c>
      <c r="GZ12" s="189" t="str">
        <f t="shared" si="55"/>
        <v>Catastrophic Severity</v>
      </c>
      <c r="HA12" s="189" t="str">
        <f t="shared" si="55"/>
        <v>Catastrophic Severity</v>
      </c>
      <c r="HB12" s="189" t="str">
        <f t="shared" si="55"/>
        <v>Catastrophic Severity</v>
      </c>
      <c r="HC12" s="189" t="str">
        <f t="shared" si="55"/>
        <v>Catastrophic Severity</v>
      </c>
      <c r="HD12" s="189" t="str">
        <f t="shared" si="55"/>
        <v>Catastrophic Severity</v>
      </c>
      <c r="HE12" s="189" t="str">
        <f t="shared" si="55"/>
        <v>Catastrophic Severity</v>
      </c>
      <c r="HF12" s="189" t="str">
        <f t="shared" si="55"/>
        <v>Catastrophic Severity</v>
      </c>
      <c r="HG12" s="189" t="str">
        <f t="shared" si="55"/>
        <v>Catastrophic Severity</v>
      </c>
      <c r="HH12" s="189" t="str">
        <f>Desc_ExtremeHigh_Bus</f>
        <v/>
      </c>
      <c r="HI12" s="189" t="str">
        <f>Desc_ExtremeHigh_Environ</f>
        <v>Incident with Potential for Class Action Lawsuit</v>
      </c>
    </row>
    <row r="13" spans="1:217" s="5" customFormat="1" ht="12.75" customHeight="1" x14ac:dyDescent="0.25">
      <c r="A13" s="35"/>
      <c r="B13" s="64" t="str">
        <f>'Scenario Identification'!BR3</f>
        <v>Drain or Vent Leak above Liquid Level</v>
      </c>
      <c r="C13" s="1457" t="str">
        <f t="shared" si="10"/>
        <v/>
      </c>
      <c r="D13" s="65"/>
      <c r="E13" s="2483" t="str">
        <f>IF(MAX('Release Calculations'!J426,1-'Release Calculations'!J455,ABS(MIN('Release Calculations'!J426,1-'Release Calculations'!J455)))&gt;$E$4,"Yes","")</f>
        <v/>
      </c>
      <c r="F13" s="1418" t="s">
        <v>428</v>
      </c>
      <c r="G13" s="1434">
        <f t="shared" si="11"/>
        <v>0</v>
      </c>
      <c r="H13" s="1427" t="str">
        <f t="shared" si="31"/>
        <v>liter</v>
      </c>
      <c r="I13" s="1418">
        <f>ROUND('Release Calculations'!J7/$I$4,2)</f>
        <v>10</v>
      </c>
      <c r="J13" s="1421" t="str">
        <f t="shared" si="32"/>
        <v>mm</v>
      </c>
      <c r="K13" s="1427">
        <f t="shared" si="12"/>
        <v>0</v>
      </c>
      <c r="L13" s="1434">
        <f>sig('Release Calculations'!$J$437/$L$4,3,100,0)</f>
        <v>0</v>
      </c>
      <c r="M13" s="1435" t="str">
        <f t="shared" si="13"/>
        <v>kg</v>
      </c>
      <c r="N13" s="1432" t="str">
        <f t="shared" si="14"/>
        <v xml:space="preserve">Liquid:   ,  ,  ,  ,  </v>
      </c>
      <c r="O13" s="1434">
        <f>ROUND('Release Calculations'!$J$416,0)</f>
        <v>0</v>
      </c>
      <c r="P13" s="1434">
        <f>ROUND('Release Calculations'!$J$415/$P$4,2)</f>
        <v>0</v>
      </c>
      <c r="Q13" s="1446" t="str">
        <f t="shared" si="15"/>
        <v>bar</v>
      </c>
      <c r="R13" s="1434">
        <f>sig('Release Calculations'!$J$418/$AG$4,3,10,0)</f>
        <v>0</v>
      </c>
      <c r="S13" s="1447" t="str">
        <f t="shared" si="16"/>
        <v>kg/min</v>
      </c>
      <c r="T13" s="1435">
        <f>ROUND('Release Calculations'!$J$434/$T$4,0)</f>
        <v>0</v>
      </c>
      <c r="U13" s="1434">
        <f>ROUND(('Release Calculations'!$J$434+'Release Calculations'!$J$435)/$U$4,0)</f>
        <v>60</v>
      </c>
      <c r="V13" s="1434"/>
      <c r="W13" s="1435"/>
      <c r="X13" s="1438">
        <f>ROUND('Release Calculations'!J$589,3)</f>
        <v>0</v>
      </c>
      <c r="Y13" s="1458" t="str">
        <f>IF('Release Calculations'!$J$602="","",sig('Release Calculations'!$J$602,3,1000,0))</f>
        <v/>
      </c>
      <c r="Z13" s="1458" t="str">
        <f>IF('Release Calculations'!$J$609="","",sig('Release Calculations'!$J$609,3,1000,0))</f>
        <v/>
      </c>
      <c r="AA13" s="1458" t="str">
        <f>IF('Release Calculations'!$J$637="","",sig('Release Calculations'!$J$637,3,1000,0))</f>
        <v/>
      </c>
      <c r="AB13" s="1458" t="str">
        <f>IF('Release Calculations'!$J$644="","",sig('Release Calculations'!$J$644,3,1000,0))</f>
        <v/>
      </c>
      <c r="AC13" s="1458" t="str">
        <f>IF('Release Calculations'!$J$651="","",sig('Release Calculations'!$J$651,3,1000,0))</f>
        <v/>
      </c>
      <c r="AD13" s="1196" t="str">
        <f>IF('Release Calculations'!$J$630="","",ROUND('Release Calculations'!$J$630,1))</f>
        <v/>
      </c>
      <c r="AE13" s="1434">
        <f>sig('Release Calculations'!$J$437/$AE$4,3,100,0)</f>
        <v>0</v>
      </c>
      <c r="AF13" s="1435" t="str">
        <f t="shared" si="17"/>
        <v>kg</v>
      </c>
      <c r="AG13" s="1326">
        <f>sig('Release Calculations'!J$464/$AG$4,3,10,3)</f>
        <v>4.7E-2</v>
      </c>
      <c r="AH13" s="1435" t="str">
        <f t="shared" si="33"/>
        <v>kg/min</v>
      </c>
      <c r="AI13" s="1434">
        <f>sig('Release Calculations'!$J$666/$AI$4,3,100,0)</f>
        <v>0</v>
      </c>
      <c r="AJ13" s="1435" t="str">
        <f t="shared" si="18"/>
        <v>m</v>
      </c>
      <c r="AK13" s="1434">
        <f>sig('Release Calculations'!$J$669/$AK$4,3,100,0)</f>
        <v>0</v>
      </c>
      <c r="AL13" s="1435" t="str">
        <f t="shared" si="19"/>
        <v>m</v>
      </c>
      <c r="AM13" s="1434">
        <f>sig('Release Calculations'!$J$671/$AM$4,3,100,0)</f>
        <v>0</v>
      </c>
      <c r="AN13" s="1435" t="str">
        <f t="shared" si="20"/>
        <v>m</v>
      </c>
      <c r="AO13" s="1434">
        <f>sig('Release Calculations'!$J$672/$AO$4,3,100,0)</f>
        <v>0</v>
      </c>
      <c r="AP13" s="1452" t="str">
        <f t="shared" si="20"/>
        <v>m</v>
      </c>
      <c r="AQ13" s="1434">
        <f>sig('Release Calculations'!$J$674/$AQ$4,3,100,0)</f>
        <v>0</v>
      </c>
      <c r="AR13" s="1452" t="str">
        <f t="shared" si="20"/>
        <v>m</v>
      </c>
      <c r="AS13" s="1452" t="str">
        <f t="shared" si="21"/>
        <v/>
      </c>
      <c r="AT13" s="1452" t="str">
        <f t="shared" si="22"/>
        <v/>
      </c>
      <c r="AU13" s="1452" t="str">
        <f t="shared" si="23"/>
        <v/>
      </c>
      <c r="AV13" s="114">
        <f>sig('Release Calculations'!$J$679,3,1000,-1)</f>
        <v>0</v>
      </c>
      <c r="AW13" s="114">
        <f>sig('Release Calculations'!$J$680,3,1000,-1)</f>
        <v>0</v>
      </c>
      <c r="AX13" s="114" t="str">
        <f>sig('Release Calculations'!$J$681,3,1000,0)</f>
        <v/>
      </c>
      <c r="AY13" s="114" t="str">
        <f>sig('Release Calculations'!$J$682,3,1000,0)</f>
        <v/>
      </c>
      <c r="AZ13" s="114">
        <f>sig('Release Calculations'!$J$683,3,1000,-1)</f>
        <v>0</v>
      </c>
      <c r="BA13" s="114">
        <f>sig('Release Calculations'!$J$684,3,1000,-1)</f>
        <v>0</v>
      </c>
      <c r="BB13" s="114" t="str">
        <f>sig('Release Calculations'!$J$685,3,10,3)</f>
        <v/>
      </c>
      <c r="BC13" s="2576" t="str">
        <f>sig('Release Calculations'!$J$686,3,10,3)</f>
        <v/>
      </c>
      <c r="BD13" s="2569">
        <f>sig('Release Calculations'!$J$703/$BD$4,3,100,0)</f>
        <v>0</v>
      </c>
      <c r="BE13" s="1435" t="str">
        <f t="shared" si="34"/>
        <v>m</v>
      </c>
      <c r="BF13" s="2569">
        <f>sig('Release Calculations'!$J$702/$BF$4,3,100,0)</f>
        <v>0</v>
      </c>
      <c r="BG13" s="1435" t="str">
        <f t="shared" si="34"/>
        <v>m</v>
      </c>
      <c r="BH13" s="1419"/>
      <c r="BI13" s="1422"/>
      <c r="BJ13" s="1419"/>
      <c r="BK13" s="1422"/>
      <c r="BL13" s="2573"/>
      <c r="BM13" s="2573"/>
      <c r="BN13" s="1441"/>
      <c r="BO13" s="1746"/>
      <c r="BP13" s="1503">
        <f>sig('Release Calculations'!$J$465/$BP$4,3,10,1)</f>
        <v>0</v>
      </c>
      <c r="BQ13" s="1435" t="str">
        <f t="shared" si="24"/>
        <v>kg/min</v>
      </c>
      <c r="BR13" s="1434">
        <f>sig(IF(Location="Indoors",'Release Calculations'!$J$694/$BR$4,'Release Calculations'!$J$708/$BR$4),3,100,0)</f>
        <v>0</v>
      </c>
      <c r="BS13" s="1435" t="str">
        <f t="shared" si="25"/>
        <v>m</v>
      </c>
      <c r="BT13" s="1748">
        <f>ROUND(IF(Location="Indoors",'Release Calculations'!$J$697,'Release Calculations'!$J$713),1)</f>
        <v>0</v>
      </c>
      <c r="BU13" s="1748">
        <f>ROUND(IF(Location="Indoors",'Release Calculations'!$J$699,'Release Calculations'!$J$717),1)</f>
        <v>0</v>
      </c>
      <c r="BV13" s="1436"/>
      <c r="BW13" s="1442"/>
      <c r="BX13" s="262"/>
      <c r="BY13" s="262"/>
      <c r="BZ13" s="123"/>
      <c r="CA13" s="4" t="str">
        <f>IF('Release Calculations'!J$721="NA","",'Release Calculations'!J$721)</f>
        <v/>
      </c>
      <c r="CB13" s="4" t="str">
        <f>IF('Release Calculations'!J$751="NA","",'Release Calculations'!J$751)</f>
        <v/>
      </c>
      <c r="CC13" s="4" t="str">
        <f>IF('Release Calculations'!J$756="NA","",'Release Calculations'!J$756)</f>
        <v/>
      </c>
      <c r="CD13" s="735" t="str">
        <f>IF('Release Calculations'!J$761="NA","",'Release Calculations'!J$761)</f>
        <v/>
      </c>
      <c r="CE13" s="4"/>
      <c r="CF13" s="4" t="str">
        <f>IF('Release Calculations'!J$766="NA","",'Release Calculations'!J$766)</f>
        <v/>
      </c>
      <c r="CG13" s="4" t="str">
        <f>IF('Release Calculations'!J$786="NA","",'Release Calculations'!J$786)</f>
        <v/>
      </c>
      <c r="CH13" s="4" t="str">
        <f>IF('Release Calculations'!J$776="NA","",'Release Calculations'!J$776)</f>
        <v/>
      </c>
      <c r="CI13" s="4"/>
      <c r="CJ13" s="4"/>
      <c r="CK13" s="4"/>
      <c r="CL13" s="19"/>
      <c r="CM13" s="19"/>
      <c r="CN13" s="189" t="str">
        <f>IF(CA13="","",IF('Release Calculations'!J$668="Yes",IF(CA13=Conseq_VeryLow,Desc_VeryLow,IF(CA13=Conseq_Low,Desc_Low,IF(CA13=Conseq_Moderate,Desc_Moderate,IF(CA13=Conseq_High,Desc_High,IF(CA13=Conseq_VeryHigh,Desc_VeryHigh,IF(CA13=Conseq_ExtremeHigh,Desc_ExtremeHigh,Desc_GT_ExtremeHigh)))))),IF(CA13=Conseq_Low_Offsite,Desc_Low_Offsite,Desc_VeryLow_Offsite)))</f>
        <v/>
      </c>
      <c r="CO13" s="189" t="str">
        <f t="shared" si="37"/>
        <v/>
      </c>
      <c r="CP13" s="189" t="str">
        <f t="shared" si="38"/>
        <v/>
      </c>
      <c r="CQ13" s="189" t="str">
        <f t="shared" si="39"/>
        <v/>
      </c>
      <c r="CR13" s="67"/>
      <c r="CS13" s="189" t="str">
        <f t="shared" si="40"/>
        <v/>
      </c>
      <c r="CT13" s="189" t="str">
        <f t="shared" si="41"/>
        <v/>
      </c>
      <c r="CU13" s="189" t="str">
        <f t="shared" si="42"/>
        <v/>
      </c>
      <c r="CV13" s="67"/>
      <c r="CW13" s="67"/>
      <c r="CX13" s="67"/>
      <c r="CY13" s="40"/>
      <c r="CZ13" s="189" t="str">
        <f>IF(CA13="","",IF('Release Calculations'!J$668="Yes"," at a "&amp;$AI$3&amp;" of "&amp;AI13&amp;" "&amp;AJ13&amp;" which exceeds Distance to the Fence Line of "&amp;Public_Input&amp;" "&amp;Public_Units))</f>
        <v/>
      </c>
      <c r="DA13" s="189" t="str">
        <f>IF(CB13="","",IF('Release Calculations'!$J$292="Yes"," with operating personnel in close proximity and a "&amp;$AM$3&amp;" of "&amp;AM13&amp;" "&amp;AN13," at a "&amp;$AM$3&amp;" of "&amp;AM13&amp;" "&amp;AN13)&amp;IF('Release Calculations'!$J$671&gt;Public," which exceeds Distance to the Fence Line of "&amp;Public_Input&amp;" "&amp;Public_Units&amp;".  Target Factor may be conservative",))</f>
        <v/>
      </c>
      <c r="DB13" s="226" t="str">
        <f>IF(CC13="","",IF('Release Calculations'!J690="Yes","and Potential for Asphyxiation","")&amp;IF('Release Calculations'!J$292="Yes"," with operations personnel in close proximity at an "&amp;$AZ$3&amp;" of "&amp;AZ13&amp;" ppm"," at an "&amp;$AZ$3&amp;" of "&amp;AZ13&amp;" ppm"))</f>
        <v/>
      </c>
      <c r="DC13" s="189" t="str">
        <f t="shared" si="27"/>
        <v/>
      </c>
      <c r="DD13" s="67"/>
      <c r="DE13" s="189" t="str">
        <f>IF(CF13="","",IF('Release Calculations'!$J$292="Yes"," with operating personnel in close proximity and a "&amp;$BF$3&amp;" of "&amp;BF13&amp;" "&amp;BG13," at a "&amp;$BF$3&amp;" of "&amp;BF13&amp;" "&amp;BG13))</f>
        <v/>
      </c>
      <c r="DF13" s="189" t="str">
        <f>IF(CG13="","",IF('Release Calculations'!J$709="Yes"," with "&amp;$BR$3&amp;" of "&amp;BR13&amp;" "&amp;BS13&amp;IF('Release Calculations'!J$718&lt;&gt;"Yes",""," including "&amp;$BT$3&amp;" of "&amp;BT13&amp;" psi.")&amp;" 1 psi Blast Overpresssure exceeds Distance to the Fence Line of "&amp;Public_Input&amp;" "&amp;Public_Units&amp;".  Consider adjustment for Off-Site Impacts",IF('Release Calculations'!J$718&lt;&gt;"Yes"," impacting on site personnel at a "&amp;$BR$3&amp;" of "&amp;BR13&amp;" "&amp;BS13," impacting on site personnel at a "&amp;$BR$3&amp;" of "&amp;BR13&amp;" "&amp;BS13&amp;" including "&amp;$BT$3&amp;" of "&amp;BT13&amp;" psi")))</f>
        <v/>
      </c>
      <c r="DG13" s="189" t="str">
        <f>IF(CH13="","",IF('Release Calculations'!J$695="Yes"," with "&amp;$BR$3&amp;" of "&amp;BR13&amp;" "&amp;BS13&amp;IF('Release Calculations'!J$700&lt;&gt;"Yes",""," including "&amp;$BT$3&amp;" of "&amp;BT13&amp;" psi.")&amp;"  1 psi Blast Overpresssure exceeds Distance to the Fence Line of "&amp;Public_Input&amp;" "&amp;Public_Units&amp;".  Consider adjustment for Off-Site Impacts",IF('Release Calculations'!J$700&lt;&gt;"Yes"," impacting enclosed area operating personnel, on site personnel at a "&amp;$BR$3&amp;" of "&amp;BR13&amp;" "&amp;BS13," impacting enclosed area operating personnel, on site personnel at a "&amp;$BR$3&amp;" of "&amp;BR13&amp;" "&amp;BS13&amp;" including "&amp;$BT$3&amp;" of "&amp;BT13&amp;" psi")))</f>
        <v/>
      </c>
      <c r="DH13" s="67"/>
      <c r="DI13" s="67"/>
      <c r="DJ13" s="67"/>
      <c r="DK13" s="19"/>
      <c r="DL13" s="39"/>
      <c r="DM13" s="239">
        <f>'Release Calculations'!J$749</f>
        <v>0</v>
      </c>
      <c r="DN13" s="239">
        <f>'Release Calculations'!J$754</f>
        <v>0</v>
      </c>
      <c r="DO13" s="34"/>
      <c r="DP13" s="34"/>
      <c r="DQ13" s="239">
        <f>'Release Calculations'!J$764</f>
        <v>0</v>
      </c>
      <c r="DR13" s="34"/>
      <c r="DS13" s="34"/>
      <c r="DT13" s="34"/>
      <c r="DU13" s="34"/>
      <c r="DV13" s="6"/>
      <c r="DW13" s="40"/>
      <c r="DX13" s="250"/>
      <c r="DY13" s="249" t="s">
        <v>2983</v>
      </c>
      <c r="DZ13" s="250" t="s">
        <v>292</v>
      </c>
      <c r="EA13" s="740"/>
      <c r="EB13" s="249" t="str">
        <f>"Probability of Exposure to Hot or Toxic Material"</f>
        <v>Probability of Exposure to Hot or Toxic Material</v>
      </c>
      <c r="EC13" s="249" t="s">
        <v>292</v>
      </c>
      <c r="ED13" s="248"/>
      <c r="EE13" s="248"/>
      <c r="EF13" s="248"/>
      <c r="EG13" s="248"/>
      <c r="EH13" s="248"/>
      <c r="EI13" s="19"/>
      <c r="EJ13" s="250"/>
      <c r="EK13" s="249" t="str">
        <f>IF(Attended_Op="Yes","Noted as Personnel Routinely in Immediate Area or Equipment Type involves Materials Handling - "&amp;IF('Release Calculations'!J586*3600&lt;30," with a very Short Exposure Duration (&lt; 30 sec)","Time at Risk May Apply"),"Probability of Personnel to be in Close Proximity to Chemical Release based on Toxic Impact Area to "&amp;AM13&amp;" "&amp;AN13&amp;IF('Release Calculations'!J748&lt;0.01," (with potential for higher POE credit upon further review)",""))</f>
        <v>Probability of Personnel to be in Close Proximity to Chemical Release based on Toxic Impact Area to 0 m (with potential for higher POE credit upon further review)</v>
      </c>
      <c r="EL13" s="250" t="str">
        <f>IF(Attended_Op="Yes","Noted as Personnel Routinely in Immediate Area or Equipment Type involves Materials Handling - Time at Risk May Apply","Probability of Personnel to be in Close Proximity to Chemical Release based on Ratio Enclosed Process Area Concentation of "&amp;AZ13&amp;" ppm to 10 ER-3 for "&amp;Chemical&amp;IF(Fract_Key_Chemical&lt;1," mixture "," ")&amp;IF('Release Calculations'!$J$753&lt;0.01,"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13" s="248"/>
      <c r="EN13" s="248"/>
      <c r="EO13"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"&amp;AZ13&amp;" "&amp;LFL_Fract_FlashFIre&amp;" LFL","Flammable Impact Area to "&amp;BF13&amp;" "&amp;BG13)&amp;IF('Release Calculations'!$J$763&lt;0.01," (with potential for higher POE credit upon further review)",""))</f>
        <v>Probability of Personnel to be in Close Proximity to Chemical Release based on Flammable Impact Area to 0 m (with potential for higher POE credit upon further review)</v>
      </c>
      <c r="EP13" s="248"/>
      <c r="EQ13" s="248"/>
      <c r="ER13" s="248"/>
      <c r="ES13" s="248"/>
      <c r="ET13" s="248"/>
      <c r="EU13" s="19"/>
      <c r="EV13" s="1379"/>
      <c r="EW13" s="957">
        <f>'Release Calculations'!J748</f>
        <v>6.0000000000000008E-7</v>
      </c>
      <c r="EX13" s="957">
        <f>'Release Calculations'!$J$753</f>
        <v>0</v>
      </c>
      <c r="EY13" s="1380"/>
      <c r="EZ13" s="1380"/>
      <c r="FA13" s="957">
        <f>'Release Calculations'!$J$763</f>
        <v>0</v>
      </c>
      <c r="FB13" s="6"/>
      <c r="FC13" s="6"/>
      <c r="FD13" s="6"/>
      <c r="FE13" s="6"/>
      <c r="FF13" s="6"/>
      <c r="FG13" s="19"/>
      <c r="FH13" s="34"/>
      <c r="FI13" s="34"/>
      <c r="FJ13" s="34"/>
      <c r="FK13" s="739"/>
      <c r="FL13" s="34"/>
      <c r="FM13" s="239" t="str">
        <f>IF(Location="Outdoors",'Release Calculations'!J$706,'Release Calculations'!J$692)</f>
        <v/>
      </c>
      <c r="FN13" s="239" t="str">
        <f>'Release Calculations'!J$707</f>
        <v/>
      </c>
      <c r="FO13" s="39" t="str">
        <f>IF(State&lt;&gt;"Solid",'Release Calculations'!J$692,Dust_SecondExpl_POE)</f>
        <v/>
      </c>
      <c r="FP13" s="34"/>
      <c r="FQ13" s="34"/>
      <c r="FR13" s="6"/>
      <c r="FS13" s="40"/>
      <c r="FT13" s="248"/>
      <c r="FU13" s="248"/>
      <c r="FV13" s="248"/>
      <c r="FW13" s="741"/>
      <c r="FX13" s="248"/>
      <c r="FY13" s="249" t="s">
        <v>1461</v>
      </c>
      <c r="FZ13" s="249" t="s">
        <v>1460</v>
      </c>
      <c r="GA13" s="250" t="s">
        <v>1461</v>
      </c>
      <c r="GB13" s="248"/>
      <c r="GC13" s="248"/>
      <c r="GD13" s="248"/>
      <c r="GE13" s="19"/>
      <c r="GF13" s="248"/>
      <c r="GG13" s="248"/>
      <c r="GH13" s="248"/>
      <c r="GI13" s="741"/>
      <c r="GJ13" s="248"/>
      <c r="GK13"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"&amp;BP13&amp;" "&amp;BQ13&amp;" Easily Ignited Material with Distance to LFL of "&amp;BD13&amp;" "&amp;BE13,IF(Ease_of_Ignition_Feed="Low","Outdoor Release of Difficult to Ignite Material","Outdoor release of "&amp;BP13&amp;" "&amp;BQ13&amp;" Flammable Material with Distance to LFL of "&amp;BD13&amp;" "&amp;BE13)),IF(Ease_of_Ignition_Feed="Elevated","Indoor Release of Easily Ignited Material",IF(Ease_of_Ignition_Feed="Low","Indoor Release of Difficult to Ignite Material","Indoor Release of Flammable Material")))))))</f>
        <v>No Flash Point Entered</v>
      </c>
      <c r="GL13" s="2581" t="str">
        <f t="shared" si="28"/>
        <v>No Flash Point Entered</v>
      </c>
      <c r="GM13" s="250" t="str">
        <f t="shared" si="29"/>
        <v>Indoor Release of Flammable Material-POX</v>
      </c>
      <c r="GN13" s="248"/>
      <c r="GO13" s="248"/>
      <c r="GP13" s="248"/>
      <c r="GQ13" s="19"/>
      <c r="GR13" s="189" t="str">
        <f t="shared" si="35"/>
        <v/>
      </c>
      <c r="GS13" s="19"/>
      <c r="GT13" s="19"/>
      <c r="GU13" s="64" t="str">
        <f>Desc_ExtremeHigh</f>
        <v>Catastrophic Severity</v>
      </c>
      <c r="GV13" s="193">
        <f>Conseq_ExtremeHigh</f>
        <v>6</v>
      </c>
      <c r="GW13" s="19"/>
      <c r="GX13" s="37">
        <f>Conseq_GT_ExtremeHigh</f>
        <v>6</v>
      </c>
      <c r="GY13" s="189" t="str">
        <f t="shared" ref="GY13:HG13" si="56">Desc_GT_ExtremeHigh</f>
        <v>Catastrophic Severity</v>
      </c>
      <c r="GZ13" s="189" t="str">
        <f t="shared" si="56"/>
        <v>Catastrophic Severity</v>
      </c>
      <c r="HA13" s="189" t="str">
        <f t="shared" si="56"/>
        <v>Catastrophic Severity</v>
      </c>
      <c r="HB13" s="189" t="str">
        <f t="shared" si="56"/>
        <v>Catastrophic Severity</v>
      </c>
      <c r="HC13" s="189" t="str">
        <f t="shared" si="56"/>
        <v>Catastrophic Severity</v>
      </c>
      <c r="HD13" s="189" t="str">
        <f t="shared" si="56"/>
        <v>Catastrophic Severity</v>
      </c>
      <c r="HE13" s="189" t="str">
        <f t="shared" si="56"/>
        <v>Catastrophic Severity</v>
      </c>
      <c r="HF13" s="189" t="str">
        <f t="shared" si="56"/>
        <v>Catastrophic Severity</v>
      </c>
      <c r="HG13" s="189" t="str">
        <f t="shared" si="56"/>
        <v>Catastrophic Severity</v>
      </c>
      <c r="HH13" s="1379"/>
      <c r="HI13" s="1379"/>
    </row>
    <row r="14" spans="1:217" s="5" customFormat="1" ht="12.75" customHeight="1" x14ac:dyDescent="0.25">
      <c r="A14" s="35"/>
      <c r="B14" s="64" t="str">
        <f>'Scenario Identification'!BS3</f>
        <v>USER DEFINED HOLE SIZE</v>
      </c>
      <c r="C14" s="1457" t="str">
        <f t="shared" si="10"/>
        <v/>
      </c>
      <c r="D14" s="65"/>
      <c r="E14" s="2483" t="str">
        <f>IF(MAX('Release Calculations'!L35,'Release Calculations'!L43,'Release Calculations'!L62,1-'Release Calculations'!L82,ABS(MIN('Release Calculations'!L35,'Release Calculations'!L43,'Release Calculations'!L62,1-'Release Calculations'!L82)))&gt;$E$4,"Yes","")</f>
        <v/>
      </c>
      <c r="F14" s="1418" t="s">
        <v>428</v>
      </c>
      <c r="G14" s="1434">
        <f t="shared" si="11"/>
        <v>0</v>
      </c>
      <c r="H14" s="1427" t="str">
        <f t="shared" si="31"/>
        <v>liter</v>
      </c>
      <c r="I14" s="1418">
        <f>IF('Release Calculations'!L7&lt;&gt;"",ROUND('Release Calculations'!L7/$I$4,2),"")</f>
        <v>0</v>
      </c>
      <c r="J14" s="1421" t="str">
        <f t="shared" si="32"/>
        <v>mm</v>
      </c>
      <c r="K14" s="1427">
        <f t="shared" si="12"/>
        <v>0</v>
      </c>
      <c r="L14" s="1434">
        <f>sig('Release Calculations'!$L$16/$L$4,3,100,0)</f>
        <v>0</v>
      </c>
      <c r="M14" s="1435" t="str">
        <f t="shared" si="13"/>
        <v>kg</v>
      </c>
      <c r="N14" s="1432" t="str">
        <f t="shared" si="14"/>
        <v xml:space="preserve">Liquid:   ,  ,  ,  ,  </v>
      </c>
      <c r="O14" s="1434">
        <f>IF('Release Calculations'!$L$9&lt;&gt;"",ROUND('Release Calculations'!$L$9,0),"")</f>
        <v>0</v>
      </c>
      <c r="P14" s="1434">
        <f>IF('Release Calculations'!$L$8&lt;&gt;"",ROUND('Release Calculations'!$L$8/$P$4,2),"")</f>
        <v>0</v>
      </c>
      <c r="Q14" s="1446" t="str">
        <f t="shared" si="15"/>
        <v>bar</v>
      </c>
      <c r="R14" s="1434">
        <f>sig('Release Calculations'!$L$23/$AG$4,3,10,0)</f>
        <v>0</v>
      </c>
      <c r="S14" s="1447" t="str">
        <f t="shared" si="16"/>
        <v>kg/min</v>
      </c>
      <c r="T14" s="1435">
        <f>ROUND('Release Calculations'!$L$13/$T$4,0)</f>
        <v>0</v>
      </c>
      <c r="U14" s="1434">
        <f>ROUND(('Release Calculations'!$L$13+'Release Calculations'!$L$14)/$U$4,0)</f>
        <v>0</v>
      </c>
      <c r="V14" s="1434">
        <f>sig('Release Calculations'!$L$55/$V$4,3,100,0)</f>
        <v>0</v>
      </c>
      <c r="W14" s="1435" t="str">
        <f>IF(Report_A&lt;&gt;"",Report_A,IF(Dike_Area_Units="","sq m",Dike_Area_Units))</f>
        <v>sq m</v>
      </c>
      <c r="X14" s="1438">
        <f>ROUND('Release Calculations'!L$214,3)</f>
        <v>0</v>
      </c>
      <c r="Y14" s="1458" t="str">
        <f>IF('Release Calculations'!$L$225="","",sig('Release Calculations'!$L$225,3,1000,0))</f>
        <v/>
      </c>
      <c r="Z14" s="1458" t="str">
        <f>IF('Release Calculations'!$L$231="","",sig('Release Calculations'!$L$231,3,1000,0))</f>
        <v/>
      </c>
      <c r="AA14" s="1458" t="str">
        <f>IF('Release Calculations'!$L$255="","",sig('Release Calculations'!$L$255,3,1000,0))</f>
        <v/>
      </c>
      <c r="AB14" s="1458" t="str">
        <f>IF('Release Calculations'!$L$261="","",sig('Release Calculations'!$L$261,3,1000,0))</f>
        <v/>
      </c>
      <c r="AC14" s="1458" t="str">
        <f>IF('Release Calculations'!$L$267="","",sig('Release Calculations'!$L$267,3,1000,0))</f>
        <v/>
      </c>
      <c r="AD14" s="1196" t="str">
        <f>IF('Release Calculations'!$L$249="","",ROUND('Release Calculations'!$L$249,1))</f>
        <v/>
      </c>
      <c r="AE14" s="1434">
        <f>sig('Release Calculations'!$L$70/$AE$4,3,100,0)</f>
        <v>0</v>
      </c>
      <c r="AF14" s="1435" t="str">
        <f t="shared" si="17"/>
        <v>kg</v>
      </c>
      <c r="AG14" s="1326">
        <f>sig('Release Calculations'!L$89/$AG$4,3,10,3)</f>
        <v>3.0000000000000001E-3</v>
      </c>
      <c r="AH14" s="1435" t="str">
        <f t="shared" si="33"/>
        <v>kg/min</v>
      </c>
      <c r="AI14" s="1434">
        <f>sig('Release Calculations'!$L$282/$AI$4,3,100,0)</f>
        <v>0</v>
      </c>
      <c r="AJ14" s="1435" t="str">
        <f t="shared" si="18"/>
        <v>m</v>
      </c>
      <c r="AK14" s="1434">
        <f>sig('Release Calculations'!$L$285/$AK$4,3,100,0)</f>
        <v>0</v>
      </c>
      <c r="AL14" s="1435" t="str">
        <f t="shared" si="19"/>
        <v>m</v>
      </c>
      <c r="AM14" s="1434">
        <f>sig('Release Calculations'!$L$287/$AM$4,3,100,0)</f>
        <v>0</v>
      </c>
      <c r="AN14" s="1435" t="str">
        <f t="shared" si="20"/>
        <v>m</v>
      </c>
      <c r="AO14" s="1434">
        <f>sig('Release Calculations'!$L$288/$AO$4,3,100,0)</f>
        <v>0</v>
      </c>
      <c r="AP14" s="1452" t="str">
        <f t="shared" si="20"/>
        <v>m</v>
      </c>
      <c r="AQ14" s="1434">
        <f>sig('Release Calculations'!$L$290/$AQ$4,3,100,0)</f>
        <v>0</v>
      </c>
      <c r="AR14" s="1452" t="str">
        <f t="shared" si="20"/>
        <v>m</v>
      </c>
      <c r="AS14" s="1452" t="str">
        <f t="shared" si="21"/>
        <v/>
      </c>
      <c r="AT14" s="1452" t="str">
        <f t="shared" si="22"/>
        <v/>
      </c>
      <c r="AU14" s="1452" t="str">
        <f t="shared" si="23"/>
        <v/>
      </c>
      <c r="AV14" s="114">
        <f>sig('Release Calculations'!$L$296,3,1000,-1)</f>
        <v>0</v>
      </c>
      <c r="AW14" s="114">
        <f>sig('Release Calculations'!$L$297,3,1000,-1)</f>
        <v>0</v>
      </c>
      <c r="AX14" s="114" t="str">
        <f>sig('Release Calculations'!$L$298,3,1000,0)</f>
        <v/>
      </c>
      <c r="AY14" s="114" t="str">
        <f>sig('Release Calculations'!$L$299,3,1000,0)</f>
        <v/>
      </c>
      <c r="AZ14" s="114">
        <f>sig('Release Calculations'!$L$300,3,1000,-1)</f>
        <v>0</v>
      </c>
      <c r="BA14" s="114">
        <f>sig('Release Calculations'!$L$301,3,1000,-1)</f>
        <v>0</v>
      </c>
      <c r="BB14" s="114" t="str">
        <f>sig('Release Calculations'!$L$302,3,10,3)</f>
        <v/>
      </c>
      <c r="BC14" s="2576" t="str">
        <f>sig('Release Calculations'!$L$2150,3,10,3)</f>
        <v/>
      </c>
      <c r="BD14" s="2569">
        <f>sig('Release Calculations'!$L$320/$BD$4,3,100,0)</f>
        <v>0</v>
      </c>
      <c r="BE14" s="1435" t="str">
        <f t="shared" si="34"/>
        <v>m</v>
      </c>
      <c r="BF14" s="2569">
        <f>sig('Release Calculations'!$L$319/$BF$4,3,100,0)</f>
        <v>0</v>
      </c>
      <c r="BG14" s="1435" t="str">
        <f t="shared" si="34"/>
        <v>m</v>
      </c>
      <c r="BH14" s="1419"/>
      <c r="BI14" s="1422"/>
      <c r="BJ14" s="1419"/>
      <c r="BK14" s="1422"/>
      <c r="BL14" s="2573"/>
      <c r="BM14" s="2573"/>
      <c r="BN14" s="1441"/>
      <c r="BO14" s="1746"/>
      <c r="BP14" s="1503">
        <f>sig('Release Calculations'!$L$90/$BP$4,3,10,1)</f>
        <v>0</v>
      </c>
      <c r="BQ14" s="1435" t="str">
        <f t="shared" si="24"/>
        <v>kg/min</v>
      </c>
      <c r="BR14" s="1434">
        <f>sig(IF(Location="Indoors",'Release Calculations'!$L$311/$BR$4,'Release Calculations'!$L$325/$BR$4),3,100,0)</f>
        <v>0</v>
      </c>
      <c r="BS14" s="1435" t="str">
        <f t="shared" si="25"/>
        <v>m</v>
      </c>
      <c r="BT14" s="1748">
        <f>ROUND(IF(Location="Indoors",'Release Calculations'!$L$314,'Release Calculations'!$L$330),1)</f>
        <v>0</v>
      </c>
      <c r="BU14" s="1748">
        <f>ROUND(IF(Location="Indoors",'Release Calculations'!$L$316,'Release Calculations'!$L$334),1)</f>
        <v>0</v>
      </c>
      <c r="BV14" s="1436"/>
      <c r="BW14" s="1442"/>
      <c r="BX14" s="262"/>
      <c r="BY14" s="262"/>
      <c r="BZ14" s="123"/>
      <c r="CA14" s="4" t="str">
        <f>IF('Release Calculations'!L$338="NA","",'Release Calculations'!L$338)</f>
        <v/>
      </c>
      <c r="CB14" s="4" t="str">
        <f>IF('Release Calculations'!L$368="NA","",'Release Calculations'!L$368)</f>
        <v/>
      </c>
      <c r="CC14" s="4" t="str">
        <f>IF('Release Calculations'!L$373="NA","",'Release Calculations'!L$373)</f>
        <v/>
      </c>
      <c r="CD14" s="735" t="str">
        <f>IF('Release Calculations'!L$378="NA","",'Release Calculations'!L$378)</f>
        <v/>
      </c>
      <c r="CE14" s="4" t="str">
        <f>IF('Release Calculations'!L$384="NA","",'Release Calculations'!L$384)</f>
        <v/>
      </c>
      <c r="CF14" s="4" t="str">
        <f>IF('Release Calculations'!L$389="NA","",'Release Calculations'!L$389)</f>
        <v/>
      </c>
      <c r="CG14" s="4" t="str">
        <f>IF('Release Calculations'!L$409="NA","",'Release Calculations'!L$409)</f>
        <v/>
      </c>
      <c r="CH14" s="4" t="str">
        <f>IF('Release Calculations'!L$399="NA","",'Release Calculations'!L$399)</f>
        <v/>
      </c>
      <c r="CI14" s="4"/>
      <c r="CJ14" s="4"/>
      <c r="CK14" s="4" t="str">
        <f>IF('Release Calculations'!BD$422="NA","",'Release Calculations'!BD$422)</f>
        <v/>
      </c>
      <c r="CL14" s="19"/>
      <c r="CM14" s="19"/>
      <c r="CN14" s="189" t="str">
        <f>IF(CA14="","",IF('Release Calculations'!L$284="Yes",IF(CA14=Conseq_VeryLow,Desc_VeryLow,IF(CA14=Conseq_Low,Desc_Low,IF(CA14=Conseq_Moderate,Desc_Moderate,IF(CA14=Conseq_High,Desc_High,IF(CA14=Conseq_VeryHigh,Desc_VeryHigh,IF(CA14=Conseq_ExtremeHigh,Desc_ExtremeHigh,Desc_GT_ExtremeHigh)))))),IF(CA14=Conseq_Low_Offsite,Desc_Low_Offsite,Desc_VeryLow_Offsite)))</f>
        <v/>
      </c>
      <c r="CO14" s="189" t="str">
        <f t="shared" si="37"/>
        <v/>
      </c>
      <c r="CP14" s="189" t="str">
        <f t="shared" si="38"/>
        <v/>
      </c>
      <c r="CQ14" s="189" t="str">
        <f t="shared" si="39"/>
        <v/>
      </c>
      <c r="CR14" s="189" t="str">
        <f>IF(CE14="","",IF(CE14=Conseq_VeryLow,Desc_VeryLow,IF(CE14=Conseq_Low,Desc_Low,IF(CE14=Conseq_Moderate,Desc_Moderate,IF(CE14=Conseq_High,Desc_High,IF(CE14=Conseq_VeryHigh,Desc_VeryHigh,IF(CE14=Conseq_ExtremeHigh,Desc_ExtremeHigh,Desc_GT_ExtremeHigh)))))))</f>
        <v/>
      </c>
      <c r="CS14" s="189" t="str">
        <f t="shared" si="40"/>
        <v/>
      </c>
      <c r="CT14" s="189" t="str">
        <f t="shared" si="41"/>
        <v/>
      </c>
      <c r="CU14" s="189" t="str">
        <f t="shared" si="42"/>
        <v/>
      </c>
      <c r="CV14" s="67"/>
      <c r="CW14" s="67"/>
      <c r="CX14" s="189" t="str">
        <f>IF(CK14="","",IF(CK14=Conseq_VeryLow,Desc_VeryLow_Environ,IF(CK14=Conseq_Low,Desc_Low_Environ,IF(CK14=Conseq_Moderate,Desc_Moderate_Environ,IF(CK14=Conseq_High,Desc_High_Environ,IF(CK14=Conseq_VeryHigh,Desc_VeryHigh_Environ,Desc_ExtremeHigh_Environ))))))</f>
        <v/>
      </c>
      <c r="CY14" s="40"/>
      <c r="CZ14" s="189" t="str">
        <f>IF(CA14="","",IF('Release Calculations'!L$284="Yes"," at a "&amp;$AI$3&amp;" of "&amp;AI14&amp;" "&amp;AJ14&amp;" which exceeds Distance to the Fence Line of "&amp;Public_Input&amp;" "&amp;Public_Units))</f>
        <v/>
      </c>
      <c r="DA14" s="189" t="str">
        <f>IF(CB14="","",IF('Release Calculations'!$L$292="Yes"," with operating personnel in close proximity and a "&amp;$AM$3&amp;" of "&amp;AM14&amp;" "&amp;AN14," at a "&amp;$AM$3&amp;" of "&amp;AM14&amp;" "&amp;AN14)&amp;IF('Release Calculations'!$L$287&gt;Public," which exceeds Distance to the Fence Line of "&amp;Public_Input&amp;" "&amp;Public_Units&amp;".  Target Factor may be conservative",))</f>
        <v/>
      </c>
      <c r="DB14" s="226" t="str">
        <f>IF(CC14="","",IF('Release Calculations'!L305="Yes","and Potential for Asphyxiation","")&amp;IF('Release Calculations'!L$292="Yes"," with operations personnel in close proximity at an "&amp;$AZ$3&amp;" of "&amp;AZ14&amp;" ppm"," at an "&amp;$AZ$3&amp;" of "&amp;AZ14&amp;" ppm"))</f>
        <v/>
      </c>
      <c r="DC14" s="189" t="str">
        <f t="shared" si="27"/>
        <v/>
      </c>
      <c r="DD14" s="189" t="str">
        <f>IF(CE14="",""," of a "&amp;IF(Ease_of_Ignition_Feed="High","pyrophoric ","high/low temperature ")&amp;IF(Dermal_Tox_Feed&lt;&gt;"","or "&amp;Dermal_Tox_Feed,"")&amp;" chemical"&amp;IF('Release Calculations'!$L$292="Yes"," with operating personnel in close proximity",""))</f>
        <v/>
      </c>
      <c r="DE14" s="189" t="str">
        <f>IF(CF14="","",IF('Release Calculations'!$L$292="Yes"," with operating personnel in close proximity and a "&amp;$BF$3&amp;" of "&amp;BF14&amp;" "&amp;BG14," at a "&amp;$BF$3&amp;" of "&amp;BF14&amp;" "&amp;BG14))</f>
        <v/>
      </c>
      <c r="DF14" s="189" t="str">
        <f>IF(CG14="","",IF('Release Calculations'!L$326="Yes"," with "&amp;$BR$3&amp;" of "&amp;BR14&amp;" "&amp;BS14&amp;IF('Release Calculations'!L$335&lt;&gt;"Yes",""," including "&amp;$BT$3&amp;" of "&amp;BT14&amp;" psi.")&amp;" 1 psi Blast Overpresssure exceeds Distance to the Fence Line of "&amp;Public_Input&amp;" "&amp;Public_Units&amp;".  Consider adjustment for Off-Site Impacts",IF('Release Calculations'!L$335&lt;&gt;"Yes"," impacting on site personnel at a "&amp;$BR$3&amp;" of "&amp;BR14&amp;" "&amp;BS14," impacting on site personnel at a "&amp;$BR$3&amp;" of "&amp;BR14&amp;" "&amp;BS14&amp;" including "&amp;$BT$3&amp;" of "&amp;BT14&amp;" psi")))</f>
        <v/>
      </c>
      <c r="DG14" s="189" t="str">
        <f>IF(CH14="","",IF('Release Calculations'!L$312="Yes"," with "&amp;$BR$3&amp;" of "&amp;BR14&amp;" "&amp;BS14&amp;IF('Release Calculations'!L$317&lt;&gt;"Yes",""," including "&amp;$BT$3&amp;" of "&amp;BT14&amp;" psi.")&amp;"  1 psi Blast Overpresssure exceeds Distance to the Fence Line of "&amp;Public_Input&amp;" "&amp;Public_Units&amp;".  Consider adjustment for Off-Site Impacts",IF('Release Calculations'!L$317&lt;&gt;"Yes"," impacting enclosed area operating personnel, on site personnel at a "&amp;$BR$3&amp;" of "&amp;BR14&amp;" "&amp;BS14," impacting enclosed area operating personnel, on site personnel at a "&amp;$BR$3&amp;" of "&amp;BR14&amp;" "&amp;BS14&amp;" including "&amp;$BT$3&amp;" of "&amp;BT14&amp;" psi")))</f>
        <v/>
      </c>
      <c r="DH14" s="67"/>
      <c r="DI14" s="67"/>
      <c r="DJ14" s="189" t="str">
        <f>IF('Release Calculations'!AZ422&gt;0,"Groundwater or Remediation Issue",IF('Release Calculations'!BB422&gt;0,"High Aqueous Toxicity",""))</f>
        <v/>
      </c>
      <c r="DK14" s="19"/>
      <c r="DL14" s="39"/>
      <c r="DM14" s="239">
        <f>'Release Calculations'!L$366</f>
        <v>0</v>
      </c>
      <c r="DN14" s="239">
        <f>'Release Calculations'!L$371</f>
        <v>0</v>
      </c>
      <c r="DO14" s="34"/>
      <c r="DP14" s="239">
        <f>'Release Calculations'!L$382</f>
        <v>0</v>
      </c>
      <c r="DQ14" s="239">
        <f>'Release Calculations'!L$387</f>
        <v>0</v>
      </c>
      <c r="DR14" s="34"/>
      <c r="DS14" s="34"/>
      <c r="DT14" s="34"/>
      <c r="DU14" s="34"/>
      <c r="DV14" s="6"/>
      <c r="DW14" s="40"/>
      <c r="DX14" s="250"/>
      <c r="DY14" s="249" t="s">
        <v>2983</v>
      </c>
      <c r="DZ14" s="250" t="s">
        <v>292</v>
      </c>
      <c r="EA14" s="740"/>
      <c r="EB14" s="249" t="str">
        <f>"Probability of Exposure to Hot or Toxic Material"</f>
        <v>Probability of Exposure to Hot or Toxic Material</v>
      </c>
      <c r="EC14" s="249" t="s">
        <v>292</v>
      </c>
      <c r="ED14" s="248"/>
      <c r="EE14" s="248"/>
      <c r="EF14" s="248"/>
      <c r="EG14" s="248"/>
      <c r="EH14" s="248"/>
      <c r="EI14" s="19"/>
      <c r="EJ14" s="250"/>
      <c r="EK14" s="249" t="str">
        <f>IF(Attended_Op="Yes","Noted as Personnel Routinely in Immediate Area or Equipment Type involves Materials Handling - "&amp;IF('Release Calculations'!L210*3600&lt;30," with a very Short Exposure Duration (&lt; 30 sec)","Time at Risk May Apply"),"Probability of Personnel to be in Close Proximity to Chemical Release based on Toxic Impact Area to "&amp;AM14&amp;" "&amp;AN14&amp;IF('Release Calculations'!L365&lt;0.01," (with potential for higher POE credit upon further review)",""))</f>
        <v>Probability of Personnel to be in Close Proximity to Chemical Release based on Toxic Impact Area to 0 m (with potential for higher POE credit upon further review)</v>
      </c>
      <c r="EL14" s="250" t="str">
        <f>IF(Attended_Op="Yes","Noted as Personnel Routinely in Immediate Area or Equipment Type involves Materials Handling - Time at Risk May Apply","Probability of Personnel to be in Close Proximity to Chemical Release based on Ratio Enclosed Process Area Concentation of "&amp;AZ14&amp;" ppm to 10 ER-3 for "&amp;Chemical&amp;IF(Fract_Key_Chemical&lt;1," mixture "," ")&amp;IF('Release Calculations'!$L$370&lt;0.01,"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14" s="248"/>
      <c r="EN14"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Calculations'!$L$381&lt;0.01," (with potential for higher POE credit upon further review)",""))</f>
        <v>Probability of Personnel to be in Close Proximity to Chemical Release based on Spray Distance of 1 m (with potential for higher POE credit upon further review)</v>
      </c>
      <c r="EO14"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"&amp;AZ14&amp;" to "&amp;LFL_Fract_FlashFIre&amp;" LFL","Flammable Impact Area to "&amp;BF14&amp;" "&amp;BG14)&amp;IF('Release Calculations'!$L$386&lt;0.01," (with potential for higher POE credit upon further review)",""))</f>
        <v>Probability of Personnel to be in Close Proximity to Chemical Release based on Flammable Impact Area to 0 m (with potential for higher POE credit upon further review)</v>
      </c>
      <c r="EP14" s="248"/>
      <c r="EQ14" s="248"/>
      <c r="ER14" s="248"/>
      <c r="ES14" s="248"/>
      <c r="ET14" s="248"/>
      <c r="EU14" s="19"/>
      <c r="EV14" s="1379"/>
      <c r="EW14" s="957">
        <f>'Release Calculations'!L365</f>
        <v>6.0000000000000008E-7</v>
      </c>
      <c r="EX14" s="957">
        <f>'Release Calculations'!$L$370</f>
        <v>0</v>
      </c>
      <c r="EY14" s="1380"/>
      <c r="EZ14" s="957">
        <f>'Release Calculations'!$L$381</f>
        <v>0</v>
      </c>
      <c r="FA14" s="957">
        <f>'Release Calculations'!$L$386</f>
        <v>0</v>
      </c>
      <c r="FB14" s="6"/>
      <c r="FC14" s="6"/>
      <c r="FD14" s="6"/>
      <c r="FE14" s="6"/>
      <c r="FF14" s="6"/>
      <c r="FG14" s="19"/>
      <c r="FH14" s="34"/>
      <c r="FI14" s="34"/>
      <c r="FJ14" s="34"/>
      <c r="FK14" s="739"/>
      <c r="FL14" s="34"/>
      <c r="FM14" s="239" t="str">
        <f>IF(Location="Outdoors",'Release Calculations'!L$323,'Release Calculations'!L$309)</f>
        <v/>
      </c>
      <c r="FN14" s="239" t="str">
        <f>'Release Calculations'!L$324</f>
        <v/>
      </c>
      <c r="FO14" s="39" t="str">
        <f>IF(State&lt;&gt;"Solid",'Release Calculations'!L$309,Dust_SecondExpl_POE)</f>
        <v/>
      </c>
      <c r="FP14" s="34"/>
      <c r="FQ14" s="34"/>
      <c r="FR14" s="6"/>
      <c r="FS14" s="40"/>
      <c r="FT14" s="248"/>
      <c r="FU14" s="248"/>
      <c r="FV14" s="248"/>
      <c r="FW14" s="741"/>
      <c r="FX14" s="248"/>
      <c r="FY14" s="249" t="s">
        <v>1461</v>
      </c>
      <c r="FZ14" s="249" t="s">
        <v>1460</v>
      </c>
      <c r="GA14" s="250" t="s">
        <v>1461</v>
      </c>
      <c r="GB14" s="248"/>
      <c r="GC14" s="248"/>
      <c r="GD14" s="248"/>
      <c r="GE14" s="19"/>
      <c r="GF14" s="248"/>
      <c r="GG14" s="248"/>
      <c r="GH14" s="248"/>
      <c r="GI14" s="741"/>
      <c r="GJ14" s="248"/>
      <c r="GK14"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"&amp;BP14&amp;" "&amp;BQ14&amp;" Easily Ignited Material with Distance to LFL of "&amp;BD14&amp;" "&amp;BE14,IF(OR(Ease_of_Ignition_Feed="Low",AND(Flash_Pt_Feed&gt;MAX(Ambient_Temp,T),Aerosol_Potential="Yes")),"Outdoor Release of Difficult to Ignite Material or Combustible Aerosol","Outdoor release of "&amp;BP14&amp;" "&amp;BQ14&amp;" Flammable Material with Distance to LFL of "&amp;BD14&amp;" "&amp;BE14)),IF(Ease_of_Ignition_Feed="Elevated","Indoor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14" s="2581" t="str">
        <f t="shared" si="28"/>
        <v>No Flash Point Entered</v>
      </c>
      <c r="GM14" s="250" t="str">
        <f t="shared" si="29"/>
        <v>Indoor Release of Flammable Material-POX</v>
      </c>
      <c r="GN14" s="248"/>
      <c r="GO14" s="248"/>
      <c r="GP14" s="248"/>
      <c r="GQ14" s="19"/>
      <c r="GR14" s="189" t="str">
        <f t="shared" si="35"/>
        <v/>
      </c>
      <c r="GS14" s="19"/>
      <c r="GT14" s="19"/>
      <c r="GU14" s="64" t="str">
        <f>Desc_GT_ExtremeHigh</f>
        <v>Catastrophic Severity</v>
      </c>
      <c r="GV14" s="193">
        <f>Conseq_GT_ExtremeHigh</f>
        <v>6</v>
      </c>
      <c r="GW14" s="19"/>
      <c r="GX14" s="19"/>
      <c r="GY14" s="19"/>
      <c r="GZ14" s="19"/>
      <c r="HA14" s="19"/>
      <c r="HB14" s="19"/>
      <c r="HC14" s="19"/>
      <c r="HD14" s="19"/>
      <c r="HE14" s="19"/>
      <c r="HF14" s="19"/>
      <c r="HG14" s="19"/>
      <c r="HH14" s="19"/>
      <c r="HI14" s="19"/>
    </row>
    <row r="15" spans="1:217" s="19" customFormat="1" ht="12.75" customHeight="1" x14ac:dyDescent="0.25">
      <c r="A15" s="35"/>
      <c r="B15" s="64" t="str">
        <f>'Scenario Identification'!BT3</f>
        <v>USER DEFINED HOLE SIZE above Liquid Level</v>
      </c>
      <c r="C15" s="1457" t="str">
        <f t="shared" si="10"/>
        <v/>
      </c>
      <c r="D15" s="65"/>
      <c r="E15" s="2483" t="str">
        <f>IF(MAX('Release Calculations'!L426,1-'Release Calculations'!L455,ABS(MIN('Release Calculations'!L426,1-'Release Calculations'!L455)))&gt;$E$4,"Yes","")</f>
        <v/>
      </c>
      <c r="F15" s="1418" t="s">
        <v>428</v>
      </c>
      <c r="G15" s="1434">
        <f t="shared" si="11"/>
        <v>0</v>
      </c>
      <c r="H15" s="1427" t="str">
        <f t="shared" si="31"/>
        <v>liter</v>
      </c>
      <c r="I15" s="1418">
        <f>IF('Release Calculations'!L7&lt;&gt;"",ROUND('Release Calculations'!L7/$I$4,2),"")</f>
        <v>0</v>
      </c>
      <c r="J15" s="1421" t="str">
        <f t="shared" si="32"/>
        <v>mm</v>
      </c>
      <c r="K15" s="1427">
        <f t="shared" si="12"/>
        <v>0</v>
      </c>
      <c r="L15" s="1434">
        <f>sig('Release Calculations'!$L$437/$L$4,3,100,0)</f>
        <v>0</v>
      </c>
      <c r="M15" s="1435" t="str">
        <f t="shared" si="13"/>
        <v>kg</v>
      </c>
      <c r="N15" s="1432" t="str">
        <f t="shared" si="14"/>
        <v xml:space="preserve">Liquid:   ,  ,  ,  ,  </v>
      </c>
      <c r="O15" s="1434">
        <f>IF('Release Calculations'!$L$416&lt;&gt;"",ROUND('Release Calculations'!$L$416,0),"")</f>
        <v>0</v>
      </c>
      <c r="P15" s="1434">
        <f>IF('Release Calculations'!$L$415&lt;&gt;"",ROUND('Release Calculations'!$L$415/$P$4,2),"")</f>
        <v>0</v>
      </c>
      <c r="Q15" s="1446" t="str">
        <f t="shared" si="15"/>
        <v>bar</v>
      </c>
      <c r="R15" s="1434">
        <f>sig('Release Calculations'!$L$418/$AG$4,3,10,0)</f>
        <v>0</v>
      </c>
      <c r="S15" s="1447" t="str">
        <f t="shared" si="16"/>
        <v>kg/min</v>
      </c>
      <c r="T15" s="1435">
        <f>ROUND('Release Calculations'!$L$434/$T$4,0)</f>
        <v>60</v>
      </c>
      <c r="U15" s="1434">
        <f>ROUND(('Release Calculations'!$L$434+'Release Calculations'!$L$435)/$U$4,0)</f>
        <v>60</v>
      </c>
      <c r="V15" s="1434"/>
      <c r="W15" s="1435"/>
      <c r="X15" s="1438">
        <f>ROUND('Release Calculations'!L$589,3)</f>
        <v>0</v>
      </c>
      <c r="Y15" s="1458" t="str">
        <f>IF('Release Calculations'!$L$602="","",sig('Release Calculations'!$L$602,3,1000,0))</f>
        <v/>
      </c>
      <c r="Z15" s="1458" t="str">
        <f>IF('Release Calculations'!$L$609="","",sig('Release Calculations'!$L$609,3,1000,0))</f>
        <v/>
      </c>
      <c r="AA15" s="1458" t="str">
        <f>IF('Release Calculations'!$L$637="","",sig('Release Calculations'!$L$637,3,1000,0))</f>
        <v/>
      </c>
      <c r="AB15" s="1458" t="str">
        <f>IF('Release Calculations'!$L$644="","",sig('Release Calculations'!$L$644,3,1000,0))</f>
        <v/>
      </c>
      <c r="AC15" s="1458" t="str">
        <f>IF('Release Calculations'!$L$651="","",sig('Release Calculations'!$L$651,3,1000,0))</f>
        <v/>
      </c>
      <c r="AD15" s="1196" t="str">
        <f>IF('Release Calculations'!$L$630="","",ROUND('Release Calculations'!$L$630,1))</f>
        <v/>
      </c>
      <c r="AE15" s="1434">
        <f>sig('Release Calculations'!$L$437/$AE$4,3,100,0)</f>
        <v>0</v>
      </c>
      <c r="AF15" s="1435" t="str">
        <f t="shared" si="17"/>
        <v>kg</v>
      </c>
      <c r="AG15" s="1326">
        <f>sig('Release Calculations'!L464/$AG$4,3,10,3)</f>
        <v>0</v>
      </c>
      <c r="AH15" s="1435" t="str">
        <f t="shared" si="33"/>
        <v>kg/min</v>
      </c>
      <c r="AI15" s="1434">
        <f>sig('Release Calculations'!$L$666/$AI$4,3,100,0)</f>
        <v>0</v>
      </c>
      <c r="AJ15" s="1435" t="str">
        <f t="shared" si="18"/>
        <v>m</v>
      </c>
      <c r="AK15" s="1434">
        <f>sig('Release Calculations'!$L$669/$AK$4,3,100,0)</f>
        <v>0</v>
      </c>
      <c r="AL15" s="1435" t="str">
        <f t="shared" si="19"/>
        <v>m</v>
      </c>
      <c r="AM15" s="1434">
        <f>sig('Release Calculations'!$L$671/$AM$4,3,100,0)</f>
        <v>0</v>
      </c>
      <c r="AN15" s="1435" t="str">
        <f t="shared" si="20"/>
        <v>m</v>
      </c>
      <c r="AO15" s="1434">
        <f>sig('Release Calculations'!$L$672/$AO$4,3,100,0)</f>
        <v>0</v>
      </c>
      <c r="AP15" s="1452" t="str">
        <f t="shared" si="20"/>
        <v>m</v>
      </c>
      <c r="AQ15" s="1434">
        <f>sig('Release Calculations'!$L$674/$AQ$4,3,100,0)</f>
        <v>0</v>
      </c>
      <c r="AR15" s="1452" t="str">
        <f t="shared" si="20"/>
        <v>m</v>
      </c>
      <c r="AS15" s="1452" t="str">
        <f t="shared" si="21"/>
        <v/>
      </c>
      <c r="AT15" s="1452" t="str">
        <f t="shared" si="22"/>
        <v/>
      </c>
      <c r="AU15" s="1452" t="str">
        <f t="shared" si="23"/>
        <v/>
      </c>
      <c r="AV15" s="114">
        <f>sig('Release Calculations'!$L$679,3,1000,-1)</f>
        <v>0</v>
      </c>
      <c r="AW15" s="114">
        <f>sig('Release Calculations'!$L$680,3,1000,-1)</f>
        <v>0</v>
      </c>
      <c r="AX15" s="114" t="str">
        <f>sig('Release Calculations'!$L$681,3,1000,0)</f>
        <v/>
      </c>
      <c r="AY15" s="114" t="str">
        <f>sig('Release Calculations'!$L$682,3,1000,0)</f>
        <v/>
      </c>
      <c r="AZ15" s="114">
        <f>sig('Release Calculations'!$L$683,3,1000,-1)</f>
        <v>0</v>
      </c>
      <c r="BA15" s="114">
        <f>sig('Release Calculations'!$L$684,3,1000,-1)</f>
        <v>0</v>
      </c>
      <c r="BB15" s="114" t="str">
        <f>sig('Release Calculations'!$L$685,3,10,3)</f>
        <v/>
      </c>
      <c r="BC15" s="2576" t="str">
        <f>sig('Release Calculations'!$L$686,3,10,3)</f>
        <v/>
      </c>
      <c r="BD15" s="2569">
        <f>sig('Release Calculations'!$L$703/$BD$4,3,100,0)</f>
        <v>0</v>
      </c>
      <c r="BE15" s="1435" t="str">
        <f t="shared" si="34"/>
        <v>m</v>
      </c>
      <c r="BF15" s="2569">
        <f>sig('Release Calculations'!$L$702/$BF$4,3,100,0)</f>
        <v>0</v>
      </c>
      <c r="BG15" s="1435" t="str">
        <f t="shared" si="34"/>
        <v>m</v>
      </c>
      <c r="BH15" s="1419"/>
      <c r="BI15" s="1422"/>
      <c r="BJ15" s="1419"/>
      <c r="BK15" s="1422"/>
      <c r="BL15" s="2573"/>
      <c r="BM15" s="2573"/>
      <c r="BN15" s="1441"/>
      <c r="BO15" s="1746"/>
      <c r="BP15" s="1503">
        <f>sig('Release Calculations'!$L$465/$BP$4,3,10,1)</f>
        <v>0</v>
      </c>
      <c r="BQ15" s="1435" t="str">
        <f t="shared" si="24"/>
        <v>kg/min</v>
      </c>
      <c r="BR15" s="1434">
        <f>sig(IF(Location="Indoors",'Release Calculations'!$L$694/$BR$4,'Release Calculations'!$L$708/$BR$4),3,100,0)</f>
        <v>0</v>
      </c>
      <c r="BS15" s="1435" t="str">
        <f t="shared" si="25"/>
        <v>m</v>
      </c>
      <c r="BT15" s="1748">
        <f>ROUND(IF(Location="Indoors",'Release Calculations'!$L$697,'Release Calculations'!$L$713),1)</f>
        <v>0</v>
      </c>
      <c r="BU15" s="1748">
        <f>ROUND(IF(Location="Indoors",'Release Calculations'!$L$699,'Release Calculations'!$L$717),1)</f>
        <v>0</v>
      </c>
      <c r="BV15" s="1436"/>
      <c r="BW15" s="1442"/>
      <c r="BX15" s="1415"/>
      <c r="BY15" s="1415"/>
      <c r="BZ15" s="123"/>
      <c r="CA15" s="4" t="str">
        <f>IF('Release Calculations'!L$721="NA","",'Release Calculations'!L$721)</f>
        <v/>
      </c>
      <c r="CB15" s="4" t="str">
        <f>IF('Release Calculations'!L$751="NA","",'Release Calculations'!L$751)</f>
        <v/>
      </c>
      <c r="CC15" s="4" t="str">
        <f>IF('Release Calculations'!L$756="NA","",'Release Calculations'!L$756)</f>
        <v/>
      </c>
      <c r="CD15" s="735" t="str">
        <f>IF('Release Calculations'!L$761="NA","",'Release Calculations'!L$761)</f>
        <v/>
      </c>
      <c r="CE15" s="4"/>
      <c r="CF15" s="4" t="str">
        <f>IF('Release Calculations'!L$766="NA","",'Release Calculations'!L$766)</f>
        <v/>
      </c>
      <c r="CG15" s="4" t="str">
        <f>IF('Release Calculations'!L$786="NA","",'Release Calculations'!L$786)</f>
        <v/>
      </c>
      <c r="CH15" s="4" t="str">
        <f>IF('Release Calculations'!L$776="NA","",'Release Calculations'!L$776)</f>
        <v/>
      </c>
      <c r="CI15" s="4"/>
      <c r="CJ15" s="4"/>
      <c r="CK15" s="4"/>
      <c r="CN15" s="189" t="str">
        <f>IF(CA15="","",IF('Release Calculations'!L$668="Yes",IF(CA15=Conseq_VeryLow,Desc_VeryLow,IF(CA15=Conseq_Low,Desc_Low,IF(CA15=Conseq_Moderate,Desc_Moderate,IF(CA15=Conseq_High,Desc_High,IF(CA15=Conseq_VeryHigh,Desc_VeryHigh,IF(CA15=Conseq_ExtremeHigh,Desc_ExtremeHigh,Desc_GT_ExtremeHigh)))))),IF(CA15=Conseq_Low_Offsite,Desc_Low_Offsite,Desc_VeryLow_Offsite)))</f>
        <v/>
      </c>
      <c r="CO15" s="189" t="str">
        <f t="shared" si="37"/>
        <v/>
      </c>
      <c r="CP15" s="189" t="str">
        <f t="shared" si="38"/>
        <v/>
      </c>
      <c r="CQ15" s="189" t="str">
        <f t="shared" si="39"/>
        <v/>
      </c>
      <c r="CR15" s="67"/>
      <c r="CS15" s="189" t="str">
        <f t="shared" si="40"/>
        <v/>
      </c>
      <c r="CT15" s="189" t="str">
        <f t="shared" si="41"/>
        <v/>
      </c>
      <c r="CU15" s="189" t="str">
        <f t="shared" si="42"/>
        <v/>
      </c>
      <c r="CV15" s="67"/>
      <c r="CW15" s="67"/>
      <c r="CX15" s="189" t="str">
        <f>IF(CK15="","",IF(CK15=Conseq_VeryLow,Desc_VeryLow_Environ,IF(CK15=Conseq_Low,Desc_Low_Environ,IF(CK15=Conseq_Moderate,Desc_Moderate_Environ,IF(CK15=Conseq_High,Desc_High_Environ,IF(CK15=Conseq_VeryHigh,Desc_VeryHigh_Environ,Desc_ExtremeHigh_Environ))))))</f>
        <v/>
      </c>
      <c r="CY15" s="40"/>
      <c r="CZ15" s="189" t="str">
        <f>IF(CA15="","",IF('Release Calculations'!L$668="Yes"," at a "&amp;$AI$3&amp;" of "&amp;AI15&amp;" "&amp;AJ15&amp;" which exceeds Distance to the Fence Line of "&amp;Public_Input&amp;" "&amp;Public_Units))</f>
        <v/>
      </c>
      <c r="DA15" s="189" t="str">
        <f>IF(CB15="","",IF('Release Calculations'!$L$292="Yes"," with operating personnel in close proximity and a "&amp;$AM$3&amp;" of "&amp;AM15&amp;" "&amp;AN15," at a "&amp;$AM$3&amp;" of "&amp;AM15&amp;" "&amp;AN15)&amp;IF('Release Calculations'!$L$671&gt;Public," which exceeds Distance to the Fence Line of "&amp;Public_Input&amp;" "&amp;Public_Units&amp;".  Target Factor may be conservative",))</f>
        <v/>
      </c>
      <c r="DB15" s="226" t="str">
        <f>IF(CC15="","",IF('Release Calculations'!L690="Yes","and Potential for Asphyxiation","")&amp;IF('Release Calculations'!L$292="Yes"," with operations personnel in close proximity at an "&amp;$AZ$3&amp;" of "&amp;AZ15&amp;" ppm"," at an "&amp;$AZ$3&amp;" of "&amp;AZ15&amp;" ppm"))</f>
        <v/>
      </c>
      <c r="DC15" s="189" t="str">
        <f t="shared" si="27"/>
        <v/>
      </c>
      <c r="DD15" s="189"/>
      <c r="DE15" s="189" t="str">
        <f>IF(CF15="","",IF('Release Calculations'!$L$292="Yes"," with operating personnel in close proximity and a "&amp;$BF$3&amp;" of "&amp;BF15&amp;" "&amp;BG15," at a "&amp;$BF$3&amp;" of "&amp;BF15&amp;" "&amp;BG15))</f>
        <v/>
      </c>
      <c r="DF15" s="189" t="str">
        <f>IF(CG15="","",IF('Release Calculations'!L$709="Yes"," with "&amp;$BR$3&amp;" of "&amp;BR15&amp;" "&amp;BS15&amp;IF('Release Calculations'!L$718&lt;&gt;"Yes",""," including "&amp;$BT$3&amp;" of "&amp;BT15&amp;" psi.")&amp;" 1 psi Blast Overpresssure exceeds Distance to the Fence Line of "&amp;Public_Input&amp;" "&amp;Public_Units&amp;".  Consider adjustment for Off-Site Impacts",IF('Release Calculations'!L$718&lt;&gt;"Yes"," impacting on site personnel at a "&amp;$BR$3&amp;" of "&amp;BR15&amp;" "&amp;BS15," impacting on site personnel at a "&amp;$BR$3&amp;" of "&amp;BR15&amp;" "&amp;BS15&amp;" including "&amp;$BT$3&amp;" of "&amp;BT15&amp;" psi")))</f>
        <v/>
      </c>
      <c r="DG15" s="189" t="str">
        <f>IF(CH15="","",IF('Release Calculations'!L$695="Yes"," with "&amp;$BR$3&amp;" of "&amp;BR15&amp;" "&amp;BS15&amp;IF('Release Calculations'!L$700&lt;&gt;"Yes",""," including "&amp;$BT$3&amp;" of "&amp;BT15&amp;" psi.")&amp;"  1 psi Blast Overpresssure exceeds Distance to the Fence Line of "&amp;Public_Input&amp;" "&amp;Public_Units&amp;".  Consider adjustment for Off-Site Impacts",IF('Release Calculations'!L$700&lt;&gt;"Yes"," impacting enclosed area operating personnel, on site personnel at a "&amp;$BR$3&amp;" of "&amp;BR15&amp;" "&amp;BS15," impacting enclosed area operating personnel, on site personnel at a "&amp;$BR$3&amp;" of "&amp;BR15&amp;" "&amp;BS15&amp;" including "&amp;$BT$3&amp;" of "&amp;BT15&amp;" psi")))</f>
        <v/>
      </c>
      <c r="DH15" s="67"/>
      <c r="DI15" s="67"/>
      <c r="DJ15" s="189"/>
      <c r="DL15" s="39"/>
      <c r="DM15" s="239">
        <f>'Release Calculations'!L$749</f>
        <v>0</v>
      </c>
      <c r="DN15" s="239">
        <f>'Release Calculations'!L$754</f>
        <v>0</v>
      </c>
      <c r="DO15" s="39"/>
      <c r="DP15" s="39"/>
      <c r="DQ15" s="239">
        <f>'Release Calculations'!H$764</f>
        <v>0</v>
      </c>
      <c r="DR15" s="67"/>
      <c r="DS15" s="67"/>
      <c r="DT15" s="67"/>
      <c r="DU15" s="67"/>
      <c r="DV15" s="67"/>
      <c r="DW15" s="40"/>
      <c r="DX15" s="250"/>
      <c r="DY15" s="249" t="s">
        <v>2983</v>
      </c>
      <c r="DZ15" s="250" t="s">
        <v>292</v>
      </c>
      <c r="EA15" s="740"/>
      <c r="EB15" s="249" t="str">
        <f>"Probability of Exposure to Hot or Toxic Material"</f>
        <v>Probability of Exposure to Hot or Toxic Material</v>
      </c>
      <c r="EC15" s="249" t="s">
        <v>292</v>
      </c>
      <c r="ED15" s="67"/>
      <c r="EE15" s="67"/>
      <c r="EF15" s="67"/>
      <c r="EG15" s="67"/>
      <c r="EH15" s="67"/>
      <c r="EJ15" s="250"/>
      <c r="EK15" s="249" t="str">
        <f>IF(Attended_Op="Yes","Noted as Personnel Routinely in Immediate Area or Equipment Type involves Materials Handling - "&amp;IF('Release Calculations'!L586*3600&lt;30," with a very Short Exposure Duration (&lt; 30 sec)","Time at Risk May Apply"),"Probability of Personnel to be in Close Proximity to Chemical Release based on Toxic Impact Area to "&amp;AM15&amp;" "&amp;AN15&amp;IF('Release Calculations'!L748&lt;0.01," (with potential for higher POE credit upon further review)",""))</f>
        <v>Probability of Personnel to be in Close Proximity to Chemical Release based on Toxic Impact Area to 0 m (with potential for higher POE credit upon further review)</v>
      </c>
      <c r="EL15" s="250" t="str">
        <f>IF(Attended_Op="Yes","Noted as Personnel Routinely in Immediate Area or Equipment Type involves Materials Handling - Time at Risk May Apply","Probability of Personnel to be in Close Proximity to Chemical Release based on Ratio Enclosed Process Area Concentation of "&amp;AZ15&amp;" ppm to 10 ER-3 for "&amp;Chemical&amp;IF(Fract_Key_Chemical&lt;1," mixture "," ")&amp;IF('Release Calculations'!$L$753&lt;0.01,"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15" s="67"/>
      <c r="EN15" s="250"/>
      <c r="EO15"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"&amp;AZ15&amp;" to "&amp;LFL_Fract_FlashFIre&amp;" LFL","Flammable Impact Area to "&amp;BF15&amp;" "&amp;BG15)&amp;IF('Release Calculations'!$L$763&lt;0.01," (with potential for higher POE credit upon further review)",""))</f>
        <v>Probability of Personnel to be in Close Proximity to Chemical Release based on Flammable Impact Area to 0 m (with potential for higher POE credit upon further review)</v>
      </c>
      <c r="EP15" s="67"/>
      <c r="EQ15" s="67"/>
      <c r="ER15" s="67"/>
      <c r="ES15" s="67"/>
      <c r="ET15" s="67"/>
      <c r="EV15" s="67"/>
      <c r="EW15" s="957">
        <f>'Release Calculations'!L748</f>
        <v>6.0000000000000008E-7</v>
      </c>
      <c r="EX15" s="957">
        <f>'Release Calculations'!$L$753</f>
        <v>0</v>
      </c>
      <c r="EY15" s="67"/>
      <c r="EZ15" s="957"/>
      <c r="FA15" s="957">
        <f>'Release Calculations'!$L$763</f>
        <v>0</v>
      </c>
      <c r="FB15" s="67"/>
      <c r="FC15" s="67"/>
      <c r="FD15" s="67"/>
      <c r="FE15" s="67"/>
      <c r="FF15" s="67"/>
      <c r="FH15" s="67"/>
      <c r="FI15" s="67"/>
      <c r="FJ15" s="67"/>
      <c r="FK15" s="67"/>
      <c r="FL15" s="67"/>
      <c r="FM15" s="239" t="str">
        <f>IF(Location="Outdoors",'Release Calculations'!L$706,'Release Calculations'!L$692)</f>
        <v/>
      </c>
      <c r="FN15" s="239" t="str">
        <f>'Release Calculations'!L$707</f>
        <v/>
      </c>
      <c r="FO15" s="39" t="str">
        <f>IF(State&lt;&gt;"Solid",'Release Calculations'!L$692,Dust_SecondExpl_POE)</f>
        <v/>
      </c>
      <c r="FP15" s="67"/>
      <c r="FQ15" s="67"/>
      <c r="FR15" s="67"/>
      <c r="FS15" s="40"/>
      <c r="FT15" s="67"/>
      <c r="FU15" s="67"/>
      <c r="FV15" s="67"/>
      <c r="FW15" s="67"/>
      <c r="FX15" s="67"/>
      <c r="FY15" s="249" t="s">
        <v>1461</v>
      </c>
      <c r="FZ15" s="249" t="s">
        <v>1460</v>
      </c>
      <c r="GA15" s="250" t="s">
        <v>1461</v>
      </c>
      <c r="GB15" s="67"/>
      <c r="GC15" s="67"/>
      <c r="GD15" s="67"/>
      <c r="GF15" s="67"/>
      <c r="GG15" s="67"/>
      <c r="GH15" s="67"/>
      <c r="GI15" s="67"/>
      <c r="GJ15" s="67"/>
      <c r="GK15"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"&amp;BP15&amp;" "&amp;BQ15&amp;" Easily Ignited Material with Distance to 1/2 LFL of "&amp;BD15&amp;" "&amp;BE15,IF(Ease_of_Ignition_Feed="Low","Outdoor Release of Difficult to Ignite Material","Outdoor release of "&amp;BP15&amp;" "&amp;BQ15&amp;" Flammable Material with Distance to 1/2 LFL of "&amp;BD15&amp;" "&amp;BE15)),IF(Ease_of_Ignition_Feed="Elevated","Indoor Release of Easily Ignited Material",IF(Ease_of_Ignition_Feed="Low","Indoor Release of Difficult to Ignite Material","Indoor Release of Flammable Material")))))))</f>
        <v>No Flash Point Entered</v>
      </c>
      <c r="GL15" s="2581" t="str">
        <f t="shared" si="28"/>
        <v>No Flash Point Entered</v>
      </c>
      <c r="GM15" s="250" t="str">
        <f t="shared" si="29"/>
        <v>Indoor Release of Flammable Material-POX</v>
      </c>
      <c r="GN15" s="67"/>
      <c r="GO15" s="67"/>
      <c r="GP15" s="67"/>
      <c r="GR15" s="189" t="str">
        <f t="shared" si="35"/>
        <v/>
      </c>
      <c r="GU15" s="64" t="str">
        <f>Desc_VeryLow_Offsite</f>
        <v>Potential for Adverse Local Publicity</v>
      </c>
      <c r="GV15" s="193">
        <f>Conseq_VeryLow_Offsite</f>
        <v>2</v>
      </c>
    </row>
    <row r="16" spans="1:217" s="19" customFormat="1" ht="12.75" customHeight="1" x14ac:dyDescent="0.25">
      <c r="A16" s="35"/>
      <c r="B16" s="64" t="str">
        <f>'Scenario Identification'!BU3</f>
        <v>Small Hole Size Leak</v>
      </c>
      <c r="C16" s="1457" t="str">
        <f t="shared" si="10"/>
        <v/>
      </c>
      <c r="D16" s="65"/>
      <c r="E16" s="2483" t="str">
        <f>IF(MAX('Release Calculations'!R35,'Release Calculations'!R43,'Release Calculations'!R62,1-'Release Calculations'!R82,ABS(MIN('Release Calculations'!R35,'Release Calculations'!R43,'Release Calculations'!R62,1-'Release Calculations'!R82)))&gt;$E$4,"Yes","")</f>
        <v/>
      </c>
      <c r="F16" s="1418" t="s">
        <v>428</v>
      </c>
      <c r="G16" s="1434">
        <f t="shared" si="11"/>
        <v>0</v>
      </c>
      <c r="H16" s="1427" t="str">
        <f t="shared" si="31"/>
        <v>liter</v>
      </c>
      <c r="I16" s="1418">
        <f>ROUND('Release Calculations'!R7/$I$4,2)</f>
        <v>10</v>
      </c>
      <c r="J16" s="1421" t="str">
        <f t="shared" si="32"/>
        <v>mm</v>
      </c>
      <c r="K16" s="1427">
        <f t="shared" si="12"/>
        <v>0</v>
      </c>
      <c r="L16" s="1434">
        <f>sig('Release Calculations'!$R$16/$L$4,3,100,0)</f>
        <v>0</v>
      </c>
      <c r="M16" s="1435" t="str">
        <f t="shared" si="13"/>
        <v>kg</v>
      </c>
      <c r="N16" s="1432" t="str">
        <f t="shared" si="14"/>
        <v xml:space="preserve">Liquid:   ,  ,  ,  ,  </v>
      </c>
      <c r="O16" s="1434">
        <f>ROUND('Release Calculations'!$R$9,0)</f>
        <v>0</v>
      </c>
      <c r="P16" s="1434">
        <f>ROUND('Release Calculations'!$R$8/$P$4,2)</f>
        <v>0</v>
      </c>
      <c r="Q16" s="1446" t="str">
        <f t="shared" si="15"/>
        <v>bar</v>
      </c>
      <c r="R16" s="1434">
        <f>sig('Release Calculations'!$R$23/$AG$4,3,10,0)</f>
        <v>0</v>
      </c>
      <c r="S16" s="1447" t="str">
        <f t="shared" si="16"/>
        <v>kg/min</v>
      </c>
      <c r="T16" s="1435">
        <f>ROUND('Release Calculations'!$R$13/$T$4,0)</f>
        <v>0</v>
      </c>
      <c r="U16" s="1434">
        <f>ROUND(('Release Calculations'!$R$13+'Release Calculations'!$R$14)/$U$4,0)</f>
        <v>0</v>
      </c>
      <c r="V16" s="1434">
        <f>sig('Release Calculations'!$R$55/$V$4,3,100,0)</f>
        <v>0</v>
      </c>
      <c r="W16" s="1435" t="str">
        <f>IF(Report_A&lt;&gt;"",Report_A,IF(Dike_Area_Units="","sq m",Dike_Area_Units))</f>
        <v>sq m</v>
      </c>
      <c r="X16" s="1438">
        <f>ROUND('Release Calculations'!R$214,3)</f>
        <v>0</v>
      </c>
      <c r="Y16" s="1458" t="str">
        <f>IF('Release Calculations'!$R$225="","",sig('Release Calculations'!$R$225,3,1000,0))</f>
        <v/>
      </c>
      <c r="Z16" s="1458" t="str">
        <f>IF('Release Calculations'!$R$231="","",sig('Release Calculations'!$R$231,3,1000,0))</f>
        <v/>
      </c>
      <c r="AA16" s="1458" t="str">
        <f>IF('Release Calculations'!$R$255="","",sig('Release Calculations'!$R$255,3,1000,0))</f>
        <v/>
      </c>
      <c r="AB16" s="1458" t="str">
        <f>IF('Release Calculations'!$R$261="","",sig('Release Calculations'!$R$261,3,1000,0))</f>
        <v/>
      </c>
      <c r="AC16" s="1458" t="str">
        <f>IF('Release Calculations'!$R$267="","",sig('Release Calculations'!$R$267,3,1000,0))</f>
        <v/>
      </c>
      <c r="AD16" s="1196" t="str">
        <f>IF('Release Calculations'!$R$249="","",ROUND('Release Calculations'!$R$249,1))</f>
        <v/>
      </c>
      <c r="AE16" s="1434">
        <f>sig('Release Calculations'!$R$70/$AE$4,3,100,0)</f>
        <v>0</v>
      </c>
      <c r="AF16" s="1435" t="str">
        <f t="shared" si="17"/>
        <v>kg</v>
      </c>
      <c r="AG16" s="1326">
        <f>sig('Release Calculations'!R$89/$AG$4,3,10,3)</f>
        <v>3.0000000000000001E-3</v>
      </c>
      <c r="AH16" s="1435" t="str">
        <f t="shared" si="33"/>
        <v>kg/min</v>
      </c>
      <c r="AI16" s="1434">
        <f>sig('Release Calculations'!$R$282/$AI$4,3,100,0)</f>
        <v>0</v>
      </c>
      <c r="AJ16" s="1435" t="str">
        <f t="shared" si="18"/>
        <v>m</v>
      </c>
      <c r="AK16" s="1434">
        <f>sig('Release Calculations'!$R$285/$AK$4,3,100,0)</f>
        <v>0</v>
      </c>
      <c r="AL16" s="1435" t="str">
        <f t="shared" si="19"/>
        <v>m</v>
      </c>
      <c r="AM16" s="1434">
        <f>sig('Release Calculations'!$R$287/$AM$4,3,100,0)</f>
        <v>0</v>
      </c>
      <c r="AN16" s="1435" t="str">
        <f t="shared" si="20"/>
        <v>m</v>
      </c>
      <c r="AO16" s="1434">
        <f>sig('Release Calculations'!$R$288/$AO$4,3,100,0)</f>
        <v>0</v>
      </c>
      <c r="AP16" s="1452" t="str">
        <f t="shared" si="20"/>
        <v>m</v>
      </c>
      <c r="AQ16" s="1434">
        <f>sig('Release Calculations'!$R$290/$AQ$4,3,100,0)</f>
        <v>0</v>
      </c>
      <c r="AR16" s="1452" t="str">
        <f t="shared" si="20"/>
        <v>m</v>
      </c>
      <c r="AS16" s="1452" t="str">
        <f t="shared" si="21"/>
        <v/>
      </c>
      <c r="AT16" s="1452" t="str">
        <f t="shared" si="22"/>
        <v/>
      </c>
      <c r="AU16" s="1452" t="str">
        <f t="shared" si="23"/>
        <v/>
      </c>
      <c r="AV16" s="114">
        <f>sig('Release Calculations'!$R$296,3,1000,-1)</f>
        <v>0</v>
      </c>
      <c r="AW16" s="114">
        <f>sig('Release Calculations'!$R$297,3,1000,-1)</f>
        <v>0</v>
      </c>
      <c r="AX16" s="114" t="str">
        <f>sig('Release Calculations'!$R$298,3,1000,0)</f>
        <v/>
      </c>
      <c r="AY16" s="114" t="str">
        <f>sig('Release Calculations'!$R$299,3,1000,0)</f>
        <v/>
      </c>
      <c r="AZ16" s="114">
        <f>sig('Release Calculations'!$R$300,3,1000,-1)</f>
        <v>0</v>
      </c>
      <c r="BA16" s="114">
        <f>sig('Release Calculations'!$R$301,3,1000,-1)</f>
        <v>0</v>
      </c>
      <c r="BB16" s="114" t="str">
        <f>sig('Release Calculations'!$R$302,3,10,3)</f>
        <v/>
      </c>
      <c r="BC16" s="2576" t="str">
        <f>sig('Release Calculations'!$R$303,3,10,3)</f>
        <v/>
      </c>
      <c r="BD16" s="2569">
        <f>sig('Release Calculations'!$R$320/$BD$4,3,100,0)</f>
        <v>0</v>
      </c>
      <c r="BE16" s="1435" t="str">
        <f t="shared" si="34"/>
        <v>m</v>
      </c>
      <c r="BF16" s="2569">
        <f>sig('Release Calculations'!$R$319/$BF$4,3,100,0)</f>
        <v>0</v>
      </c>
      <c r="BG16" s="1435" t="str">
        <f t="shared" si="34"/>
        <v>m</v>
      </c>
      <c r="BH16" s="1419"/>
      <c r="BI16" s="1422"/>
      <c r="BJ16" s="1419"/>
      <c r="BK16" s="1422"/>
      <c r="BL16" s="2573"/>
      <c r="BM16" s="2573"/>
      <c r="BN16" s="1441"/>
      <c r="BO16" s="1746"/>
      <c r="BP16" s="1503">
        <f>sig('Release Calculations'!$R$90/$BP$4,3,10,1)</f>
        <v>0</v>
      </c>
      <c r="BQ16" s="1435" t="str">
        <f t="shared" si="24"/>
        <v>kg/min</v>
      </c>
      <c r="BR16" s="1434">
        <f>sig(IF(Location="Indoors",'Release Calculations'!R$311/$BR$4,'Release Calculations'!R$325/$BR$4),3,100,0)</f>
        <v>0</v>
      </c>
      <c r="BS16" s="1435" t="str">
        <f t="shared" si="25"/>
        <v>m</v>
      </c>
      <c r="BT16" s="1748">
        <f>ROUND(IF(Location="Indoors",'Release Calculations'!$R$314,'Release Calculations'!$R$330),1)</f>
        <v>0</v>
      </c>
      <c r="BU16" s="1748">
        <f>ROUND(IF(Location="Indoors",'Release Calculations'!$R$316,'Release Calculations'!$R$334),1)</f>
        <v>0</v>
      </c>
      <c r="BV16" s="1436"/>
      <c r="BW16" s="1442"/>
      <c r="BX16" s="1415"/>
      <c r="BY16" s="1415"/>
      <c r="BZ16" s="123"/>
      <c r="CA16" s="4" t="str">
        <f>IF('Release Calculations'!R$338="NA","",'Release Calculations'!R$338)</f>
        <v/>
      </c>
      <c r="CB16" s="4" t="str">
        <f>IF('Release Calculations'!R$368="NA","",'Release Calculations'!R$368)</f>
        <v/>
      </c>
      <c r="CC16" s="4" t="str">
        <f>IF('Release Calculations'!R$373="NA","",'Release Calculations'!R$373)</f>
        <v/>
      </c>
      <c r="CD16" s="735" t="str">
        <f>IF('Release Calculations'!R$378="NA","",'Release Calculations'!R$378)</f>
        <v/>
      </c>
      <c r="CE16" s="4" t="str">
        <f>IF('Release Calculations'!R$384="NA","",'Release Calculations'!R$384)</f>
        <v/>
      </c>
      <c r="CF16" s="4" t="str">
        <f>IF('Release Calculations'!R$389="NA","",'Release Calculations'!R$389)</f>
        <v/>
      </c>
      <c r="CG16" s="4" t="str">
        <f>IF('Release Calculations'!R$409="NA","",'Release Calculations'!R$409)</f>
        <v/>
      </c>
      <c r="CH16" s="4" t="str">
        <f>IF('Release Calculations'!R$399="NA","",'Release Calculations'!R$399)</f>
        <v/>
      </c>
      <c r="CI16" s="4"/>
      <c r="CJ16" s="4"/>
      <c r="CK16" s="4" t="str">
        <f>IF('Release Calculations'!BD423="NA","",'Release Calculations'!BD423)</f>
        <v/>
      </c>
      <c r="CN16" s="189" t="str">
        <f>IF(CA16="","",IF('Release Calculations'!R$284="Yes",IF(CA16=Conseq_VeryLow,Desc_VeryLow,IF(CA16=Conseq_Low,Desc_Low,IF(CA16=Conseq_Moderate,Desc_Moderate,IF(CA16=Conseq_High,Desc_High,IF(CA16=Conseq_VeryHigh,Desc_VeryHigh,IF(CA16=Conseq_ExtremeHigh,Desc_ExtremeHigh,Desc_GT_ExtremeHigh)))))),IF(CA16=Conseq_Low_Offsite,Desc_Low_Offsite,Desc_VeryLow_Offsite)))</f>
        <v/>
      </c>
      <c r="CO16" s="189" t="str">
        <f t="shared" si="37"/>
        <v/>
      </c>
      <c r="CP16" s="189" t="str">
        <f t="shared" si="38"/>
        <v/>
      </c>
      <c r="CQ16" s="189" t="str">
        <f t="shared" si="39"/>
        <v/>
      </c>
      <c r="CR16" s="189" t="str">
        <f>IF(CE16="","",IF(CE16=Conseq_VeryLow,Desc_VeryLow,IF(CE16=Conseq_Low,Desc_Low,IF(CE16=Conseq_Moderate,Desc_Moderate,IF(CE16=Conseq_High,Desc_High,IF(CE16=Conseq_VeryHigh,Desc_VeryHigh,IF(CE16=Conseq_ExtremeHigh,Desc_ExtremeHigh,Desc_GT_ExtremeHigh)))))))</f>
        <v/>
      </c>
      <c r="CS16" s="189" t="str">
        <f t="shared" si="40"/>
        <v/>
      </c>
      <c r="CT16" s="189" t="str">
        <f t="shared" si="41"/>
        <v/>
      </c>
      <c r="CU16" s="189" t="str">
        <f t="shared" si="42"/>
        <v/>
      </c>
      <c r="CV16" s="67"/>
      <c r="CW16" s="67"/>
      <c r="CX16" s="189" t="str">
        <f>IF(CK16="","",IF(CK16=Conseq_VeryLow,Desc_VeryLow_Environ,IF(CK16=Conseq_Low,Desc_Low_Environ,IF(CK16=Conseq_Moderate,Desc_Moderate_Environ,IF(CK16=Conseq_High,Desc_High_Environ,IF(CK16=Conseq_VeryHigh,Desc_VeryHigh_Environ,Desc_ExtremeHigh_Environ))))))</f>
        <v/>
      </c>
      <c r="CY16" s="40" t="s">
        <v>822</v>
      </c>
      <c r="CZ16" s="189" t="str">
        <f>IF(CA16="","",IF('Release Calculations'!R$284="Yes"," at a "&amp;$AI$3&amp;" of "&amp;AI16&amp;" "&amp;AJ16&amp;" which exceeds Distance to the Fence Line of "&amp;Public_Input&amp;" "&amp;Public_Units))</f>
        <v/>
      </c>
      <c r="DA16" s="189" t="str">
        <f>IF(CB16="","",IF('Release Calculations'!$R$292="Yes"," with operating personnel in close proximity and a "&amp;$AM$3&amp;" of "&amp;AM16&amp;" "&amp;AN16," at a "&amp;$AM$3&amp;" of "&amp;AM16&amp;" "&amp;AN16)&amp;IF('Release Calculations'!$R$287&gt;Public," which exceeds Distance to the Fence Line of "&amp;Public_Input&amp;" "&amp;Public_Units&amp;".  Target Factor may be conservative",))</f>
        <v/>
      </c>
      <c r="DB16" s="226" t="str">
        <f>IF(CC16="","",IF('Release Calculations'!R301="Yes","and Potential for Asphyxiation","")&amp;" at an "&amp;$AZ$3&amp;" of "&amp;AZ16&amp;" ppm")</f>
        <v/>
      </c>
      <c r="DC16" s="189" t="str">
        <f t="shared" si="27"/>
        <v/>
      </c>
      <c r="DD16" s="189" t="str">
        <f>IF(CE16="",""," of a "&amp;IF(Ease_of_Ignition_Feed="High","pyrophoric ","high/low temperature ")&amp;IF(Dermal_Tox_Feed&lt;&gt;"","or "&amp;Dermal_Tox_Feed,"")&amp;" chemical"&amp;IF('Release Calculations'!$R$292="Yes"," with operating personnel in close proximity",""))</f>
        <v/>
      </c>
      <c r="DE16" s="189" t="str">
        <f>IF(CF16="",""," at a "&amp;$BF$3&amp;" of "&amp;BF16&amp;" "&amp;BG16)</f>
        <v/>
      </c>
      <c r="DF16" s="189" t="str">
        <f>IF(CG16="","",IF('Release Calculations'!R$326="Yes"," with "&amp;$BR$3&amp;" of "&amp;BR16&amp;" "&amp;BS16&amp;IF('Release Calculations'!R$335&lt;&gt;"Yes",""," including "&amp;$BT$3&amp;" of "&amp;BT16&amp;" psi.")&amp;" 1 psi Blast Overpresssure exceeds Distance to the Fence Line of "&amp;Public_Input&amp;" "&amp;Public_Units&amp;".  Consider adjustment for Off-Site Impacts",IF('Release Calculations'!R$335&lt;&gt;"Yes"," impacting on site personnel at a "&amp;$BR$3&amp;" of "&amp;BR16&amp;" "&amp;BS16," impacting on site personnel at a "&amp;$BR$3&amp;" of "&amp;BR16&amp;" "&amp;BS16&amp;" including "&amp;$BT$3&amp;" of "&amp;BT16&amp;" psi")))</f>
        <v/>
      </c>
      <c r="DG16" s="189" t="str">
        <f>IF(CH16="","",IF('Release Calculations'!R$312="Yes"," with "&amp;$BR$3&amp;" of "&amp;BR16&amp;" "&amp;BS16&amp;IF('Release Calculations'!R$317&lt;&gt;"Yes",""," including "&amp;$BT$3&amp;" of "&amp;BT16&amp;" psi.")&amp;"  1 psi Blast Overpresssure exceeds Distance to the Fence Line of "&amp;Public_Input&amp;" "&amp;Public_Units&amp;".  Consider adjustment for Off-Site Impacts",IF('Release Calculations'!R$317&lt;&gt;"Yes"," impacting enclosed area operating personnel, on site personnel at a "&amp;$BR$3&amp;" of "&amp;BR16&amp;" "&amp;BS16," impacting enclosed area operating personnel, on site personnel at a "&amp;$BR$3&amp;" of "&amp;BR16&amp;" "&amp;BS16&amp;" including "&amp;$BT$3&amp;" of "&amp;BT16&amp;" psi")))</f>
        <v/>
      </c>
      <c r="DH16" s="67"/>
      <c r="DI16" s="67"/>
      <c r="DJ16" s="189" t="str">
        <f>IF('Release Calculations'!AZ422&gt;0,"Groundwater or Remediation Issue",IF('Release Calculations'!BB422&gt;0,"High Aqueous Toxicity",""))</f>
        <v/>
      </c>
      <c r="DL16" s="39"/>
      <c r="DM16" s="239">
        <f>'Release Calculations'!R366</f>
        <v>0</v>
      </c>
      <c r="DN16" s="239">
        <f>'Release Calculations'!R$371</f>
        <v>0</v>
      </c>
      <c r="DO16" s="39"/>
      <c r="DP16" s="239">
        <f>'Release Calculations'!R382</f>
        <v>0</v>
      </c>
      <c r="DQ16" s="239">
        <f>'Release Calculations'!R387</f>
        <v>0</v>
      </c>
      <c r="DR16" s="67"/>
      <c r="DS16" s="67"/>
      <c r="DT16" s="67"/>
      <c r="DU16" s="67"/>
      <c r="DV16" s="67"/>
      <c r="DW16" s="40"/>
      <c r="DX16" s="250"/>
      <c r="DY16" s="249" t="s">
        <v>2983</v>
      </c>
      <c r="DZ16" s="250" t="s">
        <v>292</v>
      </c>
      <c r="EA16" s="740"/>
      <c r="EB16" s="249" t="str">
        <f>"Probability of Exposure to Hot or Toxic Material"</f>
        <v>Probability of Exposure to Hot or Toxic Material</v>
      </c>
      <c r="EC16" s="249" t="s">
        <v>292</v>
      </c>
      <c r="ED16" s="67"/>
      <c r="EE16" s="67"/>
      <c r="EF16" s="67"/>
      <c r="EG16" s="67"/>
      <c r="EH16" s="67"/>
      <c r="EJ16" s="250"/>
      <c r="EK16" s="249" t="str">
        <f>IF(Attended_Op="Yes","Noted as Personnel Routinely in Immediate Area or Equipment Type involves Materials Handling - "&amp;IF('Release Calculations'!R210*3600&lt;30," with a very Short Exposure Duration (&lt; 30 sec)","Time at Risk May Apply"),"Probability of Personnel to be in Close Proximity to Chemical Release based on Toxic Impact Area to "&amp;AM16&amp;" "&amp;AN16&amp;IF('Release Calculations'!R365&lt;0.01," (with potential for higher POE credit upon further review)",""))</f>
        <v>Probability of Personnel to be in Close Proximity to Chemical Release based on Toxic Impact Area to 0 m (with potential for higher POE credit upon further review)</v>
      </c>
      <c r="EL16" s="250" t="str">
        <f>IF(Attended_Op="Yes","Noted as Personnel Routinely in Immediate Area or Equipment Type involves Materials Handling - Time at Risk May Apply","Probability of Personnel to be in Close Proximity to Chemical Release based on Ratio Enclosed Process Area Concentation of "&amp;AZ16&amp;" ppm to 10 ER-3 for "&amp;Chemical&amp;IF(Fract_Key_Chemical&lt;1," mixture "," ")&amp;IF('Release Calculations'!$R$370&lt;0.01,"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16" s="67"/>
      <c r="EN16"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Calculations'!$R$381&lt;0.01," (with potential for higher POE credit upon further review)",""))</f>
        <v>Probability of Personnel to be in Close Proximity to Chemical Release based on Spray Distance of 1 m (with potential for higher POE credit upon further review)</v>
      </c>
      <c r="EO16"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"&amp;AZ16&amp;" to "&amp;LFL_Fract_FlashFIre&amp;" LFL","Flammable Impact Area to "&amp;BF16&amp;" "&amp;BG16)&amp;IF('Release Calculations'!$R$386&lt;0.01," (with potential for higher POE credit upon further review)",""))</f>
        <v>Probability of Personnel to be in Close Proximity to Chemical Release based on Flammable Impact Area to 0 m (with potential for higher POE credit upon further review)</v>
      </c>
      <c r="EP16" s="67"/>
      <c r="EQ16" s="67"/>
      <c r="ER16" s="67"/>
      <c r="ES16" s="67"/>
      <c r="ET16" s="67"/>
      <c r="EV16" s="67"/>
      <c r="EW16" s="957">
        <f>'Release Calculations'!R365</f>
        <v>6.0000000000000008E-7</v>
      </c>
      <c r="EX16" s="957">
        <f>'Release Calculations'!$R$370</f>
        <v>0</v>
      </c>
      <c r="EY16" s="67"/>
      <c r="EZ16" s="957">
        <f>'Release Calculations'!$R$381</f>
        <v>0</v>
      </c>
      <c r="FA16" s="957">
        <f>'Release Calculations'!$R$386</f>
        <v>0</v>
      </c>
      <c r="FB16" s="67"/>
      <c r="FC16" s="67"/>
      <c r="FD16" s="67"/>
      <c r="FE16" s="67"/>
      <c r="FF16" s="67"/>
      <c r="FH16" s="67"/>
      <c r="FI16" s="67"/>
      <c r="FJ16" s="67"/>
      <c r="FK16" s="67"/>
      <c r="FL16" s="67"/>
      <c r="FM16" s="239" t="str">
        <f>IF(Location="Outdoors",'Release Calculations'!R$323,'Release Calculations'!R$309)</f>
        <v/>
      </c>
      <c r="FN16" s="239" t="str">
        <f>'Release Calculations'!R$324</f>
        <v/>
      </c>
      <c r="FO16" s="39" t="str">
        <f>IF(State&lt;&gt;"Solid",'Release Calculations'!R$309,Dust_SecondExpl_POE)</f>
        <v/>
      </c>
      <c r="FP16" s="67"/>
      <c r="FQ16" s="67"/>
      <c r="FR16" s="67"/>
      <c r="FS16" s="40"/>
      <c r="FT16" s="67"/>
      <c r="FU16" s="67"/>
      <c r="FV16" s="67"/>
      <c r="FW16" s="67"/>
      <c r="FX16" s="67"/>
      <c r="FY16" s="249" t="s">
        <v>1461</v>
      </c>
      <c r="FZ16" s="249" t="s">
        <v>1460</v>
      </c>
      <c r="GA16" s="250" t="s">
        <v>1461</v>
      </c>
      <c r="GB16" s="67"/>
      <c r="GC16" s="67"/>
      <c r="GD16" s="67"/>
      <c r="GF16" s="67"/>
      <c r="GG16" s="67"/>
      <c r="GH16" s="67"/>
      <c r="GI16" s="67"/>
      <c r="GJ16" s="67"/>
      <c r="GK16"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"&amp;BP16&amp;" "&amp;BQ16&amp;" Easily Ignited Material with Distance to LFL of "&amp;BD16&amp;" "&amp;BE16,IF(OR(Ease_of_Ignition_Feed="Low",AND(Flash_Pt_Feed&gt;MAX(Ambient_Temp,T),Aerosol_Potential="Yes")),"Outdoor Release of Difficult to Ignite Material or Combustible Aerosol","Outdoor release of "&amp;BP16&amp;" "&amp;BQ16&amp;" Flammable Material with Distance to LFL of "&amp;BD16&amp;" "&amp;BE16)),IF(Ease_of_Ignition_Feed="Elevated","Indoor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16" s="2581" t="str">
        <f t="shared" si="28"/>
        <v>No Flash Point Entered</v>
      </c>
      <c r="GM16" s="250" t="str">
        <f t="shared" si="29"/>
        <v>Indoor Release of Flammable Material-POX</v>
      </c>
      <c r="GN16" s="67"/>
      <c r="GO16" s="67"/>
      <c r="GP16" s="67"/>
      <c r="GR16" s="189" t="str">
        <f>IF(CA16="","",CA$3&amp;"; ")&amp;IF(CB16="","",CB$3&amp;"; ")&amp;IF(CC16="","",CC$3&amp;"; ")&amp;IF(CD16="","",CD$3&amp;"; ")&amp;IF(CE16="","",CE$3&amp;"; ")&amp;IF(CF16="","",CF$3&amp;"; ")&amp;IF(CG16="","",CG$3&amp;"; ")&amp;IF(CH16="","",CH$3&amp;"; ")&amp;IF(CI16="","",CI$3&amp;"; ")&amp;IF(CJ16="","",CJ$3&amp;"; ")&amp;IF(CK16="","",CK$3)</f>
        <v/>
      </c>
      <c r="GU16" s="64" t="str">
        <f>Desc_Low_Offsite</f>
        <v>Public Required to Shelter Indoors</v>
      </c>
      <c r="GV16" s="193">
        <f>Conseq_Low_Offsite</f>
        <v>3</v>
      </c>
      <c r="GW16" s="227"/>
    </row>
    <row r="17" spans="1:217" s="19" customFormat="1" ht="12.75" customHeight="1" x14ac:dyDescent="0.25">
      <c r="A17" s="35"/>
      <c r="B17" s="64" t="str">
        <f>'Scenario Identification'!BV3</f>
        <v>Small Hole Size Leak above Liquid Level</v>
      </c>
      <c r="C17" s="1457" t="str">
        <f t="shared" si="10"/>
        <v/>
      </c>
      <c r="D17" s="65"/>
      <c r="E17" s="2483" t="str">
        <f>IF(MAX('Release Calculations'!R426,1-'Release Calculations'!R455,ABS(MIN('Release Calculations'!R426,1-'Release Calculations'!R455)))&gt;$E$4,"Yes","")</f>
        <v/>
      </c>
      <c r="F17" s="1418" t="s">
        <v>428</v>
      </c>
      <c r="G17" s="1434">
        <f t="shared" si="11"/>
        <v>0</v>
      </c>
      <c r="H17" s="1427" t="str">
        <f t="shared" si="31"/>
        <v>liter</v>
      </c>
      <c r="I17" s="1418">
        <f>ROUND('Release Calculations'!R7/$I$4,2)</f>
        <v>10</v>
      </c>
      <c r="J17" s="1421" t="str">
        <f t="shared" si="32"/>
        <v>mm</v>
      </c>
      <c r="K17" s="1427">
        <f t="shared" si="12"/>
        <v>0</v>
      </c>
      <c r="L17" s="1434">
        <f>sig('Release Calculations'!$R$437/$L$4,3,100,0)</f>
        <v>0</v>
      </c>
      <c r="M17" s="1435" t="str">
        <f t="shared" si="13"/>
        <v>kg</v>
      </c>
      <c r="N17" s="1432" t="str">
        <f t="shared" si="14"/>
        <v xml:space="preserve">Liquid:   ,  ,  ,  ,  </v>
      </c>
      <c r="O17" s="1434">
        <f>ROUND('Release Calculations'!$R$416,0)</f>
        <v>0</v>
      </c>
      <c r="P17" s="1434">
        <f>ROUND('Release Calculations'!$R$415/$P$4,2)</f>
        <v>0</v>
      </c>
      <c r="Q17" s="1446" t="str">
        <f t="shared" si="15"/>
        <v>bar</v>
      </c>
      <c r="R17" s="1434">
        <f>sig('Release Calculations'!$R$418/$AG$4,3,10,0)</f>
        <v>0</v>
      </c>
      <c r="S17" s="1447" t="str">
        <f t="shared" si="16"/>
        <v>kg/min</v>
      </c>
      <c r="T17" s="1435">
        <f>ROUND('Release Calculations'!$R$434/$T$4,0)</f>
        <v>0</v>
      </c>
      <c r="U17" s="1434">
        <f>ROUND(('Release Calculations'!$R$434+'Release Calculations'!$R$435)/$U$4,0)</f>
        <v>60</v>
      </c>
      <c r="V17" s="1434"/>
      <c r="W17" s="1435"/>
      <c r="X17" s="1438">
        <f>ROUND('Release Calculations'!R$589,3)</f>
        <v>0</v>
      </c>
      <c r="Y17" s="1458" t="str">
        <f>IF('Release Calculations'!$R$602="","",sig('Release Calculations'!$R$602,3,1000,0))</f>
        <v/>
      </c>
      <c r="Z17" s="1458" t="str">
        <f>IF('Release Calculations'!$R$609="","",sig('Release Calculations'!$R$609,3,1000,0))</f>
        <v/>
      </c>
      <c r="AA17" s="1458" t="str">
        <f>IF('Release Calculations'!$R$637="","",sig('Release Calculations'!$R$637,3,1000,0))</f>
        <v/>
      </c>
      <c r="AB17" s="1458" t="str">
        <f>IF('Release Calculations'!$R$644="","",sig('Release Calculations'!$R$644,3,1000,0))</f>
        <v/>
      </c>
      <c r="AC17" s="1458" t="str">
        <f>IF('Release Calculations'!$R$651="","",sig('Release Calculations'!$R$651,3,1000,0))</f>
        <v/>
      </c>
      <c r="AD17" s="1196" t="str">
        <f>IF('Release Calculations'!$R$630="","",ROUND('Release Calculations'!$R$630,1))</f>
        <v/>
      </c>
      <c r="AE17" s="1434">
        <f>sig('Release Calculations'!$R$437/$AE$4,3,100,0)</f>
        <v>0</v>
      </c>
      <c r="AF17" s="1435" t="str">
        <f t="shared" si="17"/>
        <v>kg</v>
      </c>
      <c r="AG17" s="1326">
        <f>sig('Release Calculations'!R$464/$AG$4,3,10,3)</f>
        <v>4.7E-2</v>
      </c>
      <c r="AH17" s="1435" t="str">
        <f t="shared" si="33"/>
        <v>kg/min</v>
      </c>
      <c r="AI17" s="1434">
        <f>sig('Release Calculations'!$R$666/$AI$4,3,100,0)</f>
        <v>0</v>
      </c>
      <c r="AJ17" s="1435" t="str">
        <f t="shared" si="18"/>
        <v>m</v>
      </c>
      <c r="AK17" s="1434">
        <f>sig('Release Calculations'!$R$669/$AK$4,3,100,0)</f>
        <v>0</v>
      </c>
      <c r="AL17" s="1435" t="str">
        <f t="shared" si="19"/>
        <v>m</v>
      </c>
      <c r="AM17" s="1434">
        <f>sig('Release Calculations'!$R$671/$AM$4,3,100,0)</f>
        <v>0</v>
      </c>
      <c r="AN17" s="1435" t="str">
        <f t="shared" si="20"/>
        <v>m</v>
      </c>
      <c r="AO17" s="1434">
        <f>sig('Release Calculations'!$R$672/$AO$4,3,100,0)</f>
        <v>0</v>
      </c>
      <c r="AP17" s="1452" t="str">
        <f t="shared" si="20"/>
        <v>m</v>
      </c>
      <c r="AQ17" s="1434">
        <f>sig('Release Calculations'!$R$674/$AQ$4,3,100,0)</f>
        <v>0</v>
      </c>
      <c r="AR17" s="1452" t="str">
        <f t="shared" si="20"/>
        <v>m</v>
      </c>
      <c r="AS17" s="1452" t="str">
        <f t="shared" si="21"/>
        <v/>
      </c>
      <c r="AT17" s="1452" t="str">
        <f t="shared" si="22"/>
        <v/>
      </c>
      <c r="AU17" s="1452" t="str">
        <f t="shared" si="23"/>
        <v/>
      </c>
      <c r="AV17" s="114">
        <f>sig('Release Calculations'!$R$679,3,1000,-1)</f>
        <v>0</v>
      </c>
      <c r="AW17" s="114">
        <f>sig('Release Calculations'!$R$680,3,1000,-1)</f>
        <v>0</v>
      </c>
      <c r="AX17" s="114" t="str">
        <f>sig('Release Calculations'!$R$681,3,1000,0)</f>
        <v/>
      </c>
      <c r="AY17" s="114" t="str">
        <f>sig('Release Calculations'!$R$682,3,1000,0)</f>
        <v/>
      </c>
      <c r="AZ17" s="114">
        <f>sig('Release Calculations'!$R$683,3,1000,-1)</f>
        <v>0</v>
      </c>
      <c r="BA17" s="114">
        <f>sig('Release Calculations'!$R$684,3,1000,-1)</f>
        <v>0</v>
      </c>
      <c r="BB17" s="114" t="str">
        <f>sig('Release Calculations'!$R$685,3,10,3)</f>
        <v/>
      </c>
      <c r="BC17" s="2576" t="str">
        <f>sig('Release Calculations'!$R$686,3,10,3)</f>
        <v/>
      </c>
      <c r="BD17" s="2569">
        <f>sig('Release Calculations'!$R$703/$BD$4,3,100,0)</f>
        <v>0</v>
      </c>
      <c r="BE17" s="1435" t="str">
        <f t="shared" si="34"/>
        <v>m</v>
      </c>
      <c r="BF17" s="2569">
        <f>sig('Release Calculations'!$R$702/$BF$4,3,100,0)</f>
        <v>0</v>
      </c>
      <c r="BG17" s="1435" t="str">
        <f t="shared" si="34"/>
        <v>m</v>
      </c>
      <c r="BH17" s="1419"/>
      <c r="BI17" s="1422"/>
      <c r="BJ17" s="1419"/>
      <c r="BK17" s="1422"/>
      <c r="BL17" s="2573"/>
      <c r="BM17" s="2573"/>
      <c r="BN17" s="1441"/>
      <c r="BO17" s="1746"/>
      <c r="BP17" s="1503">
        <f>sig('Release Calculations'!$R$465/$BP$4,3,10,1)</f>
        <v>0</v>
      </c>
      <c r="BQ17" s="1435" t="str">
        <f t="shared" si="24"/>
        <v>kg/min</v>
      </c>
      <c r="BR17" s="1434">
        <f>sig(IF(Location="Indoors",'Release Calculations'!R$694/$BR$4,'Release Calculations'!R$708/$BR$4),3,100,0)</f>
        <v>0</v>
      </c>
      <c r="BS17" s="1435" t="str">
        <f t="shared" si="25"/>
        <v>m</v>
      </c>
      <c r="BT17" s="1748">
        <f>ROUND(IF(Location="Indoors",'Release Calculations'!$R$697,'Release Calculations'!$R$713),1)</f>
        <v>0</v>
      </c>
      <c r="BU17" s="1748">
        <f>ROUND(IF(Location="Indoors",'Release Calculations'!$R$699,'Release Calculations'!$R$717),1)</f>
        <v>0</v>
      </c>
      <c r="BV17" s="1436"/>
      <c r="BW17" s="1442"/>
      <c r="BX17" s="1415"/>
      <c r="BY17" s="1415"/>
      <c r="BZ17" s="123"/>
      <c r="CA17" s="4" t="str">
        <f>IF('Release Calculations'!R$721="NA","",'Release Calculations'!R$721)</f>
        <v/>
      </c>
      <c r="CB17" s="4" t="str">
        <f>IF('Release Calculations'!R$751="NA","",'Release Calculations'!R$751)</f>
        <v/>
      </c>
      <c r="CC17" s="4" t="str">
        <f>IF('Release Calculations'!R$756="NA","",'Release Calculations'!R$756)</f>
        <v/>
      </c>
      <c r="CD17" s="735" t="str">
        <f>IF('Release Calculations'!R$761="NA","",'Release Calculations'!R$761)</f>
        <v/>
      </c>
      <c r="CE17" s="4"/>
      <c r="CF17" s="4" t="str">
        <f>IF('Release Calculations'!R$766="NA","",'Release Calculations'!R$766)</f>
        <v/>
      </c>
      <c r="CG17" s="4" t="str">
        <f>IF('Release Calculations'!R$786="NA","",'Release Calculations'!R$786)</f>
        <v/>
      </c>
      <c r="CH17" s="4" t="str">
        <f>IF('Release Calculations'!R$776="NA","",'Release Calculations'!R$776)</f>
        <v/>
      </c>
      <c r="CI17" s="4"/>
      <c r="CJ17" s="4"/>
      <c r="CK17" s="4"/>
      <c r="CN17" s="189" t="str">
        <f>IF(CA17="","",IF('Release Calculations'!R$668="Yes",IF(CA17=Conseq_VeryLow,Desc_VeryLow,IF(CA17=Conseq_Low,Desc_Low,IF(CA17=Conseq_Moderate,Desc_Moderate,IF(CA17=Conseq_High,Desc_High,IF(CA17=Conseq_VeryHigh,Desc_VeryHigh,IF(CA17=Conseq_ExtremeHigh,Desc_ExtremeHigh,Desc_GT_ExtremeHigh)))))),IF(CA17=Conseq_Low_Offsite,Desc_Low_Offsite,Desc_VeryLow_Offsite)))</f>
        <v/>
      </c>
      <c r="CO17" s="189" t="str">
        <f t="shared" si="37"/>
        <v/>
      </c>
      <c r="CP17" s="189" t="str">
        <f t="shared" si="38"/>
        <v/>
      </c>
      <c r="CQ17" s="189" t="str">
        <f t="shared" si="39"/>
        <v/>
      </c>
      <c r="CR17" s="67"/>
      <c r="CS17" s="189" t="str">
        <f t="shared" si="40"/>
        <v/>
      </c>
      <c r="CT17" s="189" t="str">
        <f t="shared" si="41"/>
        <v/>
      </c>
      <c r="CU17" s="189" t="str">
        <f t="shared" si="42"/>
        <v/>
      </c>
      <c r="CV17" s="67"/>
      <c r="CW17" s="67"/>
      <c r="CX17" s="189" t="str">
        <f>IF(CK17="","",IF(CK17=Conseq_VeryLow,Desc_VeryLow_Environ,IF(CK17=Conseq_Low,Desc_Low_Environ,IF(CK17=Conseq_Moderate,Desc_Moderate_Environ,IF(CK17=Conseq_High,Desc_High_Environ,IF(CK17=Conseq_VeryHigh,Desc_VeryHigh_Environ,Desc_ExtremeHigh_Environ))))))</f>
        <v/>
      </c>
      <c r="CY17" s="40" t="s">
        <v>822</v>
      </c>
      <c r="CZ17" s="189" t="str">
        <f>IF(CA17="","",IF('Release Calculations'!R$668="Yes"," at a "&amp;$AI$3&amp;" of "&amp;AI17&amp;" "&amp;AJ17&amp;" which exceeds Distance to the Fence Line of "&amp;Public_Input&amp;" "&amp;Public_Units))</f>
        <v/>
      </c>
      <c r="DA17" s="189" t="str">
        <f>IF(CB17="","",IF('Release Calculations'!$R$292="Yes"," with operating personnel in close proximity and a "&amp;$AM$3&amp;" of "&amp;AM17&amp;" "&amp;AN17," at a "&amp;$AM$3&amp;" of "&amp;AM17&amp;" "&amp;AN17)&amp;IF('Release Calculations'!$R$671&gt;Public," which exceeds Distance to the Fence Line of "&amp;Public_Input&amp;" "&amp;Public_Units&amp;".  Target Factor may be conservative",))</f>
        <v/>
      </c>
      <c r="DB17" s="226" t="str">
        <f>IF(CC17="","",IF('Release Calculations'!R688="Yes","and Potential for Asphyxiation","")&amp;" at an "&amp;$AZ$3&amp;" of "&amp;AZ17&amp;" ppm")</f>
        <v/>
      </c>
      <c r="DC17" s="189" t="str">
        <f t="shared" si="27"/>
        <v/>
      </c>
      <c r="DD17" s="189"/>
      <c r="DE17" s="189" t="str">
        <f>IF(CF17="",""," at a "&amp;$BF$3&amp;" of "&amp;BF17&amp;" "&amp;BG17)</f>
        <v/>
      </c>
      <c r="DF17" s="189" t="str">
        <f>IF(CG17="","",IF('Release Calculations'!R$709="Yes"," with "&amp;$BR$3&amp;" of "&amp;BR17&amp;" "&amp;BS17&amp;IF('Release Calculations'!R$718&lt;&gt;"Yes",""," including "&amp;$BT$3&amp;" of "&amp;BT17&amp;" psi.")&amp;" 1 psi Blast Overpresssure exceeds Distance to the Fence Line of "&amp;Public_Input&amp;" "&amp;Public_Units&amp;".  Consider adjustment for Off-Site Impacts",IF('Release Calculations'!R$718&lt;&gt;"Yes"," impacting on site personnel at a "&amp;$BR$3&amp;" of "&amp;BR17&amp;" "&amp;BS17," impacting on site personnel at a "&amp;$BR$3&amp;" of "&amp;BR17&amp;" "&amp;BS17&amp;" including "&amp;$BT$3&amp;" of "&amp;BT17&amp;" psi")))</f>
        <v/>
      </c>
      <c r="DG17" s="189" t="str">
        <f>IF(CH17="","",IF('Release Calculations'!R$695="Yes"," with "&amp;$BR$3&amp;" of "&amp;BR17&amp;" "&amp;BS17&amp;IF('Release Calculations'!R$700&lt;&gt;"Yes",""," including "&amp;$BT$3&amp;" of "&amp;BT17&amp;" psi.")&amp;"  1 psi Blast Overpresssure exceeds Distance to the Fence Line of "&amp;Public_Input&amp;" "&amp;Public_Units&amp;".  Consider adjustment for Off-Site Impacts",IF('Release Calculations'!R$700&lt;&gt;"Yes"," impacting enclosed area operating personnel, on site personnel at a "&amp;$BR$3&amp;" of "&amp;BR17&amp;" "&amp;BS17," impacting enclosed area operating personnel, on site personnel at a "&amp;$BR$3&amp;" of "&amp;BR17&amp;" "&amp;BS17&amp;" including "&amp;$BT$3&amp;" of "&amp;BT17&amp;" psi")))</f>
        <v/>
      </c>
      <c r="DH17" s="67"/>
      <c r="DI17" s="67"/>
      <c r="DJ17" s="189"/>
      <c r="DL17" s="39"/>
      <c r="DM17" s="239">
        <f>'Release Calculations'!R749</f>
        <v>0</v>
      </c>
      <c r="DN17" s="239">
        <f>'Release Calculations'!R$754</f>
        <v>0</v>
      </c>
      <c r="DO17" s="39"/>
      <c r="DP17" s="39"/>
      <c r="DQ17" s="239">
        <f>'Release Calculations'!R764</f>
        <v>0</v>
      </c>
      <c r="DR17" s="67"/>
      <c r="DS17" s="67"/>
      <c r="DT17" s="67"/>
      <c r="DU17" s="67"/>
      <c r="DV17" s="67"/>
      <c r="DW17" s="40"/>
      <c r="DX17" s="250"/>
      <c r="DY17" s="249" t="s">
        <v>2983</v>
      </c>
      <c r="DZ17" s="250" t="s">
        <v>292</v>
      </c>
      <c r="EA17" s="740"/>
      <c r="EB17" s="250"/>
      <c r="EC17" s="249" t="s">
        <v>292</v>
      </c>
      <c r="ED17" s="67"/>
      <c r="EE17" s="67"/>
      <c r="EF17" s="67"/>
      <c r="EG17" s="67"/>
      <c r="EH17" s="67"/>
      <c r="EJ17" s="250"/>
      <c r="EK17" s="249" t="str">
        <f>IF(Attended_Op="Yes","Noted as Personnel Routinely in Immediate Area or Equipment Type involves Materials Handling - "&amp;IF('Release Calculations'!R586*3600&lt;30," with a very Short Exposure Duration (&lt; 30 sec)","Time at Risk May Apply"),"Probability of Personnel to be in Close Proximity to Chemical Release based on Toxic Impact Area to "&amp;AM17&amp;" "&amp;AN17&amp;IF('Release Calculations'!R748&lt;0.01," (with potential for higher POE credit upon further review)",""))</f>
        <v>Probability of Personnel to be in Close Proximity to Chemical Release based on Toxic Impact Area to 0 m (with potential for higher POE credit upon further review)</v>
      </c>
      <c r="EL17" s="250" t="str">
        <f>IF(Attended_Op="Yes","Noted as Personnel Routinely in Immediate Area or Equipment Type involves Materials Handling - Time at Risk May Apply","Probability of Personnel to be in Close Proximity to Chemical Release based on Ratio Enclosed Process Area Concentation of "&amp;AZ17&amp;" ppm to 10 ER-3 for "&amp;Chemical&amp;IF(Fract_Key_Chemical&lt;1," mixture "," ")&amp;IF('Release Calculations'!$R$762&lt;0.01,"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17" s="67"/>
      <c r="EN17" s="250"/>
      <c r="EO17"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"&amp;AZ17&amp;" to "&amp;LFL_Fract_FlashFIre&amp;" LFL","Flammable Impact Area to "&amp;BF17&amp;" "&amp;BG17)&amp;IF('Release Calculations'!$R$763&lt;0.01," (with potential for higher POE credit upon further review)",""))</f>
        <v>Probability of Personnel to be in Close Proximity to Chemical Release based on Flammable Impact Area to 0 m (with potential for higher POE credit upon further review)</v>
      </c>
      <c r="EP17" s="67"/>
      <c r="EQ17" s="67"/>
      <c r="ER17" s="67"/>
      <c r="ES17" s="67"/>
      <c r="ET17" s="67"/>
      <c r="EV17" s="67"/>
      <c r="EW17" s="957">
        <f>'Release Calculations'!R748</f>
        <v>6.0000000000000008E-7</v>
      </c>
      <c r="EX17" s="957">
        <f>'Release Calculations'!$R$753</f>
        <v>0</v>
      </c>
      <c r="EY17" s="67"/>
      <c r="EZ17" s="957"/>
      <c r="FA17" s="957">
        <f>'Release Calculations'!$R$763</f>
        <v>0</v>
      </c>
      <c r="FB17" s="67"/>
      <c r="FC17" s="67"/>
      <c r="FD17" s="67"/>
      <c r="FE17" s="67"/>
      <c r="FF17" s="67"/>
      <c r="FH17" s="67"/>
      <c r="FI17" s="67"/>
      <c r="FJ17" s="67"/>
      <c r="FK17" s="67"/>
      <c r="FL17" s="67"/>
      <c r="FM17" s="239" t="str">
        <f>IF(Location="Outdoors",'Release Calculations'!R$706,'Release Calculations'!R$692)</f>
        <v/>
      </c>
      <c r="FN17" s="239" t="str">
        <f>'Release Calculations'!R$707</f>
        <v/>
      </c>
      <c r="FO17" s="39" t="str">
        <f>IF(State&lt;&gt;"Solid",'Release Calculations'!R$692,Dust_SecondExpl_POE)</f>
        <v/>
      </c>
      <c r="FP17" s="67"/>
      <c r="FQ17" s="67"/>
      <c r="FR17" s="67"/>
      <c r="FS17" s="40"/>
      <c r="FT17" s="67"/>
      <c r="FU17" s="67"/>
      <c r="FV17" s="67"/>
      <c r="FW17" s="67"/>
      <c r="FX17" s="67"/>
      <c r="FY17" s="249" t="s">
        <v>1461</v>
      </c>
      <c r="FZ17" s="249" t="s">
        <v>1460</v>
      </c>
      <c r="GA17" s="250" t="s">
        <v>1461</v>
      </c>
      <c r="GB17" s="67"/>
      <c r="GC17" s="67"/>
      <c r="GD17" s="67"/>
      <c r="GF17" s="67"/>
      <c r="GG17" s="67"/>
      <c r="GH17" s="67"/>
      <c r="GI17" s="67"/>
      <c r="GJ17" s="67"/>
      <c r="GK17"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"&amp;BP17&amp;" "&amp;BQ17&amp;" Easily Ignited Material with Distance to LFL of "&amp;BD17&amp;" "&amp;BE17,IF(Ease_of_Ignition_Feed="Low","Outdoor Release of Difficult to Ignite Material","Outdoor release of "&amp;BP17&amp;" "&amp;BQ17&amp;" Flammable Material with Distance to LFL of "&amp;BD17&amp;" "&amp;BE17)),IF(Ease_of_Ignition_Feed="Elevated","Indoor Release of Easily Ignited Material",IF(Ease_of_Ignition_Feed="Low","Indoor Release of Difficult to Ignite Material","Indoor Release of Flammable Material")))))))</f>
        <v>No Flash Point Entered</v>
      </c>
      <c r="GL17" s="2581" t="str">
        <f t="shared" si="28"/>
        <v>No Flash Point Entered</v>
      </c>
      <c r="GM17" s="250" t="str">
        <f t="shared" si="29"/>
        <v>Indoor Release of Flammable Material-POX</v>
      </c>
      <c r="GN17" s="67"/>
      <c r="GO17" s="67"/>
      <c r="GP17" s="67"/>
      <c r="GR17" s="189" t="str">
        <f>IF(CA17="","",CA$3&amp;"; ")&amp;IF(CB17="","",CB$3&amp;"; ")&amp;IF(CC17="","",CC$3&amp;"; ")&amp;IF(CD17="","",CD$3&amp;"; ")&amp;IF(CE17="","",CE$3&amp;"; ")&amp;IF(CF17="","",CF$3&amp;"; ")&amp;IF(CG17="","",CG$3&amp;"; ")&amp;IF(CH17="","",CH$3&amp;"; ")&amp;IF(CI17="","",CI$3&amp;"; ")&amp;IF(CJ17="","",CJ$3&amp;"; ")&amp;IF(CK17="","",CK$3)</f>
        <v/>
      </c>
      <c r="GU17" s="64" t="str">
        <f>Desc_VeryLow_Environ</f>
        <v>Reportable Incident to Environmental Agency</v>
      </c>
      <c r="GV17" s="193">
        <f>Conseq_VeryLow_Environ</f>
        <v>2</v>
      </c>
    </row>
    <row r="18" spans="1:217" s="5" customFormat="1" ht="12.75" customHeight="1" x14ac:dyDescent="0.25">
      <c r="A18" s="35"/>
      <c r="B18" s="64" t="str">
        <f>'Scenario Identification'!BW3</f>
        <v>Medium Hole Size Leak</v>
      </c>
      <c r="C18" s="1457" t="str">
        <f t="shared" si="10"/>
        <v/>
      </c>
      <c r="D18" s="65"/>
      <c r="E18" s="2483" t="str">
        <f>IF(MAX('Release Calculations'!T35,'Release Calculations'!T43,'Release Calculations'!T62,1-'Release Calculations'!T82,ABS(MIN('Release Calculations'!T35,'Release Calculations'!T43,'Release Calculations'!T62,1-'Release Calculations'!T82)))&gt;$E$4,"Yes","")</f>
        <v/>
      </c>
      <c r="F18" s="1418" t="s">
        <v>428</v>
      </c>
      <c r="G18" s="1434">
        <f t="shared" si="11"/>
        <v>0</v>
      </c>
      <c r="H18" s="1427" t="str">
        <f t="shared" si="31"/>
        <v>liter</v>
      </c>
      <c r="I18" s="1418">
        <f>ROUND('Release Calculations'!T7/$I$4,2)</f>
        <v>25</v>
      </c>
      <c r="J18" s="1421" t="str">
        <f t="shared" si="32"/>
        <v>mm</v>
      </c>
      <c r="K18" s="1427">
        <f t="shared" si="12"/>
        <v>0</v>
      </c>
      <c r="L18" s="1434">
        <f>sig('Release Calculations'!$T$16/$L$4,3,100,0)</f>
        <v>0</v>
      </c>
      <c r="M18" s="1435" t="str">
        <f t="shared" si="13"/>
        <v>kg</v>
      </c>
      <c r="N18" s="1432" t="str">
        <f t="shared" si="14"/>
        <v xml:space="preserve">Liquid:   ,  ,  ,  ,  </v>
      </c>
      <c r="O18" s="1434">
        <f>ROUND('Release Calculations'!$T$9,0)</f>
        <v>0</v>
      </c>
      <c r="P18" s="1434">
        <f>ROUND('Release Calculations'!$T$8/$P$4,2)</f>
        <v>0</v>
      </c>
      <c r="Q18" s="1446" t="str">
        <f t="shared" si="15"/>
        <v>bar</v>
      </c>
      <c r="R18" s="1434">
        <f>sig('Release Calculations'!$T$23/$AG$4,3,10,0)</f>
        <v>3</v>
      </c>
      <c r="S18" s="1447" t="str">
        <f t="shared" si="16"/>
        <v>kg/min</v>
      </c>
      <c r="T18" s="1435">
        <f>ROUND('Release Calculations'!$T$13/$T$4,0)</f>
        <v>0</v>
      </c>
      <c r="U18" s="1434">
        <f>ROUND(('Release Calculations'!$T$13+'Release Calculations'!$T$14)/$U$4,0)</f>
        <v>0</v>
      </c>
      <c r="V18" s="1434">
        <f>sig('Release Calculations'!$T$55/$V$4,3,100,0)</f>
        <v>0</v>
      </c>
      <c r="W18" s="1435" t="str">
        <f>IF(Report_A&lt;&gt;"",Report_A,IF(Dike_Area_Units="","sq m",Dike_Area_Units))</f>
        <v>sq m</v>
      </c>
      <c r="X18" s="1438">
        <f>ROUND('Release Calculations'!T$214,3)</f>
        <v>0</v>
      </c>
      <c r="Y18" s="1458" t="str">
        <f>IF('Release Calculations'!$T$225="","",sig('Release Calculations'!$T$225,3,1000,0))</f>
        <v/>
      </c>
      <c r="Z18" s="1458" t="str">
        <f>IF('Release Calculations'!$T$231="","",sig('Release Calculations'!$T$231,3,1000,0))</f>
        <v/>
      </c>
      <c r="AA18" s="1458" t="str">
        <f>IF('Release Calculations'!$T$255="","",sig('Release Calculations'!$T$255,3,1000,0))</f>
        <v/>
      </c>
      <c r="AB18" s="1458" t="str">
        <f>IF('Release Calculations'!$T$261="","",sig('Release Calculations'!$T$261,3,1000,0))</f>
        <v/>
      </c>
      <c r="AC18" s="1458" t="str">
        <f>IF('Release Calculations'!$T$267="","",sig('Release Calculations'!$T$267,3,1000,0))</f>
        <v/>
      </c>
      <c r="AD18" s="1196" t="str">
        <f>IF('Release Calculations'!$T$249="","",ROUND('Release Calculations'!$T$249,1))</f>
        <v/>
      </c>
      <c r="AE18" s="1434">
        <f>sig('Release Calculations'!$T$70/$AE$4,3,100,0)</f>
        <v>0</v>
      </c>
      <c r="AF18" s="1435" t="str">
        <f t="shared" si="17"/>
        <v>kg</v>
      </c>
      <c r="AG18" s="1326">
        <f>sig('Release Calculations'!T$89/$AG$4,3,10,3)</f>
        <v>3.0000000000000001E-3</v>
      </c>
      <c r="AH18" s="1435" t="str">
        <f t="shared" si="33"/>
        <v>kg/min</v>
      </c>
      <c r="AI18" s="1434">
        <f>sig('Release Calculations'!$T$282/$AI$4,3,100,0)</f>
        <v>0</v>
      </c>
      <c r="AJ18" s="1435" t="str">
        <f t="shared" si="18"/>
        <v>m</v>
      </c>
      <c r="AK18" s="1434">
        <f>sig('Release Calculations'!$T$285/$AK$4,3,100,0)</f>
        <v>0</v>
      </c>
      <c r="AL18" s="1435" t="str">
        <f t="shared" si="19"/>
        <v>m</v>
      </c>
      <c r="AM18" s="1434">
        <f>sig('Release Calculations'!$T$287/$AM$4,3,100,0)</f>
        <v>0</v>
      </c>
      <c r="AN18" s="1435" t="str">
        <f t="shared" si="20"/>
        <v>m</v>
      </c>
      <c r="AO18" s="1434">
        <f>sig('Release Calculations'!$T$288/$AO$4,3,100,0)</f>
        <v>0</v>
      </c>
      <c r="AP18" s="1452" t="str">
        <f t="shared" si="20"/>
        <v>m</v>
      </c>
      <c r="AQ18" s="1434">
        <f>sig('Release Calculations'!$T$290/$AQ$4,3,100,0)</f>
        <v>0</v>
      </c>
      <c r="AR18" s="1452" t="str">
        <f t="shared" si="20"/>
        <v>m</v>
      </c>
      <c r="AS18" s="1452" t="str">
        <f t="shared" si="21"/>
        <v/>
      </c>
      <c r="AT18" s="1452" t="str">
        <f t="shared" si="22"/>
        <v/>
      </c>
      <c r="AU18" s="1452" t="str">
        <f t="shared" si="23"/>
        <v/>
      </c>
      <c r="AV18" s="114">
        <f>sig('Release Calculations'!$T$296,3,1000,-1)</f>
        <v>0</v>
      </c>
      <c r="AW18" s="114">
        <f>sig('Release Calculations'!$T$297,3,1000,-1)</f>
        <v>0</v>
      </c>
      <c r="AX18" s="114" t="str">
        <f>sig('Release Calculations'!$T$298,3,1000,0)</f>
        <v/>
      </c>
      <c r="AY18" s="114" t="str">
        <f>sig('Release Calculations'!$T$299,3,1000,0)</f>
        <v/>
      </c>
      <c r="AZ18" s="114">
        <f>sig('Release Calculations'!$T$300,3,1000,-1)</f>
        <v>0</v>
      </c>
      <c r="BA18" s="114">
        <f>sig('Release Calculations'!$T$301,3,1000,-1)</f>
        <v>0</v>
      </c>
      <c r="BB18" s="114" t="str">
        <f>sig('Release Calculations'!$T$302,3,10,3)</f>
        <v/>
      </c>
      <c r="BC18" s="2576" t="str">
        <f>sig('Release Calculations'!$T$303,3,10,3)</f>
        <v/>
      </c>
      <c r="BD18" s="2569">
        <f>sig('Release Calculations'!$T$320/$BD$4,3,100,0)</f>
        <v>0</v>
      </c>
      <c r="BE18" s="1435" t="str">
        <f t="shared" si="34"/>
        <v>m</v>
      </c>
      <c r="BF18" s="2569">
        <f>sig('Release Calculations'!$T$319/$BF$4,3,100,0)</f>
        <v>0</v>
      </c>
      <c r="BG18" s="1435" t="str">
        <f t="shared" si="34"/>
        <v>m</v>
      </c>
      <c r="BH18" s="1419"/>
      <c r="BI18" s="1422"/>
      <c r="BJ18" s="1419"/>
      <c r="BK18" s="1422"/>
      <c r="BL18" s="2573"/>
      <c r="BM18" s="2573"/>
      <c r="BN18" s="1441"/>
      <c r="BO18" s="1746"/>
      <c r="BP18" s="1503">
        <f>sig('Release Calculations'!$T$90/$BP$4,3,10,1)</f>
        <v>0</v>
      </c>
      <c r="BQ18" s="1435" t="str">
        <f t="shared" si="24"/>
        <v>kg/min</v>
      </c>
      <c r="BR18" s="1434">
        <f>sig(IF(Location="Indoors",'Release Calculations'!T311/$BR$4,'Release Calculations'!T325/$BR$4),3,100,0)</f>
        <v>0</v>
      </c>
      <c r="BS18" s="1435" t="str">
        <f t="shared" si="25"/>
        <v>m</v>
      </c>
      <c r="BT18" s="1748">
        <f>ROUND(IF(Location="Indoors",'Release Calculations'!$T$314,'Release Calculations'!$T$330),1)</f>
        <v>0</v>
      </c>
      <c r="BU18" s="1748">
        <f>ROUND(IF(Location="Indoors",'Release Calculations'!$T$316,'Release Calculations'!$T$334),1)</f>
        <v>0</v>
      </c>
      <c r="BV18" s="1436"/>
      <c r="BW18" s="1442"/>
      <c r="BX18" s="262"/>
      <c r="BY18" s="262"/>
      <c r="BZ18" s="123"/>
      <c r="CA18" s="4" t="str">
        <f>IF('Release Calculations'!T$338="NA","",'Release Calculations'!T$338)</f>
        <v/>
      </c>
      <c r="CB18" s="4" t="str">
        <f>IF('Release Calculations'!T$368="NA","",'Release Calculations'!T$368)</f>
        <v/>
      </c>
      <c r="CC18" s="4" t="str">
        <f>IF('Release Calculations'!T$373="NA","",'Release Calculations'!T$373)</f>
        <v/>
      </c>
      <c r="CD18" s="735" t="str">
        <f>IF('Release Calculations'!T$378="NA","",'Release Calculations'!T$378)</f>
        <v/>
      </c>
      <c r="CE18" s="4" t="str">
        <f>IF('Release Calculations'!T$384="NA","",'Release Calculations'!T$384)</f>
        <v/>
      </c>
      <c r="CF18" s="4" t="str">
        <f>IF('Release Calculations'!T$389="NA","",'Release Calculations'!T$389)</f>
        <v/>
      </c>
      <c r="CG18" s="4" t="str">
        <f>IF('Release Calculations'!T$409="NA","",'Release Calculations'!T$409)</f>
        <v/>
      </c>
      <c r="CH18" s="4" t="str">
        <f>IF('Release Calculations'!T$399="NA","",'Release Calculations'!T$399)</f>
        <v/>
      </c>
      <c r="CI18" s="4"/>
      <c r="CJ18" s="4"/>
      <c r="CK18" s="4" t="str">
        <f>IF('Release Calculations'!BD424="NA","",'Release Calculations'!BD424)</f>
        <v/>
      </c>
      <c r="CL18" s="19"/>
      <c r="CM18" s="19"/>
      <c r="CN18" s="189" t="str">
        <f>IF(CA18="","",IF('Release Calculations'!T$284="Yes",IF(CA18=Conseq_VeryLow,Desc_VeryLow,IF(CA18=Conseq_Low,Desc_Low,IF(CA18=Conseq_Moderate,Desc_Moderate,IF(CA18=Conseq_High,Desc_High,IF(CA18=Conseq_VeryHigh,Desc_VeryHigh,IF(CA18=Conseq_ExtremeHigh,Desc_ExtremeHigh,Desc_GT_ExtremeHigh)))))),IF(CA18=Conseq_Low_Offsite,Desc_Low_Offsite,Desc_VeryLow_Offsite)))</f>
        <v/>
      </c>
      <c r="CO18" s="189" t="str">
        <f t="shared" si="37"/>
        <v/>
      </c>
      <c r="CP18" s="189" t="str">
        <f t="shared" si="38"/>
        <v/>
      </c>
      <c r="CQ18" s="189" t="str">
        <f t="shared" si="39"/>
        <v/>
      </c>
      <c r="CR18" s="189" t="str">
        <f>IF(CE18="","",IF(CE18=Conseq_VeryLow,Desc_VeryLow,IF(CE18=Conseq_Low,Desc_Low,IF(CE18=Conseq_Moderate,Desc_Moderate,IF(CE18=Conseq_High,Desc_High,IF(CE18=Conseq_VeryHigh,Desc_VeryHigh,IF(CE18=Conseq_ExtremeHigh,Desc_ExtremeHigh,Desc_GT_ExtremeHigh)))))))</f>
        <v/>
      </c>
      <c r="CS18" s="189" t="str">
        <f t="shared" si="40"/>
        <v/>
      </c>
      <c r="CT18" s="189" t="str">
        <f t="shared" si="41"/>
        <v/>
      </c>
      <c r="CU18" s="189" t="str">
        <f t="shared" si="42"/>
        <v/>
      </c>
      <c r="CV18" s="67"/>
      <c r="CW18" s="67"/>
      <c r="CX18" s="189" t="str">
        <f>IF(CK18="","",IF(CK18=Conseq_VeryLow,Desc_VeryLow_Environ,IF(CK18=Conseq_Low,Desc_Low_Environ,IF(CK18=Conseq_Moderate,Desc_Moderate_Environ,IF(CK18=Conseq_High,Desc_High_Environ,IF(CK18=Conseq_VeryHigh,Desc_VeryHigh_Environ,Desc_ExtremeHigh_Environ))))))</f>
        <v/>
      </c>
      <c r="CY18" s="40" t="s">
        <v>822</v>
      </c>
      <c r="CZ18" s="189" t="str">
        <f>IF(CA18="","",IF('Release Calculations'!T$284="Yes"," at a "&amp;$AI$3&amp;" of "&amp;AI18&amp;" "&amp;AJ18&amp;" which exceeds Distance to the Fence Line of "&amp;Public_Input&amp;" "&amp;Public_Units))</f>
        <v/>
      </c>
      <c r="DA18" s="189" t="str">
        <f>IF(CB18="","",IF('Release Calculations'!$T$292="Yes"," with operating personnel in close proximity and a "&amp;$AM$3&amp;" of "&amp;AM18&amp;" "&amp;AN18," at a "&amp;$AM$3&amp;" of "&amp;AM18&amp;" "&amp;AN18)&amp;IF('Release Calculations'!$T$287&gt;Public," which exceeds Distance to the Fence Line of "&amp;Public_Input&amp;" "&amp;Public_Units&amp;".  Target Factor may be conservative",))</f>
        <v/>
      </c>
      <c r="DB18" s="226" t="str">
        <f>IF(CC18="","",IF('Release Calculations'!T305="Yes","and Potential for Asphyxiation","")&amp;" at an "&amp;$AZ$3&amp;" of "&amp;AZ18&amp;" ppm")</f>
        <v/>
      </c>
      <c r="DC18" s="189" t="str">
        <f t="shared" si="27"/>
        <v/>
      </c>
      <c r="DD18" s="189" t="str">
        <f>IF(CE18="",""," of a "&amp;IF(Ease_of_Ignition_Feed="High","pyrophoric ","high/low temperature ")&amp;IF(Dermal_Tox_Feed&lt;&gt;"","or "&amp;Dermal_Tox_Feed,"")&amp;" chemical"&amp;IF('Release Calculations'!$T$292="Yes"," with operating personnel in close proximity",""))</f>
        <v/>
      </c>
      <c r="DE18" s="189" t="str">
        <f>IF(CF18="",""," at a "&amp;$BF$3&amp;" of "&amp;BF18&amp;" "&amp;BG18)</f>
        <v/>
      </c>
      <c r="DF18" s="189" t="str">
        <f>IF(CG18="","",IF('Release Calculations'!T$326="Yes"," with "&amp;$BR$3&amp;" of "&amp;BR18&amp;" "&amp;BS18&amp;IF('Release Calculations'!T$335&lt;&gt;"Yes",""," including "&amp;$BT$3&amp;" of "&amp;BT18&amp;" psi.")&amp;" 1 psi Blast Overpresssure exceeds Distance to the Fence Line of "&amp;Public_Input&amp;" "&amp;Public_Units&amp;".  Consider adjustment for Off-Site Impacts",IF('Release Calculations'!T$335&lt;&gt;"Yes"," impacting on site personnel at a "&amp;$BR$3&amp;" of "&amp;BR18&amp;" "&amp;BS18," impacting on site personnel at a "&amp;$BR$3&amp;" of "&amp;BR18&amp;" "&amp;BS18&amp;" including "&amp;$BT$3&amp;" of "&amp;BT18&amp;" psi")))</f>
        <v/>
      </c>
      <c r="DG18" s="189" t="str">
        <f>IF(CH18="","",IF('Release Calculations'!T$312="Yes"," with "&amp;$BR$3&amp;" of "&amp;BR18&amp;" "&amp;BS18&amp;IF('Release Calculations'!T$317&lt;&gt;"Yes",""," including "&amp;$BT$3&amp;" of "&amp;BT18&amp;" psi.")&amp;"  1 psi Blast Overpresssure exceeds Distance to the Fence Line of "&amp;Public_Input&amp;" "&amp;Public_Units&amp;".  Consider adjustment for Off-Site Impacts",IF('Release Calculations'!T$317&lt;&gt;"Yes"," impacting enclosed area operating personnel, on site personnel at a "&amp;$BR$3&amp;" of "&amp;BR18&amp;" "&amp;BS18," impacting enclosed area operating personnel, on site personnel at a "&amp;$BR$3&amp;" of "&amp;BR18&amp;" "&amp;BS18&amp;" including "&amp;$BT$3&amp;" of "&amp;BT18&amp;" psi")))</f>
        <v/>
      </c>
      <c r="DH18" s="67"/>
      <c r="DI18" s="67"/>
      <c r="DJ18" s="189" t="str">
        <f>IF('Release Calculations'!AZ424&gt;0,"Groundwater or Remediation Issue",IF('Release Calculations'!BB424&gt;0,"High Aqueous Toxicity",""))</f>
        <v/>
      </c>
      <c r="DK18" s="19"/>
      <c r="DL18" s="39"/>
      <c r="DM18" s="239">
        <f>'Release Calculations'!T366</f>
        <v>0</v>
      </c>
      <c r="DN18" s="239">
        <f>'Release Calculations'!T$371</f>
        <v>0</v>
      </c>
      <c r="DO18" s="34"/>
      <c r="DP18" s="239">
        <f>'Release Calculations'!T382</f>
        <v>0</v>
      </c>
      <c r="DQ18" s="239">
        <f>'Release Calculations'!T387</f>
        <v>0</v>
      </c>
      <c r="DR18" s="34"/>
      <c r="DS18" s="34"/>
      <c r="DT18" s="34"/>
      <c r="DU18" s="34"/>
      <c r="DV18" s="6"/>
      <c r="DW18" s="40"/>
      <c r="DX18" s="250"/>
      <c r="DY18" s="249" t="s">
        <v>2983</v>
      </c>
      <c r="DZ18" s="250" t="s">
        <v>292</v>
      </c>
      <c r="EA18" s="740"/>
      <c r="EB18" s="249" t="str">
        <f>"Probability of Exposure to Hot or Toxic Material"</f>
        <v>Probability of Exposure to Hot or Toxic Material</v>
      </c>
      <c r="EC18" s="249" t="s">
        <v>292</v>
      </c>
      <c r="ED18" s="248"/>
      <c r="EE18" s="248"/>
      <c r="EF18" s="248"/>
      <c r="EG18" s="248"/>
      <c r="EH18" s="248"/>
      <c r="EI18" s="19"/>
      <c r="EJ18" s="250"/>
      <c r="EK18" s="249" t="str">
        <f>IF(Attended_Op="Yes","Noted as Personnel Routinely in Immediate Area or Equipment Type involves Materials Handling - "&amp;IF('Release Calculations'!T210*3600&lt;30," with a very Short Exposure Duration (&lt; 30 sec)","Time at Risk May Apply"),"Probability of Personnel to be in Close Proximity to Chemical Release based on Toxic Impact Area to "&amp;AM18&amp;" "&amp;AN18&amp;IF('Release Calculations'!T365&lt;0.01," (with potential for higher POE credit upon further review)",""))</f>
        <v>Probability of Personnel to be in Close Proximity to Chemical Release based on Toxic Impact Area to 0 m (with potential for higher POE credit upon further review)</v>
      </c>
      <c r="EL18" s="250" t="str">
        <f>IF(Attended_Op="Yes","Noted as Personnel Routinely in Immediate Area or Equipment Type involves Materials Handling - Time at Risk May Apply","Probability of Personnel to be in Close Proximity to Chemical Release based on Ratio Enclosed Process Area Concentation of "&amp;AZ18&amp;" ppm to 10 ER-3 for "&amp;Chemical&amp;IF(Fract_Key_Chemical&lt;1," mixture "," ")&amp;IF('Release Calculations'!$T$370&lt;0.01,"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18" s="248"/>
      <c r="EN18"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Calculations'!$T$381&lt;0.01," (with potential for higher POE credit upon further review)",""))</f>
        <v>Probability of Personnel to be in Close Proximity to Chemical Release based on Spray Distance of 1 m (with potential for higher POE credit upon further review)</v>
      </c>
      <c r="EO18"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"&amp;AZ18&amp;" to "&amp;LFL_Fract_FlashFIre&amp;" LFL","Flammable Impact Area to "&amp;BF18&amp;" "&amp;BG18)&amp;IF('Release Calculations'!$T$386&lt;0.01," (with potential for higher POE credit upon further review)",""))</f>
        <v>Probability of Personnel to be in Close Proximity to Chemical Release based on Flammable Impact Area to 0 m (with potential for higher POE credit upon further review)</v>
      </c>
      <c r="EP18" s="248"/>
      <c r="EQ18" s="248"/>
      <c r="ER18" s="248"/>
      <c r="ES18" s="248"/>
      <c r="ET18" s="248"/>
      <c r="EU18" s="19"/>
      <c r="EV18" s="1379"/>
      <c r="EW18" s="957">
        <f>'Release Calculations'!T365</f>
        <v>6.0000000000000008E-7</v>
      </c>
      <c r="EX18" s="957">
        <f>'Release Calculations'!$T$370</f>
        <v>0</v>
      </c>
      <c r="EY18" s="1380"/>
      <c r="EZ18" s="957">
        <f>'Release Calculations'!$T$381</f>
        <v>0</v>
      </c>
      <c r="FA18" s="957">
        <f>'Release Calculations'!$T$386</f>
        <v>0</v>
      </c>
      <c r="FB18" s="6"/>
      <c r="FC18" s="6"/>
      <c r="FD18" s="6"/>
      <c r="FE18" s="6"/>
      <c r="FF18" s="6"/>
      <c r="FG18" s="19"/>
      <c r="FH18" s="34"/>
      <c r="FI18" s="34"/>
      <c r="FJ18" s="34"/>
      <c r="FK18" s="739"/>
      <c r="FL18" s="34"/>
      <c r="FM18" s="239" t="str">
        <f>IF(Location="Outdoors",'Release Calculations'!T$323,'Release Calculations'!T$309)</f>
        <v/>
      </c>
      <c r="FN18" s="239" t="str">
        <f>'Release Calculations'!T$324</f>
        <v/>
      </c>
      <c r="FO18" s="39" t="str">
        <f>IF(State&lt;&gt;"Solid",'Release Calculations'!T$309,Dust_SecondExpl_POE)</f>
        <v/>
      </c>
      <c r="FP18" s="34"/>
      <c r="FQ18" s="34"/>
      <c r="FR18" s="6"/>
      <c r="FS18" s="40"/>
      <c r="FT18" s="248"/>
      <c r="FU18" s="248"/>
      <c r="FV18" s="248"/>
      <c r="FW18" s="741"/>
      <c r="FX18" s="248"/>
      <c r="FY18" s="249" t="s">
        <v>1461</v>
      </c>
      <c r="FZ18" s="249" t="s">
        <v>1460</v>
      </c>
      <c r="GA18" s="250" t="s">
        <v>1461</v>
      </c>
      <c r="GB18" s="248"/>
      <c r="GC18" s="248"/>
      <c r="GD18" s="248"/>
      <c r="GE18" s="19"/>
      <c r="GF18" s="67"/>
      <c r="GG18" s="67"/>
      <c r="GH18" s="67"/>
      <c r="GI18" s="67"/>
      <c r="GJ18" s="67"/>
      <c r="GK18"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"&amp;BP18&amp;" "&amp;BQ18&amp;" Easily Ignited Material with Distance to LFL of "&amp;BD18&amp;" "&amp;BE18,IF(OR(Ease_of_Ignition_Feed="Low",AND(Flash_Pt_Feed&gt;MAX(Ambient_Temp,T),Aerosol_Potential="Yes")),"Outdoor Release of Difficult to Ignite Material or Combustible Aerosol","Outdoor release of "&amp;BP18&amp;" "&amp;BQ18&amp;" Flammable Material with Distance to LFL of "&amp;BD18&amp;" "&amp;BE18)),IF(Ease_of_Ignition_Feed="Elevated","Indoor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18" s="2581" t="str">
        <f t="shared" si="28"/>
        <v>No Flash Point Entered</v>
      </c>
      <c r="GM18" s="250" t="str">
        <f t="shared" si="29"/>
        <v>Indoor Release of Flammable Material-POX</v>
      </c>
      <c r="GN18" s="67"/>
      <c r="GO18" s="67"/>
      <c r="GP18" s="67"/>
      <c r="GQ18" s="19"/>
      <c r="GR18" s="189" t="str">
        <f t="shared" si="35"/>
        <v/>
      </c>
      <c r="GS18" s="19"/>
      <c r="GT18" s="19"/>
      <c r="GU18" s="64" t="str">
        <f>Desc_Low_Environ</f>
        <v>Environmental Contamination Confined to Site</v>
      </c>
      <c r="GV18" s="193">
        <f>Conseq_Low_Environ</f>
        <v>3</v>
      </c>
      <c r="GW18" s="227"/>
      <c r="GX18" s="19"/>
      <c r="GY18" s="19"/>
      <c r="GZ18" s="19"/>
      <c r="HA18" s="19"/>
      <c r="HB18" s="19"/>
      <c r="HC18" s="19"/>
      <c r="HD18" s="19"/>
      <c r="HE18" s="19"/>
      <c r="HF18" s="19"/>
      <c r="HG18" s="19"/>
      <c r="HH18" s="19"/>
      <c r="HI18" s="19"/>
    </row>
    <row r="19" spans="1:217" s="5" customFormat="1" ht="12.75" customHeight="1" x14ac:dyDescent="0.25">
      <c r="A19" s="35"/>
      <c r="B19" s="64" t="str">
        <f>'Scenario Identification'!BX3</f>
        <v>Medium Hole Size Leak above Liquid Level</v>
      </c>
      <c r="C19" s="1457" t="str">
        <f t="shared" si="10"/>
        <v/>
      </c>
      <c r="D19" s="65"/>
      <c r="E19" s="2483" t="str">
        <f>IF(MAX('Release Calculations'!T426,1-'Release Calculations'!T455,ABS(MIN('Release Calculations'!T426,1-'Release Calculations'!T455)))&gt;$E$4,"Yes","")</f>
        <v/>
      </c>
      <c r="F19" s="1418" t="s">
        <v>428</v>
      </c>
      <c r="G19" s="1434">
        <f t="shared" si="11"/>
        <v>0</v>
      </c>
      <c r="H19" s="1427" t="str">
        <f t="shared" si="31"/>
        <v>liter</v>
      </c>
      <c r="I19" s="1418">
        <f>ROUND('Release Calculations'!T7/$I$4,2)</f>
        <v>25</v>
      </c>
      <c r="J19" s="1421" t="str">
        <f t="shared" si="32"/>
        <v>mm</v>
      </c>
      <c r="K19" s="1427">
        <f t="shared" si="12"/>
        <v>0</v>
      </c>
      <c r="L19" s="1434">
        <f>sig('Release Calculations'!$T$437/$L$4,3,100,0)</f>
        <v>0</v>
      </c>
      <c r="M19" s="1435" t="str">
        <f t="shared" si="13"/>
        <v>kg</v>
      </c>
      <c r="N19" s="1432" t="str">
        <f t="shared" si="14"/>
        <v xml:space="preserve">Liquid:   ,  ,  ,  ,  </v>
      </c>
      <c r="O19" s="1434">
        <f>ROUND('Release Calculations'!$T$416,0)</f>
        <v>0</v>
      </c>
      <c r="P19" s="1434">
        <f>ROUND('Release Calculations'!$T$415/$P$4,2)</f>
        <v>0.62</v>
      </c>
      <c r="Q19" s="1446" t="str">
        <f t="shared" si="15"/>
        <v>bar</v>
      </c>
      <c r="R19" s="1434">
        <f>sig('Release Calculations'!$T$418/$AG$4,3,10,0)</f>
        <v>0</v>
      </c>
      <c r="S19" s="1447" t="str">
        <f t="shared" si="16"/>
        <v>kg/min</v>
      </c>
      <c r="T19" s="1435">
        <f>ROUND('Release Calculations'!$T$434/$T$4,0)</f>
        <v>0</v>
      </c>
      <c r="U19" s="1434">
        <f>ROUND(('Release Calculations'!$T$434+'Release Calculations'!$T$435)/$U$4,0)</f>
        <v>60</v>
      </c>
      <c r="V19" s="1434"/>
      <c r="W19" s="1435"/>
      <c r="X19" s="1438">
        <f>ROUND('Release Calculations'!T$589,3)</f>
        <v>0</v>
      </c>
      <c r="Y19" s="1458" t="str">
        <f>IF('Release Calculations'!$T$602="","",sig('Release Calculations'!$T$602,3,1000,0))</f>
        <v/>
      </c>
      <c r="Z19" s="1458" t="str">
        <f>IF('Release Calculations'!$T$609="","",sig('Release Calculations'!$T$609,3,1000,0))</f>
        <v/>
      </c>
      <c r="AA19" s="1458" t="str">
        <f>IF('Release Calculations'!$T$637="","",sig('Release Calculations'!$T$637,3,1000,0))</f>
        <v/>
      </c>
      <c r="AB19" s="1458" t="str">
        <f>IF('Release Calculations'!$T$644="","",sig('Release Calculations'!$T$644,3,1000,0))</f>
        <v/>
      </c>
      <c r="AC19" s="1458" t="str">
        <f>IF('Release Calculations'!$T$651="","",sig('Release Calculations'!$T$651,3,1000,0))</f>
        <v/>
      </c>
      <c r="AD19" s="1196" t="str">
        <f>IF('Release Calculations'!$T$630="","",ROUND('Release Calculations'!$T$630,1))</f>
        <v/>
      </c>
      <c r="AE19" s="1434">
        <f>sig('Release Calculations'!$T$437/$AE$4,3,100,0)</f>
        <v>0</v>
      </c>
      <c r="AF19" s="1435" t="str">
        <f t="shared" si="17"/>
        <v>kg</v>
      </c>
      <c r="AG19" s="1326">
        <f>sig('Release Calculations'!T$464/$AG$4,3,10,3)</f>
        <v>0.29199999999999998</v>
      </c>
      <c r="AH19" s="1435" t="str">
        <f t="shared" si="33"/>
        <v>kg/min</v>
      </c>
      <c r="AI19" s="1434">
        <f>sig('Release Calculations'!$T$666/$AI$4,3,100,0)</f>
        <v>0</v>
      </c>
      <c r="AJ19" s="1435" t="str">
        <f t="shared" si="18"/>
        <v>m</v>
      </c>
      <c r="AK19" s="1434">
        <f>sig('Release Calculations'!$T$669/$AK$4,3,100,0)</f>
        <v>0</v>
      </c>
      <c r="AL19" s="1435" t="str">
        <f t="shared" si="19"/>
        <v>m</v>
      </c>
      <c r="AM19" s="1434">
        <f>sig('Release Calculations'!$T$671/$AM$4,3,100,0)</f>
        <v>0</v>
      </c>
      <c r="AN19" s="1435" t="str">
        <f t="shared" si="20"/>
        <v>m</v>
      </c>
      <c r="AO19" s="1434">
        <f>sig('Release Calculations'!$T$672/$AO$4,3,100,0)</f>
        <v>0</v>
      </c>
      <c r="AP19" s="1452" t="str">
        <f t="shared" si="20"/>
        <v>m</v>
      </c>
      <c r="AQ19" s="1434">
        <f>sig('Release Calculations'!$T$674/$AQ$4,3,100,0)</f>
        <v>0</v>
      </c>
      <c r="AR19" s="1452" t="str">
        <f t="shared" si="20"/>
        <v>m</v>
      </c>
      <c r="AS19" s="1452" t="str">
        <f t="shared" si="21"/>
        <v/>
      </c>
      <c r="AT19" s="1452" t="str">
        <f t="shared" si="22"/>
        <v/>
      </c>
      <c r="AU19" s="1452" t="str">
        <f t="shared" si="23"/>
        <v/>
      </c>
      <c r="AV19" s="114">
        <f>sig('Release Calculations'!$T$679,3,1000,-1)</f>
        <v>0</v>
      </c>
      <c r="AW19" s="114">
        <f>sig('Release Calculations'!$T$680,3,1000,-1)</f>
        <v>0</v>
      </c>
      <c r="AX19" s="114" t="str">
        <f>sig('Release Calculations'!$T$681,3,1000,0)</f>
        <v/>
      </c>
      <c r="AY19" s="114" t="str">
        <f>sig('Release Calculations'!$T$682,3,1000,0)</f>
        <v/>
      </c>
      <c r="AZ19" s="114">
        <f>sig('Release Calculations'!$T$683,3,1000,-1)</f>
        <v>0</v>
      </c>
      <c r="BA19" s="114">
        <f>sig('Release Calculations'!$T$684,3,1000,-1)</f>
        <v>0</v>
      </c>
      <c r="BB19" s="114" t="str">
        <f>sig('Release Calculations'!$T$685,3,10,3)</f>
        <v/>
      </c>
      <c r="BC19" s="2576" t="str">
        <f>sig('Release Calculations'!$T$686,3,10,3)</f>
        <v/>
      </c>
      <c r="BD19" s="2569">
        <f>sig('Release Calculations'!$T$703/$BD$4,3,100,0)</f>
        <v>0</v>
      </c>
      <c r="BE19" s="1435" t="str">
        <f t="shared" si="34"/>
        <v>m</v>
      </c>
      <c r="BF19" s="2569">
        <f>sig('Release Calculations'!$T$702/$BF$4,3,100,0)</f>
        <v>0</v>
      </c>
      <c r="BG19" s="1435" t="str">
        <f t="shared" si="34"/>
        <v>m</v>
      </c>
      <c r="BH19" s="1419"/>
      <c r="BI19" s="1422"/>
      <c r="BJ19" s="1419"/>
      <c r="BK19" s="1422"/>
      <c r="BL19" s="2573"/>
      <c r="BM19" s="2573"/>
      <c r="BN19" s="1441"/>
      <c r="BO19" s="1746"/>
      <c r="BP19" s="1503">
        <f>sig('Release Calculations'!$T$465/$BP$4,3,10,1)</f>
        <v>0</v>
      </c>
      <c r="BQ19" s="1435" t="str">
        <f t="shared" si="24"/>
        <v>kg/min</v>
      </c>
      <c r="BR19" s="1434">
        <f>sig(IF(Location="Indoors",'Release Calculations'!T694/$BR$4,'Release Calculations'!T708/$BR$4),3,100,0)</f>
        <v>0</v>
      </c>
      <c r="BS19" s="1435" t="str">
        <f t="shared" si="25"/>
        <v>m</v>
      </c>
      <c r="BT19" s="1748">
        <f>ROUND(IF(Location="Indoors",'Release Calculations'!$T$697,'Release Calculations'!$T$713),1)</f>
        <v>0</v>
      </c>
      <c r="BU19" s="1748">
        <f>ROUND(IF(Location="Indoors",'Release Calculations'!$T$699,'Release Calculations'!$T$717),1)</f>
        <v>0</v>
      </c>
      <c r="BV19" s="1436"/>
      <c r="BW19" s="1442"/>
      <c r="BX19" s="262"/>
      <c r="BY19" s="262"/>
      <c r="BZ19" s="123"/>
      <c r="CA19" s="4" t="str">
        <f>IF('Release Calculations'!T$721="NA","",'Release Calculations'!T$721)</f>
        <v/>
      </c>
      <c r="CB19" s="4" t="str">
        <f>IF('Release Calculations'!T$751="NA","",'Release Calculations'!T$751)</f>
        <v/>
      </c>
      <c r="CC19" s="4" t="str">
        <f>IF('Release Calculations'!T$756="NA","",'Release Calculations'!T$756)</f>
        <v/>
      </c>
      <c r="CD19" s="735" t="str">
        <f>IF('Release Calculations'!T$761="NA","",'Release Calculations'!T$761)</f>
        <v/>
      </c>
      <c r="CE19" s="4"/>
      <c r="CF19" s="4" t="str">
        <f>IF('Release Calculations'!T$766="NA","",'Release Calculations'!T$766)</f>
        <v/>
      </c>
      <c r="CG19" s="4" t="str">
        <f>IF('Release Calculations'!T$786="NA","",'Release Calculations'!T$786)</f>
        <v/>
      </c>
      <c r="CH19" s="4" t="str">
        <f>IF('Release Calculations'!T$776="NA","",'Release Calculations'!T$776)</f>
        <v/>
      </c>
      <c r="CI19" s="4"/>
      <c r="CJ19" s="4"/>
      <c r="CK19" s="4"/>
      <c r="CL19" s="19"/>
      <c r="CM19" s="19"/>
      <c r="CN19" s="189" t="str">
        <f>IF(CA19="","",IF('Release Calculations'!T$668="Yes",IF(CA19=Conseq_VeryLow,Desc_VeryLow,IF(CA19=Conseq_Low,Desc_Low,IF(CA19=Conseq_Moderate,Desc_Moderate,IF(CA19=Conseq_High,Desc_High,IF(CA19=Conseq_VeryHigh,Desc_VeryHigh,IF(CA19=Conseq_ExtremeHigh,Desc_ExtremeHigh,Desc_GT_ExtremeHigh)))))),IF(CA19=Conseq_Low_Offsite,Desc_Low_Offsite,Desc_VeryLow_Offsite)))</f>
        <v/>
      </c>
      <c r="CO19" s="189" t="str">
        <f t="shared" si="37"/>
        <v/>
      </c>
      <c r="CP19" s="189" t="str">
        <f t="shared" si="38"/>
        <v/>
      </c>
      <c r="CQ19" s="189" t="str">
        <f t="shared" si="39"/>
        <v/>
      </c>
      <c r="CR19" s="67"/>
      <c r="CS19" s="189" t="str">
        <f t="shared" si="40"/>
        <v/>
      </c>
      <c r="CT19" s="189" t="str">
        <f t="shared" si="41"/>
        <v/>
      </c>
      <c r="CU19" s="189" t="str">
        <f t="shared" si="42"/>
        <v/>
      </c>
      <c r="CV19" s="67"/>
      <c r="CW19" s="67"/>
      <c r="CX19" s="67"/>
      <c r="CY19" s="40" t="s">
        <v>822</v>
      </c>
      <c r="CZ19" s="189" t="str">
        <f>IF(CA19="","",IF('Release Calculations'!T$668="Yes"," at a "&amp;$AI$3&amp;" of "&amp;AI19&amp;" "&amp;AJ19&amp;" which exceeds Distance to the Fence Line of "&amp;Public_Input&amp;" "&amp;Public_Units))</f>
        <v/>
      </c>
      <c r="DA19" s="189" t="str">
        <f>IF(CB19="","",IF('Release Calculations'!$T$292="Yes"," with operating personnel in close proximity and a "&amp;$AM$3&amp;" of "&amp;AM19&amp;" "&amp;AN19," at a "&amp;$AM$3&amp;" of "&amp;AM19&amp;" "&amp;AN19)&amp;IF('Release Calculations'!$T$671&gt;Public," which exceeds Distance to the Fence Line of "&amp;Public_Input&amp;" "&amp;Public_Units&amp;".  Target Factor may be conservative",))</f>
        <v/>
      </c>
      <c r="DB19" s="226" t="str">
        <f>IF(CC19="","",IF('Release Calculations'!T690="Yes","and Potential for Asphyxiation","")&amp;" at an "&amp;$AZ$3&amp;" of "&amp;AZ19&amp;" ppm")</f>
        <v/>
      </c>
      <c r="DC19" s="189" t="str">
        <f t="shared" si="27"/>
        <v/>
      </c>
      <c r="DD19" s="67"/>
      <c r="DE19" s="189" t="str">
        <f>IF(CF19="",""," at a "&amp;$BF$3&amp;" of "&amp;BF19&amp;" "&amp;BG19)</f>
        <v/>
      </c>
      <c r="DF19" s="189" t="str">
        <f>IF(CG19="","",IF('Release Calculations'!T$709="Yes"," with "&amp;$BR$3&amp;" of "&amp;BR19&amp;" "&amp;BS19&amp;IF('Release Calculations'!T$718&lt;&gt;"Yes",""," including "&amp;$BT$3&amp;" of "&amp;BT19&amp;" psi.")&amp;" 1 psi Blast Overpresssure exceeds Distance to the Fence Line of "&amp;Public_Input&amp;" "&amp;Public_Units&amp;".  Consider adjustment for Off-Site Impacts",IF('Release Calculations'!T$718&lt;&gt;"Yes"," impacting on site personnel at a "&amp;$BR$3&amp;" of "&amp;BR19&amp;" "&amp;BS19," impacting on site personnel at a "&amp;$BR$3&amp;" of "&amp;BR19&amp;" "&amp;BS19&amp;" including "&amp;$BT$3&amp;" of "&amp;BT19&amp;" psi")))</f>
        <v/>
      </c>
      <c r="DG19" s="189" t="str">
        <f>IF(CH19="","",IF('Release Calculations'!T$695="Yes"," with "&amp;$BR$3&amp;" of "&amp;BR19&amp;" "&amp;BS19&amp;IF('Release Calculations'!T$700&lt;&gt;"Yes",""," including "&amp;$BT$3&amp;" of "&amp;BT19&amp;" psi.")&amp;"  1 psi Blast Overpresssure exceeds Distance to the Fence Line of "&amp;Public_Input&amp;" "&amp;Public_Units&amp;".  Consider adjustment for Off-Site Impacts",IF('Release Calculations'!T$700&lt;&gt;"Yes"," impacting enclosed area operating personnel, on site personnel at a "&amp;$BR$3&amp;" of "&amp;BR19&amp;" "&amp;BS19," impacting enclosed area operating personnel, on site personnel at a "&amp;$BR$3&amp;" of "&amp;BR19&amp;" "&amp;BS19&amp;" including "&amp;$BT$3&amp;" of "&amp;BT19&amp;" psi")))</f>
        <v/>
      </c>
      <c r="DH19" s="67"/>
      <c r="DI19" s="67"/>
      <c r="DJ19" s="67"/>
      <c r="DK19" s="19"/>
      <c r="DL19" s="39"/>
      <c r="DM19" s="239">
        <f>'Release Calculations'!T749</f>
        <v>0</v>
      </c>
      <c r="DN19" s="239">
        <f>'Release Calculations'!T$754</f>
        <v>0</v>
      </c>
      <c r="DO19" s="34"/>
      <c r="DP19" s="34"/>
      <c r="DQ19" s="239">
        <f>'Release Calculations'!T764</f>
        <v>0</v>
      </c>
      <c r="DR19" s="34"/>
      <c r="DS19" s="34"/>
      <c r="DT19" s="34"/>
      <c r="DU19" s="34"/>
      <c r="DV19" s="6"/>
      <c r="DW19" s="40"/>
      <c r="DX19" s="250"/>
      <c r="DY19" s="249" t="s">
        <v>2983</v>
      </c>
      <c r="DZ19" s="250" t="s">
        <v>292</v>
      </c>
      <c r="EA19" s="740"/>
      <c r="EB19" s="248"/>
      <c r="EC19" s="249" t="s">
        <v>292</v>
      </c>
      <c r="ED19" s="248"/>
      <c r="EE19" s="248"/>
      <c r="EF19" s="248"/>
      <c r="EG19" s="248"/>
      <c r="EH19" s="248"/>
      <c r="EI19" s="19"/>
      <c r="EJ19" s="250"/>
      <c r="EK19" s="249" t="str">
        <f>IF(Attended_Op="Yes","Noted as Personnel Routinely in Immediate Area or Equipment Type involves Materials Handling - "&amp;IF('Release Calculations'!T586*3600&lt;30," with a very Short Exposure Duration (&lt; 30 sec)","Time at Risk May Apply"),"Probability of Personnel to be in Close Proximity to Chemical Release based on Toxic Impact Area to "&amp;AM19&amp;" "&amp;AN19&amp;IF('Release Calculations'!T748&lt;0.01," (with potential for higher POE credit upon further review)",""))</f>
        <v>Probability of Personnel to be in Close Proximity to Chemical Release based on Toxic Impact Area to 0 m (with potential for higher POE credit upon further review)</v>
      </c>
      <c r="EL19" s="250" t="str">
        <f>IF(Attended_Op="Yes","Noted as Personnel Routinely in Immediate Area or Equipment Type involves Materials Handling - Time at Risk May Apply","Probability of Personnel to be in Close Proximity to Chemical Release based on Ratio Enclosed Process Area Concentation of "&amp;AZ19&amp;" ppm to 10 ER-3 for "&amp;Chemical&amp;IF(Fract_Key_Chemical&lt;1," mixture "," ")&amp;IF('Release Calculations'!$T$762&lt;0.01,"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19" s="248"/>
      <c r="EN19" s="248"/>
      <c r="EO19"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"&amp;AZ19&amp;" to "&amp;LFL_Fract_FlashFIre&amp;" LFL","Flammable Impact Area to "&amp;BF19&amp;" "&amp;BG19)&amp;IF('Release Calculations'!$T$763&lt;0.01," (with potential for higher POE credit upon further review)",""))</f>
        <v>Probability of Personnel to be in Close Proximity to Chemical Release based on Flammable Impact Area to 0 m (with potential for higher POE credit upon further review)</v>
      </c>
      <c r="EP19" s="248"/>
      <c r="EQ19" s="248"/>
      <c r="ER19" s="248"/>
      <c r="ES19" s="248"/>
      <c r="ET19" s="248"/>
      <c r="EU19" s="19"/>
      <c r="EV19" s="1379"/>
      <c r="EW19" s="957">
        <f>'Release Calculations'!T748</f>
        <v>6.0000000000000008E-7</v>
      </c>
      <c r="EX19" s="957">
        <f>'Release Calculations'!$T$762</f>
        <v>0</v>
      </c>
      <c r="EY19" s="1380"/>
      <c r="EZ19" s="1380"/>
      <c r="FA19" s="957">
        <f>'Release Calculations'!$T$763</f>
        <v>0</v>
      </c>
      <c r="FB19" s="6"/>
      <c r="FC19" s="6"/>
      <c r="FD19" s="6"/>
      <c r="FE19" s="6"/>
      <c r="FF19" s="6"/>
      <c r="FG19" s="19"/>
      <c r="FH19" s="34"/>
      <c r="FI19" s="34"/>
      <c r="FJ19" s="34"/>
      <c r="FK19" s="739"/>
      <c r="FL19" s="34"/>
      <c r="FM19" s="239" t="str">
        <f>IF(Location="Outdoors",'Release Calculations'!T$706,'Release Calculations'!T$692)</f>
        <v/>
      </c>
      <c r="FN19" s="239" t="str">
        <f>'Release Calculations'!T$707</f>
        <v/>
      </c>
      <c r="FO19" s="39" t="str">
        <f>IF(State&lt;&gt;"Solid",'Release Calculations'!T$692,Dust_SecondExpl_POE)</f>
        <v/>
      </c>
      <c r="FP19" s="34"/>
      <c r="FQ19" s="34"/>
      <c r="FR19" s="6"/>
      <c r="FS19" s="40"/>
      <c r="FT19" s="248"/>
      <c r="FU19" s="248"/>
      <c r="FV19" s="248"/>
      <c r="FW19" s="741"/>
      <c r="FX19" s="248"/>
      <c r="FY19" s="249" t="s">
        <v>1461</v>
      </c>
      <c r="FZ19" s="249" t="s">
        <v>1460</v>
      </c>
      <c r="GA19" s="250" t="s">
        <v>1461</v>
      </c>
      <c r="GB19" s="248"/>
      <c r="GC19" s="248"/>
      <c r="GD19" s="248"/>
      <c r="GE19" s="19"/>
      <c r="GF19" s="248"/>
      <c r="GG19" s="248"/>
      <c r="GH19" s="248"/>
      <c r="GI19" s="741"/>
      <c r="GJ19" s="248"/>
      <c r="GK19"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"&amp;BP19&amp;" "&amp;BQ19&amp;" Easily Ignited Material with Distance to LFL of "&amp;BD19&amp;" "&amp;BE19,IF(Ease_of_Ignition_Feed="Low","Outdoor Release of Difficult to Ignite Material","Outdoor release of "&amp;BP19&amp;" "&amp;BQ19&amp;" Flammable Material with Distance to LFL of "&amp;BD19&amp;" "&amp;BE19)),IF(Ease_of_Ignition_Feed="Elevated","Indoor Release of Easily Ignited Material",IF(Ease_of_Ignition_Feed="Low","Indoor Release of Difficult to Ignite Material","Indoor Release of Flammable Material")))))))</f>
        <v>No Flash Point Entered</v>
      </c>
      <c r="GL19" s="2581" t="str">
        <f t="shared" si="28"/>
        <v>No Flash Point Entered</v>
      </c>
      <c r="GM19" s="250" t="str">
        <f t="shared" si="29"/>
        <v>Indoor Release of Flammable Material-POX</v>
      </c>
      <c r="GN19" s="248"/>
      <c r="GO19" s="248"/>
      <c r="GP19" s="248"/>
      <c r="GQ19" s="19"/>
      <c r="GR19" s="189" t="str">
        <f t="shared" si="35"/>
        <v/>
      </c>
      <c r="GS19" s="19"/>
      <c r="GT19" s="19"/>
      <c r="GU19" s="64" t="str">
        <f>Desc_Moderate_Environ</f>
        <v>Environmental Contamination of Local Groundwater</v>
      </c>
      <c r="GV19" s="193">
        <f>Conseq_Moderate_Environ</f>
        <v>4</v>
      </c>
      <c r="GW19" s="11"/>
      <c r="GX19" s="227"/>
      <c r="GY19" s="19"/>
      <c r="GZ19" s="19"/>
      <c r="HA19" s="19"/>
      <c r="HB19" s="19"/>
      <c r="HC19" s="19"/>
      <c r="HD19" s="19"/>
      <c r="HE19" s="19"/>
      <c r="HF19" s="19"/>
      <c r="HG19" s="19"/>
      <c r="HH19" s="19"/>
      <c r="HI19" s="19"/>
    </row>
    <row r="20" spans="1:217" s="5" customFormat="1" ht="12.75" customHeight="1" x14ac:dyDescent="0.25">
      <c r="A20" s="35"/>
      <c r="B20" s="64" t="str">
        <f>'Scenario Identification'!BY3</f>
        <v>Full Bore Hole Size Leak</v>
      </c>
      <c r="C20" s="1457" t="str">
        <f t="shared" si="10"/>
        <v/>
      </c>
      <c r="D20" s="65"/>
      <c r="E20" s="2483" t="str">
        <f>IF(MAX('Release Calculations'!N35,'Release Calculations'!N43,'Release Calculations'!N62,1-'Release Calculations'!N82,ABS(MIN('Release Calculations'!N35,'Release Calculations'!N43,'Release Calculations'!N62,1-'Release Calculations'!N82)))&gt;$E$4,"Yes","")</f>
        <v/>
      </c>
      <c r="F20" s="1418" t="s">
        <v>428</v>
      </c>
      <c r="G20" s="1434">
        <f t="shared" si="11"/>
        <v>0</v>
      </c>
      <c r="H20" s="1427" t="str">
        <f t="shared" si="31"/>
        <v>liter</v>
      </c>
      <c r="I20" s="1418">
        <f>ROUND('Release Calculations'!N7/$I$4,2)</f>
        <v>0</v>
      </c>
      <c r="J20" s="1421" t="str">
        <f t="shared" si="32"/>
        <v>mm</v>
      </c>
      <c r="K20" s="1427">
        <f t="shared" si="12"/>
        <v>0</v>
      </c>
      <c r="L20" s="1434">
        <f>sig('Release Calculations'!$N$16/$L$4,3,100,0)</f>
        <v>0</v>
      </c>
      <c r="M20" s="1435" t="str">
        <f t="shared" si="13"/>
        <v>kg</v>
      </c>
      <c r="N20" s="1432" t="str">
        <f t="shared" si="14"/>
        <v xml:space="preserve">Liquid:   ,  ,  ,  ,  </v>
      </c>
      <c r="O20" s="1434">
        <f>ROUND('Release Calculations'!$N$9,0)</f>
        <v>0</v>
      </c>
      <c r="P20" s="1434">
        <f>ROUND('Release Calculations'!$N$8/$P$4,2)</f>
        <v>0</v>
      </c>
      <c r="Q20" s="1446" t="str">
        <f t="shared" si="15"/>
        <v>bar</v>
      </c>
      <c r="R20" s="1434">
        <f>sig('Release Calculations'!$N$23/$AG$4,3,10,0)</f>
        <v>0</v>
      </c>
      <c r="S20" s="1447" t="str">
        <f t="shared" si="16"/>
        <v>kg/min</v>
      </c>
      <c r="T20" s="1435">
        <f>ROUND('Release Calculations'!$N$13/$T$4,0)</f>
        <v>0</v>
      </c>
      <c r="U20" s="1434">
        <f>ROUND(('Release Calculations'!$N$13+'Release Calculations'!$N$14)/$U$4,0)</f>
        <v>0</v>
      </c>
      <c r="V20" s="1434">
        <f>sig('Release Calculations'!$N$55/$V$4,3,100,0)</f>
        <v>0</v>
      </c>
      <c r="W20" s="1435" t="str">
        <f>IF(Report_A&lt;&gt;"",Report_A,IF(Dike_Area_Units="","sq m",Dike_Area_Units))</f>
        <v>sq m</v>
      </c>
      <c r="X20" s="1438">
        <f>ROUND('Release Calculations'!N$214,3)</f>
        <v>0</v>
      </c>
      <c r="Y20" s="1458" t="str">
        <f>IF('Release Calculations'!$N$225="","",sig('Release Calculations'!$N$225,3,1000,0))</f>
        <v/>
      </c>
      <c r="Z20" s="1458" t="str">
        <f>IF('Release Calculations'!$N$231="","",sig('Release Calculations'!$N$231,3,1000,0))</f>
        <v/>
      </c>
      <c r="AA20" s="1458" t="str">
        <f>IF('Release Calculations'!$N$255="","",sig('Release Calculations'!$N$255,3,1000,0))</f>
        <v/>
      </c>
      <c r="AB20" s="1458" t="str">
        <f>IF('Release Calculations'!$N$261="","",sig('Release Calculations'!$N$261,3,1000,0))</f>
        <v/>
      </c>
      <c r="AC20" s="1458" t="str">
        <f>IF('Release Calculations'!$N$267="","",sig('Release Calculations'!$N$267,3,1000,0))</f>
        <v/>
      </c>
      <c r="AD20" s="1196" t="str">
        <f>IF('Release Calculations'!$N$249="","",ROUND('Release Calculations'!$N$249,1))</f>
        <v/>
      </c>
      <c r="AE20" s="1434">
        <f>sig('Release Calculations'!$N$70/$AE$4,3,100,0)</f>
        <v>0</v>
      </c>
      <c r="AF20" s="1435" t="str">
        <f t="shared" si="17"/>
        <v>kg</v>
      </c>
      <c r="AG20" s="1326">
        <f>sig('Release Calculations'!N$89/$AG$4,3,10,3)</f>
        <v>3.0000000000000001E-3</v>
      </c>
      <c r="AH20" s="1435" t="str">
        <f t="shared" si="33"/>
        <v>kg/min</v>
      </c>
      <c r="AI20" s="1434">
        <f>sig('Release Calculations'!$N$282/$AI$4,3,100,0)</f>
        <v>0</v>
      </c>
      <c r="AJ20" s="1435" t="str">
        <f t="shared" si="18"/>
        <v>m</v>
      </c>
      <c r="AK20" s="1434">
        <f>sig('Release Calculations'!$N$285/$AK$4,3,100,0)</f>
        <v>0</v>
      </c>
      <c r="AL20" s="1435" t="str">
        <f t="shared" si="19"/>
        <v>m</v>
      </c>
      <c r="AM20" s="1434">
        <f>sig('Release Calculations'!$N$287/$AM$4,3,100,0)</f>
        <v>0</v>
      </c>
      <c r="AN20" s="1435" t="str">
        <f t="shared" si="20"/>
        <v>m</v>
      </c>
      <c r="AO20" s="1434">
        <f>sig('Release Calculations'!$N$288/$AO$4,3,100,0)</f>
        <v>0</v>
      </c>
      <c r="AP20" s="1452" t="str">
        <f t="shared" si="20"/>
        <v>m</v>
      </c>
      <c r="AQ20" s="1434">
        <f>sig('Release Calculations'!$N$290/$AQ$4,3,100,0)</f>
        <v>0</v>
      </c>
      <c r="AR20" s="1452" t="str">
        <f t="shared" si="20"/>
        <v>m</v>
      </c>
      <c r="AS20" s="1452" t="str">
        <f t="shared" si="21"/>
        <v/>
      </c>
      <c r="AT20" s="1452" t="str">
        <f t="shared" si="22"/>
        <v/>
      </c>
      <c r="AU20" s="1452" t="str">
        <f t="shared" si="23"/>
        <v/>
      </c>
      <c r="AV20" s="114">
        <f>sig('Release Calculations'!$N$296,3,1000,-1)</f>
        <v>0</v>
      </c>
      <c r="AW20" s="114">
        <f>sig('Release Calculations'!$N$297,3,1000,-1)</f>
        <v>0</v>
      </c>
      <c r="AX20" s="114" t="str">
        <f>sig('Release Calculations'!$N$298,3,1000,0)</f>
        <v/>
      </c>
      <c r="AY20" s="114" t="str">
        <f>sig('Release Calculations'!$N$299,3,1000,0)</f>
        <v/>
      </c>
      <c r="AZ20" s="114">
        <f>sig('Release Calculations'!$N$300,3,1000,-1)</f>
        <v>0</v>
      </c>
      <c r="BA20" s="114">
        <f>sig('Release Calculations'!$N$301,3,1000,-1)</f>
        <v>0</v>
      </c>
      <c r="BB20" s="114" t="str">
        <f>sig('Release Calculations'!$N$302,3,10,3)</f>
        <v/>
      </c>
      <c r="BC20" s="2576" t="str">
        <f>sig('Release Calculations'!$N$303,3,10,3)</f>
        <v/>
      </c>
      <c r="BD20" s="2569">
        <f>sig('Release Calculations'!$N$320/$BD$4,3,100,0)</f>
        <v>0</v>
      </c>
      <c r="BE20" s="1435" t="str">
        <f t="shared" si="34"/>
        <v>m</v>
      </c>
      <c r="BF20" s="2569">
        <f>sig('Release Calculations'!$N$319/$BF$4,3,100,0)</f>
        <v>0</v>
      </c>
      <c r="BG20" s="1435" t="str">
        <f t="shared" si="34"/>
        <v>m</v>
      </c>
      <c r="BH20" s="1419"/>
      <c r="BI20" s="1422"/>
      <c r="BJ20" s="1419"/>
      <c r="BK20" s="1422"/>
      <c r="BL20" s="2573"/>
      <c r="BM20" s="2573"/>
      <c r="BN20" s="1441"/>
      <c r="BO20" s="1746"/>
      <c r="BP20" s="1503">
        <f>sig('Release Calculations'!$N$90/$BP$4,3,10,1)</f>
        <v>0</v>
      </c>
      <c r="BQ20" s="1435" t="str">
        <f t="shared" si="24"/>
        <v>kg/min</v>
      </c>
      <c r="BR20" s="1434">
        <f>sig(IF(Location="Indoors",'Release Calculations'!N311/$BR$4,'Release Calculations'!N325/$BR$4),3,100,0)</f>
        <v>0</v>
      </c>
      <c r="BS20" s="1435" t="str">
        <f t="shared" si="25"/>
        <v>m</v>
      </c>
      <c r="BT20" s="1748">
        <f>ROUND(IF(Location="Indoors",'Release Calculations'!$N$314,'Release Calculations'!$N$330),1)</f>
        <v>0</v>
      </c>
      <c r="BU20" s="1748">
        <f>ROUND(IF(Location="Indoors",'Release Calculations'!$N$316,'Release Calculations'!$N$334),1)</f>
        <v>0</v>
      </c>
      <c r="BV20" s="1436"/>
      <c r="BW20" s="1442"/>
      <c r="BX20" s="262"/>
      <c r="BY20" s="262"/>
      <c r="BZ20" s="123"/>
      <c r="CA20" s="4" t="str">
        <f>IF('Release Calculations'!N$338="NA","",'Release Calculations'!N$338)</f>
        <v/>
      </c>
      <c r="CB20" s="4" t="str">
        <f>IF('Release Calculations'!N$368="NA","",'Release Calculations'!N$368)</f>
        <v/>
      </c>
      <c r="CC20" s="4" t="str">
        <f>IF('Release Calculations'!N$373="NA","",'Release Calculations'!N$373)</f>
        <v/>
      </c>
      <c r="CD20" s="735" t="str">
        <f>IF('Release Calculations'!N$378="NA","",'Release Calculations'!N$378)</f>
        <v/>
      </c>
      <c r="CE20" s="4" t="str">
        <f>IF('Release Calculations'!N$384="NA","",'Release Calculations'!N$384)</f>
        <v/>
      </c>
      <c r="CF20" s="4" t="str">
        <f>IF('Release Calculations'!N$389="NA","",'Release Calculations'!N$389)</f>
        <v/>
      </c>
      <c r="CG20" s="4" t="str">
        <f>IF('Release Calculations'!N$409="NA","",'Release Calculations'!N$409)</f>
        <v/>
      </c>
      <c r="CH20" s="4" t="str">
        <f>IF('Release Calculations'!N$399="NA","",'Release Calculations'!N$399)</f>
        <v/>
      </c>
      <c r="CI20" s="4"/>
      <c r="CJ20" s="4"/>
      <c r="CK20" s="4" t="str">
        <f>IF('Release Calculations'!BD425="NA","",'Release Calculations'!BD425)</f>
        <v/>
      </c>
      <c r="CL20" s="19"/>
      <c r="CM20" s="19"/>
      <c r="CN20" s="189" t="str">
        <f>IF(CA20="","",IF('Release Calculations'!N$284="Yes",IF(CA20=Conseq_VeryLow,Desc_VeryLow,IF(CA20=Conseq_Low,Desc_Low,IF(CA20=Conseq_Moderate,Desc_Moderate,IF(CA20=Conseq_High,Desc_High,IF(CA20=Conseq_VeryHigh,Desc_VeryHigh,IF(CA20=Conseq_ExtremeHigh,Desc_ExtremeHigh,Desc_GT_ExtremeHigh)))))),IF(CA20=Conseq_Low_Offsite,Desc_Low_Offsite,Desc_VeryLow_Offsite)))</f>
        <v/>
      </c>
      <c r="CO20" s="189" t="str">
        <f t="shared" si="37"/>
        <v/>
      </c>
      <c r="CP20" s="189" t="str">
        <f t="shared" si="38"/>
        <v/>
      </c>
      <c r="CQ20" s="189" t="str">
        <f t="shared" si="39"/>
        <v/>
      </c>
      <c r="CR20" s="189" t="str">
        <f>IF(CE20="","",IF(CE20=Conseq_VeryLow,Desc_VeryLow,IF(CE20=Conseq_Low,Desc_Low,IF(CE20=Conseq_Moderate,Desc_Moderate,IF(CE20=Conseq_High,Desc_High,IF(CE20=Conseq_VeryHigh,Desc_VeryHigh,IF(CE20=Conseq_ExtremeHigh,Desc_ExtremeHigh,Desc_GT_ExtremeHigh)))))))</f>
        <v/>
      </c>
      <c r="CS20" s="189" t="str">
        <f t="shared" si="40"/>
        <v/>
      </c>
      <c r="CT20" s="189" t="str">
        <f t="shared" si="41"/>
        <v/>
      </c>
      <c r="CU20" s="189" t="str">
        <f t="shared" si="42"/>
        <v/>
      </c>
      <c r="CV20" s="67"/>
      <c r="CW20" s="67"/>
      <c r="CX20" s="189" t="str">
        <f>IF(CK20="","",IF(CK20=Conseq_VeryLow,Desc_VeryLow_Environ,IF(CK20=Conseq_Low,Desc_Low_Environ,IF(CK20=Conseq_Moderate,Desc_Moderate_Environ,IF(CK20=Conseq_High,Desc_High_Environ,IF(CK20=Conseq_VeryHigh,Desc_VeryHigh_Environ,Desc_ExtremeHigh_Environ))))))</f>
        <v/>
      </c>
      <c r="CY20" s="40" t="s">
        <v>822</v>
      </c>
      <c r="CZ20" s="189" t="str">
        <f>IF(CA20="","",IF('Release Calculations'!N$284="Yes"," at a "&amp;$AI$3&amp;" of "&amp;AI20&amp;" "&amp;AJ20&amp;" which exceeds Distance to the Fence Line of "&amp;Public_Input&amp;" "&amp;Public_Units))</f>
        <v/>
      </c>
      <c r="DA20" s="189" t="str">
        <f>IF(CB20="","",IF('Special Calcs'!$G$164="Yes"," with operating personnel in close proximity and a "&amp;$AM$3&amp;" of "&amp;AM20&amp;" "&amp;AN20," at a "&amp;$AM$3&amp;" of "&amp;AM20&amp;" "&amp;AN20)&amp;IF('Release Calculations'!$N$287&gt;Public," which exceeds Distance to the Fence Line of "&amp;Public_Input&amp;" "&amp;Public_Units&amp;".  Target Factor may be conservative",))</f>
        <v/>
      </c>
      <c r="DB20" s="226" t="str">
        <f>IF(CC20="","",IF('Release Calculations'!N305="Yes","and Potential for Asphyxiation","")&amp;IF('Special Calcs'!G$164="Yes"," with operations personnel in close proximity at an "&amp;$AZ$3&amp;" of "&amp;AZ20&amp;" ppm"," at an "&amp;$AZ$3&amp;" of "&amp;AZ20&amp;" ppm"))</f>
        <v/>
      </c>
      <c r="DC20" s="189" t="str">
        <f t="shared" si="27"/>
        <v/>
      </c>
      <c r="DD20" s="189" t="str">
        <f>IF(CE20="",""," of a "&amp;IF(Ease_of_Ignition_Feed="High","pyrophoric ","high/low temperature ")&amp;IF(Dermal_Tox_Feed&lt;&gt;"","or "&amp;Dermal_Tox_Feed,"")&amp;" chemical"&amp;IF('Special Calcs'!$G$164="Yes"," with operating personnel in close proximity",""))</f>
        <v/>
      </c>
      <c r="DE20" s="189" t="str">
        <f>IF(CF20="","",IF('Special Calcs'!$G$164="Yes"," with operating personnel in close proximity and a "&amp;$BF$3&amp;" of "&amp;BF20&amp;" "&amp;BG20," at a "&amp;$BF$3&amp;" of "&amp;BF20&amp;" "&amp;BG20))</f>
        <v/>
      </c>
      <c r="DF20" s="189" t="str">
        <f>IF(CG20="","",IF('Release Calculations'!N$326="Yes"," with "&amp;$BR$3&amp;" of "&amp;BR20&amp;" "&amp;BS20&amp;IF('Release Calculations'!N$335&lt;&gt;"Yes",""," including "&amp;$BT$3&amp;" of "&amp;BT20&amp;" psi.")&amp;" 1 psi Blast Overpresssure exceeds Distance to the Fence Line of "&amp;Public_Input&amp;" "&amp;Public_Units&amp;".  Consider adjustment for Off-Site Impacts",IF('Release Calculations'!N$335&lt;&gt;"Yes"," impacting on site personnel at a "&amp;$BR$3&amp;" of "&amp;BR20&amp;" "&amp;BS20," impacting on site personnel at a "&amp;$BR$3&amp;" of "&amp;BR20&amp;" "&amp;BS20&amp;" including "&amp;$BT$3&amp;" of "&amp;BT20&amp;" psi")))</f>
        <v/>
      </c>
      <c r="DG20" s="189" t="str">
        <f>IF(CH20="","",IF('Release Calculations'!N$312="Yes"," with "&amp;$BR$3&amp;" of "&amp;BR20&amp;" "&amp;BS20&amp;IF('Release Calculations'!N$317&lt;&gt;"Yes",""," including "&amp;$BT$3&amp;" of "&amp;BT20&amp;" psi.")&amp;"  1 psi Blast Overpresssure exceeds Distance to the Fence Line of "&amp;Public_Input&amp;" "&amp;Public_Units&amp;".  Consider adjustment for Off-Site Impacts",IF('Release Calculations'!N$317&lt;&gt;"Yes"," impacting enclosed area operating personnel, on site personnel at a "&amp;$BR$3&amp;" of "&amp;BR20&amp;" "&amp;BS20," impacting enclosed area operating personnel, on site personnel at a "&amp;$BR$3&amp;" of "&amp;BR20&amp;" "&amp;BS20&amp;" including "&amp;$BT$3&amp;" of "&amp;BT20&amp;" psi")))</f>
        <v/>
      </c>
      <c r="DH20" s="67"/>
      <c r="DI20" s="67"/>
      <c r="DJ20" s="189" t="str">
        <f>IF('Release Calculations'!AZ425&gt;0,"Groundwater or Remediation Issue",IF('Release Calculations'!BB425&gt;0,"High Aqueous Toxicity",""))</f>
        <v/>
      </c>
      <c r="DK20" s="19" t="s">
        <v>822</v>
      </c>
      <c r="DL20" s="39"/>
      <c r="DM20" s="239">
        <f>'Release Calculations'!N366</f>
        <v>0</v>
      </c>
      <c r="DN20" s="239">
        <f>'Release Calculations'!N$371</f>
        <v>0</v>
      </c>
      <c r="DO20" s="34"/>
      <c r="DP20" s="239">
        <f>'Release Calculations'!N382</f>
        <v>0</v>
      </c>
      <c r="DQ20" s="239">
        <f>'Release Calculations'!N387</f>
        <v>0</v>
      </c>
      <c r="DR20" s="34"/>
      <c r="DS20" s="34"/>
      <c r="DT20" s="34"/>
      <c r="DU20" s="34"/>
      <c r="DV20" s="6"/>
      <c r="DW20" s="40"/>
      <c r="DX20" s="250"/>
      <c r="DY20" s="249" t="s">
        <v>2983</v>
      </c>
      <c r="DZ20" s="250" t="s">
        <v>292</v>
      </c>
      <c r="EA20" s="740"/>
      <c r="EB20" s="249" t="str">
        <f>"Probability of Exposure to Hot or Toxic Material"</f>
        <v>Probability of Exposure to Hot or Toxic Material</v>
      </c>
      <c r="EC20" s="249" t="s">
        <v>292</v>
      </c>
      <c r="ED20" s="248"/>
      <c r="EE20" s="248"/>
      <c r="EF20" s="248"/>
      <c r="EG20" s="248"/>
      <c r="EH20" s="248"/>
      <c r="EI20" s="19"/>
      <c r="EJ20" s="250"/>
      <c r="EK20" s="249" t="str">
        <f>IF(Attended_Op="Yes","Noted as Personnel Routinely in Immediate Area or Equipment Type involves Materials Handling - "&amp;IF('Release Calculations'!N210*3600&lt;30," with a very Short Exposure Duration (&lt; 30 sec)","Time at Risk May Apply"),"Probability of Personnel to be in Close Proximity to Chemical Release based on Toxic Impact Area to "&amp;AM20&amp;" "&amp;AN20&amp;IF('Release Calculations'!N365&lt;0.01," (with potential for higher POE credit upon further review)",""))</f>
        <v>Probability of Personnel to be in Close Proximity to Chemical Release based on Toxic Impact Area to 0 m (with potential for higher POE credit upon further review)</v>
      </c>
      <c r="EL20" s="250" t="str">
        <f>IF(Attended_Op="Yes","Noted as Personnel Routinely in Immediate Area or Equipment Type involves Materials Handling - Time at Risk May Apply","Probability of Personnel to be in Close Proximity to Chemical Release based on Ratio Enclosed Process Area Concentation of "&amp;AZ20&amp;" ppm to 10 ER-3 for "&amp;Chemical&amp;IF(Fract_Key_Chemical&lt;1," mixture "," ")&amp;IF('Release Calculations'!$N$370&lt;0.01,"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20" s="248"/>
      <c r="EN20"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Calculations'!$N$381&lt;0.01," (with potential for higher POE credit upon further review)",""))</f>
        <v>Probability of Personnel to be in Close Proximity to Chemical Release based on Spray Distance of 1 m (with potential for higher POE credit upon further review)</v>
      </c>
      <c r="EO20"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"&amp;AZ20&amp;" to "&amp;LFL_Fract_FlashFIre&amp;" LFL","Flammable Impact Area to "&amp;BF20&amp;" "&amp;BG20)&amp;IF('Release Calculations'!$N$386&lt;0.01," (with potential for higher POE credit upon further review)",""))</f>
        <v>Probability of Personnel to be in Close Proximity to Chemical Release based on Flammable Impact Area to 0 m (with potential for higher POE credit upon further review)</v>
      </c>
      <c r="EP20" s="248"/>
      <c r="EQ20" s="248"/>
      <c r="ER20" s="248"/>
      <c r="ES20" s="248"/>
      <c r="ET20" s="248"/>
      <c r="EU20" s="19"/>
      <c r="EV20" s="1379"/>
      <c r="EW20" s="957">
        <f>'Release Calculations'!N365</f>
        <v>6.0000000000000008E-7</v>
      </c>
      <c r="EX20" s="957">
        <f>'Release Calculations'!$N$370</f>
        <v>0</v>
      </c>
      <c r="EY20" s="1380"/>
      <c r="EZ20" s="957">
        <f>'Release Calculations'!$N$381</f>
        <v>0</v>
      </c>
      <c r="FA20" s="957">
        <f>'Release Calculations'!$N$386</f>
        <v>0</v>
      </c>
      <c r="FB20" s="6"/>
      <c r="FC20" s="6"/>
      <c r="FD20" s="6"/>
      <c r="FE20" s="6"/>
      <c r="FF20" s="6"/>
      <c r="FG20" s="19"/>
      <c r="FH20" s="34"/>
      <c r="FI20" s="34"/>
      <c r="FJ20" s="34"/>
      <c r="FK20" s="739"/>
      <c r="FL20" s="34"/>
      <c r="FM20" s="239" t="str">
        <f>IF(Location="Outdoors",'Release Calculations'!N$323,'Release Calculations'!N$309)</f>
        <v/>
      </c>
      <c r="FN20" s="239" t="str">
        <f>'Release Calculations'!N$324</f>
        <v/>
      </c>
      <c r="FO20" s="39" t="str">
        <f>IF(State&lt;&gt;"Solid",'Release Calculations'!N$309,Dust_SecondExpl_POE)</f>
        <v/>
      </c>
      <c r="FP20" s="34"/>
      <c r="FQ20" s="34"/>
      <c r="FR20" s="6"/>
      <c r="FS20" s="40"/>
      <c r="FT20" s="248"/>
      <c r="FU20" s="248"/>
      <c r="FV20" s="248"/>
      <c r="FW20" s="741"/>
      <c r="FX20" s="248"/>
      <c r="FY20" s="249" t="s">
        <v>1461</v>
      </c>
      <c r="FZ20" s="249" t="s">
        <v>1460</v>
      </c>
      <c r="GA20" s="250" t="s">
        <v>1461</v>
      </c>
      <c r="GB20" s="248"/>
      <c r="GC20" s="248"/>
      <c r="GD20" s="248"/>
      <c r="GE20" s="19"/>
      <c r="GF20" s="248"/>
      <c r="GG20" s="248"/>
      <c r="GH20" s="248"/>
      <c r="GI20" s="741"/>
      <c r="GJ20" s="248"/>
      <c r="GK20"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"&amp;BP20&amp;" "&amp;BQ20&amp;" Easily Ignited Material with Distance to LFL of "&amp;BD20&amp;" "&amp;BE20,IF(OR(Ease_of_Ignition_Feed="Low",AND(Flash_Pt_Feed&gt;MAX(Ambient_Temp,T),Aerosol_Potential="Yes")),"Outdoor Release of Difficult to Ignite Material or Combustible Aerosol","Outdoor release of "&amp;BP20&amp;" "&amp;BQ20&amp;" Flammable Material with Distance to LFL of "&amp;BD20&amp;" "&amp;BE20)),IF(Ease_of_Ignition_Feed="Elevated","Indoor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20" s="2581" t="str">
        <f t="shared" si="28"/>
        <v>No Flash Point Entered</v>
      </c>
      <c r="GM20" s="250" t="str">
        <f t="shared" si="29"/>
        <v>Indoor Release of Flammable Material-POX</v>
      </c>
      <c r="GN20" s="248"/>
      <c r="GO20" s="248"/>
      <c r="GP20" s="248"/>
      <c r="GQ20" s="19"/>
      <c r="GR20" s="189" t="str">
        <f>IF(CA20="","",CA$3&amp;"; ")&amp;IF(CB20="","",CB$3&amp;"; ")&amp;IF(CC20="","",CC$3&amp;"; ")&amp;IF(CD20="","",CD$3&amp;"; ")&amp;IF(CE20="","",CE$3&amp;"; ")&amp;IF(CF20="","",CF$3&amp;"; ")&amp;IF(CG20="","",CG$3&amp;"; ")&amp;IF(CH20="","",CH$3&amp;"; ")&amp;IF(CI20="","",CI$3&amp;"; ")&amp;IF(CJ20="","",CJ$3&amp;"; ")&amp;IF(CK20="","",CK$3)</f>
        <v/>
      </c>
      <c r="GS20" s="19"/>
      <c r="GT20" s="19"/>
      <c r="GU20" s="64" t="str">
        <f>Desc_High_Environ</f>
        <v>Incident Requiring Significant Off-Site Remediation</v>
      </c>
      <c r="GV20" s="193">
        <f>Conseq_High_Environ</f>
        <v>5</v>
      </c>
      <c r="GW20" s="19"/>
      <c r="GX20" s="11"/>
      <c r="GY20" s="19"/>
      <c r="GZ20" s="19"/>
      <c r="HA20" s="19"/>
      <c r="HB20" s="19"/>
      <c r="HC20" s="19"/>
      <c r="HD20" s="19"/>
      <c r="HE20" s="19"/>
      <c r="HF20" s="19"/>
      <c r="HG20" s="19"/>
      <c r="HH20" s="19"/>
      <c r="HI20" s="19"/>
    </row>
    <row r="21" spans="1:217" s="5" customFormat="1" ht="12.75" customHeight="1" x14ac:dyDescent="0.25">
      <c r="A21" s="35"/>
      <c r="B21" s="64" t="str">
        <f>'Scenario Identification'!BZ3</f>
        <v>Full Bore Hole Size Leak above Liquid Level</v>
      </c>
      <c r="C21" s="1457" t="str">
        <f t="shared" si="10"/>
        <v/>
      </c>
      <c r="D21" s="65"/>
      <c r="E21" s="2483" t="str">
        <f>IF(MAX('Release Calculations'!N426,1-'Release Calculations'!N455,ABS(MIN('Release Calculations'!N426,1-'Release Calculations'!N455)))&gt;$E$4,"Yes","")</f>
        <v/>
      </c>
      <c r="F21" s="1418" t="s">
        <v>428</v>
      </c>
      <c r="G21" s="1434">
        <f t="shared" si="11"/>
        <v>0</v>
      </c>
      <c r="H21" s="1427" t="str">
        <f t="shared" si="31"/>
        <v>liter</v>
      </c>
      <c r="I21" s="1418">
        <f>ROUND('Release Calculations'!N7/$I$4,2)</f>
        <v>0</v>
      </c>
      <c r="J21" s="1421" t="str">
        <f t="shared" si="32"/>
        <v>mm</v>
      </c>
      <c r="K21" s="1427">
        <f t="shared" si="12"/>
        <v>0</v>
      </c>
      <c r="L21" s="1434">
        <f>sig('Release Calculations'!$N$437/$L$4,3,100,0)</f>
        <v>0</v>
      </c>
      <c r="M21" s="1435" t="str">
        <f t="shared" si="13"/>
        <v>kg</v>
      </c>
      <c r="N21" s="1432" t="str">
        <f t="shared" si="14"/>
        <v xml:space="preserve">Liquid:   ,  ,  ,  ,  </v>
      </c>
      <c r="O21" s="1434">
        <f>ROUND('Release Calculations'!$N$416,0)</f>
        <v>0</v>
      </c>
      <c r="P21" s="1434">
        <f>ROUND('Release Calculations'!$N$415/$P$4,2)</f>
        <v>0</v>
      </c>
      <c r="Q21" s="1446" t="str">
        <f t="shared" si="15"/>
        <v>bar</v>
      </c>
      <c r="R21" s="1434">
        <f>sig('Release Calculations'!$N$418/$AG$4,3,10,0)</f>
        <v>0</v>
      </c>
      <c r="S21" s="1447" t="str">
        <f t="shared" si="16"/>
        <v>kg/min</v>
      </c>
      <c r="T21" s="1435">
        <f>ROUND('Release Calculations'!$N$434/$T$4,0)</f>
        <v>60</v>
      </c>
      <c r="U21" s="1434">
        <f>ROUND(('Release Calculations'!$N$434+'Release Calculations'!$N$435)/$U$4,0)</f>
        <v>60</v>
      </c>
      <c r="V21" s="1434"/>
      <c r="W21" s="1435"/>
      <c r="X21" s="1438">
        <f>ROUND('Release Calculations'!N$589,3)</f>
        <v>0</v>
      </c>
      <c r="Y21" s="1458" t="str">
        <f>IF('Release Calculations'!$N$602="","",sig('Release Calculations'!$N$602,3,1000,0))</f>
        <v/>
      </c>
      <c r="Z21" s="1458" t="str">
        <f>IF('Release Calculations'!$N$609="","",sig('Release Calculations'!$N$609,3,1000,0))</f>
        <v/>
      </c>
      <c r="AA21" s="1458" t="str">
        <f>IF('Release Calculations'!$N$637="","",sig('Release Calculations'!$N$637,3,1000,0))</f>
        <v/>
      </c>
      <c r="AB21" s="1458" t="str">
        <f>IF('Release Calculations'!$N$644="","",sig('Release Calculations'!$N$644,3,1000,0))</f>
        <v/>
      </c>
      <c r="AC21" s="1458" t="str">
        <f>IF('Release Calculations'!$N$651="","",sig('Release Calculations'!$N$651,3,1000,0))</f>
        <v/>
      </c>
      <c r="AD21" s="1196" t="str">
        <f>IF('Release Calculations'!$N$630="","",ROUND('Release Calculations'!$N$630,1))</f>
        <v/>
      </c>
      <c r="AE21" s="1434">
        <f>sig('Release Calculations'!$N$437/$AE$4,3,100,0)</f>
        <v>0</v>
      </c>
      <c r="AF21" s="1435" t="str">
        <f t="shared" si="17"/>
        <v>kg</v>
      </c>
      <c r="AG21" s="1326">
        <f>sig('Release Calculations'!N$464/$AG$4,3,10,3)</f>
        <v>0</v>
      </c>
      <c r="AH21" s="1435" t="str">
        <f t="shared" si="33"/>
        <v>kg/min</v>
      </c>
      <c r="AI21" s="1434">
        <f>sig('Release Calculations'!$N$666/$AI$4,3,100,0)</f>
        <v>0</v>
      </c>
      <c r="AJ21" s="1435" t="str">
        <f t="shared" si="18"/>
        <v>m</v>
      </c>
      <c r="AK21" s="1434">
        <f>sig('Release Calculations'!$N$669/$AK$4,3,100,0)</f>
        <v>0</v>
      </c>
      <c r="AL21" s="1435" t="str">
        <f t="shared" si="19"/>
        <v>m</v>
      </c>
      <c r="AM21" s="1434">
        <f>sig('Release Calculations'!$N$671/$AM$4,3,100,0)</f>
        <v>0</v>
      </c>
      <c r="AN21" s="1435" t="str">
        <f t="shared" si="20"/>
        <v>m</v>
      </c>
      <c r="AO21" s="1434">
        <f>sig('Release Calculations'!$N$672/$AO$4,3,100,0)</f>
        <v>0</v>
      </c>
      <c r="AP21" s="1452" t="str">
        <f t="shared" si="20"/>
        <v>m</v>
      </c>
      <c r="AQ21" s="1434">
        <f>sig('Release Calculations'!$N$674/$AQ$4,3,100,0)</f>
        <v>0</v>
      </c>
      <c r="AR21" s="1452" t="str">
        <f t="shared" si="20"/>
        <v>m</v>
      </c>
      <c r="AS21" s="1452" t="str">
        <f t="shared" si="21"/>
        <v/>
      </c>
      <c r="AT21" s="1452" t="str">
        <f t="shared" si="22"/>
        <v/>
      </c>
      <c r="AU21" s="1452" t="str">
        <f t="shared" si="23"/>
        <v/>
      </c>
      <c r="AV21" s="114">
        <f>sig('Release Calculations'!$N$679,3,1000,-1)</f>
        <v>0</v>
      </c>
      <c r="AW21" s="114">
        <f>sig('Release Calculations'!$N$680,3,1000,-1)</f>
        <v>0</v>
      </c>
      <c r="AX21" s="114" t="str">
        <f>sig('Release Calculations'!$N$681,3,1000,0)</f>
        <v/>
      </c>
      <c r="AY21" s="114" t="str">
        <f>sig('Release Calculations'!$N$682,3,1000,0)</f>
        <v/>
      </c>
      <c r="AZ21" s="114">
        <f>sig('Release Calculations'!$N$683,3,1000,-1)</f>
        <v>0</v>
      </c>
      <c r="BA21" s="114">
        <f>sig('Release Calculations'!$N$684,3,1000,-1)</f>
        <v>0</v>
      </c>
      <c r="BB21" s="114" t="str">
        <f>sig('Release Calculations'!$N$685,3,10,3)</f>
        <v/>
      </c>
      <c r="BC21" s="2576" t="str">
        <f>sig('Release Calculations'!$N$686,3,10,3)</f>
        <v/>
      </c>
      <c r="BD21" s="2569">
        <f>sig('Release Calculations'!$N$703/$BD$4,3,100,0)</f>
        <v>0</v>
      </c>
      <c r="BE21" s="1435" t="str">
        <f t="shared" si="34"/>
        <v>m</v>
      </c>
      <c r="BF21" s="2569">
        <f>sig('Release Calculations'!$N$702/$BF$4,3,100,0)</f>
        <v>0</v>
      </c>
      <c r="BG21" s="1435" t="str">
        <f t="shared" si="34"/>
        <v>m</v>
      </c>
      <c r="BH21" s="1419"/>
      <c r="BI21" s="1422"/>
      <c r="BJ21" s="1419"/>
      <c r="BK21" s="1422"/>
      <c r="BL21" s="2573"/>
      <c r="BM21" s="2573"/>
      <c r="BN21" s="1441"/>
      <c r="BO21" s="1746"/>
      <c r="BP21" s="1503">
        <f>sig('Release Calculations'!$N$465/$BP$4,3,10,1)</f>
        <v>0</v>
      </c>
      <c r="BQ21" s="1435" t="str">
        <f t="shared" si="24"/>
        <v>kg/min</v>
      </c>
      <c r="BR21" s="1434">
        <f>sig(IF(Location="Indoors",'Release Calculations'!N694/$BR$4,'Release Calculations'!N708/$BR$4),3,100,0)</f>
        <v>0</v>
      </c>
      <c r="BS21" s="1435" t="str">
        <f t="shared" si="25"/>
        <v>m</v>
      </c>
      <c r="BT21" s="1748">
        <f>ROUND(IF(Location="Indoors",'Release Calculations'!$N$697,'Release Calculations'!$N$713),1)</f>
        <v>0</v>
      </c>
      <c r="BU21" s="1748">
        <f>ROUND(IF(Location="Indoors",'Release Calculations'!$N$699,'Release Calculations'!$N$717),1)</f>
        <v>0</v>
      </c>
      <c r="BV21" s="1436"/>
      <c r="BW21" s="1442"/>
      <c r="BX21" s="262"/>
      <c r="BY21" s="262"/>
      <c r="BZ21" s="123"/>
      <c r="CA21" s="4" t="str">
        <f>IF('Release Calculations'!N$721="NA","",'Release Calculations'!N$721)</f>
        <v/>
      </c>
      <c r="CB21" s="4" t="str">
        <f>IF('Release Calculations'!N$751="NA","",'Release Calculations'!N$751)</f>
        <v/>
      </c>
      <c r="CC21" s="4" t="str">
        <f>IF('Release Calculations'!N$756="NA","",'Release Calculations'!N$756)</f>
        <v/>
      </c>
      <c r="CD21" s="735" t="str">
        <f>IF('Release Calculations'!N$761="NA","",'Release Calculations'!N$761)</f>
        <v/>
      </c>
      <c r="CE21" s="4"/>
      <c r="CF21" s="4" t="str">
        <f>IF('Release Calculations'!N$766="NA","",'Release Calculations'!N$766)</f>
        <v/>
      </c>
      <c r="CG21" s="4" t="str">
        <f>IF('Release Calculations'!N$786="NA","",'Release Calculations'!N$786)</f>
        <v/>
      </c>
      <c r="CH21" s="4" t="str">
        <f>IF('Release Calculations'!N$776="NA","",'Release Calculations'!N$776)</f>
        <v/>
      </c>
      <c r="CI21" s="4"/>
      <c r="CJ21" s="4"/>
      <c r="CK21" s="4"/>
      <c r="CL21" s="19"/>
      <c r="CM21" s="19"/>
      <c r="CN21" s="189" t="str">
        <f>IF(CA21="","",IF('Release Calculations'!N$668="Yes",IF(CA21=Conseq_VeryLow,Desc_VeryLow,IF(CA21=Conseq_Low,Desc_Low,IF(CA21=Conseq_Moderate,Desc_Moderate,IF(CA21=Conseq_High,Desc_High,IF(CA21=Conseq_VeryHigh,Desc_VeryHigh,IF(CA21=Conseq_ExtremeHigh,Desc_ExtremeHigh,Desc_GT_ExtremeHigh)))))),IF(CA21=Conseq_Low_Offsite,Desc_Low_Offsite,Desc_VeryLow_Offsite)))</f>
        <v/>
      </c>
      <c r="CO21" s="189" t="str">
        <f t="shared" si="37"/>
        <v/>
      </c>
      <c r="CP21" s="189" t="str">
        <f t="shared" si="38"/>
        <v/>
      </c>
      <c r="CQ21" s="189" t="str">
        <f t="shared" si="39"/>
        <v/>
      </c>
      <c r="CR21" s="67"/>
      <c r="CS21" s="189" t="str">
        <f t="shared" si="40"/>
        <v/>
      </c>
      <c r="CT21" s="189" t="str">
        <f t="shared" si="41"/>
        <v/>
      </c>
      <c r="CU21" s="189" t="str">
        <f t="shared" si="42"/>
        <v/>
      </c>
      <c r="CV21" s="67"/>
      <c r="CW21" s="67"/>
      <c r="CX21" s="67"/>
      <c r="CY21" s="40" t="s">
        <v>822</v>
      </c>
      <c r="CZ21" s="189" t="str">
        <f>IF(CA21="","",IF('Release Calculations'!N$668="Yes"," at a "&amp;$AI$3&amp;" of "&amp;AI21&amp;" "&amp;AJ21&amp;" which exceeds Distance to the Fence Line of "&amp;Public_Input&amp;" "&amp;Public_Units))</f>
        <v/>
      </c>
      <c r="DA21" s="189" t="str">
        <f>IF(CB21="","",IF('Special Calcs'!$G$164="Yes"," with operating personnel in close proximity and a "&amp;$AM$3&amp;" of "&amp;AM21&amp;" "&amp;AN21," at a "&amp;$AM$3&amp;" of "&amp;AM21&amp;" "&amp;AN21)&amp;IF('Release Calculations'!$N$671&gt;Public," which exceeds Distance to the Fence Line of "&amp;Public_Input&amp;" "&amp;Public_Units&amp;".  Target Factor may be conservative",))</f>
        <v/>
      </c>
      <c r="DB21" s="226" t="str">
        <f>IF(CC21="","",IF('Release Calculations'!N690="Yes","and Potential for Asphyxiation","")&amp;IF('Special Calcs'!G$164="Yes"," with operations personnel in close proximity at an "&amp;$AZ$3&amp;" of "&amp;AZ21&amp;" ppm"," at an "&amp;$AZ$3&amp;" of "&amp;AZ21&amp;" ppm"))</f>
        <v/>
      </c>
      <c r="DC21" s="189" t="str">
        <f t="shared" si="27"/>
        <v/>
      </c>
      <c r="DD21" s="67"/>
      <c r="DE21" s="189" t="str">
        <f>IF(CF21="","",IF('Special Calcs'!$G$164="Yes"," with operating personnel in close proximity and a "&amp;$BF$3&amp;" of "&amp;BF21&amp;" "&amp;BG21," at a "&amp;$BF$3&amp;" of "&amp;BF21&amp;" "&amp;BG21))</f>
        <v/>
      </c>
      <c r="DF21" s="189" t="str">
        <f>IF(CG21="","",IF('Release Calculations'!N$709="Yes"," with "&amp;$BR$3&amp;" of "&amp;BR21&amp;" "&amp;BS21&amp;IF('Release Calculations'!N$718&lt;&gt;"Yes",""," including "&amp;$BT$3&amp;" of "&amp;BT21&amp;" psi.")&amp;" 1 psi Blast Overpresssure exceeds Distance to the Fence Line of "&amp;Public_Input&amp;" "&amp;Public_Units&amp;".  Consider adjustment for Off-Site Impacts",IF('Release Calculations'!N$718&lt;&gt;"Yes"," impacting on site personnel at a "&amp;$BR$3&amp;" of "&amp;BR21&amp;" "&amp;BS21," impacting on site personnel at a "&amp;$BR$3&amp;" of "&amp;BR21&amp;" "&amp;BS21&amp;" including "&amp;$BT$3&amp;" of "&amp;BT21&amp;" psi")))</f>
        <v/>
      </c>
      <c r="DG21" s="189" t="str">
        <f>IF(CH21="","",IF('Release Calculations'!N$695="Yes"," with "&amp;$BR$3&amp;" of "&amp;BR21&amp;" "&amp;BS21&amp;IF('Release Calculations'!N$700&lt;&gt;"Yes",""," including "&amp;$BT$3&amp;" of "&amp;BT21&amp;" psi.")&amp;"  1 psi Blast Overpresssure exceeds Distance to the Fence Line of "&amp;Public_Input&amp;" "&amp;Public_Units&amp;".  Consider adjustment for Off-Site Impacts",IF('Release Calculations'!N$700&lt;&gt;"Yes"," impacting enclosed area operating personnel, on site personnel at a "&amp;$BR$3&amp;" of "&amp;BR21&amp;" "&amp;BS21," impacting enclosed area operating personnel, on site personnel at a "&amp;$BR$3&amp;" of "&amp;BR21&amp;" "&amp;BS21&amp;" including "&amp;$BT$3&amp;" of "&amp;BT21&amp;" psi")))</f>
        <v/>
      </c>
      <c r="DH21" s="67"/>
      <c r="DI21" s="67"/>
      <c r="DJ21" s="67"/>
      <c r="DK21" s="19" t="s">
        <v>822</v>
      </c>
      <c r="DL21" s="39"/>
      <c r="DM21" s="239">
        <f>'Release Calculations'!N749</f>
        <v>0</v>
      </c>
      <c r="DN21" s="239">
        <f>'Release Calculations'!N$754</f>
        <v>0</v>
      </c>
      <c r="DO21" s="34"/>
      <c r="DP21" s="34"/>
      <c r="DQ21" s="239">
        <f>'Release Calculations'!N764</f>
        <v>0</v>
      </c>
      <c r="DR21" s="34"/>
      <c r="DS21" s="34"/>
      <c r="DT21" s="34"/>
      <c r="DU21" s="34"/>
      <c r="DV21" s="6"/>
      <c r="DW21" s="40"/>
      <c r="DX21" s="250"/>
      <c r="DY21" s="249" t="s">
        <v>2983</v>
      </c>
      <c r="DZ21" s="250" t="s">
        <v>292</v>
      </c>
      <c r="EA21" s="740"/>
      <c r="EB21" s="248"/>
      <c r="EC21" s="249" t="s">
        <v>292</v>
      </c>
      <c r="ED21" s="248"/>
      <c r="EE21" s="248"/>
      <c r="EF21" s="248"/>
      <c r="EG21" s="248"/>
      <c r="EH21" s="248"/>
      <c r="EI21" s="19"/>
      <c r="EJ21" s="250"/>
      <c r="EK21" s="249" t="str">
        <f>IF(Attended_Op="Yes","Noted as Personnel Routinely in Immediate Area or Equipment Type involves Materials Handling - "&amp;IF('Release Calculations'!N586*3600&lt;30," with a very Short Exposure Duration (&lt; 30 sec)","Time at Risk May Apply"),"Probability of Personnel to be in Close Proximity to Chemical Release based on Toxic Impact Area to "&amp;AM21&amp;" "&amp;AN21&amp;IF('Release Calculations'!N748&lt;0.01," (with potential for higher POE credit upon further review)",""))</f>
        <v>Probability of Personnel to be in Close Proximity to Chemical Release based on Toxic Impact Area to 0 m (with potential for higher POE credit upon further review)</v>
      </c>
      <c r="EL21" s="250" t="str">
        <f>IF(Attended_Op="Yes","Noted as Personnel Routinely in Immediate Area or Equipment Type involves Materials Handling - Time at Risk May Apply","Probability of Personnel to be in Close Proximity to Chemical Release based on Ratio Enclosed Process Area Concentation of "&amp;AZ21&amp;" ppm to 10 ER-3 for "&amp;Chemical&amp;IF(Fract_Key_Chemical&lt;1," mixture "," ")&amp;IF('Release Calculations'!$N$753&lt;0.01,"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21" s="248"/>
      <c r="EN21" s="248"/>
      <c r="EO21"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"&amp;AZ21&amp;" to "&amp;LFL_Fract_FlashFIre&amp;" LFL","Flammable Impact Area to "&amp;BF21&amp;" "&amp;BG21)&amp;IF('Release Calculations'!$N$763&lt;0.01," (with potential for higher POE credit upon further review)",""))</f>
        <v>Probability of Personnel to be in Close Proximity to Chemical Release based on Flammable Impact Area to 0 m (with potential for higher POE credit upon further review)</v>
      </c>
      <c r="EP21" s="248"/>
      <c r="EQ21" s="248"/>
      <c r="ER21" s="248"/>
      <c r="ES21" s="248"/>
      <c r="ET21" s="248"/>
      <c r="EU21" s="19"/>
      <c r="EV21" s="1379"/>
      <c r="EW21" s="957">
        <f>'Release Calculations'!N748</f>
        <v>6.0000000000000008E-7</v>
      </c>
      <c r="EX21" s="957">
        <f>'Release Calculations'!$N$753</f>
        <v>0</v>
      </c>
      <c r="EY21" s="1380"/>
      <c r="EZ21" s="1380"/>
      <c r="FA21" s="957">
        <f>'Release Calculations'!$N$763</f>
        <v>0</v>
      </c>
      <c r="FB21" s="6"/>
      <c r="FC21" s="6"/>
      <c r="FD21" s="6"/>
      <c r="FE21" s="6"/>
      <c r="FF21" s="6"/>
      <c r="FG21" s="19"/>
      <c r="FH21" s="34"/>
      <c r="FI21" s="34"/>
      <c r="FJ21" s="34"/>
      <c r="FK21" s="739"/>
      <c r="FL21" s="34"/>
      <c r="FM21" s="239" t="str">
        <f>IF(Location="Outdoors",'Release Calculations'!N$706,'Release Calculations'!N$692)</f>
        <v/>
      </c>
      <c r="FN21" s="239" t="str">
        <f>'Release Calculations'!N$707</f>
        <v/>
      </c>
      <c r="FO21" s="39" t="str">
        <f>IF(State&lt;&gt;"Solid",'Release Calculations'!N$692,Dust_SecondExpl_POE)</f>
        <v/>
      </c>
      <c r="FP21" s="34"/>
      <c r="FQ21" s="34"/>
      <c r="FR21" s="6"/>
      <c r="FS21" s="40"/>
      <c r="FT21" s="248"/>
      <c r="FU21" s="248"/>
      <c r="FV21" s="248"/>
      <c r="FW21" s="741"/>
      <c r="FX21" s="248"/>
      <c r="FY21" s="249" t="s">
        <v>1461</v>
      </c>
      <c r="FZ21" s="249" t="s">
        <v>1460</v>
      </c>
      <c r="GA21" s="250" t="s">
        <v>1461</v>
      </c>
      <c r="GB21" s="248"/>
      <c r="GC21" s="248"/>
      <c r="GD21" s="248"/>
      <c r="GE21" s="19"/>
      <c r="GF21" s="248"/>
      <c r="GG21" s="248"/>
      <c r="GH21" s="248"/>
      <c r="GI21" s="741"/>
      <c r="GJ21" s="248"/>
      <c r="GK21"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"&amp;BP21&amp;" "&amp;BQ21&amp;" Easily Ignited Material with Distance to LFL of "&amp;BD21&amp;" "&amp;BE21,IF(Ease_of_Ignition_Feed="Low","Outdoor Release of Difficult to Ignite Material","Outdoor release of "&amp;BP21&amp;" "&amp;BQ21&amp;" Flammable Material with Distance to LFL of "&amp;BD21&amp;" "&amp;BE21)),IF(Ease_of_Ignition_Feed="Elevated","Indoor Release of Easily Ignited Material",IF(Ease_of_Ignition_Feed="Low","Indoor Release of Difficult to Ignite Material","Indoor Release of Flammable Material")))))))</f>
        <v>No Flash Point Entered</v>
      </c>
      <c r="GL21" s="2581" t="str">
        <f t="shared" si="28"/>
        <v>No Flash Point Entered</v>
      </c>
      <c r="GM21" s="250" t="str">
        <f t="shared" si="29"/>
        <v>Indoor Release of Flammable Material-POX</v>
      </c>
      <c r="GN21" s="248"/>
      <c r="GO21" s="248"/>
      <c r="GP21" s="248"/>
      <c r="GQ21" s="19"/>
      <c r="GR21" s="189" t="str">
        <f t="shared" si="35"/>
        <v/>
      </c>
      <c r="GS21" s="19"/>
      <c r="GT21" s="19"/>
      <c r="GU21" s="64" t="str">
        <f>Desc_VeryHigh_Environ</f>
        <v>Incident with Significant National Media Attention</v>
      </c>
      <c r="GV21" s="193">
        <f>Conseq_VeryHigh_Environ</f>
        <v>5</v>
      </c>
      <c r="GW21" s="19"/>
      <c r="GX21" s="19"/>
      <c r="GY21" s="19"/>
      <c r="GZ21" s="19"/>
      <c r="HA21" s="19"/>
      <c r="HB21" s="19"/>
      <c r="HC21" s="19"/>
      <c r="HD21" s="19"/>
      <c r="HE21" s="19"/>
      <c r="HF21" s="19"/>
      <c r="HG21" s="19"/>
      <c r="HH21" s="19"/>
      <c r="HI21" s="19"/>
    </row>
    <row r="22" spans="1:217" s="5" customFormat="1" ht="12.75" customHeight="1" x14ac:dyDescent="0.25">
      <c r="A22" s="35"/>
      <c r="B22" s="64" t="str">
        <f>'Scenario Identification'!CA3</f>
        <v>Very Large Hole Size Leak</v>
      </c>
      <c r="C22" s="1457" t="str">
        <f t="shared" si="10"/>
        <v/>
      </c>
      <c r="D22" s="65"/>
      <c r="E22" s="2483" t="str">
        <f>IF(MAX('Release Calculations'!V35,'Release Calculations'!V43,'Release Calculations'!V62,1-'Release Calculations'!V82,ABS(MIN('Release Calculations'!V35,'Release Calculations'!V43,'Release Calculations'!V62,1-'Release Calculations'!V82)))&gt;$E$4,"Yes","")</f>
        <v/>
      </c>
      <c r="F22" s="1418" t="s">
        <v>428</v>
      </c>
      <c r="G22" s="1434">
        <f t="shared" si="11"/>
        <v>0</v>
      </c>
      <c r="H22" s="1427" t="str">
        <f t="shared" si="31"/>
        <v>liter</v>
      </c>
      <c r="I22" s="1418">
        <f>ROUND('Release Calculations'!V7/$I$4,2)</f>
        <v>50</v>
      </c>
      <c r="J22" s="1421" t="str">
        <f t="shared" si="32"/>
        <v>mm</v>
      </c>
      <c r="K22" s="1427">
        <f t="shared" si="12"/>
        <v>0</v>
      </c>
      <c r="L22" s="1434">
        <f>sig('Release Calculations'!$V$16/$L$4,3,100,0)</f>
        <v>0</v>
      </c>
      <c r="M22" s="1435" t="str">
        <f t="shared" si="13"/>
        <v>kg</v>
      </c>
      <c r="N22" s="1432" t="str">
        <f t="shared" si="14"/>
        <v xml:space="preserve">Liquid:   ,  ,  ,  ,  </v>
      </c>
      <c r="O22" s="1434">
        <f>ROUND('Release Calculations'!$V$9,0)</f>
        <v>0</v>
      </c>
      <c r="P22" s="1434">
        <f>ROUND('Release Calculations'!$V$8/$P$4,2)</f>
        <v>0</v>
      </c>
      <c r="Q22" s="1446" t="str">
        <f t="shared" si="15"/>
        <v>bar</v>
      </c>
      <c r="R22" s="1434">
        <f>sig('Release Calculations'!$V$23/$AG$4,3,10,0)</f>
        <v>10.1</v>
      </c>
      <c r="S22" s="1447" t="str">
        <f t="shared" si="16"/>
        <v>kg/min</v>
      </c>
      <c r="T22" s="1435">
        <f>ROUND('Release Calculations'!$V$13/$T$4,0)</f>
        <v>0</v>
      </c>
      <c r="U22" s="1434">
        <f>ROUND(('Release Calculations'!$V$13+'Release Calculations'!$V$14)/$U$4,0)</f>
        <v>0</v>
      </c>
      <c r="V22" s="1434">
        <f>sig('Release Calculations'!$V$55/$V$4,3,100,0)</f>
        <v>0</v>
      </c>
      <c r="W22" s="1435" t="str">
        <f>IF(Report_A&lt;&gt;"",Report_A,IF(Dike_Area_Units="","sq m",Dike_Area_Units))</f>
        <v>sq m</v>
      </c>
      <c r="X22" s="1438">
        <f>ROUND('Release Calculations'!V$214,3)</f>
        <v>0</v>
      </c>
      <c r="Y22" s="1458" t="str">
        <f>IF('Release Calculations'!$V$225="","",sig('Release Calculations'!$V$225,3,1000,0))</f>
        <v/>
      </c>
      <c r="Z22" s="1458" t="str">
        <f>IF('Release Calculations'!$V$231="","",sig('Release Calculations'!$V$231,3,1000,0))</f>
        <v/>
      </c>
      <c r="AA22" s="1458" t="str">
        <f>IF('Release Calculations'!$V$255="","",sig('Release Calculations'!$V$255,3,1000,0))</f>
        <v/>
      </c>
      <c r="AB22" s="1458" t="str">
        <f>IF('Release Calculations'!$V$261="","",sig('Release Calculations'!$V$261,3,1000,0))</f>
        <v/>
      </c>
      <c r="AC22" s="1458" t="str">
        <f>IF('Release Calculations'!$V$267="","",sig('Release Calculations'!$V$267,3,1000,0))</f>
        <v/>
      </c>
      <c r="AD22" s="1196" t="str">
        <f>IF('Release Calculations'!$V$249="","",ROUND('Release Calculations'!$V$249,1))</f>
        <v/>
      </c>
      <c r="AE22" s="1434">
        <f>sig('Release Calculations'!$V$70/$AE$4,3,100,0)</f>
        <v>0</v>
      </c>
      <c r="AF22" s="1435" t="str">
        <f t="shared" si="17"/>
        <v>kg</v>
      </c>
      <c r="AG22" s="1326">
        <f>sig('Release Calculations'!V$89/$AG$4,3,10,3)</f>
        <v>3.0000000000000001E-3</v>
      </c>
      <c r="AH22" s="1435" t="str">
        <f t="shared" si="33"/>
        <v>kg/min</v>
      </c>
      <c r="AI22" s="1434">
        <f>sig('Release Calculations'!$V$282/$AI$4,3,100,0)</f>
        <v>0</v>
      </c>
      <c r="AJ22" s="1435" t="str">
        <f t="shared" si="18"/>
        <v>m</v>
      </c>
      <c r="AK22" s="1434">
        <f>sig('Release Calculations'!$V$285/$AK$4,3,100,0)</f>
        <v>0</v>
      </c>
      <c r="AL22" s="1435" t="str">
        <f t="shared" si="19"/>
        <v>m</v>
      </c>
      <c r="AM22" s="1434">
        <f>sig('Release Calculations'!$V$287/$AM$4,3,100,0)</f>
        <v>0</v>
      </c>
      <c r="AN22" s="1435" t="str">
        <f t="shared" si="20"/>
        <v>m</v>
      </c>
      <c r="AO22" s="1434">
        <f>sig('Release Calculations'!$V$288/$AO$4,3,100,0)</f>
        <v>0</v>
      </c>
      <c r="AP22" s="1452" t="str">
        <f t="shared" si="20"/>
        <v>m</v>
      </c>
      <c r="AQ22" s="1434">
        <f>sig('Release Calculations'!$V$290/$AQ$4,3,100,0)</f>
        <v>0</v>
      </c>
      <c r="AR22" s="1452" t="str">
        <f t="shared" si="20"/>
        <v>m</v>
      </c>
      <c r="AS22" s="1452" t="str">
        <f t="shared" si="21"/>
        <v/>
      </c>
      <c r="AT22" s="1452" t="str">
        <f t="shared" si="22"/>
        <v/>
      </c>
      <c r="AU22" s="1452" t="str">
        <f t="shared" si="23"/>
        <v/>
      </c>
      <c r="AV22" s="114">
        <f>sig('Release Calculations'!$V$296,3,1000,-1)</f>
        <v>0</v>
      </c>
      <c r="AW22" s="114">
        <f>sig('Release Calculations'!$V$297,3,1000,-1)</f>
        <v>0</v>
      </c>
      <c r="AX22" s="114" t="str">
        <f>sig('Release Calculations'!$V$298,3,1000,0)</f>
        <v/>
      </c>
      <c r="AY22" s="114" t="str">
        <f>sig('Release Calculations'!$V$299,3,1000,0)</f>
        <v/>
      </c>
      <c r="AZ22" s="114">
        <f>sig('Release Calculations'!$V$300,3,1000,-1)</f>
        <v>0</v>
      </c>
      <c r="BA22" s="114">
        <f>sig('Release Calculations'!$V$301,3,1000,-1)</f>
        <v>0</v>
      </c>
      <c r="BB22" s="114" t="str">
        <f>sig('Release Calculations'!$V$302,3,10,3)</f>
        <v/>
      </c>
      <c r="BC22" s="2576" t="str">
        <f>sig('Release Calculations'!$V$303,3,10,3)</f>
        <v/>
      </c>
      <c r="BD22" s="2569">
        <f>sig('Release Calculations'!$V$320/$BD$4,3,100,0)</f>
        <v>0</v>
      </c>
      <c r="BE22" s="1435" t="str">
        <f t="shared" si="34"/>
        <v>m</v>
      </c>
      <c r="BF22" s="2569">
        <f>sig('Release Calculations'!$V$319/$BF$4,3,100,0)</f>
        <v>0</v>
      </c>
      <c r="BG22" s="1435" t="str">
        <f t="shared" si="34"/>
        <v>m</v>
      </c>
      <c r="BH22" s="1419"/>
      <c r="BI22" s="1422"/>
      <c r="BJ22" s="1419"/>
      <c r="BK22" s="1422"/>
      <c r="BL22" s="2573"/>
      <c r="BM22" s="2573"/>
      <c r="BN22" s="1441"/>
      <c r="BO22" s="1746"/>
      <c r="BP22" s="1503">
        <f>sig('Release Calculations'!$V$90/$BP$4,3,10,1)</f>
        <v>0</v>
      </c>
      <c r="BQ22" s="1435" t="str">
        <f t="shared" si="24"/>
        <v>kg/min</v>
      </c>
      <c r="BR22" s="1434">
        <f>sig(IF(Location="Indoors",'Release Calculations'!V311/$BR$4,'Release Calculations'!V325/$BR$4),3,100,0)</f>
        <v>0</v>
      </c>
      <c r="BS22" s="1435" t="str">
        <f t="shared" si="25"/>
        <v>m</v>
      </c>
      <c r="BT22" s="1748">
        <f>ROUND(IF(Location="Indoors",'Release Calculations'!$V$314,'Release Calculations'!$V$330),1)</f>
        <v>0</v>
      </c>
      <c r="BU22" s="1748">
        <f>ROUND(IF(Location="Indoors",'Release Calculations'!$V$316,'Release Calculations'!$V$334),1)</f>
        <v>0</v>
      </c>
      <c r="BV22" s="1436"/>
      <c r="BW22" s="1442"/>
      <c r="BX22" s="262"/>
      <c r="BY22" s="262"/>
      <c r="BZ22" s="123"/>
      <c r="CA22" s="4" t="str">
        <f>IF('Release Calculations'!V$338="NA","",'Release Calculations'!V$338)</f>
        <v/>
      </c>
      <c r="CB22" s="4" t="str">
        <f>IF('Release Calculations'!V$368="NA","",'Release Calculations'!V$368)</f>
        <v/>
      </c>
      <c r="CC22" s="4" t="str">
        <f>IF('Release Calculations'!V$373="NA","",'Release Calculations'!V$373)</f>
        <v/>
      </c>
      <c r="CD22" s="735" t="str">
        <f>IF('Release Calculations'!V$378="NA","",'Release Calculations'!V$378)</f>
        <v/>
      </c>
      <c r="CE22" s="4" t="str">
        <f>IF('Release Calculations'!V$384="NA","",'Release Calculations'!V$384)</f>
        <v/>
      </c>
      <c r="CF22" s="4" t="str">
        <f>IF('Release Calculations'!V$389="NA","",'Release Calculations'!V$389)</f>
        <v/>
      </c>
      <c r="CG22" s="4" t="str">
        <f>IF('Release Calculations'!V$409="NA","",'Release Calculations'!V$409)</f>
        <v/>
      </c>
      <c r="CH22" s="4" t="str">
        <f>IF('Release Calculations'!V$399="NA","",'Release Calculations'!V$399)</f>
        <v/>
      </c>
      <c r="CI22" s="4"/>
      <c r="CJ22" s="4"/>
      <c r="CK22" s="4" t="str">
        <f>IF('Release Calculations'!BD426="NA","",'Release Calculations'!BD426)</f>
        <v/>
      </c>
      <c r="CL22" s="19"/>
      <c r="CM22" s="19"/>
      <c r="CN22" s="189" t="str">
        <f>IF(CA22="","",IF('Release Calculations'!V$284="Yes",IF(CA22=Conseq_VeryLow,Desc_VeryLow,IF(CA22=Conseq_Low,Desc_Low,IF(CA22=Conseq_Moderate,Desc_Moderate,IF(CA22=Conseq_High,Desc_High,IF(CA22=Conseq_VeryHigh,Desc_VeryHigh,IF(CA22=Conseq_ExtremeHigh,Desc_ExtremeHigh,Desc_GT_ExtremeHigh)))))),IF(CA22=Conseq_Low_Offsite,Desc_Low_Offsite,Desc_VeryLow_Offsite)))</f>
        <v/>
      </c>
      <c r="CO22" s="189" t="str">
        <f t="shared" si="37"/>
        <v/>
      </c>
      <c r="CP22" s="189" t="str">
        <f t="shared" si="38"/>
        <v/>
      </c>
      <c r="CQ22" s="189" t="str">
        <f t="shared" si="39"/>
        <v/>
      </c>
      <c r="CR22" s="189" t="str">
        <f>IF(CE22="","",IF(CE22=Conseq_VeryLow,Desc_VeryLow,IF(CE22=Conseq_Low,Desc_Low,IF(CE22=Conseq_Moderate,Desc_Moderate,IF(CE22=Conseq_High,Desc_High,IF(CE22=Conseq_VeryHigh,Desc_VeryHigh,IF(CE22=Conseq_ExtremeHigh,Desc_ExtremeHigh,Desc_GT_ExtremeHigh)))))))</f>
        <v/>
      </c>
      <c r="CS22" s="189" t="str">
        <f t="shared" si="40"/>
        <v/>
      </c>
      <c r="CT22" s="189" t="str">
        <f t="shared" si="41"/>
        <v/>
      </c>
      <c r="CU22" s="189" t="str">
        <f t="shared" si="42"/>
        <v/>
      </c>
      <c r="CV22" s="67"/>
      <c r="CW22" s="67"/>
      <c r="CX22" s="189" t="str">
        <f>IF(CK22="","",IF(CK22=Conseq_VeryLow,Desc_VeryLow_Environ,IF(CK22=Conseq_Low,Desc_Low_Environ,IF(CK22=Conseq_Moderate,Desc_Moderate_Environ,IF(CK22=Conseq_High,Desc_High_Environ,IF(CK22=Conseq_VeryHigh,Desc_VeryHigh_Environ,Desc_ExtremeHigh_Environ))))))</f>
        <v/>
      </c>
      <c r="CY22" s="40" t="s">
        <v>822</v>
      </c>
      <c r="CZ22" s="189" t="str">
        <f>IF(CA22="","",IF('Release Calculations'!V$284="Yes"," at a "&amp;$AI$3&amp;" of "&amp;AI22&amp;" "&amp;AJ22&amp;" which exceeds Distance to the Fence Line of "&amp;Public_Input&amp;" "&amp;Public_Units))</f>
        <v/>
      </c>
      <c r="DA22" s="189" t="str">
        <f>IF(CB22="","",IF('Release Calculations'!$V$292="Yes"," with operating personnel in close proximity and a "&amp;$AM$3&amp;" of "&amp;AM22&amp;" "&amp;AN22," at a "&amp;$AM$3&amp;" of "&amp;AM22&amp;" "&amp;AN22)&amp;IF('Release Calculations'!$V$287&gt;Public," which exceeds Distance to the Fence Line of "&amp;Public_Input&amp;" "&amp;Public_Units&amp;".  Target Factor may be conservative",))</f>
        <v/>
      </c>
      <c r="DB22" s="226" t="str">
        <f>IF(CC22="","",IF('Release Calculations'!V305="Yes","and Potential for Asphyxiation","")&amp;" at an "&amp;$AZ$3&amp;" of "&amp;AZ22&amp;" ppm")</f>
        <v/>
      </c>
      <c r="DC22" s="189" t="str">
        <f t="shared" si="27"/>
        <v/>
      </c>
      <c r="DD22" s="189" t="str">
        <f>IF(CE22="",""," of a "&amp;IF(Ease_of_Ignition_Feed="High","pyrophoric ","high/low temperature ")&amp;IF(Dermal_Tox_Feed&lt;&gt;"","or "&amp;Dermal_Tox_Feed,"")&amp;" chemical"&amp;IF('Release Calculations'!$V$292="Yes"," with operating personnel in close proximity",""))</f>
        <v/>
      </c>
      <c r="DE22" s="189" t="str">
        <f>IF(CF22="",""," at a "&amp;$BF$3&amp;" of "&amp;BF22&amp;" "&amp;BG22)</f>
        <v/>
      </c>
      <c r="DF22" s="189" t="str">
        <f>IF(CG22="","",IF('Release Calculations'!V$326="Yes"," with "&amp;$BR$3&amp;" of "&amp;BR22&amp;" "&amp;BS22&amp;IF('Release Calculations'!V$335&lt;&gt;"Yes",""," including "&amp;$BT$3&amp;" of "&amp;BT22&amp;" psi.")&amp;" 1 psi Blast Overpresssure exceeds Distance to the Fence Line of "&amp;Public_Input&amp;" "&amp;Public_Units&amp;".  Consider adjustment for Off-Site Impacts",IF('Release Calculations'!V$335&lt;&gt;"Yes"," impacting on site personnel at a "&amp;$BR$3&amp;" of "&amp;BR22&amp;" "&amp;BS22," impacting on site personnel at a "&amp;$BR$3&amp;" of "&amp;BR22&amp;" "&amp;BS22&amp;" including "&amp;$BT$3&amp;" of "&amp;BT22&amp;" psi")))</f>
        <v/>
      </c>
      <c r="DG22" s="189" t="str">
        <f>IF(CH22="","",IF('Release Calculations'!V$312="Yes"," with "&amp;$BR$3&amp;" of "&amp;BR22&amp;" "&amp;BS22&amp;IF('Release Calculations'!V$317&lt;&gt;"Yes",""," including "&amp;$BT$3&amp;" of "&amp;BT22&amp;" psi.")&amp;"  1 psi Blast Overpresssure exceeds Distance to the Fence Line of "&amp;Public_Input&amp;" "&amp;Public_Units&amp;".  Consider adjustment for Off-Site Impacts",IF('Release Calculations'!V$317&lt;&gt;"Yes"," impacting enclosed area operating personnel, on site personnel at a "&amp;$BR$3&amp;" of "&amp;BR22&amp;" "&amp;BS22," impacting enclosed area operating personnel, on site personnel at a "&amp;$BR$3&amp;" of "&amp;BR22&amp;" "&amp;BS22&amp;" including "&amp;$BT$3&amp;" of "&amp;BT22&amp;" psi")))</f>
        <v/>
      </c>
      <c r="DH22" s="67"/>
      <c r="DI22" s="67"/>
      <c r="DJ22" s="189" t="str">
        <f>IF('Release Calculations'!AZ426&gt;0,"Groundwater or Remediation Issue",IF('Release Calculations'!BB426&gt;0,"High Aqueous Toxicity",""))</f>
        <v/>
      </c>
      <c r="DK22" s="19"/>
      <c r="DL22" s="39"/>
      <c r="DM22" s="239">
        <f>'Release Calculations'!V366</f>
        <v>0</v>
      </c>
      <c r="DN22" s="239">
        <f>'Release Calculations'!V$371</f>
        <v>0</v>
      </c>
      <c r="DO22" s="34"/>
      <c r="DP22" s="239">
        <f>'Release Calculations'!V382</f>
        <v>0</v>
      </c>
      <c r="DQ22" s="239">
        <f>'Release Calculations'!V387</f>
        <v>0</v>
      </c>
      <c r="DR22" s="34"/>
      <c r="DS22" s="34"/>
      <c r="DT22" s="34"/>
      <c r="DU22" s="34"/>
      <c r="DV22" s="6"/>
      <c r="DW22" s="40"/>
      <c r="DX22" s="250"/>
      <c r="DY22" s="249" t="s">
        <v>2983</v>
      </c>
      <c r="DZ22" s="250" t="s">
        <v>292</v>
      </c>
      <c r="EA22" s="740"/>
      <c r="EB22" s="249" t="str">
        <f>"Probability of Exposure to Hot or Toxic Material"</f>
        <v>Probability of Exposure to Hot or Toxic Material</v>
      </c>
      <c r="EC22" s="249" t="s">
        <v>292</v>
      </c>
      <c r="ED22" s="248"/>
      <c r="EE22" s="248"/>
      <c r="EF22" s="248"/>
      <c r="EG22" s="248"/>
      <c r="EH22" s="248"/>
      <c r="EI22" s="19"/>
      <c r="EJ22" s="250"/>
      <c r="EK22" s="249" t="str">
        <f>IF(Attended_Op="Yes","Noted as Personnel Routinely in Immediate Area or Equipment Type involves Materials Handling - "&amp;IF('Release Calculations'!V210*3600&lt;30," with a very Short Exposure Duration (&lt; 30 sec)","Time at Risk May Apply"),"Probability of Personnel to be in Close Proximity to Chemical Release based on Toxic Impact Area to "&amp;AM22&amp;" "&amp;AN22&amp;IF('Release Calculations'!V365&lt;0.01," (with potential for higher POE credit upon further review)",""))</f>
        <v>Probability of Personnel to be in Close Proximity to Chemical Release based on Toxic Impact Area to 0 m (with potential for higher POE credit upon further review)</v>
      </c>
      <c r="EL22" s="250" t="str">
        <f>IF(Attended_Op="Yes","Noted as Personnel Routinely in Immediate Area or Equipment Type involves Materials Handling - Time at Risk May Apply","Probability of Personnel to be in Close Proximity to Chemical Release based on Ratio Enclosed Process Area Concentation of "&amp;AZ22&amp;" ppm to 10 ER-3 for "&amp;Chemical&amp;IF(Fract_Key_Chemical&lt;1," mixture "," ")&amp;IF('Release Calculations'!$V$370&lt;0.01,"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22" s="248"/>
      <c r="EN22"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Calculations'!$V$381&lt;0.01," (with potential for higher POE credit upon further review)",""))</f>
        <v>Probability of Personnel to be in Close Proximity to Chemical Release based on Spray Distance of 1 m (with potential for higher POE credit upon further review)</v>
      </c>
      <c r="EO22"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"&amp;AZ22&amp;" to "&amp;LFL_Fract_FlashFIre&amp;" LFL","Flammable Impact Area to "&amp;BF22&amp;" "&amp;BG22)&amp;IF('Release Calculations'!$V$386&lt;0.01," (with potential for higher POE credit upon further review)",""))</f>
        <v>Probability of Personnel to be in Close Proximity to Chemical Release based on Flammable Impact Area to 0 m (with potential for higher POE credit upon further review)</v>
      </c>
      <c r="EP22" s="248"/>
      <c r="EQ22" s="248"/>
      <c r="ER22" s="248"/>
      <c r="ES22" s="248"/>
      <c r="ET22" s="248"/>
      <c r="EU22" s="19"/>
      <c r="EV22" s="1379"/>
      <c r="EW22" s="957">
        <f>'Release Calculations'!V365</f>
        <v>6.0000000000000008E-7</v>
      </c>
      <c r="EX22" s="957">
        <f>'Release Calculations'!$V$370</f>
        <v>0</v>
      </c>
      <c r="EY22" s="1380"/>
      <c r="EZ22" s="957">
        <f>'Release Calculations'!$V$381</f>
        <v>0</v>
      </c>
      <c r="FA22" s="957">
        <f>'Release Calculations'!$V$386</f>
        <v>0</v>
      </c>
      <c r="FB22" s="6"/>
      <c r="FC22" s="6"/>
      <c r="FD22" s="6"/>
      <c r="FE22" s="6"/>
      <c r="FF22" s="6"/>
      <c r="FG22" s="19"/>
      <c r="FH22" s="34"/>
      <c r="FI22" s="34"/>
      <c r="FJ22" s="34"/>
      <c r="FK22" s="739"/>
      <c r="FL22" s="34"/>
      <c r="FM22" s="239" t="str">
        <f>IF(Location="Outdoors",'Release Calculations'!V$323,'Release Calculations'!V$309)</f>
        <v/>
      </c>
      <c r="FN22" s="239" t="str">
        <f>'Release Calculations'!V$324</f>
        <v/>
      </c>
      <c r="FO22" s="39" t="str">
        <f>IF(State&lt;&gt;"Solid",'Release Calculations'!V$309,Dust_SecondExpl_POE)</f>
        <v/>
      </c>
      <c r="FP22" s="34"/>
      <c r="FQ22" s="34"/>
      <c r="FR22" s="6"/>
      <c r="FS22" s="40"/>
      <c r="FT22" s="248"/>
      <c r="FU22" s="248"/>
      <c r="FV22" s="248"/>
      <c r="FW22" s="741"/>
      <c r="FX22" s="248"/>
      <c r="FY22" s="249" t="s">
        <v>1461</v>
      </c>
      <c r="FZ22" s="249" t="s">
        <v>1460</v>
      </c>
      <c r="GA22" s="250" t="s">
        <v>1461</v>
      </c>
      <c r="GB22" s="248"/>
      <c r="GC22" s="248"/>
      <c r="GD22" s="248"/>
      <c r="GE22" s="19"/>
      <c r="GF22" s="248"/>
      <c r="GG22" s="248"/>
      <c r="GH22" s="248"/>
      <c r="GI22" s="741"/>
      <c r="GJ22" s="248"/>
      <c r="GK22"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"&amp;BP22&amp;" "&amp;BQ22&amp;" Easily Ignited Material with Distance to LFL of "&amp;BD22&amp;" "&amp;BE22,IF(OR(Ease_of_Ignition_Feed="Low",AND(Flash_Pt_Feed&gt;MAX(Ambient_Temp,T),Aerosol_Potential="Yes")),"Outdoor Release of Difficult to Ignite Material or Combustible Aerosol","Outdoor release of "&amp;BP22&amp;" "&amp;BQ22&amp;" Flammable Material with Distance to LFL of "&amp;BD22&amp;" "&amp;BE22)),IF(Ease_of_Ignition_Feed="Elevated","Indoor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22" s="2581" t="str">
        <f t="shared" si="28"/>
        <v>No Flash Point Entered</v>
      </c>
      <c r="GM22" s="250" t="str">
        <f t="shared" si="29"/>
        <v>Indoor Release of Flammable Material-POX</v>
      </c>
      <c r="GN22" s="248"/>
      <c r="GO22" s="248"/>
      <c r="GP22" s="248"/>
      <c r="GQ22" s="19"/>
      <c r="GR22" s="189" t="str">
        <f t="shared" si="35"/>
        <v/>
      </c>
      <c r="GS22" s="19"/>
      <c r="GT22" s="19"/>
      <c r="GU22" s="64" t="s">
        <v>1099</v>
      </c>
      <c r="GV22" s="193">
        <f>Conseq_ExtremeHigh_Environ</f>
        <v>5</v>
      </c>
      <c r="GW22" s="19"/>
      <c r="GX22" s="19"/>
      <c r="GY22" s="19"/>
      <c r="GZ22" s="19"/>
      <c r="HA22" s="19"/>
      <c r="HB22" s="19"/>
      <c r="HC22" s="19"/>
      <c r="HD22" s="19"/>
      <c r="HE22" s="19"/>
      <c r="HF22" s="19"/>
      <c r="HG22" s="19"/>
      <c r="HH22" s="19"/>
      <c r="HI22" s="19"/>
    </row>
    <row r="23" spans="1:217" ht="12.75" customHeight="1" x14ac:dyDescent="0.25">
      <c r="A23" s="35"/>
      <c r="B23" s="64" t="str">
        <f>'Scenario Identification'!CB3</f>
        <v>Very Large Hole Size Leak above Liquid Level</v>
      </c>
      <c r="C23" s="1457" t="str">
        <f t="shared" si="10"/>
        <v/>
      </c>
      <c r="D23" s="65"/>
      <c r="E23" s="2483" t="str">
        <f>IF(MAX('Release Calculations'!V426,1-'Release Calculations'!V455,ABS(MIN('Release Calculations'!V426,1-'Release Calculations'!V455)))&gt;$E$4,"Yes","")</f>
        <v/>
      </c>
      <c r="F23" s="1418" t="s">
        <v>428</v>
      </c>
      <c r="G23" s="1434">
        <f t="shared" si="11"/>
        <v>0</v>
      </c>
      <c r="H23" s="1427" t="str">
        <f t="shared" si="31"/>
        <v>liter</v>
      </c>
      <c r="I23" s="1418">
        <f>ROUND('Release Calculations'!V7/$I$4,2)</f>
        <v>50</v>
      </c>
      <c r="J23" s="1421" t="str">
        <f t="shared" si="32"/>
        <v>mm</v>
      </c>
      <c r="K23" s="1427">
        <f t="shared" si="12"/>
        <v>0</v>
      </c>
      <c r="L23" s="1434">
        <f>sig('Release Calculations'!$V$437/$L$4,3,100,0)</f>
        <v>0</v>
      </c>
      <c r="M23" s="1435" t="str">
        <f t="shared" si="13"/>
        <v>kg</v>
      </c>
      <c r="N23" s="1432" t="str">
        <f t="shared" si="14"/>
        <v xml:space="preserve">Liquid:   ,  ,  ,  ,  </v>
      </c>
      <c r="O23" s="1434">
        <f>ROUND('Release Calculations'!$V$416,0)</f>
        <v>0</v>
      </c>
      <c r="P23" s="1434">
        <f>ROUND('Release Calculations'!$V$415/$P$4,2)</f>
        <v>0</v>
      </c>
      <c r="Q23" s="1446" t="str">
        <f t="shared" si="15"/>
        <v>bar</v>
      </c>
      <c r="R23" s="1434">
        <f>sig('Release Calculations'!$V$418/$AG$4,3,10,0)</f>
        <v>1</v>
      </c>
      <c r="S23" s="1447" t="str">
        <f t="shared" si="16"/>
        <v>kg/min</v>
      </c>
      <c r="T23" s="1435">
        <f>ROUND('Release Calculations'!$V$434/$T$4,0)</f>
        <v>0</v>
      </c>
      <c r="U23" s="1434">
        <f>ROUND(('Release Calculations'!$V$434+'Release Calculations'!$V$435)/$U$4,0)</f>
        <v>60</v>
      </c>
      <c r="V23" s="1434"/>
      <c r="W23" s="1435"/>
      <c r="X23" s="1438">
        <f>ROUND('Release Calculations'!V$589,3)</f>
        <v>0</v>
      </c>
      <c r="Y23" s="1458" t="str">
        <f>IF('Release Calculations'!$V$602="","",sig('Release Calculations'!$V$602,3,1000,0))</f>
        <v/>
      </c>
      <c r="Z23" s="1458" t="str">
        <f>IF('Release Calculations'!$V$609="","",sig('Release Calculations'!$V$609,3,1000,0))</f>
        <v/>
      </c>
      <c r="AA23" s="1458" t="str">
        <f>IF('Release Calculations'!$V$637="","",sig('Release Calculations'!$V$637,3,1000,0))</f>
        <v/>
      </c>
      <c r="AB23" s="1458" t="str">
        <f>IF('Release Calculations'!$V$644="","",sig('Release Calculations'!$V$644,3,1000,0))</f>
        <v/>
      </c>
      <c r="AC23" s="1458" t="str">
        <f>IF('Release Calculations'!$V$651="","",sig('Release Calculations'!$V$651,3,1000,0))</f>
        <v/>
      </c>
      <c r="AD23" s="1196" t="str">
        <f>IF('Release Calculations'!$V$630="","",ROUND('Release Calculations'!$V$630,1))</f>
        <v/>
      </c>
      <c r="AE23" s="1434">
        <f>sig('Release Calculations'!$V$437/$AE$4,3,100,0)</f>
        <v>0</v>
      </c>
      <c r="AF23" s="1435" t="str">
        <f t="shared" si="17"/>
        <v>kg</v>
      </c>
      <c r="AG23" s="1326">
        <f>sig('Release Calculations'!V$464/$AG$4,3,10,3)</f>
        <v>1.169</v>
      </c>
      <c r="AH23" s="1435" t="str">
        <f t="shared" si="33"/>
        <v>kg/min</v>
      </c>
      <c r="AI23" s="1434">
        <f>sig('Release Calculations'!$V$666/$AI$4,3,100,0)</f>
        <v>0</v>
      </c>
      <c r="AJ23" s="1435" t="str">
        <f t="shared" si="18"/>
        <v>m</v>
      </c>
      <c r="AK23" s="1434">
        <f>sig('Release Calculations'!$V$669/$AK$4,3,100,0)</f>
        <v>0</v>
      </c>
      <c r="AL23" s="1435" t="str">
        <f t="shared" si="19"/>
        <v>m</v>
      </c>
      <c r="AM23" s="1434">
        <f>sig('Release Calculations'!$V$671/$AM$4,3,100,0)</f>
        <v>0</v>
      </c>
      <c r="AN23" s="1435" t="str">
        <f t="shared" si="20"/>
        <v>m</v>
      </c>
      <c r="AO23" s="1434">
        <f>sig('Release Calculations'!$V$672/$AO$4,3,100,0)</f>
        <v>0</v>
      </c>
      <c r="AP23" s="1452" t="str">
        <f t="shared" si="20"/>
        <v>m</v>
      </c>
      <c r="AQ23" s="1434">
        <f>sig('Release Calculations'!$V$674/$AQ$4,3,100,0)</f>
        <v>0</v>
      </c>
      <c r="AR23" s="1452" t="str">
        <f t="shared" si="20"/>
        <v>m</v>
      </c>
      <c r="AS23" s="1452" t="str">
        <f t="shared" si="21"/>
        <v/>
      </c>
      <c r="AT23" s="1452" t="str">
        <f t="shared" si="22"/>
        <v/>
      </c>
      <c r="AU23" s="1452" t="str">
        <f t="shared" si="23"/>
        <v/>
      </c>
      <c r="AV23" s="114">
        <f>sig('Release Calculations'!$V$679,3,1000,-1)</f>
        <v>0</v>
      </c>
      <c r="AW23" s="114">
        <f>sig('Release Calculations'!$V$680,3,1000,-1)</f>
        <v>0</v>
      </c>
      <c r="AX23" s="114" t="str">
        <f>sig('Release Calculations'!$V$681,3,1000,0)</f>
        <v/>
      </c>
      <c r="AY23" s="114" t="str">
        <f>sig('Release Calculations'!$V$682,3,1000,0)</f>
        <v/>
      </c>
      <c r="AZ23" s="114">
        <f>sig('Release Calculations'!$V$683,3,1000,-1)</f>
        <v>0</v>
      </c>
      <c r="BA23" s="114">
        <f>sig('Release Calculations'!$V$684,3,1000,-1)</f>
        <v>0</v>
      </c>
      <c r="BB23" s="114" t="str">
        <f>sig('Release Calculations'!$V$685,3,10,3)</f>
        <v/>
      </c>
      <c r="BC23" s="2576" t="str">
        <f>sig('Release Calculations'!$V$686,3,10,3)</f>
        <v/>
      </c>
      <c r="BD23" s="2569">
        <f>sig('Release Calculations'!$V$703/$BD$4,3,100,0)</f>
        <v>0</v>
      </c>
      <c r="BE23" s="1435" t="str">
        <f t="shared" si="34"/>
        <v>m</v>
      </c>
      <c r="BF23" s="2569">
        <f>sig('Release Calculations'!$V$702/$BF$4,3,100,0)</f>
        <v>0</v>
      </c>
      <c r="BG23" s="1435" t="str">
        <f t="shared" si="34"/>
        <v>m</v>
      </c>
      <c r="BH23" s="1419"/>
      <c r="BI23" s="1422"/>
      <c r="BJ23" s="1419"/>
      <c r="BK23" s="1422"/>
      <c r="BL23" s="2573"/>
      <c r="BM23" s="2573"/>
      <c r="BN23" s="1441"/>
      <c r="BO23" s="1746"/>
      <c r="BP23" s="1503">
        <f>sig('Release Calculations'!$V$465/$BP$4,3,10,1)</f>
        <v>0</v>
      </c>
      <c r="BQ23" s="1435" t="str">
        <f t="shared" si="24"/>
        <v>kg/min</v>
      </c>
      <c r="BR23" s="1434">
        <f>sig(IF(Location="Indoors",'Release Calculations'!V694/$BR$4,'Release Calculations'!V708/$BR$4),3,100,0)</f>
        <v>0</v>
      </c>
      <c r="BS23" s="1435" t="str">
        <f t="shared" si="25"/>
        <v>m</v>
      </c>
      <c r="BT23" s="1748">
        <f>ROUND(IF(Location="Indoors",'Release Calculations'!$V$697,'Release Calculations'!$V$713),1)</f>
        <v>0</v>
      </c>
      <c r="BU23" s="1748">
        <f>ROUND(IF(Location="Indoors",'Release Calculations'!$V$699,'Release Calculations'!$V$717),1)</f>
        <v>0</v>
      </c>
      <c r="BV23" s="1436"/>
      <c r="BW23" s="1442"/>
      <c r="BX23" s="262"/>
      <c r="BY23" s="262"/>
      <c r="BZ23" s="123"/>
      <c r="CA23" s="4" t="str">
        <f>IF('Release Calculations'!V$721="NA","",'Release Calculations'!V$721)</f>
        <v/>
      </c>
      <c r="CB23" s="4" t="str">
        <f>IF('Release Calculations'!V$751="NA","",'Release Calculations'!V$751)</f>
        <v/>
      </c>
      <c r="CC23" s="4" t="str">
        <f>IF('Release Calculations'!V$756="NA","",'Release Calculations'!V$756)</f>
        <v/>
      </c>
      <c r="CD23" s="735" t="str">
        <f>IF('Release Calculations'!V$761="NA","",'Release Calculations'!V$761)</f>
        <v/>
      </c>
      <c r="CE23" s="4"/>
      <c r="CF23" s="4" t="str">
        <f>IF('Release Calculations'!V$766="NA","",'Release Calculations'!V$766)</f>
        <v/>
      </c>
      <c r="CG23" s="4" t="str">
        <f>IF('Release Calculations'!V$786="NA","",'Release Calculations'!V$786)</f>
        <v/>
      </c>
      <c r="CH23" s="4" t="str">
        <f>IF('Release Calculations'!V$776="NA","",'Release Calculations'!V$776)</f>
        <v/>
      </c>
      <c r="CI23" s="4"/>
      <c r="CJ23" s="4"/>
      <c r="CK23" s="4"/>
      <c r="CL23" s="19"/>
      <c r="CM23" s="19"/>
      <c r="CN23" s="189" t="str">
        <f>IF(CA23="","",IF('Release Calculations'!V$668="Yes",IF(CA23=Conseq_VeryLow,Desc_VeryLow,IF(CA23=Conseq_Low,Desc_Low,IF(CA23=Conseq_Moderate,Desc_Moderate,IF(CA23=Conseq_High,Desc_High,IF(CA23=Conseq_VeryHigh,Desc_VeryHigh,IF(CA23=Conseq_ExtremeHigh,Desc_ExtremeHigh,Desc_GT_ExtremeHigh)))))),IF(CA23=Conseq_Low_Offsite,Desc_Low_Offsite,Desc_VeryLow_Offsite)))</f>
        <v/>
      </c>
      <c r="CO23" s="189" t="str">
        <f t="shared" si="37"/>
        <v/>
      </c>
      <c r="CP23" s="189" t="str">
        <f t="shared" si="38"/>
        <v/>
      </c>
      <c r="CQ23" s="189" t="str">
        <f t="shared" si="39"/>
        <v/>
      </c>
      <c r="CR23" s="67"/>
      <c r="CS23" s="189" t="str">
        <f t="shared" si="40"/>
        <v/>
      </c>
      <c r="CT23" s="189" t="str">
        <f t="shared" si="41"/>
        <v/>
      </c>
      <c r="CU23" s="189" t="str">
        <f t="shared" si="42"/>
        <v/>
      </c>
      <c r="CV23" s="67"/>
      <c r="CW23" s="67"/>
      <c r="CX23" s="67"/>
      <c r="CY23" s="40" t="s">
        <v>822</v>
      </c>
      <c r="CZ23" s="189" t="str">
        <f>IF(CA23="","",IF('Release Calculations'!V$668="Yes"," at a "&amp;$AI$3&amp;" of "&amp;AI23&amp;" "&amp;AJ23&amp;" which exceeds Distance to the Fence Line of "&amp;Public_Input&amp;" "&amp;Public_Units))</f>
        <v/>
      </c>
      <c r="DA23" s="189" t="str">
        <f>IF(CB23="","",IF('Release Calculations'!$V$292="Yes"," with operating personnel in close proximity and a "&amp;$AM$3&amp;" of "&amp;AM23&amp;" "&amp;AN23," at a "&amp;$AM$3&amp;" of "&amp;AM23&amp;" "&amp;AN23)&amp;IF('Release Calculations'!$V$671&gt;Public," which exceeds Distance to the Fence Line of "&amp;Public_Input&amp;" "&amp;Public_Units&amp;".  Target Factor may be conservative",))</f>
        <v/>
      </c>
      <c r="DB23" s="226" t="str">
        <f>IF(CC23="","",IF('Release Calculations'!V690="Yes","and Potential for Asphyxiation","")&amp;" at an "&amp;$AZ$3&amp;" of "&amp;AZ23&amp;" ppm")</f>
        <v/>
      </c>
      <c r="DC23" s="189" t="str">
        <f t="shared" si="27"/>
        <v/>
      </c>
      <c r="DD23" s="67"/>
      <c r="DE23" s="189" t="str">
        <f>IF(CF23="",""," at a "&amp;$BF$3&amp;" of "&amp;BF23&amp;" "&amp;BG23)</f>
        <v/>
      </c>
      <c r="DF23" s="189" t="str">
        <f>IF(CG23="","",IF('Release Calculations'!V$709="Yes"," with "&amp;$BR$3&amp;" of "&amp;BR23&amp;" "&amp;BS23&amp;IF('Release Calculations'!V$718&lt;&gt;"Yes",""," including "&amp;$BT$3&amp;" of "&amp;BT23&amp;" psi.")&amp;" 1 psi Blast Overpresssure exceeds Distance to the Fence Line of "&amp;Public_Input&amp;" "&amp;Public_Units&amp;".  Consider adjustment for Off-Site Impacts",IF('Release Calculations'!V$718&lt;&gt;"Yes"," impacting on site personnel at a "&amp;$BR$3&amp;" of "&amp;BR23&amp;" "&amp;BS23," impacting on site personnel at a "&amp;$BR$3&amp;" of "&amp;BR23&amp;" "&amp;BS23&amp;" including "&amp;$BT$3&amp;" of "&amp;BT23&amp;" psi")))</f>
        <v/>
      </c>
      <c r="DG23" s="189" t="str">
        <f>IF(CH23="","",IF('Release Calculations'!V$695="Yes"," with "&amp;$BR$3&amp;" of "&amp;BR23&amp;" "&amp;BS23&amp;IF('Release Calculations'!V$700&lt;&gt;"Yes",""," including "&amp;$BT$3&amp;" of "&amp;BT23&amp;" psi.")&amp;"  1 psi Blast Overpresssure exceeds Distance to the Fence Line of "&amp;Public_Input&amp;" "&amp;Public_Units&amp;".  Consider adjustment for Off-Site Impacts",IF('Release Calculations'!V$700&lt;&gt;"Yes"," impacting enclosed area operating personnel, on site personnel at a "&amp;$BR$3&amp;" of "&amp;BR23&amp;" "&amp;BS23," impacting enclosed area operating personnel, on site personnel at a "&amp;$BR$3&amp;" of "&amp;BR23&amp;" "&amp;BS23&amp;" including "&amp;$BT$3&amp;" of "&amp;BT23&amp;" psi")))</f>
        <v/>
      </c>
      <c r="DH23" s="67"/>
      <c r="DI23" s="67"/>
      <c r="DJ23" s="67"/>
      <c r="DK23" s="19"/>
      <c r="DL23" s="39"/>
      <c r="DM23" s="239">
        <f>'Release Calculations'!V749</f>
        <v>0</v>
      </c>
      <c r="DN23" s="239">
        <f>'Release Calculations'!V$754</f>
        <v>0</v>
      </c>
      <c r="DO23" s="34"/>
      <c r="DP23" s="34"/>
      <c r="DQ23" s="239">
        <f>'Release Calculations'!V764</f>
        <v>0</v>
      </c>
      <c r="DR23" s="34"/>
      <c r="DS23" s="34"/>
      <c r="DT23" s="34"/>
      <c r="DU23" s="34"/>
      <c r="DV23" s="6"/>
      <c r="DW23" s="40"/>
      <c r="DX23" s="250"/>
      <c r="DY23" s="249" t="s">
        <v>2983</v>
      </c>
      <c r="DZ23" s="250" t="s">
        <v>292</v>
      </c>
      <c r="EA23" s="740"/>
      <c r="EB23" s="248"/>
      <c r="EC23" s="249" t="s">
        <v>292</v>
      </c>
      <c r="ED23" s="248"/>
      <c r="EE23" s="248"/>
      <c r="EF23" s="248"/>
      <c r="EG23" s="248"/>
      <c r="EH23" s="248"/>
      <c r="EI23" s="19"/>
      <c r="EJ23" s="250"/>
      <c r="EK23" s="249" t="str">
        <f>IF(Attended_Op="Yes","Noted as Personnel Routinely in Immediate Area or Equipment Type involves Materials Handling - "&amp;IF('Release Calculations'!V586*3600&lt;30," with a very Short Exposure Duration (&lt; 30 sec)","Time at Risk May Apply"),"Probability of Personnel to be in Close Proximity to Chemical Release based on Toxic Impact Area to "&amp;AM23&amp;" "&amp;AN23&amp;IF('Release Calculations'!V748&lt;0.01," (with potential for higher POE credit upon further review)",""))</f>
        <v>Probability of Personnel to be in Close Proximity to Chemical Release based on Toxic Impact Area to 0 m (with potential for higher POE credit upon further review)</v>
      </c>
      <c r="EL23" s="250" t="str">
        <f>IF(Attended_Op="Yes","Noted as Personnel Routinely in Immediate Area or Equipment Type involves Materials Handling - Time at Risk May Apply","Probability of Personnel to be in Close Proximity to Chemical Release based on Ratio Enclosed Process Area Concentation of "&amp;AZ23&amp;" ppm to 10 ER-3 for "&amp;Chemical&amp;IF(Fract_Key_Chemical&lt;1," mixture "," ")&amp;IF('Release Calculations'!$V$753&lt;0.01,"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23" s="248"/>
      <c r="EN23" s="248"/>
      <c r="EO23"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"&amp;AZ23&amp;" to "&amp;LFL_Fract_FlashFIre&amp;" LFL","Flammable Impact Area to "&amp;BF23&amp;" "&amp;BG23)&amp;IF('Release Calculations'!$V$763&lt;0.01," (with potential for higher POE credit upon further review)",""))</f>
        <v>Probability of Personnel to be in Close Proximity to Chemical Release based on Flammable Impact Area to 0 m (with potential for higher POE credit upon further review)</v>
      </c>
      <c r="EP23" s="248"/>
      <c r="EQ23" s="248"/>
      <c r="ER23" s="248"/>
      <c r="ES23" s="248"/>
      <c r="ET23" s="248"/>
      <c r="EU23" s="19"/>
      <c r="EV23" s="1379"/>
      <c r="EW23" s="957">
        <f>'Release Calculations'!V748</f>
        <v>6.0000000000000008E-7</v>
      </c>
      <c r="EX23" s="957">
        <f>'Release Calculations'!$V$753</f>
        <v>0</v>
      </c>
      <c r="EY23" s="1380"/>
      <c r="EZ23" s="1380"/>
      <c r="FA23" s="957">
        <f>'Release Calculations'!$V$763</f>
        <v>0</v>
      </c>
      <c r="FB23" s="6"/>
      <c r="FC23" s="6"/>
      <c r="FD23" s="6"/>
      <c r="FE23" s="6"/>
      <c r="FF23" s="6"/>
      <c r="FG23" s="19"/>
      <c r="FH23" s="34"/>
      <c r="FI23" s="34"/>
      <c r="FJ23" s="34"/>
      <c r="FK23" s="739"/>
      <c r="FL23" s="34"/>
      <c r="FM23" s="239" t="str">
        <f>IF(Location="Outdoors",'Release Calculations'!V$706,'Release Calculations'!V$692)</f>
        <v/>
      </c>
      <c r="FN23" s="239" t="str">
        <f>'Release Calculations'!V$707</f>
        <v/>
      </c>
      <c r="FO23" s="39" t="str">
        <f>IF(State&lt;&gt;"Solid",'Release Calculations'!V$692,Dust_SecondExpl_POE)</f>
        <v/>
      </c>
      <c r="FP23" s="34"/>
      <c r="FQ23" s="34"/>
      <c r="FR23" s="6"/>
      <c r="FS23" s="40"/>
      <c r="FT23" s="248"/>
      <c r="FU23" s="248"/>
      <c r="FV23" s="248"/>
      <c r="FW23" s="741"/>
      <c r="FX23" s="248"/>
      <c r="FY23" s="249" t="s">
        <v>1461</v>
      </c>
      <c r="FZ23" s="249" t="s">
        <v>1460</v>
      </c>
      <c r="GA23" s="250" t="s">
        <v>1461</v>
      </c>
      <c r="GB23" s="248"/>
      <c r="GC23" s="248"/>
      <c r="GD23" s="248"/>
      <c r="GE23" s="19"/>
      <c r="GF23" s="248"/>
      <c r="GG23" s="248"/>
      <c r="GH23" s="248"/>
      <c r="GI23" s="741"/>
      <c r="GJ23" s="248"/>
      <c r="GK23"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"&amp;BP23&amp;" "&amp;BQ23&amp;" Easily Ignited Material with Distance to LFL of "&amp;BD23&amp;" "&amp;BE23,IF(Ease_of_Ignition_Feed="Low","Outdoor Release of Difficult to Ignite Material","Outdoor release of "&amp;BP23&amp;" "&amp;BQ23&amp;" Flammable Material with Distance to LFL of "&amp;BD23&amp;" "&amp;BE23)),IF(Ease_of_Ignition_Feed="Elevated","Indoor Release of Easily Ignited Material",IF(Ease_of_Ignition_Feed="Low","Indoor Release of Difficult to Ignite Material","Indoor Release of Flammable Material")))))))</f>
        <v>No Flash Point Entered</v>
      </c>
      <c r="GL23" s="2581" t="str">
        <f t="shared" si="28"/>
        <v>No Flash Point Entered</v>
      </c>
      <c r="GM23" s="250" t="str">
        <f t="shared" si="29"/>
        <v>Indoor Release of Flammable Material-POX</v>
      </c>
      <c r="GN23" s="248"/>
      <c r="GO23" s="248"/>
      <c r="GP23" s="248"/>
      <c r="GQ23" s="19"/>
      <c r="GR23" s="189" t="str">
        <f t="shared" si="35"/>
        <v/>
      </c>
      <c r="GT23" s="19"/>
      <c r="GU23" s="64" t="str">
        <f>Desc_VeryLow_Bus</f>
        <v>Property Damage and Business Loss &lt; $50M</v>
      </c>
      <c r="GV23" s="193">
        <f>Conseq_VeryLow_Bus</f>
        <v>2</v>
      </c>
      <c r="GX23" s="19"/>
      <c r="GY23" s="19"/>
      <c r="GZ23" s="19"/>
      <c r="HA23" s="19"/>
      <c r="HB23" s="19"/>
      <c r="HC23" s="19"/>
      <c r="HD23" s="19"/>
      <c r="HE23" s="19"/>
      <c r="HF23" s="19"/>
      <c r="HG23" s="19"/>
      <c r="HH23" s="19"/>
      <c r="HI23" s="19"/>
    </row>
    <row r="24" spans="1:217" s="5" customFormat="1" ht="12.75" customHeight="1" x14ac:dyDescent="0.25">
      <c r="A24" s="26"/>
      <c r="B24" s="64" t="str">
        <f>'Scenario Identification'!CC3</f>
        <v>Extremely Large Hole Size Leak</v>
      </c>
      <c r="C24" s="1457" t="str">
        <f t="shared" si="10"/>
        <v/>
      </c>
      <c r="D24" s="65"/>
      <c r="E24" s="2483" t="str">
        <f>IF(MAX('Release Calculations'!X35,'Release Calculations'!X43,'Release Calculations'!X62,1-'Release Calculations'!X82,ABS(MIN('Release Calculations'!X35,'Release Calculations'!X43,'Release Calculations'!X62,1-'Release Calculations'!X82)))&gt;$E$4,"Yes","")</f>
        <v/>
      </c>
      <c r="F24" s="1418" t="s">
        <v>428</v>
      </c>
      <c r="G24" s="1434">
        <f t="shared" si="11"/>
        <v>0</v>
      </c>
      <c r="H24" s="1427" t="str">
        <f t="shared" si="31"/>
        <v>liter</v>
      </c>
      <c r="I24" s="1418">
        <f>ROUND('Release Calculations'!X7/$I$4,2)</f>
        <v>150</v>
      </c>
      <c r="J24" s="1421" t="str">
        <f t="shared" si="32"/>
        <v>mm</v>
      </c>
      <c r="K24" s="1427">
        <f t="shared" si="12"/>
        <v>0</v>
      </c>
      <c r="L24" s="1434">
        <f>sig('Release Calculations'!$X$16/$L$4,3,100,0)</f>
        <v>0</v>
      </c>
      <c r="M24" s="1435" t="str">
        <f t="shared" si="13"/>
        <v>kg</v>
      </c>
      <c r="N24" s="1432" t="str">
        <f t="shared" si="14"/>
        <v xml:space="preserve">Liquid:   ,  ,  ,  ,  </v>
      </c>
      <c r="O24" s="1434">
        <f>ROUND('Release Calculations'!$X$9,0)</f>
        <v>0</v>
      </c>
      <c r="P24" s="1434">
        <f>ROUND('Release Calculations'!$X$8/$P$4,2)</f>
        <v>0</v>
      </c>
      <c r="Q24" s="1446" t="str">
        <f t="shared" si="15"/>
        <v>bar</v>
      </c>
      <c r="R24" s="1434">
        <f>sig('Release Calculations'!$X$23/$AG$4,3,10,0)</f>
        <v>90.6</v>
      </c>
      <c r="S24" s="1447" t="str">
        <f t="shared" si="16"/>
        <v>kg/min</v>
      </c>
      <c r="T24" s="1435">
        <f>ROUND('Release Calculations'!$X$13/$T$4,0)</f>
        <v>0</v>
      </c>
      <c r="U24" s="1434">
        <f>ROUND(('Release Calculations'!$X$13+'Release Calculations'!$X$14)/$U$4,0)</f>
        <v>0</v>
      </c>
      <c r="V24" s="1434">
        <f>sig('Release Calculations'!$X$55/$V$4,3,100,0)</f>
        <v>0</v>
      </c>
      <c r="W24" s="1435" t="str">
        <f>IF(Report_A&lt;&gt;"",Report_A,IF(Dike_Area_Units="","sq m",Dike_Area_Units))</f>
        <v>sq m</v>
      </c>
      <c r="X24" s="1438">
        <f>ROUND('Release Calculations'!X$214,3)</f>
        <v>0</v>
      </c>
      <c r="Y24" s="1458" t="str">
        <f>IF('Release Calculations'!$X$225="","",sig('Release Calculations'!$X$225,3,1000,0))</f>
        <v/>
      </c>
      <c r="Z24" s="1458" t="str">
        <f>IF('Release Calculations'!$X$231="","",sig('Release Calculations'!$X$231,3,1000,0))</f>
        <v/>
      </c>
      <c r="AA24" s="1458" t="str">
        <f>IF('Release Calculations'!$X$255="","",sig('Release Calculations'!$X$255,3,1000,0))</f>
        <v/>
      </c>
      <c r="AB24" s="1458" t="str">
        <f>IF('Release Calculations'!$X$261="","",sig('Release Calculations'!$X$261,3,1000,0))</f>
        <v/>
      </c>
      <c r="AC24" s="1458" t="str">
        <f>IF('Release Calculations'!$X$267="","",sig('Release Calculations'!$X$267,3,1000,0))</f>
        <v/>
      </c>
      <c r="AD24" s="1196" t="str">
        <f>IF('Release Calculations'!$X$249="","",ROUND('Release Calculations'!$X$249,1))</f>
        <v/>
      </c>
      <c r="AE24" s="1434">
        <f>sig('Release Calculations'!$X$70/$AE$4,3,100,0)</f>
        <v>0</v>
      </c>
      <c r="AF24" s="1435" t="str">
        <f t="shared" si="17"/>
        <v>kg</v>
      </c>
      <c r="AG24" s="1326">
        <f>sig('Release Calculations'!X$89/$AG$4,3,10,3)</f>
        <v>3.0000000000000001E-3</v>
      </c>
      <c r="AH24" s="1435" t="str">
        <f t="shared" si="33"/>
        <v>kg/min</v>
      </c>
      <c r="AI24" s="1434">
        <f>sig('Release Calculations'!$X$282/$AI$4,3,100,0)</f>
        <v>0</v>
      </c>
      <c r="AJ24" s="1435" t="str">
        <f t="shared" si="18"/>
        <v>m</v>
      </c>
      <c r="AK24" s="1434">
        <f>sig('Release Calculations'!$X$285/$AK$4,3,100,0)</f>
        <v>0</v>
      </c>
      <c r="AL24" s="1435" t="str">
        <f t="shared" si="19"/>
        <v>m</v>
      </c>
      <c r="AM24" s="1434">
        <f>sig('Release Calculations'!$X$287/$AM$4,3,100,0)</f>
        <v>0</v>
      </c>
      <c r="AN24" s="1435" t="str">
        <f t="shared" si="20"/>
        <v>m</v>
      </c>
      <c r="AO24" s="1434">
        <f>sig('Release Calculations'!$X$288/$AO$4,3,100,0)</f>
        <v>0</v>
      </c>
      <c r="AP24" s="1452" t="str">
        <f t="shared" si="20"/>
        <v>m</v>
      </c>
      <c r="AQ24" s="1434">
        <f>sig('Release Calculations'!$X$290/$AQ$4,3,100,0)</f>
        <v>0</v>
      </c>
      <c r="AR24" s="1452" t="str">
        <f t="shared" si="20"/>
        <v>m</v>
      </c>
      <c r="AS24" s="1452" t="str">
        <f t="shared" si="21"/>
        <v/>
      </c>
      <c r="AT24" s="1452" t="str">
        <f t="shared" si="22"/>
        <v/>
      </c>
      <c r="AU24" s="1452" t="str">
        <f t="shared" si="23"/>
        <v/>
      </c>
      <c r="AV24" s="114">
        <f>sig('Release Calculations'!$X$296,3,1000,-1)</f>
        <v>0</v>
      </c>
      <c r="AW24" s="114">
        <f>sig('Release Calculations'!$X$297,3,1000,-1)</f>
        <v>0</v>
      </c>
      <c r="AX24" s="114" t="str">
        <f>sig('Release Calculations'!$X$298,3,1000,0)</f>
        <v/>
      </c>
      <c r="AY24" s="114" t="str">
        <f>sig('Release Calculations'!$X$299,3,1000,0)</f>
        <v/>
      </c>
      <c r="AZ24" s="114">
        <f>sig('Release Calculations'!$X$300,3,1000,-1)</f>
        <v>0</v>
      </c>
      <c r="BA24" s="114">
        <f>sig('Release Calculations'!$X$301,3,1000,-1)</f>
        <v>0</v>
      </c>
      <c r="BB24" s="114" t="str">
        <f>sig('Release Calculations'!$X$302,3,10,3)</f>
        <v/>
      </c>
      <c r="BC24" s="2576" t="str">
        <f>sig('Release Calculations'!$X$303,3,10,3)</f>
        <v/>
      </c>
      <c r="BD24" s="2569">
        <f>sig('Release Calculations'!$X$320/$BD$4,3,100,0)</f>
        <v>0</v>
      </c>
      <c r="BE24" s="1435" t="str">
        <f t="shared" si="34"/>
        <v>m</v>
      </c>
      <c r="BF24" s="2569">
        <f>sig('Release Calculations'!$X$319/$BF$4,3,100,0)</f>
        <v>0</v>
      </c>
      <c r="BG24" s="1435" t="str">
        <f t="shared" si="34"/>
        <v>m</v>
      </c>
      <c r="BH24" s="1419"/>
      <c r="BI24" s="1422"/>
      <c r="BJ24" s="1419"/>
      <c r="BK24" s="1422"/>
      <c r="BL24" s="2573"/>
      <c r="BM24" s="2573"/>
      <c r="BN24" s="1441"/>
      <c r="BO24" s="1746"/>
      <c r="BP24" s="1503">
        <f>sig('Release Calculations'!$X$90/$BP$4,3,10,1)</f>
        <v>0</v>
      </c>
      <c r="BQ24" s="1435" t="str">
        <f t="shared" si="24"/>
        <v>kg/min</v>
      </c>
      <c r="BR24" s="1434">
        <f>sig(IF(Location="Indoors",'Release Calculations'!X311/$BR$4,'Release Calculations'!X325/$BR$4),3,100,0)</f>
        <v>0</v>
      </c>
      <c r="BS24" s="1435" t="str">
        <f t="shared" si="25"/>
        <v>m</v>
      </c>
      <c r="BT24" s="1748">
        <f>ROUND(IF(Location="Indoors",'Release Calculations'!$X$314,'Release Calculations'!$X$330),1)</f>
        <v>0</v>
      </c>
      <c r="BU24" s="1748">
        <f>ROUND(IF(Location="Indoors",'Release Calculations'!$X$316,'Release Calculations'!$X$334),1)</f>
        <v>0</v>
      </c>
      <c r="BV24" s="1436"/>
      <c r="BW24" s="1442"/>
      <c r="BX24" s="262"/>
      <c r="BY24" s="262"/>
      <c r="BZ24" s="123"/>
      <c r="CA24" s="4" t="str">
        <f>IF('Release Calculations'!X$338="NA","",'Release Calculations'!X$338)</f>
        <v/>
      </c>
      <c r="CB24" s="4" t="str">
        <f>IF('Release Calculations'!X$368="NA","",'Release Calculations'!X$368)</f>
        <v/>
      </c>
      <c r="CC24" s="4" t="str">
        <f>IF('Release Calculations'!X$373="NA","",'Release Calculations'!X$373)</f>
        <v/>
      </c>
      <c r="CD24" s="735" t="str">
        <f>IF('Release Calculations'!X$378="NA","",'Release Calculations'!X$378)</f>
        <v/>
      </c>
      <c r="CE24" s="4" t="str">
        <f>IF('Release Calculations'!X$384="NA","",'Release Calculations'!X$384)</f>
        <v/>
      </c>
      <c r="CF24" s="4" t="str">
        <f>IF('Release Calculations'!X$389="NA","",'Release Calculations'!X$389)</f>
        <v/>
      </c>
      <c r="CG24" s="4" t="str">
        <f>IF('Release Calculations'!X$409="NA","",'Release Calculations'!X$409)</f>
        <v/>
      </c>
      <c r="CH24" s="4" t="str">
        <f>IF('Release Calculations'!X$399="NA","",'Release Calculations'!X$399)</f>
        <v/>
      </c>
      <c r="CI24" s="4"/>
      <c r="CJ24" s="4"/>
      <c r="CK24" s="4" t="str">
        <f>IF('Release Calculations'!BD427="NA","",'Release Calculations'!BD427)</f>
        <v/>
      </c>
      <c r="CL24" s="19"/>
      <c r="CM24" s="19"/>
      <c r="CN24" s="189" t="str">
        <f>IF(CA24="","",IF('Release Calculations'!X$284="Yes",IF(CA24=Conseq_VeryLow,Desc_VeryLow,IF(CA24=Conseq_Low,Desc_Low,IF(CA24=Conseq_Moderate,Desc_Moderate,IF(CA24=Conseq_High,Desc_High,IF(CA24=Conseq_VeryHigh,Desc_VeryHigh,IF(CA24=Conseq_ExtremeHigh,Desc_ExtremeHigh,Desc_GT_ExtremeHigh)))))),IF(CA24=Conseq_Low_Offsite,Desc_Low_Offsite,Desc_VeryLow_Offsite)))</f>
        <v/>
      </c>
      <c r="CO24" s="189" t="str">
        <f t="shared" si="37"/>
        <v/>
      </c>
      <c r="CP24" s="189" t="str">
        <f t="shared" si="38"/>
        <v/>
      </c>
      <c r="CQ24" s="189" t="str">
        <f t="shared" si="39"/>
        <v/>
      </c>
      <c r="CR24" s="189" t="str">
        <f>IF(CE24="","",IF(CE24=Conseq_VeryLow,Desc_VeryLow,IF(CE24=Conseq_Low,Desc_Low,IF(CE24=Conseq_Moderate,Desc_Moderate,IF(CE24=Conseq_High,Desc_High,IF(CE24=Conseq_VeryHigh,Desc_VeryHigh,IF(CE24=Conseq_ExtremeHigh,Desc_ExtremeHigh,Desc_GT_ExtremeHigh)))))))</f>
        <v/>
      </c>
      <c r="CS24" s="189" t="str">
        <f t="shared" si="40"/>
        <v/>
      </c>
      <c r="CT24" s="189" t="str">
        <f t="shared" si="41"/>
        <v/>
      </c>
      <c r="CU24" s="189" t="str">
        <f t="shared" si="42"/>
        <v/>
      </c>
      <c r="CV24" s="67"/>
      <c r="CW24" s="67"/>
      <c r="CX24" s="189" t="str">
        <f>IF(CK24="","",IF(CK24=Conseq_VeryLow,Desc_VeryLow_Environ,IF(CK24=Conseq_Low,Desc_Low_Environ,IF(CK24=Conseq_Moderate,Desc_Moderate_Environ,IF(CK24=Conseq_High,Desc_High_Environ,IF(CK24=Conseq_VeryHigh,Desc_VeryHigh_Environ,Desc_ExtremeHigh_Environ))))))</f>
        <v/>
      </c>
      <c r="CY24" s="40" t="s">
        <v>822</v>
      </c>
      <c r="CZ24" s="189" t="str">
        <f>IF(CA24="","",IF('Release Calculations'!X$284="Yes"," at a "&amp;$AI$3&amp;" of "&amp;AI24&amp;" "&amp;AJ24&amp;" which exceeds Distance to the Fence Line of "&amp;Public_Input&amp;" "&amp;Public_Units))</f>
        <v/>
      </c>
      <c r="DA24" s="189" t="str">
        <f>IF(CB24="","",IF('Release Calculations'!$X$292="Yes"," with operating personnel in close proximity and a "&amp;$AM$3&amp;" of "&amp;AM24&amp;" "&amp;AN24," at a "&amp;$AM$3&amp;" of "&amp;AM24&amp;" "&amp;AN24)&amp;IF('Release Calculations'!$X$287&gt;Public," which exceeds Distance to the Fence Line of "&amp;Public_Input&amp;" "&amp;Public_Units&amp;".  Target Factor may be conservative",))</f>
        <v/>
      </c>
      <c r="DB24" s="226" t="str">
        <f>IF(CC24="","",IF('Release Calculations'!X305="Yes","and Potential for Asphyxiation","")&amp;" at an "&amp;$AZ$3&amp;" of "&amp;AZ24&amp;" ppm")</f>
        <v/>
      </c>
      <c r="DC24" s="189" t="str">
        <f t="shared" si="27"/>
        <v/>
      </c>
      <c r="DD24" s="189" t="str">
        <f>IF(CE24="",""," of a "&amp;IF(Ease_of_Ignition_Feed="High","pyrophoric ","high/low temperature ")&amp;IF(Dermal_Tox_Feed&lt;&gt;"","or "&amp;Dermal_Tox_Feed,"")&amp;" chemical"&amp;IF('Release Calculations'!$X$292="Yes"," with operating personnel in close proximity",""))</f>
        <v/>
      </c>
      <c r="DE24" s="189" t="str">
        <f>IF(CF24="",""," at a "&amp;$BF$3&amp;" of "&amp;BF24&amp;" "&amp;BG24)</f>
        <v/>
      </c>
      <c r="DF24" s="189" t="str">
        <f>IF(CG24="","",IF('Release Calculations'!X$326="Yes"," with "&amp;$BR$3&amp;" of "&amp;BR24&amp;" "&amp;BS24&amp;IF('Release Calculations'!X$335&lt;&gt;"Yes",""," including "&amp;$BT$3&amp;" of "&amp;BT24&amp;" psi.")&amp;" 1 psi Blast Overpresssure exceeds Distance to the Fence Line of "&amp;Public_Input&amp;" "&amp;Public_Units&amp;".  Consider adjustment for Off-Site Impacts",IF('Release Calculations'!X$335&lt;&gt;"Yes"," impacting on site personnel at a "&amp;$BR$3&amp;" of "&amp;BR24&amp;" "&amp;BS24," impacting on site personnel at a "&amp;$BR$3&amp;" of "&amp;BR24&amp;" "&amp;BS24&amp;" including "&amp;$BT$3&amp;" of "&amp;BT24&amp;" psi")))</f>
        <v/>
      </c>
      <c r="DG24" s="189" t="str">
        <f>IF(CH24="","",IF('Release Calculations'!X$312="Yes"," with "&amp;$BR$3&amp;" of "&amp;BR24&amp;" "&amp;BS24&amp;IF('Release Calculations'!X$317&lt;&gt;"Yes",""," including "&amp;$BT$3&amp;" of "&amp;BT24&amp;" psi.")&amp;"  1 psi Blast Overpresssure exceeds Distance to the Fence Line of "&amp;Public_Input&amp;" "&amp;Public_Units&amp;".  Consider adjustment for Off-Site Impacts",IF('Release Calculations'!X$317&lt;&gt;"Yes"," impacting enclosed area operating personnel, on site personnel at a "&amp;$BR$3&amp;" of "&amp;BR24&amp;" "&amp;BS24," impacting enclosed area operating personnel, on site personnel at a "&amp;$BR$3&amp;" of "&amp;BR24&amp;" "&amp;BS24&amp;" including "&amp;$BT$3&amp;" of "&amp;BT24&amp;" psi")))</f>
        <v/>
      </c>
      <c r="DH24" s="67"/>
      <c r="DI24" s="67"/>
      <c r="DJ24" s="189" t="str">
        <f>IF('Release Calculations'!AZ427&gt;0,"Groundwater or Remediation Issue",IF('Release Calculations'!BB427&gt;0,"High Aqueous Toxicity",""))</f>
        <v/>
      </c>
      <c r="DK24" s="19"/>
      <c r="DL24" s="39"/>
      <c r="DM24" s="239">
        <f>'Release Calculations'!X366</f>
        <v>0</v>
      </c>
      <c r="DN24" s="239">
        <f>'Release Calculations'!X$371</f>
        <v>0</v>
      </c>
      <c r="DO24" s="34"/>
      <c r="DP24" s="239">
        <f>'Release Calculations'!X382</f>
        <v>0</v>
      </c>
      <c r="DQ24" s="239">
        <f>'Release Calculations'!X387</f>
        <v>0</v>
      </c>
      <c r="DR24" s="34"/>
      <c r="DS24" s="34"/>
      <c r="DT24" s="34"/>
      <c r="DU24" s="34"/>
      <c r="DV24" s="6"/>
      <c r="DW24" s="40"/>
      <c r="DX24" s="250"/>
      <c r="DY24" s="249" t="s">
        <v>2983</v>
      </c>
      <c r="DZ24" s="250" t="s">
        <v>292</v>
      </c>
      <c r="EA24" s="740"/>
      <c r="EB24" s="249" t="str">
        <f>"Probability of Exposure to Hot or Toxic Material"</f>
        <v>Probability of Exposure to Hot or Toxic Material</v>
      </c>
      <c r="EC24" s="249" t="s">
        <v>292</v>
      </c>
      <c r="ED24" s="248"/>
      <c r="EE24" s="248"/>
      <c r="EF24" s="248"/>
      <c r="EG24" s="248"/>
      <c r="EH24" s="248"/>
      <c r="EI24" s="19"/>
      <c r="EJ24" s="250"/>
      <c r="EK24" s="249" t="str">
        <f>IF(Attended_Op="Yes","Noted as Personnel Routinely in Immediate Area or Equipment Type involves Materials Handling - "&amp;IF('Release Calculations'!X210*3600&lt;30," with a very Short Exposure Duration (&lt; 30 sec)","Time at Risk May Apply"),"Probability of Personnel to be in Close Proximity to Chemical Release based on Toxic Impact Area to "&amp;AM24&amp;" "&amp;AN24&amp;IF('Release Calculations'!X365&lt;0.01," (with potential for higher POE credit upon further review)",""))</f>
        <v>Probability of Personnel to be in Close Proximity to Chemical Release based on Toxic Impact Area to 0 m (with potential for higher POE credit upon further review)</v>
      </c>
      <c r="EL24" s="250" t="str">
        <f>IF(Attended_Op="Yes","Noted as Personnel Routinely in Immediate Area or Equipment Type involves Materials Handling - Time at Risk May Apply","Probability of Personnel to be in Close Proximity to Chemical Release based on Ratio Enclosed Process Area Concentation of "&amp;AZ24&amp;" ppm to 10 ER-3 for "&amp;Chemical&amp;IF(Fract_Key_Chemical&lt;1," mixture "," ")&amp;IF('Release Calculations'!$X$370&lt;0.01,"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24" s="248"/>
      <c r="EN24"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Calculations'!$X$381&lt;0.01," (with potential for higher POE credit upon further review)",""))</f>
        <v>Probability of Personnel to be in Close Proximity to Chemical Release based on Spray Distance of 1 m (with potential for higher POE credit upon further review)</v>
      </c>
      <c r="EO24"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"&amp;AZ24&amp;" to "&amp;LFL_Fract_FlashFIre&amp;" LFL","Flammable Impact Area to "&amp;BF24&amp;" "&amp;BG24)&amp;IF('Release Calculations'!$X$386&lt;0.01," (with potential for higher POE credit upon further review)",""))</f>
        <v>Probability of Personnel to be in Close Proximity to Chemical Release based on Flammable Impact Area to 0 m (with potential for higher POE credit upon further review)</v>
      </c>
      <c r="EP24" s="248"/>
      <c r="EQ24" s="248"/>
      <c r="ER24" s="248"/>
      <c r="ES24" s="248"/>
      <c r="ET24" s="248"/>
      <c r="EU24" s="19"/>
      <c r="EV24" s="1379"/>
      <c r="EW24" s="957">
        <f>'Release Calculations'!X365</f>
        <v>6.0000000000000008E-7</v>
      </c>
      <c r="EX24" s="957">
        <f>'Release Calculations'!$X$370</f>
        <v>0</v>
      </c>
      <c r="EY24" s="1380"/>
      <c r="EZ24" s="957">
        <f>'Release Calculations'!$X$381</f>
        <v>8.0000000000000007E-5</v>
      </c>
      <c r="FA24" s="957">
        <f>'Release Calculations'!$X$386</f>
        <v>0</v>
      </c>
      <c r="FB24" s="6"/>
      <c r="FC24" s="6"/>
      <c r="FD24" s="6"/>
      <c r="FE24" s="6"/>
      <c r="FF24" s="6"/>
      <c r="FG24" s="19"/>
      <c r="FH24" s="34"/>
      <c r="FI24" s="34"/>
      <c r="FJ24" s="34"/>
      <c r="FK24" s="739"/>
      <c r="FL24" s="34"/>
      <c r="FM24" s="239" t="str">
        <f>IF(Location="Outdoors",'Release Calculations'!X$323,'Release Calculations'!X$309)</f>
        <v/>
      </c>
      <c r="FN24" s="239" t="str">
        <f>'Release Calculations'!X$324</f>
        <v/>
      </c>
      <c r="FO24" s="39" t="str">
        <f>IF(State&lt;&gt;"Solid",'Release Calculations'!X$309,Dust_SecondExpl_POE)</f>
        <v/>
      </c>
      <c r="FP24" s="34"/>
      <c r="FQ24" s="34"/>
      <c r="FR24" s="6"/>
      <c r="FS24" s="40"/>
      <c r="FT24" s="248"/>
      <c r="FU24" s="248"/>
      <c r="FV24" s="248"/>
      <c r="FW24" s="741"/>
      <c r="FX24" s="248"/>
      <c r="FY24" s="249" t="s">
        <v>1461</v>
      </c>
      <c r="FZ24" s="249" t="s">
        <v>1460</v>
      </c>
      <c r="GA24" s="250" t="s">
        <v>1461</v>
      </c>
      <c r="GB24" s="248"/>
      <c r="GC24" s="248"/>
      <c r="GD24" s="248"/>
      <c r="GE24" s="19"/>
      <c r="GF24" s="248"/>
      <c r="GG24" s="248"/>
      <c r="GH24" s="248"/>
      <c r="GI24" s="741"/>
      <c r="GJ24" s="248"/>
      <c r="GK24"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"&amp;BP24&amp;" "&amp;BQ24&amp;" Easily Ignited Material with Distance to LFL of "&amp;BD24&amp;" "&amp;BE24,IF(OR(Ease_of_Ignition_Feed="Low",AND(Flash_Pt_Feed&gt;MAX(Ambient_Temp,T),Aerosol_Potential="Yes")),"Outdoor Release of Difficult to Ignite Material or Combustible Aerosol","Outdoor release of "&amp;BP24&amp;" "&amp;BQ24&amp;" Flammable Material with Distance to LFL of "&amp;BD24&amp;" "&amp;BE24)),IF(Ease_of_Ignition_Feed="Elevated","Indoor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24" s="2581" t="str">
        <f t="shared" si="28"/>
        <v>No Flash Point Entered</v>
      </c>
      <c r="GM24" s="250" t="str">
        <f t="shared" si="29"/>
        <v>Indoor Release of Flammable Material-POX</v>
      </c>
      <c r="GN24" s="248"/>
      <c r="GO24" s="248"/>
      <c r="GP24" s="248"/>
      <c r="GQ24" s="19"/>
      <c r="GR24" s="189" t="str">
        <f t="shared" si="35"/>
        <v/>
      </c>
      <c r="GS24" s="19"/>
      <c r="GT24" s="26"/>
      <c r="GU24" s="64" t="str">
        <f>Desc_Low_Bus</f>
        <v>Property Damage and Business Loss $50 M to $500 M</v>
      </c>
      <c r="GV24" s="193">
        <f>Conseq_Low_Bus</f>
        <v>3</v>
      </c>
      <c r="GW24" s="19"/>
      <c r="GX24" s="26"/>
      <c r="GY24" s="26"/>
      <c r="GZ24" s="26"/>
      <c r="HA24" s="26"/>
      <c r="HB24" s="26"/>
      <c r="HC24" s="26"/>
      <c r="HD24" s="26"/>
      <c r="HE24" s="26"/>
      <c r="HF24" s="26"/>
      <c r="HG24" s="26"/>
      <c r="HH24" s="26"/>
      <c r="HI24" s="26"/>
    </row>
    <row r="25" spans="1:217" s="5" customFormat="1" ht="14.25" customHeight="1" x14ac:dyDescent="0.25">
      <c r="A25" s="35"/>
      <c r="B25" s="64" t="str">
        <f>'Scenario Identification'!CD3</f>
        <v>Extremely Large Hole Size Leak above Liquid Level</v>
      </c>
      <c r="C25" s="1457" t="str">
        <f t="shared" si="10"/>
        <v/>
      </c>
      <c r="D25" s="65"/>
      <c r="E25" s="2483" t="str">
        <f>IF(MAX('Release Calculations'!X426,1-'Release Calculations'!X455,ABS(MIN('Release Calculations'!X426,1-'Release Calculations'!X455)))&gt;$E$4,"Yes","")</f>
        <v/>
      </c>
      <c r="F25" s="1418" t="s">
        <v>428</v>
      </c>
      <c r="G25" s="1434">
        <f t="shared" si="11"/>
        <v>0</v>
      </c>
      <c r="H25" s="1427" t="str">
        <f t="shared" si="31"/>
        <v>liter</v>
      </c>
      <c r="I25" s="1418">
        <f>ROUND('Release Calculations'!X7/$I$4,2)</f>
        <v>150</v>
      </c>
      <c r="J25" s="1421" t="str">
        <f t="shared" si="32"/>
        <v>mm</v>
      </c>
      <c r="K25" s="1427">
        <f t="shared" si="12"/>
        <v>0</v>
      </c>
      <c r="L25" s="1434">
        <f>sig('Release Calculations'!$X$437/$L$4,3,100,0)</f>
        <v>0</v>
      </c>
      <c r="M25" s="1435" t="str">
        <f t="shared" si="13"/>
        <v>kg</v>
      </c>
      <c r="N25" s="1432" t="str">
        <f t="shared" si="14"/>
        <v xml:space="preserve">Liquid:   ,  ,  ,  ,  </v>
      </c>
      <c r="O25" s="1434">
        <f>ROUND('Release Calculations'!$X$416,0)</f>
        <v>0</v>
      </c>
      <c r="P25" s="1434">
        <f>ROUND('Release Calculations'!$X$415/$P$4,2)</f>
        <v>0</v>
      </c>
      <c r="Q25" s="1446" t="str">
        <f t="shared" si="15"/>
        <v>bar</v>
      </c>
      <c r="R25" s="1434">
        <f>sig('Release Calculations'!$X$418/$AG$4,3,10,0)</f>
        <v>10.5</v>
      </c>
      <c r="S25" s="1447" t="str">
        <f t="shared" si="16"/>
        <v>kg/min</v>
      </c>
      <c r="T25" s="1435">
        <f>ROUND('Release Calculations'!$X$434/$T$4,0)</f>
        <v>0</v>
      </c>
      <c r="U25" s="1434">
        <f>ROUND(('Release Calculations'!$X$434+'Release Calculations'!$X$435)/$U$4,0)</f>
        <v>60</v>
      </c>
      <c r="V25" s="1434"/>
      <c r="W25" s="1435"/>
      <c r="X25" s="1438">
        <f>ROUND('Release Calculations'!X$589,3)</f>
        <v>0</v>
      </c>
      <c r="Y25" s="1458" t="str">
        <f>IF('Release Calculations'!$X$602="","",sig('Release Calculations'!$X$602,3,1000,0))</f>
        <v/>
      </c>
      <c r="Z25" s="1458" t="str">
        <f>IF('Release Calculations'!$X$609="","",sig('Release Calculations'!$X$609,3,1000,0))</f>
        <v/>
      </c>
      <c r="AA25" s="1458" t="str">
        <f>IF('Release Calculations'!$X$637="","",sig('Release Calculations'!$X$637,3,1000,0))</f>
        <v/>
      </c>
      <c r="AB25" s="1458" t="str">
        <f>IF('Release Calculations'!$X$644="","",sig('Release Calculations'!$X$644,3,1000,0))</f>
        <v/>
      </c>
      <c r="AC25" s="1458" t="str">
        <f>IF('Release Calculations'!$X$651="","",sig('Release Calculations'!$X$651,3,1000,0))</f>
        <v/>
      </c>
      <c r="AD25" s="1196" t="str">
        <f>IF('Release Calculations'!$X$630="","",ROUND('Release Calculations'!$X$630,1))</f>
        <v/>
      </c>
      <c r="AE25" s="1434">
        <f>sig('Release Calculations'!$X$437/$AE$4,3,100,0)</f>
        <v>0</v>
      </c>
      <c r="AF25" s="1435" t="str">
        <f t="shared" si="17"/>
        <v>kg</v>
      </c>
      <c r="AG25" s="1326">
        <f>sig('Release Calculations'!X$464/$AG$4,3,10,3)</f>
        <v>10.5</v>
      </c>
      <c r="AH25" s="1435" t="str">
        <f t="shared" si="33"/>
        <v>kg/min</v>
      </c>
      <c r="AI25" s="1434">
        <f>sig('Release Calculations'!$X$666/$AI$4,3,100,0)</f>
        <v>0</v>
      </c>
      <c r="AJ25" s="1435" t="str">
        <f t="shared" si="18"/>
        <v>m</v>
      </c>
      <c r="AK25" s="1434">
        <f>sig('Release Calculations'!$X$669/$AK$4,3,100,0)</f>
        <v>0</v>
      </c>
      <c r="AL25" s="1435" t="str">
        <f t="shared" si="19"/>
        <v>m</v>
      </c>
      <c r="AM25" s="1434">
        <f>sig('Release Calculations'!$X$671/$AM$4,3,100,0)</f>
        <v>0</v>
      </c>
      <c r="AN25" s="1435" t="str">
        <f t="shared" si="20"/>
        <v>m</v>
      </c>
      <c r="AO25" s="1434">
        <f>sig('Release Calculations'!$X$672/$AO$4,3,100,0)</f>
        <v>0</v>
      </c>
      <c r="AP25" s="1452" t="str">
        <f t="shared" si="20"/>
        <v>m</v>
      </c>
      <c r="AQ25" s="1434">
        <f>sig('Release Calculations'!$X$674/$AQ$4,3,100,0)</f>
        <v>0</v>
      </c>
      <c r="AR25" s="1452" t="str">
        <f t="shared" si="20"/>
        <v>m</v>
      </c>
      <c r="AS25" s="1452" t="str">
        <f t="shared" si="21"/>
        <v/>
      </c>
      <c r="AT25" s="1452" t="str">
        <f t="shared" si="22"/>
        <v/>
      </c>
      <c r="AU25" s="1452" t="str">
        <f t="shared" si="23"/>
        <v/>
      </c>
      <c r="AV25" s="114">
        <f>sig('Release Calculations'!$X$679,3,1000,-1)</f>
        <v>0</v>
      </c>
      <c r="AW25" s="114">
        <f>sig('Release Calculations'!$X$680,3,1000,-1)</f>
        <v>0</v>
      </c>
      <c r="AX25" s="114" t="str">
        <f>sig('Release Calculations'!$X$681,3,1000,0)</f>
        <v/>
      </c>
      <c r="AY25" s="114" t="str">
        <f>sig('Release Calculations'!$X$682,3,1000,0)</f>
        <v/>
      </c>
      <c r="AZ25" s="114">
        <f>sig('Release Calculations'!$X$683,3,1000,-1)</f>
        <v>0</v>
      </c>
      <c r="BA25" s="114">
        <f>sig('Release Calculations'!$X$684,3,1000,-1)</f>
        <v>0</v>
      </c>
      <c r="BB25" s="114" t="str">
        <f>sig('Release Calculations'!$X$685,3,10,3)</f>
        <v/>
      </c>
      <c r="BC25" s="2576" t="str">
        <f>sig('Release Calculations'!$X$686,3,10,3)</f>
        <v/>
      </c>
      <c r="BD25" s="2569">
        <f>sig('Release Calculations'!$X$703/$BD$4,3,100,0)</f>
        <v>0</v>
      </c>
      <c r="BE25" s="1435" t="str">
        <f t="shared" si="34"/>
        <v>m</v>
      </c>
      <c r="BF25" s="2569">
        <f>sig('Release Calculations'!$X$702/$BF$4,3,100,0)</f>
        <v>0</v>
      </c>
      <c r="BG25" s="1435" t="str">
        <f t="shared" si="34"/>
        <v>m</v>
      </c>
      <c r="BH25" s="1419"/>
      <c r="BI25" s="1422"/>
      <c r="BJ25" s="1419"/>
      <c r="BK25" s="1422"/>
      <c r="BL25" s="2573"/>
      <c r="BM25" s="2573"/>
      <c r="BN25" s="1441"/>
      <c r="BO25" s="1746"/>
      <c r="BP25" s="1503">
        <f>sig('Release Calculations'!$X$465/$BP$4,3,10,1)</f>
        <v>0</v>
      </c>
      <c r="BQ25" s="1435" t="str">
        <f t="shared" si="24"/>
        <v>kg/min</v>
      </c>
      <c r="BR25" s="1434">
        <f>sig(IF(Location="Indoors",'Release Calculations'!X694/$BR$4,'Release Calculations'!X708/$BR$4),3,100,0)</f>
        <v>0</v>
      </c>
      <c r="BS25" s="1435" t="str">
        <f t="shared" si="25"/>
        <v>m</v>
      </c>
      <c r="BT25" s="1748">
        <f>ROUND(IF(Location="Indoors",'Release Calculations'!$X$697,'Release Calculations'!$X$713),1)</f>
        <v>0</v>
      </c>
      <c r="BU25" s="1748">
        <f>ROUND(IF(Location="Indoors",'Release Calculations'!$X$699,'Release Calculations'!$X$717),1)</f>
        <v>0</v>
      </c>
      <c r="BV25" s="1436"/>
      <c r="BW25" s="1442"/>
      <c r="BX25" s="262"/>
      <c r="BY25" s="262"/>
      <c r="BZ25" s="123"/>
      <c r="CA25" s="4" t="str">
        <f>IF('Release Calculations'!X$721="NA","",'Release Calculations'!X$721)</f>
        <v/>
      </c>
      <c r="CB25" s="4" t="str">
        <f>IF('Release Calculations'!X$751="NA","",'Release Calculations'!X$751)</f>
        <v/>
      </c>
      <c r="CC25" s="4" t="str">
        <f>IF('Release Calculations'!X$756="NA","",'Release Calculations'!X$756)</f>
        <v/>
      </c>
      <c r="CD25" s="735" t="str">
        <f>IF('Release Calculations'!X$761="NA","",'Release Calculations'!X$761)</f>
        <v/>
      </c>
      <c r="CE25" s="4"/>
      <c r="CF25" s="4" t="str">
        <f>IF('Release Calculations'!X$766="NA","",'Release Calculations'!X$766)</f>
        <v/>
      </c>
      <c r="CG25" s="4" t="str">
        <f>IF('Release Calculations'!X$786="NA","",'Release Calculations'!X$786)</f>
        <v/>
      </c>
      <c r="CH25" s="4" t="str">
        <f>IF('Release Calculations'!X$776="NA","",'Release Calculations'!X$776)</f>
        <v/>
      </c>
      <c r="CI25" s="4"/>
      <c r="CJ25" s="4"/>
      <c r="CK25" s="4"/>
      <c r="CL25" s="19"/>
      <c r="CM25" s="19"/>
      <c r="CN25" s="189" t="str">
        <f>IF(CA25="","",IF('Release Calculations'!X$668="Yes",IF(CA25=Conseq_VeryLow,Desc_VeryLow,IF(CA25=Conseq_Low,Desc_Low,IF(CA25=Conseq_Moderate,Desc_Moderate,IF(CA25=Conseq_High,Desc_High,IF(CA25=Conseq_VeryHigh,Desc_VeryHigh,IF(CA25=Conseq_ExtremeHigh,Desc_ExtremeHigh,Desc_GT_ExtremeHigh)))))),IF(CA25=Conseq_Low_Offsite,Desc_Low_Offsite,Desc_VeryLow_Offsite)))</f>
        <v/>
      </c>
      <c r="CO25" s="189" t="str">
        <f t="shared" si="37"/>
        <v/>
      </c>
      <c r="CP25" s="189" t="str">
        <f t="shared" si="38"/>
        <v/>
      </c>
      <c r="CQ25" s="189" t="str">
        <f t="shared" si="39"/>
        <v/>
      </c>
      <c r="CR25" s="67"/>
      <c r="CS25" s="189" t="str">
        <f t="shared" si="40"/>
        <v/>
      </c>
      <c r="CT25" s="189" t="str">
        <f t="shared" si="41"/>
        <v/>
      </c>
      <c r="CU25" s="189" t="str">
        <f t="shared" si="42"/>
        <v/>
      </c>
      <c r="CV25" s="67"/>
      <c r="CW25" s="67"/>
      <c r="CX25" s="67"/>
      <c r="CY25" s="40" t="s">
        <v>822</v>
      </c>
      <c r="CZ25" s="189" t="str">
        <f>IF(CA25="","",IF('Release Calculations'!X$668="Yes"," at a "&amp;$AI$3&amp;" of "&amp;AI25&amp;" "&amp;AJ25&amp;" which exceeds Distance to the Fence Line of "&amp;Public_Input&amp;" "&amp;Public_Units))</f>
        <v/>
      </c>
      <c r="DA25" s="189" t="str">
        <f>IF(CB25="","",IF('Release Calculations'!$X$292="Yes"," with operating personnel in close proximity and a "&amp;$AM$3&amp;" of "&amp;AM25&amp;" "&amp;AN25," at a "&amp;$AM$3&amp;" of "&amp;AM25&amp;" "&amp;AN25)&amp;IF('Release Calculations'!$X$671&gt;Public," which exceeds Distance to the Fence Line of "&amp;Public_Input&amp;" "&amp;Public_Units&amp;".  Target Factor may be conservative",))</f>
        <v/>
      </c>
      <c r="DB25" s="226" t="str">
        <f>IF(CC25="","",IF('Release Calculations'!X690="Yes","and Potential for Asphyxiation","")&amp;" at an "&amp;$AZ$3&amp;" of "&amp;AZ25&amp;" ppm")</f>
        <v/>
      </c>
      <c r="DC25" s="189" t="str">
        <f t="shared" si="27"/>
        <v/>
      </c>
      <c r="DD25" s="67"/>
      <c r="DE25" s="189" t="str">
        <f>IF(CF25="",""," at a "&amp;$BF$3&amp;" of "&amp;BF25&amp;" "&amp;BG25)</f>
        <v/>
      </c>
      <c r="DF25" s="189" t="str">
        <f>IF(CG25="","",IF('Release Calculations'!X$709="Yes"," with "&amp;$BR$3&amp;" of "&amp;BR25&amp;" "&amp;BS25&amp;IF('Release Calculations'!X$718&lt;&gt;"Yes",""," including "&amp;$BT$3&amp;" of "&amp;BT25&amp;" psi.")&amp;" 1 psi Blast Overpresssure exceeds Distance to the Fence Line of "&amp;Public_Input&amp;" "&amp;Public_Units&amp;".  Consider adjustment for Off-Site Impacts",IF('Release Calculations'!X$718&lt;&gt;"Yes"," impacting on site personnel at a "&amp;$BR$3&amp;" of "&amp;BR25&amp;" "&amp;BS25," impacting on site personnel at a "&amp;$BR$3&amp;" of "&amp;BR25&amp;" "&amp;BS25&amp;" including "&amp;$BT$3&amp;" of "&amp;BT25&amp;" psi")))</f>
        <v/>
      </c>
      <c r="DG25" s="189" t="str">
        <f>IF(CH25="","",IF('Release Calculations'!X$695="Yes"," with "&amp;$BR$3&amp;" of "&amp;BR25&amp;" "&amp;BS25&amp;IF('Release Calculations'!X$700&lt;&gt;"Yes",""," including "&amp;$BT$3&amp;" of "&amp;BT25&amp;" psi.")&amp;"  1 psi Blast Overpresssure exceeds Distance to the Fence Line of "&amp;Public_Input&amp;" "&amp;Public_Units&amp;".  Consider adjustment for Off-Site Impacts",IF('Release Calculations'!X$700&lt;&gt;"Yes"," impacting enclosed area operating personnel, on site personnel at a "&amp;$BR$3&amp;" of "&amp;BR25&amp;" "&amp;BS25," impacting enclosed area operating personnel, on site personnel at a "&amp;$BR$3&amp;" of "&amp;BR25&amp;" "&amp;BS25&amp;" including "&amp;$BT$3&amp;" of "&amp;BT25&amp;" psi")))</f>
        <v/>
      </c>
      <c r="DH25" s="67"/>
      <c r="DI25" s="67"/>
      <c r="DJ25" s="67"/>
      <c r="DK25" s="19"/>
      <c r="DL25" s="39"/>
      <c r="DM25" s="239">
        <f>'Release Calculations'!X749</f>
        <v>0</v>
      </c>
      <c r="DN25" s="239">
        <f>'Release Calculations'!X$754</f>
        <v>0</v>
      </c>
      <c r="DO25" s="34"/>
      <c r="DP25" s="34"/>
      <c r="DQ25" s="239">
        <f>'Release Calculations'!X764</f>
        <v>0</v>
      </c>
      <c r="DR25" s="34"/>
      <c r="DS25" s="34"/>
      <c r="DT25" s="34"/>
      <c r="DU25" s="34"/>
      <c r="DV25" s="6"/>
      <c r="DW25" s="40"/>
      <c r="DX25" s="250"/>
      <c r="DY25" s="249" t="s">
        <v>2983</v>
      </c>
      <c r="DZ25" s="250" t="s">
        <v>292</v>
      </c>
      <c r="EA25" s="740"/>
      <c r="EB25" s="248"/>
      <c r="EC25" s="249" t="s">
        <v>292</v>
      </c>
      <c r="ED25" s="248"/>
      <c r="EE25" s="248"/>
      <c r="EF25" s="248"/>
      <c r="EG25" s="248"/>
      <c r="EH25" s="248"/>
      <c r="EI25" s="19"/>
      <c r="EJ25" s="250"/>
      <c r="EK25" s="249" t="str">
        <f>IF(Attended_Op="Yes","Noted as Personnel Routinely in Immediate Area or Equipment Type involves Materials Handling - "&amp;IF('Release Calculations'!X586*3600&lt;30," with a very Short Exposure Duration (&lt; 30 sec)","Time at Risk May Apply"),"Probability of Personnel to be in Close Proximity to Chemical Release based on Toxic Impact Area to "&amp;AM25&amp;" "&amp;AN25&amp;IF('Release Calculations'!X748&lt;0.01," (with potential for higher POE credit upon further review)",""))</f>
        <v>Probability of Personnel to be in Close Proximity to Chemical Release based on Toxic Impact Area to 0 m (with potential for higher POE credit upon further review)</v>
      </c>
      <c r="EL25" s="250" t="str">
        <f>IF(Attended_Op="Yes","Noted as Personnel Routinely in Immediate Area or Equipment Type involves Materials Handling - Time at Risk May Apply","Probability of Personnel to be in Close Proximity to Chemical Release based on Ratio Enclosed Process Area Concentation of "&amp;AZ25&amp;" ppm to 10 ER-3 for "&amp;Chemical&amp;IF(Fract_Key_Chemical&lt;1," mixture "," ")&amp;IF('Release Calculations'!$X$753&lt;0.01,"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25" s="248"/>
      <c r="EN25" s="248"/>
      <c r="EO25"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"&amp;AZ25&amp;" to "&amp;LFL_Fract_FlashFIre&amp;" LFL","Flammable Impact Area to "&amp;BF25&amp;" "&amp;BG25)&amp;IF('Release Calculations'!$X$763&lt;0.01," (with potential for higher POE credit upon further review)",""))</f>
        <v>Probability of Personnel to be in Close Proximity to Chemical Release based on Flammable Impact Area to 0 m (with potential for higher POE credit upon further review)</v>
      </c>
      <c r="EP25" s="248"/>
      <c r="EQ25" s="248"/>
      <c r="ER25" s="248"/>
      <c r="ES25" s="248"/>
      <c r="ET25" s="248"/>
      <c r="EU25" s="19"/>
      <c r="EV25" s="1379"/>
      <c r="EW25" s="957">
        <f>'Release Calculations'!X748</f>
        <v>6.0000000000000008E-7</v>
      </c>
      <c r="EX25" s="957">
        <f>'Release Calculations'!$X$753</f>
        <v>0</v>
      </c>
      <c r="EY25" s="1380"/>
      <c r="EZ25" s="1380"/>
      <c r="FA25" s="1381">
        <f>'Release Calculations'!$X$763</f>
        <v>0</v>
      </c>
      <c r="FB25" s="6"/>
      <c r="FC25" s="6"/>
      <c r="FD25" s="6"/>
      <c r="FE25" s="6"/>
      <c r="FF25" s="6"/>
      <c r="FG25" s="19"/>
      <c r="FH25" s="34"/>
      <c r="FI25" s="34"/>
      <c r="FJ25" s="34"/>
      <c r="FK25" s="739"/>
      <c r="FL25" s="34"/>
      <c r="FM25" s="239" t="str">
        <f>IF(Location="Outdoors",'Release Calculations'!X$706,'Release Calculations'!X$692)</f>
        <v/>
      </c>
      <c r="FN25" s="239" t="str">
        <f>'Release Calculations'!X$707</f>
        <v/>
      </c>
      <c r="FO25" s="39" t="str">
        <f>IF(State&lt;&gt;"Solid",'Release Calculations'!X$692,Dust_SecondExpl_POE)</f>
        <v/>
      </c>
      <c r="FP25" s="34"/>
      <c r="FQ25" s="34"/>
      <c r="FR25" s="6"/>
      <c r="FS25" s="40"/>
      <c r="FT25" s="248"/>
      <c r="FU25" s="248"/>
      <c r="FV25" s="248"/>
      <c r="FW25" s="741"/>
      <c r="FX25" s="248"/>
      <c r="FY25" s="249" t="s">
        <v>1461</v>
      </c>
      <c r="FZ25" s="249" t="s">
        <v>1460</v>
      </c>
      <c r="GA25" s="250" t="s">
        <v>1461</v>
      </c>
      <c r="GB25" s="248"/>
      <c r="GC25" s="248"/>
      <c r="GD25" s="248"/>
      <c r="GE25" s="19"/>
      <c r="GF25" s="248"/>
      <c r="GG25" s="248"/>
      <c r="GH25" s="248"/>
      <c r="GI25" s="741"/>
      <c r="GJ25" s="248"/>
      <c r="GK25" s="440"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"&amp;BP25&amp;" "&amp;BQ25&amp;" Easily Ignited Material with Distance to LFL of "&amp;BD25&amp;" "&amp;BE25,IF(Ease_of_Ignition_Feed="Low","Outdoor Release of Difficult to Ignite Material","Outdoor release of "&amp;BP25&amp;" "&amp;BQ25&amp;" Flammable Material with Distance to LFL of "&amp;BD25&amp;" "&amp;BE25)),IF(Ease_of_Ignition_Feed="Elevated","Indoor Release of Easily Ignited Material",IF(Ease_of_Ignition_Feed="Low","Indoor Release of Difficult to Ignite Material","Indoor Release of Flammable Material")))))))</f>
        <v>No Flash Point Entered</v>
      </c>
      <c r="GL25" s="2581" t="str">
        <f t="shared" si="28"/>
        <v>No Flash Point Entered</v>
      </c>
      <c r="GM25" s="250" t="str">
        <f t="shared" si="29"/>
        <v>Indoor Release of Flammable Material-POX</v>
      </c>
      <c r="GN25" s="248"/>
      <c r="GO25" s="248"/>
      <c r="GP25" s="248"/>
      <c r="GQ25" s="19"/>
      <c r="GR25" s="189" t="str">
        <f t="shared" si="35"/>
        <v/>
      </c>
      <c r="GS25" s="19"/>
      <c r="GT25" s="19"/>
      <c r="GU25" s="64" t="str">
        <f>Desc_Moderate_Bus</f>
        <v>Property Damage and Business Loss $500 M to $5 MM</v>
      </c>
      <c r="GV25" s="193">
        <f>Conseq_Moderate_Bus</f>
        <v>4</v>
      </c>
      <c r="GW25" s="19"/>
      <c r="GX25" s="19"/>
      <c r="GY25" s="19"/>
      <c r="GZ25" s="19"/>
      <c r="HA25" s="19"/>
      <c r="HB25" s="19"/>
      <c r="HC25" s="19"/>
      <c r="HD25" s="19"/>
      <c r="HE25" s="19"/>
      <c r="HF25" s="19"/>
      <c r="HG25" s="19"/>
      <c r="HH25" s="19"/>
      <c r="HI25" s="19"/>
    </row>
    <row r="26" spans="1:217" s="5" customFormat="1" ht="14.25" customHeight="1" x14ac:dyDescent="0.25">
      <c r="A26" s="35"/>
      <c r="B26" s="64" t="str">
        <f>'Scenario Identification'!CE3</f>
        <v>Solids Spill</v>
      </c>
      <c r="C26" s="1457" t="str">
        <f t="shared" si="10"/>
        <v/>
      </c>
      <c r="D26" s="65"/>
      <c r="E26" s="2483"/>
      <c r="F26" s="1418" t="s">
        <v>428</v>
      </c>
      <c r="G26" s="1434">
        <f t="shared" si="11"/>
        <v>0</v>
      </c>
      <c r="H26" s="1427" t="str">
        <f t="shared" si="31"/>
        <v>liter</v>
      </c>
      <c r="I26" s="1418"/>
      <c r="J26" s="1421"/>
      <c r="K26" s="1427">
        <f t="shared" si="12"/>
        <v>0</v>
      </c>
      <c r="L26" s="1434">
        <f>sig(Total_Leak_Solids/$L$4,3,100,0)</f>
        <v>0</v>
      </c>
      <c r="M26" s="1435" t="str">
        <f t="shared" si="13"/>
        <v>kg</v>
      </c>
      <c r="N26" s="1432" t="str">
        <f t="shared" si="14"/>
        <v xml:space="preserve">Liquid:   ,  ,  ,  ,  </v>
      </c>
      <c r="O26" s="1434">
        <f>T</f>
        <v>0</v>
      </c>
      <c r="P26" s="1434">
        <f>ROUND(P,2)</f>
        <v>0</v>
      </c>
      <c r="Q26" s="1446" t="str">
        <f t="shared" si="15"/>
        <v>bar</v>
      </c>
      <c r="R26" s="1434">
        <f>sig(Leakrate_Solids/$AG$4,3,10,0)</f>
        <v>0</v>
      </c>
      <c r="S26" s="1447" t="str">
        <f t="shared" si="16"/>
        <v>kg/min</v>
      </c>
      <c r="T26" s="1435"/>
      <c r="U26" s="1434"/>
      <c r="V26" s="1434"/>
      <c r="W26" s="1435"/>
      <c r="X26" s="1438">
        <f>ROUND(Fract_Key_Chemical,3)</f>
        <v>0</v>
      </c>
      <c r="Y26" s="1459"/>
      <c r="Z26" s="1459"/>
      <c r="AA26" s="1459"/>
      <c r="AB26" s="1459"/>
      <c r="AC26" s="1459"/>
      <c r="AD26" s="1387"/>
      <c r="AE26" s="1434">
        <f>sig(Total_Leak_Solids/AE4,3,100,0)</f>
        <v>0</v>
      </c>
      <c r="AF26" s="1435" t="str">
        <f t="shared" si="17"/>
        <v>kg</v>
      </c>
      <c r="AG26" s="1326">
        <f>sig(Leakrate_Solids/AG4,3,10,3)</f>
        <v>0</v>
      </c>
      <c r="AH26" s="1435" t="str">
        <f t="shared" si="33"/>
        <v>kg/min</v>
      </c>
      <c r="AI26" s="1419"/>
      <c r="AJ26" s="1422"/>
      <c r="AK26" s="1419"/>
      <c r="AL26" s="1422"/>
      <c r="AM26" s="1419"/>
      <c r="AN26" s="1422"/>
      <c r="AO26" s="1419"/>
      <c r="AP26" s="1717"/>
      <c r="AQ26" s="1419"/>
      <c r="AR26" s="1717"/>
      <c r="AS26" s="1775"/>
      <c r="AT26" s="1775"/>
      <c r="AU26" s="1775"/>
      <c r="AV26" s="36"/>
      <c r="AW26" s="36"/>
      <c r="AX26" s="1774"/>
      <c r="AY26" s="1774"/>
      <c r="AZ26" s="36"/>
      <c r="BA26" s="36"/>
      <c r="BB26" s="36"/>
      <c r="BC26" s="2577"/>
      <c r="BD26" s="2577"/>
      <c r="BE26" s="2577"/>
      <c r="BF26" s="2569">
        <f>sig('Special Calcs'!C85/BF4,3,100,0)</f>
        <v>0</v>
      </c>
      <c r="BG26" s="1435" t="str">
        <f t="shared" si="34"/>
        <v>m</v>
      </c>
      <c r="BH26" s="1419"/>
      <c r="BI26" s="1422"/>
      <c r="BJ26" s="1419"/>
      <c r="BK26" s="1422"/>
      <c r="BL26" s="2573"/>
      <c r="BM26" s="2573"/>
      <c r="BN26" s="1441"/>
      <c r="BO26" s="1746"/>
      <c r="BP26" s="1506"/>
      <c r="BQ26" s="1422"/>
      <c r="BR26" s="1422"/>
      <c r="BS26" s="1422"/>
      <c r="BT26" s="1749"/>
      <c r="BU26" s="1749"/>
      <c r="BV26" s="1436"/>
      <c r="BW26" s="1442"/>
      <c r="BX26" s="262"/>
      <c r="BY26" s="262"/>
      <c r="BZ26" s="123"/>
      <c r="CA26" s="2249"/>
      <c r="CB26" s="4"/>
      <c r="CC26" s="4"/>
      <c r="CD26" s="735"/>
      <c r="CE26" s="4" t="str">
        <f>IF('Special Calcs'!C$91="NA","",'Special Calcs'!C$91)</f>
        <v/>
      </c>
      <c r="CF26" s="4" t="str">
        <f>IF('Special Calcs'!C$90="NA","",'Special Calcs'!C$90)</f>
        <v/>
      </c>
      <c r="CG26" s="4"/>
      <c r="CH26" s="4"/>
      <c r="CI26" s="4"/>
      <c r="CJ26" s="4"/>
      <c r="CK26" s="4" t="str">
        <f>IF('Release Calculations'!BD428="NA","",'Release Calculations'!BD428)</f>
        <v/>
      </c>
      <c r="CL26" s="19"/>
      <c r="CM26" s="19"/>
      <c r="CN26" s="67"/>
      <c r="CO26" s="67"/>
      <c r="CP26" s="67"/>
      <c r="CQ26" s="67"/>
      <c r="CR26" s="189" t="str">
        <f>IF(CE26="","",IF(CE26=Conseq_VeryLow,Desc_VeryLow,IF(CE26=Conseq_Low,Desc_Low,IF(CE26=Conseq_Moderate,Desc_Moderate,IF(CE26=Conseq_High,Desc_High,IF(CE26=Conseq_VeryHigh,Desc_VeryHigh,IF(CE26=Conseq_ExtremeHigh,Desc_ExtremeHigh,Desc_GT_ExtremeHigh)))))))</f>
        <v/>
      </c>
      <c r="CS26" s="189" t="str">
        <f t="shared" si="40"/>
        <v/>
      </c>
      <c r="CT26" s="67"/>
      <c r="CU26" s="67"/>
      <c r="CV26" s="67"/>
      <c r="CW26" s="67"/>
      <c r="CX26" s="67"/>
      <c r="CY26" s="40" t="s">
        <v>822</v>
      </c>
      <c r="CZ26" s="67"/>
      <c r="DA26" s="67"/>
      <c r="DB26" s="67"/>
      <c r="DC26" s="737"/>
      <c r="DD26" s="189" t="str">
        <f>IF(CE26="",""," of a "&amp;Dermal_Tox_Feed&amp;" dust")</f>
        <v/>
      </c>
      <c r="DE26" s="189" t="str">
        <f>IF(CF26="","",IF('Special Calcs'!C87="Yes"," with operating personnel in close proximity and a "&amp;$BF$3&amp;" of "&amp;BF26&amp;" "&amp;BG26," at a "&amp;$BF$3&amp;" of "&amp;BF26&amp;" "&amp;BG26))</f>
        <v/>
      </c>
      <c r="DF26" s="67"/>
      <c r="DG26" s="67"/>
      <c r="DH26" s="67"/>
      <c r="DI26" s="67"/>
      <c r="DJ26" s="189" t="str">
        <f>IF('Release Calculations'!AZ428&gt;0,"Groundwater or Remediation Issue",IF('Release Calculations'!BB428&gt;0,"High Aqueous Toxicity",""))</f>
        <v/>
      </c>
      <c r="DK26" s="19"/>
      <c r="DL26" s="34"/>
      <c r="DM26" s="34"/>
      <c r="DN26" s="34"/>
      <c r="DO26" s="34"/>
      <c r="DP26" s="34"/>
      <c r="DQ26" s="34"/>
      <c r="DR26" s="34"/>
      <c r="DS26" s="34"/>
      <c r="DT26" s="34"/>
      <c r="DU26" s="34"/>
      <c r="DV26" s="6"/>
      <c r="DW26" s="40"/>
      <c r="DX26" s="248"/>
      <c r="DY26" s="248"/>
      <c r="DZ26" s="248"/>
      <c r="EA26" s="741"/>
      <c r="EB26" s="248"/>
      <c r="EC26" s="248"/>
      <c r="ED26" s="248"/>
      <c r="EE26" s="248"/>
      <c r="EF26" s="248"/>
      <c r="EG26" s="248"/>
      <c r="EH26" s="248"/>
      <c r="EI26" s="19"/>
      <c r="EJ26" s="248"/>
      <c r="EK26" s="248"/>
      <c r="EL26" s="248"/>
      <c r="EM26" s="248"/>
      <c r="EN26" s="248"/>
      <c r="EO26" s="248"/>
      <c r="EP26" s="248"/>
      <c r="EQ26" s="248"/>
      <c r="ER26" s="248"/>
      <c r="ES26" s="248"/>
      <c r="ET26" s="248"/>
      <c r="EU26" s="19"/>
      <c r="EV26" s="1379"/>
      <c r="EW26" s="1380"/>
      <c r="EX26" s="1380"/>
      <c r="EY26" s="1380"/>
      <c r="EZ26" s="1380"/>
      <c r="FA26" s="1380"/>
      <c r="FB26" s="6"/>
      <c r="FC26" s="6"/>
      <c r="FD26" s="6"/>
      <c r="FE26" s="6"/>
      <c r="FF26" s="6"/>
      <c r="FG26" s="19"/>
      <c r="FH26" s="34"/>
      <c r="FI26" s="34"/>
      <c r="FJ26" s="34"/>
      <c r="FK26" s="739"/>
      <c r="FL26" s="34"/>
      <c r="FM26" s="39">
        <f>Dust_Spill_POI</f>
        <v>1</v>
      </c>
      <c r="FN26" s="34"/>
      <c r="FO26" s="34"/>
      <c r="FP26" s="34"/>
      <c r="FQ26" s="34"/>
      <c r="FR26" s="6"/>
      <c r="FS26" s="40"/>
      <c r="FT26" s="248"/>
      <c r="FU26" s="248"/>
      <c r="FV26" s="248"/>
      <c r="FW26" s="741"/>
      <c r="FX26" s="248"/>
      <c r="FY26" s="250" t="s">
        <v>1461</v>
      </c>
      <c r="FZ26" s="248"/>
      <c r="GA26" s="248"/>
      <c r="GB26" s="248"/>
      <c r="GC26" s="248"/>
      <c r="GD26" s="248"/>
      <c r="GE26" s="19"/>
      <c r="GF26" s="248"/>
      <c r="GG26" s="248"/>
      <c r="GH26" s="248"/>
      <c r="GI26" s="741"/>
      <c r="GJ26" s="248"/>
      <c r="GK26" s="4"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"&amp;BP26&amp;" "&amp;BQ26&amp;" Easily Ignited Material with Distance to LFL of "&amp;BD26&amp;" "&amp;BE26,IF(Ease_of_Ignition_Feed="Low","Outdoor Release of Difficult to Ignite Material","Outdoor release of "&amp;BP26&amp;" "&amp;BQ26&amp;" Flammable Material with Distance to LFL of "&amp;BD26&amp;" "&amp;BE26)),IF(Ease_of_Ignition_Feed="Elevated","Indoor Release of Easily Ignited Material",IF(Ease_of_Ignition_Feed="Low","Indoor Release of Difficult to Ignite Material","Indoor Release of Flammable Material")))))))</f>
        <v>No Flash Point Entered</v>
      </c>
      <c r="GL26" s="248"/>
      <c r="GM26" s="248"/>
      <c r="GN26" s="248"/>
      <c r="GO26" s="248"/>
      <c r="GP26" s="248"/>
      <c r="GQ26" s="19"/>
      <c r="GR26" s="189" t="str">
        <f t="shared" si="35"/>
        <v/>
      </c>
      <c r="GS26" s="19"/>
      <c r="GT26" s="19"/>
      <c r="GU26" s="64" t="str">
        <f>Desc_High_Bus</f>
        <v>Property Damage and Business Loss $5 MM to $50 MM</v>
      </c>
      <c r="GV26" s="193">
        <f>Conseq_High_Bus</f>
        <v>5</v>
      </c>
      <c r="GW26" s="19"/>
      <c r="GX26" s="19"/>
      <c r="GY26" s="19"/>
      <c r="GZ26" s="19"/>
      <c r="HA26" s="19"/>
      <c r="HB26" s="19"/>
      <c r="HC26" s="19"/>
      <c r="HD26" s="19"/>
      <c r="HE26" s="19"/>
      <c r="HF26" s="19"/>
      <c r="HG26" s="19"/>
      <c r="HH26" s="19"/>
      <c r="HI26" s="19"/>
    </row>
    <row r="27" spans="1:217" s="5" customFormat="1" ht="12.75" customHeight="1" x14ac:dyDescent="0.25">
      <c r="A27" s="35"/>
      <c r="B27" s="64" t="str">
        <f>'Scenario Identification'!CF3</f>
        <v>Secondary Dust Release</v>
      </c>
      <c r="C27" s="1457" t="str">
        <f t="shared" si="10"/>
        <v/>
      </c>
      <c r="D27" s="65"/>
      <c r="E27" s="2484"/>
      <c r="F27" s="1418" t="s">
        <v>428</v>
      </c>
      <c r="G27" s="1481"/>
      <c r="H27" s="1422"/>
      <c r="I27" s="1481"/>
      <c r="J27" s="1422"/>
      <c r="K27" s="1427" t="s">
        <v>1264</v>
      </c>
      <c r="L27" s="1422"/>
      <c r="M27" s="1482"/>
      <c r="N27" s="1432" t="str">
        <f t="shared" si="14"/>
        <v xml:space="preserve">Liquid:   ,  ,  ,  ,  </v>
      </c>
      <c r="O27" s="1434">
        <f>Ambient_Temp</f>
        <v>25</v>
      </c>
      <c r="P27" s="1422"/>
      <c r="Q27" s="1482"/>
      <c r="R27" s="1437"/>
      <c r="S27" s="1482"/>
      <c r="T27" s="1422"/>
      <c r="U27" s="1482"/>
      <c r="V27" s="1422"/>
      <c r="W27" s="1482"/>
      <c r="X27" s="1438">
        <f>ROUND(Fract_Key_Chemical,3)</f>
        <v>0</v>
      </c>
      <c r="Y27" s="1422"/>
      <c r="Z27" s="1482"/>
      <c r="AA27" s="1482"/>
      <c r="AB27" s="1482"/>
      <c r="AC27" s="1482"/>
      <c r="AD27" s="1422"/>
      <c r="AE27" s="1504"/>
      <c r="AF27" s="1422"/>
      <c r="AG27" s="1773"/>
      <c r="AH27" s="1422"/>
      <c r="AI27" s="1504"/>
      <c r="AJ27" s="1422"/>
      <c r="AK27" s="1481"/>
      <c r="AL27" s="1422"/>
      <c r="AM27" s="1481"/>
      <c r="AN27" s="1422"/>
      <c r="AO27" s="1481"/>
      <c r="AP27" s="1717"/>
      <c r="AQ27" s="1481"/>
      <c r="AR27" s="1717"/>
      <c r="AS27" s="1775"/>
      <c r="AT27" s="1775"/>
      <c r="AU27" s="1775"/>
      <c r="AV27" s="1482"/>
      <c r="AW27" s="1482"/>
      <c r="AX27" s="1774"/>
      <c r="AY27" s="1774"/>
      <c r="AZ27" s="1482"/>
      <c r="BA27" s="1482"/>
      <c r="BB27" s="1482"/>
      <c r="BC27" s="2577"/>
      <c r="BD27" s="2573"/>
      <c r="BE27" s="1422"/>
      <c r="BF27" s="2573"/>
      <c r="BG27" s="1422"/>
      <c r="BH27" s="1481"/>
      <c r="BI27" s="1422"/>
      <c r="BJ27" s="1481"/>
      <c r="BK27" s="1422"/>
      <c r="BL27" s="2652"/>
      <c r="BM27" s="2652"/>
      <c r="BN27" s="1482"/>
      <c r="BO27" s="1745"/>
      <c r="BP27" s="1507"/>
      <c r="BQ27" s="1422"/>
      <c r="BR27" s="1480">
        <f>sig('Special Calcs'!C109/$BR$4,3,100,0)</f>
        <v>0</v>
      </c>
      <c r="BS27" s="1435" t="str">
        <f>IF(Report_D&lt;&gt;"",Report_D,Public_Units)</f>
        <v>m</v>
      </c>
      <c r="BT27" s="1748">
        <f>ROUND('Special Calcs'!C112,1)</f>
        <v>0</v>
      </c>
      <c r="BU27" s="1748"/>
      <c r="BV27" s="1508"/>
      <c r="BW27" s="1442"/>
      <c r="BX27" s="262"/>
      <c r="BY27" s="262"/>
      <c r="BZ27" s="123"/>
      <c r="CA27" s="2249"/>
      <c r="CB27" s="1477"/>
      <c r="CC27" s="1477"/>
      <c r="CD27" s="1477"/>
      <c r="CE27" s="1477"/>
      <c r="CF27" s="1477"/>
      <c r="CG27" s="1477"/>
      <c r="CH27" s="1477" t="str">
        <f>IF('Special Calcs'!C$116="NA","",'Special Calcs'!C$116)</f>
        <v/>
      </c>
      <c r="CI27" s="1477"/>
      <c r="CJ27" s="1477"/>
      <c r="CK27" s="1477"/>
      <c r="CL27" s="19"/>
      <c r="CM27" s="19"/>
      <c r="CN27" s="1483"/>
      <c r="CO27" s="1483"/>
      <c r="CP27" s="1483"/>
      <c r="CQ27" s="1483"/>
      <c r="CR27" s="67"/>
      <c r="CS27" s="67"/>
      <c r="CT27" s="1483"/>
      <c r="CU27" s="189" t="str">
        <f>IF(CH27="","",IF(CH27=Conseq_VeryLow,Desc_VeryLow,IF(CH27=Conseq_Low,Desc_Low,IF(CH27=Conseq_Moderate,Desc_Moderate,IF(CH27=Conseq_High,Desc_High,IF(CH27=Conseq_VeryHigh,Desc_VeryHigh,IF(CH27=Conseq_ExtremeHigh,Desc_ExtremeHigh,Desc_GT_ExtremeHigh)))))))</f>
        <v/>
      </c>
      <c r="CV27" s="1483"/>
      <c r="CW27" s="1483"/>
      <c r="CX27" s="1483"/>
      <c r="CY27" s="40"/>
      <c r="CZ27" s="1483"/>
      <c r="DA27" s="1483"/>
      <c r="DB27" s="1483"/>
      <c r="DC27" s="1483"/>
      <c r="DD27" s="1483"/>
      <c r="DE27" s="1483"/>
      <c r="DF27" s="1483"/>
      <c r="DG27" s="1479" t="str">
        <f>IF(CH27="","",IF('Special Calcs'!C$110="Yes"," with "&amp;$BR$3&amp;" of "&amp;BR27&amp;" "&amp;BS27&amp;IF('Special Calcs'!C$111&lt;&gt;"Yes",""," including "&amp;$BT$3&amp;" of "&amp;BT27&amp;" psi.")&amp;"  1 psi Blast Overpresssure exceeds Distance to the Fence Line of "&amp;Public_Input&amp;" "&amp;Public_Units&amp;".  Consider adjustment for Off-Site Impacts",IF('Special Calcs'!C$111&lt;&gt;"Yes"," impacting enclosed area operating personnel, on site personnel at a "&amp;$BR$3&amp;" of "&amp;BR27&amp;" "&amp;BS27," impacting enclosed area operating personnel, on site personnel at a "&amp;$BR$3&amp;" of "&amp;BR27&amp;" "&amp;BS27&amp;" including "&amp;$BT$3&amp;" of "&amp;BT27&amp;" psi")))</f>
        <v/>
      </c>
      <c r="DH27" s="1483"/>
      <c r="DI27" s="1483"/>
      <c r="DJ27" s="1483"/>
      <c r="DK27" s="19"/>
      <c r="DL27" s="1476"/>
      <c r="DM27" s="1476"/>
      <c r="DN27" s="1476"/>
      <c r="DO27" s="1476"/>
      <c r="DP27" s="1476"/>
      <c r="DQ27" s="1476"/>
      <c r="DR27" s="1476"/>
      <c r="DS27" s="1476"/>
      <c r="DT27" s="1476"/>
      <c r="DU27" s="1476"/>
      <c r="DV27" s="1484"/>
      <c r="DW27" s="40"/>
      <c r="DX27" s="1485"/>
      <c r="DY27" s="1485"/>
      <c r="DZ27" s="1485"/>
      <c r="EA27" s="1485"/>
      <c r="EB27" s="1485"/>
      <c r="EC27" s="1485"/>
      <c r="ED27" s="1485"/>
      <c r="EE27" s="1485"/>
      <c r="EF27" s="1485"/>
      <c r="EG27" s="1485"/>
      <c r="EH27" s="1485"/>
      <c r="EI27" s="19"/>
      <c r="EJ27" s="1485"/>
      <c r="EK27" s="1485"/>
      <c r="EL27" s="1485"/>
      <c r="EM27" s="1485"/>
      <c r="EN27" s="1485"/>
      <c r="EO27" s="1485"/>
      <c r="EP27" s="1485"/>
      <c r="EQ27" s="1485"/>
      <c r="ER27" s="1485"/>
      <c r="ES27" s="1485"/>
      <c r="ET27" s="1485"/>
      <c r="EU27" s="19"/>
      <c r="EV27" s="1486"/>
      <c r="EW27" s="1487"/>
      <c r="EX27" s="1487"/>
      <c r="EY27" s="1487"/>
      <c r="EZ27" s="1487"/>
      <c r="FA27" s="1487"/>
      <c r="FB27" s="1484"/>
      <c r="FC27" s="1484"/>
      <c r="FD27" s="1484"/>
      <c r="FE27" s="1484"/>
      <c r="FF27" s="1484"/>
      <c r="FG27" s="19"/>
      <c r="FH27" s="1476"/>
      <c r="FI27" s="1476"/>
      <c r="FJ27" s="1476"/>
      <c r="FK27" s="1476"/>
      <c r="FL27" s="1476"/>
      <c r="FM27" s="34"/>
      <c r="FN27" s="1476"/>
      <c r="FO27" s="39">
        <f>Dust_SecondExpl_POE</f>
        <v>1</v>
      </c>
      <c r="FP27" s="1476"/>
      <c r="FQ27" s="1476"/>
      <c r="FR27" s="1484"/>
      <c r="FS27" s="40"/>
      <c r="FT27" s="1485"/>
      <c r="FU27" s="1485"/>
      <c r="FV27" s="1485"/>
      <c r="FW27" s="1485"/>
      <c r="FX27" s="1485"/>
      <c r="FY27" s="1485"/>
      <c r="FZ27" s="1485"/>
      <c r="GA27" s="250" t="s">
        <v>1461</v>
      </c>
      <c r="GB27" s="1485"/>
      <c r="GC27" s="1485"/>
      <c r="GD27" s="1485"/>
      <c r="GE27" s="19"/>
      <c r="GF27" s="1485"/>
      <c r="GG27" s="1485"/>
      <c r="GH27" s="1485"/>
      <c r="GI27" s="1485"/>
      <c r="GJ27" s="1485"/>
      <c r="GK27" s="1485"/>
      <c r="GL27" s="1485"/>
      <c r="GM27" s="250" t="str">
        <f>IF(Dust_Deflagration="Yes",IF(Dust_MIE_Feed&lt;Dust_Low_MIE,"Ignition of Combustible Dust with MIE&lt;Dust_Low_MIE","Ignition of Combustible Dust with MIE&gt;Dust_Low_MIE"),IF(OR(Ease_of_Ignition_Feed="High",Ease_of_Ignition_Feed="Elevated"),"Indoor Release of Easily Ignited Material-POX",IF(Ease_of_Ignition_Feed="Low","Indoor Release of Difficult to Ignite Material-POX","Indoor Release of Flammable Material-POX")))</f>
        <v>Indoor Release of Flammable Material-POX</v>
      </c>
      <c r="GN27" s="1485"/>
      <c r="GO27" s="1485"/>
      <c r="GP27" s="1485"/>
      <c r="GQ27" s="19"/>
      <c r="GR27" s="189" t="str">
        <f t="shared" si="35"/>
        <v/>
      </c>
      <c r="GS27" s="19"/>
      <c r="GT27" s="19"/>
      <c r="GU27" s="64" t="str">
        <f>Desc_VeryHigh_Bus</f>
        <v>Property Damage and Business Loss &gt; $50 MM</v>
      </c>
      <c r="GV27" s="193">
        <f>Conseq_VeryHigh_Bus</f>
        <v>5</v>
      </c>
      <c r="GW27" s="19"/>
      <c r="GX27" s="19"/>
      <c r="GY27" s="19"/>
      <c r="GZ27" s="19"/>
      <c r="HA27" s="19"/>
      <c r="HB27" s="19"/>
      <c r="HC27" s="19"/>
      <c r="HD27" s="19"/>
      <c r="HE27" s="19"/>
      <c r="HF27" s="19"/>
      <c r="HG27" s="19"/>
      <c r="HH27" s="19"/>
      <c r="HI27" s="19"/>
    </row>
    <row r="28" spans="1:217" s="5" customFormat="1" ht="12.75" customHeight="1" x14ac:dyDescent="0.25">
      <c r="A28" s="35"/>
      <c r="B28" s="64" t="str">
        <f>'Scenario Identification'!CG3</f>
        <v>Flaming Liquid Release</v>
      </c>
      <c r="C28" s="1457" t="str">
        <f t="shared" si="10"/>
        <v/>
      </c>
      <c r="D28" s="65"/>
      <c r="E28" s="2483"/>
      <c r="F28" s="1418" t="s">
        <v>428</v>
      </c>
      <c r="G28" s="1434">
        <f t="shared" si="11"/>
        <v>0</v>
      </c>
      <c r="H28" s="1427" t="str">
        <f t="shared" si="31"/>
        <v>liter</v>
      </c>
      <c r="I28" s="1418"/>
      <c r="J28" s="1421"/>
      <c r="K28" s="1427">
        <f t="shared" ref="K28:K37" si="57">Relief_Release</f>
        <v>0</v>
      </c>
      <c r="L28" s="1434">
        <f>sig('Release Calculations'!$AE$16/$L$4,3,100,0)</f>
        <v>0</v>
      </c>
      <c r="M28" s="1435" t="str">
        <f t="shared" si="13"/>
        <v>kg</v>
      </c>
      <c r="N28" s="1432" t="str">
        <f t="shared" si="14"/>
        <v xml:space="preserve">Liquid:   ,  ,  ,  ,  </v>
      </c>
      <c r="O28" s="1434">
        <f>ROUND('Release Calculations'!$AE$9,0)</f>
        <v>0</v>
      </c>
      <c r="P28" s="1434">
        <f>ROUND('Release Calculations'!$AE$8/$P$4,2)</f>
        <v>0</v>
      </c>
      <c r="Q28" s="1446" t="str">
        <f t="shared" si="15"/>
        <v>bar</v>
      </c>
      <c r="R28" s="1434">
        <f>sig('Release Calculations'!$AE$23/$AG$4,3,10,0)</f>
        <v>0</v>
      </c>
      <c r="S28" s="1447" t="str">
        <f t="shared" si="16"/>
        <v>kg/min</v>
      </c>
      <c r="T28" s="1435">
        <f>ROUND('Release Calculations'!$AE$13/$T$4,0)</f>
        <v>0</v>
      </c>
      <c r="U28" s="1434">
        <f>ROUND(('Release Calculations'!$AE$13+'Release Calculations'!$AE$14)/$U$4,0)</f>
        <v>0</v>
      </c>
      <c r="V28" s="1434">
        <f>sig('Release Calculations'!$AE$55/$V$4,3,100,0)</f>
        <v>0</v>
      </c>
      <c r="W28" s="1435" t="str">
        <f>IF(Report_A&lt;&gt;"",Report_A,IF(Dike_Area_Units="","sq m",Dike_Area_Units))</f>
        <v>sq m</v>
      </c>
      <c r="X28" s="1438">
        <f>ROUND(Fract_Key_Chemical,3)</f>
        <v>0</v>
      </c>
      <c r="Y28" s="1458" t="str">
        <f>IF('Release Calculations'!$AE$238="","",sig('Release Calculations'!$AE$238,3,1000,0))</f>
        <v/>
      </c>
      <c r="Z28" s="1458" t="str">
        <f>IF('Release Calculations'!$AE$244="","",sig('Release Calculations'!$AE$244,3,1000,0))</f>
        <v/>
      </c>
      <c r="AA28" s="1458" t="str">
        <f>IF('Release Calculations'!$AE$268="","",sig('Release Calculations'!$AE$268,3,1000,0))</f>
        <v/>
      </c>
      <c r="AB28" s="1458" t="str">
        <f>IF('Release Calculations'!$AE$274="","",sig('Release Calculations'!$AE$274,3,1000,0))</f>
        <v/>
      </c>
      <c r="AC28" s="1458" t="str">
        <f>IF('Release Calculations'!$AE$280="","",sig('Release Calculations'!$AE$280,3,1000,0))</f>
        <v/>
      </c>
      <c r="AD28" s="1196" t="str">
        <f>IF('Release Calculations'!$AE$262="","",ROUND('Release Calculations'!$AE$262,1))</f>
        <v/>
      </c>
      <c r="AE28" s="1434">
        <f>sig('Release Calculations'!$AE$70/$AE$4,3,100,0)</f>
        <v>0</v>
      </c>
      <c r="AF28" s="1435" t="str">
        <f t="shared" si="17"/>
        <v>kg</v>
      </c>
      <c r="AG28" s="1326">
        <f>sig('Release Calculations'!AE$89/$AG$4,3,10,3)</f>
        <v>0</v>
      </c>
      <c r="AH28" s="1435" t="str">
        <f t="shared" si="33"/>
        <v>kg/min</v>
      </c>
      <c r="AI28" s="1419"/>
      <c r="AJ28" s="1422"/>
      <c r="AK28" s="1419"/>
      <c r="AL28" s="1422"/>
      <c r="AM28" s="1419"/>
      <c r="AN28" s="1422"/>
      <c r="AO28" s="1419"/>
      <c r="AP28" s="1717"/>
      <c r="AQ28" s="1419"/>
      <c r="AR28" s="1717"/>
      <c r="AS28" s="1775"/>
      <c r="AT28" s="1775"/>
      <c r="AU28" s="1775"/>
      <c r="AV28" s="36"/>
      <c r="AW28" s="36"/>
      <c r="AX28" s="1774"/>
      <c r="AY28" s="1774"/>
      <c r="AZ28" s="36"/>
      <c r="BA28" s="36"/>
      <c r="BB28" s="36"/>
      <c r="BC28" s="2577"/>
      <c r="BD28" s="2569">
        <f>sig('Release Calculations'!$AE$334/$BD$4,3,100,0)</f>
        <v>0</v>
      </c>
      <c r="BE28" s="1435" t="str">
        <f t="shared" si="34"/>
        <v>m</v>
      </c>
      <c r="BF28" s="2569">
        <f>sig('Release Calculations'!$AE$333/$BF$4,3,100,0)</f>
        <v>0</v>
      </c>
      <c r="BG28" s="1435" t="str">
        <f t="shared" si="34"/>
        <v>m</v>
      </c>
      <c r="BH28" s="1419"/>
      <c r="BI28" s="1422"/>
      <c r="BJ28" s="1419"/>
      <c r="BK28" s="1422"/>
      <c r="BL28" s="2573"/>
      <c r="BM28" s="2573"/>
      <c r="BN28" s="1441"/>
      <c r="BO28" s="1746"/>
      <c r="BP28" s="1503">
        <f>sig('Release Calculations'!$AE$90/$BP$4,3,10,1)</f>
        <v>0</v>
      </c>
      <c r="BQ28" s="1435" t="str">
        <f t="shared" ref="BQ28:BQ48" si="58">Small_Leak_Units</f>
        <v>kg/min</v>
      </c>
      <c r="BR28" s="1434">
        <f>sig(IF(Relief_Release="Indoors",'Release Calculations'!$AE$325/$BR$4,'Release Calculations'!$AE$339/$BR$4),3,100,0)</f>
        <v>0</v>
      </c>
      <c r="BS28" s="1435" t="str">
        <f t="shared" si="25"/>
        <v>m</v>
      </c>
      <c r="BT28" s="1748"/>
      <c r="BU28" s="1748"/>
      <c r="BV28" s="1436"/>
      <c r="BW28" s="1442"/>
      <c r="BX28" s="262"/>
      <c r="BY28" s="262"/>
      <c r="BZ28" s="123"/>
      <c r="CA28" s="2249"/>
      <c r="CB28" s="4"/>
      <c r="CC28" s="4"/>
      <c r="CD28" s="735"/>
      <c r="CE28" s="4"/>
      <c r="CF28" s="4" t="str">
        <f>IF(Equipment="Fired Equipment - Flare",IF(Attended="Yes",6,5),"")</f>
        <v/>
      </c>
      <c r="CG28" s="4"/>
      <c r="CH28" s="4"/>
      <c r="CI28" s="4"/>
      <c r="CJ28" s="4"/>
      <c r="CK28" s="4"/>
      <c r="CL28" s="19"/>
      <c r="CM28" s="19"/>
      <c r="CN28" s="67"/>
      <c r="CO28" s="67"/>
      <c r="CP28" s="67"/>
      <c r="CQ28" s="67"/>
      <c r="CR28" s="67"/>
      <c r="CS28" s="189" t="str">
        <f t="shared" ref="CS28:CS48" si="59">IF(CF28="","",IF(CF28=Conseq_VeryLow,Desc_VeryLow,IF(CF28=Conseq_Low,Desc_Low,IF(CF28=Conseq_Moderate,Desc_Moderate,IF(CF28=Conseq_High,Desc_High,IF(CF28=Conseq_VeryHigh,Desc_VeryHigh,IF(CF28=Conseq_ExtremeHigh,Desc_ExtremeHigh,Desc_GT_ExtremeHigh)))))))</f>
        <v/>
      </c>
      <c r="CT28" s="67"/>
      <c r="CU28" s="67"/>
      <c r="CV28" s="67"/>
      <c r="CW28" s="67"/>
      <c r="CX28" s="67"/>
      <c r="CY28" s="40" t="s">
        <v>822</v>
      </c>
      <c r="CZ28" s="67"/>
      <c r="DA28" s="67"/>
      <c r="DB28" s="67"/>
      <c r="DC28" s="737"/>
      <c r="DD28" s="67"/>
      <c r="DE28" s="4" t="str">
        <f>IF(Attended="Yes"," with operating personnel in close proximity","")</f>
        <v/>
      </c>
      <c r="DF28" s="67"/>
      <c r="DG28" s="67"/>
      <c r="DH28" s="67"/>
      <c r="DI28" s="67"/>
      <c r="DJ28" s="67"/>
      <c r="DK28" s="19"/>
      <c r="DL28" s="34"/>
      <c r="DM28" s="34"/>
      <c r="DN28" s="34"/>
      <c r="DO28" s="739"/>
      <c r="DP28" s="34"/>
      <c r="DQ28" s="34"/>
      <c r="DR28" s="34"/>
      <c r="DS28" s="34"/>
      <c r="DT28" s="34"/>
      <c r="DU28" s="34"/>
      <c r="DV28" s="6"/>
      <c r="DW28" s="40"/>
      <c r="DX28" s="248"/>
      <c r="DY28" s="248"/>
      <c r="DZ28" s="248"/>
      <c r="EA28" s="741"/>
      <c r="EB28" s="248"/>
      <c r="EC28" s="248"/>
      <c r="ED28" s="248"/>
      <c r="EE28" s="248"/>
      <c r="EF28" s="248"/>
      <c r="EG28" s="248"/>
      <c r="EH28" s="248"/>
      <c r="EI28" s="19"/>
      <c r="EJ28" s="248"/>
      <c r="EK28" s="248"/>
      <c r="EL28" s="248"/>
      <c r="EM28" s="248"/>
      <c r="EN28" s="248"/>
      <c r="EO28" s="248"/>
      <c r="EP28" s="248"/>
      <c r="EQ28" s="248"/>
      <c r="ER28" s="248"/>
      <c r="ES28" s="248"/>
      <c r="ET28" s="248"/>
      <c r="EU28" s="19"/>
      <c r="EV28" s="1379"/>
      <c r="EW28" s="1380"/>
      <c r="EX28" s="1380"/>
      <c r="EY28" s="1380"/>
      <c r="EZ28" s="1380"/>
      <c r="FA28" s="1380"/>
      <c r="FB28" s="6"/>
      <c r="FC28" s="6"/>
      <c r="FD28" s="6"/>
      <c r="FE28" s="6"/>
      <c r="FF28" s="6"/>
      <c r="FG28" s="19"/>
      <c r="FH28" s="34"/>
      <c r="FI28" s="34"/>
      <c r="FJ28" s="34"/>
      <c r="FK28" s="739"/>
      <c r="FL28" s="34"/>
      <c r="FM28" s="34"/>
      <c r="FN28" s="39">
        <v>0</v>
      </c>
      <c r="FO28" s="34"/>
      <c r="FP28" s="34"/>
      <c r="FQ28" s="34"/>
      <c r="FR28" s="6"/>
      <c r="FS28" s="40"/>
      <c r="FT28" s="248"/>
      <c r="FU28" s="248"/>
      <c r="FV28" s="248"/>
      <c r="FW28" s="741"/>
      <c r="FX28" s="248"/>
      <c r="FY28" s="248"/>
      <c r="FZ28" s="250" t="s">
        <v>1461</v>
      </c>
      <c r="GA28" s="248"/>
      <c r="GB28" s="248"/>
      <c r="GC28" s="248"/>
      <c r="GD28" s="248"/>
      <c r="GE28" s="19"/>
      <c r="GF28" s="248"/>
      <c r="GG28" s="248"/>
      <c r="GH28" s="248"/>
      <c r="GI28" s="741"/>
      <c r="GJ28" s="248"/>
      <c r="GK28" s="6"/>
      <c r="GL28" s="6"/>
      <c r="GM28" s="248"/>
      <c r="GN28" s="248"/>
      <c r="GO28" s="248"/>
      <c r="GP28" s="248"/>
      <c r="GQ28" s="19"/>
      <c r="GR28" s="189" t="str">
        <f t="shared" si="35"/>
        <v/>
      </c>
      <c r="GS28" s="19"/>
      <c r="GT28" s="19"/>
      <c r="GU28" s="64" t="str">
        <f>Desc_ExtremeHigh_Bus</f>
        <v/>
      </c>
      <c r="GV28" s="193">
        <f>Conseq_ExtremeHigh_Bus</f>
        <v>0</v>
      </c>
      <c r="GW28" s="19"/>
      <c r="GX28" s="19"/>
      <c r="GY28" s="19"/>
      <c r="GZ28" s="19"/>
      <c r="HA28" s="19"/>
      <c r="HB28" s="19"/>
      <c r="HC28" s="19"/>
      <c r="HD28" s="19"/>
      <c r="HE28" s="19"/>
      <c r="HF28" s="19"/>
      <c r="HG28" s="19"/>
      <c r="HH28" s="19"/>
      <c r="HI28" s="19"/>
    </row>
    <row r="29" spans="1:217" s="5" customFormat="1" ht="12.75" customHeight="1" x14ac:dyDescent="0.25">
      <c r="A29" s="35"/>
      <c r="B29" s="64" t="str">
        <f>'Scenario Identification'!CH3</f>
        <v>Relief Size Release</v>
      </c>
      <c r="C29" s="1457" t="str">
        <f t="shared" si="10"/>
        <v/>
      </c>
      <c r="D29" s="65"/>
      <c r="E29" s="2483" t="str">
        <f>IF(MAX('Release Calculations'!AI35,'Release Calculations'!AI43,'Release Calculations'!AI62,1-'Release Calculations'!AI82,ABS(MIN('Release Calculations'!AI35,'Release Calculations'!AI43,'Release Calculations'!AI62,1-'Release Calculations'!AI82)))&gt;$E$4,"Yes","")</f>
        <v/>
      </c>
      <c r="F29" s="1418" t="s">
        <v>428</v>
      </c>
      <c r="G29" s="1434">
        <f t="shared" si="11"/>
        <v>0</v>
      </c>
      <c r="H29" s="1427" t="str">
        <f t="shared" si="31"/>
        <v>liter</v>
      </c>
      <c r="I29" s="1418">
        <f>ROUND('Release Calculations'!AI7/$I$4,2)</f>
        <v>12.7</v>
      </c>
      <c r="J29" s="1421" t="str">
        <f>IF(Report_H&lt;&gt;"",Report_H,D_Units)</f>
        <v>mm</v>
      </c>
      <c r="K29" s="1427">
        <f t="shared" si="57"/>
        <v>0</v>
      </c>
      <c r="L29" s="1434">
        <f>sig('Release Calculations'!$AI$16/$L$4,3,100,0)</f>
        <v>0</v>
      </c>
      <c r="M29" s="1435" t="str">
        <f t="shared" si="13"/>
        <v>kg</v>
      </c>
      <c r="N29" s="1432" t="str">
        <f t="shared" si="14"/>
        <v xml:space="preserve">Liquid:   ,  ,  ,  ,  </v>
      </c>
      <c r="O29" s="1434">
        <f>ROUND('Release Calculations'!$AI$9,0)</f>
        <v>0</v>
      </c>
      <c r="P29" s="1434">
        <f>ROUND('Release Calculations'!$AI$8/$P$4,2)</f>
        <v>0</v>
      </c>
      <c r="Q29" s="1446" t="str">
        <f t="shared" si="15"/>
        <v>bar</v>
      </c>
      <c r="R29" s="1434">
        <f>sig('Release Calculations'!$AI$23/$AG$4,3,10,0)</f>
        <v>1</v>
      </c>
      <c r="S29" s="1447" t="str">
        <f t="shared" si="16"/>
        <v>kg/min</v>
      </c>
      <c r="T29" s="1435">
        <f>ROUND('Release Calculations'!$AI$13/$T$4,0)</f>
        <v>0</v>
      </c>
      <c r="U29" s="1434">
        <f>ROUND(('Release Calculations'!$AI$13+'Release Calculations'!$AI$14)/$U$4,0)</f>
        <v>0</v>
      </c>
      <c r="V29" s="1434">
        <f>sig('Release Calculations'!$AI$55/$V$4,3,100,0)</f>
        <v>0</v>
      </c>
      <c r="W29" s="1435" t="str">
        <f>IF(Report_A&lt;&gt;"",Report_A,IF(Dike_Area_Units="","sq m",Dike_Area_Units))</f>
        <v>sq m</v>
      </c>
      <c r="X29" s="1438">
        <f>ROUND('Release Calculations'!AI$227,3)</f>
        <v>0</v>
      </c>
      <c r="Y29" s="1458" t="str">
        <f>IF('Release Calculations'!$AI$238="","",sig('Release Calculations'!$AI$238,3,1000,0))</f>
        <v/>
      </c>
      <c r="Z29" s="1458" t="str">
        <f>IF('Release Calculations'!$AI$244="","",sig('Release Calculations'!$AI$244,3,1000,0))</f>
        <v/>
      </c>
      <c r="AA29" s="1458" t="str">
        <f>IF('Release Calculations'!$AI$268="","",sig('Release Calculations'!$AI$268,3,1000,0))</f>
        <v/>
      </c>
      <c r="AB29" s="1458" t="str">
        <f>IF('Release Calculations'!$AI$274="","",sig('Release Calculations'!$AI$274,3,1000,0))</f>
        <v/>
      </c>
      <c r="AC29" s="1458" t="str">
        <f>IF('Release Calculations'!$AI$280="","",sig('Release Calculations'!$AI$280,3,1000,0))</f>
        <v/>
      </c>
      <c r="AD29" s="1196" t="str">
        <f>IF('Release Calculations'!$AI$262="","",ROUND('Release Calculations'!$AI$262,1))</f>
        <v/>
      </c>
      <c r="AE29" s="1434">
        <f>sig('Release Calculations'!$AI$70/$AE$4,3,100,0)</f>
        <v>0</v>
      </c>
      <c r="AF29" s="1435" t="str">
        <f t="shared" si="17"/>
        <v>kg</v>
      </c>
      <c r="AG29" s="1326">
        <f>sig('Release Calculations'!AI$89/$AG$4,3,10,3)</f>
        <v>0</v>
      </c>
      <c r="AH29" s="1435" t="str">
        <f t="shared" si="33"/>
        <v>kg/min</v>
      </c>
      <c r="AI29" s="1434">
        <f>sig('Release Calculations'!$AI$295/$AI$4,3,100,0)</f>
        <v>0</v>
      </c>
      <c r="AJ29" s="1435" t="str">
        <f t="shared" ref="AJ29:AJ48" si="60">IF(Report_D&lt;&gt;"",Report_D,Public_Units)</f>
        <v>m</v>
      </c>
      <c r="AK29" s="1434">
        <f>sig('Release Calculations'!$AI$298/$AK$4,3,100,0)</f>
        <v>0</v>
      </c>
      <c r="AL29" s="1435" t="str">
        <f t="shared" ref="AL29:AL48" si="61">IF(Report_D&lt;&gt;"",Report_D,Public_Units)</f>
        <v>m</v>
      </c>
      <c r="AM29" s="1434">
        <f>sig('Release Calculations'!$AI$300/$AM$4,3,100,0)</f>
        <v>0</v>
      </c>
      <c r="AN29" s="1435" t="str">
        <f t="shared" ref="AN29:AN48" si="62">IF(Report_D&lt;&gt;"",Report_D,Public_Units)</f>
        <v>m</v>
      </c>
      <c r="AO29" s="1434">
        <f>sig('Release Calculations'!$AI$301/$AO$4,3,100,0)</f>
        <v>0</v>
      </c>
      <c r="AP29" s="1452" t="str">
        <f t="shared" ref="AP29:AP48" si="63">IF(Report_D&lt;&gt;"",Report_D,Public_Units)</f>
        <v>m</v>
      </c>
      <c r="AQ29" s="1434">
        <f>sig('Release Calculations'!$AI$303/$AQ$4,3,100,0)</f>
        <v>0</v>
      </c>
      <c r="AR29" s="1452" t="str">
        <f t="shared" ref="AR29:AR48" si="64">IF(Report_D&lt;&gt;"",Report_D,Public_Units)</f>
        <v>m</v>
      </c>
      <c r="AS29" s="1452" t="str">
        <f t="shared" ref="AS29:AS48" si="65">IF(Occ_Bldg_Name=0,"",Occ_Bldg_Name)</f>
        <v/>
      </c>
      <c r="AT29" s="1452" t="str">
        <f t="shared" ref="AT29:AT48" si="66">IF(Occ_Bldg2_Name=0,"",Occ_Bldg2_Name)</f>
        <v/>
      </c>
      <c r="AU29" s="1452" t="str">
        <f t="shared" ref="AU29:AU48" si="67">IF(Occ_Bldg2_Direction=0,"",Occ_Bldg2_Direction)</f>
        <v/>
      </c>
      <c r="AV29" s="114">
        <f>sig('Release Calculations'!$AI$310,3,1000,-1)</f>
        <v>0</v>
      </c>
      <c r="AW29" s="114">
        <f>sig('Release Calculations'!$AI$311,3,1000,-1)</f>
        <v>0</v>
      </c>
      <c r="AX29" s="114" t="str">
        <f>sig('Release Calculations'!$AI$312,3,1000,0)</f>
        <v/>
      </c>
      <c r="AY29" s="114" t="str">
        <f>sig('Release Calculations'!$AI$313,3,1000,0)</f>
        <v/>
      </c>
      <c r="AZ29" s="114">
        <f>sig('Release Calculations'!$AI$314,3,1000,-1)</f>
        <v>0</v>
      </c>
      <c r="BA29" s="114">
        <f>sig('Release Calculations'!$AI$315,3,1000,-1)</f>
        <v>0</v>
      </c>
      <c r="BB29" s="114" t="str">
        <f>sig('Release Calculations'!$AI$316,3,10,3)</f>
        <v/>
      </c>
      <c r="BC29" s="2576" t="str">
        <f>sig('Release Calculations'!$AI$317,3,10,3)</f>
        <v/>
      </c>
      <c r="BD29" s="2569">
        <f>sig('Release Calculations'!$AI$334/$BD$4,3,100,0)</f>
        <v>0</v>
      </c>
      <c r="BE29" s="1435" t="str">
        <f t="shared" si="34"/>
        <v>m</v>
      </c>
      <c r="BF29" s="2569">
        <f>sig('Release Calculations'!$AI$333/$BF$4,3,100,0)</f>
        <v>0</v>
      </c>
      <c r="BG29" s="1435" t="str">
        <f t="shared" si="34"/>
        <v>m</v>
      </c>
      <c r="BH29" s="1419"/>
      <c r="BI29" s="1422"/>
      <c r="BJ29" s="1419"/>
      <c r="BK29" s="1422"/>
      <c r="BL29" s="2573"/>
      <c r="BM29" s="2573"/>
      <c r="BN29" s="1441"/>
      <c r="BO29" s="1746"/>
      <c r="BP29" s="1503">
        <f>sig('Release Calculations'!$AI$90/$BP$4,3,10,1)</f>
        <v>0</v>
      </c>
      <c r="BQ29" s="1435" t="str">
        <f t="shared" si="58"/>
        <v>kg/min</v>
      </c>
      <c r="BR29" s="1434">
        <f>sig(IF(Relief_Release="Indoors",'Release Calculations'!$AI$325/$BR$4,'Release Calculations'!$AI$339/$BR$4),3,100,0)</f>
        <v>0</v>
      </c>
      <c r="BS29" s="1435" t="str">
        <f t="shared" si="25"/>
        <v>m</v>
      </c>
      <c r="BT29" s="1748">
        <f>ROUND(IF(Location="Indoors",'Release Calculations'!$AI$328,'Release Calculations'!$AI$342),1)</f>
        <v>0</v>
      </c>
      <c r="BU29" s="1748">
        <f>ROUND(IF(Location="Indoors",'Release Calculations'!$AI$330,'Release Calculations'!$AI$346),1)</f>
        <v>0</v>
      </c>
      <c r="BV29" s="1436"/>
      <c r="BW29" s="1442"/>
      <c r="BX29" s="262"/>
      <c r="BY29" s="262"/>
      <c r="BZ29" s="123"/>
      <c r="CA29" s="4" t="str">
        <f>IF('Release Calculations'!AI$352="NA","",'Release Calculations'!AI$352)</f>
        <v/>
      </c>
      <c r="CB29" s="4" t="str">
        <f>IF('Release Calculations'!AI$382="NA","",'Release Calculations'!AI$382)</f>
        <v/>
      </c>
      <c r="CC29" s="4" t="str">
        <f>IF('Release Calculations'!AI$387="NA","",'Release Calculations'!AI$387)</f>
        <v/>
      </c>
      <c r="CD29" s="735" t="str">
        <f>IF('Release Calculations'!AI$392="NA","",'Release Calculations'!AI$392)</f>
        <v/>
      </c>
      <c r="CE29" s="4" t="str">
        <f>IF('Release Calculations'!AI$398="NA","",'Release Calculations'!AI$398)</f>
        <v/>
      </c>
      <c r="CF29" s="4" t="str">
        <f>IF('Release Calculations'!AI$403="NA","",'Release Calculations'!AI$403)</f>
        <v/>
      </c>
      <c r="CG29" s="4" t="str">
        <f>IF('Release Calculations'!AI$423="NA","",'Release Calculations'!AI$423)</f>
        <v/>
      </c>
      <c r="CH29" s="4" t="str">
        <f>IF('Release Calculations'!AI$413="NA","",'Release Calculations'!AI$413)</f>
        <v/>
      </c>
      <c r="CI29" s="4"/>
      <c r="CJ29" s="4"/>
      <c r="CK29" s="4" t="str">
        <f>IF('Release Calculations'!BD429="NA","",'Release Calculations'!BD429)</f>
        <v/>
      </c>
      <c r="CL29" s="19"/>
      <c r="CM29" s="19"/>
      <c r="CN29" s="189" t="str">
        <f>IF(CA29="","",IF('Release Calculations'!AI$297="Yes",IF(CA29=Conseq_VeryLow,Desc_VeryLow,IF(CA29=Conseq_Low,Desc_Low,IF(CA29=Conseq_Moderate,Desc_Moderate,IF(CA29=Conseq_High,Desc_High,IF(CA29=Conseq_VeryHigh,Desc_VeryHigh,IF(CA29=Conseq_ExtremeHigh,Desc_ExtremeHigh,Desc_GT_ExtremeHigh)))))),IF(CA29=Conseq_Low_Offsite,Desc_Low_Offsite,Desc_VeryLow_Offsite)))</f>
        <v/>
      </c>
      <c r="CO29" s="189" t="str">
        <f>IF(CB29="","",IF(CB29=Conseq_VeryLow,Desc_VeryLow,IF(CB29=Conseq_Low,Desc_Low,IF(CB29=Conseq_Moderate,Desc_Moderate,IF(CB29=Conseq_High,Desc_High,IF(CB29=Conseq_VeryHigh,Desc_VeryHigh,IF(CB29=Conseq_ExtremeHigh,Desc_ExtremeHigh,Desc_GT_ExtremeHigh)))))))</f>
        <v/>
      </c>
      <c r="CP29" s="189" t="str">
        <f>IF(CC29="","",IF(CC29=Conseq_VeryLow,Desc_VeryLow,IF(CC29=Conseq_Low,Desc_Low,IF(CC29=Conseq_Moderate,Desc_Moderate,IF(CC29=Conseq_High,Desc_High,IF(CC29=Conseq_VeryHigh,Desc_VeryHigh,IF(CC29=Conseq_ExtremeHigh,Desc_ExtremeHigh,Desc_GT_ExtremeHigh)))))))</f>
        <v/>
      </c>
      <c r="CQ29" s="189" t="str">
        <f>IF(CD29="","",IF(CD29=Conseq_VeryLow,Desc_VeryLow,IF(CD29=Conseq_Low,Desc_Low,IF(CD29=Conseq_Moderate,Desc_Moderate,IF(CD29=Conseq_High,Desc_High,IF(CD29=Conseq_VeryHigh,Desc_VeryHigh,IF(CD29=Conseq_ExtremeHigh,Desc_ExtremeHigh,Desc_GT_ExtremeHigh)))))))</f>
        <v/>
      </c>
      <c r="CR29" s="189" t="str">
        <f>IF(CE29="","",IF(CE29=Conseq_VeryLow,Desc_VeryLow,IF(CE29=Conseq_Low,Desc_Low,IF(CE29=Conseq_Moderate,Desc_Moderate,IF(CE29=Conseq_High,Desc_High,IF(CE29=Conseq_VeryHigh,Desc_VeryHigh,IF(CE29=Conseq_ExtremeHigh,Desc_ExtremeHigh,Desc_GT_ExtremeHigh)))))))</f>
        <v/>
      </c>
      <c r="CS29" s="189" t="str">
        <f t="shared" si="59"/>
        <v/>
      </c>
      <c r="CT29" s="189" t="str">
        <f t="shared" ref="CT29:CT48" si="68">IF(CG29="","",IF(CG29=Conseq_VeryLow,Desc_VeryLow,IF(CG29=Conseq_Low,Desc_Low,IF(CG29=Conseq_Moderate,Desc_Moderate,IF(CG29=Conseq_High,Desc_High,IF(CG29=Conseq_VeryHigh,Desc_VeryHigh,IF(CG29=Conseq_ExtremeHigh,Desc_ExtremeHigh,Desc_GT_ExtremeHigh)))))))</f>
        <v/>
      </c>
      <c r="CU29" s="189" t="str">
        <f t="shared" ref="CU29:CU48" si="69">IF(CH29="","",IF(CH29=Conseq_VeryLow,Desc_VeryLow,IF(CH29=Conseq_Low,Desc_Low,IF(CH29=Conseq_Moderate,Desc_Moderate,IF(CH29=Conseq_High,Desc_High,IF(CH29=Conseq_VeryHigh,Desc_VeryHigh,IF(CH29=Conseq_ExtremeHigh,Desc_ExtremeHigh,Desc_GT_ExtremeHigh)))))))</f>
        <v/>
      </c>
      <c r="CV29" s="67"/>
      <c r="CW29" s="67"/>
      <c r="CX29" s="189" t="str">
        <f>IF(CK29="","",IF(CK29=Conseq_VeryLow,Desc_VeryLow_Environ,IF(CK29=Conseq_Low,Desc_Low_Environ,IF(CK29=Conseq_Moderate,Desc_Moderate_Environ,IF(CK29=Conseq_High,Desc_High_Environ,IF(CK29=Conseq_VeryHigh,Desc_VeryHigh_Environ,Desc_ExtremeHigh_Environ))))))</f>
        <v/>
      </c>
      <c r="CY29" s="40" t="s">
        <v>822</v>
      </c>
      <c r="CZ29" s="189" t="str">
        <f>IF(CA29="","",IF('Release Calculations'!AI$297="Yes"," at a "&amp;$AI$3&amp;" of "&amp;AI29&amp;" "&amp;AJ29&amp;" which exceeds Distance to the Fence Line of "&amp;Public_Input&amp;" "&amp;Public_Units))</f>
        <v/>
      </c>
      <c r="DA29" s="189" t="str">
        <f>IF(CB29="","",IF('Release Calculations'!$AI$305="Yes"," with operating personnel in close proximity and a "&amp;$AM$3&amp;" of "&amp;AM29&amp;" "&amp;AN29," at a "&amp;$AM$3&amp;" of "&amp;AM29&amp;" "&amp;AN29)&amp;IF('Release Calculations'!$AI$300&gt;Public," which exceeds Distance to the Fence Line of "&amp;Public_Input&amp;" "&amp;Public_Units&amp;".  Target Factor may be conservative",))</f>
        <v/>
      </c>
      <c r="DB29" s="226" t="str">
        <f>IF(CC29="","",IF('Release Calculations'!AI319="Yes","and Potential for Asphyxiation","")&amp;IF('Release Calculations'!AI$305="Yes"," with operations personnel in close proximity at an "&amp;$AZ$3&amp;" of "&amp;AZ29&amp;" ppm"," at an "&amp;$AZ$3&amp;" of "&amp;AZ29&amp;" ppm"))</f>
        <v/>
      </c>
      <c r="DC29" s="189" t="str">
        <f t="shared" ref="DC29:DC48" si="70">IF(CD29="",""," at a "&amp;$AV$3&amp;" of "&amp;AV29&amp;" ppm")</f>
        <v/>
      </c>
      <c r="DD29" s="189" t="str">
        <f>IF(CE29="",""," of a "&amp;IF(Ease_of_Ignition_Feed="High","pyrophoric ","high/low temperature ")&amp;IF(Dermal_Tox_Feed&lt;&gt;"","or "&amp;Dermal_Tox_Feed,"")&amp;" chemical"&amp;IF('Release Calculations'!$AE$305="Yes"," with operating personnel in close proximity",""))</f>
        <v/>
      </c>
      <c r="DE29" s="189" t="str">
        <f>IF(CF29="","",IF('Release Calculations'!$AE$305="Yes"," with operating personnel in close proximity and a "&amp;$BF$3&amp;" of "&amp;BF29&amp;" "&amp;BG29," at a "&amp;$BF$3&amp;" of "&amp;BF29&amp;" "&amp;BG29))</f>
        <v/>
      </c>
      <c r="DF29" s="189" t="str">
        <f>IF(CG29="","",IF('Release Calculations'!AI$340="Yes"," with "&amp;$BR$3&amp;" of "&amp;BR29&amp;" "&amp;BS29&amp;IF('Release Calculations'!AI$349&lt;&gt;"Yes",""," including "&amp;$BT$3&amp;" of "&amp;BT29&amp;" psi.")&amp;" 1 psi Blast Overpresssure exceeds Distance to the Fence Line of "&amp;Public_Input&amp;" "&amp;Public_Units&amp;".  Consider adjustment for Off-Site Impacts",IF('Release Calculations'!AI$349&lt;&gt;"Yes"," impacting on site personnel at a "&amp;$BR$3&amp;" of "&amp;BR29&amp;" "&amp;BS29," impacting on site personnel at a "&amp;$BR$3&amp;" of "&amp;BR29&amp;" "&amp;BS29&amp;" including "&amp;$BT$3&amp;" of "&amp;BT29&amp;" psi")))</f>
        <v/>
      </c>
      <c r="DG29" s="189" t="str">
        <f>IF(CH29="","",IF('Release Calculations'!AI$326="Yes"," with "&amp;$BR$3&amp;" of "&amp;BR29&amp;" "&amp;BS29&amp;IF('Release Calculations'!AI$331&lt;&gt;"Yes",""," including "&amp;$BT$3&amp;" of "&amp;BT29&amp;" psi.")&amp;"  1 psi Blast Overpresssure exceeds Distance to the Fence Line of "&amp;Public_Input&amp;" "&amp;Public_Units&amp;".  Consider potential foradditional  Off-Site Impacts",IF('Release Calculations'!AI$331&lt;&gt;"Yes"," impacting enclosed area operating personnel, on site personnel at a "&amp;$BR$3&amp;" of "&amp;BR29&amp;" "&amp;BS29," impacting enclosed area operating personnel, on site personnel at a "&amp;$BR$3&amp;" of "&amp;BR29&amp;" "&amp;BS29&amp;" including "&amp;$BT$3&amp;" of "&amp;BT29&amp;" psi")))</f>
        <v/>
      </c>
      <c r="DH29" s="67"/>
      <c r="DI29" s="67"/>
      <c r="DJ29" s="189" t="str">
        <f>IF('Release Calculations'!AZ429&gt;0,"Groundwater or Remediation Issue",IF('Release Calculations'!BB429&gt;0,"High Aqueous Toxicity",""))</f>
        <v/>
      </c>
      <c r="DK29" s="19" t="s">
        <v>822</v>
      </c>
      <c r="DL29" s="39"/>
      <c r="DM29" s="239">
        <f>'Release Calculations'!AI380</f>
        <v>0</v>
      </c>
      <c r="DN29" s="239">
        <f>'Release Calculations'!AI$385</f>
        <v>0</v>
      </c>
      <c r="DO29" s="34"/>
      <c r="DP29" s="239">
        <f>'Release Calculations'!AI396</f>
        <v>0</v>
      </c>
      <c r="DQ29" s="239">
        <f>'Release Calculations'!AI401</f>
        <v>0</v>
      </c>
      <c r="DR29" s="34"/>
      <c r="DS29" s="34"/>
      <c r="DT29" s="34"/>
      <c r="DU29" s="34"/>
      <c r="DV29" s="6"/>
      <c r="DW29" s="40"/>
      <c r="DX29" s="250"/>
      <c r="DY29" s="249" t="s">
        <v>2983</v>
      </c>
      <c r="DZ29" s="250" t="s">
        <v>292</v>
      </c>
      <c r="EA29" s="740"/>
      <c r="EB29" s="249" t="str">
        <f>"Probability of Exposure to Hot or Toxic Material"</f>
        <v>Probability of Exposure to Hot or Toxic Material</v>
      </c>
      <c r="EC29" s="249" t="s">
        <v>292</v>
      </c>
      <c r="ED29" s="248"/>
      <c r="EE29" s="248"/>
      <c r="EF29" s="248"/>
      <c r="EG29" s="248"/>
      <c r="EH29" s="248"/>
      <c r="EI29" s="19"/>
      <c r="EJ29" s="250"/>
      <c r="EK29" s="249" t="str">
        <f>IF(Attended_Op="Yes","Noted as Personnel Routinely in Immediate Area or Equipment Type involves Materials Handling - "&amp;IF('Release Calculations'!AI223*3600&lt;30," with a very Short Exposure Duration (&lt; 30 sec)","Time at Risk May Apply"),"Probability of Personnel to be in Close Proximity to Chemical Release based on Toxic Impact Area to "&amp;AM29&amp;" "&amp;AN30&amp;IF('Release Calculations'!AI379&lt;0.01," (with potential for higher POE credit upon further review)",""))</f>
        <v>Probability of Personnel to be in Close Proximity to Chemical Release based on Toxic Impact Area to 0 m (with potential for higher POE credit upon further review)</v>
      </c>
      <c r="EL29" s="250" t="str">
        <f>IF(Attended_Op="Yes","Noted as Personnel Routinely in Immediate Area or Equipment Type involves Materials Handling - Time at Risk May Apply","Probability of Personnel to be in Close Proximity to Chemical Release based on Ratio Enclosed Process Area Concentation of "&amp;AZ29&amp;" ppm to 10 ER-3 for "&amp;Chemical&amp;IF(Fract_Key_Chemical&lt;1," mixture "," ")&amp;IF('Release Calculations'!$AE$384&lt;0.01,"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29" s="248"/>
      <c r="EN29"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Calculations'!$AI$395&lt;0.01," (with potential for higher POE credit upon further review)",""))</f>
        <v>Probability of Personnel to be in Close Proximity to Chemical Release based on Spray Distance of 1 m (with potential for higher POE credit upon further review)</v>
      </c>
      <c r="EO29"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"&amp;AZ29&amp;" to "&amp;LFL_Fract_FlashFIre&amp;" LFL","Flammable Impact Area to "&amp;BF29&amp;" "&amp;BG29)&amp;IF('Release Calculations'!$AE$400&lt;0.01," (with potential for higher POE credit upon further review)",""))</f>
        <v>Probability of Personnel to be in Close Proximity to Chemical Release based on Flammable Impact Area to 0 m (with potential for higher POE credit upon further review)</v>
      </c>
      <c r="EP29" s="248"/>
      <c r="EQ29" s="248"/>
      <c r="ER29" s="248"/>
      <c r="ES29" s="248"/>
      <c r="ET29" s="248"/>
      <c r="EU29" s="19"/>
      <c r="EV29" s="1379"/>
      <c r="EW29" s="957">
        <f>'Release Calculations'!AI379</f>
        <v>6.0000000000000008E-7</v>
      </c>
      <c r="EX29" s="957">
        <f>'Release Calculations'!$AE$384</f>
        <v>0</v>
      </c>
      <c r="EY29" s="1380"/>
      <c r="EZ29" s="957">
        <f>'Release Calculations'!$AE$395</f>
        <v>0</v>
      </c>
      <c r="FA29" s="957">
        <f>'Release Calculations'!$AE$400</f>
        <v>0</v>
      </c>
      <c r="FB29" s="6"/>
      <c r="FC29" s="6"/>
      <c r="FD29" s="6"/>
      <c r="FE29" s="6"/>
      <c r="FF29" s="6"/>
      <c r="FG29" s="19"/>
      <c r="FH29" s="34"/>
      <c r="FI29" s="34"/>
      <c r="FJ29" s="34"/>
      <c r="FK29" s="739"/>
      <c r="FL29" s="34"/>
      <c r="FM29" s="239" t="str">
        <f>IF(Relief_Release="Outdoors",'Release Calculations'!AI$337,'Release Calculations'!AI$323)</f>
        <v/>
      </c>
      <c r="FN29" s="239" t="str">
        <f>'Release Calculations'!AI$338</f>
        <v/>
      </c>
      <c r="FO29" s="39" t="str">
        <f>IF(State&lt;&gt;"Solid",'Release Calculations'!AI$323,Dust_SecondExpl_POE)</f>
        <v/>
      </c>
      <c r="FP29" s="34"/>
      <c r="FQ29" s="34"/>
      <c r="FR29" s="6"/>
      <c r="FS29" s="40"/>
      <c r="FT29" s="248"/>
      <c r="FU29" s="248"/>
      <c r="FV29" s="248"/>
      <c r="FW29" s="741"/>
      <c r="FX29" s="248"/>
      <c r="FY29" s="249" t="s">
        <v>1461</v>
      </c>
      <c r="FZ29" s="249" t="s">
        <v>1460</v>
      </c>
      <c r="GA29" s="250" t="s">
        <v>1461</v>
      </c>
      <c r="GB29" s="248"/>
      <c r="GC29" s="248"/>
      <c r="GD29" s="248"/>
      <c r="GE29" s="19"/>
      <c r="GF29" s="248"/>
      <c r="GG29" s="248"/>
      <c r="GH29" s="248"/>
      <c r="GI29" s="741"/>
      <c r="GJ29" s="248"/>
      <c r="GK29" s="4"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"&amp;BP29&amp;" "&amp;BQ29&amp;" Easily Ignited Material with Distance to LFL of "&amp;BD29&amp;" "&amp;BE29,IF(Ease_of_Ignition_Feed="Low","Outdoor Release of Difficult to Ignite Material","Outdoor release of "&amp;BP29&amp;" "&amp;BQ29&amp;" Flammable Material with Distance to LFL of "&amp;BD29&amp;" "&amp;BE29)),IF(Ease_of_Ignition_Feed="Elevated","Indoor Release of Easily Ignited Material",IF(Ease_of_Ignition_Feed="Low","Indoor Release of Difficult to Ignite Material","Indoor Release of Flammable Material")))))))</f>
        <v>No Flash Point Entered</v>
      </c>
      <c r="GL29" s="2581" t="str">
        <f t="shared" ref="GL29:GL48" si="71">IF(Flash_Pt_Feed="","No Flash Point Entered",IF(Ease_of_Ignition_Feed="High","Noted as Pyrophoric Material",IF(Ease_of_Ignition_Feed="Elevated","Outdoor Release of "&amp;BP29&amp;" " &amp;BQ29&amp;" Easily Ignited Material with Distance to LFL of "&amp;BD29&amp;" "&amp;BE29&amp;"-POX",IF(Ease_of_Ignition_Feed="Low","Outdoor Release of "&amp;BP29&amp;" " &amp;BQ29&amp;" Difficult to Ignite Material with Distance to LFL of "&amp;BD29&amp;" "&amp;BE29&amp;"-POX","Outdoor Release of "&amp;BP29&amp;" " &amp;BQ29&amp;" Flammable Material with Distance to LFL of "&amp;BD29&amp;" "&amp;BE29&amp;"-POX"))))</f>
        <v>No Flash Point Entered</v>
      </c>
      <c r="GM29" s="250" t="str">
        <f t="shared" ref="GM29:GM48" si="72">IF(OR(Ease_of_Ignition_Feed="High",Ease_of_Ignition_Feed="Elevated"),"Indoor Release of Easily Ignited Material-POX",IF(Ease_of_Ignition_Feed="Low","Indoor Release of Difficult to Ignite Material-POX","Indoor Release of Flammable Material-POX"))</f>
        <v>Indoor Release of Flammable Material-POX</v>
      </c>
      <c r="GN29" s="248"/>
      <c r="GO29" s="248"/>
      <c r="GP29" s="248"/>
      <c r="GQ29" s="19"/>
      <c r="GR29" s="189" t="str">
        <f t="shared" si="35"/>
        <v/>
      </c>
      <c r="GS29" s="19"/>
      <c r="GT29" s="19"/>
      <c r="GU29" s="26"/>
      <c r="GV29" s="26"/>
      <c r="GW29" s="19"/>
      <c r="GX29" s="19"/>
      <c r="GY29" s="19"/>
      <c r="GZ29" s="19"/>
      <c r="HA29" s="19"/>
      <c r="HB29" s="19"/>
      <c r="HC29" s="19"/>
      <c r="HD29" s="19"/>
      <c r="HE29" s="19"/>
      <c r="HF29" s="19"/>
      <c r="HG29" s="19"/>
      <c r="HH29" s="19"/>
      <c r="HI29" s="19"/>
    </row>
    <row r="30" spans="1:217" s="5" customFormat="1" ht="12.75" customHeight="1" x14ac:dyDescent="0.25">
      <c r="A30" s="35"/>
      <c r="B30" s="64" t="str">
        <f>'Scenario Identification'!CI3</f>
        <v>Relief Size Release above Liquid Level</v>
      </c>
      <c r="C30" s="1457" t="str">
        <f t="shared" si="10"/>
        <v/>
      </c>
      <c r="D30" s="65"/>
      <c r="E30" s="2483" t="str">
        <f>IF(MAX('Release Calculations'!AI441,1-'Release Calculations'!AI469,ABS(MIN('Release Calculations'!AI441,1-'Release Calculations'!AI469)))&gt;$E$4,"Yes","")</f>
        <v/>
      </c>
      <c r="F30" s="1418" t="s">
        <v>428</v>
      </c>
      <c r="G30" s="1434">
        <f t="shared" si="11"/>
        <v>0</v>
      </c>
      <c r="H30" s="1427" t="str">
        <f t="shared" si="31"/>
        <v>liter</v>
      </c>
      <c r="I30" s="1418">
        <f>ROUND('Release Calculations'!AI7/$I$4,2)</f>
        <v>12.7</v>
      </c>
      <c r="J30" s="1421" t="str">
        <f>IF(Report_H&lt;&gt;"",Report_H,D_Units)</f>
        <v>mm</v>
      </c>
      <c r="K30" s="1427">
        <f t="shared" si="57"/>
        <v>0</v>
      </c>
      <c r="L30" s="1434">
        <f>sig('Release Calculations'!$AI$451/$L$4,3,100,0)</f>
        <v>0</v>
      </c>
      <c r="M30" s="1435" t="str">
        <f t="shared" si="13"/>
        <v>kg</v>
      </c>
      <c r="N30" s="1432" t="str">
        <f t="shared" si="14"/>
        <v xml:space="preserve">Liquid:   ,  ,  ,  ,  </v>
      </c>
      <c r="O30" s="1434">
        <f>ROUND('Release Calculations'!$AI$430,0)</f>
        <v>0</v>
      </c>
      <c r="P30" s="1434">
        <f>ROUND('Release Calculations'!$AI$429/$P$4,2)</f>
        <v>0</v>
      </c>
      <c r="Q30" s="1446" t="str">
        <f t="shared" si="15"/>
        <v>bar</v>
      </c>
      <c r="R30" s="1434">
        <f>sig('Release Calculations'!$AI$432/$AG$4,3,10,0)</f>
        <v>0</v>
      </c>
      <c r="S30" s="1447" t="str">
        <f t="shared" si="16"/>
        <v>kg/min</v>
      </c>
      <c r="T30" s="1435">
        <f>ROUND('Release Calculations'!$AI$448/$T$4,0)</f>
        <v>0</v>
      </c>
      <c r="U30" s="1434">
        <f>ROUND(('Release Calculations'!$AI$448+'Release Calculations'!$AI$449)/$U$4,0)</f>
        <v>60</v>
      </c>
      <c r="V30" s="1434"/>
      <c r="W30" s="1435"/>
      <c r="X30" s="1438">
        <f>ROUND('Release Calculations'!AI$616,3)</f>
        <v>0</v>
      </c>
      <c r="Y30" s="1458" t="str">
        <f>IF('Release Calculations'!$AI$629="","",sig('Release Calculations'!$AI$629,3,1000,0))</f>
        <v/>
      </c>
      <c r="Z30" s="1458" t="str">
        <f>IF('Release Calculations'!$AI$636="","",sig('Release Calculations'!$AI$636,3,1000,0))</f>
        <v/>
      </c>
      <c r="AA30" s="1458" t="str">
        <f>IF('Release Calculations'!$AI$664="","",sig('Release Calculations'!$AI$664,3,1000,0))</f>
        <v/>
      </c>
      <c r="AB30" s="1458" t="str">
        <f>IF('Release Calculations'!$AI$671="","",sig('Release Calculations'!$AI$671,3,1000,0))</f>
        <v/>
      </c>
      <c r="AC30" s="1458" t="str">
        <f>IF('Release Calculations'!$AI$678="","",sig('Release Calculations'!$AI$678,3,1000,0))</f>
        <v/>
      </c>
      <c r="AD30" s="1196" t="str">
        <f>IF('Release Calculations'!$AI$657="","",ROUND('Release Calculations'!$AI$657,1))</f>
        <v/>
      </c>
      <c r="AE30" s="1434">
        <f>sig('Release Calculations'!$AI$451/$AE$4,3,100,0)</f>
        <v>0</v>
      </c>
      <c r="AF30" s="1435" t="str">
        <f t="shared" si="17"/>
        <v>kg</v>
      </c>
      <c r="AG30" s="1326">
        <f>sig('Release Calculations'!AI$478/$AG$4,3,10,3)</f>
        <v>3.0000000000000001E-3</v>
      </c>
      <c r="AH30" s="1435" t="str">
        <f t="shared" si="33"/>
        <v>kg/min</v>
      </c>
      <c r="AI30" s="1434">
        <f>sig('Release Calculations'!$AI$693/$AI$4,3,100,0)</f>
        <v>0</v>
      </c>
      <c r="AJ30" s="1435" t="str">
        <f t="shared" si="60"/>
        <v>m</v>
      </c>
      <c r="AK30" s="1434">
        <f>sig('Release Calculations'!$AI$696/$AK$4,3,100,0)</f>
        <v>0</v>
      </c>
      <c r="AL30" s="1435" t="str">
        <f t="shared" si="61"/>
        <v>m</v>
      </c>
      <c r="AM30" s="1434">
        <f>sig('Release Calculations'!$AI$698/$AM$4,3,100,0)</f>
        <v>0</v>
      </c>
      <c r="AN30" s="1435" t="str">
        <f t="shared" si="62"/>
        <v>m</v>
      </c>
      <c r="AO30" s="1434">
        <f>sig('Release Calculations'!$AI$699/$AO$4,3,100,0)</f>
        <v>0</v>
      </c>
      <c r="AP30" s="1452" t="str">
        <f t="shared" si="63"/>
        <v>m</v>
      </c>
      <c r="AQ30" s="1434">
        <f>sig('Release Calculations'!$AI$701/$AQ$4,3,100,0)</f>
        <v>0</v>
      </c>
      <c r="AR30" s="1452" t="str">
        <f t="shared" si="64"/>
        <v>m</v>
      </c>
      <c r="AS30" s="1452" t="str">
        <f t="shared" si="65"/>
        <v/>
      </c>
      <c r="AT30" s="1452" t="str">
        <f t="shared" si="66"/>
        <v/>
      </c>
      <c r="AU30" s="1452" t="str">
        <f t="shared" si="67"/>
        <v/>
      </c>
      <c r="AV30" s="114">
        <f>sig('Release Calculations'!$AI$707,3,1000,-1)</f>
        <v>0</v>
      </c>
      <c r="AW30" s="114">
        <f>sig('Release Calculations'!$AI$708,3,1000,-1)</f>
        <v>0</v>
      </c>
      <c r="AX30" s="114" t="str">
        <f>sig('Release Calculations'!$AI$709,3,1000,0)</f>
        <v/>
      </c>
      <c r="AY30" s="114" t="str">
        <f>sig('Release Calculations'!$AI$710,3,1000,0)</f>
        <v/>
      </c>
      <c r="AZ30" s="114">
        <f>sig('Release Calculations'!$AI$711,3,1000,-1)</f>
        <v>0</v>
      </c>
      <c r="BA30" s="114">
        <f>sig('Release Calculations'!$AI$712,3,1000,-1)</f>
        <v>0</v>
      </c>
      <c r="BB30" s="114" t="str">
        <f>sig('Release Calculations'!$AI$713,3,10,3)</f>
        <v/>
      </c>
      <c r="BC30" s="2576" t="str">
        <f>sig('Release Calculations'!$AI$714,3,10,3)</f>
        <v/>
      </c>
      <c r="BD30" s="2569">
        <f>sig('Release Calculations'!$AI$731/$BD$4,3,100,0)</f>
        <v>0</v>
      </c>
      <c r="BE30" s="1435" t="str">
        <f t="shared" si="34"/>
        <v>m</v>
      </c>
      <c r="BF30" s="2569">
        <f>sig('Release Calculations'!$AI$730/$BF$4,3,100,0)</f>
        <v>0</v>
      </c>
      <c r="BG30" s="1435" t="str">
        <f t="shared" si="34"/>
        <v>m</v>
      </c>
      <c r="BH30" s="1419"/>
      <c r="BI30" s="1422"/>
      <c r="BJ30" s="1419"/>
      <c r="BK30" s="1422"/>
      <c r="BL30" s="2573"/>
      <c r="BM30" s="2573"/>
      <c r="BN30" s="1441"/>
      <c r="BO30" s="1746"/>
      <c r="BP30" s="1503">
        <f>sig('Release Calculations'!$AI$479/$BP$4,3,10,1)</f>
        <v>0</v>
      </c>
      <c r="BQ30" s="1435" t="str">
        <f t="shared" si="58"/>
        <v>kg/min</v>
      </c>
      <c r="BR30" s="1434">
        <f>sig(IF(Relief_Release="Indoors",'Release Calculations'!$AI$722/$BR$4,'Release Calculations'!$AI$736/$BR$4),3,100,0)</f>
        <v>0</v>
      </c>
      <c r="BS30" s="1435" t="str">
        <f t="shared" si="25"/>
        <v>m</v>
      </c>
      <c r="BT30" s="1748">
        <f>ROUND(IF(Location="Indoors",'Release Calculations'!$AI$725,'Release Calculations'!$AI$741),1)</f>
        <v>0</v>
      </c>
      <c r="BU30" s="1748">
        <f>ROUND(IF(Location="Indoors",'Release Calculations'!$AI$727,'Release Calculations'!$AI$745),1)</f>
        <v>0</v>
      </c>
      <c r="BV30" s="1436"/>
      <c r="BW30" s="1442"/>
      <c r="BX30" s="262"/>
      <c r="BY30" s="262"/>
      <c r="BZ30" s="123"/>
      <c r="CA30" s="4" t="str">
        <f>IF('Release Calculations'!AI$749="NA","",'Release Calculations'!AI$749)</f>
        <v/>
      </c>
      <c r="CB30" s="4" t="str">
        <f>IF('Release Calculations'!AI$779="NA","",'Release Calculations'!AI$779)</f>
        <v/>
      </c>
      <c r="CC30" s="4" t="str">
        <f>IF('Release Calculations'!AI$784="NA","",'Release Calculations'!AI$784)</f>
        <v/>
      </c>
      <c r="CD30" s="735" t="str">
        <f>IF('Release Calculations'!AI$789="NA","",'Release Calculations'!AI$789)</f>
        <v/>
      </c>
      <c r="CE30" s="4"/>
      <c r="CF30" s="4" t="str">
        <f>IF('Release Calculations'!AI$794="NA","",'Release Calculations'!AI$794)</f>
        <v/>
      </c>
      <c r="CG30" s="4" t="str">
        <f>IF('Release Calculations'!AI$814="NA","",'Release Calculations'!AI$814)</f>
        <v/>
      </c>
      <c r="CH30" s="4" t="str">
        <f>IF('Release Calculations'!AI$804="NA","",'Release Calculations'!AI$804)</f>
        <v/>
      </c>
      <c r="CI30" s="4"/>
      <c r="CJ30" s="4"/>
      <c r="CK30" s="4"/>
      <c r="CL30" s="19"/>
      <c r="CM30" s="19"/>
      <c r="CN30" s="189" t="str">
        <f>IF(CA30="","",IF('Release Calculations'!AI$695="Yes",IF(CA30=Conseq_VeryLow,Desc_VeryLow,IF(CA30=Conseq_Low,Desc_Low,IF(CA30=Conseq_Moderate,Desc_Moderate,IF(CA30=Conseq_High,Desc_High,IF(CA30=Conseq_VeryHigh,Desc_VeryHigh,IF(CA30=Conseq_ExtremeHigh,Desc_ExtremeHigh,Desc_GT_ExtremeHigh)))))),IF(CA30=Conseq_Low_Offsite,Desc_Low_Offsite,Desc_VeryLow_Offsite)))</f>
        <v/>
      </c>
      <c r="CO30" s="189" t="str">
        <f t="shared" ref="CO30:CO48" si="73">IF(CB30="","",IF(CB30=Conseq_VeryLow,Desc_VeryLow,IF(CB30=Conseq_Low,Desc_Low,IF(CB30=Conseq_Moderate,Desc_Moderate,IF(CB30=Conseq_High,Desc_High,IF(CB30=Conseq_VeryHigh,Desc_VeryHigh,IF(CB30=Conseq_ExtremeHigh,Desc_ExtremeHigh,Desc_GT_ExtremeHigh)))))))</f>
        <v/>
      </c>
      <c r="CP30" s="189" t="str">
        <f t="shared" ref="CP30:CP48" si="74">IF(CC30="","",IF(CC30=Conseq_VeryLow,Desc_VeryLow,IF(CC30=Conseq_Low,Desc_Low,IF(CC30=Conseq_Moderate,Desc_Moderate,IF(CC30=Conseq_High,Desc_High,IF(CC30=Conseq_VeryHigh,Desc_VeryHigh,IF(CC30=Conseq_ExtremeHigh,Desc_ExtremeHigh,Desc_GT_ExtremeHigh)))))))</f>
        <v/>
      </c>
      <c r="CQ30" s="189" t="str">
        <f t="shared" ref="CQ30:CQ48" si="75">IF(CD30="","",IF(CD30=Conseq_VeryLow,Desc_VeryLow,IF(CD30=Conseq_Low,Desc_Low,IF(CD30=Conseq_Moderate,Desc_Moderate,IF(CD30=Conseq_High,Desc_High,IF(CD30=Conseq_VeryHigh,Desc_VeryHigh,IF(CD30=Conseq_ExtremeHigh,Desc_ExtremeHigh,Desc_GT_ExtremeHigh)))))))</f>
        <v/>
      </c>
      <c r="CR30" s="67"/>
      <c r="CS30" s="189" t="str">
        <f t="shared" si="59"/>
        <v/>
      </c>
      <c r="CT30" s="189" t="str">
        <f t="shared" si="68"/>
        <v/>
      </c>
      <c r="CU30" s="189" t="str">
        <f t="shared" si="69"/>
        <v/>
      </c>
      <c r="CV30" s="67"/>
      <c r="CW30" s="67"/>
      <c r="CX30" s="67"/>
      <c r="CY30" s="40" t="s">
        <v>822</v>
      </c>
      <c r="CZ30" s="189" t="str">
        <f>IF(CA30="","",IF('Release Calculations'!AI$695="Yes"," at a "&amp;$AI$3&amp;" of "&amp;AI30&amp;" "&amp;AJ30&amp;" which exceeds Distance to the Fence Line of "&amp;Public_Input&amp;" "&amp;Public_Units))</f>
        <v/>
      </c>
      <c r="DA30" s="189" t="str">
        <f>IF(CB30="","",IF('Release Calculations'!$AI$305="Yes"," with operating personnel in close proximity and a "&amp;$AM$3&amp;" of "&amp;AM30&amp;" "&amp;AN30," at a "&amp;$AM$3&amp;" of "&amp;AM30&amp;" "&amp;AN30)&amp;IF('Release Calculations'!$AI$698&gt;Public," which exceeds Distance to the Fence Line of "&amp;Public_Input&amp;" "&amp;Public_Units&amp;".  Target Factor may be conservative",))</f>
        <v/>
      </c>
      <c r="DB30" s="226" t="str">
        <f>IF(CC30="","",IF('Release Calculations'!AI716="Yes","and Potential for Asphyxiation","")&amp;IF('Release Calculations'!AI$305="Yes"," with operations personnel in close proximity at an "&amp;$AZ$3&amp;" of "&amp;AZ30&amp;" ppm"," at an "&amp;$AZ$3&amp;" of "&amp;AZ30&amp;" ppm"))</f>
        <v/>
      </c>
      <c r="DC30" s="189" t="str">
        <f t="shared" si="70"/>
        <v/>
      </c>
      <c r="DD30" s="67"/>
      <c r="DE30" s="189" t="str">
        <f>IF(CF30="","",IF('Release Calculations'!$AE$305="Yes"," with operating personnel in close proximity and a "&amp;$BF$3&amp;" of "&amp;BF30&amp;" "&amp;BG30," at a "&amp;$BF$3&amp;" of "&amp;BF30&amp;" "&amp;BG30))</f>
        <v/>
      </c>
      <c r="DF30" s="189" t="str">
        <f>IF(CG30="","",IF('Release Calculations'!AI$737="Yes"," with "&amp;$BR$3&amp;" of "&amp;BR30&amp;" "&amp;BS30&amp;IF('Release Calculations'!AI$746&lt;&gt;"Yes",""," including "&amp;$BT$3&amp;" of "&amp;BT30&amp;" psi.")&amp;" 1 psi Blast Overpresssure exceeds Distance to the Fence Line of "&amp;Public_Input&amp;" "&amp;Public_Units&amp;".  Consider adjustment for Off-Site Impacts",IF('Release Calculations'!AI$746&lt;&gt;"Yes"," impacting on site personnel at a "&amp;$BR$3&amp;" of "&amp;BR30&amp;" "&amp;BS30," impacting on site personnel at a "&amp;$BR$3&amp;" of "&amp;BR30&amp;" "&amp;BS30&amp;" including "&amp;$BT$3&amp;" of "&amp;BT30&amp;" psi")))</f>
        <v/>
      </c>
      <c r="DG30" s="189" t="str">
        <f>IF(CH30="","",IF('Release Calculations'!AI$723="Yes"," with "&amp;$BR$3&amp;" of "&amp;BR30&amp;" "&amp;BS30&amp;IF('Release Calculations'!AI$728&lt;&gt;"Yes",""," including "&amp;$BT$3&amp;" of "&amp;BT30&amp;" psi.")&amp;"  1 psi Blast Overpresssure exceeds Distance to the Fence Line of "&amp;Public_Input&amp;" "&amp;Public_Units&amp;".  Consider adjustment for Off-Site Impacts",IF('Release Calculations'!AI$728&lt;&gt;"Yes"," impacting enclosed area operating personnel, on site personnel at a "&amp;$BR$3&amp;" of "&amp;BR30&amp;" "&amp;BS30," impacting enclosed area operating personnel, on site personnel at a "&amp;$BR$3&amp;" of "&amp;BR30&amp;" "&amp;BS30&amp;" including "&amp;$BT$3&amp;" of "&amp;BT30&amp;" psi")))</f>
        <v/>
      </c>
      <c r="DH30" s="67"/>
      <c r="DI30" s="67"/>
      <c r="DJ30" s="67"/>
      <c r="DK30" s="19" t="s">
        <v>822</v>
      </c>
      <c r="DL30" s="39"/>
      <c r="DM30" s="239">
        <f>'Release Calculations'!AI777</f>
        <v>0</v>
      </c>
      <c r="DN30" s="239">
        <f>'Release Calculations'!AI$782</f>
        <v>0</v>
      </c>
      <c r="DO30" s="34"/>
      <c r="DP30" s="34"/>
      <c r="DQ30" s="239">
        <f>'Release Calculations'!AI792</f>
        <v>0</v>
      </c>
      <c r="DR30" s="34"/>
      <c r="DS30" s="34"/>
      <c r="DT30" s="34"/>
      <c r="DU30" s="34"/>
      <c r="DV30" s="6"/>
      <c r="DW30" s="40"/>
      <c r="DX30" s="250"/>
      <c r="DY30" s="249" t="s">
        <v>2983</v>
      </c>
      <c r="DZ30" s="250" t="s">
        <v>292</v>
      </c>
      <c r="EA30" s="740"/>
      <c r="EB30" s="248"/>
      <c r="EC30" s="249" t="s">
        <v>292</v>
      </c>
      <c r="ED30" s="248"/>
      <c r="EE30" s="248"/>
      <c r="EF30" s="248"/>
      <c r="EG30" s="248"/>
      <c r="EH30" s="248"/>
      <c r="EI30" s="19"/>
      <c r="EJ30" s="250"/>
      <c r="EK30" s="249" t="str">
        <f>IF(Attended_Op="Yes","Noted as Personnel Routinely in Immediate Area or Equipment Type involves Materials Handling - "&amp;IF('Release Calculations'!AI613*3600&lt;30," with a very Short Exposure Duration (&lt; 30 sec)","Time at Risk May Apply"),"Probability of Personnel to be in Close Proximity to Chemical Release based on Toxic Impact Area to "&amp;AM30&amp;" "&amp;AN30&amp;IF('Release Calculations'!AI776&lt;0.01," (with potential for higher POE credit upon further review)",""))</f>
        <v>Probability of Personnel to be in Close Proximity to Chemical Release based on Toxic Impact Area to 0 m (with potential for higher POE credit upon further review)</v>
      </c>
      <c r="EL30" s="250" t="str">
        <f>IF(Attended_Op="Yes","Noted as Personnel Routinely in Immediate Area or Equipment Type involves Materials Handling - Time at Risk May Apply","Probability of Personnel to be in Close Proximity to Chemical Release based on Ratio Enclosed Process Area Concentation of "&amp;AZ30&amp;" ppm to 10 ER-3 for "&amp;Chemical&amp;IF(Fract_Key_Chemical&lt;1," mixture "," ")&amp;IF('Release Calculations'!$AE$781&lt;0.01,"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30" s="248"/>
      <c r="EN30" s="248"/>
      <c r="EO30"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"&amp;AZ30&amp;" to "&amp;LFL_Fract_FlashFIre&amp;" LFL","Flammable Impact Area to "&amp;BF30&amp;" "&amp;BG30)&amp;IF('Release Calculations'!$AE$791&lt;0.01," (with potential for higher POE credit upon further review)",""))</f>
        <v>Probability of Personnel to be in Close Proximity to Chemical Release based on Flammable Impact Area to 0 m (with potential for higher POE credit upon further review)</v>
      </c>
      <c r="EP30" s="248"/>
      <c r="EQ30" s="248"/>
      <c r="ER30" s="248"/>
      <c r="ES30" s="248"/>
      <c r="ET30" s="248"/>
      <c r="EU30" s="19"/>
      <c r="EV30" s="1379"/>
      <c r="EW30" s="957">
        <f>'Release Calculations'!AI776</f>
        <v>6.0000000000000008E-7</v>
      </c>
      <c r="EX30" s="957">
        <f>'Release Calculations'!$AE$781</f>
        <v>0</v>
      </c>
      <c r="EY30" s="1380"/>
      <c r="EZ30" s="1380"/>
      <c r="FA30" s="957">
        <f>'Release Calculations'!$AE$791</f>
        <v>0</v>
      </c>
      <c r="FB30" s="6"/>
      <c r="FC30" s="6"/>
      <c r="FD30" s="6"/>
      <c r="FE30" s="6"/>
      <c r="FF30" s="6"/>
      <c r="FG30" s="19"/>
      <c r="FH30" s="34"/>
      <c r="FI30" s="34"/>
      <c r="FJ30" s="34"/>
      <c r="FK30" s="739"/>
      <c r="FL30" s="34"/>
      <c r="FM30" s="239" t="str">
        <f>IF(Relief_Release="Outdoors",'Release Calculations'!AI$734,'Release Calculations'!AI$720)</f>
        <v/>
      </c>
      <c r="FN30" s="239" t="str">
        <f>'Release Calculations'!AI$735</f>
        <v/>
      </c>
      <c r="FO30" s="39" t="str">
        <f>IF(State&lt;&gt;"Solid",'Release Calculations'!AI$720,Dust_SecondExpl_POE)</f>
        <v/>
      </c>
      <c r="FP30" s="34"/>
      <c r="FQ30" s="34"/>
      <c r="FR30" s="6"/>
      <c r="FS30" s="40"/>
      <c r="FT30" s="248"/>
      <c r="FU30" s="248"/>
      <c r="FV30" s="248"/>
      <c r="FW30" s="741"/>
      <c r="FX30" s="248"/>
      <c r="FY30" s="249" t="s">
        <v>1461</v>
      </c>
      <c r="FZ30" s="249" t="s">
        <v>1460</v>
      </c>
      <c r="GA30" s="250" t="s">
        <v>1461</v>
      </c>
      <c r="GB30" s="248"/>
      <c r="GC30" s="248"/>
      <c r="GD30" s="248"/>
      <c r="GE30" s="19"/>
      <c r="GF30" s="248"/>
      <c r="GG30" s="248"/>
      <c r="GH30" s="248"/>
      <c r="GI30" s="741"/>
      <c r="GJ30" s="248"/>
      <c r="GK30" s="4"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"&amp;BP30&amp;" "&amp;BQ30&amp;" Easily Ignited Material with Distance to LFL of "&amp;BD30&amp;" "&amp;BE30,IF(Ease_of_Ignition_Feed="Low","Outdoor Release of Difficult to Ignite Material","Outdoor release of "&amp;BP30&amp;" "&amp;BQ30&amp;" Flammable Material with Distance to LFL of "&amp;BD30&amp;" "&amp;BE30)),IF(Ease_of_Ignition_Feed="Elevated","Indoor Release of Easily Ignited Material",IF(Ease_of_Ignition_Feed="Low","Indoor Release of Difficult to Ignite Material","Indoor Release of Flammable Material")))))))</f>
        <v>No Flash Point Entered</v>
      </c>
      <c r="GL30" s="2581" t="str">
        <f t="shared" si="71"/>
        <v>No Flash Point Entered</v>
      </c>
      <c r="GM30" s="250" t="str">
        <f t="shared" si="72"/>
        <v>Indoor Release of Flammable Material-POX</v>
      </c>
      <c r="GN30" s="248"/>
      <c r="GO30" s="248"/>
      <c r="GP30" s="248"/>
      <c r="GQ30" s="19"/>
      <c r="GR30" s="189" t="str">
        <f t="shared" si="35"/>
        <v/>
      </c>
      <c r="GS30" s="19"/>
      <c r="GT30" s="19"/>
      <c r="GU30" s="26"/>
      <c r="GV30" s="26"/>
      <c r="GW30" s="19"/>
      <c r="GX30" s="19"/>
      <c r="GY30" s="19"/>
      <c r="GZ30" s="19"/>
      <c r="HA30" s="19"/>
      <c r="HB30" s="19"/>
      <c r="HC30" s="19"/>
      <c r="HD30" s="19"/>
      <c r="HE30" s="19"/>
      <c r="HF30" s="19"/>
      <c r="HG30" s="19"/>
      <c r="HH30" s="19"/>
      <c r="HI30" s="19"/>
    </row>
    <row r="31" spans="1:217" s="5" customFormat="1" ht="12.75" customHeight="1" x14ac:dyDescent="0.25">
      <c r="A31" s="35"/>
      <c r="B31" s="64" t="str">
        <f>'Scenario Identification'!CJ3</f>
        <v>Overfill Release</v>
      </c>
      <c r="C31" s="1457" t="str">
        <f t="shared" si="10"/>
        <v/>
      </c>
      <c r="D31" s="65"/>
      <c r="E31" s="2483" t="str">
        <f>IF(MAX('Release Calculations'!AE35,'Release Calculations'!AE43,'Release Calculations'!AE62,1-'Release Calculations'!AE82,ABS(MIN('Release Calculations'!AE35,'Release Calculations'!AE43,'Release Calculations'!AE62,1-'Release Calculations'!AE82)))&gt;$E$4,"Yes","")</f>
        <v/>
      </c>
      <c r="F31" s="1418" t="s">
        <v>428</v>
      </c>
      <c r="G31" s="1434">
        <f t="shared" si="11"/>
        <v>0</v>
      </c>
      <c r="H31" s="1427" t="str">
        <f t="shared" si="31"/>
        <v>liter</v>
      </c>
      <c r="I31" s="1418"/>
      <c r="J31" s="1421"/>
      <c r="K31" s="1427">
        <f t="shared" si="57"/>
        <v>0</v>
      </c>
      <c r="L31" s="1434">
        <f>sig('Release Calculations'!$AE$16/$L$4,3,100,0)</f>
        <v>0</v>
      </c>
      <c r="M31" s="1435" t="str">
        <f t="shared" si="13"/>
        <v>kg</v>
      </c>
      <c r="N31" s="1432" t="str">
        <f t="shared" si="14"/>
        <v xml:space="preserve">Liquid:   ,  ,  ,  ,  </v>
      </c>
      <c r="O31" s="1434">
        <f>ROUND('Release Calculations'!$AE$9,0)</f>
        <v>0</v>
      </c>
      <c r="P31" s="1434">
        <f>ROUND('Release Calculations'!$AE$8/$P$4,2)</f>
        <v>0</v>
      </c>
      <c r="Q31" s="1446" t="str">
        <f t="shared" si="15"/>
        <v>bar</v>
      </c>
      <c r="R31" s="1434">
        <f>sig('Release Calculations'!$AE$23/$AG$4,3,10,0)</f>
        <v>0</v>
      </c>
      <c r="S31" s="1447" t="str">
        <f t="shared" si="16"/>
        <v>kg/min</v>
      </c>
      <c r="T31" s="1435">
        <f>ROUND('Release Calculations'!$AE$13/$T$4,0)</f>
        <v>0</v>
      </c>
      <c r="U31" s="1434">
        <f>ROUND(('Release Calculations'!$AE$13+'Release Calculations'!$AE$14)/$U$4,0)</f>
        <v>0</v>
      </c>
      <c r="V31" s="1434">
        <f>sig('Release Calculations'!$AE$55/$V$4,3,100,0)</f>
        <v>0</v>
      </c>
      <c r="W31" s="1435" t="str">
        <f>IF(Report_A&lt;&gt;"",Report_A,IF(Dike_Area_Units="","sq m",Dike_Area_Units))</f>
        <v>sq m</v>
      </c>
      <c r="X31" s="1438">
        <f>ROUND('Release Calculations'!AE$227,3)</f>
        <v>0</v>
      </c>
      <c r="Y31" s="1458" t="str">
        <f>IF('Release Calculations'!$AE$238="","",sig('Release Calculations'!$AE$238,3,1000,0))</f>
        <v/>
      </c>
      <c r="Z31" s="1458" t="str">
        <f>IF('Release Calculations'!$AE$244="","",sig('Release Calculations'!$AE$244,3,1000,0))</f>
        <v/>
      </c>
      <c r="AA31" s="1458" t="str">
        <f>IF('Release Calculations'!$AE$268="","",sig('Release Calculations'!$AE$268,3,1000,0))</f>
        <v/>
      </c>
      <c r="AB31" s="1458" t="str">
        <f>IF('Release Calculations'!$AE$274="","",sig('Release Calculations'!$AE$274,3,1000,0))</f>
        <v/>
      </c>
      <c r="AC31" s="1458" t="str">
        <f>IF('Release Calculations'!$AE$280="","",sig('Release Calculations'!$AE$280,3,1000,0))</f>
        <v/>
      </c>
      <c r="AD31" s="1196" t="str">
        <f>IF('Release Calculations'!$AE$262="","",ROUND('Release Calculations'!$AE$262,1))</f>
        <v/>
      </c>
      <c r="AE31" s="1434">
        <f>sig('Release Calculations'!$AE$70/$AE$4,3,100,0)</f>
        <v>0</v>
      </c>
      <c r="AF31" s="1435" t="str">
        <f t="shared" si="17"/>
        <v>kg</v>
      </c>
      <c r="AG31" s="1326">
        <f>sig('Release Calculations'!AE$89/$AG$4,3,10,3)</f>
        <v>0</v>
      </c>
      <c r="AH31" s="1435" t="str">
        <f t="shared" si="33"/>
        <v>kg/min</v>
      </c>
      <c r="AI31" s="1434">
        <f>sig('Release Calculations'!$AE$295/$AI$4,3,100,0)</f>
        <v>0</v>
      </c>
      <c r="AJ31" s="1435" t="str">
        <f t="shared" si="60"/>
        <v>m</v>
      </c>
      <c r="AK31" s="1434">
        <f>sig('Release Calculations'!$AE$298/$AK$4,3,100,0)</f>
        <v>0</v>
      </c>
      <c r="AL31" s="1435" t="str">
        <f t="shared" si="61"/>
        <v>m</v>
      </c>
      <c r="AM31" s="1434">
        <f>sig('Release Calculations'!$AE$300/$AM$4,3,100,0)</f>
        <v>0</v>
      </c>
      <c r="AN31" s="1435" t="str">
        <f t="shared" si="62"/>
        <v>m</v>
      </c>
      <c r="AO31" s="1434">
        <f>sig('Release Calculations'!$AE$301/$AO$4,3,100,0)</f>
        <v>0</v>
      </c>
      <c r="AP31" s="1452" t="str">
        <f t="shared" si="63"/>
        <v>m</v>
      </c>
      <c r="AQ31" s="1434">
        <f>sig('Release Calculations'!$AE$303/$AQ$4,3,100,0)</f>
        <v>0</v>
      </c>
      <c r="AR31" s="1452" t="str">
        <f t="shared" si="64"/>
        <v>m</v>
      </c>
      <c r="AS31" s="1452" t="str">
        <f t="shared" si="65"/>
        <v/>
      </c>
      <c r="AT31" s="1452" t="str">
        <f t="shared" si="66"/>
        <v/>
      </c>
      <c r="AU31" s="1452" t="str">
        <f t="shared" si="67"/>
        <v/>
      </c>
      <c r="AV31" s="114">
        <f>sig('Release Calculations'!$AE$310,3,1000,-1)</f>
        <v>0</v>
      </c>
      <c r="AW31" s="114">
        <f>sig('Release Calculations'!$AE$311,3,1000,-1)</f>
        <v>0</v>
      </c>
      <c r="AX31" s="114" t="str">
        <f>sig('Release Calculations'!$AE$312,3,1000,0)</f>
        <v/>
      </c>
      <c r="AY31" s="114" t="str">
        <f>sig('Release Calculations'!$AE$313,3,1000,0)</f>
        <v/>
      </c>
      <c r="AZ31" s="114">
        <f>sig('Release Calculations'!$AE$314,3,1000,-1)</f>
        <v>0</v>
      </c>
      <c r="BA31" s="114">
        <f>sig('Release Calculations'!$AE$315,3,1000,-1)</f>
        <v>0</v>
      </c>
      <c r="BB31" s="114" t="str">
        <f>sig('Release Calculations'!$AE$316,3,10,3)</f>
        <v/>
      </c>
      <c r="BC31" s="2576" t="str">
        <f>sig('Release Calculations'!$AE$317,3,10,3)</f>
        <v/>
      </c>
      <c r="BD31" s="2569">
        <f>sig('Release Calculations'!$AE$334/$BD$4,3,100,0)</f>
        <v>0</v>
      </c>
      <c r="BE31" s="1435" t="str">
        <f t="shared" si="34"/>
        <v>m</v>
      </c>
      <c r="BF31" s="2569">
        <f>sig('Release Calculations'!$AE$333/$BF$4,3,100,0)</f>
        <v>0</v>
      </c>
      <c r="BG31" s="1435" t="str">
        <f t="shared" si="34"/>
        <v>m</v>
      </c>
      <c r="BH31" s="1419"/>
      <c r="BI31" s="1422"/>
      <c r="BJ31" s="228" t="str">
        <f>IF(Report_D&lt;&gt;"",Report_D,Public_Units)</f>
        <v>m</v>
      </c>
      <c r="BK31" s="1422"/>
      <c r="BL31" s="2573"/>
      <c r="BM31" s="2573"/>
      <c r="BN31" s="1441"/>
      <c r="BO31" s="1746"/>
      <c r="BP31" s="1503">
        <f>sig('Release Calculations'!$AE$90/$BP$4,3,10,1)</f>
        <v>0</v>
      </c>
      <c r="BQ31" s="1435" t="str">
        <f t="shared" si="58"/>
        <v>kg/min</v>
      </c>
      <c r="BR31" s="1434">
        <f>sig(IF(Relief_Release="Indoors",'Release Calculations'!$AE$325/$BR$4,'Release Calculations'!$AE$339/$BR$4),3,100,0)</f>
        <v>0</v>
      </c>
      <c r="BS31" s="1435" t="str">
        <f t="shared" si="25"/>
        <v>m</v>
      </c>
      <c r="BT31" s="1748">
        <f>ROUND(IF(Location="Indoors",'Release Calculations'!$AE$328,'Release Calculations'!$AE$342),1)</f>
        <v>0</v>
      </c>
      <c r="BU31" s="1748">
        <f>ROUND(IF(Location="Indoors",'Release Calculations'!$AE$330,'Release Calculations'!$AE$346),1)</f>
        <v>0</v>
      </c>
      <c r="BV31" s="1434" t="str">
        <f>IF(Overflow_Time="","",sig(Overflow_Time,2,10,1))</f>
        <v/>
      </c>
      <c r="BW31" s="1443" t="str">
        <f>Overflow_Time_Units</f>
        <v/>
      </c>
      <c r="BX31" s="262"/>
      <c r="BY31" s="262"/>
      <c r="BZ31" s="123"/>
      <c r="CA31" s="4" t="str">
        <f>IF(OR(Relief_Release="None",'Release Calculations'!AE$352="NA"),"",'Release Calculations'!AE$352)</f>
        <v/>
      </c>
      <c r="CB31" s="4" t="str">
        <f>IF(OR(Relief_Release="None",'Release Calculations'!AE$382="NA"),"",'Release Calculations'!AE$382)</f>
        <v/>
      </c>
      <c r="CC31" s="4" t="str">
        <f>IF('Release Calculations'!AE$387="NA","",'Release Calculations'!AE$387)</f>
        <v/>
      </c>
      <c r="CD31" s="735" t="str">
        <f>IF('Release Calculations'!AE$392="NA","",'Release Calculations'!AE$392)</f>
        <v/>
      </c>
      <c r="CE31" s="4" t="str">
        <f>IF('Release Calculations'!AE$398="NA","",'Release Calculations'!AE$398)</f>
        <v/>
      </c>
      <c r="CF31" s="4" t="str">
        <f>IF(OR(Relief_Release="None",'Release Calculations'!AE$403="NA"),"",'Release Calculations'!AE$403)</f>
        <v/>
      </c>
      <c r="CG31" s="4" t="str">
        <f>IF(OR(Relief_Release="None",'Release Calculations'!AE$423="NA"),"",'Release Calculations'!AE$423)</f>
        <v/>
      </c>
      <c r="CH31" s="4" t="str">
        <f>IF(OR(Relief_Release="None",'Release Calculations'!AE$413="NA"),"",'Release Calculations'!AE$413)</f>
        <v/>
      </c>
      <c r="CI31" s="4"/>
      <c r="CJ31" s="4"/>
      <c r="CK31" s="4" t="str">
        <f>IF('Release Calculations'!BD430="NA","",'Release Calculations'!BD430)</f>
        <v/>
      </c>
      <c r="CL31" s="19"/>
      <c r="CM31" s="19"/>
      <c r="CN31" s="189" t="str">
        <f>IF(CA31="","",IF('Release Calculations'!AE$297="Yes",IF(CA31=Conseq_VeryLow,Desc_VeryLow,IF(CA31=Conseq_Low,Desc_Low,IF(CA31=Conseq_Moderate,Desc_Moderate,IF(CA31=Conseq_High,Desc_High,IF(CA31=Conseq_VeryHigh,Desc_VeryHigh,IF(CA31=Conseq_ExtremeHigh,Desc_ExtremeHigh,Desc_GT_ExtremeHigh)))))),IF(CA31=Conseq_Low_Offsite,Desc_Low_Offsite,Desc_VeryLow_Offsite)))</f>
        <v/>
      </c>
      <c r="CO31" s="189" t="str">
        <f t="shared" si="73"/>
        <v/>
      </c>
      <c r="CP31" s="189" t="str">
        <f t="shared" si="74"/>
        <v/>
      </c>
      <c r="CQ31" s="189" t="str">
        <f t="shared" si="75"/>
        <v/>
      </c>
      <c r="CR31" s="189" t="str">
        <f>IF(CE31="","",IF(CE31=Conseq_VeryLow,Desc_VeryLow,IF(CE31=Conseq_Low,Desc_Low,IF(CE31=Conseq_Moderate,Desc_Moderate,IF(CE31=Conseq_High,Desc_High,IF(CE31=Conseq_VeryHigh,Desc_VeryHigh,IF(CE31=Conseq_ExtremeHigh,Desc_ExtremeHigh,Desc_GT_ExtremeHigh)))))))</f>
        <v/>
      </c>
      <c r="CS31" s="189" t="str">
        <f t="shared" si="59"/>
        <v/>
      </c>
      <c r="CT31" s="189" t="str">
        <f t="shared" si="68"/>
        <v/>
      </c>
      <c r="CU31" s="189" t="str">
        <f t="shared" si="69"/>
        <v/>
      </c>
      <c r="CV31" s="67"/>
      <c r="CW31" s="67"/>
      <c r="CX31" s="189" t="str">
        <f>IF(CK31="","",IF(CK31=Conseq_VeryLow,Desc_VeryLow_Environ,IF(CK31=Conseq_Low,Desc_Low_Environ,IF(CK31=Conseq_Moderate,Desc_Moderate_Environ,IF(CK31=Conseq_High,Desc_High_Environ,IF(CK31=Conseq_VeryHigh,Desc_VeryHigh_Environ,Desc_ExtremeHigh_Environ))))))</f>
        <v/>
      </c>
      <c r="CY31" s="40" t="s">
        <v>822</v>
      </c>
      <c r="CZ31" s="189" t="str">
        <f>IF(CA31="","",IF('Release Calculations'!AE$297="Yes"," at a "&amp;$AI$3&amp;" of "&amp;AI31&amp;" "&amp;AJ31&amp;" which exceeds Distance to the Fence Line of "&amp;Public_Input&amp;" "&amp;Public_Units))</f>
        <v/>
      </c>
      <c r="DA31" s="189" t="str">
        <f>IF(CB31="","",IF('Release Calculations'!$AE$305="Yes"," with operating personnel in close proximity and a "&amp;$AM$3&amp;" of "&amp;AM31&amp;" "&amp;AN31," at a "&amp;$AM$3&amp;" of "&amp;AM31&amp;" "&amp;AN31)&amp;IF('Release Calculations'!$AE$300&gt;Public," which exceeds Distance to the Fence Line of "&amp;Public_Input&amp;" "&amp;Public_Units&amp;".  Target Factor may be conservative",))</f>
        <v/>
      </c>
      <c r="DB31" s="226" t="str">
        <f>IF(CC31="","",IF('Release Calculations'!AE319="Yes","and Potential for Asphyxiation","")&amp;IF('Release Calculations'!AE$305="Yes"," with operations personnel in close proximity at an "&amp;$AZ$3&amp;" of "&amp;AZ31&amp;" ppm"," at an "&amp;$AZ$3&amp;" of "&amp;AZ31&amp;" ppm"))</f>
        <v/>
      </c>
      <c r="DC31" s="189" t="str">
        <f t="shared" si="70"/>
        <v/>
      </c>
      <c r="DD31" s="189" t="str">
        <f>IF(CE31="",""," of a "&amp;IF(Ease_of_Ignition_Feed="High","pyrophoric ","high/low temperature ")&amp;IF(Dermal_Tox_Feed&lt;&gt;"","or "&amp;Dermal_Tox_Feed,"")&amp;" chemical"&amp;IF('Release Calculations'!$AE$305="Yes"," with operating personnel in close proximity",""))</f>
        <v/>
      </c>
      <c r="DE31" s="189" t="str">
        <f>IF(CF31="","",IF('Release Calculations'!$AE$305="Yes"," with operating personnel in close proximity and a "&amp;$BF$3&amp;" of "&amp;BF31&amp;" "&amp;BG31," at a "&amp;$BF$3&amp;" of "&amp;BF31&amp;" "&amp;BG31))</f>
        <v/>
      </c>
      <c r="DF31" s="189" t="str">
        <f>IF(CG31="","",IF('Release Calculations'!AE$340="Yes"," with "&amp;$BR$3&amp;" of "&amp;BR31&amp;" "&amp;BS31&amp;IF('Release Calculations'!AE$349&lt;&gt;"Yes",""," including "&amp;$BT$3&amp;" of "&amp;BT31&amp;" psi.")&amp;" 1 psi Blast Overpresssure exceeds Distance to the Fence Line of "&amp;Public_Input&amp;" "&amp;Public_Units&amp;".  Consider adjustment for Off-Site Impacts",IF('Release Calculations'!AE$349&lt;&gt;"Yes"," impacting on site personnel at a "&amp;$BR$3&amp;" of "&amp;BR31&amp;" "&amp;BS31," impacting on site personnel at a "&amp;$BR$3&amp;" of "&amp;BR31&amp;" "&amp;BS31&amp;" including "&amp;$BT$3&amp;" of "&amp;BT31&amp;" psi")))</f>
        <v/>
      </c>
      <c r="DG31" s="189" t="str">
        <f>IF(CH31="","",IF('Release Calculations'!AE$326="Yes"," with "&amp;$BR$3&amp;" of "&amp;BR31&amp;" "&amp;BS31&amp;IF('Release Calculations'!AE$331&lt;&gt;"Yes",""," including "&amp;$BT$3&amp;" of "&amp;BT31&amp;" psi.")&amp;"  1 psi Blast Overpresssure exceeds Distance to the Fence Line of "&amp;Public_Input&amp;" "&amp;Public_Units&amp;".  Consider adjustment for Off-Site Impacts",IF('Release Calculations'!AE$331&lt;&gt;"Yes"," impacting enclosed area operating personnel, on site personnel at a "&amp;$BR$3&amp;" of "&amp;BR31&amp;" "&amp;BS31," impacting enclosed area operating personnel, on site personnel at a "&amp;$BR$3&amp;" of "&amp;BR31&amp;" "&amp;BS31&amp;" including "&amp;$BT$3&amp;" of "&amp;BT31&amp;" psi")))</f>
        <v/>
      </c>
      <c r="DH31" s="67"/>
      <c r="DI31" s="67"/>
      <c r="DJ31" s="189" t="str">
        <f>IF('Release Calculations'!AZ430&gt;0,"Groundwater or Remediation Issue",IF('Release Calculations'!BB430&gt;0,"High Aqueous Toxicity",""))</f>
        <v/>
      </c>
      <c r="DK31" s="19" t="s">
        <v>822</v>
      </c>
      <c r="DL31" s="39"/>
      <c r="DM31" s="239">
        <f>'Release Calculations'!AE380</f>
        <v>0</v>
      </c>
      <c r="DN31" s="239">
        <f>'Release Calculations'!AE$385</f>
        <v>0</v>
      </c>
      <c r="DO31" s="34"/>
      <c r="DP31" s="258">
        <f>'Release Calculations'!AE396</f>
        <v>0</v>
      </c>
      <c r="DQ31" s="239">
        <f>'Release Calculations'!AE401</f>
        <v>0</v>
      </c>
      <c r="DR31" s="34"/>
      <c r="DS31" s="34"/>
      <c r="DT31" s="34"/>
      <c r="DU31" s="34"/>
      <c r="DV31" s="6"/>
      <c r="DW31" s="40"/>
      <c r="DX31" s="250"/>
      <c r="DY31" s="249" t="s">
        <v>2983</v>
      </c>
      <c r="DZ31" s="250" t="s">
        <v>292</v>
      </c>
      <c r="EA31" s="740"/>
      <c r="EB31" s="249" t="str">
        <f t="shared" ref="EB31:EB38" si="76">"Probability of Exposure to Hot or Toxic Material"</f>
        <v>Probability of Exposure to Hot or Toxic Material</v>
      </c>
      <c r="EC31" s="249" t="s">
        <v>292</v>
      </c>
      <c r="ED31" s="248"/>
      <c r="EE31" s="248"/>
      <c r="EF31" s="248"/>
      <c r="EG31" s="248"/>
      <c r="EH31" s="248"/>
      <c r="EI31" s="19"/>
      <c r="EJ31" s="250"/>
      <c r="EK31" s="249" t="str">
        <f>IF(Attended_Op="Yes","Noted as Personnel Routinely in Immediate Area or Equipment Type involves Materials Handling - "&amp;IF('Release Calculations'!AE223*3600&lt;30," with a very Short Exposure Duration (&lt; 30 sec)","Time at Risk May Apply"),"Probability of Personnel to be in Close Proximity to Chemical Release based on Toxic Impact Area to "&amp;AM31&amp;" "&amp;AN31&amp;IF('Release Calculations'!AE379&lt;0.01," (with potential for higher POE credit upon further review)",""))</f>
        <v>Probability of Personnel to be in Close Proximity to Chemical Release based on Toxic Impact Area to 0 m (with potential for higher POE credit upon further review)</v>
      </c>
      <c r="EL31" s="250" t="str">
        <f>IF(Attended_Op="Yes","Noted as Personnel Routinely in Immediate Area or Equipment Type involves Materials Handling - Time at Risk May Apply","Probability of Personnel to be in Close Proximity to Chemical Release based on Ratio Enclosed Process Area Concentation of "&amp;AZ31&amp;" ppm to 10 ER-3 for "&amp;Chemical&amp;IF(Fract_Key_Chemical&lt;1," mixture "," ")&amp;IF('Release Calculations'!$AE$384&lt;0.01,"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31" s="248"/>
      <c r="EN31" s="248"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Calculations'!$AE$395&lt;0.01," (with potential for higher POE credit upon further review)",""))</f>
        <v>Probability of Personnel to be in Close Proximity to Chemical Release based on Spray Distance of 1 m (with potential for higher POE credit upon further review)</v>
      </c>
      <c r="EO31"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"&amp;AZ31&amp;" to "&amp;LFL_Fract_FlashFIre&amp;" LFL","Flammable Impact Area to "&amp;BF31&amp;" "&amp;BG31)&amp;IF('Release Calculations'!$AE$791&lt;0.01," (with potential for higher POE credit upon further review)",""))</f>
        <v>Probability of Personnel to be in Close Proximity to Chemical Release based on Flammable Impact Area to 0 m (with potential for higher POE credit upon further review)</v>
      </c>
      <c r="EP31" s="248"/>
      <c r="EQ31" s="248"/>
      <c r="ER31" s="248"/>
      <c r="ES31" s="248"/>
      <c r="ET31" s="248"/>
      <c r="EU31" s="19"/>
      <c r="EV31" s="1379"/>
      <c r="EW31" s="957">
        <f>'Release Calculations'!AE379</f>
        <v>6.0000000000000008E-7</v>
      </c>
      <c r="EX31" s="957">
        <f>'Release Calculations'!$AE$384</f>
        <v>0</v>
      </c>
      <c r="EY31" s="1380"/>
      <c r="EZ31" s="957">
        <f>'Release Calculations'!AE395</f>
        <v>0</v>
      </c>
      <c r="FA31" s="957">
        <f>'Release Calculations'!$AE$791</f>
        <v>0</v>
      </c>
      <c r="FB31" s="6"/>
      <c r="FC31" s="6"/>
      <c r="FD31" s="6"/>
      <c r="FE31" s="6"/>
      <c r="FF31" s="6"/>
      <c r="FG31" s="19"/>
      <c r="FH31" s="34"/>
      <c r="FI31" s="34"/>
      <c r="FJ31" s="34"/>
      <c r="FK31" s="739"/>
      <c r="FL31" s="34"/>
      <c r="FM31" s="239" t="str">
        <f>IF(Relief_Release="Outdoors",'Release Calculations'!AE$337,'Release Calculations'!AE$323)</f>
        <v/>
      </c>
      <c r="FN31" s="239" t="str">
        <f>'Release Calculations'!AE$338</f>
        <v/>
      </c>
      <c r="FO31" s="39" t="str">
        <f>IF(State&lt;&gt;"Solid",'Release Calculations'!AE$323,Dust_SecondExpl_POE)</f>
        <v/>
      </c>
      <c r="FP31" s="34"/>
      <c r="FQ31" s="34"/>
      <c r="FR31" s="6"/>
      <c r="FS31" s="40"/>
      <c r="FT31" s="248"/>
      <c r="FU31" s="248"/>
      <c r="FV31" s="248"/>
      <c r="FW31" s="741"/>
      <c r="FX31" s="248"/>
      <c r="FY31" s="249" t="s">
        <v>1461</v>
      </c>
      <c r="FZ31" s="249" t="s">
        <v>1460</v>
      </c>
      <c r="GA31" s="250" t="s">
        <v>1461</v>
      </c>
      <c r="GB31" s="248"/>
      <c r="GC31" s="248"/>
      <c r="GD31" s="248"/>
      <c r="GE31" s="19"/>
      <c r="GF31" s="248"/>
      <c r="GG31" s="248"/>
      <c r="GH31" s="248"/>
      <c r="GI31" s="741"/>
      <c r="GJ31" s="248"/>
      <c r="GK31" s="4"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"&amp;BP31&amp;" "&amp;BQ31&amp;" Easily Ignited Material with Distance to LFL of "&amp;BD31&amp;" "&amp;BE31,IF(Ease_of_Ignition_Feed="Low","Outdoor Release of Difficult to Ignite Material","Outdoor release of "&amp;BP31&amp;" "&amp;BQ31&amp;" Flammable Material with Distance to LFL of "&amp;BD31&amp;" "&amp;BE31)),IF(Ease_of_Ignition_Feed="Elevated","Indoor Release of Easily Ignited Material",IF(Ease_of_Ignition_Feed="Low","Indoor Release of Difficult to Ignite Material","Indoor Release of Flammable Material")))))))</f>
        <v>No Flash Point Entered</v>
      </c>
      <c r="GL31" s="2581" t="str">
        <f t="shared" si="71"/>
        <v>No Flash Point Entered</v>
      </c>
      <c r="GM31" s="250" t="str">
        <f t="shared" si="72"/>
        <v>Indoor Release of Flammable Material-POX</v>
      </c>
      <c r="GN31" s="248"/>
      <c r="GO31" s="248"/>
      <c r="GP31" s="248"/>
      <c r="GQ31" s="19"/>
      <c r="GR31" s="189" t="str">
        <f t="shared" si="35"/>
        <v/>
      </c>
      <c r="GS31" s="19"/>
      <c r="GT31" s="19"/>
      <c r="GU31" s="26"/>
      <c r="GV31" s="26"/>
      <c r="GW31" s="19"/>
      <c r="GX31" s="19"/>
      <c r="GY31" s="19"/>
      <c r="GZ31" s="19"/>
      <c r="HA31" s="19"/>
      <c r="HB31" s="19"/>
      <c r="HC31" s="19"/>
      <c r="HD31" s="19"/>
      <c r="HE31" s="19"/>
      <c r="HF31" s="19"/>
      <c r="HG31" s="19"/>
      <c r="HH31" s="19"/>
      <c r="HI31" s="19"/>
    </row>
    <row r="32" spans="1:217" s="5" customFormat="1" ht="12.75" customHeight="1" x14ac:dyDescent="0.25">
      <c r="A32" s="35"/>
      <c r="B32" s="64" t="str">
        <f>'Scenario Identification'!CK3</f>
        <v>Backflow Release</v>
      </c>
      <c r="C32" s="1457" t="str">
        <f t="shared" si="10"/>
        <v/>
      </c>
      <c r="D32" s="65"/>
      <c r="E32" s="2483" t="str">
        <f>IF(MAX('Release Calculations'!AG35,'Release Calculations'!AG43,'Release Calculations'!AG62,1-'Release Calculations'!AG82,ABS(MIN('Release Calculations'!AG35,'Release Calculations'!AG43,'Release Calculations'!AG62,1-'Release Calculations'!AG82)))&gt;$E$4,"Yes","")</f>
        <v/>
      </c>
      <c r="F32" s="1418" t="s">
        <v>428</v>
      </c>
      <c r="G32" s="1434">
        <f t="shared" si="11"/>
        <v>0</v>
      </c>
      <c r="H32" s="1427" t="str">
        <f t="shared" si="31"/>
        <v>liter</v>
      </c>
      <c r="I32" s="1418"/>
      <c r="J32" s="1421"/>
      <c r="K32" s="1427">
        <f t="shared" si="57"/>
        <v>0</v>
      </c>
      <c r="L32" s="1434">
        <f>sig('Release Calculations'!$AG$16/$L$4,3,100,0)</f>
        <v>0</v>
      </c>
      <c r="M32" s="1435" t="str">
        <f t="shared" si="13"/>
        <v>kg</v>
      </c>
      <c r="N32" s="1432" t="str">
        <f t="shared" si="14"/>
        <v xml:space="preserve">Liquid:   ,  ,  ,  ,  </v>
      </c>
      <c r="O32" s="1434">
        <f>ROUND('Release Calculations'!$AG$9,0)</f>
        <v>0</v>
      </c>
      <c r="P32" s="1434">
        <f>ROUND('Release Calculations'!$AG$8/$P$4,2)</f>
        <v>0</v>
      </c>
      <c r="Q32" s="1446" t="str">
        <f t="shared" si="15"/>
        <v>bar</v>
      </c>
      <c r="R32" s="1434">
        <f>sig('Release Calculations'!$AG$23/$AG$4,3,10,0)</f>
        <v>0</v>
      </c>
      <c r="S32" s="1447" t="str">
        <f t="shared" si="16"/>
        <v>kg/min</v>
      </c>
      <c r="T32" s="1435">
        <f>ROUND('Release Calculations'!$AG$13/$T$4,0)</f>
        <v>0</v>
      </c>
      <c r="U32" s="1434">
        <f>ROUND(('Release Calculations'!$AG$13+'Release Calculations'!$AG$14)/$U$4,0)</f>
        <v>0</v>
      </c>
      <c r="V32" s="1434">
        <f>sig('Release Calculations'!$AG$55/$V$4,3,100,0)</f>
        <v>0</v>
      </c>
      <c r="W32" s="1435" t="str">
        <f>IF(Report_A&lt;&gt;"",Report_A,IF(Dike_Area_Units="","sq m",Dike_Area_Units))</f>
        <v>sq m</v>
      </c>
      <c r="X32" s="1438">
        <f>ROUND('Release Calculations'!AG$227,3)</f>
        <v>0</v>
      </c>
      <c r="Y32" s="1458" t="str">
        <f>IF('Release Calculations'!$AG$238="","",sig('Release Calculations'!$AG$238,3,1000,0))</f>
        <v/>
      </c>
      <c r="Z32" s="1458" t="str">
        <f>IF('Release Calculations'!$AG$244="","",sig('Release Calculations'!$AG$244,3,1000,0))</f>
        <v/>
      </c>
      <c r="AA32" s="1458" t="str">
        <f>IF('Release Calculations'!$AG$268="","",sig('Release Calculations'!$AG$268,3,1000,0))</f>
        <v/>
      </c>
      <c r="AB32" s="1458" t="str">
        <f>IF('Release Calculations'!$AG$274="","",sig('Release Calculations'!$AG$274,3,1000,0))</f>
        <v/>
      </c>
      <c r="AC32" s="1458" t="str">
        <f>IF('Release Calculations'!$AG$280="","",sig('Release Calculations'!$AG$280,3,1000,0))</f>
        <v/>
      </c>
      <c r="AD32" s="1196" t="str">
        <f>IF('Release Calculations'!$AG$262="","",ROUND('Release Calculations'!$AG$262,1))</f>
        <v/>
      </c>
      <c r="AE32" s="1434">
        <f>sig('Release Calculations'!$AG$70/$AE$4,3,100,0)</f>
        <v>0</v>
      </c>
      <c r="AF32" s="1435" t="str">
        <f t="shared" si="17"/>
        <v>kg</v>
      </c>
      <c r="AG32" s="1326">
        <f>sig('Release Calculations'!AG$89/$AG$4,3,10,3)</f>
        <v>0</v>
      </c>
      <c r="AH32" s="1435" t="str">
        <f t="shared" si="33"/>
        <v>kg/min</v>
      </c>
      <c r="AI32" s="1434">
        <f>sig('Release Calculations'!$AG$295/$AI$4,3,100,0)</f>
        <v>0</v>
      </c>
      <c r="AJ32" s="1435" t="str">
        <f t="shared" si="60"/>
        <v>m</v>
      </c>
      <c r="AK32" s="1434">
        <f>sig('Release Calculations'!$AG$298/$AK$4,3,100,0)</f>
        <v>0</v>
      </c>
      <c r="AL32" s="1435" t="str">
        <f t="shared" si="61"/>
        <v>m</v>
      </c>
      <c r="AM32" s="1434">
        <f>sig('Release Calculations'!$AG$300/$AM$4,3,100,0)</f>
        <v>0</v>
      </c>
      <c r="AN32" s="1435" t="str">
        <f t="shared" si="62"/>
        <v>m</v>
      </c>
      <c r="AO32" s="1434">
        <f>sig('Release Calculations'!$AG$301/$AO$4,3,100,0)</f>
        <v>0</v>
      </c>
      <c r="AP32" s="1452" t="str">
        <f t="shared" si="63"/>
        <v>m</v>
      </c>
      <c r="AQ32" s="1434">
        <f>sig('Release Calculations'!$AG$303/$AQ$4,3,100,0)</f>
        <v>0</v>
      </c>
      <c r="AR32" s="1452" t="str">
        <f t="shared" si="64"/>
        <v>m</v>
      </c>
      <c r="AS32" s="1452" t="str">
        <f t="shared" si="65"/>
        <v/>
      </c>
      <c r="AT32" s="1452" t="str">
        <f t="shared" si="66"/>
        <v/>
      </c>
      <c r="AU32" s="1452" t="str">
        <f t="shared" si="67"/>
        <v/>
      </c>
      <c r="AV32" s="114">
        <f>sig('Release Calculations'!$AG$310,3,1000,-1)</f>
        <v>0</v>
      </c>
      <c r="AW32" s="114">
        <f>sig('Release Calculations'!$AG$311,3,1000,-1)</f>
        <v>0</v>
      </c>
      <c r="AX32" s="114" t="str">
        <f>sig('Release Calculations'!$AG$312,3,1000,0)</f>
        <v/>
      </c>
      <c r="AY32" s="114" t="str">
        <f>sig('Release Calculations'!$AG$313,3,1000,0)</f>
        <v/>
      </c>
      <c r="AZ32" s="114">
        <f>sig('Release Calculations'!$AG$314,3,1000,-1)</f>
        <v>0</v>
      </c>
      <c r="BA32" s="114">
        <f>sig('Release Calculations'!$AG$315,3,1000,-1)</f>
        <v>0</v>
      </c>
      <c r="BB32" s="114" t="str">
        <f>sig('Release Calculations'!$AG$316,3,10,3)</f>
        <v/>
      </c>
      <c r="BC32" s="2576" t="str">
        <f>sig('Release Calculations'!$AG$317,3,10,3)</f>
        <v/>
      </c>
      <c r="BD32" s="2569">
        <f>sig('Release Calculations'!$AG$334/$BD$4,3,100,0)</f>
        <v>0</v>
      </c>
      <c r="BE32" s="1435" t="str">
        <f t="shared" si="34"/>
        <v>m</v>
      </c>
      <c r="BF32" s="2569">
        <f>sig('Release Calculations'!$AG$333/$BF$4,3,100,0)</f>
        <v>0</v>
      </c>
      <c r="BG32" s="1435" t="str">
        <f t="shared" si="34"/>
        <v>m</v>
      </c>
      <c r="BH32" s="1419"/>
      <c r="BI32" s="1422"/>
      <c r="BJ32" s="1419"/>
      <c r="BK32" s="1422"/>
      <c r="BL32" s="2573"/>
      <c r="BM32" s="2573"/>
      <c r="BN32" s="1441"/>
      <c r="BO32" s="1746"/>
      <c r="BP32" s="1503">
        <f>sig('Release Calculations'!$AG$90/$BP$4,3,10,1)</f>
        <v>0</v>
      </c>
      <c r="BQ32" s="1435" t="str">
        <f t="shared" si="58"/>
        <v>kg/min</v>
      </c>
      <c r="BR32" s="1434">
        <f>sig(IF(Relief_Release="Indoors",'Release Calculations'!$AG$325/$BR$4,'Release Calculations'!$AG$339/$BR$4),3,100,0)</f>
        <v>0</v>
      </c>
      <c r="BS32" s="1435" t="str">
        <f t="shared" si="25"/>
        <v>m</v>
      </c>
      <c r="BT32" s="1748">
        <f>ROUND(IF(Location="Indoors",'Release Calculations'!$AG$328,'Release Calculations'!$AG$342),1)</f>
        <v>0</v>
      </c>
      <c r="BU32" s="1748">
        <f>ROUND(IF(Location="Indoors",'Release Calculations'!$AG$330,'Release Calculations'!$AG$346),1)</f>
        <v>0</v>
      </c>
      <c r="BV32" s="1434" t="str">
        <f>IF(Backflow_Time="","",sig(Backflow_Time,2,10,1))</f>
        <v/>
      </c>
      <c r="BW32" s="1443" t="str">
        <f>Backflow_Time_Units</f>
        <v/>
      </c>
      <c r="BX32" s="262"/>
      <c r="BY32" s="262"/>
      <c r="BZ32" s="123"/>
      <c r="CA32" s="4" t="str">
        <f>IF(OR(Relief_Release="None",'Release Calculations'!AG$352="NA"),"",'Release Calculations'!AG$352)</f>
        <v/>
      </c>
      <c r="CB32" s="4" t="str">
        <f>IF('Release Calculations'!AG$382="NA","",'Release Calculations'!AG$382)</f>
        <v/>
      </c>
      <c r="CC32" s="4" t="str">
        <f>IF('Release Calculations'!AG$387="NA","",'Release Calculations'!AG$387)</f>
        <v/>
      </c>
      <c r="CD32" s="735" t="str">
        <f>IF('Release Calculations'!AG$392="NA","",'Release Calculations'!AG$392)</f>
        <v/>
      </c>
      <c r="CE32" s="4" t="str">
        <f>IF('Release Calculations'!AG$398="NA","",'Release Calculations'!AG$398)</f>
        <v/>
      </c>
      <c r="CF32" s="4" t="str">
        <f>IF('Release Calculations'!AG$403="NA","",'Release Calculations'!AG$403)</f>
        <v/>
      </c>
      <c r="CG32" s="4" t="str">
        <f>IF('Release Calculations'!AG$423="NA","",'Release Calculations'!AG$423)</f>
        <v/>
      </c>
      <c r="CH32" s="4" t="str">
        <f>IF('Release Calculations'!AG$413="NA","",'Release Calculations'!AG$413)</f>
        <v/>
      </c>
      <c r="CI32" s="4"/>
      <c r="CJ32" s="4"/>
      <c r="CK32" s="4" t="str">
        <f>IF('Release Calculations'!BD431="NA","",'Release Calculations'!BD431)</f>
        <v/>
      </c>
      <c r="CL32" s="19"/>
      <c r="CM32" s="19"/>
      <c r="CN32" s="189" t="str">
        <f>IF(CA32="","",IF('Release Calculations'!AG$297="Yes",IF(CA32=Conseq_VeryLow,Desc_VeryLow,IF(CA32=Conseq_Low,Desc_Low,IF(CA32=Conseq_Moderate,Desc_Moderate,IF(CA32=Conseq_High,Desc_High,IF(CA32=Conseq_VeryHigh,Desc_VeryHigh,IF(CA32=Conseq_ExtremeHigh,Desc_ExtremeHigh,Desc_GT_ExtremeHigh)))))),IF(CA32=Conseq_Low_Offsite,Desc_Low_Offsite,Desc_VeryLow_Offsite)))</f>
        <v/>
      </c>
      <c r="CO32" s="189" t="str">
        <f t="shared" si="73"/>
        <v/>
      </c>
      <c r="CP32" s="189" t="str">
        <f t="shared" si="74"/>
        <v/>
      </c>
      <c r="CQ32" s="189" t="str">
        <f t="shared" si="75"/>
        <v/>
      </c>
      <c r="CR32" s="189" t="str">
        <f>IF(CE32="","",IF(CE32=Conseq_VeryLow,Desc_VeryLow,IF(CE32=Conseq_Low,Desc_Low,IF(CE32=Conseq_Moderate,Desc_Moderate,IF(CE32=Conseq_High,Desc_High,IF(CE32=Conseq_VeryHigh,Desc_VeryHigh,IF(CE32=Conseq_ExtremeHigh,Desc_ExtremeHigh,Desc_GT_ExtremeHigh)))))))</f>
        <v/>
      </c>
      <c r="CS32" s="189" t="str">
        <f t="shared" si="59"/>
        <v/>
      </c>
      <c r="CT32" s="189" t="str">
        <f t="shared" si="68"/>
        <v/>
      </c>
      <c r="CU32" s="189" t="str">
        <f t="shared" si="69"/>
        <v/>
      </c>
      <c r="CV32" s="67"/>
      <c r="CW32" s="67"/>
      <c r="CX32" s="189" t="str">
        <f>IF(CK32="","",IF(CK32=Conseq_VeryLow,Desc_VeryLow_Environ,IF(CK32=Conseq_Low,Desc_Low_Environ,IF(CK32=Conseq_Moderate,Desc_Moderate_Environ,IF(CK32=Conseq_High,Desc_High_Environ,IF(CK32=Conseq_VeryHigh,Desc_VeryHigh_Environ,Desc_ExtremeHigh_Environ))))))</f>
        <v/>
      </c>
      <c r="CY32" s="40" t="s">
        <v>822</v>
      </c>
      <c r="CZ32" s="189" t="str">
        <f>IF(CA32="","",IF('Release Calculations'!AG$297="Yes"," at a "&amp;$AI$3&amp;" of "&amp;AI32&amp;" "&amp;AJ32&amp;" which exceeds Distance to the Fence Line of "&amp;Public_Input&amp;" "&amp;Public_Units))</f>
        <v/>
      </c>
      <c r="DA32" s="189" t="str">
        <f>IF(CB32="","",IF('Release Calculations'!$AG$305="Yes"," with operating personnel in close proximity and a "&amp;$AM$3&amp;" of "&amp;AM32&amp;" "&amp;AN32," at a "&amp;$AM$3&amp;" of "&amp;AM32&amp;" "&amp;AN32)&amp;IF('Release Calculations'!$AG$300&gt;Public," which exceeds Distance to the Fence Line of "&amp;Public_Input&amp;" "&amp;Public_Units&amp;".  Target Factor may be conservative",))</f>
        <v/>
      </c>
      <c r="DB32" s="226" t="str">
        <f>IF(CC32="","",IF('Release Calculations'!AG319="Yes","and Potential for Asphyxiation","")&amp;IF('Release Calculations'!AG$305="Yes"," with operations personnel in close proximity at an "&amp;$AZ$3&amp;" of "&amp;AZ32&amp;" ppm"," at an "&amp;$AZ$3&amp;" of "&amp;AZ32&amp;" ppm"))</f>
        <v/>
      </c>
      <c r="DC32" s="189" t="str">
        <f t="shared" si="70"/>
        <v/>
      </c>
      <c r="DD32" s="189" t="str">
        <f>IF(CE32="",""," of a "&amp;IF(Ease_of_Ignition_Feed="High","pyrophoric ","high/low temperature ")&amp;IF(Dermal_Tox_Feed&lt;&gt;"","or "&amp;Dermal_Tox_Feed,"")&amp;" chemical"&amp;IF('Release Calculations'!$AG$305="Yes"," with operating personnel in close proximity",""))</f>
        <v/>
      </c>
      <c r="DE32" s="189" t="str">
        <f>IF(CF32="","",IF('Release Calculations'!$AG$305="Yes"," with operating personnel in close proximity and a "&amp;$BF$3&amp;" of "&amp;BF32&amp;" "&amp;BG32," at a "&amp;$BF$3&amp;" of "&amp;BF32&amp;" "&amp;BG32))</f>
        <v/>
      </c>
      <c r="DF32" s="189" t="str">
        <f>IF(CG32="","",IF('Release Calculations'!AG$340="Yes"," with "&amp;$BR$3&amp;" of "&amp;BR32&amp;" "&amp;BS32&amp;IF('Release Calculations'!AG$349&lt;&gt;"Yes",""," including "&amp;$BT$3&amp;" of "&amp;BT32&amp;" psi.")&amp;" 1 psi Blast Overpresssure exceeds Distance to the Fence Line of "&amp;Public_Input&amp;" "&amp;Public_Units&amp;".  Consider potential for additinal Off-Site Impacts",IF('Release Calculations'!AG$349&lt;&gt;"Yes"," impacting on site personnel at a "&amp;$BR$3&amp;" of "&amp;BR32&amp;" "&amp;BS32," impacting on site personnel at a "&amp;$BR$3&amp;" of "&amp;BR32&amp;" "&amp;BS32&amp;" including "&amp;$BT$3&amp;" of "&amp;BT32&amp;" psi")))</f>
        <v/>
      </c>
      <c r="DG32" s="189" t="str">
        <f>IF(CH32="","",IF('Release Calculations'!AG$326="Yes"," with "&amp;$BR$3&amp;" of "&amp;BR32&amp;" "&amp;BS32&amp;IF('Release Calculations'!AG$331&lt;&gt;"Yes",""," including "&amp;$BT$3&amp;" of "&amp;BT32&amp;" psi.")&amp;"  1 psi Blast Overpresssure exceeds Distance to the Fence Line of "&amp;Public_Input&amp;" "&amp;Public_Units&amp;".  Consider adjustment for Off-Site Impacts",IF('Release Calculations'!AG$331&lt;&gt;"Yes"," impacting enclosed area operating personnel, on site personnel at a "&amp;$BR$3&amp;" of "&amp;BR32&amp;" "&amp;BS32," impacting enclosed area operating personnel, on site personnel at a "&amp;$BR$3&amp;" of "&amp;BR32&amp;" "&amp;BS32&amp;" including "&amp;$BT$3&amp;" of "&amp;BT32&amp;" psi")))</f>
        <v/>
      </c>
      <c r="DH32" s="67"/>
      <c r="DI32" s="67"/>
      <c r="DJ32" s="189" t="str">
        <f>IF('Release Calculations'!AZ431&gt;0,"Groundwater or Remediation Issue",IF('Release Calculations'!BB431&gt;0,"High Aqueous Toxicity",""))</f>
        <v/>
      </c>
      <c r="DK32" s="19" t="s">
        <v>822</v>
      </c>
      <c r="DL32" s="39"/>
      <c r="DM32" s="239">
        <f>'Release Calculations'!AG$380</f>
        <v>0</v>
      </c>
      <c r="DN32" s="239">
        <f>'Release Calculations'!AG$385</f>
        <v>0</v>
      </c>
      <c r="DO32" s="34"/>
      <c r="DP32" s="258">
        <f>'Release Calculations'!AG396</f>
        <v>0</v>
      </c>
      <c r="DQ32" s="239">
        <f>'Release Calculations'!AG$401</f>
        <v>0</v>
      </c>
      <c r="DR32" s="34"/>
      <c r="DS32" s="34"/>
      <c r="DT32" s="34"/>
      <c r="DU32" s="34"/>
      <c r="DV32" s="6"/>
      <c r="DW32" s="40"/>
      <c r="DX32" s="250"/>
      <c r="DY32" s="249" t="s">
        <v>2983</v>
      </c>
      <c r="DZ32" s="250" t="s">
        <v>292</v>
      </c>
      <c r="EA32" s="740"/>
      <c r="EB32" s="249" t="str">
        <f t="shared" si="76"/>
        <v>Probability of Exposure to Hot or Toxic Material</v>
      </c>
      <c r="EC32" s="249" t="s">
        <v>292</v>
      </c>
      <c r="ED32" s="248"/>
      <c r="EE32" s="248"/>
      <c r="EF32" s="248"/>
      <c r="EG32" s="248"/>
      <c r="EH32" s="248"/>
      <c r="EI32" s="19"/>
      <c r="EJ32" s="250"/>
      <c r="EK32" s="249" t="str">
        <f>IF(Attended_Op="Yes","Noted as Personnel Routinely in Immediate Area or Equipment Type involves Materials Handling - "&amp;IF('Release Calculations'!AG223*3600&lt;30," with a very Short Exposure Duration (&lt; 30 sec)","Time at Risk May Apply"),"Probability of Personnel to be in Close Proximity to Chemical Release based on Toxic Impact Area to "&amp;AM32&amp;" "&amp;AN32&amp;IF('Release Calculations'!AG379&lt;0.01," (with potential for higher POE credit upon further review)",""))</f>
        <v>Probability of Personnel to be in Close Proximity to Chemical Release based on Toxic Impact Area to 0 m (with potential for higher POE credit upon further review)</v>
      </c>
      <c r="EL32" s="250" t="str">
        <f>IF(Attended_Op="Yes","Noted as Personnel Routinely in Immediate Area or Equipment Type involves Materials Handling - Time at Risk May Apply","Probability of Personnel to be in Close Proximity to Chemical Release based on Ratio Enclosed Process Area Concentation of "&amp;AZ32&amp;" ppm to 10 ER-3 for "&amp;Chemical&amp;IF(Fract_Key_Chemical&lt;1," mixture "," ")&amp;IF('Release Calculations'!$AG$384&lt;0.01,"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32" s="248"/>
      <c r="EN32"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Calculations'!$AG$395&lt;0.01," (with potential for higher POE credit upon further review)",""))</f>
        <v>Probability of Personnel to be in Close Proximity to Chemical Release based on Spray Distance of 1 m (with potential for higher POE credit upon further review)</v>
      </c>
      <c r="EO32"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"&amp;AZ32&amp;" to "&amp;LFL_Fract_FlashFIre&amp;" LFL","Flammable Impact Area to "&amp;BF32&amp;" "&amp;BG32)&amp;IF('Release Calculations'!$AG$400&lt;0.01," (with potential for higher POE credit upon further review)",""))</f>
        <v>Probability of Personnel to be in Close Proximity to Chemical Release based on Flammable Impact Area to 0 m (with potential for higher POE credit upon further review)</v>
      </c>
      <c r="EP32" s="248"/>
      <c r="EQ32" s="248"/>
      <c r="ER32" s="248"/>
      <c r="ES32" s="248"/>
      <c r="ET32" s="248"/>
      <c r="EU32" s="19"/>
      <c r="EV32" s="1379"/>
      <c r="EW32" s="957">
        <f>'Release Calculations'!AG379</f>
        <v>6.0000000000000008E-7</v>
      </c>
      <c r="EX32" s="957">
        <f>'Release Calculations'!$AG$384</f>
        <v>0</v>
      </c>
      <c r="EY32" s="1380"/>
      <c r="EZ32" s="957">
        <f>'Release Calculations'!$AG$395</f>
        <v>0</v>
      </c>
      <c r="FA32" s="957">
        <f>'Release Calculations'!$AG$400</f>
        <v>0</v>
      </c>
      <c r="FB32" s="6"/>
      <c r="FC32" s="6"/>
      <c r="FD32" s="6"/>
      <c r="FE32" s="6"/>
      <c r="FF32" s="6"/>
      <c r="FG32" s="19"/>
      <c r="FH32" s="34"/>
      <c r="FI32" s="34"/>
      <c r="FJ32" s="34"/>
      <c r="FK32" s="739"/>
      <c r="FL32" s="34"/>
      <c r="FM32" s="239" t="str">
        <f>IF(Relief_Release="Outdoors",'Release Calculations'!AG$337,'Release Calculations'!AG$323)</f>
        <v/>
      </c>
      <c r="FN32" s="239" t="str">
        <f>'Release Calculations'!AG$338</f>
        <v/>
      </c>
      <c r="FO32" s="39" t="str">
        <f>IF(State&lt;&gt;"Solid",'Release Calculations'!AG$323,Dust_SecondExpl_POE)</f>
        <v/>
      </c>
      <c r="FP32" s="34"/>
      <c r="FQ32" s="34"/>
      <c r="FR32" s="6"/>
      <c r="FS32" s="40"/>
      <c r="FT32" s="248"/>
      <c r="FU32" s="248"/>
      <c r="FV32" s="248"/>
      <c r="FW32" s="741"/>
      <c r="FX32" s="248"/>
      <c r="FY32" s="249" t="s">
        <v>1461</v>
      </c>
      <c r="FZ32" s="249" t="s">
        <v>1460</v>
      </c>
      <c r="GA32" s="250" t="s">
        <v>1461</v>
      </c>
      <c r="GB32" s="248"/>
      <c r="GC32" s="248"/>
      <c r="GD32" s="248"/>
      <c r="GE32" s="19"/>
      <c r="GF32" s="248"/>
      <c r="GG32" s="248"/>
      <c r="GH32" s="248"/>
      <c r="GI32" s="741"/>
      <c r="GJ32" s="248"/>
      <c r="GK32" s="4"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"&amp;BP32&amp;" "&amp;BQ32&amp;" Easily Ignited Material with Distance to LFL of "&amp;BD32&amp;" "&amp;BE32,IF(Ease_of_Ignition_Feed="Low","Outdoor Release of Difficult to Ignite Material","Outdoor release of "&amp;BP32&amp;" "&amp;BQ32&amp;" Flammable Material with Distance to LFL of "&amp;BD32&amp;" "&amp;BE32)),IF(Ease_of_Ignition_Feed="Elevated","Indoor Release of Easily Ignited Material",IF(Ease_of_Ignition_Feed="Low","Indoor Release of Difficult to Ignite Material","Indoor Release of Flammable Material")))))))</f>
        <v>No Flash Point Entered</v>
      </c>
      <c r="GL32" s="2581" t="str">
        <f t="shared" si="71"/>
        <v>No Flash Point Entered</v>
      </c>
      <c r="GM32" s="250" t="str">
        <f t="shared" si="72"/>
        <v>Indoor Release of Flammable Material-POX</v>
      </c>
      <c r="GN32" s="248"/>
      <c r="GO32" s="248"/>
      <c r="GP32" s="248"/>
      <c r="GQ32" s="19"/>
      <c r="GR32" s="189" t="str">
        <f t="shared" si="35"/>
        <v/>
      </c>
      <c r="GS32" s="19"/>
      <c r="GT32" s="19"/>
      <c r="GU32" s="26"/>
      <c r="GV32" s="26"/>
      <c r="GW32" s="19"/>
      <c r="GX32" s="19"/>
      <c r="GY32" s="19"/>
      <c r="GZ32" s="19"/>
      <c r="HA32" s="19"/>
      <c r="HB32" s="19"/>
      <c r="HC32" s="19"/>
      <c r="HD32" s="19"/>
      <c r="HE32" s="19"/>
      <c r="HF32" s="19"/>
      <c r="HG32" s="19"/>
      <c r="HH32" s="19"/>
      <c r="HI32" s="19"/>
    </row>
    <row r="33" spans="1:220" s="5" customFormat="1" ht="12.75" customHeight="1" x14ac:dyDescent="0.25">
      <c r="A33" s="35"/>
      <c r="B33" s="64" t="str">
        <f>'Scenario Identification'!CL3</f>
        <v>Vent Release</v>
      </c>
      <c r="C33" s="1457" t="str">
        <f t="shared" si="10"/>
        <v/>
      </c>
      <c r="D33" s="65"/>
      <c r="E33" s="2483" t="str">
        <f>IF(MAX('Release Calculations'!AE441,1-'Release Calculations'!AE469,ABS(MIN('Release Calculations'!AE441,1-'Release Calculations'!AE469)))&gt;$E$4,"Yes","")</f>
        <v/>
      </c>
      <c r="F33" s="1418" t="s">
        <v>428</v>
      </c>
      <c r="G33" s="1434">
        <f t="shared" si="11"/>
        <v>0</v>
      </c>
      <c r="H33" s="1427" t="str">
        <f t="shared" si="31"/>
        <v>liter</v>
      </c>
      <c r="I33" s="1418"/>
      <c r="J33" s="1421"/>
      <c r="K33" s="1427">
        <f t="shared" si="57"/>
        <v>0</v>
      </c>
      <c r="L33" s="1434">
        <f>sig('Release Calculations'!$AE$16/$L$4,3,100,0)</f>
        <v>0</v>
      </c>
      <c r="M33" s="1435" t="str">
        <f t="shared" si="13"/>
        <v>kg</v>
      </c>
      <c r="N33" s="1432" t="str">
        <f t="shared" si="14"/>
        <v xml:space="preserve">Liquid:   ,  ,  ,  ,  </v>
      </c>
      <c r="O33" s="1434">
        <f>ROUND('Release Calculations'!$AE$430,0)</f>
        <v>0</v>
      </c>
      <c r="P33" s="1434">
        <f>ROUND('Release Calculations'!$AE$429/$P$4,2)</f>
        <v>0</v>
      </c>
      <c r="Q33" s="1446" t="str">
        <f t="shared" si="15"/>
        <v>bar</v>
      </c>
      <c r="R33" s="1434">
        <f>sig('Release Calculations'!$AE$23/$AG$4,3,10,0)</f>
        <v>0</v>
      </c>
      <c r="S33" s="1447" t="str">
        <f t="shared" si="16"/>
        <v>kg/min</v>
      </c>
      <c r="T33" s="1435">
        <f>ROUND('Release Calculations'!$AE$448/$T$4,0)</f>
        <v>60</v>
      </c>
      <c r="U33" s="1434">
        <f>ROUND(('Release Calculations'!$AE$448+'Release Calculations'!$AE$449)/$U$4,0)</f>
        <v>60</v>
      </c>
      <c r="V33" s="1434"/>
      <c r="W33" s="1435"/>
      <c r="X33" s="1438">
        <f>ROUND('Release Calculations'!AE$227,3)</f>
        <v>0</v>
      </c>
      <c r="Y33" s="1458" t="str">
        <f>IF('Release Calculations'!$AE$238="","",sig('Release Calculations'!$AE$238,3,1000,0))</f>
        <v/>
      </c>
      <c r="Z33" s="1458" t="str">
        <f>IF('Release Calculations'!$AE$244="","",sig('Release Calculations'!$AE$244,3,1000,0))</f>
        <v/>
      </c>
      <c r="AA33" s="1458" t="str">
        <f>IF('Release Calculations'!$AE$664="","",sig('Release Calculations'!$AE$664,3,1000,0))</f>
        <v/>
      </c>
      <c r="AB33" s="1458" t="str">
        <f>IF('Release Calculations'!$AE$671="","",sig('Release Calculations'!$AE$671,3,1000,0))</f>
        <v/>
      </c>
      <c r="AC33" s="1458" t="str">
        <f>IF('Release Calculations'!$AE$678="","",sig('Release Calculations'!$AE$678,3,1000,0))</f>
        <v/>
      </c>
      <c r="AD33" s="1196" t="str">
        <f>IF('Release Calculations'!$AE$657="","",ROUND('Release Calculations'!$AE$657,1))</f>
        <v/>
      </c>
      <c r="AE33" s="1434">
        <f>sig('Release Calculations'!$AE$70/$AE$4,3,100,0)</f>
        <v>0</v>
      </c>
      <c r="AF33" s="1435" t="str">
        <f t="shared" si="17"/>
        <v>kg</v>
      </c>
      <c r="AG33" s="1326">
        <f>sig('Release Calculations'!AE$89/$AG$4,3,10,3)</f>
        <v>0</v>
      </c>
      <c r="AH33" s="1435" t="str">
        <f t="shared" si="33"/>
        <v>kg/min</v>
      </c>
      <c r="AI33" s="1434">
        <f>sig('Release Calculations'!$AE$295/$AI$4,3,100,0)</f>
        <v>0</v>
      </c>
      <c r="AJ33" s="1435" t="str">
        <f t="shared" si="60"/>
        <v>m</v>
      </c>
      <c r="AK33" s="1434">
        <f>sig('Release Calculations'!$AE$298/$AK$4,3,100,0)</f>
        <v>0</v>
      </c>
      <c r="AL33" s="1435" t="str">
        <f t="shared" si="61"/>
        <v>m</v>
      </c>
      <c r="AM33" s="1434">
        <f>sig('Release Calculations'!$AE$300/$AM$4,3,100,0)</f>
        <v>0</v>
      </c>
      <c r="AN33" s="1435" t="str">
        <f t="shared" si="62"/>
        <v>m</v>
      </c>
      <c r="AO33" s="1434">
        <f>sig('Release Calculations'!$AE$301/$AO$4,3,100,0)</f>
        <v>0</v>
      </c>
      <c r="AP33" s="1452" t="str">
        <f t="shared" si="63"/>
        <v>m</v>
      </c>
      <c r="AQ33" s="1434">
        <f>sig('Release Calculations'!$AE$303/$AQ$4,3,100,0)</f>
        <v>0</v>
      </c>
      <c r="AR33" s="1452" t="str">
        <f t="shared" si="64"/>
        <v>m</v>
      </c>
      <c r="AS33" s="1452" t="str">
        <f t="shared" si="65"/>
        <v/>
      </c>
      <c r="AT33" s="1452" t="str">
        <f t="shared" si="66"/>
        <v/>
      </c>
      <c r="AU33" s="1452" t="str">
        <f t="shared" si="67"/>
        <v/>
      </c>
      <c r="AV33" s="114">
        <f>sig('Release Calculations'!$AE$310,3,1000,-1)</f>
        <v>0</v>
      </c>
      <c r="AW33" s="114">
        <f>sig('Release Calculations'!$AE$311,3,1000,-1)</f>
        <v>0</v>
      </c>
      <c r="AX33" s="114" t="str">
        <f>sig('Release Calculations'!$AE$312,3,1000,0)</f>
        <v/>
      </c>
      <c r="AY33" s="114" t="str">
        <f>sig('Release Calculations'!$AE$313,3,1000,0)</f>
        <v/>
      </c>
      <c r="AZ33" s="114">
        <f>sig('Release Calculations'!$AE$314,3,1000,-1)</f>
        <v>0</v>
      </c>
      <c r="BA33" s="114">
        <f>sig('Release Calculations'!$AE$315,3,1000,-1)</f>
        <v>0</v>
      </c>
      <c r="BB33" s="114" t="str">
        <f>sig('Release Calculations'!$AE$316,3,10,3)</f>
        <v/>
      </c>
      <c r="BC33" s="2576" t="str">
        <f>sig('Release Calculations'!$AE$317,3,10,3)</f>
        <v/>
      </c>
      <c r="BD33" s="2569">
        <f>sig('Release Calculations'!$AE$334/$BD$4,3,100,0)</f>
        <v>0</v>
      </c>
      <c r="BE33" s="1435" t="str">
        <f t="shared" si="34"/>
        <v>m</v>
      </c>
      <c r="BF33" s="2569">
        <f>sig('Release Calculations'!$AE$333/$BF$4,3,100,0)</f>
        <v>0</v>
      </c>
      <c r="BG33" s="1435" t="str">
        <f t="shared" si="34"/>
        <v>m</v>
      </c>
      <c r="BH33" s="1419"/>
      <c r="BI33" s="1422"/>
      <c r="BJ33" s="1419"/>
      <c r="BK33" s="1422"/>
      <c r="BL33" s="2573"/>
      <c r="BM33" s="2573"/>
      <c r="BN33" s="1441"/>
      <c r="BO33" s="1746"/>
      <c r="BP33" s="1503">
        <f>sig('Release Calculations'!$AE$90/$BP$4,3,10,1)</f>
        <v>0</v>
      </c>
      <c r="BQ33" s="1435" t="str">
        <f t="shared" si="58"/>
        <v>kg/min</v>
      </c>
      <c r="BR33" s="1434">
        <f>sig(IF(Relief_Release="Indoors",'Release Calculations'!$AE$325/$BR$4,'Release Calculations'!$AE$339/$BR$4),3,100,0)</f>
        <v>0</v>
      </c>
      <c r="BS33" s="1435" t="str">
        <f t="shared" si="25"/>
        <v>m</v>
      </c>
      <c r="BT33" s="1748">
        <f>ROUND(IF(Location="Indoors",'Release Calculations'!$AE$328,'Release Calculations'!$AE$342),1)</f>
        <v>0</v>
      </c>
      <c r="BU33" s="1748">
        <f>ROUND(IF(Location="Indoors",'Release Calculations'!$AE$330,'Release Calculations'!$AE$346),1)</f>
        <v>0</v>
      </c>
      <c r="BV33" s="1436"/>
      <c r="BW33" s="1442"/>
      <c r="BX33" s="262"/>
      <c r="BY33" s="262"/>
      <c r="BZ33" s="123"/>
      <c r="CA33" s="4" t="str">
        <f>IF(OR(Vent_Release="None",'Release Calculations'!AE$352="NA"),"",'Release Calculations'!AE$352)</f>
        <v/>
      </c>
      <c r="CB33" s="4" t="str">
        <f>IF(OR(Vent_Release="None",'Release Calculations'!AE$382="NA"),"",'Release Calculations'!AE$382)</f>
        <v/>
      </c>
      <c r="CC33" s="4" t="str">
        <f>IF('Release Calculations'!AE$387="NA","",'Release Calculations'!AE$387)</f>
        <v/>
      </c>
      <c r="CD33" s="735" t="str">
        <f>IF('Release Calculations'!AE$392="NA","",'Release Calculations'!AE$392)</f>
        <v/>
      </c>
      <c r="CE33" s="4" t="str">
        <f>IF('Release Calculations'!AE$398="NA","",'Release Calculations'!AE$398)</f>
        <v/>
      </c>
      <c r="CF33" s="4" t="str">
        <f>IF(OR(Vent_Release="None",'Release Calculations'!AE$403="NA"),"",'Release Calculations'!AE$403)</f>
        <v/>
      </c>
      <c r="CG33" s="4" t="str">
        <f>IF(OR(Vent_Release="None",'Release Calculations'!AE$423="NA"),"",'Release Calculations'!AE$423)</f>
        <v/>
      </c>
      <c r="CH33" s="4" t="str">
        <f>IF(OR(Vent_Release="None",'Release Calculations'!AE$413="NA"),"",'Release Calculations'!AE$413)</f>
        <v/>
      </c>
      <c r="CI33" s="4"/>
      <c r="CJ33" s="4"/>
      <c r="CK33" s="4" t="str">
        <f>IF('Release Calculations'!BD434="NA","",'Release Calculations'!BD434)</f>
        <v/>
      </c>
      <c r="CL33" s="19"/>
      <c r="CM33" s="19"/>
      <c r="CN33" s="189" t="str">
        <f>IF(CA33="","",IF('Release Calculations'!AE$297="Yes",IF(CA33=Conseq_VeryLow,Desc_VeryLow,IF(CA33=Conseq_Low,Desc_Low,IF(CA33=Conseq_Moderate,Desc_Moderate,IF(CA33=Conseq_High,Desc_High,IF(CA33=Conseq_VeryHigh,Desc_VeryHigh,IF(CA33=Conseq_ExtremeHigh,Desc_ExtremeHigh,Desc_GT_ExtremeHigh)))))),IF(CA33=Conseq_Low_Offsite,Desc_Low_Offsite,Desc_VeryLow_Offsite)))</f>
        <v/>
      </c>
      <c r="CO33" s="189" t="str">
        <f t="shared" si="73"/>
        <v/>
      </c>
      <c r="CP33" s="189" t="str">
        <f t="shared" si="74"/>
        <v/>
      </c>
      <c r="CQ33" s="189" t="str">
        <f t="shared" si="75"/>
        <v/>
      </c>
      <c r="CR33" s="189" t="str">
        <f>IF(CE33="","",IF(CE33=Conseq_VeryLow,Desc_VeryLow,IF(CE33=Conseq_Low,Desc_Low,IF(CE33=Conseq_Moderate,Desc_Moderate,IF(CE33=Conseq_High,Desc_High,IF(CE33=Conseq_VeryHigh,Desc_VeryHigh,IF(CE33=Conseq_ExtremeHigh,Desc_ExtremeHigh,Desc_GT_ExtremeHigh)))))))</f>
        <v/>
      </c>
      <c r="CS33" s="189" t="str">
        <f t="shared" si="59"/>
        <v/>
      </c>
      <c r="CT33" s="189" t="str">
        <f t="shared" si="68"/>
        <v/>
      </c>
      <c r="CU33" s="189" t="str">
        <f t="shared" si="69"/>
        <v/>
      </c>
      <c r="CV33" s="67"/>
      <c r="CW33" s="67"/>
      <c r="CX33" s="67"/>
      <c r="CY33" s="40" t="s">
        <v>822</v>
      </c>
      <c r="CZ33" s="189" t="str">
        <f>IF(CA33="","",IF('Release Calculations'!AE$297="Yes"," at a "&amp;$AI$3&amp;" of "&amp;AI33&amp;" "&amp;AJ33&amp;" which exceeds Distance to the Fence Line of "&amp;Public_Input&amp;" "&amp;Public_Units))</f>
        <v/>
      </c>
      <c r="DA33" s="189" t="str">
        <f>IF(CB33="","",IF('Release Calculations'!$AE$305="Yes"," with operating personnel in close proximity and a "&amp;$AM$3&amp;" of "&amp;AM33&amp;" "&amp;AN33," at a "&amp;$AM$3&amp;" of "&amp;AM33&amp;" "&amp;AN33)&amp;IF('Release Calculations'!$AE$300&gt;Public," which exceeds Distance to the Fence Line of "&amp;Public_Input&amp;" "&amp;Public_Units&amp;".  Target Factor may be conservative",))</f>
        <v/>
      </c>
      <c r="DB33" s="226" t="str">
        <f>IF(CC33="","",IF('Release Calculations'!AE319="Yes","and Potential for Asphyxiation","")&amp;IF('Release Calculations'!AE$305="Yes"," with operations personnel in close proximity at an "&amp;$AZ$3&amp;" of "&amp;AZ33&amp;" ppm"," at an "&amp;$AZ$3&amp;" of "&amp;AZ33&amp;" ppm"))</f>
        <v/>
      </c>
      <c r="DC33" s="189" t="str">
        <f t="shared" si="70"/>
        <v/>
      </c>
      <c r="DD33" s="189" t="str">
        <f>IF(CE33="",""," of a "&amp;IF(Ease_of_Ignition_Feed="High","pyrophoric ","high/low temperature ")&amp;IF(Dermal_Tox_Feed&lt;&gt;"","or "&amp;Dermal_Tox_Feed,"")&amp;" chemical"&amp;IF('Release Calculations'!$AE$305="Yes"," with operating personnel in close proximity",""))</f>
        <v/>
      </c>
      <c r="DE33" s="189" t="str">
        <f>IF(CF33="","",IF('Release Calculations'!$AE$305="Yes"," with operating personnel in close proximity and a "&amp;$BF$3&amp;" of "&amp;BF33&amp;" "&amp;BG33," at a "&amp;$BF$3&amp;" of "&amp;BF33&amp;" "&amp;BG33))</f>
        <v/>
      </c>
      <c r="DF33" s="189" t="str">
        <f>IF(CG33="","",IF('Release Calculations'!AE$340="Yes"," with "&amp;$BR$3&amp;" of "&amp;BR33&amp;" "&amp;BS33&amp;IF('Release Calculations'!AE$349&lt;&gt;"Yes",""," including "&amp;$BT$3&amp;" of "&amp;BT33&amp;" psi.")&amp;" 1 psi Blast Overpresssure exceeds Distance to the Fence Line of "&amp;Public_Input&amp;" "&amp;Public_Units&amp;".  Consider adjustment for Off-Site Impacts",IF('Release Calculations'!AE$349&lt;&gt;"Yes"," impacting on site personnel at a "&amp;$BR$3&amp;" of "&amp;BR33&amp;" "&amp;BS33," impacting on site personnel at a "&amp;$BR$3&amp;" of "&amp;BR33&amp;" "&amp;BS33&amp;" including "&amp;$BT$3&amp;" of "&amp;BT33&amp;" psi")))</f>
        <v/>
      </c>
      <c r="DG33" s="189" t="str">
        <f>IF(CH33="","",IF('Release Calculations'!AE$326="Yes"," with "&amp;$BR$3&amp;" of "&amp;BR33&amp;" "&amp;BS33&amp;IF('Release Calculations'!AE$331&lt;&gt;"Yes",""," including "&amp;$BT$3&amp;" of "&amp;BT33&amp;" psi.")&amp;"  1 psi Blast Overpresssure exceeds Distance to the Fence Line of "&amp;Public_Input&amp;" "&amp;Public_Units&amp;".  Consider adjustment for Off-Site Impacts",IF('Release Calculations'!AE$331&lt;&gt;"Yes"," impacting enclosed area operating personnel, on site personnel at a "&amp;$BR$3&amp;" of "&amp;BR33&amp;" "&amp;BS33," impacting enclosed area operating personnel, on site personnel at a "&amp;$BR$3&amp;" of "&amp;BR33&amp;" "&amp;BS33&amp;" including "&amp;$BT$3&amp;" of "&amp;BT33&amp;" psi")))</f>
        <v/>
      </c>
      <c r="DH33" s="67"/>
      <c r="DI33" s="67"/>
      <c r="DJ33" s="67"/>
      <c r="DK33" s="19" t="s">
        <v>822</v>
      </c>
      <c r="DL33" s="39"/>
      <c r="DM33" s="239">
        <f>'Release Calculations'!AE380</f>
        <v>0</v>
      </c>
      <c r="DN33" s="239">
        <f>'Release Calculations'!AE$385</f>
        <v>0</v>
      </c>
      <c r="DO33" s="34"/>
      <c r="DP33" s="258">
        <f>'Release Calculations'!AE396</f>
        <v>0</v>
      </c>
      <c r="DQ33" s="239">
        <f>'Release Calculations'!AE401</f>
        <v>0</v>
      </c>
      <c r="DR33" s="34"/>
      <c r="DS33" s="34"/>
      <c r="DT33" s="34"/>
      <c r="DU33" s="34"/>
      <c r="DV33" s="6"/>
      <c r="DW33" s="40"/>
      <c r="DX33" s="250"/>
      <c r="DY33" s="249" t="s">
        <v>2983</v>
      </c>
      <c r="DZ33" s="250" t="s">
        <v>292</v>
      </c>
      <c r="EA33" s="740"/>
      <c r="EB33" s="249" t="str">
        <f t="shared" si="76"/>
        <v>Probability of Exposure to Hot or Toxic Material</v>
      </c>
      <c r="EC33" s="249" t="s">
        <v>292</v>
      </c>
      <c r="ED33" s="248"/>
      <c r="EE33" s="248"/>
      <c r="EF33" s="248"/>
      <c r="EG33" s="248"/>
      <c r="EH33" s="248"/>
      <c r="EI33" s="19"/>
      <c r="EJ33" s="250"/>
      <c r="EK33" s="249" t="str">
        <f>IF(Attended_Op="Yes","Noted as Personnel Routinely in Immediate Area or Equipment Type involves Materials Handling - "&amp;IF('Release Calculations'!AE613*3600&lt;30," with a very Short Exposure Duration (&lt; 30 sec)","Time at Risk May Apply"),"Probability of Personnel to be in Close Proximity to Chemical Release based on Toxic Impact Area to "&amp;AM33&amp;" "&amp;AN33&amp;IF('Release Calculations'!AE776&lt;0.01," (with potential for higher POE credit upon further review)",""))</f>
        <v>Probability of Personnel to be in Close Proximity to Chemical Release based on Toxic Impact Area to 0 m (with potential for higher POE credit upon further review)</v>
      </c>
      <c r="EL33" s="250" t="str">
        <f>IF(Attended_Op="Yes","Noted as Personnel Routinely in Immediate Area or Equipment Type involves Materials Handling - Time at Risk May Apply","Probability of Personnel to be in Close Proximity to Chemical Release based on Ratio Enclosed Process Area Concentation of "&amp;AZ33&amp;" ppm to 10 ER-3 for "&amp;Chemical&amp;IF(Fract_Key_Chemical&lt;1," mixture "," ")&amp;IF('Release Calculations'!$AE$781&lt;0.01,"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33" s="248"/>
      <c r="EN33" s="248"/>
      <c r="EO33"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"&amp;AZ33&amp;" to "&amp;LFL_Fract_FlashFIre&amp;" LFL","Flammable Impact Area to "&amp;BF33&amp;" "&amp;BG33)&amp;IF('Release Calculations'!$AE$791&lt;0.01," (with potential for higher POE credit upon further review)",""))</f>
        <v>Probability of Personnel to be in Close Proximity to Chemical Release based on Flammable Impact Area to 0 m (with potential for higher POE credit upon further review)</v>
      </c>
      <c r="EP33" s="248"/>
      <c r="EQ33" s="248"/>
      <c r="ER33" s="248"/>
      <c r="ES33" s="248"/>
      <c r="ET33" s="248"/>
      <c r="EU33" s="19"/>
      <c r="EV33" s="1379"/>
      <c r="EW33" s="957">
        <f>'Release Calculations'!AE776</f>
        <v>6.0000000000000008E-7</v>
      </c>
      <c r="EX33" s="957">
        <f>'Release Calculations'!$AE$781</f>
        <v>0</v>
      </c>
      <c r="EY33" s="1380"/>
      <c r="EZ33" s="1380"/>
      <c r="FA33" s="957">
        <f>'Release Calculations'!$AE$791</f>
        <v>0</v>
      </c>
      <c r="FB33" s="6"/>
      <c r="FC33" s="6"/>
      <c r="FD33" s="6"/>
      <c r="FE33" s="6"/>
      <c r="FF33" s="6"/>
      <c r="FG33" s="19"/>
      <c r="FH33" s="34"/>
      <c r="FI33" s="34"/>
      <c r="FJ33" s="34"/>
      <c r="FK33" s="739"/>
      <c r="FL33" s="34"/>
      <c r="FM33" s="239" t="str">
        <f>IF(Vent_Release="Outdoors",'Release Calculations'!AE$337,'Release Calculations'!AE$323)</f>
        <v/>
      </c>
      <c r="FN33" s="239" t="str">
        <f>'Release Calculations'!AE$338</f>
        <v/>
      </c>
      <c r="FO33" s="39" t="str">
        <f>IF(State&lt;&gt;"Solid",'Release Calculations'!AE$323,Dust_SecondExpl_POE)</f>
        <v/>
      </c>
      <c r="FP33" s="34"/>
      <c r="FQ33" s="34"/>
      <c r="FR33" s="6"/>
      <c r="FS33" s="40"/>
      <c r="FT33" s="248"/>
      <c r="FU33" s="248"/>
      <c r="FV33" s="248"/>
      <c r="FW33" s="741"/>
      <c r="FX33" s="248"/>
      <c r="FY33" s="249" t="s">
        <v>1461</v>
      </c>
      <c r="FZ33" s="249" t="s">
        <v>1460</v>
      </c>
      <c r="GA33" s="250" t="s">
        <v>1461</v>
      </c>
      <c r="GB33" s="248"/>
      <c r="GC33" s="248"/>
      <c r="GD33" s="248"/>
      <c r="GE33" s="19"/>
      <c r="GF33" s="248"/>
      <c r="GG33" s="248"/>
      <c r="GH33" s="248"/>
      <c r="GI33" s="741"/>
      <c r="GJ33" s="248"/>
      <c r="GK33" s="4"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Entered",IF(Ease_of_Ignition_Feed="Elevated","Outdoor Release of "&amp;BP33&amp;" "&amp;BQ33&amp;" Easily Ignited Material with Distance to LFL of "&amp;BD33&amp;" "&amp;BE33,IF(Ease_of_Ignition_Feed="Low","Outdoor Release of Difficult to Ignite Material","Outdoor release of "&amp;BP33&amp;" "&amp;BQ33&amp;" Flammable Material with Distance to LFL of "&amp;BD33&amp;" "&amp;BE33))))))</f>
        <v>No Flash Point Entered</v>
      </c>
      <c r="GL33" s="2581" t="str">
        <f t="shared" si="71"/>
        <v>No Flash Point Entered</v>
      </c>
      <c r="GM33" s="250" t="str">
        <f t="shared" si="72"/>
        <v>Indoor Release of Flammable Material-POX</v>
      </c>
      <c r="GN33" s="248"/>
      <c r="GO33" s="248"/>
      <c r="GP33" s="248"/>
      <c r="GQ33" s="19"/>
      <c r="GR33" s="189" t="str">
        <f t="shared" si="35"/>
        <v/>
      </c>
      <c r="GS33" s="19"/>
      <c r="GT33" s="19"/>
      <c r="GU33" s="26"/>
      <c r="GV33" s="26"/>
      <c r="GW33" s="19"/>
      <c r="GX33" s="19"/>
      <c r="GY33" s="19"/>
      <c r="GZ33" s="19"/>
      <c r="HA33" s="19"/>
      <c r="HB33" s="19"/>
      <c r="HC33" s="19"/>
      <c r="HD33" s="19"/>
      <c r="HE33" s="19"/>
      <c r="HF33" s="19"/>
      <c r="HG33" s="19"/>
      <c r="HH33" s="19"/>
      <c r="HI33" s="19"/>
    </row>
    <row r="34" spans="1:220" s="5" customFormat="1" ht="12.75" customHeight="1" x14ac:dyDescent="0.25">
      <c r="A34" s="35"/>
      <c r="B34" s="64" t="str">
        <f>'Scenario Identification'!CM3</f>
        <v>Tube Hole Size Leak (Process Fluid)</v>
      </c>
      <c r="C34" s="1457" t="str">
        <f t="shared" si="10"/>
        <v/>
      </c>
      <c r="D34" s="65"/>
      <c r="E34" s="2483" t="str">
        <f>IF(MAX('Release Calculations'!AM35,'Release Calculations'!AM43,'Release Calculations'!AM62,1-'Release Calculations'!AM82,ABS(MIN('Release Calculations'!AM35,'Release Calculations'!AM43,'Release Calculations'!AM62,1-'Release Calculations'!AM82)))&gt;$E$4,"Yes","")</f>
        <v/>
      </c>
      <c r="F34" s="1418" t="s">
        <v>428</v>
      </c>
      <c r="G34" s="1434">
        <f t="shared" si="11"/>
        <v>0</v>
      </c>
      <c r="H34" s="1427" t="str">
        <f t="shared" si="31"/>
        <v>liter</v>
      </c>
      <c r="I34" s="1418">
        <f>ROUND('Release Calculations'!AM7/$I$4,2)</f>
        <v>12.7</v>
      </c>
      <c r="J34" s="1421" t="str">
        <f>IF(Report_H&lt;&gt;"",Report_H,D_Units)</f>
        <v>mm</v>
      </c>
      <c r="K34" s="1427">
        <f t="shared" si="57"/>
        <v>0</v>
      </c>
      <c r="L34" s="1434">
        <f>sig('Release Calculations'!$AM$16/$L$4,3,100,0)</f>
        <v>0</v>
      </c>
      <c r="M34" s="1435" t="str">
        <f t="shared" si="13"/>
        <v>kg</v>
      </c>
      <c r="N34" s="1432" t="str">
        <f t="shared" si="14"/>
        <v xml:space="preserve">Liquid:   ,  ,  ,  ,  </v>
      </c>
      <c r="O34" s="1434">
        <f>ROUND('Release Calculations'!$AM$9,0)</f>
        <v>0</v>
      </c>
      <c r="P34" s="1434">
        <f>ROUND('Release Calculations'!$AM$8/$P$4,2)</f>
        <v>0</v>
      </c>
      <c r="Q34" s="1446" t="str">
        <f t="shared" si="15"/>
        <v>bar</v>
      </c>
      <c r="R34" s="1434">
        <f>sig('Release Calculations'!$AM$23/$AG$4,3,10,0)</f>
        <v>0</v>
      </c>
      <c r="S34" s="1447" t="str">
        <f t="shared" si="16"/>
        <v>kg/min</v>
      </c>
      <c r="T34" s="1435">
        <f>ROUND('Release Calculations'!$AM$13/$T$4,0)</f>
        <v>0</v>
      </c>
      <c r="U34" s="1434">
        <f>ROUND(('Release Calculations'!$AM$13+'Release Calculations'!$AM$14)/$U$4,0)</f>
        <v>0</v>
      </c>
      <c r="V34" s="1434">
        <f>sig('Release Calculations'!$AM$55/$V$4,3,100,0)</f>
        <v>0</v>
      </c>
      <c r="W34" s="1435" t="str">
        <f>IF(Report_A&lt;&gt;"",Report_A,IF(Dike_Area_Units="","sq m",Dike_Area_Units))</f>
        <v>sq m</v>
      </c>
      <c r="X34" s="1438">
        <f>ROUND('Release Calculations'!AM$227,3)</f>
        <v>0</v>
      </c>
      <c r="Y34" s="1458" t="str">
        <f>IF('Release Calculations'!$AM$238="","",sig('Release Calculations'!$AM$238,3,1000,0))</f>
        <v/>
      </c>
      <c r="Z34" s="1458" t="str">
        <f>IF('Release Calculations'!$AM$244="","",sig('Release Calculations'!$AM$244,3,1000,0))</f>
        <v/>
      </c>
      <c r="AA34" s="1458" t="str">
        <f>IF('Release Calculations'!$AM$268="","",sig('Release Calculations'!$AM$268,3,1000,0))</f>
        <v/>
      </c>
      <c r="AB34" s="1458" t="str">
        <f>IF('Release Calculations'!$AM$274="","",sig('Release Calculations'!$AM$274,3,1000,0))</f>
        <v/>
      </c>
      <c r="AC34" s="1458" t="str">
        <f>IF('Release Calculations'!$AM$280="","",sig('Release Calculations'!$AM$280,3,1000,0))</f>
        <v/>
      </c>
      <c r="AD34" s="1196" t="str">
        <f>IF('Release Calculations'!$AM$262="","",ROUND('Release Calculations'!$AM$262,1))</f>
        <v/>
      </c>
      <c r="AE34" s="1434">
        <f>sig('Release Calculations'!$AM$70/$AE$4,3,100,0)</f>
        <v>0</v>
      </c>
      <c r="AF34" s="1435" t="str">
        <f t="shared" si="17"/>
        <v>kg</v>
      </c>
      <c r="AG34" s="1326">
        <f>sig('Release Calculations'!AM$89/$AG$4,3,10,3)</f>
        <v>0</v>
      </c>
      <c r="AH34" s="1435" t="str">
        <f t="shared" si="33"/>
        <v>kg/min</v>
      </c>
      <c r="AI34" s="1434">
        <f>sig('Release Calculations'!$AM$295/$AI$4,3,100,0)</f>
        <v>0</v>
      </c>
      <c r="AJ34" s="1435" t="str">
        <f t="shared" si="60"/>
        <v>m</v>
      </c>
      <c r="AK34" s="1434">
        <f>sig('Release Calculations'!$AM$298/$AK$4,3,100,0)</f>
        <v>0</v>
      </c>
      <c r="AL34" s="1435" t="str">
        <f t="shared" si="61"/>
        <v>m</v>
      </c>
      <c r="AM34" s="1434">
        <f>sig('Release Calculations'!$AM$300/$AM$4,3,100,0)</f>
        <v>0</v>
      </c>
      <c r="AN34" s="1435" t="str">
        <f t="shared" si="62"/>
        <v>m</v>
      </c>
      <c r="AO34" s="1434">
        <f>sig('Release Calculations'!$AM$301/$AO$4,3,100,0)</f>
        <v>0</v>
      </c>
      <c r="AP34" s="1452" t="str">
        <f t="shared" si="63"/>
        <v>m</v>
      </c>
      <c r="AQ34" s="1434">
        <f>sig('Release Calculations'!$AM$303/$AQ$4,3,100,0)</f>
        <v>0</v>
      </c>
      <c r="AR34" s="1452" t="str">
        <f t="shared" si="64"/>
        <v>m</v>
      </c>
      <c r="AS34" s="1452" t="str">
        <f t="shared" si="65"/>
        <v/>
      </c>
      <c r="AT34" s="1452" t="str">
        <f t="shared" si="66"/>
        <v/>
      </c>
      <c r="AU34" s="1452" t="str">
        <f t="shared" si="67"/>
        <v/>
      </c>
      <c r="AV34" s="114">
        <f>sig('Release Calculations'!$AM$310,3,1000,-1)</f>
        <v>0</v>
      </c>
      <c r="AW34" s="114">
        <f>sig('Release Calculations'!$AM$311,3,1000,-1)</f>
        <v>0</v>
      </c>
      <c r="AX34" s="114" t="str">
        <f>sig('Release Calculations'!$AM$312,3,1000,0)</f>
        <v/>
      </c>
      <c r="AY34" s="114" t="str">
        <f>sig('Release Calculations'!$AM$313,3,1000,0)</f>
        <v/>
      </c>
      <c r="AZ34" s="114">
        <f>sig('Release Calculations'!$AM$314,3,1000,-1)</f>
        <v>0</v>
      </c>
      <c r="BA34" s="114">
        <f>sig('Release Calculations'!$AM$315,3,1000,-1)</f>
        <v>0</v>
      </c>
      <c r="BB34" s="114" t="str">
        <f>sig('Release Calculations'!$AM$316,3,10,3)</f>
        <v/>
      </c>
      <c r="BC34" s="2576" t="str">
        <f>sig('Release Calculations'!$AM$317,3,10,3)</f>
        <v/>
      </c>
      <c r="BD34" s="2569">
        <f>sig('Release Calculations'!$AM$334/$BD$4,3,100,0)</f>
        <v>0</v>
      </c>
      <c r="BE34" s="1435" t="str">
        <f t="shared" si="34"/>
        <v>m</v>
      </c>
      <c r="BF34" s="2569">
        <f>sig('Release Calculations'!$AM$333/$BF$4,3,100,0)</f>
        <v>0</v>
      </c>
      <c r="BG34" s="1435" t="str">
        <f t="shared" si="34"/>
        <v>m</v>
      </c>
      <c r="BH34" s="1419"/>
      <c r="BI34" s="1422"/>
      <c r="BJ34" s="1419"/>
      <c r="BK34" s="1422"/>
      <c r="BL34" s="2573"/>
      <c r="BM34" s="2573"/>
      <c r="BN34" s="1441"/>
      <c r="BO34" s="1746"/>
      <c r="BP34" s="1503">
        <f>sig('Release Calculations'!$AM$90/$BP$4,3,10,1)</f>
        <v>0</v>
      </c>
      <c r="BQ34" s="1435" t="str">
        <f t="shared" si="58"/>
        <v>kg/min</v>
      </c>
      <c r="BR34" s="1434">
        <f>sig(IF(Relief_Release="Indoors",'Release Calculations'!$AM$325/$BR$4,'Release Calculations'!$AM$339/$BR$4),3,100,0)</f>
        <v>0</v>
      </c>
      <c r="BS34" s="1435" t="str">
        <f t="shared" si="25"/>
        <v>m</v>
      </c>
      <c r="BT34" s="1748">
        <f>ROUND(IF(Location="Indoors",'Release Calculations'!$AM$328,'Release Calculations'!$AM$342),1)</f>
        <v>0</v>
      </c>
      <c r="BU34" s="1748">
        <f>ROUND(IF(Location="Indoors",'Release Calculations'!$AM$330,'Release Calculations'!$AM$346),1)</f>
        <v>0</v>
      </c>
      <c r="BV34" s="1436"/>
      <c r="BW34" s="1442"/>
      <c r="BX34" s="262"/>
      <c r="BY34" s="262"/>
      <c r="BZ34" s="123"/>
      <c r="CA34" s="4" t="str">
        <f>IF('Release Calculations'!AM$352="NA","",'Release Calculations'!AM$352)</f>
        <v/>
      </c>
      <c r="CB34" s="4" t="str">
        <f>IF('Release Calculations'!AM$382="NA","",'Release Calculations'!AM$382)</f>
        <v/>
      </c>
      <c r="CC34" s="4" t="str">
        <f>IF('Release Calculations'!AM$387="NA","",'Release Calculations'!AM$387)</f>
        <v/>
      </c>
      <c r="CD34" s="735" t="str">
        <f>IF('Release Calculations'!AM$392="NA","",'Release Calculations'!AM$392)</f>
        <v/>
      </c>
      <c r="CE34" s="4" t="str">
        <f>IF('Release Calculations'!AM$398="NA","",'Release Calculations'!AM$398)</f>
        <v/>
      </c>
      <c r="CF34" s="4" t="str">
        <f>IF('Release Calculations'!AM$403="NA","",'Release Calculations'!AM$403)</f>
        <v/>
      </c>
      <c r="CG34" s="4" t="str">
        <f>IF('Release Calculations'!AM$423="NA","",'Release Calculations'!AM$423)</f>
        <v/>
      </c>
      <c r="CH34" s="4" t="str">
        <f>IF('Release Calculations'!AM$413="NA","",'Release Calculations'!AM$413)</f>
        <v/>
      </c>
      <c r="CI34" s="4"/>
      <c r="CJ34" s="4"/>
      <c r="CK34" s="4" t="str">
        <f>IF('Release Calculations'!BD432="NA","",'Release Calculations'!BD432)</f>
        <v/>
      </c>
      <c r="CL34" s="19"/>
      <c r="CM34" s="19"/>
      <c r="CN34" s="189" t="str">
        <f>IF(CA34="","",IF('Release Calculations'!AM$297="Yes",IF(CA34=Conseq_VeryLow,Desc_VeryLow,IF(CA34=Conseq_Low,Desc_Low,IF(CA34=Conseq_Moderate,Desc_Moderate,IF(CA34=Conseq_High,Desc_High,IF(CA34=Conseq_VeryHigh,Desc_VeryHigh,IF(CA34=Conseq_ExtremeHigh,Desc_ExtremeHigh,Desc_GT_ExtremeHigh)))))),IF(CA34=Conseq_Low_Offsite,Desc_Low_Offsite,Desc_VeryLow_Offsite)))</f>
        <v/>
      </c>
      <c r="CO34" s="189" t="str">
        <f t="shared" si="73"/>
        <v/>
      </c>
      <c r="CP34" s="189" t="str">
        <f t="shared" si="74"/>
        <v/>
      </c>
      <c r="CQ34" s="189" t="str">
        <f t="shared" si="75"/>
        <v/>
      </c>
      <c r="CR34" s="189" t="str">
        <f>IF(CE34="","",IF(CE34=Conseq_VeryLow,Desc_VeryLow,IF(CE34=Conseq_Low,Desc_Low,IF(CE34=Conseq_Moderate,Desc_Moderate,IF(CE34=Conseq_High,Desc_High,IF(CE34=Conseq_VeryHigh,Desc_VeryHigh,IF(CE34=Conseq_ExtremeHigh,Desc_ExtremeHigh,Desc_GT_ExtremeHigh)))))))</f>
        <v/>
      </c>
      <c r="CS34" s="189" t="str">
        <f t="shared" si="59"/>
        <v/>
      </c>
      <c r="CT34" s="189" t="str">
        <f t="shared" si="68"/>
        <v/>
      </c>
      <c r="CU34" s="189" t="str">
        <f t="shared" si="69"/>
        <v/>
      </c>
      <c r="CV34" s="67"/>
      <c r="CW34" s="67"/>
      <c r="CX34" s="189" t="str">
        <f>IF(CK34="","",IF(CK34=Conseq_VeryLow,Desc_VeryLow_Environ,IF(CK34=Conseq_Low,Desc_Low_Environ,IF(CK34=Conseq_Moderate,Desc_Moderate_Environ,IF(CK34=Conseq_High,Desc_High_Environ,IF(CK34=Conseq_VeryHigh,Desc_VeryHigh_Environ,Desc_ExtremeHigh_Environ))))))</f>
        <v/>
      </c>
      <c r="CY34" s="40" t="s">
        <v>822</v>
      </c>
      <c r="CZ34" s="189" t="str">
        <f>IF(CA34="","",IF('Release Calculations'!AM$297="Yes"," at a "&amp;$AI$3&amp;" of "&amp;AI34&amp;" "&amp;AJ34&amp;" which exceeds Distance to the Fence Line of "&amp;Public_Input&amp;" "&amp;Public_Units))</f>
        <v/>
      </c>
      <c r="DA34" s="189" t="str">
        <f>IF(CB34="","",IF('Release Calculations'!$AM$305="Yes"," with operating personnel in close proximity and a "&amp;$AM$3&amp;" of "&amp;AM34&amp;" "&amp;AN34," at a "&amp;$AM$3&amp;" of "&amp;AM34&amp;" "&amp;AN34)&amp;IF('Release Calculations'!$AM$300&gt;Public," which exceeds Distance to the Fence Line of "&amp;Public_Input&amp;" "&amp;Public_Units&amp;".  Target Factor may be conservative",))</f>
        <v/>
      </c>
      <c r="DB34" s="226" t="str">
        <f>IF(CC34="","",IF('Release Calculations'!AM319="Yes","and Potential for Asphyxiation","")&amp;IF('Release Calculations'!AM$305="Yes"," with operations personnel in close proximity at an "&amp;$AZ$3&amp;" of "&amp;AZ34&amp;" ppm"," at an "&amp;$AZ$3&amp;" of "&amp;AZ34&amp;" ppm"))</f>
        <v/>
      </c>
      <c r="DC34" s="189" t="str">
        <f t="shared" si="70"/>
        <v/>
      </c>
      <c r="DD34" s="189" t="str">
        <f>IF(CE34="",""," of a "&amp;IF(Ease_of_Ignition_Feed="High","pyrophoric ","high/low temperature ")&amp;IF(Dermal_Tox_Feed&lt;&gt;"","or "&amp;Dermal_Tox_Feed,"")&amp;" chemical"&amp;IF('Release Calculations'!$AM$305="Yes"," with operating personnel in close proximity",""))</f>
        <v/>
      </c>
      <c r="DE34" s="189" t="str">
        <f>IF(CF34="","",IF('Release Calculations'!$AM$305="Yes"," with operating personnel in close proximity and a "&amp;$BF$3&amp;" of "&amp;BF34&amp;" "&amp;BG34," at a "&amp;$BF$3&amp;" of "&amp;BF34&amp;" "&amp;BG34))</f>
        <v/>
      </c>
      <c r="DF34" s="189" t="str">
        <f>IF(CG34="","",IF('Release Calculations'!AM$340="Yes"," with "&amp;$BR$3&amp;" of "&amp;BR34&amp;" "&amp;BS34&amp;IF('Release Calculations'!AM$349&lt;&gt;"Yes",""," including "&amp;$BT$3&amp;" of "&amp;BT34&amp;" psi.")&amp;" 1 psi Blast Overpresssure exceeds Distance to the Fence Line of "&amp;Public_Input&amp;" "&amp;Public_Units&amp;".  Consider adjustment for Off-Site Impacts",IF('Release Calculations'!AM$335&lt;&gt;"Yes"," impacting on site personnel at a "&amp;$BR$3&amp;" of "&amp;BR34&amp;" "&amp;BS34," impacting on site personnel at a "&amp;$BR$3&amp;" of "&amp;BR34&amp;" "&amp;BS34&amp;" including "&amp;$BT$3&amp;" of "&amp;BT34&amp;" psi")))</f>
        <v/>
      </c>
      <c r="DG34" s="189" t="str">
        <f>IF(CH34="","",IF('Release Calculations'!AM$326="Yes"," with "&amp;$BR$3&amp;" of "&amp;BR34&amp;" "&amp;BS34&amp;IF('Release Calculations'!AM$331&lt;&gt;"Yes",""," including "&amp;$BT$3&amp;" of "&amp;BT34&amp;" psi.")&amp;"  1 psi Blast Overpresssure exceeds Distance to the Fence Line of "&amp;Public_Input&amp;" "&amp;Public_Units&amp;".  Consider adjustment for Off-Site Impacts",IF('Release Calculations'!AM$331&lt;&gt;"Yes"," impacting enclosed area operating personnel, on site personnel at a "&amp;$BR$3&amp;" of "&amp;BR34&amp;" "&amp;BS34," impacting enclosed area operating personnel, on site personnel at a "&amp;$BR$3&amp;" of "&amp;BR34&amp;" "&amp;BS34&amp;" including "&amp;$BT$3&amp;" of "&amp;BT34&amp;" psi")))</f>
        <v/>
      </c>
      <c r="DH34" s="67"/>
      <c r="DI34" s="67"/>
      <c r="DJ34" s="189" t="str">
        <f>IF('Release Calculations'!AZ2434&gt;0,"Groundwater or Remediation Issue",IF('Release Calculations'!BB432&gt;0,"High Aqueous Toxicity",""))</f>
        <v/>
      </c>
      <c r="DK34" s="19"/>
      <c r="DL34" s="39"/>
      <c r="DM34" s="239">
        <f>'Release Calculations'!AM$380</f>
        <v>0</v>
      </c>
      <c r="DN34" s="239">
        <f>'Release Calculations'!AM$385</f>
        <v>0</v>
      </c>
      <c r="DO34" s="34"/>
      <c r="DP34" s="239">
        <f>'Release Calculations'!AM$396</f>
        <v>0</v>
      </c>
      <c r="DQ34" s="239">
        <f>'Release Calculations'!AM$401</f>
        <v>0</v>
      </c>
      <c r="DR34" s="34"/>
      <c r="DS34" s="34"/>
      <c r="DT34" s="34"/>
      <c r="DU34" s="34"/>
      <c r="DV34" s="6"/>
      <c r="DW34" s="40"/>
      <c r="DX34" s="250"/>
      <c r="DY34" s="249" t="s">
        <v>2983</v>
      </c>
      <c r="DZ34" s="250" t="s">
        <v>292</v>
      </c>
      <c r="EA34" s="740"/>
      <c r="EB34" s="249" t="str">
        <f t="shared" si="76"/>
        <v>Probability of Exposure to Hot or Toxic Material</v>
      </c>
      <c r="EC34" s="249" t="s">
        <v>292</v>
      </c>
      <c r="ED34" s="248"/>
      <c r="EE34" s="248"/>
      <c r="EF34" s="248"/>
      <c r="EG34" s="248"/>
      <c r="EH34" s="248"/>
      <c r="EI34" s="19"/>
      <c r="EJ34" s="250"/>
      <c r="EK34" s="249" t="str">
        <f>IF(Attended_Op="Yes","Noted as Personnel Routinely in Immediate Area or Equipment Type involves Materials Handling - "&amp;IF('Release Calculations'!AM223*3600&lt;30," with a very Short Exposure Duration (&lt; 30 sec)","Time at Risk May Apply"),"Probability of Personnel to be in Close Proximity to Chemical Release based on Toxic Impact Area to "&amp;AM34&amp;" "&amp;AN34&amp;IF('Release Calculations'!AM379&lt;0.01," (with potential for higher POE credit upon further review)",""))</f>
        <v>Probability of Personnel to be in Close Proximity to Chemical Release based on Toxic Impact Area to 0 m (with potential for higher POE credit upon further review)</v>
      </c>
      <c r="EL34" s="250" t="str">
        <f>IF(Attended_Op="Yes","Noted as Personnel Routinely in Immediate Area or Equipment Type involves Materials Handling - Time at Risk May Apply","Probability of Personnel to be in Close Proximity to Chemical Release based on Ratio Enclosed Process Area Concentation of "&amp;AZ34&amp;" ppm to 10 ER-3 for "&amp;Chemical&amp;IF(Fract_Key_Chemical&lt;1," mixture "," ")&amp;IF('Release Calculations'!$AM$384&lt;0.01,"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34" s="248"/>
      <c r="EN34"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Calculations'!$AM$395&lt;0.01," (with potential for higher POE credit upon further review)",""))</f>
        <v>Probability of Personnel to be in Close Proximity to Chemical Release based on Spray Distance of 1 m (with potential for higher POE credit upon further review)</v>
      </c>
      <c r="EO34"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"&amp;AZ34&amp;" to "&amp;LFL_Fract_FlashFIre&amp;" LFL","Flammable Impact Area to "&amp;BF34&amp;" "&amp;BG34)&amp;IF('Release Calculations'!$AM$400&lt;0.01," (with potential for higher POE credit upon further review)",""))</f>
        <v>Probability of Personnel to be in Close Proximity to Chemical Release based on Flammable Impact Area to 0 m (with potential for higher POE credit upon further review)</v>
      </c>
      <c r="EP34" s="248"/>
      <c r="EQ34" s="248"/>
      <c r="ER34" s="248"/>
      <c r="ES34" s="248"/>
      <c r="ET34" s="248"/>
      <c r="EU34" s="19"/>
      <c r="EV34" s="1379"/>
      <c r="EW34" s="957">
        <f>'Release Calculations'!AM379</f>
        <v>6.0000000000000008E-7</v>
      </c>
      <c r="EX34" s="957">
        <f>'Release Calculations'!$AM$384</f>
        <v>0</v>
      </c>
      <c r="EY34" s="1380"/>
      <c r="EZ34" s="957">
        <f>'Release Calculations'!$AM$395</f>
        <v>0</v>
      </c>
      <c r="FA34" s="957">
        <f>'Release Calculations'!$AM$400</f>
        <v>0</v>
      </c>
      <c r="FB34" s="6"/>
      <c r="FC34" s="6"/>
      <c r="FD34" s="6"/>
      <c r="FE34" s="6"/>
      <c r="FF34" s="6"/>
      <c r="FG34" s="19"/>
      <c r="FH34" s="34"/>
      <c r="FI34" s="34"/>
      <c r="FJ34" s="34"/>
      <c r="FK34" s="34"/>
      <c r="FL34" s="34"/>
      <c r="FM34" s="239" t="str">
        <f>IF(Location="Outdoors",'Release Calculations'!AM$337,'Release Calculations'!AM$323)</f>
        <v/>
      </c>
      <c r="FN34" s="239" t="str">
        <f>'Release Calculations'!AM$338</f>
        <v/>
      </c>
      <c r="FO34" s="39" t="str">
        <f>IF(State&lt;&gt;"Solid",'Release Calculations'!AM$323,Dust_SecondExpl_POE)</f>
        <v/>
      </c>
      <c r="FP34" s="34"/>
      <c r="FQ34" s="34"/>
      <c r="FR34" s="6"/>
      <c r="FS34" s="40"/>
      <c r="FT34" s="248"/>
      <c r="FU34" s="248"/>
      <c r="FV34" s="248"/>
      <c r="FW34" s="741"/>
      <c r="FX34" s="248"/>
      <c r="FY34" s="249" t="s">
        <v>1461</v>
      </c>
      <c r="FZ34" s="249" t="s">
        <v>1460</v>
      </c>
      <c r="GA34" s="250" t="s">
        <v>1461</v>
      </c>
      <c r="GB34" s="248"/>
      <c r="GC34" s="248"/>
      <c r="GD34" s="248"/>
      <c r="GE34" s="19"/>
      <c r="GF34" s="250" t="str">
        <f t="shared" ref="GF34:GH35" si="77">IF(OR(Ease_of_Ignition_Feed="High",Ease_of_Ignition_Feed="Elevated"),"Head Space Ingnition of Easily Ignited Material",IF(Ease_of_Ignition_Feed="Low","Head Space Ingnition of Difficult to Ignite Material",IF(Flash_Pt_Feed="","No Flash Point Entered",IF(AND(Flam_In_Area&lt;100,Flash_Pt_Feed&lt;93,Flash_Pt_Feed&gt;38,T&lt;(Flash_Pt_Feed-5)),"Head Space Ignition of Combustible Material","Head Space Ingnition of Flammable Material"))))</f>
        <v>No Flash Point Entered</v>
      </c>
      <c r="GG34" s="250" t="str">
        <f t="shared" si="77"/>
        <v>No Flash Point Entered</v>
      </c>
      <c r="GH34" s="250" t="str">
        <f t="shared" si="77"/>
        <v>No Flash Point Entered</v>
      </c>
      <c r="GI34" s="741"/>
      <c r="GJ34" s="250" t="str">
        <f>IF(OR(Ease_of_Ignition_Feed="High",Ease_of_Ignition_Feed="Elevated"),"Head Space Ingnition of Easily Ignited Material",IF(Ease_of_Ignition_Feed="Low","Head Space Ingnition of Difficult to Ignite Material",IF(Flash_Pt_Feed="","No Flash Point Entered",IF(AND(Flam_In_Area&lt;100,Flash_Pt_Feed&lt;93,Flash_Pt_Feed&gt;38,T&lt;(Flash_Pt_Feed-5)),"Head Space Ignition of Combustible Material","Head Space Ingnition of Flammable Material"))))</f>
        <v>No Flash Point Entered</v>
      </c>
      <c r="GK34" s="4"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Entered",IF(Ease_of_Ignition_Feed="Elevated","Outdoor Release of "&amp;BP34&amp;" "&amp;BQ34&amp;" Easily Ignited Material with Distance to LFL of "&amp;BD34&amp;" "&amp;BE34,IF(Ease_of_Ignition_Feed="Low","Outdoor Release of Difficult to Ignite Material","Outdoor release of "&amp;BP34&amp;" "&amp;BQ34&amp;" Flammable Material with Distance to LFL of "&amp;BD34&amp;" "&amp;BE34))))))</f>
        <v>No Flash Point Entered</v>
      </c>
      <c r="GL34" s="2581" t="str">
        <f t="shared" si="71"/>
        <v>No Flash Point Entered</v>
      </c>
      <c r="GM34" s="250" t="str">
        <f t="shared" si="72"/>
        <v>Indoor Release of Flammable Material-POX</v>
      </c>
      <c r="GN34" s="248"/>
      <c r="GO34" s="248"/>
      <c r="GP34" s="248"/>
      <c r="GQ34" s="19"/>
      <c r="GR34" s="189" t="str">
        <f t="shared" si="35"/>
        <v/>
      </c>
      <c r="GS34" s="19"/>
      <c r="GT34" s="35"/>
      <c r="GU34" s="26"/>
      <c r="GV34" s="26"/>
      <c r="GW34" s="19"/>
      <c r="GX34" s="19"/>
      <c r="GY34" s="19"/>
      <c r="GZ34" s="19"/>
      <c r="HA34" s="19"/>
      <c r="HB34" s="19"/>
      <c r="HC34" s="19"/>
      <c r="HD34" s="19"/>
      <c r="HE34" s="19"/>
      <c r="HF34" s="19"/>
      <c r="HG34" s="19"/>
      <c r="HH34" s="19"/>
      <c r="HI34" s="19"/>
    </row>
    <row r="35" spans="1:220" s="5" customFormat="1" ht="12.75" customHeight="1" x14ac:dyDescent="0.25">
      <c r="A35" s="35"/>
      <c r="B35" s="64" t="str">
        <f>'Scenario Identification'!CN3</f>
        <v>Tube Hole Size Leak (Heat Transfer Fluid)</v>
      </c>
      <c r="C35" s="1457" t="str">
        <f t="shared" si="10"/>
        <v/>
      </c>
      <c r="D35" s="65"/>
      <c r="E35" s="2483" t="str">
        <f>IF(MAX('Release Calculations'!AO35,'Release Calculations'!AO43,'Release Calculations'!AMG62,1-'Release Calculations'!AO82,ABS(MIN('Release Calculations'!AO35,'Release Calculations'!AO43,'Release Calculations'!AMG62,1-'Release Calculations'!AO82)))&gt;$E$4,"Yes","")</f>
        <v/>
      </c>
      <c r="F35" s="1418" t="s">
        <v>428</v>
      </c>
      <c r="G35" s="1434">
        <f t="shared" si="11"/>
        <v>0</v>
      </c>
      <c r="H35" s="1427" t="str">
        <f t="shared" si="31"/>
        <v>liter</v>
      </c>
      <c r="I35" s="1418">
        <f>ROUND('Release Calculations'!AO7/$I$4,2)</f>
        <v>12.7</v>
      </c>
      <c r="J35" s="1421" t="str">
        <f>IF(Report_H&lt;&gt;"",Report_H,D_Units)</f>
        <v>mm</v>
      </c>
      <c r="K35" s="1427">
        <f t="shared" si="57"/>
        <v>0</v>
      </c>
      <c r="L35" s="1434">
        <f>sig('Release Calculations'!$AO$16/$L$4,3,100,0)</f>
        <v>0</v>
      </c>
      <c r="M35" s="1435" t="str">
        <f t="shared" si="13"/>
        <v>kg</v>
      </c>
      <c r="N35" s="1432" t="str">
        <f>Heating_Media_State&amp;":  "&amp;Heating_Media_Name</f>
        <v xml:space="preserve">:  </v>
      </c>
      <c r="O35" s="1434">
        <f>ROUND('Release Calculations'!$AO$9,0)</f>
        <v>0</v>
      </c>
      <c r="P35" s="1434">
        <f>ROUND('Release Calculations'!$AO$8/$P$4,2)</f>
        <v>0</v>
      </c>
      <c r="Q35" s="1446" t="str">
        <f t="shared" si="15"/>
        <v>bar</v>
      </c>
      <c r="R35" s="1434">
        <f>sig('Release Calculations'!$AO$23/$AG$4,3,10,0)</f>
        <v>0</v>
      </c>
      <c r="S35" s="1447" t="str">
        <f t="shared" si="16"/>
        <v>kg/min</v>
      </c>
      <c r="T35" s="1435">
        <f>ROUND('Release Calculations'!$AO$13/$T$4,0)</f>
        <v>0</v>
      </c>
      <c r="U35" s="1434">
        <f>ROUND(('Release Calculations'!$AO$13+'Release Calculations'!$AO$14)/$U$4,0)</f>
        <v>60</v>
      </c>
      <c r="V35" s="1434">
        <f>sig('Release Calculations'!$AO$55/$V$4,3,100,0)</f>
        <v>0</v>
      </c>
      <c r="W35" s="1435" t="str">
        <f>IF(Report_A&lt;&gt;"",Report_A,IF(Dike_Area_Units="","sq m",Dike_Area_Units))</f>
        <v>sq m</v>
      </c>
      <c r="X35" s="1438">
        <f>ROUND('Release Calculations'!AO$227,3)</f>
        <v>0</v>
      </c>
      <c r="Y35" s="1458" t="str">
        <f>IF('Release Calculations'!$AO$238="","",sig('Release Calculations'!$AO$238,3,1000,0))</f>
        <v/>
      </c>
      <c r="Z35" s="1458" t="str">
        <f>IF('Release Calculations'!$AO$244="","",sig('Release Calculations'!$AO$244,3,1000,0))</f>
        <v/>
      </c>
      <c r="AA35" s="1458" t="str">
        <f>IF('Release Calculations'!$AO$268="","",sig('Release Calculations'!$AO$268,3,1000,0))</f>
        <v/>
      </c>
      <c r="AB35" s="1458" t="str">
        <f>IF('Release Calculations'!$AO$274="","",sig('Release Calculations'!$AO$274,3,1000,0))</f>
        <v/>
      </c>
      <c r="AC35" s="1458" t="str">
        <f>IF('Release Calculations'!$AO$280="","",sig('Release Calculations'!$AO$280,3,1000,0))</f>
        <v/>
      </c>
      <c r="AD35" s="1196" t="str">
        <f>IF('Release Calculations'!$AO$262="","",ROUND('Release Calculations'!$AO$262,1))</f>
        <v/>
      </c>
      <c r="AE35" s="1434">
        <f>sig('Release Calculations'!$AO$70/$AE$4,3,100,0)</f>
        <v>0</v>
      </c>
      <c r="AF35" s="1435" t="str">
        <f t="shared" si="17"/>
        <v>kg</v>
      </c>
      <c r="AG35" s="1326">
        <f>sig('Release Calculations'!AO$89/$AG$4,3,10,3)</f>
        <v>0</v>
      </c>
      <c r="AH35" s="1435" t="str">
        <f t="shared" si="33"/>
        <v>kg/min</v>
      </c>
      <c r="AI35" s="1434">
        <f>sig('Release Calculations'!$AO$295/$AI$4,3,100,0)</f>
        <v>0</v>
      </c>
      <c r="AJ35" s="1435" t="str">
        <f t="shared" si="60"/>
        <v>m</v>
      </c>
      <c r="AK35" s="1434">
        <f>sig('Release Calculations'!$AO$298/$AK$4,3,100,0)</f>
        <v>0</v>
      </c>
      <c r="AL35" s="1435" t="str">
        <f t="shared" si="61"/>
        <v>m</v>
      </c>
      <c r="AM35" s="1434">
        <f>sig('Release Calculations'!$AO$300/$AM$4,3,100,0)</f>
        <v>0</v>
      </c>
      <c r="AN35" s="1435" t="str">
        <f t="shared" si="62"/>
        <v>m</v>
      </c>
      <c r="AO35" s="1434">
        <f>sig('Release Calculations'!$AO$301/$AO$4,3,100,0)</f>
        <v>0</v>
      </c>
      <c r="AP35" s="1452" t="str">
        <f t="shared" si="63"/>
        <v>m</v>
      </c>
      <c r="AQ35" s="1434">
        <f>sig('Release Calculations'!$AO$303/$AQ$4,3,100,0)</f>
        <v>0</v>
      </c>
      <c r="AR35" s="1452" t="str">
        <f t="shared" si="64"/>
        <v>m</v>
      </c>
      <c r="AS35" s="1452" t="str">
        <f t="shared" si="65"/>
        <v/>
      </c>
      <c r="AT35" s="1452" t="str">
        <f t="shared" si="66"/>
        <v/>
      </c>
      <c r="AU35" s="1452" t="str">
        <f t="shared" si="67"/>
        <v/>
      </c>
      <c r="AV35" s="114">
        <f>sig('Release Calculations'!$AO$310,3,1000,-1)</f>
        <v>0</v>
      </c>
      <c r="AW35" s="114">
        <f>sig('Release Calculations'!$AO$311,3,1000,-1)</f>
        <v>0</v>
      </c>
      <c r="AX35" s="114" t="str">
        <f>sig('Release Calculations'!$AO$312,3,1000,0)</f>
        <v/>
      </c>
      <c r="AY35" s="114" t="str">
        <f>sig('Release Calculations'!$AO$313,3,1000,0)</f>
        <v/>
      </c>
      <c r="AZ35" s="114">
        <f>sig('Release Calculations'!$AO$314,3,1000,-1)</f>
        <v>0</v>
      </c>
      <c r="BA35" s="114">
        <f>sig('Release Calculations'!$AO$315,3,1000,-1)</f>
        <v>0</v>
      </c>
      <c r="BB35" s="114" t="str">
        <f>sig('Release Calculations'!$AO$316,3,10,3)</f>
        <v/>
      </c>
      <c r="BC35" s="2576" t="str">
        <f>sig('Release Calculations'!$AO$317,3,10,3)</f>
        <v/>
      </c>
      <c r="BD35" s="2569">
        <f>sig('Release Calculations'!$AO$334/$BD$4,3,100,0)</f>
        <v>0</v>
      </c>
      <c r="BE35" s="1435" t="str">
        <f t="shared" si="34"/>
        <v>m</v>
      </c>
      <c r="BF35" s="2569">
        <f>sig('Release Calculations'!$AO$333/$BF$4,3,100,0)</f>
        <v>0</v>
      </c>
      <c r="BG35" s="1435" t="str">
        <f t="shared" si="34"/>
        <v>m</v>
      </c>
      <c r="BH35" s="1419"/>
      <c r="BI35" s="1422"/>
      <c r="BJ35" s="1419"/>
      <c r="BK35" s="1422"/>
      <c r="BL35" s="2573"/>
      <c r="BM35" s="2573"/>
      <c r="BN35" s="1441"/>
      <c r="BO35" s="1746"/>
      <c r="BP35" s="1503">
        <f>sig('Release Calculations'!AO90/$BP$4,3,10,1)</f>
        <v>0</v>
      </c>
      <c r="BQ35" s="1435" t="str">
        <f t="shared" si="58"/>
        <v>kg/min</v>
      </c>
      <c r="BR35" s="1434">
        <f>sig(IF(Relief_Release="Indoors",'Release Calculations'!$AO$325/$BR$4,'Release Calculations'!$AO$339/$BR$4),3,100,0)</f>
        <v>0</v>
      </c>
      <c r="BS35" s="1435" t="str">
        <f t="shared" si="25"/>
        <v>m</v>
      </c>
      <c r="BT35" s="1748">
        <f>ROUND(IF(Location="Indoors",'Release Calculations'!$AO$328,'Release Calculations'!$AO$342),1)</f>
        <v>0</v>
      </c>
      <c r="BU35" s="1748">
        <f>ROUND(IF(Location="Indoors",'Release Calculations'!$AO$330,'Release Calculations'!$AO$346),1)</f>
        <v>0</v>
      </c>
      <c r="BV35" s="1436"/>
      <c r="BW35" s="1442"/>
      <c r="BX35" s="262"/>
      <c r="BY35" s="262"/>
      <c r="BZ35" s="123"/>
      <c r="CA35" s="4" t="str">
        <f>IF('Release Calculations'!AO$352="NA","",'Release Calculations'!H$338)</f>
        <v/>
      </c>
      <c r="CB35" s="4" t="str">
        <f>IF('Release Calculations'!AO$382="NA","",'Release Calculations'!AO$382)</f>
        <v/>
      </c>
      <c r="CC35" s="4" t="str">
        <f>IF('Release Calculations'!AO$387="NA","",'Release Calculations'!AO$387)</f>
        <v/>
      </c>
      <c r="CD35" s="735" t="str">
        <f>IF('Release Calculations'!AO$392="NA","",'Release Calculations'!AO$392)</f>
        <v/>
      </c>
      <c r="CE35" s="4" t="str">
        <f>IF('Release Calculations'!AO$398="NA","",'Release Calculations'!AO$398)</f>
        <v/>
      </c>
      <c r="CF35" s="4" t="str">
        <f>IF('Release Calculations'!AO$403="NA","",'Release Calculations'!AO$403)</f>
        <v/>
      </c>
      <c r="CG35" s="4" t="str">
        <f>IF('Release Calculations'!AO$423="NA","",'Release Calculations'!AO$423)</f>
        <v/>
      </c>
      <c r="CH35" s="4" t="str">
        <f>IF('Release Calculations'!AO$413="NA","",'Release Calculations'!AO$413)</f>
        <v/>
      </c>
      <c r="CI35" s="4"/>
      <c r="CJ35" s="4"/>
      <c r="CK35" s="4" t="str">
        <f>IF('Release Calculations'!BD433="NA","",'Release Calculations'!BD433)</f>
        <v/>
      </c>
      <c r="CL35" s="19"/>
      <c r="CM35" s="19"/>
      <c r="CN35" s="189" t="str">
        <f>IF(CA35="","",IF('Release Calculations'!AO$297="Yes",IF(CA35=Conseq_VeryLow,Desc_VeryLow,IF(CA35=Conseq_Low,Desc_Low,IF(CA35=Conseq_Moderate,Desc_Moderate,IF(CA35=Conseq_High,Desc_High,IF(CA35=Conseq_VeryHigh,Desc_VeryHigh,IF(CA35=Conseq_ExtremeHigh,Desc_ExtremeHigh,Desc_GT_ExtremeHigh)))))),IF(CA35=Conseq_Low_Offsite,Desc_Low_Offsite,Desc_VeryLow_Offsite)))</f>
        <v/>
      </c>
      <c r="CO35" s="189" t="str">
        <f t="shared" si="73"/>
        <v/>
      </c>
      <c r="CP35" s="189" t="str">
        <f t="shared" si="74"/>
        <v/>
      </c>
      <c r="CQ35" s="189" t="str">
        <f t="shared" si="75"/>
        <v/>
      </c>
      <c r="CR35" s="189" t="str">
        <f>IF(CE35="","",IF(CE35=Conseq_VeryLow,Desc_VeryLow,IF(CE35=Conseq_Low,Desc_Low,IF(CE35=Conseq_Moderate,Desc_Moderate,IF(CE35=Conseq_High,Desc_High,IF(CE35=Conseq_VeryHigh,Desc_VeryHigh,IF(CE35=Conseq_ExtremeHigh,Desc_ExtremeHigh,Desc_GT_ExtremeHigh)))))))</f>
        <v/>
      </c>
      <c r="CS35" s="189" t="str">
        <f t="shared" si="59"/>
        <v/>
      </c>
      <c r="CT35" s="189" t="str">
        <f t="shared" si="68"/>
        <v/>
      </c>
      <c r="CU35" s="189" t="str">
        <f t="shared" si="69"/>
        <v/>
      </c>
      <c r="CV35" s="67"/>
      <c r="CW35" s="67"/>
      <c r="CX35" s="189" t="str">
        <f>IF(CK35="","",IF(CK35=Conseq_VeryLow,Desc_VeryLow_Environ,IF(CK35=Conseq_Low,Desc_Low_Environ,IF(CK35=Conseq_Moderate,Desc_Moderate_Environ,IF(CK35=Conseq_High,Desc_High_Environ,IF(CK35=Conseq_VeryHigh,Desc_VeryHigh_Environ,Desc_ExtremeHigh_Environ))))))</f>
        <v/>
      </c>
      <c r="CY35" s="40" t="s">
        <v>822</v>
      </c>
      <c r="CZ35" s="189" t="str">
        <f>IF(CA35="","",IF('Release Calculations'!AO$297="Yes"," at a "&amp;$AI$3&amp;" of "&amp;AI35&amp;" "&amp;AJ35&amp;" which exceeds Distance to the Fence Line of "&amp;Public_Input&amp;" "&amp;Public_Units))</f>
        <v/>
      </c>
      <c r="DA35" s="189" t="str">
        <f>IF(CB35="","",IF('Release Calculations'!$AO$305="Yes"," with operating personnel in close proximity and a "&amp;$AM$3&amp;" of "&amp;AM35&amp;" "&amp;AN35," at a "&amp;$AM$3&amp;" of "&amp;AM35&amp;" "&amp;AN35)&amp;IF('Release Calculations'!$AO$300&gt;Public," which exceeds Distance to the Fence Line of "&amp;Public_Input&amp;" "&amp;Public_Units&amp;".  Target Factor may be conservative",))</f>
        <v/>
      </c>
      <c r="DB35" s="226" t="str">
        <f>IF(CC35="","",IF('Release Calculations'!AO319="Yes","and Potential for Asphyxiation","")&amp;IF('Release Calculations'!AO$111="Yes"," with operations personnel in close proximity at an "&amp;$AZ$3&amp;" of "&amp;AZ35&amp;" ppm"," at an "&amp;$AZ$3&amp;" of "&amp;AZ35&amp;" ppm"))</f>
        <v/>
      </c>
      <c r="DC35" s="189" t="str">
        <f t="shared" si="70"/>
        <v/>
      </c>
      <c r="DD35" s="189" t="str">
        <f>IF(CE35="",""," of a "&amp;IF(Ease_of_Ignition_Feed="High","pyrophoric ","high/low temperature ")&amp;IF(Dermal_Tox_Feed&lt;&gt;"","or "&amp;Dermal_Tox_Feed,"")&amp;" chemical"&amp;IF('Release Calculations'!$AO$305="Yes"," with operating personnel in close proximity",""))</f>
        <v/>
      </c>
      <c r="DE35" s="189" t="str">
        <f>IF(CF35="","",IF('Release Calculations'!$AO$305="Yes"," with operating personnel in close proximity and a "&amp;$BF$3&amp;" of "&amp;BF35&amp;" "&amp;BG35," at a "&amp;$BF$3&amp;" of "&amp;BF35&amp;" "&amp;BG35))</f>
        <v/>
      </c>
      <c r="DF35" s="189" t="str">
        <f>IF(CG35="","",IF('Release Calculations'!AO$340="Yes"," with "&amp;$BR$3&amp;" of "&amp;BR35&amp;" "&amp;BS35&amp;IF('Release Calculations'!AO$349&lt;&gt;"Yes",""," including "&amp;$BT$3&amp;" of "&amp;BT35&amp;" psi.")&amp;" 1 psi Blast Overpresssure exceeds Distance to the Fence Line of "&amp;Public_Input&amp;" "&amp;Public_Units&amp;".  Consider adjustment for Off-Site Impacts",IF('Release Calculations'!AO$349&lt;&gt;"Yes"," impacting on site personnel at a "&amp;$BR$3&amp;" of "&amp;BR35&amp;" "&amp;BS35," impacting on site personnel at a "&amp;$BR$3&amp;" of "&amp;BR35&amp;" "&amp;BS35&amp;" including "&amp;$BT$3&amp;" of "&amp;BT35&amp;" psi")))</f>
        <v/>
      </c>
      <c r="DG35" s="189" t="str">
        <f>IF(CH35="","",IF('Release Calculations'!AO$326="Yes"," with "&amp;$BR$3&amp;" of "&amp;BR35&amp;" "&amp;BS35&amp;IF('Release Calculations'!AO$331&lt;&gt;"Yes",""," including "&amp;$BT$3&amp;" of "&amp;BT35&amp;" psi.")&amp;"  1 psi Blast Overpresssure exceeds Distance to the Fence Line of "&amp;Public_Input&amp;" "&amp;Public_Units&amp;".  Consider adjustment for Off-Site Impacts",IF('Release Calculations'!AO$331&lt;&gt;"Yes"," impacting enclosed area operating personnel, on site personnel at a "&amp;$BR$3&amp;" of "&amp;BR35&amp;" "&amp;BS35," impacting enclosed area operating personnel, on site personnel at a "&amp;$BR$3&amp;" of "&amp;BR35&amp;" "&amp;BS35&amp;" including "&amp;$BT$3&amp;" of "&amp;BT35&amp;" psi")))</f>
        <v/>
      </c>
      <c r="DH35" s="67"/>
      <c r="DI35" s="67"/>
      <c r="DJ35" s="189" t="str">
        <f>IF('Release Calculations'!AZ433&gt;0,"Groundwater or Remediation Issue",IF('Release Calculations'!BB433&gt;0,"High Aqueous Toxicity",""))</f>
        <v/>
      </c>
      <c r="DK35" s="19"/>
      <c r="DL35" s="39"/>
      <c r="DM35" s="239">
        <f>'Release Calculations'!AO$380</f>
        <v>0</v>
      </c>
      <c r="DN35" s="239">
        <f>'Release Calculations'!AO$385</f>
        <v>0</v>
      </c>
      <c r="DO35" s="34"/>
      <c r="DP35" s="239">
        <f>'Release Calculations'!AO$396</f>
        <v>1</v>
      </c>
      <c r="DQ35" s="239">
        <f>'Release Calculations'!AO$401</f>
        <v>0</v>
      </c>
      <c r="DR35" s="34"/>
      <c r="DS35" s="34"/>
      <c r="DT35" s="34"/>
      <c r="DU35" s="34"/>
      <c r="DV35" s="6"/>
      <c r="DW35" s="40"/>
      <c r="DX35" s="250"/>
      <c r="DY35" s="249" t="s">
        <v>2983</v>
      </c>
      <c r="DZ35" s="250" t="s">
        <v>292</v>
      </c>
      <c r="EA35" s="740"/>
      <c r="EB35" s="249" t="str">
        <f t="shared" si="76"/>
        <v>Probability of Exposure to Hot or Toxic Material</v>
      </c>
      <c r="EC35" s="249" t="s">
        <v>292</v>
      </c>
      <c r="ED35" s="248"/>
      <c r="EE35" s="248"/>
      <c r="EF35" s="248"/>
      <c r="EG35" s="248"/>
      <c r="EH35" s="248"/>
      <c r="EI35" s="19"/>
      <c r="EJ35" s="250"/>
      <c r="EK35" s="249" t="str">
        <f>IF(Attended_Op="Yes","Noted as Personnel Routinely in Immediate Area or Equipment Type involves Materials Handling - "&amp;IF('Release Calculations'!AO223*3600&lt;30," with a very Short Exposure Duration (&lt; 30 sec)","Time at Risk May Apply"),"Probability of Personnel to be in Close Proximity to Chemical Release based on Toxic Impact Area to "&amp;AM35&amp;" "&amp;AN35&amp;IF('Release Calculations'!AO379&lt;0.01," (with potential for higher POE credit upon further review)",""))</f>
        <v>Probability of Personnel to be in Close Proximity to Chemical Release based on Toxic Impact Area to 0 m (with potential for higher POE credit upon further review)</v>
      </c>
      <c r="EL35" s="250" t="str">
        <f>IF(Attended_Op="Yes","Noted as Personnel Routinely in Immediate Area or Equipment Type involves Materials Handling - Time at Risk May Apply","Probability of Personnel to be in Close Proximity to Chemical Release based on Ratio Enclosed Process Area Concentation of "&amp;AZ35&amp;" ppm to 10 ER-3 for "&amp;Chemical&amp;IF(Fract_Key_Chemical&lt;1," mixture "," ")&amp;IF('Release Calculations'!$AO$384&lt;0.01,"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35" s="248"/>
      <c r="EN35"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Calculations'!$AO$395&lt;0.01," (with potential for higher POE credit upon further review)",""))</f>
        <v>Probability of Personnel to be in Close Proximity to Chemical Release based on Spray Distance of 1 m (with potential for higher POE credit upon further review)</v>
      </c>
      <c r="EO35"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"&amp;AZ35&amp;" to "&amp;LFL_Fract_FlashFIre&amp;" LFL","Flammable Impact Area to "&amp;BF35&amp;" "&amp;BG35)&amp;IF('Release Calculations'!$AO$400&lt;0.01," (with potential for higher POE credit upon further review)",""))</f>
        <v>Probability of Personnel to be in Close Proximity to Chemical Release based on Flammable Impact Area to 0 m (with potential for higher POE credit upon further review)</v>
      </c>
      <c r="EP35" s="248"/>
      <c r="EQ35" s="248"/>
      <c r="ER35" s="248"/>
      <c r="ES35" s="248"/>
      <c r="ET35" s="248"/>
      <c r="EU35" s="19"/>
      <c r="EV35" s="1379"/>
      <c r="EW35" s="957">
        <f>'Release Calculations'!AO379</f>
        <v>6.0000000000000008E-7</v>
      </c>
      <c r="EX35" s="957">
        <f>'Release Calculations'!$AO$384</f>
        <v>0</v>
      </c>
      <c r="EY35" s="1380"/>
      <c r="EZ35" s="957">
        <f>'Release Calculations'!$AO$395</f>
        <v>0</v>
      </c>
      <c r="FA35" s="957">
        <f>'Release Calculations'!$AO$400</f>
        <v>0</v>
      </c>
      <c r="FB35" s="6"/>
      <c r="FC35" s="6"/>
      <c r="FD35" s="6"/>
      <c r="FE35" s="6"/>
      <c r="FF35" s="6"/>
      <c r="FG35" s="19"/>
      <c r="FH35" s="39">
        <f>IF(Equipment="Fired Equipment - Combustion Unit",1,IF(AND(State&lt;&gt;"Solid",Ease_of_Ignition_Feed&lt;&gt;"Elevated"),1,IF(AND(State&lt;&gt;"Solid",Ease_of_Ignition_Feed="Elevated"),0,Dust_Equip_POI)))</f>
        <v>1</v>
      </c>
      <c r="FI35" s="39">
        <f>IF(Equipment="Fired Equipment - Combustion Unit",1,IF(AND(State&lt;&gt;"Solid",Ease_of_Ignition_Feed&lt;&gt;"Elevated"),1,IF(AND(State&lt;&gt;"Solid",Ease_of_Ignition_Feed="Elevated"),0,Dust_Equip_POI)))</f>
        <v>1</v>
      </c>
      <c r="FJ35" s="39">
        <f>IF(Equipment="Fired Equipment - Combustion Unit",1,IF(AND(State&lt;&gt;"Solid",Ease_of_Ignition_Feed&lt;&gt;"Elevated"),1,IF(AND(State&lt;&gt;"Solid",Ease_of_Ignition_Feed="Elevated"),0,Dust_Equip_POI)))</f>
        <v>1</v>
      </c>
      <c r="FK35" s="739"/>
      <c r="FL35" s="39">
        <f>IF(Equipment="Fired Equipment - Combustion Unit",1,IF(AND(State&lt;&gt;"Solid",Ease_of_Ignition_Feed&lt;&gt;"Elevated"),1,IF(AND(State&lt;&gt;"Solid",Ease_of_Ignition_Feed="Elevated"),0,Dust_Equip_POI)))</f>
        <v>1</v>
      </c>
      <c r="FM35" s="239" t="str">
        <f>IF(Location="Outdoors",'Release Calculations'!AO$337,'Release Calculations'!AO$323)</f>
        <v/>
      </c>
      <c r="FN35" s="239" t="str">
        <f>'Release Calculations'!AO$338</f>
        <v/>
      </c>
      <c r="FO35" s="39" t="str">
        <f>IF(State&lt;&gt;"Solid",'Release Calculations'!AO$323,Dust_SecondExpl_POE)</f>
        <v/>
      </c>
      <c r="FP35" s="34"/>
      <c r="FQ35" s="34"/>
      <c r="FR35" s="6"/>
      <c r="FS35" s="40"/>
      <c r="FT35" s="250" t="s">
        <v>247</v>
      </c>
      <c r="FU35" s="250" t="s">
        <v>247</v>
      </c>
      <c r="FV35" s="250" t="s">
        <v>247</v>
      </c>
      <c r="FW35" s="741"/>
      <c r="FX35" s="250" t="s">
        <v>247</v>
      </c>
      <c r="FY35" s="249" t="s">
        <v>1461</v>
      </c>
      <c r="FZ35" s="249" t="s">
        <v>1460</v>
      </c>
      <c r="GA35" s="250" t="s">
        <v>1461</v>
      </c>
      <c r="GB35" s="248"/>
      <c r="GC35" s="248"/>
      <c r="GD35" s="248"/>
      <c r="GE35" s="19"/>
      <c r="GF35" s="250" t="str">
        <f t="shared" si="77"/>
        <v>No Flash Point Entered</v>
      </c>
      <c r="GG35" s="250" t="str">
        <f t="shared" si="77"/>
        <v>No Flash Point Entered</v>
      </c>
      <c r="GH35" s="250" t="str">
        <f t="shared" si="77"/>
        <v>No Flash Point Entered</v>
      </c>
      <c r="GI35" s="741"/>
      <c r="GJ35" s="250" t="str">
        <f>IF(OR(Ease_of_Ignition_HT="High",Ease_of_Ignition_HT="Elevated"),"Head Space Ingnition of Easily Ignited Material",IF(Ease_of_Ignition_HT="Low","Head Space Ingnition of Difficult to Ignite Material",IF(Flash_Pt_HT="","No Flash Point Entered",IF(AND(Flam_In_Area&lt;100,Flash_Pt_HT&lt;93,Flash_Pt_HT&gt;38,T&lt;(Flash_Pt_HT-5)),"Head Space Ignition of Combustible Material","Head Space Ingnition of Flammable Material"))))</f>
        <v>No Flash Point Entered</v>
      </c>
      <c r="GK35" s="4" t="str">
        <f>IF(Ease_of_Ignition_HT="High","Noted as Pyrophoric Material",IF(Equipment="Fired Equipment - Process Heat Transfer","Fired Equipment with High Likelihood of Ignition",IF(Flash_Pt_HT="","No Flash Point Entered",IF(Ease_of_Ignition_HT="Elevated","Outdoor Release of "&amp;BP35&amp;" "&amp;BQ35&amp;" Easily Ignited Material with Distance to LFL of "&amp;BD35&amp;" "&amp;BE35,IF(Ease_of_Ignition_HT="Low","Outdoor Release of Difficult to Ignite Material","Outdoor release of "&amp;BP35&amp;" "&amp;BQ35&amp;" Flammable Material with Distance to LFL of "&amp;BD35&amp;" "&amp;BE35)))))</f>
        <v>No Flash Point Entered</v>
      </c>
      <c r="GL35" s="2581" t="str">
        <f t="shared" si="71"/>
        <v>No Flash Point Entered</v>
      </c>
      <c r="GM35" s="250" t="str">
        <f>IF(OR(Ease_of_Ignition_HT="High",Ease_of_Ignition_HT="Elevated"),"Indoor Release of Easily Ignited Material-POX",IF(Ease_of_Ignition_Feed="Low","Indoor Release of Difficult to Ignite Material-POX","Indoor Release of Flammable Material-POX"))</f>
        <v>Indoor Release of Flammable Material-POX</v>
      </c>
      <c r="GN35" s="248"/>
      <c r="GO35" s="248"/>
      <c r="GP35" s="248"/>
      <c r="GQ35" s="19"/>
      <c r="GR35" s="189" t="str">
        <f t="shared" si="35"/>
        <v/>
      </c>
      <c r="GS35" s="19"/>
      <c r="GT35" s="35"/>
      <c r="GU35" s="26"/>
      <c r="GV35" s="26"/>
      <c r="GW35" s="19"/>
      <c r="GX35" s="19"/>
      <c r="GY35" s="19"/>
      <c r="GZ35" s="19"/>
      <c r="HA35" s="19"/>
      <c r="HB35" s="19"/>
      <c r="HC35" s="19"/>
      <c r="HD35" s="19"/>
      <c r="HE35" s="19"/>
      <c r="HF35" s="19"/>
      <c r="HG35" s="19"/>
      <c r="HH35" s="19"/>
      <c r="HI35" s="19"/>
    </row>
    <row r="36" spans="1:220" s="5" customFormat="1" ht="12.75" customHeight="1" x14ac:dyDescent="0.25">
      <c r="A36" s="35"/>
      <c r="B36" s="64" t="str">
        <f>'Scenario Identification'!CO3</f>
        <v>Pad Gas Release</v>
      </c>
      <c r="C36" s="1457" t="str">
        <f t="shared" si="10"/>
        <v/>
      </c>
      <c r="D36" s="65"/>
      <c r="E36" s="2483" t="str">
        <f>IF(MAX('Release Calculations'!AE441,1-'Release Calculations'!AE469,ABS(MIN('Release Calculations'!AE441,1-'Release Calculations'!AE469)))&gt;$E$4,"Yes","")</f>
        <v/>
      </c>
      <c r="F36" s="1418" t="s">
        <v>428</v>
      </c>
      <c r="G36" s="1434">
        <f t="shared" si="11"/>
        <v>0</v>
      </c>
      <c r="H36" s="1427" t="str">
        <f t="shared" si="31"/>
        <v>liter</v>
      </c>
      <c r="I36" s="1418"/>
      <c r="J36" s="1421"/>
      <c r="K36" s="1427">
        <f t="shared" si="57"/>
        <v>0</v>
      </c>
      <c r="L36" s="1434">
        <f>sig('Release Calculations'!$AE$451/$L$4,3,100,0)</f>
        <v>0</v>
      </c>
      <c r="M36" s="1435" t="str">
        <f t="shared" si="13"/>
        <v>kg</v>
      </c>
      <c r="N36" s="1432" t="str">
        <f t="shared" ref="N36:N48" si="78">State&amp;":  "&amp;Fract_Key_Chemical&amp;" "&amp;Chemical&amp;", "&amp;WtFract_2&amp;" "&amp;Chemical_2&amp;", "&amp;WtFract_3&amp;" "&amp;Chemical_3&amp;", "&amp;WtFract_4&amp;" "&amp;Chemical_4&amp;", "&amp;WtFract_5&amp;" "&amp;Chemical_5</f>
        <v xml:space="preserve">Liquid:   ,  ,  ,  ,  </v>
      </c>
      <c r="O36" s="1434">
        <f>ROUND('Release Calculations'!$AE$430,0)</f>
        <v>0</v>
      </c>
      <c r="P36" s="1434">
        <f>ROUND('Release Calculations'!$AE$429/$P$4,2)</f>
        <v>0</v>
      </c>
      <c r="Q36" s="1446" t="str">
        <f t="shared" si="15"/>
        <v>bar</v>
      </c>
      <c r="R36" s="1434">
        <f>IF('Release Calculations'!$AE$451=0,0,sig('Release Calculations'!$AE$432/$AG$4,3,10,0))</f>
        <v>0</v>
      </c>
      <c r="S36" s="1447" t="str">
        <f t="shared" si="16"/>
        <v>kg/min</v>
      </c>
      <c r="T36" s="1435">
        <f>ROUND('Release Calculations'!$AE$448/$T$4,0)</f>
        <v>60</v>
      </c>
      <c r="U36" s="1434">
        <f>ROUND(('Release Calculations'!$AE$448+'Release Calculations'!$AE$449)/$U$4,0)</f>
        <v>60</v>
      </c>
      <c r="V36" s="1434"/>
      <c r="W36" s="1435"/>
      <c r="X36" s="1438">
        <f>ROUND('Release Calculations'!AE$616,3)</f>
        <v>0</v>
      </c>
      <c r="Y36" s="1458" t="str">
        <f>IF('Release Calculations'!$AE$629="","",sig('Release Calculations'!$AE$629,3,1000,0))</f>
        <v/>
      </c>
      <c r="Z36" s="1458" t="str">
        <f>IF('Release Calculations'!$AE$636="","",sig('Release Calculations'!$AE$636,3,1000,0))</f>
        <v/>
      </c>
      <c r="AA36" s="1458" t="str">
        <f>IF('Release Calculations'!$AE$664="","",sig('Release Calculations'!$AE$664,3,1000,0))</f>
        <v/>
      </c>
      <c r="AB36" s="1458" t="str">
        <f>IF('Release Calculations'!$AE$671="","",sig('Release Calculations'!$AE$671,3,1000,0))</f>
        <v/>
      </c>
      <c r="AC36" s="1458" t="str">
        <f>IF('Release Calculations'!$AE$678="","",sig('Release Calculations'!$AE$678,3,1000,0))</f>
        <v/>
      </c>
      <c r="AD36" s="1196" t="str">
        <f>IF('Release Calculations'!$AE$657="","",ROUND('Release Calculations'!$AE$657,1))</f>
        <v/>
      </c>
      <c r="AE36" s="1434">
        <f>sig('Release Calculations'!$AE$451/$AE$4,3,100,0)</f>
        <v>0</v>
      </c>
      <c r="AF36" s="1435" t="str">
        <f t="shared" si="17"/>
        <v>kg</v>
      </c>
      <c r="AG36" s="1326">
        <f>sig('Release Calculations'!AE$478/$AG$4,3,10,3)</f>
        <v>3.0000000000000001E-3</v>
      </c>
      <c r="AH36" s="1435" t="str">
        <f t="shared" si="33"/>
        <v>kg/min</v>
      </c>
      <c r="AI36" s="1434">
        <f>sig('Release Calculations'!$AE$693/$AI$4,3,100,0)</f>
        <v>0</v>
      </c>
      <c r="AJ36" s="1435" t="str">
        <f t="shared" si="60"/>
        <v>m</v>
      </c>
      <c r="AK36" s="1434">
        <f>sig('Release Calculations'!$AE$696/$AK$4,3,100,0)</f>
        <v>0</v>
      </c>
      <c r="AL36" s="1435" t="str">
        <f t="shared" si="61"/>
        <v>m</v>
      </c>
      <c r="AM36" s="1434">
        <f>sig('Release Calculations'!$AE$698/$AM$4,3,100,0)</f>
        <v>0</v>
      </c>
      <c r="AN36" s="1435" t="str">
        <f t="shared" si="62"/>
        <v>m</v>
      </c>
      <c r="AO36" s="1434">
        <f>sig('Release Calculations'!$AE$699/$AO$4,3,100,0)</f>
        <v>0</v>
      </c>
      <c r="AP36" s="1452" t="str">
        <f t="shared" si="63"/>
        <v>m</v>
      </c>
      <c r="AQ36" s="1434">
        <f>sig('Release Calculations'!$AE$701/$AQ$4,3,100,0)</f>
        <v>0</v>
      </c>
      <c r="AR36" s="1452" t="str">
        <f t="shared" si="64"/>
        <v>m</v>
      </c>
      <c r="AS36" s="1452" t="str">
        <f t="shared" si="65"/>
        <v/>
      </c>
      <c r="AT36" s="1452" t="str">
        <f t="shared" si="66"/>
        <v/>
      </c>
      <c r="AU36" s="1452" t="str">
        <f t="shared" si="67"/>
        <v/>
      </c>
      <c r="AV36" s="114">
        <f>sig('Release Calculations'!$AE$707,3,1000,-1)</f>
        <v>0</v>
      </c>
      <c r="AW36" s="114">
        <f>sig('Release Calculations'!$AE$708,3,1000,-1)</f>
        <v>0</v>
      </c>
      <c r="AX36" s="114" t="str">
        <f>sig('Release Calculations'!$AE$709,3,1000,0)</f>
        <v/>
      </c>
      <c r="AY36" s="114" t="str">
        <f>sig('Release Calculations'!$AE$710,3,1000,0)</f>
        <v/>
      </c>
      <c r="AZ36" s="114">
        <f>sig('Release Calculations'!$AE$711,3,1000,-1)</f>
        <v>0</v>
      </c>
      <c r="BA36" s="114">
        <f>sig('Release Calculations'!$AE$712,3,1000,-1)</f>
        <v>0</v>
      </c>
      <c r="BB36" s="114" t="str">
        <f>sig('Release Calculations'!$AE$713,3,10,3)</f>
        <v/>
      </c>
      <c r="BC36" s="2576" t="str">
        <f>sig('Release Calculations'!$AE$714,3,10,3)</f>
        <v/>
      </c>
      <c r="BD36" s="2569">
        <f>sig('Release Calculations'!$AE$731/$BD$4,3,100,0)</f>
        <v>0</v>
      </c>
      <c r="BE36" s="1435" t="str">
        <f t="shared" si="34"/>
        <v>m</v>
      </c>
      <c r="BF36" s="2569">
        <f>sig('Release Calculations'!$AE$730/$BF$4,3,100,0)</f>
        <v>0</v>
      </c>
      <c r="BG36" s="1435" t="str">
        <f t="shared" si="34"/>
        <v>m</v>
      </c>
      <c r="BH36" s="1419"/>
      <c r="BI36" s="1422"/>
      <c r="BJ36" s="1419"/>
      <c r="BK36" s="1422"/>
      <c r="BL36" s="2573"/>
      <c r="BM36" s="2573"/>
      <c r="BN36" s="1441"/>
      <c r="BO36" s="1746"/>
      <c r="BP36" s="1503">
        <f>sig('Release Calculations'!$AE$479/$BP$4,3,10,1)</f>
        <v>0</v>
      </c>
      <c r="BQ36" s="1435" t="str">
        <f t="shared" si="58"/>
        <v>kg/min</v>
      </c>
      <c r="BR36" s="1434">
        <f>sig(IF(Relief_Release="Indoors",'Release Calculations'!$AE$722/$BR$4,'Release Calculations'!$AE$736/$BR$4),3,100,0)</f>
        <v>0</v>
      </c>
      <c r="BS36" s="1435" t="str">
        <f t="shared" si="25"/>
        <v>m</v>
      </c>
      <c r="BT36" s="1748">
        <f>ROUND(IF(Location="Indoors",'Release Calculations'!$AE$725,'Release Calculations'!$AE$741),1)</f>
        <v>0</v>
      </c>
      <c r="BU36" s="1748">
        <f>ROUND(IF(Location="Indoors",'Release Calculations'!$AE$727,'Release Calculations'!$AE$745),1)</f>
        <v>0</v>
      </c>
      <c r="BV36" s="1436"/>
      <c r="BW36" s="1442"/>
      <c r="BX36" s="262"/>
      <c r="BY36" s="262"/>
      <c r="BZ36" s="123"/>
      <c r="CA36" s="4" t="str">
        <f>IF(OR(Relief_Release="None",'Release Calculations'!AE$749="NA"),"",'Release Calculations'!AE$749)</f>
        <v/>
      </c>
      <c r="CB36" s="4" t="str">
        <f>IF('Release Calculations'!AE$779="NA","",'Release Calculations'!AE$779)</f>
        <v/>
      </c>
      <c r="CC36" s="4" t="str">
        <f>IF('Release Calculations'!AE$784="NA","",'Release Calculations'!AE$784)</f>
        <v/>
      </c>
      <c r="CD36" s="735" t="str">
        <f>IF('Release Calculations'!AE$789="NA","",'Release Calculations'!AE$789)</f>
        <v/>
      </c>
      <c r="CE36" s="4"/>
      <c r="CF36" s="4" t="str">
        <f>IF('Release Calculations'!AE$794="NA","",'Release Calculations'!AE$794)</f>
        <v/>
      </c>
      <c r="CG36" s="4" t="str">
        <f>IF('Release Calculations'!AE$814="NA","",'Release Calculations'!AE$814)</f>
        <v/>
      </c>
      <c r="CH36" s="4" t="str">
        <f>IF('Release Calculations'!AE$804="NA","",'Release Calculations'!AE$804)</f>
        <v/>
      </c>
      <c r="CI36" s="4"/>
      <c r="CJ36" s="4"/>
      <c r="CK36" s="4"/>
      <c r="CL36" s="19"/>
      <c r="CM36" s="19"/>
      <c r="CN36" s="189" t="str">
        <f>IF(CA36="","",IF('Release Calculations'!AE$695="Yes",IF(CA36=Conseq_VeryLow,Desc_VeryLow,IF(CA36=Conseq_Low,Desc_Low,IF(CA36=Conseq_Moderate,Desc_Moderate,IF(CA36=Conseq_High,Desc_High,IF(CA36=Conseq_VeryHigh,Desc_VeryHigh,IF(CA36=Conseq_ExtremeHigh,Desc_ExtremeHigh,Desc_GT_ExtremeHigh)))))),IF(CA36=Conseq_Low_Offsite,Desc_Low_Offsite,Desc_VeryLow_Offsite)))</f>
        <v/>
      </c>
      <c r="CO36" s="189" t="str">
        <f t="shared" si="73"/>
        <v/>
      </c>
      <c r="CP36" s="189" t="str">
        <f t="shared" si="74"/>
        <v/>
      </c>
      <c r="CQ36" s="189" t="str">
        <f t="shared" si="75"/>
        <v/>
      </c>
      <c r="CR36" s="67"/>
      <c r="CS36" s="189" t="str">
        <f t="shared" si="59"/>
        <v/>
      </c>
      <c r="CT36" s="189" t="str">
        <f t="shared" si="68"/>
        <v/>
      </c>
      <c r="CU36" s="189" t="str">
        <f t="shared" si="69"/>
        <v/>
      </c>
      <c r="CV36" s="67"/>
      <c r="CW36" s="67"/>
      <c r="CX36" s="67"/>
      <c r="CY36" s="40"/>
      <c r="CZ36" s="189" t="str">
        <f>IF(CA36="","",IF('Release Calculations'!AE$695="Yes"," at a "&amp;$AI$3&amp;" of "&amp;AI36&amp;" "&amp;AJ36&amp;" which exceeds Distance to the Fence Line of "&amp;Public_Input&amp;" "&amp;Public_Units))</f>
        <v/>
      </c>
      <c r="DA36" s="189" t="str">
        <f>IF(CB36="","",IF('Release Calculations'!$AE$305="Yes"," with operating personnel in close proximity and a "&amp;$AM$3&amp;" of "&amp;AM36&amp;" "&amp;AN36," at a "&amp;$AM$3&amp;" of "&amp;AM36&amp;" "&amp;AN36)&amp;IF('Release Calculations'!$AE$698&gt;Public," which exceeds Distance to the Fence Line of "&amp;Public_Input&amp;" "&amp;Public_Units&amp;".  Target Factor may be conservative",))</f>
        <v/>
      </c>
      <c r="DB36" s="226" t="str">
        <f>IF(CC36="","",IF('Release Calculations'!AE716="Yes","and Potential for Asphyxiation","")&amp;IF('Release Calculations'!AE$305="Yes"," with operations personnel in close proximity at an "&amp;$AZ$3&amp;" of "&amp;AZ36&amp;" ppm"," at an "&amp;$AZ$3&amp;" of "&amp;AZ36&amp;" ppm"))</f>
        <v/>
      </c>
      <c r="DC36" s="189" t="str">
        <f t="shared" si="70"/>
        <v/>
      </c>
      <c r="DD36" s="67"/>
      <c r="DE36" s="189" t="str">
        <f>IF(CF36="","",IF('Release Calculations'!$AE$305="Yes"," with operating personnel in close proximity and a "&amp;$BF$3&amp;" of "&amp;BF36&amp;" "&amp;BG36," at a "&amp;$BF$3&amp;" of "&amp;BF36&amp;" "&amp;BG36))</f>
        <v/>
      </c>
      <c r="DF36" s="189" t="str">
        <f>IF(CG36="","",IF('Release Calculations'!AE$737="Yes"," with "&amp;$BR$3&amp;" of "&amp;BR36&amp;" "&amp;BS36&amp;IF('Release Calculations'!AE$746&lt;&gt;"Yes",""," including "&amp;$BT$3&amp;" of "&amp;BT36&amp;" psi.")&amp;" 1 psi Blast Overpresssure exceeds Distance to the Fence Line of "&amp;Public_Input&amp;" "&amp;Public_Units&amp;".  Consider adjustment for Off-Site Impacts",IF('Release Calculations'!AE$746&lt;&gt;"Yes"," impacting on site personnel at a "&amp;$BR$3&amp;" of "&amp;BR36&amp;" "&amp;BS36," impacting on site personnel at a "&amp;$BR$3&amp;" of "&amp;BR36&amp;" "&amp;BS36&amp;" including "&amp;$BT$3&amp;" of "&amp;BT36&amp;" psi")))</f>
        <v/>
      </c>
      <c r="DG36" s="189" t="str">
        <f>IF(CH36="","",IF('Release Calculations'!AE$723="Yes"," with "&amp;$BR$3&amp;" of "&amp;BR36&amp;" "&amp;BS36&amp;IF('Release Calculations'!AE$728&lt;&gt;"Yes",""," including "&amp;$BT$3&amp;" of "&amp;BT36&amp;" psi.")&amp;"  1 psi Blast Overpresssure exceeds Distance to the Fence Line of "&amp;Public_Input&amp;" "&amp;Public_Units&amp;".  Consider adjustment for Off-Site Impacts",IF('Release Calculations'!AE$728&lt;&gt;"Yes"," impacting enclosed area operating personnel, on site personnel at a "&amp;$BR$3&amp;" of "&amp;BR36&amp;" "&amp;BS36," impacting enclosed area operating personnel, on site personnel at a "&amp;$BR$3&amp;" of "&amp;BR36&amp;" "&amp;BS36&amp;" including "&amp;$BT$3&amp;" of "&amp;BT36&amp;" psi")))</f>
        <v/>
      </c>
      <c r="DH36" s="67"/>
      <c r="DI36" s="67"/>
      <c r="DJ36" s="67"/>
      <c r="DK36" s="19"/>
      <c r="DL36" s="39"/>
      <c r="DM36" s="239">
        <f>'Release Calculations'!AE$777</f>
        <v>0</v>
      </c>
      <c r="DN36" s="239">
        <f>'Release Calculations'!AE$782</f>
        <v>0</v>
      </c>
      <c r="DO36" s="34"/>
      <c r="DP36" s="34"/>
      <c r="DQ36" s="239">
        <f>'Release Calculations'!AE$792</f>
        <v>0</v>
      </c>
      <c r="DR36" s="34"/>
      <c r="DS36" s="34"/>
      <c r="DT36" s="34"/>
      <c r="DU36" s="34"/>
      <c r="DV36" s="6"/>
      <c r="DW36" s="40"/>
      <c r="DX36" s="250"/>
      <c r="DY36" s="249" t="s">
        <v>2983</v>
      </c>
      <c r="DZ36" s="250" t="s">
        <v>292</v>
      </c>
      <c r="EA36" s="740"/>
      <c r="EB36" s="249" t="str">
        <f t="shared" si="76"/>
        <v>Probability of Exposure to Hot or Toxic Material</v>
      </c>
      <c r="EC36" s="249" t="s">
        <v>292</v>
      </c>
      <c r="ED36" s="248"/>
      <c r="EE36" s="248"/>
      <c r="EF36" s="248"/>
      <c r="EG36" s="248"/>
      <c r="EH36" s="248"/>
      <c r="EI36" s="19"/>
      <c r="EJ36" s="250"/>
      <c r="EK36" s="249" t="str">
        <f>IF(Attended_Op="Yes","Noted as Personnel Routinely in Immediate Area or Equipment Type involves Materials Handling - "&amp;IF('Release Calculations'!AE613*3600&lt;30," with a very Short Exposure Duration (&lt; 30 sec)","Time at Risk May Apply"),"Probability of Personnel to be in Close Proximity to Chemical Release based on Toxic Impact Area to "&amp;AM36&amp;" "&amp;AN36&amp;IF('Release Calculations'!AE776&lt;0.01," (with potential for higher POE credit upon further review)",""))</f>
        <v>Probability of Personnel to be in Close Proximity to Chemical Release based on Toxic Impact Area to 0 m (with potential for higher POE credit upon further review)</v>
      </c>
      <c r="EL36" s="250" t="str">
        <f>IF(Attended_Op="Yes","Noted as Personnel Routinely in Immediate Area or Equipment Type involves Materials Handling - Time at Risk May Apply","Probability of Personnel to be in Close Proximity to Chemical Release based on Ratio Enclosed Process Area Concentation of "&amp;AZ36&amp;" ppm to 10 ER-3 for "&amp;Chemical&amp;IF(Fract_Key_Chemical&lt;1," mixture "," ")&amp;IF('Release Calculations'!$AE$781&lt;0.01,"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36" s="248"/>
      <c r="EN36" s="248"/>
      <c r="EO36"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"&amp;AZ36&amp;" to "&amp;LFL_Fract_FlashFIre&amp;" LFL","Flammable Impact Area to "&amp;BF36&amp;" "&amp;BG36)&amp;IF('Release Calculations'!$AE$791&lt;0.01," (with potential for higher POE credit upon further review)",""))</f>
        <v>Probability of Personnel to be in Close Proximity to Chemical Release based on Flammable Impact Area to 0 m (with potential for higher POE credit upon further review)</v>
      </c>
      <c r="EP36" s="248"/>
      <c r="EQ36" s="248"/>
      <c r="ER36" s="248"/>
      <c r="ES36" s="248"/>
      <c r="ET36" s="248"/>
      <c r="EU36" s="19"/>
      <c r="EV36" s="1379"/>
      <c r="EW36" s="957">
        <f>'Release Calculations'!AE776</f>
        <v>6.0000000000000008E-7</v>
      </c>
      <c r="EX36" s="957">
        <f>'Release Calculations'!$AE$781</f>
        <v>0</v>
      </c>
      <c r="EY36" s="1380"/>
      <c r="EZ36" s="1380"/>
      <c r="FA36" s="957">
        <f>'Release Calculations'!$AE$791</f>
        <v>0</v>
      </c>
      <c r="FB36" s="6"/>
      <c r="FC36" s="6"/>
      <c r="FD36" s="6"/>
      <c r="FE36" s="6"/>
      <c r="FF36" s="6"/>
      <c r="FG36" s="19"/>
      <c r="FH36" s="34"/>
      <c r="FI36" s="34"/>
      <c r="FJ36" s="34"/>
      <c r="FK36" s="739"/>
      <c r="FL36" s="34"/>
      <c r="FM36" s="239" t="str">
        <f>IF(Relief_Release="Outdoors",'Release Calculations'!AE$734,'Release Calculations'!AE$720)</f>
        <v/>
      </c>
      <c r="FN36" s="239" t="str">
        <f>'Release Calculations'!AE$735</f>
        <v/>
      </c>
      <c r="FO36" s="39" t="str">
        <f>IF(State&lt;&gt;"Solid",'Release Calculations'!AE$720,Dust_SecondExpl_POE)</f>
        <v/>
      </c>
      <c r="FP36" s="34"/>
      <c r="FQ36" s="34"/>
      <c r="FR36" s="6"/>
      <c r="FS36" s="40"/>
      <c r="FT36" s="248"/>
      <c r="FU36" s="248"/>
      <c r="FV36" s="248"/>
      <c r="FW36" s="741"/>
      <c r="FX36" s="248"/>
      <c r="FY36" s="249" t="s">
        <v>1461</v>
      </c>
      <c r="FZ36" s="249" t="s">
        <v>1460</v>
      </c>
      <c r="GA36" s="250" t="s">
        <v>1461</v>
      </c>
      <c r="GB36" s="248"/>
      <c r="GC36" s="248"/>
      <c r="GD36" s="248"/>
      <c r="GE36" s="19"/>
      <c r="GF36" s="248"/>
      <c r="GG36" s="248"/>
      <c r="GH36" s="248"/>
      <c r="GI36" s="741"/>
      <c r="GJ36" s="248"/>
      <c r="GK36" s="4" t="str">
        <f t="shared" ref="GK36:GK48" si="79">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"&amp;BP36&amp;" "&amp;BQ36&amp;" Easily Ignited Material with Distance to LFL of "&amp;BD36&amp;" "&amp;BE36,IF(Ease_of_Ignition_Feed="Low","Outdoor Release of Difficult to Ignite Material","Outdoor release of "&amp;BP36&amp;" "&amp;BQ36&amp;" Flammable Material with Distance to LFL of "&amp;BD36&amp;" "&amp;BE36)),IF(Ease_of_Ignition_Feed="Elevated","Indoor Release of Easily Ignited Material",IF(Ease_of_Ignition_Feed="Low","Indoor Release of Difficult to Ignite Material","Indoor Release of Flammable Material")))))))</f>
        <v>No Flash Point Entered</v>
      </c>
      <c r="GL36" s="2581" t="str">
        <f t="shared" si="71"/>
        <v>No Flash Point Entered</v>
      </c>
      <c r="GM36" s="250" t="str">
        <f t="shared" si="72"/>
        <v>Indoor Release of Flammable Material-POX</v>
      </c>
      <c r="GN36" s="248"/>
      <c r="GO36" s="248"/>
      <c r="GP36" s="248"/>
      <c r="GQ36" s="19"/>
      <c r="GR36" s="189" t="str">
        <f t="shared" si="35"/>
        <v/>
      </c>
      <c r="GS36" s="19"/>
      <c r="GT36" s="35"/>
      <c r="GU36" s="26"/>
      <c r="GV36" s="26"/>
      <c r="GW36" s="19"/>
      <c r="GX36" s="19"/>
      <c r="GY36" s="19"/>
      <c r="GZ36" s="19"/>
      <c r="HA36" s="19"/>
      <c r="HB36" s="19"/>
      <c r="HC36" s="19"/>
      <c r="HD36" s="19"/>
      <c r="HE36" s="19"/>
      <c r="HF36" s="19"/>
      <c r="HG36" s="19"/>
      <c r="HH36" s="19"/>
      <c r="HI36" s="19"/>
    </row>
    <row r="37" spans="1:220" s="5" customFormat="1" ht="12.75" customHeight="1" x14ac:dyDescent="0.25">
      <c r="A37" s="35"/>
      <c r="B37" s="64" t="str">
        <f>'Scenario Identification'!CP3</f>
        <v>Vapor Displacement from Liquid Filling</v>
      </c>
      <c r="C37" s="1457" t="str">
        <f t="shared" si="10"/>
        <v/>
      </c>
      <c r="D37" s="65"/>
      <c r="E37" s="2483" t="str">
        <f>IF(MAX('Release Calculations'!AG441,1-'Release Calculations'!AG469,ABS(MIN('Release Calculations'!AG441,1-'Release Calculations'!AG469)))&gt;$E$4,"Yes","")</f>
        <v/>
      </c>
      <c r="F37" s="1418" t="s">
        <v>428</v>
      </c>
      <c r="G37" s="1434">
        <f t="shared" si="11"/>
        <v>0</v>
      </c>
      <c r="H37" s="1427" t="str">
        <f t="shared" si="31"/>
        <v>liter</v>
      </c>
      <c r="I37" s="1418"/>
      <c r="J37" s="1421"/>
      <c r="K37" s="1427">
        <f t="shared" si="57"/>
        <v>0</v>
      </c>
      <c r="L37" s="1434">
        <f>sig('Release Calculations'!$AG$451/$L$4,3,100,0)</f>
        <v>0</v>
      </c>
      <c r="M37" s="1435" t="str">
        <f t="shared" si="13"/>
        <v>kg</v>
      </c>
      <c r="N37" s="1432" t="str">
        <f t="shared" si="78"/>
        <v xml:space="preserve">Liquid:   ,  ,  ,  ,  </v>
      </c>
      <c r="O37" s="1434">
        <f>ROUND('Release Calculations'!$AG$430,0)</f>
        <v>0</v>
      </c>
      <c r="P37" s="1434">
        <f>ROUND('Release Calculations'!$AG$429/$P$4,2)</f>
        <v>0</v>
      </c>
      <c r="Q37" s="1446" t="str">
        <f t="shared" si="15"/>
        <v>bar</v>
      </c>
      <c r="R37" s="1434">
        <f>sig('Release Calculations'!$AG$432/$AG$4,3,10,0)</f>
        <v>0</v>
      </c>
      <c r="S37" s="1447" t="str">
        <f t="shared" si="16"/>
        <v>kg/min</v>
      </c>
      <c r="T37" s="1435">
        <f>ROUND('Release Calculations'!$AG$448/$T$4,0)</f>
        <v>60</v>
      </c>
      <c r="U37" s="1434">
        <f>ROUND(('Release Calculations'!$AG$448+'Release Calculations'!$AG$449)/$U$4,0)</f>
        <v>60</v>
      </c>
      <c r="V37" s="1434"/>
      <c r="W37" s="1435"/>
      <c r="X37" s="1438">
        <f>ROUND('Release Calculations'!AG$616,3)</f>
        <v>0</v>
      </c>
      <c r="Y37" s="1458" t="str">
        <f>IF('Release Calculations'!$AG$629="","",sig('Release Calculations'!$AG$629,3,1000,0))</f>
        <v/>
      </c>
      <c r="Z37" s="1458" t="str">
        <f>IF('Release Calculations'!$AG$636="","",sig('Release Calculations'!$AG$636,3,1000,0))</f>
        <v/>
      </c>
      <c r="AA37" s="1458" t="str">
        <f>IF('Release Calculations'!$AG$664="","",sig('Release Calculations'!$AG$664,3,1000,0))</f>
        <v/>
      </c>
      <c r="AB37" s="1458" t="str">
        <f>IF('Release Calculations'!$AG$671="","",sig('Release Calculations'!$AG$671,3,1000,0))</f>
        <v/>
      </c>
      <c r="AC37" s="1458" t="str">
        <f>IF('Release Calculations'!$AG$678="","",sig('Release Calculations'!$AG$678,3,1000,0))</f>
        <v/>
      </c>
      <c r="AD37" s="1196" t="str">
        <f>IF('Release Calculations'!$AG$657="","",ROUND('Release Calculations'!$AG$657,1))</f>
        <v/>
      </c>
      <c r="AE37" s="1434">
        <f>sig('Release Calculations'!$AG$451/$AE$4,3,100,0)</f>
        <v>0</v>
      </c>
      <c r="AF37" s="1435" t="str">
        <f t="shared" si="17"/>
        <v>kg</v>
      </c>
      <c r="AG37" s="1326">
        <f>sig('Release Calculations'!AG$478/$AG$4,3,10,3)</f>
        <v>3.0000000000000001E-3</v>
      </c>
      <c r="AH37" s="1435" t="str">
        <f t="shared" si="33"/>
        <v>kg/min</v>
      </c>
      <c r="AI37" s="1434">
        <f>sig('Release Calculations'!$AG$693/$AI$4,3,100,0)</f>
        <v>0</v>
      </c>
      <c r="AJ37" s="1435" t="str">
        <f t="shared" si="60"/>
        <v>m</v>
      </c>
      <c r="AK37" s="1434">
        <f>sig('Release Calculations'!$AG$696/$AK$4,3,100,0)</f>
        <v>0</v>
      </c>
      <c r="AL37" s="1435" t="str">
        <f t="shared" si="61"/>
        <v>m</v>
      </c>
      <c r="AM37" s="1434">
        <f>sig('Release Calculations'!$AG$698/$AM$4,3,100,0)</f>
        <v>0</v>
      </c>
      <c r="AN37" s="1435" t="str">
        <f t="shared" si="62"/>
        <v>m</v>
      </c>
      <c r="AO37" s="1434">
        <f>sig('Release Calculations'!$AG$699/$AO$4,3,100,0)</f>
        <v>0</v>
      </c>
      <c r="AP37" s="1452" t="str">
        <f t="shared" si="63"/>
        <v>m</v>
      </c>
      <c r="AQ37" s="1434">
        <f>sig('Release Calculations'!$AG$701/$AQ$4,3,100,0)</f>
        <v>0</v>
      </c>
      <c r="AR37" s="1452" t="str">
        <f t="shared" si="64"/>
        <v>m</v>
      </c>
      <c r="AS37" s="1452" t="str">
        <f t="shared" si="65"/>
        <v/>
      </c>
      <c r="AT37" s="1452" t="str">
        <f t="shared" si="66"/>
        <v/>
      </c>
      <c r="AU37" s="1452" t="str">
        <f t="shared" si="67"/>
        <v/>
      </c>
      <c r="AV37" s="114">
        <f>sig('Release Calculations'!$AG$707,3,1000,-1)</f>
        <v>0</v>
      </c>
      <c r="AW37" s="114">
        <f>sig('Release Calculations'!$AG$708,3,1000,-1)</f>
        <v>0</v>
      </c>
      <c r="AX37" s="114" t="str">
        <f>sig('Release Calculations'!$AG$709,3,1000,0)</f>
        <v/>
      </c>
      <c r="AY37" s="114" t="str">
        <f>sig('Release Calculations'!$AG$710,3,1000,0)</f>
        <v/>
      </c>
      <c r="AZ37" s="114">
        <f>sig('Release Calculations'!$AG$711,3,1000,-1)</f>
        <v>0</v>
      </c>
      <c r="BA37" s="114">
        <f>sig('Release Calculations'!$AG$712,3,1000,-1)</f>
        <v>0</v>
      </c>
      <c r="BB37" s="114" t="str">
        <f>sig('Release Calculations'!$AG$713,3,10,3)</f>
        <v/>
      </c>
      <c r="BC37" s="2576" t="str">
        <f>sig('Release Calculations'!$AG$714,3,10,3)</f>
        <v/>
      </c>
      <c r="BD37" s="2569">
        <f>sig('Release Calculations'!$AG$731/$BD$4,3,100,0)</f>
        <v>0</v>
      </c>
      <c r="BE37" s="1435" t="str">
        <f t="shared" si="34"/>
        <v>m</v>
      </c>
      <c r="BF37" s="2569">
        <f>sig('Release Calculations'!$AG$730/$BF$4,3,100,0)</f>
        <v>0</v>
      </c>
      <c r="BG37" s="1435" t="str">
        <f t="shared" si="34"/>
        <v>m</v>
      </c>
      <c r="BH37" s="1419"/>
      <c r="BI37" s="1422"/>
      <c r="BJ37" s="1419"/>
      <c r="BK37" s="1422"/>
      <c r="BL37" s="2573"/>
      <c r="BM37" s="2573"/>
      <c r="BN37" s="1441"/>
      <c r="BO37" s="1746"/>
      <c r="BP37" s="1503">
        <f>sig('Release Calculations'!$AG$479/$BP$4,3,10,1)</f>
        <v>0</v>
      </c>
      <c r="BQ37" s="1435" t="str">
        <f t="shared" si="58"/>
        <v>kg/min</v>
      </c>
      <c r="BR37" s="1434">
        <f>sig(IF(Relief_Release="Indoors",'Release Calculations'!$AG$722/$BR$4,'Release Calculations'!$AG$736/$BR$4),3,100,0)</f>
        <v>0</v>
      </c>
      <c r="BS37" s="1435" t="str">
        <f t="shared" si="25"/>
        <v>m</v>
      </c>
      <c r="BT37" s="1748">
        <f>ROUND(IF(Location="Indoors",'Release Calculations'!$AG$725,'Release Calculations'!$AG$741),1)</f>
        <v>0</v>
      </c>
      <c r="BU37" s="1748">
        <f>ROUND(IF(Location="Indoors",'Release Calculations'!$AG$727,'Release Calculations'!$AG$745),1)</f>
        <v>0</v>
      </c>
      <c r="BV37" s="1436"/>
      <c r="BW37" s="1442"/>
      <c r="BX37" s="262"/>
      <c r="BY37" s="262"/>
      <c r="BZ37" s="123"/>
      <c r="CA37" s="4" t="str">
        <f>IF(OR(Relief_Release="None",'Release Calculations'!AG$749="NA"),"",'Release Calculations'!AG$749)</f>
        <v/>
      </c>
      <c r="CB37" s="4" t="str">
        <f>IF('Release Calculations'!AG$779="NA","",'Release Calculations'!AG$779)</f>
        <v/>
      </c>
      <c r="CC37" s="4" t="str">
        <f>IF('Release Calculations'!AG$784="NA","",'Release Calculations'!AG$784)</f>
        <v/>
      </c>
      <c r="CD37" s="735" t="str">
        <f>IF('Release Calculations'!AG$789="NA","",'Release Calculations'!AG$789)</f>
        <v/>
      </c>
      <c r="CE37" s="4"/>
      <c r="CF37" s="4" t="str">
        <f>IF('Release Calculations'!AG$794="NA","",'Release Calculations'!AG$794)</f>
        <v/>
      </c>
      <c r="CG37" s="4" t="str">
        <f>IF('Release Calculations'!AG$814="NA","",'Release Calculations'!AG$814)</f>
        <v/>
      </c>
      <c r="CH37" s="4" t="str">
        <f>IF('Release Calculations'!AG$804="NA","",'Release Calculations'!AG$804)</f>
        <v/>
      </c>
      <c r="CI37" s="4"/>
      <c r="CJ37" s="4"/>
      <c r="CK37" s="4"/>
      <c r="CL37" s="19"/>
      <c r="CM37" s="19"/>
      <c r="CN37" s="189" t="str">
        <f>IF(CA37="","",IF('Release Calculations'!AG$695="Yes",IF(CA37=Conseq_VeryLow,Desc_VeryLow,IF(CA37=Conseq_Low,Desc_Low,IF(CA37=Conseq_Moderate,Desc_Moderate,IF(CA37=Conseq_High,Desc_High,IF(CA37=Conseq_VeryHigh,Desc_VeryHigh,IF(CA37=Conseq_ExtremeHigh,Desc_ExtremeHigh,Desc_GT_ExtremeHigh)))))),IF(CA37=Conseq_Low_Offsite,Desc_Low_Offsite,Desc_VeryLow_Offsite)))</f>
        <v/>
      </c>
      <c r="CO37" s="189" t="str">
        <f t="shared" si="73"/>
        <v/>
      </c>
      <c r="CP37" s="189" t="str">
        <f t="shared" si="74"/>
        <v/>
      </c>
      <c r="CQ37" s="189" t="str">
        <f t="shared" si="75"/>
        <v/>
      </c>
      <c r="CR37" s="67"/>
      <c r="CS37" s="189" t="str">
        <f t="shared" si="59"/>
        <v/>
      </c>
      <c r="CT37" s="189" t="str">
        <f t="shared" si="68"/>
        <v/>
      </c>
      <c r="CU37" s="189" t="str">
        <f t="shared" si="69"/>
        <v/>
      </c>
      <c r="CV37" s="67"/>
      <c r="CW37" s="67"/>
      <c r="CX37" s="67"/>
      <c r="CY37" s="40"/>
      <c r="CZ37" s="189" t="str">
        <f>IF(CA37="","",IF('Release Calculations'!AG$695="Yes"," at a "&amp;$AI$3&amp;" of "&amp;AI37&amp;" "&amp;AJ37&amp;" which exceeds Distance to the Fence Line of "&amp;Public_Input&amp;" "&amp;Public_Units))</f>
        <v/>
      </c>
      <c r="DA37" s="189" t="str">
        <f>IF(CB37="","",IF('Release Calculations'!$AG$305="Yes"," with operating personnel in close proximity and a "&amp;$AM$3&amp;" of "&amp;AM37&amp;" "&amp;AN37," at a "&amp;$AM$3&amp;" of "&amp;AM37&amp;" "&amp;AN37)&amp;IF('Release Calculations'!$AG$698&gt;Public," which exceeds Distance to the Fence Line of "&amp;Public_Input&amp;" "&amp;Public_Units&amp;".  Target Factor may be conservative",))</f>
        <v/>
      </c>
      <c r="DB37" s="226" t="str">
        <f>IF(CC37="","",IF('Release Calculations'!AG716="Yes","and Potential for Asphyxiation","")&amp;IF('Release Calculations'!AG$305="Yes"," with operations personnel in close proximity at an "&amp;$AZ$3&amp;" of "&amp;AZ37&amp;" ppm"," at an "&amp;$AZ$3&amp;" of "&amp;AZ37&amp;" ppm"))</f>
        <v/>
      </c>
      <c r="DC37" s="189" t="str">
        <f t="shared" si="70"/>
        <v/>
      </c>
      <c r="DD37" s="67"/>
      <c r="DE37" s="189" t="str">
        <f>IF(CF37="","",IF('Release Calculations'!$AK$305="Yes"," with operating personnel in close proximity and a "&amp;$BF$3&amp;" of "&amp;BF37&amp;" "&amp;BG37," at a "&amp;$BF$3&amp;" of "&amp;BF37&amp;" "&amp;BG37))</f>
        <v/>
      </c>
      <c r="DF37" s="189" t="str">
        <f>IF(CG37="","",IF('Release Calculations'!AG$737="Yes"," with "&amp;$BR$3&amp;" of "&amp;BR37&amp;" "&amp;BS37&amp;IF('Release Calculations'!AG$746&lt;&gt;"Yes",""," including "&amp;$BT$3&amp;" of "&amp;BT37&amp;" psi.")&amp;" 1 psi Blast Overpresssure exceeds Distance to the Fence Line of "&amp;Public_Input&amp;" "&amp;Public_Units&amp;".  Consider adjustment for Off-Site Impacts",IF('Release Calculations'!AG$746&lt;&gt;"Yes"," impacting on site personnel at a "&amp;$BR$3&amp;" of "&amp;BR37&amp;" "&amp;BS37," impacting on site personnel at a "&amp;$BR$3&amp;" of "&amp;BR37&amp;" "&amp;BS37&amp;" including "&amp;$BT$3&amp;" of "&amp;BT37&amp;" psi")))</f>
        <v/>
      </c>
      <c r="DG37" s="189" t="str">
        <f>IF(CH37="","",IF('Release Calculations'!AG$723="Yes"," with "&amp;$BR$3&amp;" of "&amp;BR37&amp;" "&amp;BS37&amp;IF('Release Calculations'!AG$728&lt;&gt;"Yes",""," including "&amp;$BT$3&amp;" of "&amp;BT37&amp;" psi.")&amp;"  1 psi Blast Overpresssure exceeds Distance to the Fence Line of "&amp;Public_Input&amp;" "&amp;Public_Units&amp;".  Consider adjustment for Off-Site Impacts",IF('Release Calculations'!AG$728&lt;&gt;"Yes"," impacting enclosed area operating personnel, on site personnel at a "&amp;$BR$3&amp;" of "&amp;BR37&amp;" "&amp;BS37," impacting enclosed area operating personnel, on site personnel at a "&amp;$BR$3&amp;" of "&amp;BR37&amp;" "&amp;BS37&amp;" including "&amp;$BT$3&amp;" of "&amp;BT37&amp;" psi")))</f>
        <v/>
      </c>
      <c r="DH37" s="67"/>
      <c r="DI37" s="67"/>
      <c r="DJ37" s="67"/>
      <c r="DK37" s="19"/>
      <c r="DL37" s="39"/>
      <c r="DM37" s="239">
        <f>'Release Calculations'!AG$777</f>
        <v>0</v>
      </c>
      <c r="DN37" s="239">
        <f>'Release Calculations'!AG$782</f>
        <v>0</v>
      </c>
      <c r="DO37" s="34"/>
      <c r="DP37" s="34"/>
      <c r="DQ37" s="239">
        <f>'Release Calculations'!AG$792</f>
        <v>0</v>
      </c>
      <c r="DR37" s="34"/>
      <c r="DS37" s="34"/>
      <c r="DT37" s="34"/>
      <c r="DU37" s="34"/>
      <c r="DV37" s="6"/>
      <c r="DW37" s="40"/>
      <c r="DX37" s="250"/>
      <c r="DY37" s="249" t="s">
        <v>2983</v>
      </c>
      <c r="DZ37" s="250" t="s">
        <v>292</v>
      </c>
      <c r="EA37" s="740"/>
      <c r="EB37" s="249" t="str">
        <f t="shared" si="76"/>
        <v>Probability of Exposure to Hot or Toxic Material</v>
      </c>
      <c r="EC37" s="249" t="s">
        <v>292</v>
      </c>
      <c r="ED37" s="248"/>
      <c r="EE37" s="248"/>
      <c r="EF37" s="248"/>
      <c r="EG37" s="248"/>
      <c r="EH37" s="248"/>
      <c r="EI37" s="19"/>
      <c r="EJ37" s="250"/>
      <c r="EK37" s="249" t="str">
        <f>IF(Attended_Op="Yes","Noted as Personnel Routinely in Immediate Area or Equipment Type involves Materials Handling - "&amp;IF('Release Calculations'!AG613*3600&lt;30," with a very Short Exposure Duration (&lt; 30 sec)","Time at Risk May Apply"),"Probability of Personnel to be in Close Proximity to Chemical Release based on Toxic Impact Area to "&amp;AM37&amp;" "&amp;AN37&amp;IF('Release Calculations'!AG776&lt;0.01," (with potential for higher POE credit upon further review)",""))</f>
        <v>Probability of Personnel to be in Close Proximity to Chemical Release based on Toxic Impact Area to 0 m (with potential for higher POE credit upon further review)</v>
      </c>
      <c r="EL37" s="250" t="str">
        <f>IF(Attended_Op="Yes","Noted as Personnel Routinely in Immediate Area or Equipment Type involves Materials Handling - Time at Risk May Apply","Probability of Personnel to be in Close Proximity to Chemical Release based on Ratio Enclosed Process Area Concentation of "&amp;AZ37&amp;" ppm to 10 ER-3 for "&amp;Chemical&amp;IF(Fract_Key_Chemical&lt;1," mixture "," ")&amp;IF('Release Calculations'!$AG$781&lt;0.01,"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37" s="248"/>
      <c r="EN37" s="248"/>
      <c r="EO37"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"&amp;AZ37&amp;" to "&amp;LFL_Fract_FlashFIre&amp;" LFL","Flammable Impact Area to "&amp;BF37&amp;" "&amp;BG37)&amp;IF('Release Calculations'!$AG$791&lt;0.01," (with potential for higher POE credit upon further review)",""))</f>
        <v>Probability of Personnel to be in Close Proximity to Chemical Release based on Flammable Impact Area to 0 m (with potential for higher POE credit upon further review)</v>
      </c>
      <c r="EP37" s="248"/>
      <c r="EQ37" s="248"/>
      <c r="ER37" s="248"/>
      <c r="ES37" s="248"/>
      <c r="ET37" s="248"/>
      <c r="EU37" s="19"/>
      <c r="EV37" s="1379"/>
      <c r="EW37" s="957">
        <f>'Release Calculations'!AG776</f>
        <v>6.0000000000000008E-7</v>
      </c>
      <c r="EX37" s="957">
        <f>'Release Calculations'!$AG$781</f>
        <v>0</v>
      </c>
      <c r="EY37" s="1380"/>
      <c r="EZ37" s="1380"/>
      <c r="FA37" s="957">
        <f>'Release Calculations'!$AG$791</f>
        <v>0</v>
      </c>
      <c r="FB37" s="6"/>
      <c r="FC37" s="6"/>
      <c r="FD37" s="6"/>
      <c r="FE37" s="6"/>
      <c r="FF37" s="6"/>
      <c r="FG37" s="19"/>
      <c r="FH37" s="34"/>
      <c r="FI37" s="34"/>
      <c r="FJ37" s="34"/>
      <c r="FK37" s="739"/>
      <c r="FL37" s="34"/>
      <c r="FM37" s="239" t="str">
        <f>IF(Relief_Release="Outdoors",'Release Calculations'!AG$734,'Release Calculations'!AG$720)</f>
        <v/>
      </c>
      <c r="FN37" s="239" t="str">
        <f>'Release Calculations'!AG$735</f>
        <v/>
      </c>
      <c r="FO37" s="39" t="str">
        <f>IF(State&lt;&gt;"Solid",'Release Calculations'!AG$720,Dust_SecondExpl_POE)</f>
        <v/>
      </c>
      <c r="FP37" s="34"/>
      <c r="FQ37" s="34"/>
      <c r="FR37" s="6"/>
      <c r="FS37" s="40"/>
      <c r="FT37" s="248"/>
      <c r="FU37" s="248"/>
      <c r="FV37" s="248"/>
      <c r="FW37" s="741"/>
      <c r="FX37" s="248"/>
      <c r="FY37" s="249" t="s">
        <v>1461</v>
      </c>
      <c r="FZ37" s="249" t="s">
        <v>1460</v>
      </c>
      <c r="GA37" s="250" t="s">
        <v>1461</v>
      </c>
      <c r="GB37" s="248"/>
      <c r="GC37" s="248"/>
      <c r="GD37" s="248"/>
      <c r="GE37" s="19"/>
      <c r="GF37" s="248"/>
      <c r="GG37" s="248"/>
      <c r="GH37" s="248"/>
      <c r="GI37" s="741"/>
      <c r="GJ37" s="248"/>
      <c r="GK37" s="4" t="str">
        <f t="shared" si="79"/>
        <v>No Flash Point Entered</v>
      </c>
      <c r="GL37" s="2581" t="str">
        <f t="shared" si="71"/>
        <v>No Flash Point Entered</v>
      </c>
      <c r="GM37" s="250" t="str">
        <f t="shared" si="72"/>
        <v>Indoor Release of Flammable Material-POX</v>
      </c>
      <c r="GN37" s="248"/>
      <c r="GO37" s="248"/>
      <c r="GP37" s="248"/>
      <c r="GQ37" s="19"/>
      <c r="GR37" s="189" t="str">
        <f t="shared" si="35"/>
        <v/>
      </c>
      <c r="GS37" s="19"/>
      <c r="GT37" s="35"/>
      <c r="GU37" s="26"/>
      <c r="GV37" s="26"/>
      <c r="GW37" s="19"/>
      <c r="GX37" s="19"/>
      <c r="GY37" s="19"/>
      <c r="GZ37" s="19"/>
      <c r="HA37" s="19"/>
      <c r="HB37" s="19"/>
      <c r="HC37" s="19"/>
      <c r="HD37" s="19"/>
      <c r="HE37" s="19"/>
      <c r="HF37" s="19"/>
      <c r="HG37" s="19"/>
      <c r="HH37" s="19"/>
      <c r="HI37" s="19"/>
    </row>
    <row r="38" spans="1:220" s="5" customFormat="1" ht="12.75" customHeight="1" x14ac:dyDescent="0.25">
      <c r="A38" s="35"/>
      <c r="B38" s="64" t="str">
        <f>'Scenario Identification'!CQ3</f>
        <v>USER DEFINED LEAK RATE</v>
      </c>
      <c r="C38" s="1457" t="str">
        <f t="shared" si="10"/>
        <v/>
      </c>
      <c r="D38" s="65"/>
      <c r="E38" s="2483" t="str">
        <f>IF(MAX('Release Calculations'!AK35,'Release Calculations'!AK43,'Release Calculations'!AK62,1-'Release Calculations'!AK82,ABS(MIN('Release Calculations'!AK35,'Release Calculations'!AK43,'Release Calculations'!AK62,1-'Release Calculations'!AK82)))&gt;$E$4,"Yes","")</f>
        <v/>
      </c>
      <c r="F38" s="1418" t="s">
        <v>428</v>
      </c>
      <c r="G38" s="1434">
        <f t="shared" si="11"/>
        <v>0</v>
      </c>
      <c r="H38" s="1427" t="str">
        <f t="shared" si="31"/>
        <v>liter</v>
      </c>
      <c r="I38" s="1418"/>
      <c r="J38" s="1421"/>
      <c r="K38" s="1427">
        <f>'Release Calculations'!AK294</f>
        <v>0</v>
      </c>
      <c r="L38" s="1434">
        <f>sig('Release Calculations'!$AK$16/$L$4,3,100,0)</f>
        <v>0</v>
      </c>
      <c r="M38" s="1435" t="str">
        <f t="shared" si="13"/>
        <v>kg</v>
      </c>
      <c r="N38" s="1432" t="str">
        <f t="shared" si="78"/>
        <v xml:space="preserve">Liquid:   ,  ,  ,  ,  </v>
      </c>
      <c r="O38" s="1434">
        <f>ROUND('Release Calculations'!$AK$9,0)</f>
        <v>0</v>
      </c>
      <c r="P38" s="1434">
        <f>ROUND('Release Calculations'!$AK$8/$P$4,2)</f>
        <v>0</v>
      </c>
      <c r="Q38" s="1446" t="str">
        <f t="shared" si="15"/>
        <v>bar</v>
      </c>
      <c r="R38" s="1434">
        <f>sig('Release Calculations'!$AK$23/$AG$4,3,10,0)</f>
        <v>0</v>
      </c>
      <c r="S38" s="1447" t="str">
        <f t="shared" si="16"/>
        <v>kg/min</v>
      </c>
      <c r="T38" s="1435">
        <f>ROUND('Release Calculations'!$AK$13/$T$4,0)</f>
        <v>0</v>
      </c>
      <c r="U38" s="1434">
        <f>ROUND(('Release Calculations'!$AK$13+'Release Calculations'!$AK$14)/$U$4,0)</f>
        <v>0</v>
      </c>
      <c r="V38" s="1434">
        <f>sig('Release Calculations'!$AK$55/$V$4,3,100,0)</f>
        <v>0</v>
      </c>
      <c r="W38" s="1435" t="str">
        <f>IF(Report_A&lt;&gt;"",Report_A,IF(Dike_Area_Units="","sq m",Dike_Area_Units))</f>
        <v>sq m</v>
      </c>
      <c r="X38" s="1438">
        <f>ROUND('Release Calculations'!AK$616,3)</f>
        <v>0</v>
      </c>
      <c r="Y38" s="1458" t="str">
        <f>IF('Release Calculations'!$AK$238="","",sig('Release Calculations'!$AK$238,3,1000,0))</f>
        <v/>
      </c>
      <c r="Z38" s="1458" t="str">
        <f>IF('Release Calculations'!$AK$244="","",sig('Release Calculations'!$AK$244,3,1000,0))</f>
        <v/>
      </c>
      <c r="AA38" s="1458" t="str">
        <f>IF('Release Calculations'!$AK$268="","",sig('Release Calculations'!$AK$268,3,1000,0))</f>
        <v/>
      </c>
      <c r="AB38" s="1458" t="str">
        <f>IF('Release Calculations'!$AK$274="","",sig('Release Calculations'!$AK$274,3,1000,0))</f>
        <v/>
      </c>
      <c r="AC38" s="1458" t="str">
        <f>IF('Release Calculations'!$AK$280="","",sig('Release Calculations'!$AK$280,3,1000,0))</f>
        <v/>
      </c>
      <c r="AD38" s="1196" t="str">
        <f>IF('Release Calculations'!$AK$262="","",ROUND('Release Calculations'!$AK$262,1))</f>
        <v/>
      </c>
      <c r="AE38" s="1434">
        <f>sig('Release Calculations'!$AK$70/$AE$4,3,100,0)</f>
        <v>0</v>
      </c>
      <c r="AF38" s="1435" t="str">
        <f t="shared" si="17"/>
        <v>kg</v>
      </c>
      <c r="AG38" s="1326">
        <f>sig('Release Calculations'!AK$89/$AG$4,3,10,3)</f>
        <v>0</v>
      </c>
      <c r="AH38" s="1435" t="str">
        <f t="shared" si="33"/>
        <v>kg/min</v>
      </c>
      <c r="AI38" s="1434">
        <f>sig('Release Calculations'!$AK$295/$AI$4,3,100,0)</f>
        <v>0</v>
      </c>
      <c r="AJ38" s="1435" t="str">
        <f t="shared" si="60"/>
        <v>m</v>
      </c>
      <c r="AK38" s="1434">
        <f>sig('Release Calculations'!$AK$298/$AK$4,3,100,0)</f>
        <v>0</v>
      </c>
      <c r="AL38" s="1435" t="str">
        <f t="shared" si="61"/>
        <v>m</v>
      </c>
      <c r="AM38" s="1434">
        <f>sig('Release Calculations'!$AK$300/$AM$4,3,100,0)</f>
        <v>0</v>
      </c>
      <c r="AN38" s="1435" t="str">
        <f t="shared" si="62"/>
        <v>m</v>
      </c>
      <c r="AO38" s="1434">
        <f>sig('Release Calculations'!$AK$301/$AO$4,3,100,0)</f>
        <v>0</v>
      </c>
      <c r="AP38" s="1452" t="str">
        <f t="shared" si="63"/>
        <v>m</v>
      </c>
      <c r="AQ38" s="1434">
        <f>sig('Release Calculations'!$AK$303/$AQ$4,3,100,0)</f>
        <v>0</v>
      </c>
      <c r="AR38" s="1452" t="str">
        <f t="shared" si="64"/>
        <v>m</v>
      </c>
      <c r="AS38" s="1452" t="str">
        <f t="shared" si="65"/>
        <v/>
      </c>
      <c r="AT38" s="1452" t="str">
        <f t="shared" si="66"/>
        <v/>
      </c>
      <c r="AU38" s="1452" t="str">
        <f t="shared" si="67"/>
        <v/>
      </c>
      <c r="AV38" s="114">
        <f>sig('Release Calculations'!$AK$310,3,1000,-1)</f>
        <v>0</v>
      </c>
      <c r="AW38" s="114">
        <f>sig('Release Calculations'!$AK$311,3,1000,-1)</f>
        <v>0</v>
      </c>
      <c r="AX38" s="114" t="str">
        <f>sig('Release Calculations'!$AK$312,3,1000,0)</f>
        <v/>
      </c>
      <c r="AY38" s="114" t="str">
        <f>sig('Release Calculations'!$AK$313,3,1000,0)</f>
        <v/>
      </c>
      <c r="AZ38" s="114">
        <f>sig('Release Calculations'!$AK$314,3,1000,-1)</f>
        <v>0</v>
      </c>
      <c r="BA38" s="114">
        <f>sig('Release Calculations'!$AK$315,3,1000,-1)</f>
        <v>0</v>
      </c>
      <c r="BB38" s="114" t="str">
        <f>sig('Release Calculations'!$AK$316,3,10,3)</f>
        <v/>
      </c>
      <c r="BC38" s="2576" t="str">
        <f>sig('Release Calculations'!$AK$317,3,10,3)</f>
        <v/>
      </c>
      <c r="BD38" s="2569">
        <f>sig('Release Calculations'!$AK$334/$BD$4,3,100,0)</f>
        <v>0</v>
      </c>
      <c r="BE38" s="1435" t="str">
        <f t="shared" si="34"/>
        <v>m</v>
      </c>
      <c r="BF38" s="2569">
        <f>sig('Release Calculations'!$AK$333/$BF$4,3,100,0)</f>
        <v>0</v>
      </c>
      <c r="BG38" s="1435" t="str">
        <f t="shared" si="34"/>
        <v>m</v>
      </c>
      <c r="BH38" s="1419"/>
      <c r="BI38" s="1422"/>
      <c r="BJ38" s="1419"/>
      <c r="BK38" s="1422"/>
      <c r="BL38" s="2573"/>
      <c r="BM38" s="2573"/>
      <c r="BN38" s="1441"/>
      <c r="BO38" s="1746"/>
      <c r="BP38" s="1503">
        <f>sig('Release Calculations'!$AK$90/$BP$4,3,10,1)</f>
        <v>0</v>
      </c>
      <c r="BQ38" s="1435" t="str">
        <f t="shared" si="58"/>
        <v>kg/min</v>
      </c>
      <c r="BR38" s="1434">
        <f>sig(IF(Relief_Release="Indoors",'Release Calculations'!$AK$325/$BR$4,'Release Calculations'!$AK$339/$BR$4),3,100,0)</f>
        <v>0</v>
      </c>
      <c r="BS38" s="1435" t="str">
        <f t="shared" si="25"/>
        <v>m</v>
      </c>
      <c r="BT38" s="1748">
        <f>ROUND(IF(Location="Indoors",'Release Calculations'!$AK$328,'Release Calculations'!$AK$342),1)</f>
        <v>0</v>
      </c>
      <c r="BU38" s="1748">
        <f>ROUND(IF(Location="Indoors",'Release Calculations'!$AK$330,'Release Calculations'!$AK$346),1)</f>
        <v>0</v>
      </c>
      <c r="BV38" s="1436"/>
      <c r="BW38" s="1442"/>
      <c r="BX38" s="262"/>
      <c r="BY38" s="262"/>
      <c r="BZ38" s="123"/>
      <c r="CA38" s="4" t="str">
        <f>IF('Release Calculations'!AK$352="NA","",'Release Calculations'!AK$352)</f>
        <v/>
      </c>
      <c r="CB38" s="4" t="str">
        <f>IF('Release Calculations'!AK$382="NA","",'Release Calculations'!AK$382)</f>
        <v/>
      </c>
      <c r="CC38" s="4" t="str">
        <f>IF('Release Calculations'!AK$387="NA","",'Release Calculations'!AK$387)</f>
        <v/>
      </c>
      <c r="CD38" s="735" t="str">
        <f>IF('Release Calculations'!AK$392="NA","",'Release Calculations'!AK$392)</f>
        <v/>
      </c>
      <c r="CE38" s="4" t="str">
        <f>IF('Release Calculations'!AK$398="NA","",'Release Calculations'!AK$398)</f>
        <v/>
      </c>
      <c r="CF38" s="4" t="str">
        <f>IF('Release Calculations'!AK$403="NA","",'Release Calculations'!AK$403)</f>
        <v/>
      </c>
      <c r="CG38" s="4" t="str">
        <f>IF('Release Calculations'!AK$423="NA","",'Release Calculations'!AK$423)</f>
        <v/>
      </c>
      <c r="CH38" s="4" t="str">
        <f>IF('Release Calculations'!AK$413="NA","",'Release Calculations'!AK$413)</f>
        <v/>
      </c>
      <c r="CI38" s="4"/>
      <c r="CJ38" s="4"/>
      <c r="CK38" s="4" t="str">
        <f>IF('Release Calculations'!BD434="NA","",'Release Calculations'!BD434)</f>
        <v/>
      </c>
      <c r="CL38" s="19"/>
      <c r="CM38" s="19"/>
      <c r="CN38" s="189" t="str">
        <f>IF(CA38="","",IF('Release Calculations'!AK$297="Yes",IF(CA38=Conseq_VeryLow,Desc_VeryLow,IF(CA38=Conseq_Low,Desc_Low,IF(CA38=Conseq_Moderate,Desc_Moderate,IF(CA38=Conseq_High,Desc_High,IF(CA38=Conseq_VeryHigh,Desc_VeryHigh,IF(CA38=Conseq_ExtremeHigh,Desc_ExtremeHigh,Desc_GT_ExtremeHigh)))))),IF(CA38=Conseq_Low_Offsite,Desc_Low_Offsite,Desc_VeryLow_Offsite)))</f>
        <v/>
      </c>
      <c r="CO38" s="189" t="str">
        <f t="shared" si="73"/>
        <v/>
      </c>
      <c r="CP38" s="189" t="str">
        <f t="shared" si="74"/>
        <v/>
      </c>
      <c r="CQ38" s="189" t="str">
        <f t="shared" si="75"/>
        <v/>
      </c>
      <c r="CR38" s="67"/>
      <c r="CS38" s="189" t="str">
        <f t="shared" si="59"/>
        <v/>
      </c>
      <c r="CT38" s="189" t="str">
        <f t="shared" si="68"/>
        <v/>
      </c>
      <c r="CU38" s="189" t="str">
        <f t="shared" si="69"/>
        <v/>
      </c>
      <c r="CV38" s="67"/>
      <c r="CW38" s="67"/>
      <c r="CX38" s="189" t="str">
        <f>IF(CK38="","",IF(CK38=Conseq_VeryLow,Desc_VeryLow_Environ,IF(CK38=Conseq_Low,Desc_Low_Environ,IF(CK38=Conseq_Moderate,Desc_Moderate_Environ,IF(CK38=Conseq_High,Desc_High_Environ,IF(CK38=Conseq_VeryHigh,Desc_VeryHigh_Environ,Desc_ExtremeHigh_Environ))))))</f>
        <v/>
      </c>
      <c r="CY38" s="40"/>
      <c r="CZ38" s="189" t="str">
        <f>IF(CA38="","",IF('Release Calculations'!AK$297="Yes"," at a "&amp;$AI$3&amp;" of "&amp;AI38&amp;" "&amp;AJ38&amp;" which exceeds Distance to the Fence Line of "&amp;Public_Input&amp;" "&amp;Public_Units))</f>
        <v/>
      </c>
      <c r="DA38" s="189" t="str">
        <f>IF(CB38="","",IF('Release Calculations'!$AK$305="Yes"," with operating personnel in close proximity and a "&amp;$AM$3&amp;" of "&amp;AM38&amp;" "&amp;AN38," at a "&amp;$AM$3&amp;" of "&amp;AM38&amp;" "&amp;AN38)&amp;IF('Release Calculations'!$AK$300&gt;Public," which exceeds Distance to the Fence Line of "&amp;Public_Input&amp;" "&amp;Public_Units&amp;".  Target Factor may be conservative",))</f>
        <v/>
      </c>
      <c r="DB38" s="226" t="str">
        <f>IF(CC38="","",IF('Release Calculations'!AK319="Yes","and Potential for Asphyxiation","")&amp;IF('Release Calculations'!AK$305="Yes"," with operations personnel in close proximity at an "&amp;$AZ$3&amp;" of "&amp;AZ38&amp;" ppm"," at an "&amp;$AZ$3&amp;" of "&amp;AZ38&amp;" ppm"))</f>
        <v/>
      </c>
      <c r="DC38" s="189" t="str">
        <f t="shared" si="70"/>
        <v/>
      </c>
      <c r="DD38" s="189" t="str">
        <f>IF(CE38="",""," of a "&amp;IF(Ease_of_Ignition_Feed="High","pyrophoric ","high/low temperature ")&amp;IF(Dermal_Tox_Feed&lt;&gt;"","or "&amp;Dermal_Tox_Feed,"")&amp;" chemical"&amp;IF('Release Calculations'!$AK$305="Yes"," with operating personnel in close proximity",""))</f>
        <v/>
      </c>
      <c r="DE38" s="189" t="str">
        <f>IF(CF38="","",IF('Release Calculations'!$AK$305="Yes"," with operating personnel in close proximity and a "&amp;$BF$3&amp;" of "&amp;BF38&amp;" "&amp;BG38," at a "&amp;$BF$3&amp;" of "&amp;BF38&amp;" "&amp;BG38))</f>
        <v/>
      </c>
      <c r="DF38" s="189" t="str">
        <f>IF(CG38="","",IF('Release Calculations'!AK$340="Yes"," with "&amp;$BR$3&amp;" of "&amp;BR38&amp;" "&amp;BS38&amp;IF('Release Calculations'!AK$349&lt;&gt;"Yes",""," including "&amp;$BT$3&amp;" of "&amp;BT38&amp;" psi.")&amp;" 1 psi Blast Overpresssure exceeds Distance to the Fence Line of "&amp;Public_Input&amp;" "&amp;Public_Units&amp;".  Consider adjustment for Off-Site Impacts",IF('Release Calculations'!AK$349&lt;&gt;"Yes"," impacting on site personnel at a "&amp;$BR$3&amp;" of "&amp;BR38&amp;" "&amp;BS38," impacting on site personnel at a "&amp;$BR$3&amp;" of "&amp;BR38&amp;" "&amp;BS38&amp;" including "&amp;$BT$3&amp;" of "&amp;BT38&amp;" psi")))</f>
        <v/>
      </c>
      <c r="DG38" s="189" t="str">
        <f>IF(CH38="","",IF('Release Calculations'!AK$326="Yes"," with "&amp;$BR$3&amp;" of "&amp;BR38&amp;" "&amp;BS38&amp;IF('Release Calculations'!AK$331&lt;&gt;"Yes",""," including "&amp;$BT$3&amp;" of "&amp;BT38&amp;" psi.")&amp;"  1 psi Blast Overpresssure exceeds Distance to the Fence Line of "&amp;Public_Input&amp;" "&amp;Public_Units&amp;".  Consider adjustment for Off-Site Impacts",IF('Release Calculations'!AK$331&lt;&gt;"Yes"," impacting enclosed area operating personnel, on site personnel at a "&amp;$BR$3&amp;" of "&amp;BR38&amp;" "&amp;BS38," impacting enclosed area operating personnel, on site personnel at a "&amp;$BR$3&amp;" of "&amp;BR38&amp;" "&amp;BS38&amp;" including "&amp;$BT$3&amp;" of "&amp;BT38&amp;" psi")))</f>
        <v/>
      </c>
      <c r="DH38" s="67"/>
      <c r="DI38" s="67"/>
      <c r="DJ38" s="189" t="str">
        <f>IF('Release Calculations'!AZ439&gt;0,"Groundwater or Remediation Issue",IF('Release Calculations'!BB439&gt;0,"High Aqueous Toxicity",""))</f>
        <v/>
      </c>
      <c r="DK38" s="19"/>
      <c r="DL38" s="39"/>
      <c r="DM38" s="239">
        <f>'Release Calculations'!AK$380</f>
        <v>0</v>
      </c>
      <c r="DN38" s="239">
        <f>'Release Calculations'!AK$385</f>
        <v>0</v>
      </c>
      <c r="DO38" s="34"/>
      <c r="DP38" s="258">
        <f>'Release Calculations'!AK396</f>
        <v>0</v>
      </c>
      <c r="DQ38" s="239">
        <f>'Release Calculations'!AK$401</f>
        <v>0</v>
      </c>
      <c r="DR38" s="34"/>
      <c r="DS38" s="34"/>
      <c r="DT38" s="34"/>
      <c r="DU38" s="34"/>
      <c r="DV38" s="6"/>
      <c r="DW38" s="40"/>
      <c r="DX38" s="250"/>
      <c r="DY38" s="249" t="s">
        <v>2983</v>
      </c>
      <c r="DZ38" s="250" t="s">
        <v>292</v>
      </c>
      <c r="EA38" s="740"/>
      <c r="EB38" s="249" t="str">
        <f t="shared" si="76"/>
        <v>Probability of Exposure to Hot or Toxic Material</v>
      </c>
      <c r="EC38" s="249" t="s">
        <v>292</v>
      </c>
      <c r="ED38" s="248"/>
      <c r="EE38" s="248"/>
      <c r="EF38" s="248"/>
      <c r="EG38" s="248"/>
      <c r="EH38" s="248"/>
      <c r="EI38" s="19"/>
      <c r="EJ38" s="250"/>
      <c r="EK38" s="249" t="str">
        <f>IF(Attended_Op="Yes","Noted as Personnel Routinely in Immediate Area or Equipment Type involves Materials Handling - "&amp;IF('Release Calculations'!AK223*3600&lt;30," with a very Short Exposure Duration (&lt; 30 sec)","Time at Risk May Apply"),"Probability of Personnel to be in Close Proximity to Chemical Release based on Toxic Impact Area to "&amp;AM38&amp;" "&amp;AN38&amp;IF('Release Calculations'!AK379&lt;0.01," (with potential for higher POE credit upon further review)",""))</f>
        <v>Probability of Personnel to be in Close Proximity to Chemical Release based on Toxic Impact Area to 0 m (with potential for higher POE credit upon further review)</v>
      </c>
      <c r="EL38" s="250" t="str">
        <f>IF(Attended_Op="Yes","Noted as Personnel Routinely in Immediate Area or Equipment Type involves Materials Handling - Time at Risk May Apply","Probability of Personnel to be in Close Proximity to Chemical Release based on Ratio Enclosed Process Area Concentation of "&amp;AZ38&amp;" ppm to 10 ER-3 for "&amp;Chemical&amp;IF(Fract_Key_Chemical&lt;1," mixture "," ")&amp;IF('Release Calculations'!$AK$384&lt;0.01,"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38" s="248"/>
      <c r="EN38"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Calculations'!$AK$395&lt;0.01," (with potential for higher POE credit upon further review)",""))</f>
        <v>Probability of Personnel to be in Close Proximity to Chemical Release based on Spray Distance of 1 m (with potential for higher POE credit upon further review)</v>
      </c>
      <c r="EO38"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"&amp;AZ38&amp;" to "&amp;LFL_Fract_FlashFIre&amp;" LFL","Flammable Impact Area to "&amp;BF38&amp;" "&amp;BG38)&amp;IF('Release Calculations'!$AK$400&lt;0.01," (with potential for higher POE credit upon further review)",""))</f>
        <v>Probability of Personnel to be in Close Proximity to Chemical Release based on Flammable Impact Area to 0 m (with potential for higher POE credit upon further review)</v>
      </c>
      <c r="EP38" s="248"/>
      <c r="EQ38" s="248"/>
      <c r="ER38" s="248"/>
      <c r="ES38" s="248"/>
      <c r="ET38" s="248"/>
      <c r="EU38" s="19"/>
      <c r="EV38" s="1379"/>
      <c r="EW38" s="957">
        <f>'Release Calculations'!AK379</f>
        <v>6.0000000000000008E-7</v>
      </c>
      <c r="EX38" s="957">
        <f>'Release Calculations'!$AK$384</f>
        <v>0</v>
      </c>
      <c r="EY38" s="1380"/>
      <c r="EZ38" s="957">
        <f>'Release Calculations'!$AK$395</f>
        <v>0</v>
      </c>
      <c r="FA38" s="957">
        <f>'Release Calculations'!$AK$400</f>
        <v>0</v>
      </c>
      <c r="FB38" s="6"/>
      <c r="FC38" s="6"/>
      <c r="FD38" s="6"/>
      <c r="FE38" s="6"/>
      <c r="FF38" s="6"/>
      <c r="FG38" s="19"/>
      <c r="FH38" s="34"/>
      <c r="FI38" s="34"/>
      <c r="FJ38" s="34"/>
      <c r="FK38" s="739"/>
      <c r="FL38" s="34"/>
      <c r="FM38" s="239" t="str">
        <f>IF(Location="Outdoors",'Release Calculations'!AK$337,'Release Calculations'!AK$323)</f>
        <v/>
      </c>
      <c r="FN38" s="239" t="str">
        <f>'Release Calculations'!AK$338</f>
        <v/>
      </c>
      <c r="FO38" s="39" t="str">
        <f>IF(State&lt;&gt;"Solid",'Release Calculations'!AK$323,Dust_SecondExpl_POE)</f>
        <v/>
      </c>
      <c r="FP38" s="34"/>
      <c r="FQ38" s="34"/>
      <c r="FR38" s="6"/>
      <c r="FS38" s="40"/>
      <c r="FT38" s="248"/>
      <c r="FU38" s="248"/>
      <c r="FV38" s="248"/>
      <c r="FW38" s="741"/>
      <c r="FX38" s="248"/>
      <c r="FY38" s="249" t="s">
        <v>1461</v>
      </c>
      <c r="FZ38" s="249" t="s">
        <v>1460</v>
      </c>
      <c r="GA38" s="250" t="s">
        <v>1461</v>
      </c>
      <c r="GB38" s="248"/>
      <c r="GC38" s="248"/>
      <c r="GD38" s="248"/>
      <c r="GE38" s="19"/>
      <c r="GF38" s="248"/>
      <c r="GG38" s="248"/>
      <c r="GH38" s="248"/>
      <c r="GI38" s="741"/>
      <c r="GJ38" s="248"/>
      <c r="GK38" s="4" t="str">
        <f t="shared" si="79"/>
        <v>No Flash Point Entered</v>
      </c>
      <c r="GL38" s="2581" t="str">
        <f t="shared" si="71"/>
        <v>No Flash Point Entered</v>
      </c>
      <c r="GM38" s="250" t="str">
        <f t="shared" si="72"/>
        <v>Indoor Release of Flammable Material-POX</v>
      </c>
      <c r="GN38" s="248"/>
      <c r="GO38" s="248"/>
      <c r="GP38" s="248"/>
      <c r="GQ38" s="19"/>
      <c r="GR38" s="189" t="str">
        <f t="shared" si="35"/>
        <v/>
      </c>
      <c r="GS38" s="19"/>
      <c r="GT38" s="19"/>
      <c r="GU38" s="26"/>
      <c r="GV38" s="26"/>
      <c r="GW38" s="19"/>
      <c r="GX38" s="19"/>
      <c r="GY38" s="19"/>
      <c r="GZ38" s="19"/>
      <c r="HA38" s="19"/>
      <c r="HB38" s="19"/>
      <c r="HC38" s="19"/>
      <c r="HD38" s="19"/>
      <c r="HE38" s="19"/>
      <c r="HF38" s="19"/>
      <c r="HG38" s="19"/>
      <c r="HH38" s="19"/>
      <c r="HI38" s="19"/>
    </row>
    <row r="39" spans="1:220" s="5" customFormat="1" ht="12.75" customHeight="1" x14ac:dyDescent="0.25">
      <c r="A39" s="35"/>
      <c r="B39" s="64" t="str">
        <f>'Scenario Identification'!CR3</f>
        <v>Vapor Relief Vent - Fire</v>
      </c>
      <c r="C39" s="1457" t="str">
        <f t="shared" ref="C39:C57" si="80">Chemical&amp;IF(Pseudo_Chem="Yes"," Pseudo Mix","")</f>
        <v/>
      </c>
      <c r="D39" s="65"/>
      <c r="E39" s="2483" t="str">
        <f>IF(MAX('Release Calculations'!AV33,'Release Calculations'!AV41,'Release Calculations'!AV47,1-'Release Calculations'!AV65,ABS(MIN('Release Calculations'!AV33,'Release Calculations'!AV41,'Release Calculations'!AV47,1-'Release Calculations'!AV65)))&gt;$E$4,"Yes","")</f>
        <v/>
      </c>
      <c r="F39" s="1418" t="s">
        <v>428</v>
      </c>
      <c r="G39" s="1434">
        <f t="shared" si="11"/>
        <v>0</v>
      </c>
      <c r="H39" s="1427" t="str">
        <f t="shared" si="31"/>
        <v>liter</v>
      </c>
      <c r="I39" s="1418"/>
      <c r="J39" s="1421"/>
      <c r="K39" s="1427">
        <f t="shared" ref="K39:K48" si="81">Relief_Release</f>
        <v>0</v>
      </c>
      <c r="L39" s="1434">
        <f>sig('Release Calculations'!$AV$48/$L$4,3,100,0)</f>
        <v>0</v>
      </c>
      <c r="M39" s="1435" t="str">
        <f t="shared" si="13"/>
        <v>kg</v>
      </c>
      <c r="N39" s="1432" t="str">
        <f t="shared" si="78"/>
        <v xml:space="preserve">Liquid:   ,  ,  ,  ,  </v>
      </c>
      <c r="O39" s="1434">
        <f>ROUND('Release Calculations'!$AV$9,0)</f>
        <v>0</v>
      </c>
      <c r="P39" s="1434">
        <f t="shared" ref="P39:P48" si="82">ROUND(IF(Relief_Set=0,MAWP,Relief_Set)/$P$4,2)</f>
        <v>0</v>
      </c>
      <c r="Q39" s="1446" t="str">
        <f t="shared" si="15"/>
        <v>bar</v>
      </c>
      <c r="R39" s="1434">
        <f>sig('Release Calculations'!$AV$73/$AG$4,3,10,0)</f>
        <v>0</v>
      </c>
      <c r="S39" s="1447" t="str">
        <f t="shared" si="16"/>
        <v>kg/min</v>
      </c>
      <c r="T39" s="1435">
        <f>ROUND('Release Calculations'!$AV$20/$T$4,0)</f>
        <v>0</v>
      </c>
      <c r="U39" s="1434">
        <f>ROUND(('Release Calculations'!$AV$20+'Release Calculations'!$AV$21)/$U$4,0)</f>
        <v>0</v>
      </c>
      <c r="V39" s="1434"/>
      <c r="W39" s="1435"/>
      <c r="X39" s="1438">
        <f>ROUND('Release Calculations'!AV$211,3)</f>
        <v>0</v>
      </c>
      <c r="Y39" s="1458" t="str">
        <f>IF('Release Calculations'!$AV$222="","",sig('Release Calculations'!$AV$222,3,1000,0))</f>
        <v/>
      </c>
      <c r="Z39" s="1458" t="str">
        <f>IF('Release Calculations'!$AV$228="","",sig('Release Calculations'!$AV$228,3,1000,0))</f>
        <v/>
      </c>
      <c r="AA39" s="1458" t="str">
        <f>IF('Release Calculations'!$AV$252="","",sig('Release Calculations'!$AV$252,3,1000,0))</f>
        <v/>
      </c>
      <c r="AB39" s="1458" t="str">
        <f>IF('Release Calculations'!$AV$258="","",sig('Release Calculations'!$AV$258,3,1000,0))</f>
        <v/>
      </c>
      <c r="AC39" s="1458" t="str">
        <f>IF('Release Calculations'!$AV$264="","",sig('Release Calculations'!$AV$264,3,1000,0))</f>
        <v/>
      </c>
      <c r="AD39" s="1196" t="str">
        <f>IF('Release Calculations'!$AV$246="","",ROUND('Release Calculations'!$AV$246,1))</f>
        <v/>
      </c>
      <c r="AE39" s="1434">
        <f>sig('Release Calculations'!$AV$48/$L$4,3,100,0)</f>
        <v>0</v>
      </c>
      <c r="AF39" s="1435" t="str">
        <f t="shared" si="17"/>
        <v>kg</v>
      </c>
      <c r="AG39" s="1326">
        <f>sig('Release Calculations'!AV$73/$AG$4,3,10,3)</f>
        <v>0</v>
      </c>
      <c r="AH39" s="1435" t="str">
        <f t="shared" si="33"/>
        <v>kg/min</v>
      </c>
      <c r="AI39" s="1434">
        <f>sig('Release Calculations'!$AV$279/$AI$4,3,100,0)</f>
        <v>0</v>
      </c>
      <c r="AJ39" s="1435" t="str">
        <f t="shared" si="60"/>
        <v>m</v>
      </c>
      <c r="AK39" s="1434">
        <f>sig('Release Calculations'!$AV$282/$AK$4,3,100,0)</f>
        <v>0</v>
      </c>
      <c r="AL39" s="1435" t="str">
        <f t="shared" si="61"/>
        <v>m</v>
      </c>
      <c r="AM39" s="1434">
        <f>sig('Release Calculations'!$AV$284/$AM$4,3,100,0)</f>
        <v>0</v>
      </c>
      <c r="AN39" s="1435" t="str">
        <f t="shared" si="62"/>
        <v>m</v>
      </c>
      <c r="AO39" s="1434">
        <f>sig('Release Calculations'!$AV$285/$AO$4,3,100,0)</f>
        <v>0</v>
      </c>
      <c r="AP39" s="1452" t="str">
        <f t="shared" si="63"/>
        <v>m</v>
      </c>
      <c r="AQ39" s="1434">
        <f>sig('Release Calculations'!$AV$287/$AQ$4,3,100,0)</f>
        <v>0</v>
      </c>
      <c r="AR39" s="1452" t="str">
        <f t="shared" si="64"/>
        <v>m</v>
      </c>
      <c r="AS39" s="1452" t="str">
        <f t="shared" si="65"/>
        <v/>
      </c>
      <c r="AT39" s="1452" t="str">
        <f t="shared" si="66"/>
        <v/>
      </c>
      <c r="AU39" s="1452" t="str">
        <f t="shared" si="67"/>
        <v/>
      </c>
      <c r="AV39" s="114">
        <f>sig('Release Calculations'!$AV$294,3,1000,-1)</f>
        <v>0</v>
      </c>
      <c r="AW39" s="114">
        <f>sig('Release Calculations'!$AV$295,3,1000,-1)</f>
        <v>0</v>
      </c>
      <c r="AX39" s="114" t="str">
        <f>sig('Release Calculations'!$AV$296,3,1000,0)</f>
        <v/>
      </c>
      <c r="AY39" s="114" t="str">
        <f>sig('Release Calculations'!$AV$297,3,1000,0)</f>
        <v/>
      </c>
      <c r="AZ39" s="114">
        <f>sig('Release Calculations'!$AV$298,3,1000,-1)</f>
        <v>0</v>
      </c>
      <c r="BA39" s="114">
        <f>sig('Release Calculations'!$AV$299,3,1000,-1)</f>
        <v>0</v>
      </c>
      <c r="BB39" s="114" t="str">
        <f>sig('Release Calculations'!$AV$300,3,10,3)</f>
        <v/>
      </c>
      <c r="BC39" s="2576" t="str">
        <f>sig('Release Calculations'!$AV$301,3,10,3)</f>
        <v/>
      </c>
      <c r="BD39" s="2569">
        <f>sig('Release Calculations'!$AV$318/$BD$4,3,100,0)</f>
        <v>0</v>
      </c>
      <c r="BE39" s="1435" t="str">
        <f t="shared" si="34"/>
        <v>m</v>
      </c>
      <c r="BF39" s="2569">
        <f>sig('Release Calculations'!$AV$317/$BF$4,3,100,0)</f>
        <v>0</v>
      </c>
      <c r="BG39" s="1435" t="str">
        <f t="shared" si="34"/>
        <v>m</v>
      </c>
      <c r="BH39" s="1419"/>
      <c r="BI39" s="1422"/>
      <c r="BJ39" s="1419"/>
      <c r="BK39" s="1422"/>
      <c r="BL39" s="2573"/>
      <c r="BM39" s="2573"/>
      <c r="BN39" s="1441"/>
      <c r="BO39" s="1746"/>
      <c r="BP39" s="1503">
        <f>sig('Release Calculations'!$AV$74/$BP$4,3,10,1)</f>
        <v>0</v>
      </c>
      <c r="BQ39" s="1435" t="str">
        <f t="shared" si="58"/>
        <v>kg/min</v>
      </c>
      <c r="BR39" s="1434">
        <f>sig(IF(Relief_Release="Indoors",'Release Calculations'!$AV$309/$BR$4,'Release Calculations'!$AV$323/$BR$4),3,100,0)</f>
        <v>0</v>
      </c>
      <c r="BS39" s="1435" t="str">
        <f t="shared" si="25"/>
        <v>m</v>
      </c>
      <c r="BT39" s="1748">
        <f>ROUND(IF(Location="Indoors",'Release Calculations'!$AV$312,'Release Calculations'!$AV$326),1)</f>
        <v>0</v>
      </c>
      <c r="BU39" s="1748">
        <f>ROUND(IF(Location="Indoors",'Release Calculations'!$AV$314,'Release Calculations'!$AV$330),1)</f>
        <v>0</v>
      </c>
      <c r="BV39" s="1434" t="str">
        <f>IF('Pool Fire Frequency'!R24="","",sig('Pool Fire Frequency'!R24,2,10,1))</f>
        <v/>
      </c>
      <c r="BW39" s="1443" t="s">
        <v>262</v>
      </c>
      <c r="BX39" s="262"/>
      <c r="BY39" s="262"/>
      <c r="BZ39" s="123"/>
      <c r="CA39" s="4" t="str">
        <f>IF('Release Calculations'!AV$336="NA","",'Release Calculations'!AV$336)</f>
        <v/>
      </c>
      <c r="CB39" s="4" t="e">
        <f>IF('Release Calculations'!AV$366="NA","",'Release Calculations'!AV$366)</f>
        <v>#DIV/0!</v>
      </c>
      <c r="CC39" s="4" t="str">
        <f>IF('Release Calculations'!AV$371="NA","",'Release Calculations'!AV$371)</f>
        <v/>
      </c>
      <c r="CD39" s="735" t="str">
        <f>IF('Release Calculations'!AV$376="NA","",'Release Calculations'!AV$376)</f>
        <v/>
      </c>
      <c r="CE39" s="4"/>
      <c r="CF39" s="4" t="str">
        <f>IF('Release Calculations'!AV$387="NA","",'Release Calculations'!AV$387)</f>
        <v/>
      </c>
      <c r="CG39" s="4" t="str">
        <f>IF('Release Calculations'!AV$407="NA","",'Release Calculations'!AV$407)</f>
        <v/>
      </c>
      <c r="CH39" s="4" t="str">
        <f>IF('Release Calculations'!AV$397="NA","",'Release Calculations'!AV$397)</f>
        <v/>
      </c>
      <c r="CI39" s="4"/>
      <c r="CJ39" s="4"/>
      <c r="CK39" s="4"/>
      <c r="CL39" s="19"/>
      <c r="CM39" s="19"/>
      <c r="CN39" s="189" t="str">
        <f>IF(CA39="","",IF('Release Calculations'!AV$281="Yes",IF(CA39=Conseq_VeryLow,Desc_VeryLow,IF(CA39=Conseq_Low,Desc_Low,IF(CA39=Conseq_Moderate,Desc_Moderate,IF(CA39=Conseq_High,Desc_High,IF(CA39=Conseq_VeryHigh,Desc_VeryHigh,IF(CA39=Conseq_ExtremeHigh,Desc_ExtremeHigh,Desc_GT_ExtremeHigh)))))),IF(CA39=Conseq_Low_Offsite,Desc_Low_Offsite,Desc_VeryLow_Offsite)))</f>
        <v/>
      </c>
      <c r="CO39" s="189" t="e">
        <f t="shared" si="73"/>
        <v>#DIV/0!</v>
      </c>
      <c r="CP39" s="189" t="str">
        <f t="shared" si="74"/>
        <v/>
      </c>
      <c r="CQ39" s="189" t="str">
        <f t="shared" si="75"/>
        <v/>
      </c>
      <c r="CR39" s="67"/>
      <c r="CS39" s="189" t="str">
        <f t="shared" si="59"/>
        <v/>
      </c>
      <c r="CT39" s="189" t="str">
        <f t="shared" si="68"/>
        <v/>
      </c>
      <c r="CU39" s="189" t="str">
        <f t="shared" si="69"/>
        <v/>
      </c>
      <c r="CV39" s="67"/>
      <c r="CW39" s="67"/>
      <c r="CX39" s="67"/>
      <c r="CY39" s="40" t="s">
        <v>822</v>
      </c>
      <c r="CZ39" s="189" t="str">
        <f>IF(CA39="","",IF('Release Calculations'!AV$281="Yes"," at a "&amp;$AI$3&amp;" of "&amp;AI39&amp;" "&amp;AJ39&amp;" which exceeds Distance to the Fence Line of "&amp;Public_Input&amp;" "&amp;Public_Units))</f>
        <v/>
      </c>
      <c r="DA39" s="189" t="e">
        <f>IF(CB39="","",IF('Release Calculations'!$AV$289="Yes"," with operating personnel in close proximity and a "&amp;$AM$3&amp;" of "&amp;AM39&amp;" "&amp;AN39," at a "&amp;$AM$3&amp;" of "&amp;AM39&amp;" "&amp;AN39)&amp;IF('Release Calculations'!$AV$284&gt;Public," which exceeds Distance to the Fence Line of "&amp;Public_Input&amp;" "&amp;Public_Units&amp;".  Target Factor may be conservative",))</f>
        <v>#DIV/0!</v>
      </c>
      <c r="DB39" s="226" t="str">
        <f>IF(CC39="","",IF('Release Calculations'!AV303="Yes","and Potential for Asphyxiation","")&amp;IF('Release Calculations'!AV$289="Yes"," with operations personnel in close proximity at an "&amp;$AZ$3&amp;" of "&amp;AZ39&amp;" ppm"," at an "&amp;$AZ$3&amp;" of "&amp;AZ39&amp;" ppm"))</f>
        <v/>
      </c>
      <c r="DC39" s="189" t="str">
        <f t="shared" si="70"/>
        <v/>
      </c>
      <c r="DD39" s="67"/>
      <c r="DE39" s="189" t="str">
        <f>IF(CF39="","",IF('Release Calculations'!$AV$289="Yes"," with operating personnel in close proximity and a "&amp;$BF$3&amp;" of "&amp;BF39&amp;" "&amp;BG39," at a "&amp;$BF$3&amp;" of "&amp;BF39&amp;" "&amp;BG39))</f>
        <v/>
      </c>
      <c r="DF39" s="189" t="str">
        <f>IF(CG39="","",IF('Release Calculations'!AV$324="Yes"," with "&amp;$BR$3&amp;" of "&amp;BR39&amp;" "&amp;BS39&amp;IF('Release Calculations'!AV$333&lt;&gt;"Yes",""," including "&amp;$BT$3&amp;" of "&amp;BT39&amp;" psi.")&amp;" 1 psi Blast Overpresssure exceeds Distance to the Fence Line of "&amp;Public_Input&amp;" "&amp;Public_Units&amp;".  Consider adjustment for Off-Site Impacts",IF('Release Calculations'!AV$333&lt;&gt;"Yes"," impacting on site personnel at a "&amp;$BR$3&amp;" of "&amp;BR39&amp;" "&amp;BS39," impacting on site personnel at a "&amp;$BR$3&amp;" of "&amp;BR39&amp;" "&amp;BS39&amp;" including "&amp;$BT$3&amp;" of "&amp;BT39&amp;" psi")))</f>
        <v/>
      </c>
      <c r="DG39" s="189" t="str">
        <f>IF(CH39="","",IF('Release Calculations'!AV$310="Yes"," with "&amp;$BR$3&amp;" of "&amp;BR39&amp;" "&amp;BS39&amp;IF('Release Calculations'!AV$315&lt;&gt;"Yes",""," including "&amp;$BT$3&amp;" of "&amp;BT39&amp;" psi.")&amp;"  1 psi Blast Overpresssure exceeds Distance to the Fence Line of "&amp;Public_Input&amp;" "&amp;Public_Units&amp;".  Consider adjustment for Off-Site Impacts",IF('Release Calculations'!AV$315&lt;&gt;"Yes"," impacting enclosed area operating personnel, on site personnel at a "&amp;$BR$3&amp;" of "&amp;BR39&amp;" "&amp;BS39," impacting enclosed area operating personnel, on site personnel at a "&amp;$BR$3&amp;" of "&amp;BR39&amp;" "&amp;BS39&amp;" including "&amp;$BT$3&amp;" of "&amp;BT39&amp;" psi")))</f>
        <v/>
      </c>
      <c r="DH39" s="67"/>
      <c r="DI39" s="67"/>
      <c r="DJ39" s="67"/>
      <c r="DK39" s="19" t="s">
        <v>822</v>
      </c>
      <c r="DL39" s="39"/>
      <c r="DM39" s="239">
        <f>'Release Calculations'!AV364</f>
        <v>0</v>
      </c>
      <c r="DN39" s="239">
        <f>'Release Calculations'!AV$369</f>
        <v>0</v>
      </c>
      <c r="DO39" s="34"/>
      <c r="DP39" s="34"/>
      <c r="DQ39" s="239">
        <f>'Release Calculations'!AV385</f>
        <v>0</v>
      </c>
      <c r="DR39" s="34"/>
      <c r="DS39" s="34"/>
      <c r="DT39" s="34"/>
      <c r="DU39" s="34"/>
      <c r="DV39" s="6"/>
      <c r="DW39" s="40"/>
      <c r="DX39" s="250"/>
      <c r="DY39" s="249" t="s">
        <v>2983</v>
      </c>
      <c r="DZ39" s="250" t="s">
        <v>292</v>
      </c>
      <c r="EA39" s="740"/>
      <c r="EB39" s="248"/>
      <c r="EC39" s="249" t="s">
        <v>292</v>
      </c>
      <c r="ED39" s="248"/>
      <c r="EE39" s="248"/>
      <c r="EF39" s="248"/>
      <c r="EG39" s="248"/>
      <c r="EH39" s="248"/>
      <c r="EI39" s="19"/>
      <c r="EJ39" s="250"/>
      <c r="EK39" s="249" t="str">
        <f>IF(Attended_Op="Yes","Noted as Personnel Routinely in Immediate Area or Equipment Type involves Materials Handling - "&amp;IF('Release Calculations'!AV207*3600&lt;30," with a very Short Exposure Duration (&lt; 30 sec)","Time at Risk May Apply"),"Probability of Personnel to be in Close Proximity to Chemical Release based on Toxic Impact Area to "&amp;AM39&amp;" "&amp;AN39&amp;IF('Release Calculations'!AV363&lt;0.01," (with potential for higher POE credit upon further review)",""))</f>
        <v>Probability of Personnel to be in Close Proximity to Chemical Release based on Toxic Impact Area to 0 m (with potential for higher POE credit upon further review)</v>
      </c>
      <c r="EL39" s="250" t="str">
        <f>IF(Attended_Op="Yes","Noted as Personnel Routinely in Immediate Area or Equipment Type involves Materials Handling - Time at Risk May Apply","Probability of Personnel to be in Close Proximity to Chemical Release based on Ratio Enclosed Process Area Concentation of "&amp;AZ39&amp;" ppm to 10 ER-3 for "&amp;Chemical&amp;IF(Fract_Key_Chemical&lt;1," mixture "," ")&amp;IF('Release Calculations'!$AV$368&lt;0.01,"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39" s="248"/>
      <c r="EN39" s="248"/>
      <c r="EO39"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"&amp;AZ39&amp;" to "&amp;LFL_Fract_FlashFIre&amp;" LFL","Flammable Impact Area to "&amp;BF39&amp;" "&amp;BG39)&amp;IF('Release Calculations'!$AV$384&lt;0.01," (with potential for higher POE credit upon further review)",""))</f>
        <v>Probability of Personnel to be in Close Proximity to Chemical Release based on Flammable Impact Area to 0 m (with potential for higher POE credit upon further review)</v>
      </c>
      <c r="EP39" s="248"/>
      <c r="EQ39" s="248"/>
      <c r="ER39" s="248"/>
      <c r="ES39" s="248"/>
      <c r="ET39" s="248"/>
      <c r="EU39" s="19"/>
      <c r="EV39" s="1379"/>
      <c r="EW39" s="957">
        <f>'Release Calculations'!AV363</f>
        <v>6.0000000000000008E-7</v>
      </c>
      <c r="EX39" s="957">
        <f>'Release Calculations'!$AV$368</f>
        <v>0</v>
      </c>
      <c r="EY39" s="1380"/>
      <c r="EZ39" s="1380"/>
      <c r="FA39" s="957">
        <f>'Release Calculations'!$AV$384</f>
        <v>0</v>
      </c>
      <c r="FB39" s="6"/>
      <c r="FC39" s="6"/>
      <c r="FD39" s="6"/>
      <c r="FE39" s="6"/>
      <c r="FF39" s="6"/>
      <c r="FG39" s="19"/>
      <c r="FH39" s="34"/>
      <c r="FI39" s="34"/>
      <c r="FJ39" s="34"/>
      <c r="FK39" s="739"/>
      <c r="FL39" s="34"/>
      <c r="FM39" s="239" t="str">
        <f>IF(Relief_Release="Outdoors",'Release Calculations'!AV$321,'Release Calculations'!AV$307)</f>
        <v/>
      </c>
      <c r="FN39" s="239" t="str">
        <f>'Release Calculations'!AV$322</f>
        <v/>
      </c>
      <c r="FO39" s="2159" t="str">
        <f>'Release Calculations'!AV$307</f>
        <v/>
      </c>
      <c r="FP39" s="34"/>
      <c r="FQ39" s="34"/>
      <c r="FR39" s="6"/>
      <c r="FS39" s="40"/>
      <c r="FT39" s="248"/>
      <c r="FU39" s="248"/>
      <c r="FV39" s="248"/>
      <c r="FW39" s="741"/>
      <c r="FX39" s="248"/>
      <c r="FY39" s="249" t="s">
        <v>1461</v>
      </c>
      <c r="FZ39" s="249" t="s">
        <v>1460</v>
      </c>
      <c r="GA39" s="250" t="s">
        <v>1461</v>
      </c>
      <c r="GB39" s="248"/>
      <c r="GC39" s="248"/>
      <c r="GD39" s="248"/>
      <c r="GE39" s="19"/>
      <c r="GF39" s="248"/>
      <c r="GG39" s="248"/>
      <c r="GH39" s="248"/>
      <c r="GI39" s="741"/>
      <c r="GJ39" s="248"/>
      <c r="GK39" s="4" t="str">
        <f t="shared" si="79"/>
        <v>No Flash Point Entered</v>
      </c>
      <c r="GL39" s="2581" t="str">
        <f t="shared" si="71"/>
        <v>No Flash Point Entered</v>
      </c>
      <c r="GM39" s="250" t="str">
        <f t="shared" si="72"/>
        <v>Indoor Release of Flammable Material-POX</v>
      </c>
      <c r="GN39" s="248"/>
      <c r="GO39" s="248"/>
      <c r="GP39" s="248"/>
      <c r="GQ39" s="19"/>
      <c r="GR39" s="189" t="e">
        <f t="shared" si="35"/>
        <v>#DIV/0!</v>
      </c>
      <c r="GS39" s="19"/>
      <c r="GT39" s="35"/>
      <c r="GU39" s="26"/>
      <c r="GV39" s="26"/>
      <c r="GW39" s="19"/>
      <c r="GX39" s="19"/>
      <c r="GY39" s="19"/>
      <c r="GZ39" s="19"/>
      <c r="HA39" s="19"/>
      <c r="HB39" s="19"/>
      <c r="HC39" s="19"/>
      <c r="HD39" s="19"/>
      <c r="HE39" s="19"/>
      <c r="HF39" s="19"/>
      <c r="HG39" s="19"/>
      <c r="HH39" s="19"/>
      <c r="HI39" s="19"/>
    </row>
    <row r="40" spans="1:220" s="5" customFormat="1" ht="12.75" customHeight="1" x14ac:dyDescent="0.25">
      <c r="A40" s="35"/>
      <c r="B40" s="64" t="str">
        <f>'Scenario Identification'!CS3</f>
        <v>Vapor Relief Vent - Heat Transfer</v>
      </c>
      <c r="C40" s="1457" t="str">
        <f t="shared" si="80"/>
        <v/>
      </c>
      <c r="D40" s="65"/>
      <c r="E40" s="2483" t="str">
        <f>IF(MAX('Release Calculations'!AX33,'Release Calculations'!AX41,'Release Calculations'!AX47,1-'Release Calculations'!AX65,ABS(MIN('Release Calculations'!AX33,'Release Calculations'!AX41,'Release Calculations'!AX47,1-'Release Calculations'!AX65)))&gt;$E$4,"Yes","")</f>
        <v/>
      </c>
      <c r="F40" s="1418" t="s">
        <v>428</v>
      </c>
      <c r="G40" s="1434">
        <f t="shared" si="11"/>
        <v>0</v>
      </c>
      <c r="H40" s="1427" t="str">
        <f t="shared" si="31"/>
        <v>liter</v>
      </c>
      <c r="I40" s="1418"/>
      <c r="J40" s="1421"/>
      <c r="K40" s="1427">
        <f t="shared" si="81"/>
        <v>0</v>
      </c>
      <c r="L40" s="1434">
        <f>sig('Release Calculations'!$AX$48/$L$4,3,100,0)</f>
        <v>0</v>
      </c>
      <c r="M40" s="1435" t="str">
        <f t="shared" si="13"/>
        <v>kg</v>
      </c>
      <c r="N40" s="1432" t="str">
        <f t="shared" si="78"/>
        <v xml:space="preserve">Liquid:   ,  ,  ,  ,  </v>
      </c>
      <c r="O40" s="1434">
        <f>ROUND('Release Calculations'!$AX$9,0)</f>
        <v>0</v>
      </c>
      <c r="P40" s="1434">
        <f t="shared" si="82"/>
        <v>0</v>
      </c>
      <c r="Q40" s="1446" t="str">
        <f t="shared" si="15"/>
        <v>bar</v>
      </c>
      <c r="R40" s="1434">
        <f>sig('Release Calculations'!$AX$73/$AG$4,3,10,0)</f>
        <v>0</v>
      </c>
      <c r="S40" s="1447" t="str">
        <f t="shared" si="16"/>
        <v>kg/min</v>
      </c>
      <c r="T40" s="1435">
        <f>IF('Release Calculations'!$AX$20=0,U40,ROUND('Release Calculations'!$AX$20/$T$4,0))</f>
        <v>0</v>
      </c>
      <c r="U40" s="1434">
        <f>ROUND(('Release Calculations'!$AX$20+'Release Calculations'!$AX$21)/$U$4,0)</f>
        <v>0</v>
      </c>
      <c r="V40" s="1434"/>
      <c r="W40" s="1435"/>
      <c r="X40" s="1438">
        <f>ROUND('Release Calculations'!AX$211,3)</f>
        <v>0</v>
      </c>
      <c r="Y40" s="1458" t="str">
        <f>IF('Release Calculations'!$AX$222="","",sig('Release Calculations'!$AX$222,3,1000,0))</f>
        <v/>
      </c>
      <c r="Z40" s="1458" t="str">
        <f>IF('Release Calculations'!$AX$228="","",sig('Release Calculations'!$AX$228,3,1000,0))</f>
        <v/>
      </c>
      <c r="AA40" s="1458" t="str">
        <f>IF('Release Calculations'!$AX$252="","",sig('Release Calculations'!$AX$252,3,1000,0))</f>
        <v/>
      </c>
      <c r="AB40" s="1458" t="str">
        <f>IF('Release Calculations'!$AX$258="","",sig('Release Calculations'!$AX$258,3,1000,0))</f>
        <v/>
      </c>
      <c r="AC40" s="1458" t="str">
        <f>IF('Release Calculations'!$AX$264="","",sig('Release Calculations'!$AX$264,3,1000,0))</f>
        <v/>
      </c>
      <c r="AD40" s="1196" t="str">
        <f>IF('Release Calculations'!$AX$246="","",ROUND('Release Calculations'!$AX$246,1))</f>
        <v/>
      </c>
      <c r="AE40" s="1434">
        <f>sig('Release Calculations'!$AX$48/$L$4,3,100,0)</f>
        <v>0</v>
      </c>
      <c r="AF40" s="1435" t="str">
        <f t="shared" si="17"/>
        <v>kg</v>
      </c>
      <c r="AG40" s="1326">
        <f>sig('Release Calculations'!AX$73/$AG$4,3,10,3)</f>
        <v>0</v>
      </c>
      <c r="AH40" s="1435" t="str">
        <f t="shared" si="33"/>
        <v>kg/min</v>
      </c>
      <c r="AI40" s="1434">
        <f>sig('Release Calculations'!$AX$279/$AI$4,3,100,0)</f>
        <v>0</v>
      </c>
      <c r="AJ40" s="1435" t="str">
        <f t="shared" si="60"/>
        <v>m</v>
      </c>
      <c r="AK40" s="1434">
        <f>sig('Release Calculations'!$AX$282/$AK$4,3,100,0)</f>
        <v>0</v>
      </c>
      <c r="AL40" s="1435" t="str">
        <f t="shared" si="61"/>
        <v>m</v>
      </c>
      <c r="AM40" s="1434">
        <f>sig('Release Calculations'!$AX$284/$AM$4,3,100,0)</f>
        <v>0</v>
      </c>
      <c r="AN40" s="1435" t="str">
        <f t="shared" si="62"/>
        <v>m</v>
      </c>
      <c r="AO40" s="1434">
        <f>sig('Release Calculations'!$AX$285/$AO$4,3,100,0)</f>
        <v>0</v>
      </c>
      <c r="AP40" s="1452" t="str">
        <f t="shared" si="63"/>
        <v>m</v>
      </c>
      <c r="AQ40" s="1434">
        <f>sig('Release Calculations'!$AX$287/$AQ$4,3,100,0)</f>
        <v>0</v>
      </c>
      <c r="AR40" s="1452" t="str">
        <f t="shared" si="64"/>
        <v>m</v>
      </c>
      <c r="AS40" s="1452" t="str">
        <f t="shared" si="65"/>
        <v/>
      </c>
      <c r="AT40" s="1452" t="str">
        <f t="shared" si="66"/>
        <v/>
      </c>
      <c r="AU40" s="1452" t="str">
        <f t="shared" si="67"/>
        <v/>
      </c>
      <c r="AV40" s="114">
        <f>sig('Release Calculations'!$AX$294,3,1000,-1)</f>
        <v>0</v>
      </c>
      <c r="AW40" s="114">
        <f>sig('Release Calculations'!$AX$295,3,1000,-1)</f>
        <v>0</v>
      </c>
      <c r="AX40" s="114" t="str">
        <f>sig('Release Calculations'!$AX$296,3,1000,0)</f>
        <v/>
      </c>
      <c r="AY40" s="114" t="str">
        <f>sig('Release Calculations'!$AX$297,3,1000,0)</f>
        <v/>
      </c>
      <c r="AZ40" s="114">
        <f>sig('Release Calculations'!$AX$298,3,1000,-1)</f>
        <v>0</v>
      </c>
      <c r="BA40" s="114">
        <f>sig('Release Calculations'!$AX$299,3,1000,-1)</f>
        <v>0</v>
      </c>
      <c r="BB40" s="114" t="str">
        <f>sig('Release Calculations'!$AX$300,3,10,3)</f>
        <v/>
      </c>
      <c r="BC40" s="2576" t="str">
        <f>sig('Release Calculations'!$AX$301,3,10,3)</f>
        <v/>
      </c>
      <c r="BD40" s="2569">
        <f>sig('Release Calculations'!$AX$318/$BD$4,3,100,0)</f>
        <v>0</v>
      </c>
      <c r="BE40" s="1435" t="str">
        <f t="shared" si="34"/>
        <v>m</v>
      </c>
      <c r="BF40" s="2569">
        <f>sig('Release Calculations'!$AX$317/$BF$4,3,100,0)</f>
        <v>0</v>
      </c>
      <c r="BG40" s="1435" t="str">
        <f t="shared" si="34"/>
        <v>m</v>
      </c>
      <c r="BH40" s="1419"/>
      <c r="BI40" s="1422"/>
      <c r="BJ40" s="1419"/>
      <c r="BK40" s="1422"/>
      <c r="BL40" s="2573"/>
      <c r="BM40" s="2573"/>
      <c r="BN40" s="1441"/>
      <c r="BO40" s="1746"/>
      <c r="BP40" s="1503">
        <f>sig('Release Calculations'!$AX$74/$BP$4,3,10,1)</f>
        <v>0</v>
      </c>
      <c r="BQ40" s="1435" t="str">
        <f t="shared" si="58"/>
        <v>kg/min</v>
      </c>
      <c r="BR40" s="1434">
        <f>sig(IF(Relief_Release="Indoors",'Release Calculations'!$AX$309/$BR$4,'Release Calculations'!$AX$323/$BR$4),3,100,0)</f>
        <v>0</v>
      </c>
      <c r="BS40" s="1435" t="str">
        <f t="shared" si="25"/>
        <v>m</v>
      </c>
      <c r="BT40" s="1748">
        <f>ROUND(IF(Location="Indoors",'Release Calculations'!$AX$312,'Release Calculations'!$AX$326),1)</f>
        <v>0</v>
      </c>
      <c r="BU40" s="1748">
        <f>ROUND(IF(Location="Indoors",'Release Calculations'!$AX$314,'Release Calculations'!$AX$330),1)</f>
        <v>0</v>
      </c>
      <c r="BV40" s="1434" t="str">
        <f>IF('Special Calcs'!G152&gt;0,IF(AND(Feed_Type&lt;&gt;"Continuous",'Special Calcs'!G151&lt;'Special Calcs'!G149),sig('Special Calcs'!G152,2,10,1),sig('Special Calcs'!G150,2,10,1)),"")</f>
        <v/>
      </c>
      <c r="BW40" s="1443" t="str">
        <f>IF(AND(Feed_Type&lt;&gt;"Continuous",'Special Calcs'!G151&lt;'Special Calcs'!G149),'Special Calcs'!H152,'Special Calcs'!H150)</f>
        <v>sec</v>
      </c>
      <c r="BX40" s="262"/>
      <c r="BY40" s="262"/>
      <c r="BZ40" s="123"/>
      <c r="CA40" s="4" t="str">
        <f>IF('Release Calculations'!AX$336="NA","",'Release Calculations'!AX$336)</f>
        <v/>
      </c>
      <c r="CB40" s="4" t="e">
        <f>IF('Release Calculations'!AX$366="NA","",'Release Calculations'!AX$366)</f>
        <v>#DIV/0!</v>
      </c>
      <c r="CC40" s="4" t="str">
        <f>IF('Release Calculations'!AX$371="NA","",'Release Calculations'!AX$371)</f>
        <v/>
      </c>
      <c r="CD40" s="735" t="str">
        <f>IF('Release Calculations'!AX$376="NA","",'Release Calculations'!AX$376)</f>
        <v/>
      </c>
      <c r="CE40" s="4"/>
      <c r="CF40" s="4" t="str">
        <f>IF('Release Calculations'!AX$387="NA","",'Release Calculations'!AX$387)</f>
        <v/>
      </c>
      <c r="CG40" s="4" t="str">
        <f>IF('Release Calculations'!AX$407="NA","",'Release Calculations'!AX$407)</f>
        <v/>
      </c>
      <c r="CH40" s="4" t="str">
        <f>IF('Release Calculations'!AX$397="NA","",'Release Calculations'!AX$397)</f>
        <v/>
      </c>
      <c r="CI40" s="4"/>
      <c r="CJ40" s="4"/>
      <c r="CK40" s="4"/>
      <c r="CL40" s="19"/>
      <c r="CM40" s="19"/>
      <c r="CN40" s="189" t="str">
        <f>IF(CA40="","",IF('Release Calculations'!AX$281="Yes",IF(CA40=Conseq_VeryLow,Desc_VeryLow,IF(CA40=Conseq_Low,Desc_Low,IF(CA40=Conseq_Moderate,Desc_Moderate,IF(CA40=Conseq_High,Desc_High,IF(CA40=Conseq_VeryHigh,Desc_VeryHigh,IF(CA40=Conseq_ExtremeHigh,Desc_ExtremeHigh,Desc_GT_ExtremeHigh)))))),IF(CA40=Conseq_Low_Offsite,Desc_Low_Offsite,Desc_VeryLow_Offsite)))</f>
        <v/>
      </c>
      <c r="CO40" s="189" t="e">
        <f t="shared" si="73"/>
        <v>#DIV/0!</v>
      </c>
      <c r="CP40" s="189" t="str">
        <f t="shared" si="74"/>
        <v/>
      </c>
      <c r="CQ40" s="189" t="str">
        <f t="shared" si="75"/>
        <v/>
      </c>
      <c r="CR40" s="67"/>
      <c r="CS40" s="189" t="str">
        <f t="shared" si="59"/>
        <v/>
      </c>
      <c r="CT40" s="189" t="str">
        <f t="shared" si="68"/>
        <v/>
      </c>
      <c r="CU40" s="189" t="str">
        <f t="shared" si="69"/>
        <v/>
      </c>
      <c r="CV40" s="67"/>
      <c r="CW40" s="67"/>
      <c r="CX40" s="67"/>
      <c r="CY40" s="40" t="s">
        <v>822</v>
      </c>
      <c r="CZ40" s="189" t="str">
        <f>IF(CA40="","",IF('Release Calculations'!AX$281="Yes"," at a "&amp;$AI$3&amp;" of "&amp;AI40&amp;" "&amp;AJ40&amp;" which exceeds Distance to the Fence Line of "&amp;Public_Input&amp;" "&amp;Public_Units))</f>
        <v/>
      </c>
      <c r="DA40" s="189" t="e">
        <f>IF(CB40="","",IF('Release Calculations'!$AX$289="Yes"," with operating personnel in close proximity and a "&amp;$AM$3&amp;" of "&amp;AM40&amp;" "&amp;AN40," at a "&amp;$AM$3&amp;" of "&amp;AM40&amp;" "&amp;AN40)&amp;IF('Release Calculations'!$AX$284&gt;Public," which exceeds Distance to the Fence Line of "&amp;Public_Input&amp;" "&amp;Public_Units&amp;".  Target Factor may be conservative",))</f>
        <v>#DIV/0!</v>
      </c>
      <c r="DB40" s="226" t="str">
        <f>IF(CC40="","",IF('Release Calculations'!AX303="Yes","and Potential for Asphyxiation","")&amp;IF('Release Calculations'!AX$289="Yes"," with operations personnel in close proximity at an "&amp;$AZ$3&amp;" of "&amp;AZ40&amp;" ppm"," at an "&amp;$AZ$3&amp;" of "&amp;AZ40&amp;" ppm"))</f>
        <v/>
      </c>
      <c r="DC40" s="189" t="str">
        <f t="shared" si="70"/>
        <v/>
      </c>
      <c r="DD40" s="67"/>
      <c r="DE40" s="189" t="str">
        <f>IF(CF40="","",IF('Release Calculations'!$AX$289="Yes"," with operating personnel in close proximity and a "&amp;$BF$3&amp;" of "&amp;BF40&amp;" "&amp;BG40," at a "&amp;$BF$3&amp;" of "&amp;BF40&amp;" "&amp;BG40))</f>
        <v/>
      </c>
      <c r="DF40" s="189" t="str">
        <f>IF(CG40="","",IF('Release Calculations'!AX$324="Yes"," with "&amp;$BR$3&amp;" of "&amp;BR40&amp;" "&amp;BS40&amp;IF('Release Calculations'!AX$333&lt;&gt;"Yes",""," including "&amp;$BT$3&amp;" of "&amp;BT40&amp;" psi.")&amp;" 1 psi Blast Overpresssure exceeds Distance to the Fence Line of "&amp;Public_Input&amp;" "&amp;Public_Units&amp;".  Consider adjustment for Off-Site Impacts",IF('Release Calculations'!AX$333&lt;&gt;"Yes"," impacting on site personnel at a "&amp;$BR$3&amp;" of "&amp;BR40&amp;" "&amp;BS40," impacting on site personnel at a "&amp;$BR$3&amp;" of "&amp;BR40&amp;" "&amp;BS40&amp;" including "&amp;$BT$3&amp;" of "&amp;BT40&amp;" psi")))</f>
        <v/>
      </c>
      <c r="DG40" s="189" t="str">
        <f>IF(CH40="","",IF('Release Calculations'!AX$310="Yes"," with "&amp;$BR$3&amp;" of "&amp;BR40&amp;" "&amp;BS40&amp;IF('Release Calculations'!AX$315&lt;&gt;"Yes",""," including "&amp;$BT$3&amp;" of "&amp;BT40&amp;" psi.")&amp;"  1 psi Blast Overpresssure exceeds Distance to the Fence Line of "&amp;Public_Input&amp;" "&amp;Public_Units&amp;".  Consider adjustment for Off-Site Impacts",IF('Release Calculations'!AX$315&lt;&gt;"Yes"," impacting enclosed area operating personnel, on site personnel at a "&amp;$BR$3&amp;" of "&amp;BR40&amp;" "&amp;BS40," impacting enclosed area operating personnel, on site personnel at a "&amp;$BR$3&amp;" of "&amp;BR40&amp;" "&amp;BS40&amp;" including "&amp;$BT$3&amp;" of "&amp;BT40&amp;" psi")))</f>
        <v/>
      </c>
      <c r="DH40" s="67"/>
      <c r="DI40" s="67"/>
      <c r="DJ40" s="67"/>
      <c r="DK40" s="19" t="s">
        <v>822</v>
      </c>
      <c r="DL40" s="39"/>
      <c r="DM40" s="239">
        <f>'Release Calculations'!AX364</f>
        <v>0</v>
      </c>
      <c r="DN40" s="239">
        <f>'Release Calculations'!AX$369</f>
        <v>0</v>
      </c>
      <c r="DO40" s="34"/>
      <c r="DP40" s="34"/>
      <c r="DQ40" s="239">
        <f>'Release Calculations'!AX385</f>
        <v>0</v>
      </c>
      <c r="DR40" s="34"/>
      <c r="DS40" s="34"/>
      <c r="DT40" s="34"/>
      <c r="DU40" s="34"/>
      <c r="DV40" s="6"/>
      <c r="DW40" s="40"/>
      <c r="DX40" s="250"/>
      <c r="DY40" s="249" t="s">
        <v>2983</v>
      </c>
      <c r="DZ40" s="250" t="s">
        <v>292</v>
      </c>
      <c r="EA40" s="740"/>
      <c r="EB40" s="248"/>
      <c r="EC40" s="249" t="s">
        <v>292</v>
      </c>
      <c r="ED40" s="248"/>
      <c r="EE40" s="248"/>
      <c r="EF40" s="248"/>
      <c r="EG40" s="248"/>
      <c r="EH40" s="248"/>
      <c r="EI40" s="19"/>
      <c r="EJ40" s="250"/>
      <c r="EK40" s="249" t="str">
        <f>IF(Attended_Op="Yes","Noted as Personnel Routinely in Immediate Area or Equipment Type involves Materials Handling - "&amp;IF('Release Calculations'!AX207*3600&lt;30," with a very Short Exposure Duration (&lt; 30 sec)","Time at Risk May Apply"),"Probability of Personnel to be in Close Proximity to Chemical Release based on Toxic Impact Area to "&amp;AM40&amp;" "&amp;AN40&amp;IF('Release Calculations'!AX363&lt;0.01," (with potential for higher POE credit upon further review)",""))</f>
        <v>Probability of Personnel to be in Close Proximity to Chemical Release based on Toxic Impact Area to 0 m (with potential for higher POE credit upon further review)</v>
      </c>
      <c r="EL40" s="250" t="str">
        <f>IF(Attended_Op="Yes","Noted as Personnel Routinely in Immediate Area or Equipment Type involves Materials Handling - Time at Risk May Apply","Probability of Personnel to be in Close Proximity to Chemical Release based on Ratio Enclosed Process Area Concentation of "&amp;AZ40&amp;" ppm to 10 ER-3 for "&amp;Chemical&amp;IF(Fract_Key_Chemical&lt;1," mixture "," ")&amp;IF('Release Calculations'!$AX$368&lt;0.01,"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40" s="248"/>
      <c r="EN40" s="248"/>
      <c r="EO40"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"&amp;AZ40&amp;" to "&amp;LFL_Fract_FlashFIre&amp;" LFL","Flammable Impact Area to "&amp;BF40&amp;" "&amp;BG40)&amp;IF('Release Calculations'!$AX$384&lt;0.01," (with potential for higher POE credit upon further review)",""))</f>
        <v>Probability of Personnel to be in Close Proximity to Chemical Release based on Flammable Impact Area to 0 m (with potential for higher POE credit upon further review)</v>
      </c>
      <c r="EP40" s="248"/>
      <c r="EQ40" s="248"/>
      <c r="ER40" s="248"/>
      <c r="ES40" s="248"/>
      <c r="ET40" s="248"/>
      <c r="EU40" s="19"/>
      <c r="EV40" s="1379"/>
      <c r="EW40" s="957">
        <f>'Release Calculations'!AX363</f>
        <v>6.0000000000000008E-7</v>
      </c>
      <c r="EX40" s="957">
        <f>'Release Calculations'!$AX$368</f>
        <v>0</v>
      </c>
      <c r="EY40" s="1380"/>
      <c r="EZ40" s="1380"/>
      <c r="FA40" s="957">
        <f>'Release Calculations'!$AX$384</f>
        <v>0</v>
      </c>
      <c r="FB40" s="6"/>
      <c r="FC40" s="6"/>
      <c r="FD40" s="6"/>
      <c r="FE40" s="6"/>
      <c r="FF40" s="6"/>
      <c r="FG40" s="19"/>
      <c r="FH40" s="34"/>
      <c r="FI40" s="34"/>
      <c r="FJ40" s="34"/>
      <c r="FK40" s="739"/>
      <c r="FL40" s="34"/>
      <c r="FM40" s="239" t="str">
        <f>IF(Relief_Release="Outdoors",'Release Calculations'!AX$321,'Release Calculations'!AX$307)</f>
        <v/>
      </c>
      <c r="FN40" s="239" t="str">
        <f>'Release Calculations'!AX$322</f>
        <v/>
      </c>
      <c r="FO40" s="39" t="str">
        <f>IF(State&lt;&gt;"Solid",'Release Calculations'!AX$307,Dust_SecondExpl_POE)</f>
        <v/>
      </c>
      <c r="FP40" s="34"/>
      <c r="FQ40" s="34"/>
      <c r="FR40" s="6"/>
      <c r="FS40" s="40"/>
      <c r="FT40" s="248"/>
      <c r="FU40" s="248"/>
      <c r="FV40" s="248"/>
      <c r="FW40" s="741"/>
      <c r="FX40" s="248"/>
      <c r="FY40" s="249" t="s">
        <v>1461</v>
      </c>
      <c r="FZ40" s="249" t="s">
        <v>1460</v>
      </c>
      <c r="GA40" s="250" t="s">
        <v>1461</v>
      </c>
      <c r="GB40" s="248"/>
      <c r="GC40" s="248"/>
      <c r="GD40" s="248"/>
      <c r="GE40" s="19"/>
      <c r="GF40" s="248"/>
      <c r="GG40" s="248"/>
      <c r="GH40" s="248"/>
      <c r="GI40" s="741"/>
      <c r="GJ40" s="248"/>
      <c r="GK40" s="4" t="str">
        <f t="shared" si="79"/>
        <v>No Flash Point Entered</v>
      </c>
      <c r="GL40" s="2581" t="str">
        <f t="shared" si="71"/>
        <v>No Flash Point Entered</v>
      </c>
      <c r="GM40" s="250" t="str">
        <f t="shared" si="72"/>
        <v>Indoor Release of Flammable Material-POX</v>
      </c>
      <c r="GN40" s="248"/>
      <c r="GO40" s="248"/>
      <c r="GP40" s="248"/>
      <c r="GQ40" s="19"/>
      <c r="GR40" s="189" t="e">
        <f t="shared" si="35"/>
        <v>#DIV/0!</v>
      </c>
      <c r="GS40" s="19"/>
      <c r="GT40" s="19"/>
      <c r="GU40" s="26"/>
      <c r="GV40" s="26"/>
      <c r="GW40" s="19"/>
      <c r="GX40" s="19"/>
      <c r="GY40" s="19"/>
      <c r="GZ40" s="19"/>
      <c r="HA40" s="19"/>
      <c r="HB40" s="19"/>
      <c r="HC40" s="19"/>
      <c r="HD40" s="19"/>
      <c r="HE40" s="19"/>
      <c r="HF40" s="19"/>
      <c r="HG40" s="19"/>
      <c r="HH40" s="19"/>
      <c r="HI40" s="19"/>
    </row>
    <row r="41" spans="1:220" s="5" customFormat="1" ht="12.75" customHeight="1" x14ac:dyDescent="0.25">
      <c r="A41" s="35"/>
      <c r="B41" s="64" t="str">
        <f>'Scenario Identification'!CT3</f>
        <v>Vapor Relief Vent - Mechanical Energy</v>
      </c>
      <c r="C41" s="1457" t="str">
        <f t="shared" si="80"/>
        <v/>
      </c>
      <c r="D41" s="65"/>
      <c r="E41" s="2483" t="str">
        <f>IF(MAX('Release Calculations'!AZ33,'Release Calculations'!AZ41,'Release Calculations'!AZ47,1-'Release Calculations'!AZ65,ABS(MIN('Release Calculations'!AZ33,'Release Calculations'!AZ41,'Release Calculations'!AZ47,1-'Release Calculations'!AZ65)))&gt;$E$4,"Yes","")</f>
        <v/>
      </c>
      <c r="F41" s="1418" t="s">
        <v>428</v>
      </c>
      <c r="G41" s="1434">
        <f t="shared" si="11"/>
        <v>0</v>
      </c>
      <c r="H41" s="1427" t="str">
        <f t="shared" si="31"/>
        <v>liter</v>
      </c>
      <c r="I41" s="1418"/>
      <c r="J41" s="1421"/>
      <c r="K41" s="1427">
        <f t="shared" si="81"/>
        <v>0</v>
      </c>
      <c r="L41" s="1434">
        <f>sig('Release Calculations'!$AZ$48/$L$4,3,100,0)</f>
        <v>0</v>
      </c>
      <c r="M41" s="1435" t="str">
        <f t="shared" si="13"/>
        <v>kg</v>
      </c>
      <c r="N41" s="1432" t="str">
        <f t="shared" si="78"/>
        <v xml:space="preserve">Liquid:   ,  ,  ,  ,  </v>
      </c>
      <c r="O41" s="1434">
        <f>ROUND('Release Calculations'!$AZ$9,0)</f>
        <v>0</v>
      </c>
      <c r="P41" s="1434">
        <f t="shared" si="82"/>
        <v>0</v>
      </c>
      <c r="Q41" s="1446" t="str">
        <f t="shared" si="15"/>
        <v>bar</v>
      </c>
      <c r="R41" s="1434">
        <f>sig('Release Calculations'!$AZ$73/$AG$4,3,10,0)</f>
        <v>0</v>
      </c>
      <c r="S41" s="1447" t="str">
        <f t="shared" si="16"/>
        <v>kg/min</v>
      </c>
      <c r="T41" s="1435">
        <f>IF('Release Calculations'!$AZ$20=0,U41,ROUND('Release Calculations'!$AZ$20/$T$4,0))</f>
        <v>0</v>
      </c>
      <c r="U41" s="1434">
        <f>ROUND(('Release Calculations'!$AZ$20+'Release Calculations'!$AZ$21)/$U$4,0)</f>
        <v>0</v>
      </c>
      <c r="V41" s="1434"/>
      <c r="W41" s="1435"/>
      <c r="X41" s="1438">
        <f>ROUND('Release Calculations'!AZ$211,3)</f>
        <v>0</v>
      </c>
      <c r="Y41" s="1458" t="str">
        <f>IF('Release Calculations'!$AZ$222="","",sig('Release Calculations'!$AZ$222,3,1000,0))</f>
        <v/>
      </c>
      <c r="Z41" s="1458" t="str">
        <f>IF('Release Calculations'!$AZ$228="","",sig('Release Calculations'!$AZ$228,3,1000,0))</f>
        <v/>
      </c>
      <c r="AA41" s="1458" t="str">
        <f>IF('Release Calculations'!$AZ$252="","",sig('Release Calculations'!$AZ$252,3,1000,0))</f>
        <v/>
      </c>
      <c r="AB41" s="1458" t="str">
        <f>IF('Release Calculations'!$AZ$258="","",sig('Release Calculations'!$AZ$258,3,1000,0))</f>
        <v/>
      </c>
      <c r="AC41" s="1458" t="str">
        <f>IF('Release Calculations'!$AZ$264="","",sig('Release Calculations'!$AZ$264,3,1000,0))</f>
        <v/>
      </c>
      <c r="AD41" s="1196" t="str">
        <f>IF('Release Calculations'!$AZ$246="","",ROUND('Release Calculations'!$AZ$246,1))</f>
        <v/>
      </c>
      <c r="AE41" s="1434">
        <f>sig('Release Calculations'!$AZ$48/$L$4,3,100,0)</f>
        <v>0</v>
      </c>
      <c r="AF41" s="1435" t="str">
        <f t="shared" si="17"/>
        <v>kg</v>
      </c>
      <c r="AG41" s="1326">
        <f>sig('Release Calculations'!AZ$73/$AG$4,3,10,3)</f>
        <v>0</v>
      </c>
      <c r="AH41" s="1435" t="str">
        <f t="shared" si="33"/>
        <v>kg/min</v>
      </c>
      <c r="AI41" s="1434">
        <f>sig('Release Calculations'!$AZ$279/$AI$4,3,100,0)</f>
        <v>0</v>
      </c>
      <c r="AJ41" s="1435" t="str">
        <f t="shared" si="60"/>
        <v>m</v>
      </c>
      <c r="AK41" s="1434">
        <f>sig('Release Calculations'!$AZ$282/$AK$4,3,100,0)</f>
        <v>0</v>
      </c>
      <c r="AL41" s="1435" t="str">
        <f t="shared" si="61"/>
        <v>m</v>
      </c>
      <c r="AM41" s="1434">
        <f>sig('Release Calculations'!$AZ$284/$AM$4,3,100,0)</f>
        <v>0</v>
      </c>
      <c r="AN41" s="1435" t="str">
        <f t="shared" si="62"/>
        <v>m</v>
      </c>
      <c r="AO41" s="1434">
        <f>sig('Release Calculations'!$AZ$285/$AO$4,3,100,0)</f>
        <v>0</v>
      </c>
      <c r="AP41" s="1452" t="str">
        <f t="shared" si="63"/>
        <v>m</v>
      </c>
      <c r="AQ41" s="1434">
        <f>sig('Release Calculations'!$AZ$287/$AQ$4,3,100,0)</f>
        <v>0</v>
      </c>
      <c r="AR41" s="1452" t="str">
        <f t="shared" si="64"/>
        <v>m</v>
      </c>
      <c r="AS41" s="1452" t="str">
        <f t="shared" si="65"/>
        <v/>
      </c>
      <c r="AT41" s="1452" t="str">
        <f t="shared" si="66"/>
        <v/>
      </c>
      <c r="AU41" s="1452" t="str">
        <f t="shared" si="67"/>
        <v/>
      </c>
      <c r="AV41" s="114">
        <f>sig('Release Calculations'!$AZ$294,3,1000,-1)</f>
        <v>0</v>
      </c>
      <c r="AW41" s="114">
        <f>sig('Release Calculations'!$AZ$295,3,1000,-1)</f>
        <v>0</v>
      </c>
      <c r="AX41" s="114" t="str">
        <f>sig('Release Calculations'!$AZ$296,3,1000,0)</f>
        <v/>
      </c>
      <c r="AY41" s="114" t="str">
        <f>sig('Release Calculations'!$AZ$297,3,1000,0)</f>
        <v/>
      </c>
      <c r="AZ41" s="114">
        <f>sig('Release Calculations'!$AZ$298,3,1000,-1)</f>
        <v>0</v>
      </c>
      <c r="BA41" s="114">
        <f>sig('Release Calculations'!$AZ$299,3,1000,-1)</f>
        <v>0</v>
      </c>
      <c r="BB41" s="114" t="str">
        <f>sig('Release Calculations'!$AZ$300,3,10,3)</f>
        <v/>
      </c>
      <c r="BC41" s="2576" t="str">
        <f>sig('Release Calculations'!$AZ$301,3,10,3)</f>
        <v/>
      </c>
      <c r="BD41" s="2569">
        <f>sig('Release Calculations'!$AZ$318/$BD$4,3,100,0)</f>
        <v>0</v>
      </c>
      <c r="BE41" s="1435" t="str">
        <f t="shared" si="34"/>
        <v>m</v>
      </c>
      <c r="BF41" s="2569">
        <f>sig('Release Calculations'!$AZ$317/$BF$4,3,100,0)</f>
        <v>0</v>
      </c>
      <c r="BG41" s="1435" t="str">
        <f t="shared" si="34"/>
        <v>m</v>
      </c>
      <c r="BH41" s="1419"/>
      <c r="BI41" s="1422"/>
      <c r="BJ41" s="1419"/>
      <c r="BK41" s="1422"/>
      <c r="BL41" s="2573"/>
      <c r="BM41" s="2573"/>
      <c r="BN41" s="1441"/>
      <c r="BO41" s="1746"/>
      <c r="BP41" s="1503">
        <f>sig('Release Calculations'!$AZ$74/$BP$4,3,10,1)</f>
        <v>0</v>
      </c>
      <c r="BQ41" s="1435" t="str">
        <f t="shared" si="58"/>
        <v>kg/min</v>
      </c>
      <c r="BR41" s="1434">
        <f>sig(IF(Relief_Release="Indoors",'Release Calculations'!$AZ$309/$BR$4,'Release Calculations'!$AZ$323/$BR$4),3,100,0)</f>
        <v>0</v>
      </c>
      <c r="BS41" s="1435" t="str">
        <f t="shared" si="25"/>
        <v>m</v>
      </c>
      <c r="BT41" s="1748">
        <f>ROUND(IF(Location="Indoors",'Release Calculations'!$AZ$312,'Release Calculations'!$AZ$326),1)</f>
        <v>0</v>
      </c>
      <c r="BU41" s="1748">
        <f>ROUND(IF(Location="Indoors",'Release Calculations'!$AZ$314,'Release Calculations'!$AZ$330),1)</f>
        <v>0</v>
      </c>
      <c r="BV41" s="1434" t="str">
        <f>IF('Special Calcs'!G130&gt;0,IF(AND(Feed_Type&lt;&gt;"Continuous",OR('Special Calcs'!G129&lt;'Special Calcs'!G136,'Special Calcs'!G136=0)),sig('Special Calcs'!G130,2,10,1),IF('Special Calcs'!G137=0,"",sig('Special Calcs'!G137,2,10,1))),"")</f>
        <v/>
      </c>
      <c r="BW41" s="1443" t="str">
        <f>IF(AND(Feed_Type&lt;&gt;"Continuous",OR('Special Calcs'!G129&lt;'Special Calcs'!G136,'Special Calcs'!G136=0)),'Special Calcs'!H130,IF('Special Calcs'!G137=0,"",'Special Calcs'!H137))</f>
        <v>sec</v>
      </c>
      <c r="BX41" s="262"/>
      <c r="BY41" s="262"/>
      <c r="BZ41" s="123"/>
      <c r="CA41" s="4" t="str">
        <f>IF('Release Calculations'!AZ$336="NA","",'Release Calculations'!AZ$336)</f>
        <v/>
      </c>
      <c r="CB41" s="4" t="e">
        <f>IF('Release Calculations'!AZ$366="NA","",'Release Calculations'!AZ$366)</f>
        <v>#DIV/0!</v>
      </c>
      <c r="CC41" s="4" t="str">
        <f>IF('Release Calculations'!AZ$371="NA","",'Release Calculations'!AZ$371)</f>
        <v/>
      </c>
      <c r="CD41" s="735" t="str">
        <f>IF('Release Calculations'!AZ$376="NA","",'Release Calculations'!AZ$376)</f>
        <v/>
      </c>
      <c r="CE41" s="4"/>
      <c r="CF41" s="4" t="str">
        <f>IF('Release Calculations'!AZ$387="NA","",'Release Calculations'!AZ$387)</f>
        <v/>
      </c>
      <c r="CG41" s="4" t="str">
        <f>IF('Release Calculations'!AZ$407="NA","",'Release Calculations'!AZ$407)</f>
        <v/>
      </c>
      <c r="CH41" s="4" t="str">
        <f>IF('Release Calculations'!AZ$397="NA","",'Release Calculations'!AZ$397)</f>
        <v/>
      </c>
      <c r="CI41" s="4"/>
      <c r="CJ41" s="4"/>
      <c r="CK41" s="4"/>
      <c r="CL41" s="19"/>
      <c r="CM41" s="19"/>
      <c r="CN41" s="189" t="str">
        <f>IF(CA41="","",IF('Release Calculations'!AZ$281="Yes",IF(CA41=Conseq_VeryLow,Desc_VeryLow,IF(CA41=Conseq_Low,Desc_Low,IF(CA41=Conseq_Moderate,Desc_Moderate,IF(CA41=Conseq_High,Desc_High,IF(CA41=Conseq_VeryHigh,Desc_VeryHigh,IF(CA41=Conseq_ExtremeHigh,Desc_ExtremeHigh,Desc_GT_ExtremeHigh)))))),IF(CA41=Conseq_Low_Offsite,Desc_Low_Offsite,Desc_VeryLow_Offsite)))</f>
        <v/>
      </c>
      <c r="CO41" s="189" t="e">
        <f t="shared" si="73"/>
        <v>#DIV/0!</v>
      </c>
      <c r="CP41" s="189" t="str">
        <f t="shared" si="74"/>
        <v/>
      </c>
      <c r="CQ41" s="189" t="str">
        <f t="shared" si="75"/>
        <v/>
      </c>
      <c r="CR41" s="67"/>
      <c r="CS41" s="189" t="str">
        <f t="shared" si="59"/>
        <v/>
      </c>
      <c r="CT41" s="189" t="str">
        <f t="shared" si="68"/>
        <v/>
      </c>
      <c r="CU41" s="189" t="str">
        <f t="shared" si="69"/>
        <v/>
      </c>
      <c r="CV41" s="67"/>
      <c r="CW41" s="67"/>
      <c r="CX41" s="67"/>
      <c r="CY41" s="40" t="s">
        <v>822</v>
      </c>
      <c r="CZ41" s="189" t="str">
        <f>IF(CA41="","",IF('Release Calculations'!AZ$281="Yes"," at a "&amp;$AI$3&amp;" of "&amp;AI41&amp;" "&amp;AJ41&amp;" which exceeds Distance to the Fence Line of "&amp;Public_Input&amp;" "&amp;Public_Units))</f>
        <v/>
      </c>
      <c r="DA41" s="189" t="e">
        <f>IF(CB41="","",IF('Release Calculations'!$AZ$289="Yes"," with operating personnel in close proximity and a "&amp;$AM$3&amp;" of "&amp;AM41&amp;" "&amp;AN41," at a "&amp;$AM$3&amp;" of "&amp;AM41&amp;" "&amp;AN41)&amp;IF('Release Calculations'!$AZ$284&gt;Public," which exceeds Distance to the Fence Line of "&amp;Public_Input&amp;" "&amp;Public_Units&amp;".  Target Factor may be conservative",))</f>
        <v>#DIV/0!</v>
      </c>
      <c r="DB41" s="226" t="str">
        <f>IF(CC41="","",IF('Release Calculations'!AZ303="Yes","and Potential for Asphyxiation","")&amp;IF('Release Calculations'!AZ$289="Yes"," with operations personnel in close proximity at an "&amp;$AZ$3&amp;" of "&amp;AZ41&amp;" ppm"," at an "&amp;$AZ$3&amp;" of "&amp;AZ41&amp;" ppm"))</f>
        <v/>
      </c>
      <c r="DC41" s="189" t="str">
        <f t="shared" si="70"/>
        <v/>
      </c>
      <c r="DD41" s="67"/>
      <c r="DE41" s="189" t="str">
        <f>IF(CF41="","",IF('Release Calculations'!$AZ$289="Yes"," with operating personnel in close proximity and a "&amp;$BF$3&amp;" of "&amp;BF41&amp;" "&amp;BG41," at a "&amp;$BF$3&amp;" of "&amp;BF41&amp;" "&amp;BG41))</f>
        <v/>
      </c>
      <c r="DF41" s="189" t="str">
        <f>IF(CG41="","",IF('Release Calculations'!AZ$324="Yes"," with "&amp;$BR$3&amp;" of "&amp;BR41&amp;" "&amp;BS41&amp;IF('Release Calculations'!AZ$333&lt;&gt;"Yes",""," including "&amp;$BT$3&amp;" of "&amp;BT41&amp;" psi.")&amp;" 1 psi Blast Overpresssure exceeds Distance to the Fence Line of "&amp;Public_Input&amp;" "&amp;Public_Units&amp;".  Consider adjustment for Off-Site Impacts",IF('Release Calculations'!AZ$333&lt;&gt;"Yes"," impacting on site personnel at a "&amp;$BR$3&amp;" of "&amp;BR41&amp;" "&amp;BS41," impacting on site personnel at a "&amp;$BR$3&amp;" of "&amp;BR41&amp;" "&amp;BS41&amp;" including "&amp;$BT$3&amp;" of "&amp;BT41&amp;" psi")))</f>
        <v/>
      </c>
      <c r="DG41" s="189" t="str">
        <f>IF(CH41="","",IF('Release Calculations'!AZ$310="Yes"," with "&amp;$BR$3&amp;" of "&amp;BR41&amp;" "&amp;BS41&amp;IF('Release Calculations'!AZ$315&lt;&gt;"Yes",""," including "&amp;$BT$3&amp;" of "&amp;BT41&amp;" psi.")&amp;"  1 psi Blast Overpresssure exceeds Distance to the Fence Line of "&amp;Public_Input&amp;" "&amp;Public_Units&amp;".  Consider adjustment for Off-Site Impacts",IF('Release Calculations'!AZ$315&lt;&gt;"Yes"," impacting enclosed area operating personnel, on site personnel at a "&amp;$BR$3&amp;" of "&amp;BR41&amp;" "&amp;BS41," impacting enclosed area operating personnel, on site personnel at a "&amp;$BR$3&amp;" of "&amp;BR41&amp;" "&amp;BS41&amp;" including "&amp;$BT$3&amp;" of "&amp;BT41&amp;" psi")))</f>
        <v/>
      </c>
      <c r="DH41" s="67"/>
      <c r="DI41" s="67"/>
      <c r="DJ41" s="67"/>
      <c r="DK41" s="19" t="s">
        <v>822</v>
      </c>
      <c r="DL41" s="39"/>
      <c r="DM41" s="239">
        <f>'Release Calculations'!AZ364</f>
        <v>0</v>
      </c>
      <c r="DN41" s="239">
        <f>'Release Calculations'!AZ$369</f>
        <v>0</v>
      </c>
      <c r="DO41" s="34"/>
      <c r="DP41" s="34"/>
      <c r="DQ41" s="239">
        <f>'Release Calculations'!AZ385</f>
        <v>0</v>
      </c>
      <c r="DR41" s="34"/>
      <c r="DS41" s="34"/>
      <c r="DT41" s="34"/>
      <c r="DU41" s="34"/>
      <c r="DV41" s="6"/>
      <c r="DW41" s="40"/>
      <c r="DX41" s="250"/>
      <c r="DY41" s="249" t="s">
        <v>2983</v>
      </c>
      <c r="DZ41" s="250" t="s">
        <v>292</v>
      </c>
      <c r="EA41" s="740"/>
      <c r="EB41" s="248"/>
      <c r="EC41" s="249" t="s">
        <v>292</v>
      </c>
      <c r="ED41" s="248"/>
      <c r="EE41" s="248"/>
      <c r="EF41" s="248"/>
      <c r="EG41" s="248"/>
      <c r="EH41" s="248"/>
      <c r="EI41" s="19"/>
      <c r="EJ41" s="250"/>
      <c r="EK41" s="249" t="str">
        <f>IF(Attended_Op="Yes","Noted as Personnel Routinely in Immediate Area or Equipment Type involves Materials Handling - "&amp;IF('Release Calculations'!AZ207*3600&lt;30," with a very Short Exposure Duration (&lt; 30 sec)","Time at Risk May Apply"),"Probability of Personnel to be in Close Proximity to Chemical Release based on Toxic Impact Area to "&amp;AM41&amp;" "&amp;AN41&amp;IF('Release Calculations'!AZ363&lt;0.01," (with potential for higher POE credit upon further review)",""))</f>
        <v>Probability of Personnel to be in Close Proximity to Chemical Release based on Toxic Impact Area to 0 m (with potential for higher POE credit upon further review)</v>
      </c>
      <c r="EL41" s="250" t="str">
        <f>IF(Attended_Op="Yes","Noted as Personnel Routinely in Immediate Area or Equipment Type involves Materials Handling - Time at Risk May Apply","Probability of Personnel to be in Close Proximity to Chemical Release based on Ratio Enclosed Process Area Concentation of "&amp;AZ41&amp;" ppm to 10 ER-3 for "&amp;Chemical&amp;IF(Fract_Key_Chemical&lt;1," mixture "," ")&amp;IF('Release Calculations'!$AZ$368&lt;0.01,"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41" s="248"/>
      <c r="EN41" s="248"/>
      <c r="EO41"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"&amp;AZ41&amp;" to "&amp;LFL_Fract_FlashFIre&amp;" LFL","Flammable Impact Area to "&amp;BF41&amp;" "&amp;BG41)&amp;IF('Release Calculations'!$AZ$384&lt;0.01," (with potential for higher POE credit upon further review)",""))</f>
        <v>Probability of Personnel to be in Close Proximity to Chemical Release based on Flammable Impact Area to 0 m (with potential for higher POE credit upon further review)</v>
      </c>
      <c r="EP41" s="248"/>
      <c r="EQ41" s="248"/>
      <c r="ER41" s="248"/>
      <c r="ES41" s="248"/>
      <c r="ET41" s="248"/>
      <c r="EU41" s="19"/>
      <c r="EV41" s="1379"/>
      <c r="EW41" s="957">
        <f>'Release Calculations'!AZ363</f>
        <v>6.0000000000000008E-7</v>
      </c>
      <c r="EX41" s="957">
        <f>'Release Calculations'!$AZ$368</f>
        <v>0</v>
      </c>
      <c r="EY41" s="1380"/>
      <c r="EZ41" s="1380"/>
      <c r="FA41" s="957">
        <f>'Release Calculations'!$AZ$384</f>
        <v>0</v>
      </c>
      <c r="FB41" s="6"/>
      <c r="FC41" s="6"/>
      <c r="FD41" s="6"/>
      <c r="FE41" s="6"/>
      <c r="FF41" s="6"/>
      <c r="FG41" s="19"/>
      <c r="FH41" s="34"/>
      <c r="FI41" s="34"/>
      <c r="FJ41" s="34"/>
      <c r="FK41" s="739"/>
      <c r="FL41" s="34"/>
      <c r="FM41" s="239" t="str">
        <f>IF(Relief_Release="Outdoors",'Release Calculations'!AZ$321,'Release Calculations'!AZ$307)</f>
        <v/>
      </c>
      <c r="FN41" s="239" t="str">
        <f>'Release Calculations'!AZ$322</f>
        <v/>
      </c>
      <c r="FO41" s="39" t="str">
        <f>IF(State&lt;&gt;"Solid",'Release Calculations'!AZ$307,Dust_SecondExpl_POE)</f>
        <v/>
      </c>
      <c r="FP41" s="34"/>
      <c r="FQ41" s="34"/>
      <c r="FR41" s="6"/>
      <c r="FS41" s="40"/>
      <c r="FT41" s="248"/>
      <c r="FU41" s="248"/>
      <c r="FV41" s="248"/>
      <c r="FW41" s="741"/>
      <c r="FX41" s="248"/>
      <c r="FY41" s="249" t="s">
        <v>1461</v>
      </c>
      <c r="FZ41" s="249" t="s">
        <v>1460</v>
      </c>
      <c r="GA41" s="250" t="s">
        <v>1461</v>
      </c>
      <c r="GB41" s="248"/>
      <c r="GC41" s="248"/>
      <c r="GD41" s="248"/>
      <c r="GE41" s="19"/>
      <c r="GF41" s="248"/>
      <c r="GG41" s="248"/>
      <c r="GH41" s="248"/>
      <c r="GI41" s="741"/>
      <c r="GJ41" s="248"/>
      <c r="GK41" s="4" t="str">
        <f t="shared" si="79"/>
        <v>No Flash Point Entered</v>
      </c>
      <c r="GL41" s="2581" t="str">
        <f t="shared" si="71"/>
        <v>No Flash Point Entered</v>
      </c>
      <c r="GM41" s="250" t="str">
        <f t="shared" si="72"/>
        <v>Indoor Release of Flammable Material-POX</v>
      </c>
      <c r="GN41" s="248"/>
      <c r="GO41" s="248"/>
      <c r="GP41" s="248"/>
      <c r="GQ41" s="19"/>
      <c r="GR41" s="189" t="e">
        <f>IF(CA41="","",CA$3&amp;"; ")&amp;IF(CB41="","",CB$3&amp;" ("&amp;CB41&amp;"); ")&amp;IF(CC41="","",CC$3&amp;"; ")&amp;IF(CD41="","",CD$3&amp;"; ")&amp;IF(CE41="","",CE$3&amp;"; ")&amp;IF(CF41="","",CF$3&amp;"; ")&amp;IF(CG41="","",CG$3&amp;"; ")&amp;IF(CH41="","",CH$3&amp;"; ")&amp;IF(CI41="","",CI$3&amp;"; ")&amp;IF(CJ41="","",CJ$3&amp;"; ")&amp;IF(CK41="","",CK$3)</f>
        <v>#DIV/0!</v>
      </c>
      <c r="GS41" s="35"/>
      <c r="GT41" s="19"/>
      <c r="GU41" s="26"/>
      <c r="GV41" s="26"/>
      <c r="GW41" s="19"/>
      <c r="GX41" s="19"/>
      <c r="GY41" s="19"/>
      <c r="GZ41" s="19"/>
      <c r="HA41" s="19"/>
      <c r="HB41" s="19"/>
      <c r="HC41" s="19"/>
      <c r="HD41" s="19"/>
      <c r="HE41" s="19"/>
      <c r="HF41" s="19"/>
      <c r="HG41" s="19"/>
      <c r="HH41" s="19"/>
      <c r="HI41" s="19"/>
    </row>
    <row r="42" spans="1:220" s="5" customFormat="1" ht="12" customHeight="1" x14ac:dyDescent="0.25">
      <c r="A42" s="35"/>
      <c r="B42" s="64" t="str">
        <f>'Scenario Identification'!CU3</f>
        <v>Vapor Relief Vent - Reaction</v>
      </c>
      <c r="C42" s="1457" t="str">
        <f t="shared" si="80"/>
        <v/>
      </c>
      <c r="D42" s="65"/>
      <c r="E42" s="2483" t="str">
        <f>IF(MAX('Release Calculations'!BB33,'Release Calculations'!BB41,'Release Calculations'!BB47,1-'Release Calculations'!BB65,ABS(MIN('Release Calculations'!BB33,'Release Calculations'!BB41,'Release Calculations'!BB47,1-'Release Calculations'!BB65)))&gt;$E$4,"Yes","")</f>
        <v/>
      </c>
      <c r="F42" s="1418" t="s">
        <v>428</v>
      </c>
      <c r="G42" s="1434">
        <f t="shared" si="11"/>
        <v>0</v>
      </c>
      <c r="H42" s="1427" t="str">
        <f t="shared" si="31"/>
        <v>liter</v>
      </c>
      <c r="I42" s="1418"/>
      <c r="J42" s="1421"/>
      <c r="K42" s="1427">
        <f t="shared" si="81"/>
        <v>0</v>
      </c>
      <c r="L42" s="1434">
        <f>sig('Release Calculations'!$BB$48/$L$4,3,100,0)</f>
        <v>0</v>
      </c>
      <c r="M42" s="1435" t="str">
        <f t="shared" si="13"/>
        <v>kg</v>
      </c>
      <c r="N42" s="1432" t="str">
        <f t="shared" si="78"/>
        <v xml:space="preserve">Liquid:   ,  ,  ,  ,  </v>
      </c>
      <c r="O42" s="1434">
        <f>ROUND('Release Calculations'!$BB$9,0)</f>
        <v>0</v>
      </c>
      <c r="P42" s="1434">
        <f t="shared" si="82"/>
        <v>0</v>
      </c>
      <c r="Q42" s="1446" t="str">
        <f t="shared" si="15"/>
        <v>bar</v>
      </c>
      <c r="R42" s="1434">
        <f>sig('Release Calculations'!$BB$73/$AG$4,3,10,0)</f>
        <v>0</v>
      </c>
      <c r="S42" s="1447" t="str">
        <f t="shared" si="16"/>
        <v>kg/min</v>
      </c>
      <c r="T42" s="1435">
        <f>IF('Release Calculations'!$BB$20=0,U42,ROUND('Release Calculations'!$BB$20/$T$4,0))</f>
        <v>0</v>
      </c>
      <c r="U42" s="1434">
        <f>ROUND(('Release Calculations'!$BB$20+'Release Calculations'!$BB$21)/$U$4,0)</f>
        <v>0</v>
      </c>
      <c r="V42" s="1434"/>
      <c r="W42" s="1435"/>
      <c r="X42" s="1438">
        <f>ROUND('Release Calculations'!BB$211,3)</f>
        <v>0</v>
      </c>
      <c r="Y42" s="1458" t="str">
        <f>IF('Release Calculations'!$BB$222="","",sig('Release Calculations'!$BB$222,3,1000,0))</f>
        <v/>
      </c>
      <c r="Z42" s="1458" t="str">
        <f>IF('Release Calculations'!$BB$228="","",sig('Release Calculations'!$BB$228,3,1000,0))</f>
        <v/>
      </c>
      <c r="AA42" s="1458" t="str">
        <f>IF('Release Calculations'!$BB$252="","",sig('Release Calculations'!$BB$252,3,1000,0))</f>
        <v/>
      </c>
      <c r="AB42" s="1458" t="str">
        <f>IF('Release Calculations'!$BB$258="","",sig('Release Calculations'!$BB$258,3,1000,0))</f>
        <v/>
      </c>
      <c r="AC42" s="1458" t="str">
        <f>IF('Release Calculations'!$BB$264="","",sig('Release Calculations'!$BB$264,3,1000,0))</f>
        <v/>
      </c>
      <c r="AD42" s="1196" t="str">
        <f>IF('Release Calculations'!$BB$246="","",ROUND('Release Calculations'!$BB$246,1))</f>
        <v/>
      </c>
      <c r="AE42" s="1434">
        <f>sig('Release Calculations'!$BB$48/$L$4,3,100,0)</f>
        <v>0</v>
      </c>
      <c r="AF42" s="1435" t="str">
        <f t="shared" si="17"/>
        <v>kg</v>
      </c>
      <c r="AG42" s="1326">
        <f>sig('Release Calculations'!BB$73/$AG$4,3,10,3)</f>
        <v>0</v>
      </c>
      <c r="AH42" s="1435" t="str">
        <f t="shared" si="33"/>
        <v>kg/min</v>
      </c>
      <c r="AI42" s="1434">
        <f>sig('Release Calculations'!$BB$279/$AI$4,3,100,0)</f>
        <v>0</v>
      </c>
      <c r="AJ42" s="1435" t="str">
        <f t="shared" si="60"/>
        <v>m</v>
      </c>
      <c r="AK42" s="1434">
        <f>sig('Release Calculations'!$BB$282/$AK$4,3,100,0)</f>
        <v>0</v>
      </c>
      <c r="AL42" s="1435" t="str">
        <f t="shared" si="61"/>
        <v>m</v>
      </c>
      <c r="AM42" s="1434">
        <f>sig('Release Calculations'!$BB$284/$AM$4,3,100,0)</f>
        <v>0</v>
      </c>
      <c r="AN42" s="1435" t="str">
        <f t="shared" si="62"/>
        <v>m</v>
      </c>
      <c r="AO42" s="1434">
        <f>sig('Release Calculations'!$BB$285/$AO$4,3,100,0)</f>
        <v>0</v>
      </c>
      <c r="AP42" s="1452" t="str">
        <f t="shared" si="63"/>
        <v>m</v>
      </c>
      <c r="AQ42" s="1434">
        <f>sig('Release Calculations'!$BB$287/$AQ$4,3,100,0)</f>
        <v>0</v>
      </c>
      <c r="AR42" s="1452" t="str">
        <f t="shared" si="64"/>
        <v>m</v>
      </c>
      <c r="AS42" s="1452" t="str">
        <f t="shared" si="65"/>
        <v/>
      </c>
      <c r="AT42" s="1452" t="str">
        <f t="shared" si="66"/>
        <v/>
      </c>
      <c r="AU42" s="1452" t="str">
        <f t="shared" si="67"/>
        <v/>
      </c>
      <c r="AV42" s="114">
        <f>sig('Release Calculations'!$BB$294,3,1000,-1)</f>
        <v>0</v>
      </c>
      <c r="AW42" s="114">
        <f>sig('Release Calculations'!$BB$295,3,1000,-1)</f>
        <v>0</v>
      </c>
      <c r="AX42" s="114" t="str">
        <f>sig('Release Calculations'!$BB$296,3,1000,0)</f>
        <v/>
      </c>
      <c r="AY42" s="114" t="str">
        <f>sig('Release Calculations'!$BB$297,3,1000,0)</f>
        <v/>
      </c>
      <c r="AZ42" s="114">
        <f>sig('Release Calculations'!$BB$298,3,1000,-1)</f>
        <v>0</v>
      </c>
      <c r="BA42" s="114">
        <f>sig('Release Calculations'!$BB$299,3,1000,-1)</f>
        <v>0</v>
      </c>
      <c r="BB42" s="114" t="str">
        <f>sig('Release Calculations'!$BB$300,3,10,3)</f>
        <v/>
      </c>
      <c r="BC42" s="2576" t="str">
        <f>sig('Release Calculations'!$BB$301,3,10,3)</f>
        <v/>
      </c>
      <c r="BD42" s="2569">
        <f>sig('Release Calculations'!$BB$318/$BD$4,3,100,0)</f>
        <v>0</v>
      </c>
      <c r="BE42" s="1435" t="str">
        <f t="shared" si="34"/>
        <v>m</v>
      </c>
      <c r="BF42" s="2569">
        <f>sig('Release Calculations'!$BB$317/$BF$4,3,100,0)</f>
        <v>0</v>
      </c>
      <c r="BG42" s="1435" t="str">
        <f t="shared" si="34"/>
        <v>m</v>
      </c>
      <c r="BH42" s="1419"/>
      <c r="BI42" s="1422"/>
      <c r="BJ42" s="1419"/>
      <c r="BK42" s="1422"/>
      <c r="BL42" s="2573"/>
      <c r="BM42" s="2573"/>
      <c r="BN42" s="1441"/>
      <c r="BO42" s="1746"/>
      <c r="BP42" s="1503">
        <f>sig('Release Calculations'!$BB$74/$BP$4,3,10,1)</f>
        <v>0</v>
      </c>
      <c r="BQ42" s="1435" t="str">
        <f t="shared" si="58"/>
        <v>kg/min</v>
      </c>
      <c r="BR42" s="1434">
        <f>sig(IF(Relief_Release="Indoors",'Release Calculations'!$BB$309/$BR$4,'Release Calculations'!$BB$323/$BR$4),3,100,0)</f>
        <v>0</v>
      </c>
      <c r="BS42" s="1435" t="str">
        <f t="shared" si="25"/>
        <v>m</v>
      </c>
      <c r="BT42" s="1748">
        <f>ROUND(IF(Location="Indoors",'Release Calculations'!$BB$312,'Release Calculations'!$BB$326),1)</f>
        <v>0</v>
      </c>
      <c r="BU42" s="1748">
        <f>ROUND(IF(Location="Indoors",'Release Calculations'!$BB$314,'Release Calculations'!$BB$330),1)</f>
        <v>0</v>
      </c>
      <c r="BV42" s="1434" t="str">
        <f>IF('Reaction Input'!V72&gt;0,sig('Reaction Input'!V72,2,10,1),"")</f>
        <v/>
      </c>
      <c r="BW42" s="1443" t="str">
        <f>'Reaction Input'!W72</f>
        <v>day</v>
      </c>
      <c r="BX42" s="262"/>
      <c r="BY42" s="262"/>
      <c r="BZ42" s="123"/>
      <c r="CA42" s="4" t="str">
        <f>IF('Release Calculations'!BB$336="NA","",'Release Calculations'!BB$336)</f>
        <v/>
      </c>
      <c r="CB42" s="4" t="e">
        <f>IF('Release Calculations'!BB$366="NA","",'Release Calculations'!BB$366)</f>
        <v>#DIV/0!</v>
      </c>
      <c r="CC42" s="4" t="str">
        <f>IF('Release Calculations'!BB$371="NA","",'Release Calculations'!BB$371)</f>
        <v/>
      </c>
      <c r="CD42" s="735" t="str">
        <f>IF('Release Calculations'!BB$376="NA","",'Release Calculations'!BB$376)</f>
        <v/>
      </c>
      <c r="CE42" s="4"/>
      <c r="CF42" s="4" t="str">
        <f>IF('Release Calculations'!BB$387="NA","",'Release Calculations'!BB$387)</f>
        <v/>
      </c>
      <c r="CG42" s="4" t="str">
        <f>IF('Release Calculations'!BB$407="NA","",'Release Calculations'!BB$407)</f>
        <v/>
      </c>
      <c r="CH42" s="4" t="str">
        <f>IF('Release Calculations'!BB$397="NA","",'Release Calculations'!BB$397)</f>
        <v/>
      </c>
      <c r="CI42" s="4"/>
      <c r="CJ42" s="4"/>
      <c r="CK42" s="4"/>
      <c r="CL42" s="19"/>
      <c r="CM42" s="19"/>
      <c r="CN42" s="189" t="str">
        <f>IF(CA42="","",IF('Release Calculations'!BB$281="Yes",IF(CA42=Conseq_VeryLow,Desc_VeryLow,IF(CA42=Conseq_Low,Desc_Low,IF(CA42=Conseq_Moderate,Desc_Moderate,IF(CA42=Conseq_High,Desc_High,IF(CA42=Conseq_VeryHigh,Desc_VeryHigh,IF(CA42=Conseq_ExtremeHigh,Desc_ExtremeHigh,Desc_GT_ExtremeHigh)))))),IF(CA42=Conseq_Low_Offsite,Desc_Low_Offsite,Desc_VeryLow_Offsite)))</f>
        <v/>
      </c>
      <c r="CO42" s="189" t="e">
        <f t="shared" si="73"/>
        <v>#DIV/0!</v>
      </c>
      <c r="CP42" s="189" t="str">
        <f t="shared" si="74"/>
        <v/>
      </c>
      <c r="CQ42" s="189" t="str">
        <f t="shared" si="75"/>
        <v/>
      </c>
      <c r="CR42" s="67"/>
      <c r="CS42" s="189" t="str">
        <f t="shared" si="59"/>
        <v/>
      </c>
      <c r="CT42" s="189" t="str">
        <f t="shared" si="68"/>
        <v/>
      </c>
      <c r="CU42" s="189" t="str">
        <f t="shared" si="69"/>
        <v/>
      </c>
      <c r="CV42" s="67"/>
      <c r="CW42" s="67"/>
      <c r="CX42" s="67"/>
      <c r="CY42" s="40" t="s">
        <v>822</v>
      </c>
      <c r="CZ42" s="189" t="str">
        <f>IF(CA42="","",IF('Release Calculations'!BB$281="Yes"," at a "&amp;$AI$3&amp;" of "&amp;AI42&amp;" "&amp;AJ42&amp;" which exceeds Distance to the Fence Line of "&amp;Public_Input&amp;" "&amp;Public_Units))</f>
        <v/>
      </c>
      <c r="DA42" s="189" t="e">
        <f>IF(CB42="","",IF('Release Calculations'!$BB$289="Yes"," with operating personnel in close proximity and a "&amp;$AM$3&amp;" of "&amp;AM42&amp;" "&amp;AN42," at a "&amp;$AM$3&amp;" of "&amp;AM42&amp;" "&amp;AN42)&amp;IF('Release Calculations'!$BB$284&gt;Public," which exceeds Distance to the Fence Line of "&amp;Public_Input&amp;" "&amp;Public_Units&amp;".  Target Factor may be conservative",))</f>
        <v>#DIV/0!</v>
      </c>
      <c r="DB42" s="226" t="str">
        <f>IF(CC42="","",IF('Release Calculations'!BB303="Yes","and Potential for Asphyxiation","")&amp;IF('Release Calculations'!BB$289="Yes"," with operations personnel in close proximity at an "&amp;$AZ$3&amp;" of "&amp;AZ42&amp;" ppm"," at an "&amp;$AZ$3&amp;" of "&amp;AZ42&amp;" ppm"))</f>
        <v/>
      </c>
      <c r="DC42" s="189" t="str">
        <f t="shared" si="70"/>
        <v/>
      </c>
      <c r="DD42" s="67"/>
      <c r="DE42" s="189" t="str">
        <f>IF(CF42="","",IF('Release Calculations'!$BB$289="Yes"," with operating personnel in close proximity and a "&amp;$BF$3&amp;" of "&amp;BF42&amp;" "&amp;BG42," at a "&amp;$BF$3&amp;" of "&amp;BF42&amp;" "&amp;BG42))</f>
        <v/>
      </c>
      <c r="DF42" s="189" t="str">
        <f>IF(CG42="","",IF('Release Calculations'!BB$324="Yes"," with "&amp;$BR$3&amp;" of "&amp;BR42&amp;" "&amp;BS42&amp;IF('Release Calculations'!BB$333&lt;&gt;"Yes",""," including "&amp;$BT$3&amp;" of "&amp;BT42&amp;" psi.")&amp;" 1 psi Blast Overpresssure exceeds Distance to the Fence Line of "&amp;Public_Input&amp;" "&amp;Public_Units&amp;".  Consider adjustment for Off-Site Impacts",IF('Release Calculations'!BB$333&lt;&gt;"Yes"," impacting on site personnel at a "&amp;$BR$3&amp;" of "&amp;BR42&amp;" "&amp;BS42," impacting on site personnel at a "&amp;$BR$3&amp;" of "&amp;BR42&amp;" "&amp;BS42&amp;" including "&amp;$BT$3&amp;" of "&amp;BT42&amp;" psi")))</f>
        <v/>
      </c>
      <c r="DG42" s="189" t="str">
        <f>IF(CH42="","",IF('Release Calculations'!BB$310="Yes"," with "&amp;$BR$3&amp;" of "&amp;BR42&amp;" "&amp;BS42&amp;IF('Release Calculations'!BB$315&lt;&gt;"Yes",""," including "&amp;$BT$3&amp;" of "&amp;BT42&amp;" psi.")&amp;"  1 psi Blast Overpresssure exceeds Distance to the Fence Line of "&amp;Public_Input&amp;" "&amp;Public_Units&amp;".  Consider adjustment for Off-Site Impacts",IF('Release Calculations'!BB$315&lt;&gt;"Yes"," impacting enclosed area operating personnel, on site personnel at a "&amp;$BR$3&amp;" of "&amp;BR42&amp;" "&amp;BS42," impacting enclosed area operating personnel, on site personnel at a "&amp;$BR$3&amp;" of "&amp;BR42&amp;" "&amp;BS42&amp;" including "&amp;$BT$3&amp;" of "&amp;BT42&amp;" psi")))</f>
        <v/>
      </c>
      <c r="DH42" s="67"/>
      <c r="DI42" s="67"/>
      <c r="DJ42" s="67"/>
      <c r="DK42" s="19" t="s">
        <v>822</v>
      </c>
      <c r="DL42" s="39"/>
      <c r="DM42" s="239">
        <f>'Release Calculations'!BB364</f>
        <v>0</v>
      </c>
      <c r="DN42" s="239">
        <f>'Release Calculations'!BB$369</f>
        <v>0</v>
      </c>
      <c r="DO42" s="34"/>
      <c r="DP42" s="34"/>
      <c r="DQ42" s="239">
        <f>'Release Calculations'!BB385</f>
        <v>0</v>
      </c>
      <c r="DR42" s="34"/>
      <c r="DS42" s="34"/>
      <c r="DT42" s="34"/>
      <c r="DU42" s="34"/>
      <c r="DV42" s="6"/>
      <c r="DW42" s="40"/>
      <c r="DX42" s="250"/>
      <c r="DY42" s="249" t="s">
        <v>2983</v>
      </c>
      <c r="DZ42" s="250" t="s">
        <v>292</v>
      </c>
      <c r="EA42" s="740"/>
      <c r="EB42" s="248"/>
      <c r="EC42" s="249" t="s">
        <v>292</v>
      </c>
      <c r="ED42" s="248"/>
      <c r="EE42" s="248"/>
      <c r="EF42" s="248"/>
      <c r="EG42" s="248"/>
      <c r="EH42" s="248"/>
      <c r="EI42" s="19"/>
      <c r="EJ42" s="250"/>
      <c r="EK42" s="249" t="str">
        <f>IF(Attended_Op="Yes","Noted as Personnel Routinely in Immediate Area or Equipment Type involves Materials Handling - "&amp;IF('Release Calculations'!BB207*3600&lt;30," with a very Short Exposure Duration (&lt; 30 sec)","Time at Risk May Apply"),"Probability of Personnel to be in Close Proximity to Chemical Release based on Toxic Impact Area to "&amp;AM42&amp;" "&amp;AN42&amp;IF('Release Calculations'!BB363&lt;0.01," (with potential for higher POE credit upon further review)",""))</f>
        <v>Probability of Personnel to be in Close Proximity to Chemical Release based on Toxic Impact Area to 0 m (with potential for higher POE credit upon further review)</v>
      </c>
      <c r="EL42" s="250" t="str">
        <f>IF(Attended_Op="Yes","Noted as Personnel Routinely in Immediate Area or Equipment Type involves Materials Handling - Time at Risk May Apply","Probability of Personnel to be in Close Proximity to Chemical Release based on Ratio Enclosed Process Area Concentation of "&amp;AZ42&amp;" ppm to 10 ER-3 for "&amp;Chemical&amp;IF(Fract_Key_Chemical&lt;1," mixture "," ")&amp;IF('Release Calculations'!$BB$368&lt;0.01,"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42" s="248"/>
      <c r="EN42" s="248"/>
      <c r="EO42"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"&amp;AZ42&amp;" to "&amp;LFL_Fract_FlashFIre&amp;" LFL","Flammable Impact Area to "&amp;BF42&amp;" "&amp;BG42)&amp;IF('Release Calculations'!$BB$384&lt;0.01," (with potential for higher POE credit upon further review)",""))</f>
        <v>Probability of Personnel to be in Close Proximity to Chemical Release based on Flammable Impact Area to 0 m (with potential for higher POE credit upon further review)</v>
      </c>
      <c r="EP42" s="248"/>
      <c r="EQ42" s="248"/>
      <c r="ER42" s="248"/>
      <c r="ES42" s="248"/>
      <c r="ET42" s="248"/>
      <c r="EU42" s="19"/>
      <c r="EV42" s="1379"/>
      <c r="EW42" s="957">
        <f>'Release Calculations'!BB363</f>
        <v>6.0000000000000008E-7</v>
      </c>
      <c r="EX42" s="957">
        <f>'Release Calculations'!$BB$368</f>
        <v>0</v>
      </c>
      <c r="EY42" s="1380"/>
      <c r="EZ42" s="1380"/>
      <c r="FA42" s="957">
        <f>'Release Calculations'!$BB$384</f>
        <v>0</v>
      </c>
      <c r="FB42" s="6"/>
      <c r="FC42" s="6"/>
      <c r="FD42" s="6"/>
      <c r="FE42" s="6"/>
      <c r="FF42" s="6"/>
      <c r="FG42" s="19"/>
      <c r="FH42" s="34"/>
      <c r="FI42" s="34"/>
      <c r="FJ42" s="34"/>
      <c r="FK42" s="739"/>
      <c r="FL42" s="34"/>
      <c r="FM42" s="239" t="str">
        <f>IF(Relief_Release="Outdoors",'Release Calculations'!BB$321,'Release Calculations'!BB$307)</f>
        <v/>
      </c>
      <c r="FN42" s="239" t="str">
        <f>'Release Calculations'!BB$322</f>
        <v/>
      </c>
      <c r="FO42" s="39" t="str">
        <f>IF(State&lt;&gt;"Solid",'Release Calculations'!BB$307,Dust_SecondExpl_POE)</f>
        <v/>
      </c>
      <c r="FP42" s="34"/>
      <c r="FQ42" s="34"/>
      <c r="FR42" s="6"/>
      <c r="FS42" s="40"/>
      <c r="FT42" s="248"/>
      <c r="FU42" s="248"/>
      <c r="FV42" s="248"/>
      <c r="FW42" s="741"/>
      <c r="FX42" s="248"/>
      <c r="FY42" s="249" t="s">
        <v>1461</v>
      </c>
      <c r="FZ42" s="249" t="s">
        <v>1460</v>
      </c>
      <c r="GA42" s="250" t="s">
        <v>1461</v>
      </c>
      <c r="GB42" s="248"/>
      <c r="GC42" s="248"/>
      <c r="GD42" s="248"/>
      <c r="GE42" s="19"/>
      <c r="GF42" s="248"/>
      <c r="GG42" s="248"/>
      <c r="GH42" s="248"/>
      <c r="GI42" s="741"/>
      <c r="GJ42" s="248"/>
      <c r="GK42" s="4" t="str">
        <f t="shared" si="79"/>
        <v>No Flash Point Entered</v>
      </c>
      <c r="GL42" s="2581" t="str">
        <f t="shared" si="71"/>
        <v>No Flash Point Entered</v>
      </c>
      <c r="GM42" s="250" t="str">
        <f t="shared" si="72"/>
        <v>Indoor Release of Flammable Material-POX</v>
      </c>
      <c r="GN42" s="248"/>
      <c r="GO42" s="248"/>
      <c r="GP42" s="248"/>
      <c r="GQ42" s="19"/>
      <c r="GR42" s="189" t="e">
        <f t="shared" si="35"/>
        <v>#DIV/0!</v>
      </c>
      <c r="GS42" s="19"/>
      <c r="GT42" s="19"/>
      <c r="GU42" s="26"/>
      <c r="GV42" s="26"/>
      <c r="GW42" s="19"/>
      <c r="GX42" s="19"/>
      <c r="GY42" s="19"/>
      <c r="GZ42" s="19"/>
      <c r="HA42" s="19"/>
      <c r="HB42" s="19"/>
      <c r="HC42" s="19"/>
      <c r="HD42" s="19"/>
      <c r="HE42" s="19"/>
      <c r="HF42" s="19"/>
      <c r="HG42" s="19"/>
      <c r="HH42" s="19"/>
      <c r="HI42" s="19"/>
    </row>
    <row r="43" spans="1:220" s="5" customFormat="1" ht="15" customHeight="1" x14ac:dyDescent="0.25">
      <c r="A43" s="35"/>
      <c r="B43" s="64" t="str">
        <f>'Scenario Identification'!CV3</f>
        <v>Vapor Relief Vent - Reaction with External Heat</v>
      </c>
      <c r="C43" s="1457" t="str">
        <f t="shared" si="80"/>
        <v/>
      </c>
      <c r="D43" s="65"/>
      <c r="E43" s="2483" t="str">
        <f>IF(MAX('Release Calculations'!BD33,'Release Calculations'!BD41,'Release Calculations'!BD47,1-'Release Calculations'!BD65,ABS(MIN('Release Calculations'!BD33,'Release Calculations'!BD41,'Release Calculations'!BD47,1-'Release Calculations'!BD65)))&gt;$E$4,"Yes","")</f>
        <v/>
      </c>
      <c r="F43" s="1418" t="s">
        <v>428</v>
      </c>
      <c r="G43" s="1434">
        <f t="shared" si="11"/>
        <v>0</v>
      </c>
      <c r="H43" s="1427" t="str">
        <f t="shared" si="31"/>
        <v>liter</v>
      </c>
      <c r="I43" s="1418"/>
      <c r="J43" s="1421"/>
      <c r="K43" s="1427">
        <f t="shared" si="81"/>
        <v>0</v>
      </c>
      <c r="L43" s="1434">
        <f>sig('Release Calculations'!$BD$48/$L$4,3,100,0)</f>
        <v>0</v>
      </c>
      <c r="M43" s="1435" t="str">
        <f t="shared" si="13"/>
        <v>kg</v>
      </c>
      <c r="N43" s="1432" t="str">
        <f t="shared" si="78"/>
        <v xml:space="preserve">Liquid:   ,  ,  ,  ,  </v>
      </c>
      <c r="O43" s="1434">
        <f>ROUND('Release Calculations'!$BD$9,0)</f>
        <v>0</v>
      </c>
      <c r="P43" s="1434">
        <f t="shared" si="82"/>
        <v>0</v>
      </c>
      <c r="Q43" s="1446" t="str">
        <f t="shared" si="15"/>
        <v>bar</v>
      </c>
      <c r="R43" s="1434">
        <f>sig('Release Calculations'!$BD$73/$AG$4,3,10,0)</f>
        <v>0</v>
      </c>
      <c r="S43" s="1447" t="str">
        <f t="shared" si="16"/>
        <v>kg/min</v>
      </c>
      <c r="T43" s="1435">
        <f>IF('Release Calculations'!$BD$20=0,U43,ROUND('Release Calculations'!$BD$20/$T$4,0))</f>
        <v>0</v>
      </c>
      <c r="U43" s="1434">
        <f>ROUND(('Release Calculations'!$BD$20+'Release Calculations'!$BD$21)/$U$4,0)</f>
        <v>0</v>
      </c>
      <c r="V43" s="1434"/>
      <c r="W43" s="1435"/>
      <c r="X43" s="1438">
        <f>ROUND('Release Calculations'!BD$211,3)</f>
        <v>0</v>
      </c>
      <c r="Y43" s="1458" t="str">
        <f>IF('Release Calculations'!$BD$222="","",sig('Release Calculations'!$BD$222,3,1000,0))</f>
        <v/>
      </c>
      <c r="Z43" s="1458" t="str">
        <f>IF('Release Calculations'!$BD$228="","",sig('Release Calculations'!$BD$228,3,1000,0))</f>
        <v/>
      </c>
      <c r="AA43" s="1458" t="str">
        <f>IF('Release Calculations'!$BD$252="","",sig('Release Calculations'!$BD$252,3,1000,0))</f>
        <v/>
      </c>
      <c r="AB43" s="1458" t="str">
        <f>IF('Release Calculations'!$BD$258="","",sig('Release Calculations'!$BD$258,3,1000,0))</f>
        <v/>
      </c>
      <c r="AC43" s="1458" t="str">
        <f>IF('Release Calculations'!$BD$264="","",sig('Release Calculations'!$BD$264,3,1000,0))</f>
        <v/>
      </c>
      <c r="AD43" s="1196" t="str">
        <f>IF('Release Calculations'!$BD$246="","",ROUND('Release Calculations'!$BD$246,1))</f>
        <v/>
      </c>
      <c r="AE43" s="1434">
        <f>sig('Release Calculations'!$BD$48/$L$4,3,100,0)</f>
        <v>0</v>
      </c>
      <c r="AF43" s="1435" t="str">
        <f t="shared" si="17"/>
        <v>kg</v>
      </c>
      <c r="AG43" s="1326">
        <f>sig('Release Calculations'!BD$73/$AG$4,3,10,3)</f>
        <v>0</v>
      </c>
      <c r="AH43" s="1435" t="str">
        <f t="shared" si="33"/>
        <v>kg/min</v>
      </c>
      <c r="AI43" s="1434">
        <f>sig('Release Calculations'!$BD$279/$AI$4,3,100,0)</f>
        <v>0</v>
      </c>
      <c r="AJ43" s="1435" t="str">
        <f t="shared" si="60"/>
        <v>m</v>
      </c>
      <c r="AK43" s="1434">
        <f>sig('Release Calculations'!$BD$282/$AK$4,3,100,0)</f>
        <v>0</v>
      </c>
      <c r="AL43" s="1435" t="str">
        <f t="shared" si="61"/>
        <v>m</v>
      </c>
      <c r="AM43" s="1434">
        <f>sig('Release Calculations'!$BD$284/$AM$4,3,100,0)</f>
        <v>0</v>
      </c>
      <c r="AN43" s="1435" t="str">
        <f t="shared" si="62"/>
        <v>m</v>
      </c>
      <c r="AO43" s="1434">
        <f>sig('Release Calculations'!$BD$285/$AO$4,3,100,0)</f>
        <v>0</v>
      </c>
      <c r="AP43" s="1452" t="str">
        <f t="shared" si="63"/>
        <v>m</v>
      </c>
      <c r="AQ43" s="1434">
        <f>sig('Release Calculations'!$BD$287/$AQ$4,3,100,0)</f>
        <v>0</v>
      </c>
      <c r="AR43" s="1452" t="str">
        <f t="shared" si="64"/>
        <v>m</v>
      </c>
      <c r="AS43" s="1452" t="str">
        <f t="shared" si="65"/>
        <v/>
      </c>
      <c r="AT43" s="1452" t="str">
        <f t="shared" si="66"/>
        <v/>
      </c>
      <c r="AU43" s="1452" t="str">
        <f t="shared" si="67"/>
        <v/>
      </c>
      <c r="AV43" s="114">
        <f>sig('Release Calculations'!$BD$294,3,1000,-1)</f>
        <v>0</v>
      </c>
      <c r="AW43" s="114">
        <f>sig('Release Calculations'!$BD$295,3,1000,-1)</f>
        <v>0</v>
      </c>
      <c r="AX43" s="114" t="str">
        <f>sig('Release Calculations'!$BD$296,3,1000,0)</f>
        <v/>
      </c>
      <c r="AY43" s="114" t="str">
        <f>sig('Release Calculations'!$BD$297,3,1000,0)</f>
        <v/>
      </c>
      <c r="AZ43" s="114">
        <f>sig('Release Calculations'!$BD$298,3,1000,-1)</f>
        <v>0</v>
      </c>
      <c r="BA43" s="114">
        <f>sig('Release Calculations'!$BD$299,3,1000,-1)</f>
        <v>0</v>
      </c>
      <c r="BB43" s="114" t="str">
        <f>sig('Release Calculations'!$BD$300,3,10,3)</f>
        <v/>
      </c>
      <c r="BC43" s="2576" t="str">
        <f>sig('Release Calculations'!$BD$301,3,10,3)</f>
        <v/>
      </c>
      <c r="BD43" s="2569">
        <f>sig('Release Calculations'!$BD$318/$BD$4,3,100,0)</f>
        <v>0</v>
      </c>
      <c r="BE43" s="1435" t="str">
        <f t="shared" si="34"/>
        <v>m</v>
      </c>
      <c r="BF43" s="2569">
        <f>sig('Release Calculations'!$BD$317/$BF$4,3,100,0)</f>
        <v>0</v>
      </c>
      <c r="BG43" s="1435" t="str">
        <f t="shared" si="34"/>
        <v>m</v>
      </c>
      <c r="BH43" s="1419"/>
      <c r="BI43" s="1422"/>
      <c r="BJ43" s="1419"/>
      <c r="BK43" s="1422"/>
      <c r="BL43" s="2573"/>
      <c r="BM43" s="2573"/>
      <c r="BN43" s="1441"/>
      <c r="BO43" s="1746"/>
      <c r="BP43" s="1503">
        <f>sig('Release Calculations'!$BD$74/$BP$4,3,10,1)</f>
        <v>0</v>
      </c>
      <c r="BQ43" s="1435" t="str">
        <f t="shared" si="58"/>
        <v>kg/min</v>
      </c>
      <c r="BR43" s="1434">
        <f>sig(IF(Relief_Release="Indoors",'Release Calculations'!$BD$309/$BR$4,'Release Calculations'!$BD$323/$BR$4),3,100,0)</f>
        <v>0</v>
      </c>
      <c r="BS43" s="1435" t="str">
        <f t="shared" si="25"/>
        <v>m</v>
      </c>
      <c r="BT43" s="1748">
        <f>ROUND(IF(Location="Indoors",'Release Calculations'!$BD$312,'Release Calculations'!$BD$326),1)</f>
        <v>0</v>
      </c>
      <c r="BU43" s="1748">
        <f>ROUND(IF(Location="Indoors",'Release Calculations'!$BD$314,'Release Calculations'!$BD$330),1)</f>
        <v>0</v>
      </c>
      <c r="BV43" s="1434" t="e">
        <f>IF('Reaction Input'!AE72&gt;0,sig('Reaction Input'!AE72,2,10,1),"")</f>
        <v>#DIV/0!</v>
      </c>
      <c r="BW43" s="1443" t="e">
        <f>'Reaction Input'!AF72</f>
        <v>#DIV/0!</v>
      </c>
      <c r="BX43" s="262"/>
      <c r="BY43" s="262"/>
      <c r="BZ43" s="123"/>
      <c r="CA43" s="4" t="str">
        <f>IF('Release Calculations'!BD$336="NA","",'Release Calculations'!BD$336)</f>
        <v/>
      </c>
      <c r="CB43" s="4" t="e">
        <f>IF('Release Calculations'!BD$366="NA","",'Release Calculations'!BD$366)</f>
        <v>#DIV/0!</v>
      </c>
      <c r="CC43" s="4" t="str">
        <f>IF('Release Calculations'!BD$371="NA","",'Release Calculations'!BD$371)</f>
        <v/>
      </c>
      <c r="CD43" s="735" t="str">
        <f>IF('Release Calculations'!BD$376="NA","",'Release Calculations'!BD$376)</f>
        <v/>
      </c>
      <c r="CE43" s="4"/>
      <c r="CF43" s="4" t="str">
        <f>IF('Release Calculations'!BD$387="NA","",'Release Calculations'!BD$387)</f>
        <v/>
      </c>
      <c r="CG43" s="4" t="str">
        <f>IF('Release Calculations'!BD$407="NA","",'Release Calculations'!BD$407)</f>
        <v/>
      </c>
      <c r="CH43" s="4" t="str">
        <f>IF('Release Calculations'!BD$397="NA","",'Release Calculations'!BD$397)</f>
        <v/>
      </c>
      <c r="CI43" s="4"/>
      <c r="CJ43" s="4"/>
      <c r="CK43" s="4"/>
      <c r="CL43" s="19"/>
      <c r="CM43" s="19"/>
      <c r="CN43" s="189" t="str">
        <f>IF(CA43="","",IF('Release Calculations'!BD$281="Yes",IF(CA43=Conseq_VeryLow,Desc_VeryLow,IF(CA43=Conseq_Low,Desc_Low,IF(CA43=Conseq_Moderate,Desc_Moderate,IF(CA43=Conseq_High,Desc_High,IF(CA43=Conseq_VeryHigh,Desc_VeryHigh,IF(CA43=Conseq_ExtremeHigh,Desc_ExtremeHigh,Desc_GT_ExtremeHigh)))))),IF(CA43=Conseq_Low_Offsite,Desc_Low_Offsite,Desc_VeryLow_Offsite)))</f>
        <v/>
      </c>
      <c r="CO43" s="189" t="e">
        <f t="shared" si="73"/>
        <v>#DIV/0!</v>
      </c>
      <c r="CP43" s="189" t="str">
        <f t="shared" si="74"/>
        <v/>
      </c>
      <c r="CQ43" s="189" t="str">
        <f t="shared" si="75"/>
        <v/>
      </c>
      <c r="CR43" s="67"/>
      <c r="CS43" s="189" t="str">
        <f t="shared" si="59"/>
        <v/>
      </c>
      <c r="CT43" s="189" t="str">
        <f t="shared" si="68"/>
        <v/>
      </c>
      <c r="CU43" s="189" t="str">
        <f t="shared" si="69"/>
        <v/>
      </c>
      <c r="CV43" s="67"/>
      <c r="CW43" s="67"/>
      <c r="CX43" s="67"/>
      <c r="CY43" s="40" t="s">
        <v>822</v>
      </c>
      <c r="CZ43" s="189" t="str">
        <f>IF(CA43="","",IF('Release Calculations'!BD$281="Yes"," at a "&amp;$AI$3&amp;" of "&amp;AI43&amp;" "&amp;AJ43&amp;" which exceeds Distance to the Fence Line of "&amp;Public_Input&amp;" "&amp;Public_Units))</f>
        <v/>
      </c>
      <c r="DA43" s="189" t="e">
        <f>IF(CB43="","",IF('Release Calculations'!$BD$289="Yes"," with operating personnel in close proximity and a "&amp;$AM$3&amp;" of "&amp;AM43&amp;" "&amp;AN43," at a "&amp;$AM$3&amp;" of "&amp;AM43&amp;" "&amp;AN43)&amp;IF('Release Calculations'!$BD$284&gt;Public," which exceeds Distance to the Fence Line of "&amp;Public_Input&amp;" "&amp;Public_Units&amp;".  Target Factor may be conservative",))</f>
        <v>#DIV/0!</v>
      </c>
      <c r="DB43" s="226" t="str">
        <f>IF(CC43="","",IF('Release Calculations'!BD303="Yes","and Potential for Asphyxiation","")&amp;IF('Release Calculations'!BD$289="Yes"," with operations personnel in close proximity at an "&amp;$AZ$3&amp;" of "&amp;AZ43&amp;" ppm"," at an "&amp;$AZ$3&amp;" of "&amp;AZ43&amp;" ppm"))</f>
        <v/>
      </c>
      <c r="DC43" s="189" t="str">
        <f t="shared" si="70"/>
        <v/>
      </c>
      <c r="DD43" s="67"/>
      <c r="DE43" s="189" t="str">
        <f>IF(CF43="","",IF('Release Calculations'!$BD$289="Yes"," with operating personnel in close proximity and a "&amp;$BF$3&amp;" of "&amp;BF43&amp;" "&amp;BG43," at a "&amp;$BF$3&amp;" of "&amp;BF43&amp;" "&amp;BG43))</f>
        <v/>
      </c>
      <c r="DF43" s="189" t="str">
        <f>IF(CG43="","",IF('Release Calculations'!BD$324="Yes"," with "&amp;$BR$3&amp;" of "&amp;BR43&amp;" "&amp;BS43&amp;IF('Release Calculations'!BD$333&lt;&gt;"Yes",""," including "&amp;$BT$3&amp;" of "&amp;BT43&amp;" psi.")&amp;" 1 psi Blast Overpresssure exceeds Distance to the Fence Line of "&amp;Public_Input&amp;" "&amp;Public_Units&amp;".  Consider adjustment for Off-Site Impacts",IF('Release Calculations'!BD$333&lt;&gt;"Yes"," impacting on site personnel at a "&amp;$BR$3&amp;" of "&amp;BR43&amp;" "&amp;BS43," impacting on site personnel at a "&amp;$BR$3&amp;" of "&amp;BR43&amp;" "&amp;BS43&amp;" including "&amp;$BT$3&amp;" of "&amp;BT43&amp;" psi")))</f>
        <v/>
      </c>
      <c r="DG43" s="189" t="str">
        <f>IF(CH43="","",IF('Release Calculations'!BB$310="Yes"," with "&amp;$BR$3&amp;" of "&amp;BR43&amp;" "&amp;BS43&amp;IF('Release Calculations'!BD$315&lt;&gt;"Yes",""," including "&amp;$BT$3&amp;" of "&amp;BT43&amp;" psi.")&amp;"  1 psi Blast Overpresssure exceeds Distance to the Fence Line of "&amp;Public_Input&amp;" "&amp;Public_Units&amp;".  Consider adjustment for Off-Site Impacts",IF('Release Calculations'!BD$315&lt;&gt;"Yes"," impacting enclosed area operating personnel, on site personnel at a "&amp;$BR$3&amp;" of "&amp;BR43&amp;" "&amp;BS43," impacting enclosed area operating personnel, on site personnel at a "&amp;$BR$3&amp;" of "&amp;BR43&amp;" "&amp;BS43&amp;" including "&amp;$BT$3&amp;" of "&amp;BT43&amp;" psi")))</f>
        <v/>
      </c>
      <c r="DH43" s="67"/>
      <c r="DI43" s="67"/>
      <c r="DJ43" s="67"/>
      <c r="DK43" s="19" t="s">
        <v>822</v>
      </c>
      <c r="DL43" s="39"/>
      <c r="DM43" s="239">
        <f>'Release Calculations'!BD364</f>
        <v>0</v>
      </c>
      <c r="DN43" s="239">
        <f>'Release Calculations'!BD$369</f>
        <v>0</v>
      </c>
      <c r="DO43" s="34"/>
      <c r="DP43" s="34"/>
      <c r="DQ43" s="239">
        <f>'Release Calculations'!BD388</f>
        <v>0</v>
      </c>
      <c r="DR43" s="34"/>
      <c r="DS43" s="34"/>
      <c r="DT43" s="34"/>
      <c r="DU43" s="34"/>
      <c r="DV43" s="6"/>
      <c r="DW43" s="40"/>
      <c r="DX43" s="250"/>
      <c r="DY43" s="249" t="s">
        <v>2983</v>
      </c>
      <c r="DZ43" s="250" t="s">
        <v>292</v>
      </c>
      <c r="EA43" s="740"/>
      <c r="EB43" s="248"/>
      <c r="EC43" s="249" t="s">
        <v>292</v>
      </c>
      <c r="ED43" s="248"/>
      <c r="EE43" s="248"/>
      <c r="EF43" s="248"/>
      <c r="EG43" s="248"/>
      <c r="EH43" s="248"/>
      <c r="EI43" s="19"/>
      <c r="EJ43" s="250"/>
      <c r="EK43" s="249" t="str">
        <f>IF(Attended_Op="Yes","Noted as Personnel Routinely in Immediate Area or Equipment Type involves Materials Handling - "&amp;IF('Release Calculations'!BD207*3600&lt;30," with a very Short Exposure Duration (&lt; 30 sec)","Time at Risk May Apply"),"Probability of Personnel to be in Close Proximity to Chemical Release based on Toxic Impact Area to "&amp;AM43&amp;" "&amp;AN43&amp;IF('Release Calculations'!BD363&lt;0.01," (with potential for higher POE credit upon further review)",""))</f>
        <v>Probability of Personnel to be in Close Proximity to Chemical Release based on Toxic Impact Area to 0 m (with potential for higher POE credit upon further review)</v>
      </c>
      <c r="EL43" s="250" t="str">
        <f>IF(Attended_Op="Yes","Noted as Personnel Routinely in Immediate Area or Equipment Type involves Materials Handling - Time at Risk May Apply","Probability of Personnel to be in Close Proximity to Chemical Release based on Ratio Enclosed Process Area Concentation of "&amp;AZ43&amp;" ppm to 10 ER-3 for "&amp;Chemical&amp;IF(Fract_Key_Chemical&lt;1," mixture "," ")&amp;IF('Release Calculations'!$BD$368&lt;0.01,"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43" s="248"/>
      <c r="EN43" s="248"/>
      <c r="EO43"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"&amp;AZ43&amp;" to "&amp;LFL_Fract_FlashFIre&amp;" LFL","Flammable Impact Area to "&amp;BF43&amp;" "&amp;BG43)&amp;IF('Release Calculations'!$BD$384&lt;0.01," (with potential for higher POE credit upon further review)",""))</f>
        <v>Probability of Personnel to be in Close Proximity to Chemical Release based on Flammable Impact Area to 0 m (with potential for higher POE credit upon further review)</v>
      </c>
      <c r="EP43" s="248"/>
      <c r="EQ43" s="248"/>
      <c r="ER43" s="248"/>
      <c r="ES43" s="248"/>
      <c r="ET43" s="248"/>
      <c r="EU43" s="19"/>
      <c r="EV43" s="1379"/>
      <c r="EW43" s="957">
        <f>'Release Calculations'!BD363</f>
        <v>6.0000000000000008E-7</v>
      </c>
      <c r="EX43" s="957">
        <f>'Release Calculations'!$BD$368</f>
        <v>0</v>
      </c>
      <c r="EY43" s="1380"/>
      <c r="EZ43" s="1380"/>
      <c r="FA43" s="957">
        <f>'Release Calculations'!$BD$384</f>
        <v>0</v>
      </c>
      <c r="FB43" s="6"/>
      <c r="FC43" s="6"/>
      <c r="FD43" s="6"/>
      <c r="FE43" s="6"/>
      <c r="FF43" s="6"/>
      <c r="FG43" s="19"/>
      <c r="FH43" s="34"/>
      <c r="FI43" s="34"/>
      <c r="FJ43" s="34"/>
      <c r="FK43" s="739"/>
      <c r="FL43" s="34"/>
      <c r="FM43" s="239" t="str">
        <f>IF(Relief_Release="Outdoors",'Release Calculations'!BD$321,'Release Calculations'!BD$307)</f>
        <v/>
      </c>
      <c r="FN43" s="239" t="str">
        <f>'Release Calculations'!BD$322</f>
        <v/>
      </c>
      <c r="FO43" s="39" t="str">
        <f>IF(State&lt;&gt;"Solid",'Release Calculations'!BD$307,Dust_SecondExpl_POE)</f>
        <v/>
      </c>
      <c r="FP43" s="34"/>
      <c r="FQ43" s="34"/>
      <c r="FR43" s="6"/>
      <c r="FS43" s="40"/>
      <c r="FT43" s="248"/>
      <c r="FU43" s="248"/>
      <c r="FV43" s="248"/>
      <c r="FW43" s="741"/>
      <c r="FX43" s="248"/>
      <c r="FY43" s="249" t="s">
        <v>1461</v>
      </c>
      <c r="FZ43" s="249" t="s">
        <v>1460</v>
      </c>
      <c r="GA43" s="250" t="s">
        <v>1461</v>
      </c>
      <c r="GB43" s="248"/>
      <c r="GC43" s="248"/>
      <c r="GD43" s="248"/>
      <c r="GE43" s="19"/>
      <c r="GF43" s="248"/>
      <c r="GG43" s="248"/>
      <c r="GH43" s="248"/>
      <c r="GI43" s="741"/>
      <c r="GJ43" s="248"/>
      <c r="GK43" s="4" t="str">
        <f t="shared" si="79"/>
        <v>No Flash Point Entered</v>
      </c>
      <c r="GL43" s="2581" t="str">
        <f t="shared" si="71"/>
        <v>No Flash Point Entered</v>
      </c>
      <c r="GM43" s="250" t="str">
        <f t="shared" si="72"/>
        <v>Indoor Release of Flammable Material-POX</v>
      </c>
      <c r="GN43" s="248"/>
      <c r="GO43" s="248"/>
      <c r="GP43" s="248"/>
      <c r="GQ43" s="19"/>
      <c r="GR43" s="189" t="e">
        <f t="shared" si="35"/>
        <v>#DIV/0!</v>
      </c>
      <c r="GS43" s="19"/>
      <c r="GT43" s="19"/>
      <c r="GU43" s="26"/>
      <c r="GV43" s="26"/>
      <c r="GW43" s="19"/>
      <c r="GX43" s="19"/>
      <c r="GY43" s="19"/>
      <c r="GZ43" s="19"/>
      <c r="HA43" s="19"/>
      <c r="HB43" s="19"/>
      <c r="HC43" s="19"/>
      <c r="HD43" s="19"/>
      <c r="HE43" s="19"/>
      <c r="HF43" s="19"/>
      <c r="HG43" s="19"/>
      <c r="HH43" s="19"/>
      <c r="HI43" s="19"/>
    </row>
    <row r="44" spans="1:220" s="5" customFormat="1" ht="12.75" customHeight="1" x14ac:dyDescent="0.25">
      <c r="A44" s="35"/>
      <c r="B44" s="64" t="str">
        <f>'Scenario Identification'!CW3</f>
        <v>Vapor Relief Vent - Reaction with Fire</v>
      </c>
      <c r="C44" s="1457" t="str">
        <f t="shared" si="80"/>
        <v/>
      </c>
      <c r="D44" s="65"/>
      <c r="E44" s="2483" t="str">
        <f>IF(MAX('Release Calculations'!BF33,'Release Calculations'!BF41,'Release Calculations'!BF47,1-'Release Calculations'!BF65,ABS(MIN('Release Calculations'!BF33,'Release Calculations'!BF41,'Release Calculations'!BF47,1-'Release Calculations'!BF65)))&gt;$E$4,"Yes","")</f>
        <v/>
      </c>
      <c r="F44" s="1418" t="s">
        <v>428</v>
      </c>
      <c r="G44" s="1434">
        <f t="shared" si="11"/>
        <v>0</v>
      </c>
      <c r="H44" s="1427" t="str">
        <f t="shared" si="31"/>
        <v>liter</v>
      </c>
      <c r="I44" s="1418"/>
      <c r="J44" s="1421"/>
      <c r="K44" s="1427">
        <f t="shared" si="81"/>
        <v>0</v>
      </c>
      <c r="L44" s="1434">
        <f>sig('Release Calculations'!$BF$48/$L$4,3,100,0)</f>
        <v>0</v>
      </c>
      <c r="M44" s="1435" t="str">
        <f t="shared" si="13"/>
        <v>kg</v>
      </c>
      <c r="N44" s="1432" t="str">
        <f t="shared" si="78"/>
        <v xml:space="preserve">Liquid:   ,  ,  ,  ,  </v>
      </c>
      <c r="O44" s="1434">
        <f>ROUND('Release Calculations'!$BF$9,0)</f>
        <v>0</v>
      </c>
      <c r="P44" s="1434">
        <f t="shared" si="82"/>
        <v>0</v>
      </c>
      <c r="Q44" s="1446" t="str">
        <f t="shared" si="15"/>
        <v>bar</v>
      </c>
      <c r="R44" s="1434">
        <f>sig('Release Calculations'!$BF$73/$AG$4,3,10,0)</f>
        <v>0</v>
      </c>
      <c r="S44" s="1447" t="str">
        <f t="shared" si="16"/>
        <v>kg/min</v>
      </c>
      <c r="T44" s="1435">
        <f>IF('Release Calculations'!$BF$20=0,U44,ROUND('Release Calculations'!$BF$20/$T$4,0))</f>
        <v>0</v>
      </c>
      <c r="U44" s="1434">
        <f>ROUND(('Release Calculations'!$BF$20+'Release Calculations'!$BF$21)/$U$4,0)</f>
        <v>0</v>
      </c>
      <c r="V44" s="1434"/>
      <c r="W44" s="1435"/>
      <c r="X44" s="1438">
        <f>ROUND('Release Calculations'!BF$211,3)</f>
        <v>0</v>
      </c>
      <c r="Y44" s="1458" t="str">
        <f>IF('Release Calculations'!$BF$222="","",sig('Release Calculations'!$BF$222,3,1000,0))</f>
        <v/>
      </c>
      <c r="Z44" s="1458" t="str">
        <f>IF('Release Calculations'!$BF$228="","",sig('Release Calculations'!$BF$228,3,1000,0))</f>
        <v/>
      </c>
      <c r="AA44" s="1458" t="str">
        <f>IF('Release Calculations'!$BF$252="","",sig('Release Calculations'!$BF$252,3,1000,0))</f>
        <v/>
      </c>
      <c r="AB44" s="1458" t="str">
        <f>IF('Release Calculations'!$BF$258="","",sig('Release Calculations'!$BF$258,3,1000,0))</f>
        <v/>
      </c>
      <c r="AC44" s="1458" t="str">
        <f>IF('Release Calculations'!$BF$264="","",sig('Release Calculations'!$BF$264,3,1000,0))</f>
        <v/>
      </c>
      <c r="AD44" s="1196" t="str">
        <f>IF('Release Calculations'!$BF$246="","",ROUND('Release Calculations'!$BF$246,1))</f>
        <v/>
      </c>
      <c r="AE44" s="1434">
        <f>sig('Release Calculations'!$BF$48/$L$4,3,100,0)</f>
        <v>0</v>
      </c>
      <c r="AF44" s="1435" t="str">
        <f t="shared" si="17"/>
        <v>kg</v>
      </c>
      <c r="AG44" s="1326">
        <f>sig('Release Calculations'!BF$73/$AG$4,3,10,3)</f>
        <v>0</v>
      </c>
      <c r="AH44" s="1435" t="str">
        <f t="shared" si="33"/>
        <v>kg/min</v>
      </c>
      <c r="AI44" s="1434">
        <f>sig('Release Calculations'!$BF$279/$AI$4,3,100,0)</f>
        <v>0</v>
      </c>
      <c r="AJ44" s="1435" t="str">
        <f t="shared" si="60"/>
        <v>m</v>
      </c>
      <c r="AK44" s="1434">
        <f>sig('Release Calculations'!$BF$282/$AK$4,3,100,0)</f>
        <v>0</v>
      </c>
      <c r="AL44" s="1435" t="str">
        <f t="shared" si="61"/>
        <v>m</v>
      </c>
      <c r="AM44" s="1434">
        <f>sig('Release Calculations'!$BF$284/$AM$4,3,100,0)</f>
        <v>0</v>
      </c>
      <c r="AN44" s="1435" t="str">
        <f t="shared" si="62"/>
        <v>m</v>
      </c>
      <c r="AO44" s="1434">
        <f>sig('Release Calculations'!$BF$285/$AO$4,3,100,0)</f>
        <v>0</v>
      </c>
      <c r="AP44" s="1452" t="str">
        <f t="shared" si="63"/>
        <v>m</v>
      </c>
      <c r="AQ44" s="1434">
        <f>sig('Release Calculations'!$BF$287/$AQ$4,3,100,0)</f>
        <v>0</v>
      </c>
      <c r="AR44" s="1452" t="str">
        <f t="shared" si="64"/>
        <v>m</v>
      </c>
      <c r="AS44" s="1452" t="str">
        <f t="shared" si="65"/>
        <v/>
      </c>
      <c r="AT44" s="1452" t="str">
        <f t="shared" si="66"/>
        <v/>
      </c>
      <c r="AU44" s="1452" t="str">
        <f t="shared" si="67"/>
        <v/>
      </c>
      <c r="AV44" s="114">
        <f>sig('Release Calculations'!$BF$294,3,1000,-1)</f>
        <v>0</v>
      </c>
      <c r="AW44" s="114">
        <f>sig('Release Calculations'!$BF$295,3,1000,-1)</f>
        <v>0</v>
      </c>
      <c r="AX44" s="114" t="str">
        <f>sig('Release Calculations'!$BF$296,3,1000,0)</f>
        <v/>
      </c>
      <c r="AY44" s="114" t="str">
        <f>sig('Release Calculations'!$BF$297,3,1000,0)</f>
        <v/>
      </c>
      <c r="AZ44" s="114">
        <f>sig('Release Calculations'!$BF$298,3,1000,-1)</f>
        <v>0</v>
      </c>
      <c r="BA44" s="114">
        <f>sig('Release Calculations'!$BF$299,3,1000,-1)</f>
        <v>0</v>
      </c>
      <c r="BB44" s="114" t="str">
        <f>sig('Release Calculations'!$BF$300,3,10,3)</f>
        <v/>
      </c>
      <c r="BC44" s="2576" t="str">
        <f>sig('Release Calculations'!$BF$301,3,10,3)</f>
        <v/>
      </c>
      <c r="BD44" s="2569">
        <f>sig('Release Calculations'!$BF$318/$BD$4,3,100,0)</f>
        <v>0</v>
      </c>
      <c r="BE44" s="1435" t="str">
        <f t="shared" si="34"/>
        <v>m</v>
      </c>
      <c r="BF44" s="2569">
        <f>sig('Release Calculations'!$BF$317/$BF$4,3,100,0)</f>
        <v>0</v>
      </c>
      <c r="BG44" s="1435" t="str">
        <f t="shared" si="34"/>
        <v>m</v>
      </c>
      <c r="BH44" s="1419"/>
      <c r="BI44" s="1422"/>
      <c r="BJ44" s="1419"/>
      <c r="BK44" s="1422"/>
      <c r="BL44" s="2573"/>
      <c r="BM44" s="2573"/>
      <c r="BN44" s="1441"/>
      <c r="BO44" s="1746"/>
      <c r="BP44" s="1503">
        <f>sig('Release Calculations'!$BF$74/$BP$4,3,10,1)</f>
        <v>0</v>
      </c>
      <c r="BQ44" s="1435" t="str">
        <f t="shared" si="58"/>
        <v>kg/min</v>
      </c>
      <c r="BR44" s="1434">
        <f>sig(IF(Relief_Release="Indoors",'Release Calculations'!$BF$309/$BR$4,'Release Calculations'!$BF$323/$BR$4),3,100,0)</f>
        <v>0</v>
      </c>
      <c r="BS44" s="1435" t="str">
        <f t="shared" si="25"/>
        <v>m</v>
      </c>
      <c r="BT44" s="1748">
        <f>ROUND(IF(Location="Indoors",'Release Calculations'!$BF$312,'Release Calculations'!$BF$326),1)</f>
        <v>0</v>
      </c>
      <c r="BU44" s="1748">
        <f>ROUND(IF(Location="Indoors",'Release Calculations'!$BF$314,'Release Calculations'!$BF$330),1)</f>
        <v>0</v>
      </c>
      <c r="BV44" s="1434" t="e">
        <f>IF(AND(BY44="",'Pool Fire Frequency'!R24=""),"",IF(BY44="",sig('Pool Fire Frequency'!R24,2,10,1),IF('Pool Fire Frequency'!R24="",sig(BY44,2,10,1),IF('Pool Fire Frequency'!R24&lt;BY44,sig('Pool Fire Frequency'!R24,2,10,1),sig(BY44,2,10,1)))))</f>
        <v>#N/A</v>
      </c>
      <c r="BW44" s="1443" t="s">
        <v>262</v>
      </c>
      <c r="BX44" s="262"/>
      <c r="BY44" s="262" t="e">
        <f>IF('Reaction Input'!AQ59="&gt; Relief Temp","",'Reaction Input'!AQ59)</f>
        <v>#N/A</v>
      </c>
      <c r="BZ44" s="123"/>
      <c r="CA44" s="4" t="str">
        <f>IF('Release Calculations'!BF$336="NA","",'Release Calculations'!BF$336)</f>
        <v/>
      </c>
      <c r="CB44" s="4" t="e">
        <f>IF('Release Calculations'!BF$366="NA","",'Release Calculations'!BF$366)</f>
        <v>#DIV/0!</v>
      </c>
      <c r="CC44" s="4" t="str">
        <f>IF('Release Calculations'!BF$371="NA","",'Release Calculations'!BF$371)</f>
        <v/>
      </c>
      <c r="CD44" s="735" t="str">
        <f>IF('Release Calculations'!BF$376="NA","",'Release Calculations'!BF$376)</f>
        <v/>
      </c>
      <c r="CE44" s="4"/>
      <c r="CF44" s="4" t="str">
        <f>IF('Release Calculations'!BF$387="NA","",'Release Calculations'!BF$387)</f>
        <v/>
      </c>
      <c r="CG44" s="4" t="str">
        <f>IF('Release Calculations'!BF$407="NA","",'Release Calculations'!BF$407)</f>
        <v/>
      </c>
      <c r="CH44" s="4" t="str">
        <f>IF('Release Calculations'!BF$397="NA","",'Release Calculations'!BF$397)</f>
        <v/>
      </c>
      <c r="CI44" s="4"/>
      <c r="CJ44" s="4"/>
      <c r="CK44" s="4"/>
      <c r="CL44" s="19"/>
      <c r="CM44" s="19"/>
      <c r="CN44" s="189" t="str">
        <f>IF(CA44="","",IF('Release Calculations'!BF$281="Yes",IF(CA44=Conseq_VeryLow,Desc_VeryLow,IF(CA44=Conseq_Low,Desc_Low,IF(CA44=Conseq_Moderate,Desc_Moderate,IF(CA44=Conseq_High,Desc_High,IF(CA44=Conseq_VeryHigh,Desc_VeryHigh,IF(CA44=Conseq_ExtremeHigh,Desc_ExtremeHigh,Desc_GT_ExtremeHigh)))))),IF(CA44=Conseq_Low_Offsite,Desc_Low_Offsite,Desc_VeryLow_Offsite)))</f>
        <v/>
      </c>
      <c r="CO44" s="189" t="e">
        <f t="shared" si="73"/>
        <v>#DIV/0!</v>
      </c>
      <c r="CP44" s="189" t="str">
        <f t="shared" si="74"/>
        <v/>
      </c>
      <c r="CQ44" s="189" t="str">
        <f t="shared" si="75"/>
        <v/>
      </c>
      <c r="CR44" s="67"/>
      <c r="CS44" s="189" t="str">
        <f t="shared" si="59"/>
        <v/>
      </c>
      <c r="CT44" s="189" t="str">
        <f t="shared" si="68"/>
        <v/>
      </c>
      <c r="CU44" s="189" t="str">
        <f t="shared" si="69"/>
        <v/>
      </c>
      <c r="CV44" s="67"/>
      <c r="CW44" s="67"/>
      <c r="CX44" s="67"/>
      <c r="CY44" s="40" t="s">
        <v>822</v>
      </c>
      <c r="CZ44" s="189" t="str">
        <f>IF(CA44="","",IF('Release Calculations'!BF$281="Yes"," at a "&amp;$AI$3&amp;" of "&amp;AI44&amp;" "&amp;AJ44&amp;" which exceeds Distance to the Fence Line of "&amp;Public_Input&amp;" "&amp;Public_Units))</f>
        <v/>
      </c>
      <c r="DA44" s="189" t="e">
        <f>IF(CB44="","",IF('Release Calculations'!$BF$289="Yes"," with operating personnel in close proximity and a "&amp;$AM$3&amp;" of "&amp;AM44&amp;" "&amp;AN44," at a "&amp;$AM$3&amp;" of "&amp;AM44&amp;" "&amp;AN44)&amp;IF('Release Calculations'!$BF$284&gt;Public," which exceeds Distance to the Fence Line of "&amp;Public_Input&amp;" "&amp;Public_Units&amp;".  Target Factor may be conservative",))</f>
        <v>#DIV/0!</v>
      </c>
      <c r="DB44" s="226" t="str">
        <f>IF(CC44="","",IF('Release Calculations'!BF303="Yes","and Potential for Asphyxiation","")&amp;IF('Release Calculations'!BF$289="Yes"," with operations personnel in close proximity at an "&amp;$AZ$3&amp;" of "&amp;AZ44&amp;" ppm"," at an "&amp;$AZ$3&amp;" of "&amp;AZ44&amp;" ppm"))</f>
        <v/>
      </c>
      <c r="DC44" s="189" t="str">
        <f t="shared" si="70"/>
        <v/>
      </c>
      <c r="DD44" s="67"/>
      <c r="DE44" s="189" t="str">
        <f>IF(CF44="","",IF('Release Calculations'!$BF$289="Yes"," with operating personnel in close proximity and a "&amp;$BF$3&amp;" of "&amp;BF44&amp;" "&amp;BG44," at a "&amp;$BF$3&amp;" of "&amp;BF44&amp;" "&amp;BG44))</f>
        <v/>
      </c>
      <c r="DF44" s="189" t="str">
        <f>IF(CG44="","",IF('Release Calculations'!BF$324="Yes"," with "&amp;$BR$3&amp;" of "&amp;BR44&amp;" "&amp;BS44&amp;IF('Release Calculations'!BF$333&lt;&gt;"Yes",""," including "&amp;$BT$3&amp;" of "&amp;BT44&amp;" psi.")&amp;" 1 psi Blast Overpresssure exceeds Distance to the Fence Line of "&amp;Public_Input&amp;" "&amp;Public_Units&amp;". Consider adjustment for Off-Site Impacts",IF('Release Calculations'!BF$333&lt;&gt;"Yes"," impacting on site personnel at a "&amp;$BR$3&amp;" of "&amp;BR44&amp;" "&amp;BS44," impacting on site personnel at a "&amp;$BR$3&amp;" of "&amp;BR44&amp;" "&amp;BS44&amp;" including "&amp;$BT$3&amp;" of "&amp;BT44&amp;" psi")))</f>
        <v/>
      </c>
      <c r="DG44" s="189" t="str">
        <f>IF(CH44="","",IF('Release Calculations'!BF$310="Yes"," with "&amp;$BR$3&amp;" of "&amp;BR44&amp;" "&amp;BS44&amp;IF('Release Calculations'!BF$315&lt;&gt;"Yes",""," including "&amp;$BT$3&amp;" of "&amp;BT44&amp;" psi.")&amp;"  1 psi Blast Overpresssure exceeds Distance to the Fence Line of "&amp;Public_Input&amp;" "&amp;Public_Units&amp;".  Consider adjustment for Off-Site Impacts",IF('Release Calculations'!BF$315&lt;&gt;"Yes"," impacting enclosed area operating personnel, on site personnel at a "&amp;$BR$3&amp;" of "&amp;BR44&amp;" "&amp;BS44," impacting enclosed area operating personnel, on site personnel at a "&amp;$BR$3&amp;" of "&amp;BR44&amp;" "&amp;BS44&amp;" including "&amp;$BT$3&amp;" of "&amp;BT44&amp;" psi")))</f>
        <v/>
      </c>
      <c r="DH44" s="67"/>
      <c r="DI44" s="67"/>
      <c r="DJ44" s="67"/>
      <c r="DK44" s="19" t="s">
        <v>822</v>
      </c>
      <c r="DL44" s="39"/>
      <c r="DM44" s="239">
        <f>'Release Calculations'!BF364</f>
        <v>0</v>
      </c>
      <c r="DN44" s="239">
        <f>'Release Calculations'!BF$369</f>
        <v>0</v>
      </c>
      <c r="DO44" s="34"/>
      <c r="DP44" s="34"/>
      <c r="DQ44" s="239">
        <f>'Release Calculations'!BF385</f>
        <v>0</v>
      </c>
      <c r="DR44" s="34"/>
      <c r="DS44" s="34"/>
      <c r="DT44" s="34"/>
      <c r="DU44" s="34"/>
      <c r="DV44" s="6"/>
      <c r="DW44" s="40"/>
      <c r="DX44" s="250"/>
      <c r="DY44" s="249" t="s">
        <v>2983</v>
      </c>
      <c r="DZ44" s="250" t="s">
        <v>292</v>
      </c>
      <c r="EA44" s="740"/>
      <c r="EB44" s="248"/>
      <c r="EC44" s="249" t="s">
        <v>292</v>
      </c>
      <c r="ED44" s="248"/>
      <c r="EE44" s="248"/>
      <c r="EF44" s="248"/>
      <c r="EG44" s="248"/>
      <c r="EH44" s="248"/>
      <c r="EI44" s="19"/>
      <c r="EJ44" s="250"/>
      <c r="EK44" s="249" t="str">
        <f>IF(Attended_Op="Yes","Noted as Personnel Routinely in Immediate Area or Equipment Type involves Materials Handling - "&amp;IF('Release Calculations'!BF207*3600&lt;30," with a very Short Exposure Duration (&lt; 30 sec)","Time at Risk May Apply"),"Probability of Personnel to be in Close Proximity to Chemical Release based on Toxic Impact Area to "&amp;AM44&amp;" "&amp;AN44&amp;IF('Release Calculations'!BF363&lt;0.01," (with potential for higher POE credit upon further review)",""))</f>
        <v>Probability of Personnel to be in Close Proximity to Chemical Release based on Toxic Impact Area to 0 m (with potential for higher POE credit upon further review)</v>
      </c>
      <c r="EL44" s="250" t="str">
        <f>IF(Attended_Op="Yes","Noted as Personnel Routinely in Immediate Area or Equipment Type involves Materials Handling - Time at Risk May Apply","Probability of Personnel to be in Close Proximity to Chemical Release based on Ratio Enclosed Process Area Concentation of "&amp;AZ44&amp;" ppm to 10 ER-3 for "&amp;Chemical&amp;IF(Fract_Key_Chemical&lt;1," mixture "," ")&amp;IF('Release Calculations'!$BF$368&lt;0.01,"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44" s="248"/>
      <c r="EN44" s="248"/>
      <c r="EO44"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"&amp;AZ44&amp;" to "&amp;LFL_Fract_FlashFIre&amp;" LFL","Flammable Impact Area to "&amp;BF44&amp;" "&amp;BG44)&amp;IF('Release Calculations'!$BF$384&lt;0.01," (with potential for higher POE credit upon further review)",""))</f>
        <v>Probability of Personnel to be in Close Proximity to Chemical Release based on Flammable Impact Area to 0 m (with potential for higher POE credit upon further review)</v>
      </c>
      <c r="EP44" s="248"/>
      <c r="EQ44" s="248"/>
      <c r="ER44" s="248"/>
      <c r="ES44" s="248"/>
      <c r="ET44" s="248"/>
      <c r="EU44" s="19"/>
      <c r="EV44" s="1379"/>
      <c r="EW44" s="957">
        <f>'Release Calculations'!BF363</f>
        <v>6.0000000000000008E-7</v>
      </c>
      <c r="EX44" s="957">
        <f>'Release Calculations'!$BF$368</f>
        <v>0</v>
      </c>
      <c r="EY44" s="1380"/>
      <c r="EZ44" s="1380"/>
      <c r="FA44" s="957">
        <f>'Release Calculations'!$BF$384</f>
        <v>0</v>
      </c>
      <c r="FB44" s="6"/>
      <c r="FC44" s="6"/>
      <c r="FD44" s="6"/>
      <c r="FE44" s="6"/>
      <c r="FF44" s="6"/>
      <c r="FG44" s="19"/>
      <c r="FH44" s="34"/>
      <c r="FI44" s="34"/>
      <c r="FJ44" s="34"/>
      <c r="FK44" s="739"/>
      <c r="FL44" s="34"/>
      <c r="FM44" s="239" t="str">
        <f>IF(Relief_Release="Outdoors",'Release Calculations'!BF$321,'Release Calculations'!BF$307)</f>
        <v/>
      </c>
      <c r="FN44" s="239" t="str">
        <f>'Release Calculations'!BF$322</f>
        <v/>
      </c>
      <c r="FO44" s="2159" t="str">
        <f>'Release Calculations'!BF$307</f>
        <v/>
      </c>
      <c r="FP44" s="34"/>
      <c r="FQ44" s="34"/>
      <c r="FR44" s="6"/>
      <c r="FS44" s="40"/>
      <c r="FT44" s="248"/>
      <c r="FU44" s="248"/>
      <c r="FV44" s="248"/>
      <c r="FW44" s="741"/>
      <c r="FX44" s="248"/>
      <c r="FY44" s="249" t="s">
        <v>1461</v>
      </c>
      <c r="FZ44" s="249" t="s">
        <v>1460</v>
      </c>
      <c r="GA44" s="250" t="s">
        <v>1461</v>
      </c>
      <c r="GB44" s="248"/>
      <c r="GC44" s="248"/>
      <c r="GD44" s="248"/>
      <c r="GE44" s="19"/>
      <c r="GF44" s="248"/>
      <c r="GG44" s="248"/>
      <c r="GH44" s="248"/>
      <c r="GI44" s="741"/>
      <c r="GJ44" s="248"/>
      <c r="GK44" s="4" t="str">
        <f t="shared" si="79"/>
        <v>No Flash Point Entered</v>
      </c>
      <c r="GL44" s="2581" t="str">
        <f t="shared" si="71"/>
        <v>No Flash Point Entered</v>
      </c>
      <c r="GM44" s="250" t="str">
        <f t="shared" si="72"/>
        <v>Indoor Release of Flammable Material-POX</v>
      </c>
      <c r="GN44" s="248"/>
      <c r="GO44" s="248"/>
      <c r="GP44" s="248"/>
      <c r="GQ44" s="19"/>
      <c r="GR44" s="189" t="e">
        <f t="shared" si="35"/>
        <v>#DIV/0!</v>
      </c>
      <c r="GS44" s="19"/>
      <c r="GT44" s="19"/>
      <c r="GU44" s="26"/>
      <c r="GV44" s="26"/>
      <c r="GW44" s="19"/>
      <c r="GX44" s="19"/>
      <c r="GY44" s="19"/>
      <c r="GZ44" s="19"/>
      <c r="HA44" s="19"/>
      <c r="HB44" s="19"/>
      <c r="HC44" s="19"/>
      <c r="HD44" s="19"/>
      <c r="HE44" s="19"/>
      <c r="HF44" s="19"/>
      <c r="HG44" s="19"/>
      <c r="HH44" s="19"/>
      <c r="HI44" s="19"/>
    </row>
    <row r="45" spans="1:220" s="5" customFormat="1" ht="12.75" customHeight="1" x14ac:dyDescent="0.25">
      <c r="A45" s="35"/>
      <c r="B45" s="64" t="str">
        <f>'Scenario Identification'!CX3</f>
        <v>Vapor Relief Vent - Reaction with Catalyst</v>
      </c>
      <c r="C45" s="1457" t="str">
        <f t="shared" si="80"/>
        <v/>
      </c>
      <c r="D45" s="65"/>
      <c r="E45" s="2483" t="str">
        <f>IF(MAX('Release Calculations'!BH33,'Release Calculations'!BH41,'Release Calculations'!BH47,1-'Release Calculations'!BH65,ABS(MIN('Release Calculations'!BH33,'Release Calculations'!BH41,'Release Calculations'!BH47,1-'Release Calculations'!BH65)))&gt;$E$4,"Yes","")</f>
        <v/>
      </c>
      <c r="F45" s="1418" t="s">
        <v>428</v>
      </c>
      <c r="G45" s="1434">
        <f t="shared" si="11"/>
        <v>0</v>
      </c>
      <c r="H45" s="1427" t="str">
        <f t="shared" si="31"/>
        <v>liter</v>
      </c>
      <c r="I45" s="1418"/>
      <c r="J45" s="1421"/>
      <c r="K45" s="1427">
        <f t="shared" si="81"/>
        <v>0</v>
      </c>
      <c r="L45" s="1434">
        <f>sig('Release Calculations'!$BH$48/$L$4,3,100,0)</f>
        <v>0</v>
      </c>
      <c r="M45" s="1435" t="str">
        <f t="shared" si="13"/>
        <v>kg</v>
      </c>
      <c r="N45" s="1432" t="str">
        <f t="shared" si="78"/>
        <v xml:space="preserve">Liquid:   ,  ,  ,  ,  </v>
      </c>
      <c r="O45" s="1434">
        <f>ROUND('Release Calculations'!$BH$9,0)</f>
        <v>0</v>
      </c>
      <c r="P45" s="1434">
        <f t="shared" si="82"/>
        <v>0</v>
      </c>
      <c r="Q45" s="1446" t="str">
        <f t="shared" si="15"/>
        <v>bar</v>
      </c>
      <c r="R45" s="1434">
        <f>sig('Release Calculations'!$BH$73/$AG$4,3,10,0)</f>
        <v>0</v>
      </c>
      <c r="S45" s="1447" t="str">
        <f t="shared" si="16"/>
        <v>kg/min</v>
      </c>
      <c r="T45" s="1435">
        <f>IF('Release Calculations'!$BH$20=0,U45,ROUND('Release Calculations'!$BH$20/$T$4,0))</f>
        <v>0</v>
      </c>
      <c r="U45" s="1434">
        <f>ROUND(('Release Calculations'!$BH$20+'Release Calculations'!$BH$21)/$U$4,0)</f>
        <v>0</v>
      </c>
      <c r="V45" s="1434"/>
      <c r="W45" s="1435"/>
      <c r="X45" s="1438">
        <f>ROUND('Release Calculations'!BH$211,3)</f>
        <v>0</v>
      </c>
      <c r="Y45" s="1458" t="str">
        <f>IF('Release Calculations'!$BH$222="","",sig('Release Calculations'!$BH$222,3,1000,0))</f>
        <v/>
      </c>
      <c r="Z45" s="1458" t="str">
        <f>IF('Release Calculations'!$BH$228="","",sig('Release Calculations'!$BH$228,3,1000,0))</f>
        <v/>
      </c>
      <c r="AA45" s="1458" t="str">
        <f>IF('Release Calculations'!$BH$252="","",sig('Release Calculations'!$BH$252,3,1000,0))</f>
        <v/>
      </c>
      <c r="AB45" s="1458" t="str">
        <f>IF('Release Calculations'!$BH$258="","",sig('Release Calculations'!$BH$258,3,1000,0))</f>
        <v/>
      </c>
      <c r="AC45" s="1458" t="str">
        <f>IF('Release Calculations'!$BH$264="","",sig('Release Calculations'!$BH$264,3,1000,0))</f>
        <v/>
      </c>
      <c r="AD45" s="1196" t="str">
        <f>IF('Release Calculations'!$BH$246="","",ROUND('Release Calculations'!$BH$246,1))</f>
        <v/>
      </c>
      <c r="AE45" s="1434">
        <f>sig('Release Calculations'!$BH$48/$L$4,3,100,0)</f>
        <v>0</v>
      </c>
      <c r="AF45" s="1435" t="str">
        <f t="shared" si="17"/>
        <v>kg</v>
      </c>
      <c r="AG45" s="1326">
        <f>sig('Release Calculations'!BH$73/$AG$4,3,10,3)</f>
        <v>0</v>
      </c>
      <c r="AH45" s="1435" t="str">
        <f t="shared" si="33"/>
        <v>kg/min</v>
      </c>
      <c r="AI45" s="1434">
        <f>sig('Release Calculations'!$BH$279/$AI$4,3,100,0)</f>
        <v>0</v>
      </c>
      <c r="AJ45" s="1435" t="str">
        <f t="shared" si="60"/>
        <v>m</v>
      </c>
      <c r="AK45" s="1434">
        <f>sig('Release Calculations'!$BH$282/$AK$4,3,100,0)</f>
        <v>0</v>
      </c>
      <c r="AL45" s="1435" t="str">
        <f t="shared" si="61"/>
        <v>m</v>
      </c>
      <c r="AM45" s="1434">
        <f>sig('Release Calculations'!$BH$284/$AM$4,3,100,0)</f>
        <v>0</v>
      </c>
      <c r="AN45" s="1435" t="str">
        <f t="shared" si="62"/>
        <v>m</v>
      </c>
      <c r="AO45" s="1434">
        <f>sig('Release Calculations'!$BH$285/$AO$4,3,100,0)</f>
        <v>0</v>
      </c>
      <c r="AP45" s="1452" t="str">
        <f t="shared" si="63"/>
        <v>m</v>
      </c>
      <c r="AQ45" s="1434">
        <f>sig('Release Calculations'!$BH$287/$AQ$4,3,100,0)</f>
        <v>0</v>
      </c>
      <c r="AR45" s="1452" t="str">
        <f t="shared" si="64"/>
        <v>m</v>
      </c>
      <c r="AS45" s="1452" t="str">
        <f t="shared" si="65"/>
        <v/>
      </c>
      <c r="AT45" s="1452" t="str">
        <f t="shared" si="66"/>
        <v/>
      </c>
      <c r="AU45" s="1452" t="str">
        <f t="shared" si="67"/>
        <v/>
      </c>
      <c r="AV45" s="114">
        <f>sig('Release Calculations'!$BH$294,3,1000,-1)</f>
        <v>0</v>
      </c>
      <c r="AW45" s="114">
        <f>sig('Release Calculations'!$BH$295,3,1000,-1)</f>
        <v>0</v>
      </c>
      <c r="AX45" s="114" t="str">
        <f>sig('Release Calculations'!$BH$296,3,1000,0)</f>
        <v/>
      </c>
      <c r="AY45" s="114" t="str">
        <f>sig('Release Calculations'!$BH$297,3,1000,0)</f>
        <v/>
      </c>
      <c r="AZ45" s="114">
        <f>sig('Release Calculations'!$BH$298,3,1000,-1)</f>
        <v>0</v>
      </c>
      <c r="BA45" s="114">
        <f>sig('Release Calculations'!$BH$299,3,1000,-1)</f>
        <v>0</v>
      </c>
      <c r="BB45" s="114" t="str">
        <f>sig('Release Calculations'!$BH$300,3,10,3)</f>
        <v/>
      </c>
      <c r="BC45" s="2576" t="str">
        <f>sig('Release Calculations'!$BH$301,3,10,3)</f>
        <v/>
      </c>
      <c r="BD45" s="2569">
        <f>sig('Release Calculations'!$BH$318/$BD$4,3,100,0)</f>
        <v>0</v>
      </c>
      <c r="BE45" s="1435" t="str">
        <f t="shared" si="34"/>
        <v>m</v>
      </c>
      <c r="BF45" s="2569">
        <f>sig('Release Calculations'!$BH$317/$BF$4,3,100,0)</f>
        <v>0</v>
      </c>
      <c r="BG45" s="1435" t="str">
        <f t="shared" si="34"/>
        <v>m</v>
      </c>
      <c r="BH45" s="1419"/>
      <c r="BI45" s="1422"/>
      <c r="BJ45" s="1419"/>
      <c r="BK45" s="1422"/>
      <c r="BL45" s="2573"/>
      <c r="BM45" s="2573"/>
      <c r="BN45" s="1441"/>
      <c r="BO45" s="1746"/>
      <c r="BP45" s="1503">
        <f>sig('Release Calculations'!$BH$74/$BP$4,3,10,1)</f>
        <v>0</v>
      </c>
      <c r="BQ45" s="1435" t="str">
        <f t="shared" si="58"/>
        <v>kg/min</v>
      </c>
      <c r="BR45" s="1434">
        <f>sig(IF(Relief_Release="Indoors",'Release Calculations'!$BH$309/$BR$4,'Release Calculations'!$BH$323/$BR$4),3,100,0)</f>
        <v>0</v>
      </c>
      <c r="BS45" s="1435" t="str">
        <f t="shared" si="25"/>
        <v>m</v>
      </c>
      <c r="BT45" s="1748">
        <f>ROUND(IF(Location="Indoors",'Release Calculations'!$BH$312,'Release Calculations'!$BH$326),1)</f>
        <v>0</v>
      </c>
      <c r="BU45" s="1748">
        <f>ROUND(IF(Location="Indoors",'Release Calculations'!$BH$314,'Release Calculations'!$BH$330),1)</f>
        <v>0</v>
      </c>
      <c r="BV45" s="1434" t="str">
        <f>IF('Reaction Input'!AU72&gt;0,sig('Reaction Input'!AU72,2,10,1),"")</f>
        <v/>
      </c>
      <c r="BW45" s="1443" t="str">
        <f>'Reaction Input'!AV72</f>
        <v>sec</v>
      </c>
      <c r="BX45" s="262"/>
      <c r="BY45" s="262"/>
      <c r="BZ45" s="123"/>
      <c r="CA45" s="4" t="str">
        <f>IF('Release Calculations'!BH$336="NA","",'Release Calculations'!BH$336)</f>
        <v/>
      </c>
      <c r="CB45" s="4" t="e">
        <f>IF('Release Calculations'!BH$366="NA","",'Release Calculations'!BH$366)</f>
        <v>#DIV/0!</v>
      </c>
      <c r="CC45" s="4" t="str">
        <f>IF('Release Calculations'!BH$371="NA","",'Release Calculations'!BH$371)</f>
        <v/>
      </c>
      <c r="CD45" s="735" t="str">
        <f>IF('Release Calculations'!BH$376="NA","",'Release Calculations'!BH$376)</f>
        <v/>
      </c>
      <c r="CE45" s="4"/>
      <c r="CF45" s="4" t="str">
        <f>IF('Release Calculations'!BH$387="NA","",'Release Calculations'!BH$387)</f>
        <v/>
      </c>
      <c r="CG45" s="4" t="str">
        <f>IF('Release Calculations'!BH$407="NA","",'Release Calculations'!BH$407)</f>
        <v/>
      </c>
      <c r="CH45" s="4" t="str">
        <f>IF('Release Calculations'!BH$397="NA","",'Release Calculations'!BH$397)</f>
        <v/>
      </c>
      <c r="CI45" s="4"/>
      <c r="CJ45" s="4"/>
      <c r="CK45" s="4"/>
      <c r="CL45" s="19"/>
      <c r="CM45" s="19"/>
      <c r="CN45" s="189" t="str">
        <f>IF(CA45="","",IF('Release Calculations'!BH$281="Yes",IF(CA45=Conseq_VeryLow,Desc_VeryLow,IF(CA45=Conseq_Low,Desc_Low,IF(CA45=Conseq_Moderate,Desc_Moderate,IF(CA45=Conseq_High,Desc_High,IF(CA45=Conseq_VeryHigh,Desc_VeryHigh,IF(CA45=Conseq_ExtremeHigh,Desc_ExtremeHigh,Desc_GT_ExtremeHigh)))))),IF(CA45=Conseq_Low_Offsite,Desc_Low_Offsite,Desc_VeryLow_Offsite)))</f>
        <v/>
      </c>
      <c r="CO45" s="189" t="e">
        <f t="shared" si="73"/>
        <v>#DIV/0!</v>
      </c>
      <c r="CP45" s="189" t="str">
        <f t="shared" si="74"/>
        <v/>
      </c>
      <c r="CQ45" s="189" t="str">
        <f t="shared" si="75"/>
        <v/>
      </c>
      <c r="CR45" s="67"/>
      <c r="CS45" s="189" t="str">
        <f t="shared" si="59"/>
        <v/>
      </c>
      <c r="CT45" s="189" t="str">
        <f t="shared" si="68"/>
        <v/>
      </c>
      <c r="CU45" s="189" t="str">
        <f t="shared" si="69"/>
        <v/>
      </c>
      <c r="CV45" s="67"/>
      <c r="CW45" s="67"/>
      <c r="CX45" s="67"/>
      <c r="CY45" s="40"/>
      <c r="CZ45" s="189" t="str">
        <f>IF(CA45="","",IF('Release Calculations'!BH$281="Yes"," at a "&amp;$AI$3&amp;" of "&amp;AI45&amp;" "&amp;AJ45&amp;" which exceeds Distance to the Fence Line of "&amp;Public_Input&amp;" "&amp;Public_Units))</f>
        <v/>
      </c>
      <c r="DA45" s="189" t="e">
        <f>IF(CB45="","",IF('Release Calculations'!$BH$289="Yes"," with operating personnel in close proximity and a "&amp;$AM$3&amp;" of "&amp;AM45&amp;" "&amp;AN45," at a "&amp;$AM$3&amp;" of "&amp;AM45&amp;" "&amp;AN45)&amp;IF('Release Calculations'!$BH$284&gt;Public," which exceeds Distance to the Fence Line of "&amp;Public_Input&amp;" "&amp;Public_Units&amp;".  Target Factor may be conservative",))</f>
        <v>#DIV/0!</v>
      </c>
      <c r="DB45" s="226" t="str">
        <f>IF(CC45="","",IF('Release Calculations'!BH303="Yes","and Potential for Asphyxiation","")&amp;IF('Release Calculations'!BH$289="Yes"," with operations personnel in close proximity at an "&amp;$AZ$3&amp;" of "&amp;AZ45&amp;" ppm"," at an "&amp;$AZ$3&amp;" of "&amp;AZ45&amp;" ppm"))</f>
        <v/>
      </c>
      <c r="DC45" s="189" t="str">
        <f t="shared" si="70"/>
        <v/>
      </c>
      <c r="DD45" s="67"/>
      <c r="DE45" s="189" t="str">
        <f>IF(CF45="","",IF('Release Calculations'!$BH$289="Yes"," with operating personnel in close proximity and a "&amp;$BF$3&amp;" of "&amp;BF45&amp;" "&amp;BG45," at a "&amp;$BF$3&amp;" of "&amp;BF45&amp;" "&amp;BG45))</f>
        <v/>
      </c>
      <c r="DF45" s="189" t="str">
        <f>IF(CG45="","",IF('Release Calculations'!BH$324="Yes"," with "&amp;$BR$3&amp;" of "&amp;BR45&amp;" "&amp;BS45&amp;IF('Release Calculations'!BH$333&lt;&gt;"Yes",""," including "&amp;$BT$3&amp;" of "&amp;BT45&amp;" psi.")&amp;" 1 psi Blast Overpresssure exceeds Distance to the Fence Line of "&amp;Public_Input&amp;" "&amp;Public_Units&amp;".  Consider adjustment for Off-Site Impacts",IF('Release Calculations'!BH$333&lt;&gt;"Yes"," impacting on site personnel at a "&amp;$BR$3&amp;" of "&amp;BR45&amp;" "&amp;BS45," impacting on site personnel at a "&amp;$BR$3&amp;" of "&amp;BR45&amp;" "&amp;BS45&amp;" including "&amp;$BT$3&amp;" of "&amp;BT45&amp;" psi")))</f>
        <v/>
      </c>
      <c r="DG45" s="189" t="str">
        <f>IF(CH45="","",IF('Release Calculations'!BH$310="Yes"," with "&amp;$BR$3&amp;" of "&amp;BR45&amp;" "&amp;BS45&amp;IF('Release Calculations'!BH$315&lt;&gt;"Yes",""," including "&amp;$BT$3&amp;" of "&amp;BT45&amp;" psi.")&amp;"  1 psi Blast Overpresssure exceeds Distance to the Fence Line of "&amp;Public_Input&amp;" "&amp;Public_Units&amp;".  Consider adjustment for Off-Site Impacts",IF('Release Calculations'!BH$315&lt;&gt;"Yes"," impacting enclosed area operating personnel, on site personnel at a "&amp;$BR$3&amp;" of "&amp;BR45&amp;" "&amp;BS45," impacting enclosed area operating personnel, on site personnel at a "&amp;$BR$3&amp;" of "&amp;BR45&amp;" "&amp;BS45&amp;" including "&amp;$BT$3&amp;" of "&amp;BT45&amp;" psi")))</f>
        <v/>
      </c>
      <c r="DH45" s="67"/>
      <c r="DI45" s="67"/>
      <c r="DJ45" s="67"/>
      <c r="DK45" s="19"/>
      <c r="DL45" s="39"/>
      <c r="DM45" s="239">
        <f>'Release Calculations'!BH364</f>
        <v>0</v>
      </c>
      <c r="DN45" s="239">
        <f>'Release Calculations'!BH$369</f>
        <v>0</v>
      </c>
      <c r="DO45" s="34"/>
      <c r="DP45" s="34"/>
      <c r="DQ45" s="239">
        <f>'Release Calculations'!BH385</f>
        <v>0</v>
      </c>
      <c r="DR45" s="34"/>
      <c r="DS45" s="34"/>
      <c r="DT45" s="34"/>
      <c r="DU45" s="34"/>
      <c r="DV45" s="6"/>
      <c r="DW45" s="40"/>
      <c r="DX45" s="250"/>
      <c r="DY45" s="249" t="s">
        <v>2983</v>
      </c>
      <c r="DZ45" s="250" t="s">
        <v>292</v>
      </c>
      <c r="EA45" s="740"/>
      <c r="EB45" s="248"/>
      <c r="EC45" s="249" t="s">
        <v>292</v>
      </c>
      <c r="ED45" s="248"/>
      <c r="EE45" s="248"/>
      <c r="EF45" s="248"/>
      <c r="EG45" s="248"/>
      <c r="EH45" s="248"/>
      <c r="EI45" s="19"/>
      <c r="EJ45" s="250"/>
      <c r="EK45" s="249" t="str">
        <f>IF(Attended_Op="Yes","Noted as Personnel Routinely in Immediate Area or Equipment Type involves Materials Handling - "&amp;IF('Release Calculations'!BH207*3600&lt;30," with a very Short Exposure Duration (&lt; 30 sec)","Time at Risk May Apply"),"Probability of Personnel to be in Close Proximity to Chemical Release based on Toxic Impact Area to "&amp;AM45&amp;" "&amp;AN45&amp;IF('Release Calculations'!BH363&lt;0.01," (with potential for higher POE credit upon further review)",""))</f>
        <v>Probability of Personnel to be in Close Proximity to Chemical Release based on Toxic Impact Area to 0 m (with potential for higher POE credit upon further review)</v>
      </c>
      <c r="EL45" s="250" t="str">
        <f>IF(Attended_Op="Yes","Noted as Personnel Routinely in Immediate Area or Equipment Type involves Materials Handling - Time at Risk May Apply","Probability of Personnel to be in Close Proximity to Chemical Release based on Ratio Enclosed Process Area Concentation of "&amp;AZ45&amp;" ppm to 10 ER-3 for "&amp;Chemical&amp;IF(Fract_Key_Chemical&lt;1," mixture "," ")&amp;IF('Release Calculations'!$BH$368&lt;0.01,"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45" s="248"/>
      <c r="EN45" s="248"/>
      <c r="EO45"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"&amp;AZ45&amp;" to "&amp;LFL_Fract_FlashFIre&amp;" LFL","Flammable Impact Area to "&amp;BF45&amp;" "&amp;BG45)&amp;IF('Release Calculations'!$BH$384&lt;0.01," (with potential for higher POE credit upon further review)",""))</f>
        <v>Probability of Personnel to be in Close Proximity to Chemical Release based on Flammable Impact Area to 0 m (with potential for higher POE credit upon further review)</v>
      </c>
      <c r="EP45" s="248"/>
      <c r="EQ45" s="248"/>
      <c r="ER45" s="248"/>
      <c r="ES45" s="248"/>
      <c r="ET45" s="248"/>
      <c r="EU45" s="19"/>
      <c r="EV45" s="1379"/>
      <c r="EW45" s="957">
        <f>'Release Calculations'!BH363</f>
        <v>6.0000000000000008E-7</v>
      </c>
      <c r="EX45" s="957">
        <f>'Release Calculations'!$BH$368</f>
        <v>0</v>
      </c>
      <c r="EY45" s="1380"/>
      <c r="EZ45" s="1380"/>
      <c r="FA45" s="957">
        <f>'Release Calculations'!$BH$384</f>
        <v>0</v>
      </c>
      <c r="FB45" s="6"/>
      <c r="FC45" s="6"/>
      <c r="FD45" s="6"/>
      <c r="FE45" s="6"/>
      <c r="FF45" s="6"/>
      <c r="FG45" s="19"/>
      <c r="FH45" s="34"/>
      <c r="FI45" s="34"/>
      <c r="FJ45" s="34"/>
      <c r="FK45" s="739"/>
      <c r="FL45" s="34"/>
      <c r="FM45" s="239" t="str">
        <f>IF(Relief_Release="Outdoors",'Release Calculations'!BH$321,'Release Calculations'!BH$307)</f>
        <v/>
      </c>
      <c r="FN45" s="239" t="str">
        <f>'Release Calculations'!BH$322</f>
        <v/>
      </c>
      <c r="FO45" s="39" t="str">
        <f>IF(State&lt;&gt;"Solid",'Release Calculations'!BH$307,Dust_SecondExpl_POE)</f>
        <v/>
      </c>
      <c r="FP45" s="34"/>
      <c r="FQ45" s="34"/>
      <c r="FR45" s="6"/>
      <c r="FS45" s="40"/>
      <c r="FT45" s="248"/>
      <c r="FU45" s="248"/>
      <c r="FV45" s="248"/>
      <c r="FW45" s="741"/>
      <c r="FX45" s="248"/>
      <c r="FY45" s="249" t="s">
        <v>1461</v>
      </c>
      <c r="FZ45" s="249" t="s">
        <v>1460</v>
      </c>
      <c r="GA45" s="250" t="s">
        <v>1461</v>
      </c>
      <c r="GB45" s="248"/>
      <c r="GC45" s="248"/>
      <c r="GD45" s="248"/>
      <c r="GE45" s="19"/>
      <c r="GF45" s="248"/>
      <c r="GG45" s="248"/>
      <c r="GH45" s="248"/>
      <c r="GI45" s="741"/>
      <c r="GJ45" s="248"/>
      <c r="GK45" s="4" t="str">
        <f t="shared" si="79"/>
        <v>No Flash Point Entered</v>
      </c>
      <c r="GL45" s="2581" t="str">
        <f t="shared" si="71"/>
        <v>No Flash Point Entered</v>
      </c>
      <c r="GM45" s="250" t="str">
        <f t="shared" si="72"/>
        <v>Indoor Release of Flammable Material-POX</v>
      </c>
      <c r="GN45" s="248"/>
      <c r="GO45" s="248"/>
      <c r="GP45" s="248"/>
      <c r="GQ45" s="19"/>
      <c r="GR45" s="189" t="e">
        <f t="shared" si="35"/>
        <v>#DIV/0!</v>
      </c>
      <c r="GS45" s="35"/>
      <c r="GT45" s="19"/>
      <c r="GU45" s="26"/>
      <c r="GV45" s="26"/>
      <c r="GW45" s="19"/>
      <c r="GX45" s="19"/>
      <c r="GY45" s="19"/>
      <c r="GZ45" s="19"/>
      <c r="HA45" s="19"/>
      <c r="HB45" s="19"/>
      <c r="HC45" s="19"/>
      <c r="HD45" s="19"/>
      <c r="HE45" s="19"/>
      <c r="HF45" s="19"/>
      <c r="HG45" s="19"/>
      <c r="HH45" s="19"/>
      <c r="HI45" s="19"/>
    </row>
    <row r="46" spans="1:220" s="5" customFormat="1" ht="12.75" customHeight="1" x14ac:dyDescent="0.25">
      <c r="A46" s="35"/>
      <c r="B46" s="64" t="str">
        <f>'Scenario Identification'!CY3</f>
        <v>Vapor Relief Vent - Reaction with Pooling</v>
      </c>
      <c r="C46" s="1457" t="str">
        <f t="shared" si="80"/>
        <v/>
      </c>
      <c r="D46" s="65"/>
      <c r="E46" s="2483" t="str">
        <f>IF(MAX('Release Calculations'!BJ33,'Release Calculations'!BJ41,'Release Calculations'!BJ47,1-'Release Calculations'!BJ65,ABS(MIN('Release Calculations'!BJ33,'Release Calculations'!BJ41,'Release Calculations'!BJ47,1-'Release Calculations'!BJ65)))&gt;$E$4,"Yes","")</f>
        <v/>
      </c>
      <c r="F46" s="1418" t="s">
        <v>428</v>
      </c>
      <c r="G46" s="1434">
        <f t="shared" si="11"/>
        <v>0</v>
      </c>
      <c r="H46" s="1427" t="str">
        <f t="shared" si="31"/>
        <v>liter</v>
      </c>
      <c r="I46" s="1418"/>
      <c r="J46" s="1421"/>
      <c r="K46" s="1427">
        <f t="shared" si="81"/>
        <v>0</v>
      </c>
      <c r="L46" s="1434">
        <f>sig('Release Calculations'!$BJ$48/$L$4,3,100,0)</f>
        <v>0</v>
      </c>
      <c r="M46" s="1435" t="str">
        <f t="shared" si="13"/>
        <v>kg</v>
      </c>
      <c r="N46" s="1432" t="str">
        <f t="shared" si="78"/>
        <v xml:space="preserve">Liquid:   ,  ,  ,  ,  </v>
      </c>
      <c r="O46" s="1434">
        <f>ROUND('Release Calculations'!$BJ$9,0)</f>
        <v>0</v>
      </c>
      <c r="P46" s="1434">
        <f t="shared" si="82"/>
        <v>0</v>
      </c>
      <c r="Q46" s="1446" t="str">
        <f t="shared" si="15"/>
        <v>bar</v>
      </c>
      <c r="R46" s="1434">
        <f>sig('Release Calculations'!$BJ$73/$AG$4,3,10,0)</f>
        <v>0</v>
      </c>
      <c r="S46" s="1447" t="str">
        <f t="shared" si="16"/>
        <v>kg/min</v>
      </c>
      <c r="T46" s="1435">
        <f>IF('Release Calculations'!$BJ$20=0,U46,ROUND('Release Calculations'!$BJ$20/$T$4,0))</f>
        <v>0</v>
      </c>
      <c r="U46" s="1434">
        <f>ROUND(('Release Calculations'!$BJ$20+'Release Calculations'!$BJ$21)/$U$4,0)</f>
        <v>0</v>
      </c>
      <c r="V46" s="1434"/>
      <c r="W46" s="1435"/>
      <c r="X46" s="1438">
        <f>ROUND('Release Calculations'!BJ$211,3)</f>
        <v>0</v>
      </c>
      <c r="Y46" s="1458" t="str">
        <f>IF('Release Calculations'!$BJ$222="","",sig('Release Calculations'!$BJ$222,3,1000,0))</f>
        <v/>
      </c>
      <c r="Z46" s="1458" t="str">
        <f>IF('Release Calculations'!$BJ$228="","",sig('Release Calculations'!$BJ$228,3,1000,0))</f>
        <v/>
      </c>
      <c r="AA46" s="1458" t="str">
        <f>IF('Release Calculations'!$BJ$252="","",sig('Release Calculations'!$BJ$252,3,1000,0))</f>
        <v/>
      </c>
      <c r="AB46" s="1458" t="str">
        <f>IF('Release Calculations'!$BJ$258="","",sig('Release Calculations'!$BJ$258,3,1000,0))</f>
        <v/>
      </c>
      <c r="AC46" s="1458" t="str">
        <f>IF('Release Calculations'!$BJ$264="","",sig('Release Calculations'!$BJ$264,3,1000,0))</f>
        <v/>
      </c>
      <c r="AD46" s="1196" t="str">
        <f>IF('Release Calculations'!$BJ$246="","",ROUND('Release Calculations'!$BJ$246,1))</f>
        <v/>
      </c>
      <c r="AE46" s="1434">
        <f>sig('Release Calculations'!$BJ$48/$L$4,3,100,0)</f>
        <v>0</v>
      </c>
      <c r="AF46" s="1435" t="str">
        <f t="shared" si="17"/>
        <v>kg</v>
      </c>
      <c r="AG46" s="1326">
        <f>sig('Release Calculations'!BJ$73/$AG$4,3,10,3)</f>
        <v>0</v>
      </c>
      <c r="AH46" s="1435" t="str">
        <f t="shared" si="33"/>
        <v>kg/min</v>
      </c>
      <c r="AI46" s="1434">
        <f>sig('Release Calculations'!$BJ$279/$AI$4,3,100,0)</f>
        <v>0</v>
      </c>
      <c r="AJ46" s="1435" t="str">
        <f t="shared" si="60"/>
        <v>m</v>
      </c>
      <c r="AK46" s="1434">
        <f>sig('Release Calculations'!$BJ$282/$AK$4,3,100,0)</f>
        <v>0</v>
      </c>
      <c r="AL46" s="1435" t="str">
        <f t="shared" si="61"/>
        <v>m</v>
      </c>
      <c r="AM46" s="1434">
        <f>sig('Release Calculations'!$BJ$284/$AM$4,3,100,0)</f>
        <v>0</v>
      </c>
      <c r="AN46" s="1435" t="str">
        <f t="shared" si="62"/>
        <v>m</v>
      </c>
      <c r="AO46" s="1434">
        <f>sig('Release Calculations'!$BJ$285/$AO$4,3,100,0)</f>
        <v>0</v>
      </c>
      <c r="AP46" s="1452" t="str">
        <f t="shared" si="63"/>
        <v>m</v>
      </c>
      <c r="AQ46" s="1434">
        <f>sig('Release Calculations'!$BJ$287/$AQ$4,3,100,0)</f>
        <v>0</v>
      </c>
      <c r="AR46" s="1452" t="str">
        <f t="shared" si="64"/>
        <v>m</v>
      </c>
      <c r="AS46" s="1452" t="str">
        <f t="shared" si="65"/>
        <v/>
      </c>
      <c r="AT46" s="1452" t="str">
        <f t="shared" si="66"/>
        <v/>
      </c>
      <c r="AU46" s="1452" t="str">
        <f t="shared" si="67"/>
        <v/>
      </c>
      <c r="AV46" s="114">
        <f>sig('Release Calculations'!$BJ$294,3,1000,-1)</f>
        <v>0</v>
      </c>
      <c r="AW46" s="114">
        <f>sig('Release Calculations'!$BJ$295,3,1000,-1)</f>
        <v>0</v>
      </c>
      <c r="AX46" s="114" t="str">
        <f>sig('Release Calculations'!$BJ$296,3,1000,0)</f>
        <v/>
      </c>
      <c r="AY46" s="114" t="str">
        <f>sig('Release Calculations'!$BJ$297,3,1000,0)</f>
        <v/>
      </c>
      <c r="AZ46" s="114">
        <f>sig('Release Calculations'!$BJ$298,3,1000,-1)</f>
        <v>0</v>
      </c>
      <c r="BA46" s="114">
        <f>sig('Release Calculations'!$BJ$299,3,1000,-1)</f>
        <v>0</v>
      </c>
      <c r="BB46" s="114" t="str">
        <f>sig('Release Calculations'!$BJ$300,3,10,3)</f>
        <v/>
      </c>
      <c r="BC46" s="2576" t="str">
        <f>sig('Release Calculations'!$BJ$301,3,10,3)</f>
        <v/>
      </c>
      <c r="BD46" s="2569">
        <f>sig('Release Calculations'!$BJ$318/$BD$4,3,100,0)</f>
        <v>0</v>
      </c>
      <c r="BE46" s="1435" t="str">
        <f t="shared" si="34"/>
        <v>m</v>
      </c>
      <c r="BF46" s="2569">
        <f>sig('Release Calculations'!$BJ$317/$BF$4,3,100,0)</f>
        <v>0</v>
      </c>
      <c r="BG46" s="1435" t="str">
        <f t="shared" si="34"/>
        <v>m</v>
      </c>
      <c r="BH46" s="1419"/>
      <c r="BI46" s="1422"/>
      <c r="BJ46" s="1419"/>
      <c r="BK46" s="1422"/>
      <c r="BL46" s="2573"/>
      <c r="BM46" s="2573"/>
      <c r="BN46" s="1441"/>
      <c r="BO46" s="1746"/>
      <c r="BP46" s="1503">
        <f>sig('Release Calculations'!$BJ$74/$BP$4,3,10,1)</f>
        <v>0</v>
      </c>
      <c r="BQ46" s="1435" t="str">
        <f t="shared" si="58"/>
        <v>kg/min</v>
      </c>
      <c r="BR46" s="1434">
        <f>sig(IF(Relief_Release="Indoors",'Release Calculations'!$BJ$309/$BR$4,'Release Calculations'!$BJ$323/$BR$4),3,100,0)</f>
        <v>0</v>
      </c>
      <c r="BS46" s="1435" t="str">
        <f t="shared" si="25"/>
        <v>m</v>
      </c>
      <c r="BT46" s="1748">
        <f>ROUND(IF(Location="Indoors",'Release Calculations'!$BJ$312,'Release Calculations'!$BJ$326),1)</f>
        <v>0</v>
      </c>
      <c r="BU46" s="1748">
        <f>ROUND(IF(Location="Indoors",'Release Calculations'!$BJ$314,'Release Calculations'!$BJ$330),1)</f>
        <v>0</v>
      </c>
      <c r="BV46" s="1434" t="str">
        <f>IF('Reaction Input'!BC72&gt;0,sig('Reaction Input'!BC72,2,10,1),"")</f>
        <v/>
      </c>
      <c r="BW46" s="1443" t="str">
        <f>'Reaction Input'!BD72</f>
        <v>sec</v>
      </c>
      <c r="BX46" s="262"/>
      <c r="BY46" s="262"/>
      <c r="BZ46" s="123"/>
      <c r="CA46" s="4" t="str">
        <f>IF('Release Calculations'!BJ$336="NA","",'Release Calculations'!BJ$336)</f>
        <v/>
      </c>
      <c r="CB46" s="4" t="e">
        <f>IF('Release Calculations'!BJ$366="NA","",'Release Calculations'!BJ$366)</f>
        <v>#DIV/0!</v>
      </c>
      <c r="CC46" s="4" t="str">
        <f>IF('Release Calculations'!BJ$371="NA","",'Release Calculations'!BJ$371)</f>
        <v/>
      </c>
      <c r="CD46" s="735" t="str">
        <f>IF('Release Calculations'!BJ$376="NA","",'Release Calculations'!BJ$376)</f>
        <v/>
      </c>
      <c r="CE46" s="4"/>
      <c r="CF46" s="4" t="str">
        <f>IF('Release Calculations'!BJ$387="NA","",'Release Calculations'!BJ$387)</f>
        <v/>
      </c>
      <c r="CG46" s="4" t="str">
        <f>IF('Release Calculations'!BJ$407="NA","",'Release Calculations'!BJ$407)</f>
        <v/>
      </c>
      <c r="CH46" s="4" t="str">
        <f>IF('Release Calculations'!BJ$397="NA","",'Release Calculations'!BJ$397)</f>
        <v/>
      </c>
      <c r="CI46" s="4"/>
      <c r="CJ46" s="4"/>
      <c r="CK46" s="4"/>
      <c r="CL46" s="19"/>
      <c r="CM46" s="19"/>
      <c r="CN46" s="189" t="str">
        <f>IF(CA46="","",IF('Release Calculations'!BJ$281="Yes",IF(CA46=Conseq_VeryLow,Desc_VeryLow,IF(CA46=Conseq_Low,Desc_Low,IF(CA46=Conseq_Moderate,Desc_Moderate,IF(CA46=Conseq_High,Desc_High,IF(CA46=Conseq_VeryHigh,Desc_VeryHigh,IF(CA46=Conseq_ExtremeHigh,Desc_ExtremeHigh,Desc_GT_ExtremeHigh)))))),IF(CA46=Conseq_Low_Offsite,Desc_Low_Offsite,Desc_VeryLow_Offsite)))</f>
        <v/>
      </c>
      <c r="CO46" s="189" t="e">
        <f t="shared" si="73"/>
        <v>#DIV/0!</v>
      </c>
      <c r="CP46" s="189" t="str">
        <f t="shared" si="74"/>
        <v/>
      </c>
      <c r="CQ46" s="189" t="str">
        <f t="shared" si="75"/>
        <v/>
      </c>
      <c r="CR46" s="67"/>
      <c r="CS46" s="189" t="str">
        <f t="shared" si="59"/>
        <v/>
      </c>
      <c r="CT46" s="189" t="str">
        <f t="shared" si="68"/>
        <v/>
      </c>
      <c r="CU46" s="189" t="str">
        <f t="shared" si="69"/>
        <v/>
      </c>
      <c r="CV46" s="67"/>
      <c r="CW46" s="67"/>
      <c r="CX46" s="67"/>
      <c r="CY46" s="40"/>
      <c r="CZ46" s="189" t="str">
        <f>IF(CA46="","",IF('Release Calculations'!BJ$281="Yes"," at a "&amp;$AI$3&amp;" of "&amp;AI46&amp;" "&amp;AJ46&amp;" which exceeds Distance to the Fence Line of "&amp;Public_Input&amp;" "&amp;Public_Units))</f>
        <v/>
      </c>
      <c r="DA46" s="189" t="e">
        <f>IF(CB46="","",IF('Release Calculations'!$BJ$289="Yes"," with operating personnel in close proximity and a "&amp;$AM$3&amp;" of "&amp;AM46&amp;" "&amp;AN46," at a "&amp;$AM$3&amp;" of "&amp;AM46&amp;" "&amp;AN46)&amp;IF('Release Calculations'!$BJ$284&gt;Public," which exceeds Distance to the Fence Line of "&amp;Public_Input&amp;" "&amp;Public_Units&amp;".  Target Factor may be conservative",))</f>
        <v>#DIV/0!</v>
      </c>
      <c r="DB46" s="226" t="str">
        <f>IF(CC46="","",IF('Release Calculations'!BJ303="Yes","and Potential for Asphyxiation","")&amp;IF('Release Calculations'!BJ$289="Yes"," with operations personnel in close proximity at an "&amp;$AZ$3&amp;" of "&amp;AZ46&amp;" ppm"," at an "&amp;$AZ$3&amp;" of "&amp;AZ46&amp;" ppm"))</f>
        <v/>
      </c>
      <c r="DC46" s="189" t="str">
        <f t="shared" si="70"/>
        <v/>
      </c>
      <c r="DD46" s="67"/>
      <c r="DE46" s="189" t="str">
        <f>IF(CF46="","",IF('Release Calculations'!$BJ$289="Yes"," with operating personnel in close proximity and a "&amp;$BF$3&amp;" of "&amp;BF46&amp;" "&amp;BG46," at a "&amp;$BF$3&amp;" of "&amp;BF46&amp;" "&amp;BG46))</f>
        <v/>
      </c>
      <c r="DF46" s="189" t="str">
        <f>IF(CG46="","",IF('Release Calculations'!BJ$324="Yes"," with "&amp;$BR$3&amp;" of "&amp;BR46&amp;" "&amp;BS46&amp;IF('Release Calculations'!BJ$333&lt;&gt;"Yes",""," including "&amp;$BT$3&amp;" of "&amp;BT46&amp;" psi.")&amp;" 1 psi Blast Overpresssure exceeds Distance to the Fence Line of "&amp;Public_Input&amp;" "&amp;Public_Units&amp;".  Consider adjustment for Off-Site Impacts",IF('Release Calculations'!BJ$333&lt;&gt;"Yes"," impacting on site personnel at a "&amp;$BR$3&amp;" of "&amp;BR46&amp;" "&amp;BS46," impacting on site personnel at a "&amp;$BR$3&amp;" of "&amp;BR46&amp;" "&amp;BS46&amp;" including "&amp;$BT$3&amp;" of "&amp;BT46&amp;" psi")))</f>
        <v/>
      </c>
      <c r="DG46" s="189" t="str">
        <f>IF(CH46="","",IF('Release Calculations'!BJ$310="Yes"," with "&amp;$BR$3&amp;" of "&amp;BR46&amp;" "&amp;BS46&amp;IF('Release Calculations'!BJ$315&lt;&gt;"Yes",""," including "&amp;$BT$3&amp;" of "&amp;BT46&amp;" psi.")&amp;"  1 psi Blast Overpresssure exceeds Distance to the Fence Line of "&amp;Public_Input&amp;" "&amp;Public_Units&amp;".  Consider adjustment for Off-Site Impacts",IF('Release Calculations'!BJ$315&lt;&gt;"Yes"," impacting enclosed area operating personnel, on site personnel at a "&amp;$BR$3&amp;" of "&amp;BR46&amp;" "&amp;BS46," impacting enclosed area operating personnel, on site personnel at a "&amp;$BR$3&amp;" of "&amp;BR46&amp;" "&amp;BS46&amp;" including "&amp;$BT$3&amp;" of "&amp;BT46&amp;" psi")))</f>
        <v/>
      </c>
      <c r="DH46" s="67"/>
      <c r="DI46" s="67"/>
      <c r="DJ46" s="67"/>
      <c r="DK46" s="19"/>
      <c r="DL46" s="39"/>
      <c r="DM46" s="239">
        <f>'Release Calculations'!BJ364</f>
        <v>0</v>
      </c>
      <c r="DN46" s="239">
        <f>'Release Calculations'!BJ$369</f>
        <v>0</v>
      </c>
      <c r="DO46" s="34"/>
      <c r="DP46" s="34"/>
      <c r="DQ46" s="239">
        <f>'Release Calculations'!BJ385</f>
        <v>0</v>
      </c>
      <c r="DR46" s="34"/>
      <c r="DS46" s="34"/>
      <c r="DT46" s="34"/>
      <c r="DU46" s="34"/>
      <c r="DV46" s="6"/>
      <c r="DW46" s="40"/>
      <c r="DX46" s="250"/>
      <c r="DY46" s="249" t="s">
        <v>2983</v>
      </c>
      <c r="DZ46" s="250" t="s">
        <v>292</v>
      </c>
      <c r="EA46" s="740"/>
      <c r="EB46" s="248"/>
      <c r="EC46" s="249" t="s">
        <v>292</v>
      </c>
      <c r="ED46" s="248"/>
      <c r="EE46" s="248"/>
      <c r="EF46" s="248"/>
      <c r="EG46" s="248"/>
      <c r="EH46" s="248"/>
      <c r="EI46" s="19"/>
      <c r="EJ46" s="250"/>
      <c r="EK46" s="249" t="str">
        <f>IF(Attended_Op="Yes","Noted as Personnel Routinely in Immediate Area or Equipment Type involves Materials Handling - "&amp;IF('Release Calculations'!BJ207*3600&lt;30," with a very Short Exposure Duration (&lt; 30 sec)","Time at Risk May Apply"),"Probability of Personnel to be in Close Proximity to Chemical Release based on Toxic Impact Area to "&amp;AM46&amp;" "&amp;AN46&amp;IF('Release Calculations'!BJ363&lt;0.01," (with potential for higher POE credit upon further review)",""))</f>
        <v>Probability of Personnel to be in Close Proximity to Chemical Release based on Toxic Impact Area to 0 m (with potential for higher POE credit upon further review)</v>
      </c>
      <c r="EL46" s="250" t="str">
        <f>IF(Attended_Op="Yes","Noted as Personnel Routinely in Immediate Area or Equipment Type involves Materials Handling - Time at Risk May Apply","Probability of Personnel to be in Close Proximity to Chemical Release based on Ratio Enclosed Process Area Concentation of "&amp;AZ46&amp;" ppm to 10 ER-3 for "&amp;Chemical&amp;IF(Fract_Key_Chemical&lt;1," mixture "," ")&amp;IF('Release Calculations'!$BJ$368&lt;0.01,"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46" s="248"/>
      <c r="EN46" s="248"/>
      <c r="EO46"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"&amp;AZ46&amp;" to "&amp;LFL_Fract_FlashFIre&amp;" LFL","Flammable Impact Area to "&amp;BF46&amp;" "&amp;BG46)&amp;IF('Release Calculations'!$BJ$384&lt;0.01," (with potential for higher POE credit upon further review)",""))</f>
        <v>Probability of Personnel to be in Close Proximity to Chemical Release based on Flammable Impact Area to 0 m (with potential for higher POE credit upon further review)</v>
      </c>
      <c r="EP46" s="248"/>
      <c r="EQ46" s="248"/>
      <c r="ER46" s="248"/>
      <c r="ES46" s="248"/>
      <c r="ET46" s="248"/>
      <c r="EU46" s="19"/>
      <c r="EV46" s="1379"/>
      <c r="EW46" s="957">
        <f>'Release Calculations'!BJ363</f>
        <v>6.0000000000000008E-7</v>
      </c>
      <c r="EX46" s="957">
        <f>'Release Calculations'!$BJ$368</f>
        <v>0</v>
      </c>
      <c r="EY46" s="1380"/>
      <c r="EZ46" s="1380"/>
      <c r="FA46" s="957">
        <f>'Release Calculations'!$BJ$384</f>
        <v>0</v>
      </c>
      <c r="FB46" s="6"/>
      <c r="FC46" s="6"/>
      <c r="FD46" s="6"/>
      <c r="FE46" s="6"/>
      <c r="FF46" s="6"/>
      <c r="FG46" s="19"/>
      <c r="FH46" s="34"/>
      <c r="FI46" s="34"/>
      <c r="FJ46" s="34"/>
      <c r="FK46" s="739"/>
      <c r="FL46" s="34"/>
      <c r="FM46" s="239" t="str">
        <f>IF(Relief_Release="Outdoors",'Release Calculations'!BJ$321,'Release Calculations'!BJ$307)</f>
        <v/>
      </c>
      <c r="FN46" s="239" t="str">
        <f>'Release Calculations'!BJ$322</f>
        <v/>
      </c>
      <c r="FO46" s="39" t="str">
        <f>IF(State&lt;&gt;"Solid",'Release Calculations'!BJ$307,Dust_SecondExpl_POE)</f>
        <v/>
      </c>
      <c r="FP46" s="34"/>
      <c r="FQ46" s="34"/>
      <c r="FR46" s="6"/>
      <c r="FS46" s="40"/>
      <c r="FT46" s="248"/>
      <c r="FU46" s="248"/>
      <c r="FV46" s="248"/>
      <c r="FW46" s="741"/>
      <c r="FX46" s="248"/>
      <c r="FY46" s="249" t="s">
        <v>1461</v>
      </c>
      <c r="FZ46" s="249" t="s">
        <v>1460</v>
      </c>
      <c r="GA46" s="250" t="s">
        <v>1461</v>
      </c>
      <c r="GB46" s="248"/>
      <c r="GC46" s="248"/>
      <c r="GD46" s="248"/>
      <c r="GE46" s="19"/>
      <c r="GF46" s="248"/>
      <c r="GG46" s="248"/>
      <c r="GH46" s="248"/>
      <c r="GI46" s="741"/>
      <c r="GJ46" s="248"/>
      <c r="GK46" s="4" t="str">
        <f t="shared" si="79"/>
        <v>No Flash Point Entered</v>
      </c>
      <c r="GL46" s="2581" t="str">
        <f t="shared" si="71"/>
        <v>No Flash Point Entered</v>
      </c>
      <c r="GM46" s="250" t="str">
        <f t="shared" si="72"/>
        <v>Indoor Release of Flammable Material-POX</v>
      </c>
      <c r="GN46" s="248"/>
      <c r="GO46" s="248"/>
      <c r="GP46" s="248"/>
      <c r="GQ46" s="19"/>
      <c r="GR46" s="189" t="e">
        <f t="shared" si="35"/>
        <v>#DIV/0!</v>
      </c>
      <c r="GS46" s="35"/>
      <c r="GT46" s="19"/>
      <c r="GU46" s="26"/>
      <c r="GV46" s="26"/>
      <c r="GW46" s="19"/>
      <c r="GX46" s="19"/>
      <c r="GY46" s="19"/>
      <c r="GZ46" s="19"/>
      <c r="HA46" s="19"/>
      <c r="HB46" s="19"/>
      <c r="HC46" s="19"/>
      <c r="HD46" s="19"/>
      <c r="HE46" s="19"/>
      <c r="HF46" s="19"/>
      <c r="HG46" s="19"/>
      <c r="HH46" s="19"/>
      <c r="HI46" s="19"/>
    </row>
    <row r="47" spans="1:220" s="5" customFormat="1" ht="12.75" customHeight="1" x14ac:dyDescent="0.25">
      <c r="A47" s="35"/>
      <c r="B47" s="64" t="str">
        <f>'Scenario Identification'!CZ3</f>
        <v>Vapor Relief Vent - Reaction with Mis-Loading</v>
      </c>
      <c r="C47" s="1457" t="str">
        <f t="shared" si="80"/>
        <v/>
      </c>
      <c r="D47" s="65"/>
      <c r="E47" s="2483" t="str">
        <f>IF(MAX('Release Calculations'!BL33,'Release Calculations'!BL41,'Release Calculations'!BL47,1-'Release Calculations'!BL65,ABS(MIN('Release Calculations'!BL33,'Release Calculations'!BL41,'Release Calculations'!BL47,1-'Release Calculations'!BL65)))&gt;$E$4,"Yes","")</f>
        <v/>
      </c>
      <c r="F47" s="1418" t="s">
        <v>428</v>
      </c>
      <c r="G47" s="1434">
        <f t="shared" si="11"/>
        <v>0</v>
      </c>
      <c r="H47" s="1427" t="str">
        <f t="shared" si="31"/>
        <v>liter</v>
      </c>
      <c r="I47" s="1418"/>
      <c r="J47" s="1421"/>
      <c r="K47" s="1427">
        <f t="shared" si="81"/>
        <v>0</v>
      </c>
      <c r="L47" s="1434">
        <f>sig('Release Calculations'!$BL$48/$L$4,3,100,0)</f>
        <v>0</v>
      </c>
      <c r="M47" s="1435" t="str">
        <f t="shared" si="13"/>
        <v>kg</v>
      </c>
      <c r="N47" s="1432" t="str">
        <f t="shared" si="78"/>
        <v xml:space="preserve">Liquid:   ,  ,  ,  ,  </v>
      </c>
      <c r="O47" s="1434">
        <f>ROUND('Release Calculations'!$BL$9,0)</f>
        <v>0</v>
      </c>
      <c r="P47" s="1434">
        <f t="shared" si="82"/>
        <v>0</v>
      </c>
      <c r="Q47" s="1446" t="str">
        <f t="shared" si="15"/>
        <v>bar</v>
      </c>
      <c r="R47" s="1434">
        <f>sig('Release Calculations'!$BL$73/$AG$4,3,10,0)</f>
        <v>0</v>
      </c>
      <c r="S47" s="1447" t="str">
        <f t="shared" si="16"/>
        <v>kg/min</v>
      </c>
      <c r="T47" s="1435">
        <f>IF('Release Calculations'!$BL$20=0,U47,ROUND('Release Calculations'!$BL$20/$T$4,0))</f>
        <v>0</v>
      </c>
      <c r="U47" s="1434">
        <f>ROUND(('Release Calculations'!$BL$20+'Release Calculations'!$BL$21)/$U$4,0)</f>
        <v>0</v>
      </c>
      <c r="V47" s="1434"/>
      <c r="W47" s="1435"/>
      <c r="X47" s="1438">
        <f>ROUND('Release Calculations'!BL$211,3)</f>
        <v>0</v>
      </c>
      <c r="Y47" s="1458" t="str">
        <f>IF('Release Calculations'!$BL$222="","",sig('Release Calculations'!$BL$222,3,1000,0))</f>
        <v/>
      </c>
      <c r="Z47" s="1458" t="str">
        <f>IF('Release Calculations'!$BL$228="","",sig('Release Calculations'!$BL$228,3,1000,0))</f>
        <v/>
      </c>
      <c r="AA47" s="1458" t="str">
        <f>IF('Release Calculations'!$BL$252="","",sig('Release Calculations'!$BL$252,3,1000,0))</f>
        <v/>
      </c>
      <c r="AB47" s="1458" t="str">
        <f>IF('Release Calculations'!$BL$258="","",sig('Release Calculations'!$BL$258,3,1000,0))</f>
        <v/>
      </c>
      <c r="AC47" s="1458" t="str">
        <f>IF('Release Calculations'!$BL$264="","",sig('Release Calculations'!$BL$264,3,1000,0))</f>
        <v/>
      </c>
      <c r="AD47" s="1196" t="str">
        <f>IF('Release Calculations'!$BL$246="","",ROUND('Release Calculations'!$BL$246,1))</f>
        <v/>
      </c>
      <c r="AE47" s="1434">
        <f>sig('Release Calculations'!$BL$48/$L$4,3,100,0)</f>
        <v>0</v>
      </c>
      <c r="AF47" s="1435" t="str">
        <f t="shared" si="17"/>
        <v>kg</v>
      </c>
      <c r="AG47" s="1326">
        <f>sig('Release Calculations'!BL$73/$AG$4,3,10,3)</f>
        <v>0</v>
      </c>
      <c r="AH47" s="1435" t="str">
        <f t="shared" si="33"/>
        <v>kg/min</v>
      </c>
      <c r="AI47" s="1434">
        <f>sig('Release Calculations'!$BL$279/$AI$4,3,100,0)</f>
        <v>0</v>
      </c>
      <c r="AJ47" s="1435" t="str">
        <f t="shared" si="60"/>
        <v>m</v>
      </c>
      <c r="AK47" s="1434">
        <f>sig('Release Calculations'!$BL$282/$AK$4,3,100,0)</f>
        <v>0</v>
      </c>
      <c r="AL47" s="1435" t="str">
        <f t="shared" si="61"/>
        <v>m</v>
      </c>
      <c r="AM47" s="1434">
        <f>sig('Release Calculations'!$BL$284/$AM$4,3,100,0)</f>
        <v>0</v>
      </c>
      <c r="AN47" s="1435" t="str">
        <f t="shared" si="62"/>
        <v>m</v>
      </c>
      <c r="AO47" s="1434">
        <f>sig('Release Calculations'!$BL$285/$AO$4,3,100,0)</f>
        <v>0</v>
      </c>
      <c r="AP47" s="1452" t="str">
        <f t="shared" si="63"/>
        <v>m</v>
      </c>
      <c r="AQ47" s="1434">
        <f>sig('Release Calculations'!$BL$287/$AQ$4,3,100,0)</f>
        <v>0</v>
      </c>
      <c r="AR47" s="1452" t="str">
        <f t="shared" si="64"/>
        <v>m</v>
      </c>
      <c r="AS47" s="1452" t="str">
        <f t="shared" si="65"/>
        <v/>
      </c>
      <c r="AT47" s="1452" t="str">
        <f t="shared" si="66"/>
        <v/>
      </c>
      <c r="AU47" s="1452" t="str">
        <f t="shared" si="67"/>
        <v/>
      </c>
      <c r="AV47" s="114">
        <f>sig('Release Calculations'!$BL$294,3,1000,-1)</f>
        <v>0</v>
      </c>
      <c r="AW47" s="114">
        <f>sig('Release Calculations'!$BL$295,3,1000,-1)</f>
        <v>0</v>
      </c>
      <c r="AX47" s="114" t="str">
        <f>sig('Release Calculations'!$BL$296,3,1000,0)</f>
        <v/>
      </c>
      <c r="AY47" s="114" t="str">
        <f>sig('Release Calculations'!$BL$297,3,1000,0)</f>
        <v/>
      </c>
      <c r="AZ47" s="114">
        <f>sig('Release Calculations'!$BL$298,3,1000,-1)</f>
        <v>0</v>
      </c>
      <c r="BA47" s="114">
        <f>sig('Release Calculations'!$BL$299,3,1000,-1)</f>
        <v>0</v>
      </c>
      <c r="BB47" s="114" t="str">
        <f>sig('Release Calculations'!$BL$300,3,10,3)</f>
        <v/>
      </c>
      <c r="BC47" s="2576" t="str">
        <f>sig('Release Calculations'!$BL$301,3,10,3)</f>
        <v/>
      </c>
      <c r="BD47" s="2569">
        <f>sig('Release Calculations'!$BL$318/$BD$4,3,100,0)</f>
        <v>0</v>
      </c>
      <c r="BE47" s="1435" t="str">
        <f t="shared" si="34"/>
        <v>m</v>
      </c>
      <c r="BF47" s="2569">
        <f>sig('Release Calculations'!$BL$317/$BF$4,3,100,0)</f>
        <v>0</v>
      </c>
      <c r="BG47" s="1435" t="str">
        <f t="shared" si="34"/>
        <v>m</v>
      </c>
      <c r="BH47" s="1419"/>
      <c r="BI47" s="1422"/>
      <c r="BJ47" s="1419"/>
      <c r="BK47" s="1422"/>
      <c r="BL47" s="2573"/>
      <c r="BM47" s="2573"/>
      <c r="BN47" s="1441"/>
      <c r="BO47" s="1746"/>
      <c r="BP47" s="1503">
        <f>sig('Release Calculations'!BL74/$BP$4,3,10,1)</f>
        <v>0</v>
      </c>
      <c r="BQ47" s="1435" t="str">
        <f t="shared" si="58"/>
        <v>kg/min</v>
      </c>
      <c r="BR47" s="1434">
        <f>sig(IF(Relief_Release="Indoors",'Release Calculations'!$BL$309/$BR$4,'Release Calculations'!$BL$323/$BR$4),3,100,0)</f>
        <v>0</v>
      </c>
      <c r="BS47" s="1435" t="str">
        <f t="shared" si="25"/>
        <v>m</v>
      </c>
      <c r="BT47" s="1748">
        <f>ROUND(IF(Location="Indoors",'Release Calculations'!$BL$312,'Release Calculations'!$BL$326),1)</f>
        <v>0</v>
      </c>
      <c r="BU47" s="1748">
        <f>ROUND(IF(Location="Indoors",'Release Calculations'!$BL$314,'Release Calculations'!$BL$330),1)</f>
        <v>0</v>
      </c>
      <c r="BV47" s="1434" t="str">
        <f>IF('Reaction Input'!BK72&gt;0,sig('Reaction Input'!BK72,2,10,1),"")</f>
        <v/>
      </c>
      <c r="BW47" s="1443" t="str">
        <f>'Reaction Input'!BL72</f>
        <v>sec</v>
      </c>
      <c r="BX47" s="262"/>
      <c r="BY47" s="262"/>
      <c r="BZ47" s="123"/>
      <c r="CA47" s="4" t="str">
        <f>IF('Release Calculations'!BL$336="NA","",'Release Calculations'!BL$336)</f>
        <v/>
      </c>
      <c r="CB47" s="4" t="e">
        <f>IF('Release Calculations'!BL$366="NA","",'Release Calculations'!BL$366)</f>
        <v>#DIV/0!</v>
      </c>
      <c r="CC47" s="4" t="str">
        <f>IF('Release Calculations'!BL$371="NA","",'Release Calculations'!BL$371)</f>
        <v/>
      </c>
      <c r="CD47" s="735" t="str">
        <f>IF('Release Calculations'!BL$376="NA","",'Release Calculations'!BL$376)</f>
        <v/>
      </c>
      <c r="CE47" s="4"/>
      <c r="CF47" s="4" t="str">
        <f>IF('Release Calculations'!BL$387="NA","",'Release Calculations'!BL$387)</f>
        <v/>
      </c>
      <c r="CG47" s="4" t="str">
        <f>IF('Release Calculations'!BL$407="NA","",'Release Calculations'!BL$407)</f>
        <v/>
      </c>
      <c r="CH47" s="4" t="str">
        <f>IF('Release Calculations'!BL$397="NA","",'Release Calculations'!BL$397)</f>
        <v/>
      </c>
      <c r="CI47" s="4"/>
      <c r="CJ47" s="4"/>
      <c r="CK47" s="4"/>
      <c r="CL47" s="19"/>
      <c r="CM47" s="19"/>
      <c r="CN47" s="189" t="str">
        <f>IF(CA47="","",IF('Release Calculations'!BL$281="Yes",IF(CA47=Conseq_VeryLow,Desc_VeryLow,IF(CA47=Conseq_Low,Desc_Low,IF(CA47=Conseq_Moderate,Desc_Moderate,IF(CA47=Conseq_High,Desc_High,IF(CA47=Conseq_VeryHigh,Desc_VeryHigh,IF(CA47=Conseq_ExtremeHigh,Desc_ExtremeHigh,Desc_GT_ExtremeHigh)))))),IF(CA47=Conseq_Low_Offsite,Desc_Low_Offsite,Desc_VeryLow_Offsite)))</f>
        <v/>
      </c>
      <c r="CO47" s="189" t="e">
        <f t="shared" si="73"/>
        <v>#DIV/0!</v>
      </c>
      <c r="CP47" s="189" t="str">
        <f t="shared" si="74"/>
        <v/>
      </c>
      <c r="CQ47" s="189" t="str">
        <f t="shared" si="75"/>
        <v/>
      </c>
      <c r="CR47" s="67"/>
      <c r="CS47" s="189" t="str">
        <f t="shared" si="59"/>
        <v/>
      </c>
      <c r="CT47" s="189" t="str">
        <f t="shared" si="68"/>
        <v/>
      </c>
      <c r="CU47" s="189" t="str">
        <f t="shared" si="69"/>
        <v/>
      </c>
      <c r="CV47" s="67"/>
      <c r="CW47" s="67"/>
      <c r="CX47" s="67"/>
      <c r="CY47" s="40"/>
      <c r="CZ47" s="189" t="str">
        <f>IF(CA47="","",IF('Release Calculations'!BL$281="Yes"," at a "&amp;$AI$3&amp;" of "&amp;AI47&amp;" "&amp;AJ47&amp;" which exceeds Distance to the Fence Line of "&amp;Public_Input&amp;" "&amp;Public_Units))</f>
        <v/>
      </c>
      <c r="DA47" s="189" t="e">
        <f>IF(CB47="","",IF('Release Calculations'!$BL$289="Yes"," with operating personnel in close proximity and a "&amp;$AM$3&amp;" of "&amp;AM47&amp;" "&amp;AN47," at a "&amp;$AM$3&amp;" of "&amp;AM47&amp;" "&amp;AN47)&amp;IF('Release Calculations'!$BL$284&gt;Public," which exceeds Distance to the Fence Line of "&amp;Public_Input&amp;" "&amp;Public_Units&amp;".  Target Factor may be conservative",))</f>
        <v>#DIV/0!</v>
      </c>
      <c r="DB47" s="226" t="str">
        <f>IF(CC47="","",IF('Release Calculations'!BL303="Yes","and Potential for Asphyxiation","")&amp;IF('Release Calculations'!BL$289="Yes"," with operations personnel in close proximity at an "&amp;$AZ$3&amp;" of "&amp;AZ47&amp;" ppm"," at an "&amp;$AZ$3&amp;" of "&amp;AZ47&amp;" ppm"))</f>
        <v/>
      </c>
      <c r="DC47" s="189" t="str">
        <f t="shared" si="70"/>
        <v/>
      </c>
      <c r="DD47" s="67"/>
      <c r="DE47" s="189" t="str">
        <f>IF(CF47="","",IF('Release Calculations'!$BL$289="Yes"," with operating personnel in close proximity and a "&amp;$BF$3&amp;" of "&amp;BF47&amp;" "&amp;BG47," at a "&amp;$BF$3&amp;" of "&amp;BF47&amp;" "&amp;BG47))</f>
        <v/>
      </c>
      <c r="DF47" s="189" t="str">
        <f>IF(CG47="","",IF('Release Calculations'!BL$324="Yes"," with "&amp;$BR$3&amp;" of "&amp;BR47&amp;" "&amp;BS47&amp;IF('Release Calculations'!BL$333&lt;&gt;"Yes",""," including "&amp;$BT$3&amp;" of "&amp;BT47&amp;" psi.")&amp;" 1 psi Blast Overpresssure exceeds Distance to the Fence Line of "&amp;Public_Input&amp;" "&amp;Public_Units&amp;". Consider adjustment for Off-Site Impacts",IF('Release Calculations'!BL$333&lt;&gt;"Yes"," impacting on site personnel at a "&amp;$BR$3&amp;" of "&amp;BR47&amp;" "&amp;BS47," impacting on site personnel at a "&amp;$BR$3&amp;" of "&amp;BR47&amp;" "&amp;BS47&amp;" including "&amp;$BT$3&amp;" of "&amp;BT47&amp;" psi")))</f>
        <v/>
      </c>
      <c r="DG47" s="189" t="str">
        <f>IF(CH47="","",IF('Release Calculations'!BL$310="Yes"," with "&amp;$BR$3&amp;" of "&amp;BR47&amp;" "&amp;BS47&amp;IF('Release Calculations'!BL$315&lt;&gt;"Yes",""," including "&amp;$BT$3&amp;" of "&amp;BT47&amp;" psi.")&amp;"  1 psi Blast Overpresssure exceeds Distance to the Fence Line of "&amp;Public_Input&amp;" "&amp;Public_Units&amp;".  Consider adjustment for Off-Site Impacts",IF('Release Calculations'!BL$315&lt;&gt;"Yes"," impacting enclosed area operating personnel, on site personnel at a "&amp;$BR$3&amp;" of "&amp;BR47&amp;" "&amp;BS47," impacting enclosed area operating personnel, on site personnel at a "&amp;$BR$3&amp;" of "&amp;BR47&amp;" "&amp;BS47&amp;" including "&amp;$BT$3&amp;" of "&amp;BT47&amp;" psi")))</f>
        <v/>
      </c>
      <c r="DH47" s="67"/>
      <c r="DI47" s="67"/>
      <c r="DJ47" s="67"/>
      <c r="DK47" s="19"/>
      <c r="DL47" s="39"/>
      <c r="DM47" s="239">
        <f>'Release Calculations'!BL$364</f>
        <v>0</v>
      </c>
      <c r="DN47" s="239">
        <f>'Release Calculations'!BL$1721</f>
        <v>0</v>
      </c>
      <c r="DO47" s="34"/>
      <c r="DP47" s="34"/>
      <c r="DQ47" s="239">
        <f>'Release Calculations'!BL$385</f>
        <v>0</v>
      </c>
      <c r="DR47" s="34"/>
      <c r="DS47" s="34"/>
      <c r="DT47" s="34"/>
      <c r="DU47" s="34"/>
      <c r="DV47" s="6"/>
      <c r="DW47" s="40"/>
      <c r="DX47" s="250"/>
      <c r="DY47" s="249" t="s">
        <v>2983</v>
      </c>
      <c r="DZ47" s="250" t="s">
        <v>292</v>
      </c>
      <c r="EA47" s="740"/>
      <c r="EB47" s="248"/>
      <c r="EC47" s="249" t="s">
        <v>292</v>
      </c>
      <c r="ED47" s="248"/>
      <c r="EE47" s="248"/>
      <c r="EF47" s="248"/>
      <c r="EG47" s="248"/>
      <c r="EH47" s="248"/>
      <c r="EI47" s="19"/>
      <c r="EJ47" s="250"/>
      <c r="EK47" s="249" t="str">
        <f>IF(Attended_Op="Yes","Noted as Personnel Routinely in Immediate Area or Equipment Type involves Materials Handling - "&amp;IF('Release Calculations'!BL207*3600&lt;30," with a very Short Exposure Duration (&lt; 30 sec)","Time at Risk May Apply"),"Probability of Personnel to be in Close Proximity to Chemical Release based on Toxic Impact Area to "&amp;AM47&amp;" "&amp;AN47&amp;IF('Release Calculations'!BL363&lt;0.01," (with potential for higher POE credit upon further review)",""))</f>
        <v>Probability of Personnel to be in Close Proximity to Chemical Release based on Toxic Impact Area to 0 m (with potential for higher POE credit upon further review)</v>
      </c>
      <c r="EL47" s="250" t="str">
        <f>IF(Attended_Op="Yes","Noted as Personnel Routinely in Immediate Area or Equipment Type involves Materials Handling - Time at Risk May Apply","Probability of Personnel to be in Close Proximity to Chemical Release based on Ratio Enclosed Process Area Concentation of "&amp;AZ47&amp;" ppm to 10 ER-3 for "&amp;Chemical&amp;IF(Fract_Key_Chemical&lt;1," mixture "," ")&amp;IF('Release Calculations'!$BL$368&lt;0.01,"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47" s="248"/>
      <c r="EN47" s="248"/>
      <c r="EO47"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"&amp;AZ47&amp;" to "&amp;LFL_Fract_FlashFIre&amp;" LFL","Flammable Impact Area to "&amp;BF47&amp;" "&amp;BG47)&amp;IF('Release Calculations'!$BL$384&lt;0.01," (with potential for higher POE credit upon further review)",""))</f>
        <v>Probability of Personnel to be in Close Proximity to Chemical Release based on Flammable Impact Area to 0 m (with potential for higher POE credit upon further review)</v>
      </c>
      <c r="EP47" s="248"/>
      <c r="EQ47" s="248"/>
      <c r="ER47" s="248"/>
      <c r="ES47" s="248"/>
      <c r="ET47" s="248"/>
      <c r="EU47" s="19"/>
      <c r="EV47" s="1379"/>
      <c r="EW47" s="957">
        <f>'Release Calculations'!BL363</f>
        <v>6.0000000000000008E-7</v>
      </c>
      <c r="EX47" s="957">
        <f>'Release Calculations'!$BL$368</f>
        <v>0</v>
      </c>
      <c r="EY47" s="1380"/>
      <c r="EZ47" s="1380"/>
      <c r="FA47" s="957">
        <f>'Release Calculations'!$BL$384</f>
        <v>0</v>
      </c>
      <c r="FB47" s="6"/>
      <c r="FC47" s="6"/>
      <c r="FD47" s="6"/>
      <c r="FE47" s="6"/>
      <c r="FF47" s="6"/>
      <c r="FG47" s="19"/>
      <c r="FH47" s="34"/>
      <c r="FI47" s="34"/>
      <c r="FJ47" s="34"/>
      <c r="FK47" s="739"/>
      <c r="FL47" s="34"/>
      <c r="FM47" s="239" t="str">
        <f>IF(Relief_Release="Outdoors",'Release Calculations'!BL$321,'Release Calculations'!BL$307)</f>
        <v/>
      </c>
      <c r="FN47" s="239" t="str">
        <f>'Release Calculations'!BL$322</f>
        <v/>
      </c>
      <c r="FO47" s="39" t="str">
        <f>IF(State&lt;&gt;"Solid",'Release Calculations'!BL$307,Dust_SecondExpl_POE)</f>
        <v/>
      </c>
      <c r="FP47" s="34"/>
      <c r="FQ47" s="34"/>
      <c r="FR47" s="6"/>
      <c r="FS47" s="40"/>
      <c r="FT47" s="248"/>
      <c r="FU47" s="248"/>
      <c r="FV47" s="248"/>
      <c r="FW47" s="741"/>
      <c r="FX47" s="248"/>
      <c r="FY47" s="249" t="s">
        <v>1461</v>
      </c>
      <c r="FZ47" s="249" t="s">
        <v>1460</v>
      </c>
      <c r="GA47" s="250" t="s">
        <v>1461</v>
      </c>
      <c r="GB47" s="248"/>
      <c r="GC47" s="248"/>
      <c r="GD47" s="248"/>
      <c r="GE47" s="19"/>
      <c r="GF47" s="248"/>
      <c r="GG47" s="248"/>
      <c r="GH47" s="248"/>
      <c r="GI47" s="741"/>
      <c r="GJ47" s="248"/>
      <c r="GK47" s="4" t="str">
        <f t="shared" si="79"/>
        <v>No Flash Point Entered</v>
      </c>
      <c r="GL47" s="2581" t="str">
        <f t="shared" si="71"/>
        <v>No Flash Point Entered</v>
      </c>
      <c r="GM47" s="250" t="str">
        <f t="shared" si="72"/>
        <v>Indoor Release of Flammable Material-POX</v>
      </c>
      <c r="GN47" s="248"/>
      <c r="GO47" s="248"/>
      <c r="GP47" s="248"/>
      <c r="GQ47" s="19"/>
      <c r="GR47" s="189" t="e">
        <f t="shared" si="35"/>
        <v>#DIV/0!</v>
      </c>
      <c r="GS47" s="35"/>
      <c r="GT47" s="19"/>
      <c r="GU47" s="26"/>
      <c r="GV47" s="26"/>
      <c r="GW47" s="26"/>
      <c r="GX47" s="19"/>
      <c r="GY47" s="19"/>
      <c r="GZ47" s="19"/>
      <c r="HA47" s="19"/>
      <c r="HB47" s="19"/>
      <c r="HC47" s="19"/>
      <c r="HD47" s="19"/>
      <c r="HE47" s="19"/>
      <c r="HF47" s="19"/>
      <c r="HG47" s="19"/>
      <c r="HH47" s="19"/>
      <c r="HI47" s="19"/>
    </row>
    <row r="48" spans="1:220" s="5" customFormat="1" ht="12.75" customHeight="1" x14ac:dyDescent="0.25">
      <c r="A48" s="35"/>
      <c r="B48" s="64" t="str">
        <f>'Scenario Identification'!DA3</f>
        <v>USER DEFINED VAPOR VENT RATE at Relief Temp</v>
      </c>
      <c r="C48" s="1457" t="str">
        <f t="shared" si="80"/>
        <v/>
      </c>
      <c r="D48" s="65"/>
      <c r="E48" s="2483"/>
      <c r="F48" s="1418" t="s">
        <v>428</v>
      </c>
      <c r="G48" s="1434">
        <f t="shared" si="11"/>
        <v>0</v>
      </c>
      <c r="H48" s="1427" t="str">
        <f t="shared" si="31"/>
        <v>liter</v>
      </c>
      <c r="I48" s="1418"/>
      <c r="J48" s="1421"/>
      <c r="K48" s="1427">
        <f t="shared" si="81"/>
        <v>0</v>
      </c>
      <c r="L48" s="1434">
        <f>sig('Release Calculations'!$BN$48/$L$4,3,100,0)</f>
        <v>0</v>
      </c>
      <c r="M48" s="1435" t="str">
        <f t="shared" si="13"/>
        <v>kg</v>
      </c>
      <c r="N48" s="1432" t="str">
        <f t="shared" si="78"/>
        <v xml:space="preserve">Liquid:   ,  ,  ,  ,  </v>
      </c>
      <c r="O48" s="1434">
        <f>ROUND('Release Calculations'!$BN$9,0)</f>
        <v>0</v>
      </c>
      <c r="P48" s="1434">
        <f t="shared" si="82"/>
        <v>0</v>
      </c>
      <c r="Q48" s="1446" t="str">
        <f t="shared" si="15"/>
        <v>bar</v>
      </c>
      <c r="R48" s="1434">
        <f>sig('Release Calculations'!$BN$73/$AG$4,3,10,0)</f>
        <v>0</v>
      </c>
      <c r="S48" s="1447" t="str">
        <f t="shared" si="16"/>
        <v>kg/min</v>
      </c>
      <c r="T48" s="1435">
        <f>ROUND('Release Calculations'!$BN$20/$T$4,0)</f>
        <v>0</v>
      </c>
      <c r="U48" s="1434">
        <f>ROUND(('Release Calculations'!$BN$20+'Release Calculations'!$BN$21)/$U$4,0)</f>
        <v>0</v>
      </c>
      <c r="V48" s="1434"/>
      <c r="W48" s="1435"/>
      <c r="X48" s="1438">
        <f>ROUND('Release Calculations'!BN$211,3)</f>
        <v>0</v>
      </c>
      <c r="Y48" s="1458" t="str">
        <f>IF('Release Calculations'!$BN$222="","",sig('Release Calculations'!$BN$222,3,1000,0))</f>
        <v/>
      </c>
      <c r="Z48" s="1458" t="str">
        <f>IF('Release Calculations'!$BN$228="","",sig('Release Calculations'!$BN$228,3,1000,0))</f>
        <v/>
      </c>
      <c r="AA48" s="1458" t="str">
        <f>IF('Release Calculations'!$BN$252="","",sig('Release Calculations'!$BN$252,3,1000,0))</f>
        <v/>
      </c>
      <c r="AB48" s="1458" t="str">
        <f>IF('Release Calculations'!$BN$258="","",sig('Release Calculations'!$BN$258,3,1000,0))</f>
        <v/>
      </c>
      <c r="AC48" s="1458" t="str">
        <f>IF('Release Calculations'!$BN$264="","",sig('Release Calculations'!$BN$264,3,1000,0))</f>
        <v/>
      </c>
      <c r="AD48" s="1196" t="str">
        <f>IF('Release Calculations'!$BN$246="","",ROUND('Release Calculations'!$BN$246,1))</f>
        <v/>
      </c>
      <c r="AE48" s="1434">
        <f>sig('Release Calculations'!$BN$48/$L$4,3,100,0)</f>
        <v>0</v>
      </c>
      <c r="AF48" s="1435" t="str">
        <f t="shared" si="17"/>
        <v>kg</v>
      </c>
      <c r="AG48" s="1326">
        <f>sig('Release Calculations'!BN$73/$AG$4,3,10,3)</f>
        <v>0</v>
      </c>
      <c r="AH48" s="1435" t="str">
        <f t="shared" si="33"/>
        <v>kg/min</v>
      </c>
      <c r="AI48" s="1434">
        <f>sig('Release Calculations'!$BN$279/$AI$4,3,100,0)</f>
        <v>0</v>
      </c>
      <c r="AJ48" s="1435" t="str">
        <f t="shared" si="60"/>
        <v>m</v>
      </c>
      <c r="AK48" s="1434">
        <f>sig('Release Calculations'!$BN$282/$AK$4,3,100,0)</f>
        <v>0</v>
      </c>
      <c r="AL48" s="1435" t="str">
        <f t="shared" si="61"/>
        <v>m</v>
      </c>
      <c r="AM48" s="1434">
        <f>sig('Release Calculations'!$BN$284/$AM$4,3,100,0)</f>
        <v>0</v>
      </c>
      <c r="AN48" s="1435" t="str">
        <f t="shared" si="62"/>
        <v>m</v>
      </c>
      <c r="AO48" s="1434">
        <f>sig('Release Calculations'!$BN$285/$AO$4,3,100,0)</f>
        <v>0</v>
      </c>
      <c r="AP48" s="1452" t="str">
        <f t="shared" si="63"/>
        <v>m</v>
      </c>
      <c r="AQ48" s="1434">
        <f>sig('Release Calculations'!$BN$287/$AQ$4,3,100,0)</f>
        <v>0</v>
      </c>
      <c r="AR48" s="1452" t="str">
        <f t="shared" si="64"/>
        <v>m</v>
      </c>
      <c r="AS48" s="1452" t="str">
        <f t="shared" si="65"/>
        <v/>
      </c>
      <c r="AT48" s="1452" t="str">
        <f t="shared" si="66"/>
        <v/>
      </c>
      <c r="AU48" s="1452" t="str">
        <f t="shared" si="67"/>
        <v/>
      </c>
      <c r="AV48" s="114">
        <f>sig('Release Calculations'!$BN$294,3,1000,-1)</f>
        <v>0</v>
      </c>
      <c r="AW48" s="114">
        <f>sig('Release Calculations'!$BN$295,3,1000,-1)</f>
        <v>0</v>
      </c>
      <c r="AX48" s="114" t="str">
        <f>sig('Release Calculations'!$BN$296,3,1000,0)</f>
        <v/>
      </c>
      <c r="AY48" s="114" t="str">
        <f>sig('Release Calculations'!$BN$297,3,1000,0)</f>
        <v/>
      </c>
      <c r="AZ48" s="114">
        <f>sig('Release Calculations'!$BN$298,3,1000,-1)</f>
        <v>0</v>
      </c>
      <c r="BA48" s="114">
        <f>sig('Release Calculations'!$BN$299,3,1000,-1)</f>
        <v>0</v>
      </c>
      <c r="BB48" s="114" t="str">
        <f>sig('Release Calculations'!$BN$300,3,10,3)</f>
        <v/>
      </c>
      <c r="BC48" s="2576" t="str">
        <f>sig('Release Calculations'!$BN$301,3,10,3)</f>
        <v/>
      </c>
      <c r="BD48" s="2569">
        <f>sig('Release Calculations'!$BN$318/$BD$4,3,100,0)</f>
        <v>0</v>
      </c>
      <c r="BE48" s="1435" t="str">
        <f t="shared" si="34"/>
        <v>m</v>
      </c>
      <c r="BF48" s="2569">
        <f>sig('Release Calculations'!$BN$317/$BF$4,3,100,0)</f>
        <v>0</v>
      </c>
      <c r="BG48" s="1435" t="str">
        <f t="shared" si="34"/>
        <v>m</v>
      </c>
      <c r="BH48" s="1419"/>
      <c r="BI48" s="1422"/>
      <c r="BJ48" s="1419"/>
      <c r="BK48" s="1422"/>
      <c r="BL48" s="2654"/>
      <c r="BM48" s="2654"/>
      <c r="BN48" s="1441"/>
      <c r="BO48" s="1746"/>
      <c r="BP48" s="1503">
        <f>sig('Release Calculations'!$BN$74/$BP$4,3,10,1)</f>
        <v>0</v>
      </c>
      <c r="BQ48" s="1435" t="str">
        <f t="shared" si="58"/>
        <v>kg/min</v>
      </c>
      <c r="BR48" s="1434">
        <f>sig(IF(Relief_Release="Indoors",'Release Calculations'!$BN$309/$BR$4,'Release Calculations'!$BN$323/$BR$4),3,100,0)</f>
        <v>0</v>
      </c>
      <c r="BS48" s="1435" t="str">
        <f t="shared" si="25"/>
        <v>m</v>
      </c>
      <c r="BT48" s="1748">
        <f>ROUND(IF(Location="Indoors",'Release Calculations'!$BN$312,'Release Calculations'!$BN$326),1)</f>
        <v>0</v>
      </c>
      <c r="BU48" s="1748">
        <f>ROUND(IF(Location="Indoors",'Release Calculations'!$BN$314,'Release Calculations'!$BN$330),1)</f>
        <v>0</v>
      </c>
      <c r="BV48" s="1436"/>
      <c r="BW48" s="1442"/>
      <c r="BX48" s="262"/>
      <c r="BY48" s="262"/>
      <c r="BZ48" s="123"/>
      <c r="CA48" s="4" t="str">
        <f>IF('Release Calculations'!BN$336="NA","",'Release Calculations'!BN$336)</f>
        <v/>
      </c>
      <c r="CB48" s="4" t="e">
        <f>IF('Release Calculations'!BN$366="NA","",'Release Calculations'!BN$366)</f>
        <v>#DIV/0!</v>
      </c>
      <c r="CC48" s="4" t="str">
        <f>IF('Release Calculations'!BN$371="NA","",'Release Calculations'!BN$371)</f>
        <v/>
      </c>
      <c r="CD48" s="735" t="str">
        <f>IF('Release Calculations'!BN$376="NA","",'Release Calculations'!BN$376)</f>
        <v/>
      </c>
      <c r="CE48" s="4"/>
      <c r="CF48" s="4" t="str">
        <f>IF('Release Calculations'!BN$387="NA","",'Release Calculations'!BN$387)</f>
        <v/>
      </c>
      <c r="CG48" s="4" t="str">
        <f>IF('Release Calculations'!BN$407="NA","",'Release Calculations'!BN$407)</f>
        <v/>
      </c>
      <c r="CH48" s="4" t="str">
        <f>IF('Release Calculations'!BN$397="NA","",'Release Calculations'!BN$397)</f>
        <v/>
      </c>
      <c r="CI48" s="4"/>
      <c r="CJ48" s="4"/>
      <c r="CK48" s="4"/>
      <c r="CL48" s="19"/>
      <c r="CM48" s="19"/>
      <c r="CN48" s="189" t="str">
        <f>IF(CA48="","",IF('Release Calculations'!BN$281="Yes",IF(CA48=Conseq_VeryLow,Desc_VeryLow,IF(CA48=Conseq_Low,Desc_Low,IF(CA48=Conseq_Moderate,Desc_Moderate,IF(CA48=Conseq_High,Desc_High,IF(CA48=Conseq_VeryHigh,Desc_VeryHigh,IF(CA48=Conseq_ExtremeHigh,Desc_ExtremeHigh,Desc_GT_ExtremeHigh)))))),IF(CA48=Conseq_Low_Offsite,Desc_Low_Offsite,Desc_VeryLow_Offsite)))</f>
        <v/>
      </c>
      <c r="CO48" s="189" t="e">
        <f t="shared" si="73"/>
        <v>#DIV/0!</v>
      </c>
      <c r="CP48" s="189" t="str">
        <f t="shared" si="74"/>
        <v/>
      </c>
      <c r="CQ48" s="189" t="str">
        <f t="shared" si="75"/>
        <v/>
      </c>
      <c r="CR48" s="67"/>
      <c r="CS48" s="189" t="str">
        <f t="shared" si="59"/>
        <v/>
      </c>
      <c r="CT48" s="189" t="str">
        <f t="shared" si="68"/>
        <v/>
      </c>
      <c r="CU48" s="189" t="str">
        <f t="shared" si="69"/>
        <v/>
      </c>
      <c r="CV48" s="67"/>
      <c r="CW48" s="67"/>
      <c r="CX48" s="67"/>
      <c r="CY48" s="40"/>
      <c r="CZ48" s="189" t="str">
        <f>IF(CA48="","",IF('Release Calculations'!BN$281="Yes"," at a "&amp;$AI$3&amp;" of "&amp;AI48&amp;" "&amp;AJ48&amp;" which exceeds Distance to the Fence Line of "&amp;Public_Input&amp;" "&amp;Public_Units))</f>
        <v/>
      </c>
      <c r="DA48" s="189" t="e">
        <f>IF(CB48="","",IF('Release Calculations'!$BN$289="Yes"," with operating personnel in close proximity and a "&amp;$AM$3&amp;" of "&amp;AM48&amp;" "&amp;AN48," at a "&amp;$AM$3&amp;" of "&amp;AM48&amp;" "&amp;AN48)&amp;IF('Release Calculations'!$BN$284&gt;Public," which exceeds Distance to the Fence Line of "&amp;Public_Input&amp;" "&amp;Public_Units&amp;".  Target Factor may be conservative",))</f>
        <v>#DIV/0!</v>
      </c>
      <c r="DB48" s="226" t="str">
        <f>IF(CC48="","",IF('Release Calculations'!BN303="Yes","and Potential for Asphyxiation","")&amp;IF('Release Calculations'!BN$289="Yes"," with operations personnel in close proximity at an "&amp;$AZ$3&amp;" of "&amp;AZ48&amp;" ppm"," at an "&amp;$AZ$3&amp;" of "&amp;AZ48&amp;" ppm"))</f>
        <v/>
      </c>
      <c r="DC48" s="189" t="str">
        <f t="shared" si="70"/>
        <v/>
      </c>
      <c r="DD48" s="67"/>
      <c r="DE48" s="189" t="str">
        <f>IF(CF48="","",IF('Release Calculations'!$BN$289="Yes"," with operating personnel in close proximity and a "&amp;$BF$3&amp;" of "&amp;BF48&amp;" "&amp;BG48," at a "&amp;$BF$3&amp;" of "&amp;BF48&amp;" "&amp;BG48))</f>
        <v/>
      </c>
      <c r="DF48" s="189" t="str">
        <f>IF(CG48="","",IF('Release Calculations'!BN$324="Yes"," with "&amp;$BR$3&amp;" of "&amp;BR48&amp;" "&amp;BS48&amp;IF('Release Calculations'!BN$333&lt;&gt;"Yes",""," including "&amp;$BT$3&amp;" of "&amp;BT48&amp;" psi.")&amp;" 1 psi Blast Overpresssure exceeds Distance to the Fence Line of "&amp;Public_Input&amp;" "&amp;Public_Units&amp;".  Consider adjustment for Off-Site Impacts",IF('Release Calculations'!BN$333&lt;&gt;"Yes"," impacting on site personnel at a "&amp;$BR$3&amp;" of "&amp;BR48&amp;" "&amp;BS48," impacting on site personnel at a "&amp;$BR$3&amp;" of "&amp;BR48&amp;" "&amp;BS48&amp;" including "&amp;$BT$3&amp;" of "&amp;BT48&amp;" psi")))</f>
        <v/>
      </c>
      <c r="DG48" s="189" t="str">
        <f>IF(CH48="","",IF('Release Calculations'!BN$310="Yes"," with "&amp;$BR$3&amp;" of "&amp;BR48&amp;" "&amp;BS48&amp;IF('Release Calculations'!BN$315&lt;&gt;"Yes",""," including "&amp;$BT$3&amp;" of "&amp;BT48&amp;" psi.")&amp;"  1 psi Blast Overpresssure exceeds Distance to the Fence Line of "&amp;Public_Input&amp;" "&amp;Public_Units&amp;".  Consider potential for additinoal Off-Site Impacts",IF('Release Calculations'!BN$315&lt;&gt;"Yes"," impacting enclosed area operating personnel, on site personnel at a "&amp;$BR$3&amp;" of "&amp;BR48&amp;" "&amp;BS48," impacting enclosed area operating personnel, on site personnel at a "&amp;$BR$3&amp;" of "&amp;BR48&amp;" "&amp;BS48&amp;" including "&amp;$BT$3&amp;" of "&amp;BT48&amp;" psi")))</f>
        <v/>
      </c>
      <c r="DH48" s="67"/>
      <c r="DI48" s="67"/>
      <c r="DJ48" s="67"/>
      <c r="DK48" s="19"/>
      <c r="DL48" s="39"/>
      <c r="DM48" s="239">
        <f>'Release Calculations'!BN$364</f>
        <v>0</v>
      </c>
      <c r="DN48" s="239">
        <f>'Release Calculations'!BN$369</f>
        <v>0</v>
      </c>
      <c r="DO48" s="34"/>
      <c r="DP48" s="34"/>
      <c r="DQ48" s="239">
        <f>'Release Calculations'!BN$385</f>
        <v>0</v>
      </c>
      <c r="DR48" s="34"/>
      <c r="DS48" s="34"/>
      <c r="DT48" s="34"/>
      <c r="DU48" s="34"/>
      <c r="DV48" s="6"/>
      <c r="DW48" s="40"/>
      <c r="DX48" s="250"/>
      <c r="DY48" s="249" t="s">
        <v>2983</v>
      </c>
      <c r="DZ48" s="250" t="s">
        <v>292</v>
      </c>
      <c r="EA48" s="740"/>
      <c r="EB48" s="249" t="str">
        <f>"Probability of Exposure to Hot or Toxic Material"</f>
        <v>Probability of Exposure to Hot or Toxic Material</v>
      </c>
      <c r="EC48" s="249" t="s">
        <v>292</v>
      </c>
      <c r="ED48" s="248"/>
      <c r="EE48" s="248"/>
      <c r="EF48" s="248"/>
      <c r="EG48" s="248"/>
      <c r="EH48" s="248"/>
      <c r="EI48" s="19"/>
      <c r="EJ48" s="250"/>
      <c r="EK48" s="249" t="str">
        <f>IF(Attended_Op="Yes","Noted as Personnel Routinely in Immediate Area or Equipment Type involves Materials Handling - "&amp;IF('Release Calculations'!BN207*3600&lt;30," with a very Short Exposure Duration (&lt; 30 sec)","Time at Risk May Apply"),"Probability of Personnel to be in Close Proximity to Chemical Release based on Toxic Impact Area to "&amp;AM48&amp;" "&amp;AN48&amp;IF('Release Calculations'!BN363&lt;0.01," (with potential for higher POE credit upon further review)",""))</f>
        <v>Probability of Personnel to be in Close Proximity to Chemical Release based on Toxic Impact Area to 0 m (with potential for higher POE credit upon further review)</v>
      </c>
      <c r="EL48" s="250" t="str">
        <f>IF(Attended_Op="Yes","Noted as Personnel Routinely in Immediate Area or Equipment Type involves Materials Handling - Time at Risk May Apply","Probability of Personnel to be in Close Proximity to Chemical Release based on Ratio Enclosed Process Area Concentation of "&amp;AZ48&amp;" ppm to 10 ER-3 for "&amp;Chemical&amp;IF(Fract_Key_Chemical&lt;1," mixture "," ")&amp;IF('Release Calculations'!$BN$368&lt;0.01,"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48" s="248"/>
      <c r="EN48" s="248"/>
      <c r="EO48" s="249" t="str">
        <f>IF(Attended_Op="Yes","Noted as Personnel Routinely in Immediate Area or Equipment Type involves Materials Handling - Time at Risk May Apply","Probability of Personnel to be in Close Proximity to Chemical Release based on "&amp;IF(Relief_Release="Indoors","Ratio Enclosed Process Area Concentation of "&amp;AZ48&amp;" to "&amp;LFL_Fract_FlashFIre&amp;" LFL","Flammable Impact Area to "&amp;BF48&amp;" "&amp;BG48)&amp;IF('Release Calculations'!$BN$384&lt;0.01," (with potential for higher POE credit upon further review)",""))</f>
        <v>Probability of Personnel to be in Close Proximity to Chemical Release based on Flammable Impact Area to 0 m (with potential for higher POE credit upon further review)</v>
      </c>
      <c r="EP48" s="248"/>
      <c r="EQ48" s="248"/>
      <c r="ER48" s="248"/>
      <c r="ES48" s="248"/>
      <c r="ET48" s="248"/>
      <c r="EU48" s="19"/>
      <c r="EV48" s="1379"/>
      <c r="EW48" s="957">
        <f>'Release Calculations'!BN363</f>
        <v>6.0000000000000008E-7</v>
      </c>
      <c r="EX48" s="957">
        <f>'Release Calculations'!$BN$368</f>
        <v>0</v>
      </c>
      <c r="EY48" s="1380"/>
      <c r="EZ48" s="1380"/>
      <c r="FA48" s="957">
        <f>'Release Calculations'!$BN$384</f>
        <v>0</v>
      </c>
      <c r="FB48" s="6"/>
      <c r="FC48" s="6"/>
      <c r="FD48" s="6"/>
      <c r="FE48" s="6"/>
      <c r="FF48" s="6"/>
      <c r="FG48" s="19"/>
      <c r="FH48" s="34"/>
      <c r="FI48" s="34"/>
      <c r="FJ48" s="34"/>
      <c r="FK48" s="739"/>
      <c r="FL48" s="34"/>
      <c r="FM48" s="239" t="str">
        <f>IF(Location="Outdoors",'Release Calculations'!BN$321,'Release Calculations'!BN$307)</f>
        <v/>
      </c>
      <c r="FN48" s="239" t="str">
        <f>'Release Calculations'!BN$322</f>
        <v/>
      </c>
      <c r="FO48" s="39" t="str">
        <f>IF(State&lt;&gt;"Solid",'Release Calculations'!BN$307,Dust_SecondExpl_POE)</f>
        <v/>
      </c>
      <c r="FP48" s="34"/>
      <c r="FQ48" s="34"/>
      <c r="FR48" s="6"/>
      <c r="FS48" s="40"/>
      <c r="FT48" s="248"/>
      <c r="FU48" s="248"/>
      <c r="FV48" s="248"/>
      <c r="FW48" s="741"/>
      <c r="FX48" s="248"/>
      <c r="FY48" s="249" t="s">
        <v>1461</v>
      </c>
      <c r="FZ48" s="249" t="s">
        <v>1460</v>
      </c>
      <c r="GA48" s="250" t="s">
        <v>1461</v>
      </c>
      <c r="GB48" s="248"/>
      <c r="GC48" s="248"/>
      <c r="GD48" s="248"/>
      <c r="GE48" s="19"/>
      <c r="GF48" s="248"/>
      <c r="GG48" s="248"/>
      <c r="GH48" s="248"/>
      <c r="GI48" s="741"/>
      <c r="GJ48" s="248"/>
      <c r="GK48" s="4" t="str">
        <f t="shared" si="79"/>
        <v>No Flash Point Entered</v>
      </c>
      <c r="GL48" s="2581" t="str">
        <f t="shared" si="71"/>
        <v>No Flash Point Entered</v>
      </c>
      <c r="GM48" s="250" t="str">
        <f t="shared" si="72"/>
        <v>Indoor Release of Flammable Material-POX</v>
      </c>
      <c r="GN48" s="248"/>
      <c r="GO48" s="248"/>
      <c r="GP48" s="248"/>
      <c r="GQ48" s="19"/>
      <c r="GR48" s="189" t="e">
        <f t="shared" si="35"/>
        <v>#DIV/0!</v>
      </c>
      <c r="GS48" s="35"/>
      <c r="GT48" s="19"/>
      <c r="GU48" s="26"/>
      <c r="GV48" s="26"/>
      <c r="GW48" s="26"/>
      <c r="GX48" s="26"/>
      <c r="GY48" s="19"/>
      <c r="GZ48" s="19"/>
      <c r="HA48" s="19"/>
      <c r="HB48" s="19"/>
      <c r="HC48" s="19"/>
      <c r="HD48" s="19"/>
      <c r="HE48" s="19"/>
      <c r="HF48" s="19"/>
      <c r="HG48" s="19"/>
      <c r="HH48" s="19"/>
      <c r="HI48" s="19"/>
      <c r="HJ48" s="30"/>
      <c r="HK48" s="30"/>
      <c r="HL48" s="30"/>
    </row>
    <row r="49" spans="1:220" s="30" customFormat="1" ht="12.75" customHeight="1" x14ac:dyDescent="0.25">
      <c r="A49" s="35"/>
      <c r="B49" s="64" t="str">
        <f>'Scenario Identification'!DB3</f>
        <v>Equipment Damage</v>
      </c>
      <c r="C49" s="1457" t="str">
        <f t="shared" si="80"/>
        <v/>
      </c>
      <c r="D49" s="65"/>
      <c r="E49" s="2485"/>
      <c r="F49" s="1418" t="s">
        <v>428</v>
      </c>
      <c r="G49" s="1436"/>
      <c r="H49" s="1422"/>
      <c r="I49" s="1419"/>
      <c r="J49" s="1422"/>
      <c r="K49" s="1428"/>
      <c r="L49" s="1419"/>
      <c r="M49" s="1422"/>
      <c r="N49" s="1433"/>
      <c r="O49" s="1436"/>
      <c r="P49" s="1419"/>
      <c r="Q49" s="1428"/>
      <c r="R49" s="1436"/>
      <c r="S49" s="1448"/>
      <c r="T49" s="1437"/>
      <c r="U49" s="1436"/>
      <c r="V49" s="1419"/>
      <c r="W49" s="1422"/>
      <c r="X49" s="1439"/>
      <c r="Y49" s="1460"/>
      <c r="Z49" s="1460"/>
      <c r="AA49" s="1460"/>
      <c r="AB49" s="1460"/>
      <c r="AC49" s="1460"/>
      <c r="AD49" s="1388"/>
      <c r="AE49" s="1419"/>
      <c r="AF49" s="1422"/>
      <c r="AG49" s="1424"/>
      <c r="AH49" s="1422"/>
      <c r="AI49" s="1419"/>
      <c r="AJ49" s="1422"/>
      <c r="AK49" s="1419"/>
      <c r="AL49" s="1422"/>
      <c r="AM49" s="1419"/>
      <c r="AN49" s="1422"/>
      <c r="AO49" s="1419"/>
      <c r="AP49" s="1717"/>
      <c r="AQ49" s="1419"/>
      <c r="AR49" s="1717"/>
      <c r="AS49" s="1775"/>
      <c r="AT49" s="1775"/>
      <c r="AU49" s="1775"/>
      <c r="AV49" s="36"/>
      <c r="AW49" s="36"/>
      <c r="AX49" s="1774"/>
      <c r="AY49" s="1774"/>
      <c r="AZ49" s="36"/>
      <c r="BA49" s="36"/>
      <c r="BB49" s="36"/>
      <c r="BC49" s="2577"/>
      <c r="BD49" s="2573"/>
      <c r="BE49" s="1422"/>
      <c r="BF49" s="2573"/>
      <c r="BG49" s="1422"/>
      <c r="BH49" s="1419"/>
      <c r="BI49" s="1422"/>
      <c r="BJ49" s="1419"/>
      <c r="BK49" s="2573"/>
      <c r="BL49" s="2656"/>
      <c r="BM49" s="2652"/>
      <c r="BN49" s="2653"/>
      <c r="BO49" s="1746"/>
      <c r="BP49" s="1506"/>
      <c r="BQ49" s="1422"/>
      <c r="BR49" s="1419"/>
      <c r="BS49" s="1422"/>
      <c r="BT49" s="1749"/>
      <c r="BU49" s="1749"/>
      <c r="BV49" s="1436"/>
      <c r="BW49" s="1442"/>
      <c r="BX49" s="262"/>
      <c r="BY49" s="262"/>
      <c r="BZ49" s="123"/>
      <c r="CA49" s="2251"/>
      <c r="CB49" s="4"/>
      <c r="CC49" s="4"/>
      <c r="CD49" s="735"/>
      <c r="CE49" s="4"/>
      <c r="CF49" s="4"/>
      <c r="CG49" s="4"/>
      <c r="CH49" s="4"/>
      <c r="CI49" s="4"/>
      <c r="CJ49" s="4">
        <f>IF(Bus_Loss=Cost_1,Conseq_VeryLow_Bus,IF(OR(Bus_Loss="",Bus_Loss=Cost_2),Conseq_Low_Bus,IF(Bus_Loss=Cost_3,Conseq_Moderate_Bus,IF(Bus_Loss=Cost_4,Conseq_High_Bus,IF(Bus_Loss=Cost_5,Conseq_VeryHigh_Bus,Conseq_ExtremeHigh_Bus)))))</f>
        <v>3</v>
      </c>
      <c r="CK49" s="4"/>
      <c r="CL49" s="19"/>
      <c r="CM49" s="19"/>
      <c r="CN49" s="67"/>
      <c r="CO49" s="67"/>
      <c r="CP49" s="67"/>
      <c r="CQ49" s="67"/>
      <c r="CR49" s="67"/>
      <c r="CS49" s="67"/>
      <c r="CT49" s="67"/>
      <c r="CU49" s="67"/>
      <c r="CV49" s="67"/>
      <c r="CW49" s="189" t="str">
        <f>IF(Bus_Loss=Cost_1,Desc_VeryLow_Bus,IF(OR(Bus_Loss="",Bus_Loss=Cost_2),Desc_Low_Bus,IF(Bus_Loss=Cost_3,Desc_Moderate_Bus,IF(Bus_Loss=Cost_4,Desc_High_Bus,IF(Bus_Loss=Cost_5,Desc_VeryHigh_Bus,Desc_ExtremeHigh_Bus)))))</f>
        <v>Property Damage and Business Loss $50 M to $500 M</v>
      </c>
      <c r="CX49" s="67"/>
      <c r="CY49" s="40"/>
      <c r="CZ49" s="67"/>
      <c r="DA49" s="67"/>
      <c r="DB49" s="67"/>
      <c r="DC49" s="737"/>
      <c r="DD49" s="67"/>
      <c r="DE49" s="67"/>
      <c r="DF49" s="67"/>
      <c r="DG49" s="67"/>
      <c r="DH49" s="67"/>
      <c r="DI49" s="67"/>
      <c r="DJ49" s="67"/>
      <c r="DK49" s="19"/>
      <c r="DL49" s="67"/>
      <c r="DM49" s="67"/>
      <c r="DN49" s="67"/>
      <c r="DO49" s="34"/>
      <c r="DP49" s="34"/>
      <c r="DQ49" s="34"/>
      <c r="DR49" s="34"/>
      <c r="DS49" s="34"/>
      <c r="DT49" s="34"/>
      <c r="DU49" s="34"/>
      <c r="DV49" s="6"/>
      <c r="DW49" s="40"/>
      <c r="DX49" s="248"/>
      <c r="DY49" s="248"/>
      <c r="DZ49" s="248"/>
      <c r="EA49" s="741"/>
      <c r="EB49" s="248"/>
      <c r="EC49" s="248"/>
      <c r="ED49" s="248"/>
      <c r="EE49" s="248"/>
      <c r="EF49" s="248"/>
      <c r="EG49" s="248"/>
      <c r="EH49" s="248"/>
      <c r="EI49" s="19"/>
      <c r="EJ49" s="248"/>
      <c r="EK49" s="248"/>
      <c r="EL49" s="248"/>
      <c r="EM49" s="248"/>
      <c r="EN49" s="248"/>
      <c r="EO49" s="248"/>
      <c r="EP49" s="248"/>
      <c r="EQ49" s="248"/>
      <c r="ER49" s="248"/>
      <c r="ES49" s="248"/>
      <c r="ET49" s="248"/>
      <c r="EU49" s="19"/>
      <c r="EV49" s="1379"/>
      <c r="EW49" s="1380"/>
      <c r="EX49" s="1380"/>
      <c r="EY49" s="1380"/>
      <c r="EZ49" s="1380"/>
      <c r="FA49" s="1380"/>
      <c r="FB49" s="6"/>
      <c r="FC49" s="6"/>
      <c r="FD49" s="6"/>
      <c r="FE49" s="6"/>
      <c r="FF49" s="6"/>
      <c r="FG49" s="19"/>
      <c r="FH49" s="34"/>
      <c r="FI49" s="34"/>
      <c r="FJ49" s="34"/>
      <c r="FK49" s="739"/>
      <c r="FL49" s="34"/>
      <c r="FM49" s="34"/>
      <c r="FN49" s="34"/>
      <c r="FO49" s="34"/>
      <c r="FP49" s="34"/>
      <c r="FQ49" s="39">
        <v>0</v>
      </c>
      <c r="FR49" s="6"/>
      <c r="FS49" s="40"/>
      <c r="FT49" s="248"/>
      <c r="FU49" s="248"/>
      <c r="FV49" s="248"/>
      <c r="FW49" s="741"/>
      <c r="FX49" s="248"/>
      <c r="FY49" s="248"/>
      <c r="FZ49" s="248"/>
      <c r="GA49" s="248"/>
      <c r="GB49" s="248"/>
      <c r="GC49" s="250" t="s">
        <v>1461</v>
      </c>
      <c r="GD49" s="248"/>
      <c r="GE49" s="19"/>
      <c r="GF49" s="67"/>
      <c r="GG49" s="67"/>
      <c r="GH49" s="67"/>
      <c r="GI49" s="3146"/>
      <c r="GJ49" s="67"/>
      <c r="GK49" s="67"/>
      <c r="GL49" s="67"/>
      <c r="GM49" s="67"/>
      <c r="GN49" s="67"/>
      <c r="GO49" s="67"/>
      <c r="GP49" s="67"/>
      <c r="GQ49" s="19"/>
      <c r="GR49" s="189" t="str">
        <f t="shared" si="35"/>
        <v xml:space="preserve">Property Damage or Business Loss; </v>
      </c>
      <c r="GS49" s="26"/>
      <c r="GT49" s="26"/>
      <c r="GU49" s="26"/>
      <c r="GV49" s="26"/>
      <c r="GW49" s="26"/>
      <c r="GX49" s="26"/>
      <c r="GY49" s="26"/>
      <c r="GZ49" s="26"/>
      <c r="HA49" s="26"/>
      <c r="HB49" s="26"/>
      <c r="HC49" s="26"/>
      <c r="HD49" s="26"/>
      <c r="HE49" s="26"/>
      <c r="HF49" s="26"/>
      <c r="HG49" s="26"/>
      <c r="HH49" s="26"/>
      <c r="HI49" s="26"/>
    </row>
    <row r="50" spans="1:220" ht="12.75" customHeight="1" x14ac:dyDescent="0.25">
      <c r="A50" s="35"/>
      <c r="B50" s="64" t="str">
        <f>'Scenario Identification'!DC3</f>
        <v>Equipment Failure above Design Temperature</v>
      </c>
      <c r="C50" s="1457" t="str">
        <f t="shared" si="80"/>
        <v/>
      </c>
      <c r="D50" s="65"/>
      <c r="E50" s="2483" t="str">
        <f>IF(MAX('Release Calculations'!N35,'Release Calculations'!N43,'Release Calculations'!N62,1-'Release Calculations'!N82,ABS(MIN('Release Calculations'!N35,'Release Calculations'!N43,'Release Calculations'!N62,1-'Release Calculations'!N82)))&gt;$E$4,"Yes","")</f>
        <v/>
      </c>
      <c r="F50" s="1418" t="s">
        <v>428</v>
      </c>
      <c r="G50" s="1434">
        <f t="shared" si="11"/>
        <v>0</v>
      </c>
      <c r="H50" s="1427" t="str">
        <f t="shared" si="31"/>
        <v>liter</v>
      </c>
      <c r="I50" s="1418">
        <f>ROUND('Release Calculations'!N7/$I$4,2)</f>
        <v>0</v>
      </c>
      <c r="J50" s="1421" t="str">
        <f>IF(Report_H&lt;&gt;"",Report_H,D_Units)</f>
        <v>mm</v>
      </c>
      <c r="K50" s="1427">
        <f>Location</f>
        <v>0</v>
      </c>
      <c r="L50" s="1434">
        <f>sig('Release Calculations'!$N$16/$L$4,3,100,0)</f>
        <v>0</v>
      </c>
      <c r="M50" s="1435" t="str">
        <f t="shared" si="13"/>
        <v>kg</v>
      </c>
      <c r="N50" s="1432" t="str">
        <f>State&amp;":  "&amp;Fract_Key_Chemical&amp;" "&amp;Chemical&amp;", "&amp;WtFract_2&amp;" "&amp;Chemical_2&amp;", "&amp;WtFract_3&amp;" "&amp;Chemical_3&amp;", "&amp;WtFract_4&amp;" "&amp;Chemical_4&amp;", "&amp;WtFract_5&amp;" "&amp;Chemical_5</f>
        <v xml:space="preserve">Liquid:   ,  ,  ,  ,  </v>
      </c>
      <c r="O50" s="1434">
        <f>ROUND('Release Calculations'!$N$9,0)</f>
        <v>0</v>
      </c>
      <c r="P50" s="1434">
        <f>ROUND('Release Calculations'!$N$8/$P$4,2)</f>
        <v>0</v>
      </c>
      <c r="Q50" s="1446" t="str">
        <f t="shared" si="15"/>
        <v>bar</v>
      </c>
      <c r="R50" s="1434">
        <f>sig('Release Calculations'!$N$23/$AG$4,3,10,0)</f>
        <v>0</v>
      </c>
      <c r="S50" s="1447" t="str">
        <f t="shared" si="16"/>
        <v>kg/min</v>
      </c>
      <c r="T50" s="1435">
        <f>ROUND('Release Calculations'!$N$13/$T$4,0)</f>
        <v>0</v>
      </c>
      <c r="U50" s="1434">
        <f>ROUND(('Release Calculations'!$N$13+'Release Calculations'!$N$14)/$U$4,0)</f>
        <v>0</v>
      </c>
      <c r="V50" s="1434">
        <f>sig('Release Calculations'!$N$55/$V$4,3,100,0)</f>
        <v>0</v>
      </c>
      <c r="W50" s="1435" t="str">
        <f>IF(Report_A&lt;&gt;"",Report_A,IF(Dike_Area_Units="","sq m",Dike_Area_Units))</f>
        <v>sq m</v>
      </c>
      <c r="X50" s="1438">
        <f>ROUND('Release Calculations'!N$214,3)</f>
        <v>0</v>
      </c>
      <c r="Y50" s="1458" t="str">
        <f>IF('Release Calculations'!$N$225="","",sig('Release Calculations'!$N$225,3,1000,0))</f>
        <v/>
      </c>
      <c r="Z50" s="1458" t="str">
        <f>IF('Release Calculations'!$N$231="","",sig('Release Calculations'!$N$231,3,1000,0))</f>
        <v/>
      </c>
      <c r="AA50" s="1458" t="str">
        <f>IF('Release Calculations'!$N$255="","",sig('Release Calculations'!$N$255,3,1000,0))</f>
        <v/>
      </c>
      <c r="AB50" s="1458" t="str">
        <f>IF('Release Calculations'!$N$261="","",sig('Release Calculations'!$N$261,3,1000,0))</f>
        <v/>
      </c>
      <c r="AC50" s="1458" t="str">
        <f>IF('Release Calculations'!$N$267="","",sig('Release Calculations'!$N$267,3,1000,0))</f>
        <v/>
      </c>
      <c r="AD50" s="1196" t="str">
        <f>IF('Release Calculations'!$N$249="","",ROUND('Release Calculations'!$N$249,1))</f>
        <v/>
      </c>
      <c r="AE50" s="1434">
        <f>sig('Release Calculations'!$N$70/$AE$4,3,100,0)</f>
        <v>0</v>
      </c>
      <c r="AF50" s="1435" t="str">
        <f t="shared" si="17"/>
        <v>kg</v>
      </c>
      <c r="AG50" s="1326">
        <f>sig('Release Calculations'!N$89/$AG$4,3,10,3)</f>
        <v>3.0000000000000001E-3</v>
      </c>
      <c r="AH50" s="1435" t="str">
        <f t="shared" si="33"/>
        <v>kg/min</v>
      </c>
      <c r="AI50" s="1434">
        <f>sig('Release Calculations'!$N$282/$AI$4,3,100,0)</f>
        <v>0</v>
      </c>
      <c r="AJ50" s="1435" t="str">
        <f>IF(Report_D&lt;&gt;"",Report_D,Public_Units)</f>
        <v>m</v>
      </c>
      <c r="AK50" s="1434">
        <f>sig('Release Calculations'!$N$285/$AK$4,3,100,0)</f>
        <v>0</v>
      </c>
      <c r="AL50" s="1435" t="str">
        <f>IF(Report_D&lt;&gt;"",Report_D,Public_Units)</f>
        <v>m</v>
      </c>
      <c r="AM50" s="1434">
        <f>sig('Release Calculations'!$N$287/$AM$4,3,100,0)</f>
        <v>0</v>
      </c>
      <c r="AN50" s="1435" t="str">
        <f>IF(Report_D&lt;&gt;"",Report_D,Public_Units)</f>
        <v>m</v>
      </c>
      <c r="AO50" s="1434">
        <f>sig('Release Calculations'!$N$288/$AO$4,3,100,0)</f>
        <v>0</v>
      </c>
      <c r="AP50" s="1452" t="str">
        <f>IF(Report_D&lt;&gt;"",Report_D,Public_Units)</f>
        <v>m</v>
      </c>
      <c r="AQ50" s="1434">
        <f>sig('Release Calculations'!$N$290/$AQ$4,3,100,0)</f>
        <v>0</v>
      </c>
      <c r="AR50" s="1452" t="str">
        <f>IF(Report_D&lt;&gt;"",Report_D,Public_Units)</f>
        <v>m</v>
      </c>
      <c r="AS50" s="1452" t="str">
        <f>IF(Occ_Bldg_Name=0,"",Occ_Bldg_Name)</f>
        <v/>
      </c>
      <c r="AT50" s="1452" t="str">
        <f>IF(Occ_Bldg2_Name=0,"",Occ_Bldg2_Name)</f>
        <v/>
      </c>
      <c r="AU50" s="1452" t="str">
        <f>IF(Occ_Bldg2_Direction=0,"",Occ_Bldg2_Direction)</f>
        <v/>
      </c>
      <c r="AV50" s="114">
        <f>sig('Release Calculations'!$N$296,3,1000,-1)</f>
        <v>0</v>
      </c>
      <c r="AW50" s="114">
        <f>sig('Release Calculations'!$N$297,3,1000,-1)</f>
        <v>0</v>
      </c>
      <c r="AX50" s="114" t="str">
        <f>sig('Release Calculations'!$N$298,3,1000,0)</f>
        <v/>
      </c>
      <c r="AY50" s="114" t="str">
        <f>sig('Release Calculations'!$N$299,3,1000,0)</f>
        <v/>
      </c>
      <c r="AZ50" s="114">
        <f>sig('Release Calculations'!$N$300,3,1000,-1)</f>
        <v>0</v>
      </c>
      <c r="BA50" s="114">
        <f>sig('Release Calculations'!$N$301,3,1000,-1)</f>
        <v>0</v>
      </c>
      <c r="BB50" s="114" t="str">
        <f>sig('Release Calculations'!$N$302,3,10,3)</f>
        <v/>
      </c>
      <c r="BC50" s="2576" t="str">
        <f>sig('Release Calculations'!$N$303,3,10,3)</f>
        <v/>
      </c>
      <c r="BD50" s="2569">
        <f>sig('Release Calculations'!$N$320/$BD$4,3,100,0)</f>
        <v>0</v>
      </c>
      <c r="BE50" s="1435" t="str">
        <f t="shared" si="34"/>
        <v>m</v>
      </c>
      <c r="BF50" s="2569">
        <f>sig('Release Calculations'!$N$319/$BF$4,3,100,0)</f>
        <v>0</v>
      </c>
      <c r="BG50" s="1435" t="str">
        <f t="shared" si="34"/>
        <v>m</v>
      </c>
      <c r="BH50" s="1419"/>
      <c r="BI50" s="1422"/>
      <c r="BJ50" s="1419"/>
      <c r="BK50" s="2573"/>
      <c r="BL50" s="2656"/>
      <c r="BM50" s="2652"/>
      <c r="BN50" s="2653"/>
      <c r="BO50" s="1746"/>
      <c r="BP50" s="1503">
        <f>sig('Release Calculations'!$N$90/$BP$4,3,10,1)</f>
        <v>0</v>
      </c>
      <c r="BQ50" s="1435" t="str">
        <f>Small_Leak_Units</f>
        <v>kg/min</v>
      </c>
      <c r="BR50" s="1434">
        <f>sig(IF(Location="Indoors",'Release Calculations'!N311/$BR$4,'Release Calculations'!N325/$BR$4),3,100,0)</f>
        <v>0</v>
      </c>
      <c r="BS50" s="1435" t="str">
        <f t="shared" si="25"/>
        <v>m</v>
      </c>
      <c r="BT50" s="1748">
        <f>ROUND(IF(Location="Indoors",'Release Calculations'!$N$314,'Release Calculations'!$N$330),1)</f>
        <v>0</v>
      </c>
      <c r="BU50" s="1748">
        <f>ROUND(IF(Location="Indoors",'Release Calculations'!$N$316,'Release Calculations'!$N$334),1)</f>
        <v>0</v>
      </c>
      <c r="BV50" s="1436"/>
      <c r="BW50" s="1442"/>
      <c r="BX50" s="1415"/>
      <c r="BY50" s="1415"/>
      <c r="BZ50" s="123"/>
      <c r="CA50" s="4" t="str">
        <f>IF('Release Calculations'!N$338="NA","",'Release Calculations'!N$338)</f>
        <v/>
      </c>
      <c r="CB50" s="4" t="str">
        <f>IF('Release Calculations'!N$368="NA","",'Release Calculations'!N$368)</f>
        <v/>
      </c>
      <c r="CC50" s="4" t="str">
        <f>IF('Release Calculations'!N$373="NA","",'Release Calculations'!N$373)</f>
        <v/>
      </c>
      <c r="CD50" s="735" t="str">
        <f>IF('Release Calculations'!N$378="NA","",'Release Calculations'!N$378)</f>
        <v/>
      </c>
      <c r="CE50" s="4" t="str">
        <f>IF('Release Calculations'!N$384="NA","",'Release Calculations'!N$384)</f>
        <v/>
      </c>
      <c r="CF50" s="4" t="str">
        <f>IF('Release Calculations'!N$389="NA","",'Release Calculations'!N$389)</f>
        <v/>
      </c>
      <c r="CG50" s="4" t="str">
        <f>IF('Release Calculations'!N$409="NA","",'Release Calculations'!N$409)</f>
        <v/>
      </c>
      <c r="CH50" s="4" t="str">
        <f>IF('Release Calculations'!N$399="NA","",'Release Calculations'!N$399)</f>
        <v/>
      </c>
      <c r="CI50" s="4"/>
      <c r="CJ50" s="4"/>
      <c r="CK50" s="4" t="str">
        <f>IF('Release Calculations'!BD425="NA","",'Release Calculations'!BD425)</f>
        <v/>
      </c>
      <c r="CL50" s="19"/>
      <c r="CM50" s="19"/>
      <c r="CN50" s="189" t="str">
        <f>IF(CA50="","",IF('Release Calculations'!N$284="Yes",IF(CA50=Conseq_VeryLow,Desc_VeryLow,IF(CA50=Conseq_Low,Desc_Low,IF(CA50=Conseq_Moderate,Desc_Moderate,IF(CA50=Conseq_High,Desc_High,IF(CA50=Conseq_VeryHigh,Desc_VeryHigh,IF(CA50=Conseq_ExtremeHigh,Desc_ExtremeHigh,Desc_GT_ExtremeHigh)))))),IF(CA50=Conseq_Low_Offsite,Desc_Low_Offsite,Desc_VeryLow_Offsite)))</f>
        <v/>
      </c>
      <c r="CO50" s="189" t="str">
        <f t="shared" ref="CO50:CV55" si="83">IF(CB50="","",IF(CB50=Conseq_VeryLow,Desc_VeryLow,IF(CB50=Conseq_Low,Desc_Low,IF(CB50=Conseq_Moderate,Desc_Moderate,IF(CB50=Conseq_High,Desc_High,IF(CB50=Conseq_VeryHigh,Desc_VeryHigh,IF(CB50=Conseq_ExtremeHigh,Desc_ExtremeHigh,Desc_GT_ExtremeHigh)))))))</f>
        <v/>
      </c>
      <c r="CP50" s="189" t="str">
        <f t="shared" si="83"/>
        <v/>
      </c>
      <c r="CQ50" s="189" t="str">
        <f t="shared" si="83"/>
        <v/>
      </c>
      <c r="CR50" s="189" t="str">
        <f t="shared" si="83"/>
        <v/>
      </c>
      <c r="CS50" s="189" t="str">
        <f t="shared" si="83"/>
        <v/>
      </c>
      <c r="CT50" s="189" t="str">
        <f t="shared" si="83"/>
        <v/>
      </c>
      <c r="CU50" s="189" t="str">
        <f t="shared" si="83"/>
        <v/>
      </c>
      <c r="CV50" s="189" t="str">
        <f t="shared" si="83"/>
        <v/>
      </c>
      <c r="CW50" s="189"/>
      <c r="CX50" s="189" t="str">
        <f t="shared" ref="CX50:CX57" si="84">IF(CK50="","",IF(CK50=Conseq_VeryLow,Desc_VeryLow_Environ,IF(CK50=Conseq_Low,Desc_Low_Environ,IF(CK50=Conseq_Moderate,Desc_Moderate_Environ,IF(CK50=Conseq_High,Desc_High_Environ,IF(CK50=Conseq_VeryHigh,Desc_VeryHigh_Environ,Desc_ExtremeHigh_Environ))))))</f>
        <v/>
      </c>
      <c r="CY50" s="40" t="s">
        <v>822</v>
      </c>
      <c r="CZ50" s="189" t="str">
        <f>IF(CA50="","",IF('Release Calculations'!N$284="Yes"," at a "&amp;$AI$3&amp;" of "&amp;AI50&amp;" "&amp;AJ50&amp;" which exceeds Distance to the Fence Line of "&amp;Public_Input&amp;" "&amp;Public_Units))</f>
        <v/>
      </c>
      <c r="DA50" s="189" t="str">
        <f>IF(CB50="","",IF('Special Calcs'!$G$164="Yes"," with operating personnel in close proximity and a "&amp;$AM$3&amp;" of "&amp;AM50&amp;" "&amp;AN50," at a "&amp;$AM$3&amp;" of "&amp;AM50&amp;" "&amp;AN50)&amp;IF('Release Calculations'!$N$287&gt;Public," which exceeds Distance to the Fence Line of "&amp;Public_Input&amp;" "&amp;Public_Units&amp;".  Target Factor may be conservative",))</f>
        <v/>
      </c>
      <c r="DB50" s="226" t="str">
        <f>IF(CC50="","",IF('Release Calculations'!N336="Yes","and Potential for Asphyxiation","")&amp;IF('Special Calcs'!G$164="Yes"," with operations personnel in close proximity at an "&amp;$AZ$3&amp;" of "&amp;AZ50&amp;" ppm"," at an "&amp;$AZ$3&amp;" of "&amp;AZ50&amp;" ppm"))</f>
        <v/>
      </c>
      <c r="DC50" s="189" t="str">
        <f>IF(CD50="",""," at a "&amp;$AV$3&amp;" of "&amp;AV50&amp;" ppm")</f>
        <v/>
      </c>
      <c r="DD50" s="189" t="str">
        <f>IF(CE50="",""," of a "&amp;IF(Ease_of_Ignition_Feed="High","pyrophoric ","high/low temperature ")&amp;IF(Dermal_Tox_Feed&lt;&gt;"","or "&amp;Dermal_Tox_Feed,"")&amp;" chemical"&amp;IF('Special Calcs'!$G$164="Yes"," with operating personnel in close proximity",""))</f>
        <v/>
      </c>
      <c r="DE50" s="189" t="str">
        <f>IF(CF50="","",IF('Special Calcs'!$G$164="Yes"," with operating personnel in close proximity and a "&amp;$BF$3&amp;" of "&amp;BF50&amp;" "&amp;BG50," at a "&amp;$BF$3&amp;" of "&amp;BF50&amp;" "&amp;BG50))</f>
        <v/>
      </c>
      <c r="DF50" s="189" t="str">
        <f>IF(CG50="","",IF('Release Calculations'!N$326="Yes"," with "&amp;$BR$3&amp;" of "&amp;BR50&amp;" "&amp;BS50&amp;IF('Release Calculations'!N$335&lt;&gt;"Yes",""," including "&amp;$BT$3&amp;" of "&amp;BT50&amp;" psi.")&amp;" 1 psi Blast Overpresssure exceeds Distance to the Fence Line of "&amp;Public_Input&amp;" "&amp;Public_Units&amp;".  Consider adjustment for Off-Site Impacts",IF('Release Calculations'!N$335&lt;&gt;"Yes"," impacting on site personnel at a "&amp;$BR$3&amp;" of "&amp;BR50&amp;" "&amp;BS50," impacting on site personnel at a "&amp;$BR$3&amp;" of "&amp;BR50&amp;" "&amp;BS50&amp;" including "&amp;$BT$3&amp;" of "&amp;BT50&amp;" psi")))</f>
        <v/>
      </c>
      <c r="DG50" s="189" t="str">
        <f>IF(CH50="","",IF('Release Calculations'!N$312="Yes"," with "&amp;$BR$3&amp;" of "&amp;BR50&amp;" "&amp;BS50&amp;IF('Release Calculations'!N$317&lt;&gt;"Yes",""," including "&amp;$BT$3&amp;" of "&amp;BT50&amp;" psi.")&amp;"  1 psi Blast Overpresssure exceeds Distance to the Fence Line of "&amp;Public_Input&amp;" "&amp;Public_Units&amp;".  Consider adjustment for Off-Site Impacts",IF('Release Calculations'!N$317&lt;&gt;"Yes"," impacting enclosed area operating personnel, on site personnel at a "&amp;$BR$3&amp;" of "&amp;BR50&amp;" "&amp;BS50," impacting enclosed area operating personnel, on site personnel at a "&amp;$BR$3&amp;" of "&amp;BR50&amp;" "&amp;BS50&amp;" including "&amp;$BT$3&amp;" of "&amp;BT50&amp;" psi")))</f>
        <v/>
      </c>
      <c r="DH50" s="189"/>
      <c r="DI50" s="189"/>
      <c r="DJ50" s="189" t="str">
        <f>IF('Release Calculations'!AZ425&gt;0,"Groundwater or Remediation Issue",IF('Release Calculations'!BB425&gt;0,"High Aqueous Toxicity",""))</f>
        <v/>
      </c>
      <c r="DK50" s="19" t="s">
        <v>822</v>
      </c>
      <c r="DL50" s="39"/>
      <c r="DM50" s="239">
        <f>'Release Calculations'!N366</f>
        <v>0</v>
      </c>
      <c r="DN50" s="239">
        <f>'Release Calculations'!N$371</f>
        <v>0</v>
      </c>
      <c r="DO50" s="39"/>
      <c r="DP50" s="239">
        <f>'Release Calculations'!N382</f>
        <v>0</v>
      </c>
      <c r="DQ50" s="239">
        <f>'Release Calculations'!N387</f>
        <v>0</v>
      </c>
      <c r="DR50" s="39"/>
      <c r="DS50" s="39"/>
      <c r="DT50" s="39"/>
      <c r="DU50" s="39"/>
      <c r="DV50" s="4"/>
      <c r="DW50" s="40"/>
      <c r="DX50" s="250"/>
      <c r="DY50" s="249" t="s">
        <v>2983</v>
      </c>
      <c r="DZ50" s="250" t="s">
        <v>292</v>
      </c>
      <c r="EA50" s="740"/>
      <c r="EB50" s="249" t="str">
        <f>"Probability of Exposure to Hot or Toxic Material"</f>
        <v>Probability of Exposure to Hot or Toxic Material</v>
      </c>
      <c r="EC50" s="249" t="s">
        <v>292</v>
      </c>
      <c r="ED50" s="250"/>
      <c r="EE50" s="250"/>
      <c r="EF50" s="250"/>
      <c r="EG50" s="250"/>
      <c r="EH50" s="250"/>
      <c r="EI50" s="19"/>
      <c r="EJ50" s="250"/>
      <c r="EK50" s="249" t="str">
        <f>IF(Attended_Op="Yes","Noted as Personnel Routinely in Immediate Area or Equipment Type involves Materials Handling - "&amp;IF('Release Calculations'!N210*3600&lt;30," with a very Short Exposure Duration (&lt; 30 sec)","Time at Risk May Apply"),"Probability of Personnel to be in Close Proximity to Chemical Release based on Toxic Impact Area to "&amp;AM50&amp;" "&amp;AN50&amp;IF('Release Calculations'!N401&lt;0.01," (with potential for higher POE credit upon further review)",""))</f>
        <v>Probability of Personnel to be in Close Proximity to Chemical Release based on Toxic Impact Area to 0 m (with potential for higher POE credit upon further review)</v>
      </c>
      <c r="EL50" s="250" t="str">
        <f>IF(Attended_Op="Yes","Noted as Personnel Routinely in Immediate Area or Equipment Type involves Materials Handling - Time at Risk May Apply","Probability of Personnel to be in Close Proximity to Chemical Release based on Ratio Enclosed Process Area Concentation of "&amp;AZ50&amp;" ppm to 10 ER-3 for "&amp;Chemical&amp;IF(Fract_Key_Chemical&lt;1," mixture "," ")&amp;IF('Release Calculations'!$N$370&lt;0.01,"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50" s="250"/>
      <c r="EN50"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Calculations'!$N$381&lt;0.01," (with potential for higher POE credit upon further review)",""))</f>
        <v>Probability of Personnel to be in Close Proximity to Chemical Release based on Spray Distance of 1 m (with potential for higher POE credit upon further review)</v>
      </c>
      <c r="EO50"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"&amp;AZ50&amp;" to "&amp;LFL_Fract_FlashFIre&amp;" LFL","Flammable Impact Area to "&amp;BF50&amp;" "&amp;BG50)&amp;IF('Release Calculations'!$N$386&lt;0.01," (with potential for higher POE credit upon further review)",""))</f>
        <v>Probability of Personnel to be in Close Proximity to Chemical Release based on Flammable Impact Area to 0 m (with potential for higher POE credit upon further review)</v>
      </c>
      <c r="EP50" s="250"/>
      <c r="EQ50" s="250"/>
      <c r="ER50" s="250"/>
      <c r="ES50" s="250"/>
      <c r="ET50" s="250"/>
      <c r="EU50" s="19"/>
      <c r="EV50" s="4"/>
      <c r="EW50" s="957">
        <f>'Release Calculations'!N365</f>
        <v>6.0000000000000008E-7</v>
      </c>
      <c r="EX50" s="957">
        <f>'Release Calculations'!$N$370</f>
        <v>0</v>
      </c>
      <c r="EY50" s="957"/>
      <c r="EZ50" s="957">
        <f>'Release Calculations'!$N$381</f>
        <v>0</v>
      </c>
      <c r="FA50" s="957">
        <f>'Release Calculations'!$N$386</f>
        <v>0</v>
      </c>
      <c r="FB50" s="4"/>
      <c r="FC50" s="4"/>
      <c r="FD50" s="4"/>
      <c r="FE50" s="4"/>
      <c r="FF50" s="4"/>
      <c r="FG50" s="19"/>
      <c r="FH50" s="39"/>
      <c r="FI50" s="39"/>
      <c r="FJ50" s="39"/>
      <c r="FK50" s="738"/>
      <c r="FL50" s="39"/>
      <c r="FM50" s="239" t="str">
        <f>IF(Location="Outdoors",'Release Calculations'!N$323,'Release Calculations'!N$309)</f>
        <v/>
      </c>
      <c r="FN50" s="239" t="str">
        <f>'Release Calculations'!N$324</f>
        <v/>
      </c>
      <c r="FO50" s="39" t="str">
        <f>IF(State&lt;&gt;"Solid",'Release Calculations'!N$309,Dust_SecondExpl_POE)</f>
        <v/>
      </c>
      <c r="FP50" s="39"/>
      <c r="FQ50" s="39"/>
      <c r="FR50" s="4"/>
      <c r="FS50" s="40"/>
      <c r="FT50" s="250"/>
      <c r="FU50" s="250"/>
      <c r="FV50" s="250"/>
      <c r="FW50" s="740"/>
      <c r="FX50" s="250"/>
      <c r="FY50" s="249" t="s">
        <v>1461</v>
      </c>
      <c r="FZ50" s="249" t="s">
        <v>1460</v>
      </c>
      <c r="GA50" s="250" t="s">
        <v>1461</v>
      </c>
      <c r="GB50" s="250"/>
      <c r="GC50" s="250"/>
      <c r="GD50" s="250"/>
      <c r="GE50" s="19"/>
      <c r="GF50" s="250"/>
      <c r="GG50" s="250"/>
      <c r="GH50" s="250"/>
      <c r="GI50" s="3147"/>
      <c r="GJ50" s="250"/>
      <c r="GK50" s="3148"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"&amp;BP50&amp;" "&amp;BQ50&amp;" Easily Ignited Material with Distance to LFL of "&amp;BD50&amp;" "&amp;BE50,IF(OR(Ease_of_Ignition_Feed="Low",AND(Flash_Pt_Feed&gt;MAX(Ambient_Temp,T),Aerosol_Potential="Yes")),"Outdoor Release of Difficult to Ignite Material or Combustible Aerosol","Outdoor release of "&amp;BP50&amp;" "&amp;BQ50&amp;" Flammable Material with Distance to LFL of "&amp;BD50&amp;" "&amp;BE50)),IF(Ease_of_Ignition_Feed="Elevated","Indoor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50" s="2581" t="str">
        <f>IF(Flash_Pt_Feed="","No Flash Point Entered",IF(Ease_of_Ignition_Feed="High","Noted as Pyrophoric Material",IF(Ease_of_Ignition_Feed="Elevated","Outdoor Release of "&amp;BP50&amp;" " &amp;BQ50&amp;" Easily Ignited Material with Distance to LFL of "&amp;BD50&amp;" "&amp;BE50&amp;"-POX",IF(Ease_of_Ignition_Feed="Low","Outdoor Release of "&amp;BP50&amp;" " &amp;BQ50&amp;" Difficult to Ignite Material with Distance to LFL of "&amp;BD50&amp;" "&amp;BE50&amp;"-POX","Outdoor Release of "&amp;BP50&amp;" " &amp;BQ50&amp;" Flammable Material with Distance to LFL of "&amp;BD50&amp;" "&amp;BE50&amp;"-POX"))))</f>
        <v>No Flash Point Entered</v>
      </c>
      <c r="GM50" s="250" t="str">
        <f>IF(OR(Ease_of_Ignition_Feed="High",Ease_of_Ignition_Feed="Elevated"),"Indoor Release of Easily Ignited Material-POX",IF(Ease_of_Ignition_Feed="Low","Indoor Release of Difficult to Ignite Material-POX","Indoor Release of Flammable Material-POX"))</f>
        <v>Indoor Release of Flammable Material-POX</v>
      </c>
      <c r="GN50" s="250"/>
      <c r="GO50" s="250"/>
      <c r="GP50" s="250"/>
      <c r="GQ50" s="19"/>
      <c r="GR50" s="2042" t="str">
        <f>IF(CA20="","",CA$3&amp;"; ")&amp;IF(CB20="","",CB$3&amp;"; ")&amp;IF(CC20="","",CC$3&amp;"; ")&amp;IF(CD20="","",CD$3&amp;"; ")&amp;IF(CE20="","",CE$3&amp;"; ")&amp;IF(CF20="","",CF$3&amp;"; ")&amp;IF(CG20="","",CG$3&amp;"; ")&amp;IF(CH20="","",CH$3&amp;"; ")&amp;IF(CI20="","",CI$3&amp;"; ")&amp;IF(CJ20="","",CJ$3&amp;"; ")&amp;IF(CK20="","",CK$3)</f>
        <v/>
      </c>
    </row>
    <row r="51" spans="1:220" s="30" customFormat="1" ht="12.75" customHeight="1" x14ac:dyDescent="0.25">
      <c r="A51" s="35"/>
      <c r="B51" s="64" t="str">
        <f>'Scenario Identification'!DD3</f>
        <v>Equipment Rupture at Operating Temperature</v>
      </c>
      <c r="C51" s="1457" t="str">
        <f t="shared" si="80"/>
        <v/>
      </c>
      <c r="D51" s="65"/>
      <c r="E51" s="2483" t="str">
        <f>IF(MAX('Release Calculations'!BU35,'Release Calculations'!BU43,'Release Calculations'!BU62,1-'Release Calculations'!BU82,ABS(MIN('Release Calculations'!BU35,'Release Calculations'!BU43,'Release Calculations'!BU62,1-'Release Calculations'!BU82)))&gt;$E$4,"Yes","")</f>
        <v/>
      </c>
      <c r="F51" s="1418" t="s">
        <v>428</v>
      </c>
      <c r="G51" s="1434">
        <f t="shared" ref="G51:G56" si="85">ROUND(Volume/(1000*$G$4),0)</f>
        <v>0</v>
      </c>
      <c r="H51" s="1427" t="str">
        <f t="shared" ref="H51:H56" si="86">IF(Report_V&lt;&gt;"",Report_V,Volume_Units)</f>
        <v>liter</v>
      </c>
      <c r="I51" s="1418"/>
      <c r="J51" s="1421"/>
      <c r="K51" s="1427">
        <f t="shared" ref="K51:K56" si="87">Location</f>
        <v>0</v>
      </c>
      <c r="L51" s="1434">
        <f>sig('Release Calculations'!$BU$16/$L$4,3,100,0)</f>
        <v>0</v>
      </c>
      <c r="M51" s="1435" t="str">
        <f t="shared" ref="M51:M57" si="88">Small_Leak_AQ_Units</f>
        <v>kg</v>
      </c>
      <c r="N51" s="1432" t="str">
        <f t="shared" ref="N51:N56" si="89">State&amp;":  "&amp;Fract_Key_Chemical&amp;" "&amp;Chemical&amp;", "&amp;WtFract_2&amp;" "&amp;Chemical_2&amp;", "&amp;WtFract_3&amp;" "&amp;Chemical_3&amp;", "&amp;WtFract_4&amp;" "&amp;Chemical_4&amp;", "&amp;WtFract_5&amp;" "&amp;Chemical_5</f>
        <v xml:space="preserve">Liquid:   ,  ,  ,  ,  </v>
      </c>
      <c r="O51" s="1434">
        <f>ROUND('Release Calculations'!$BU$15,0)</f>
        <v>0</v>
      </c>
      <c r="P51" s="1434">
        <f t="shared" ref="P51:P56" si="90">ROUND(Burst_P/$P$4,2)</f>
        <v>0</v>
      </c>
      <c r="Q51" s="1446" t="str">
        <f t="shared" ref="Q51:Q56" si="91">IF(Report_P&lt;&gt;"",Report_P,P_Units)</f>
        <v>bar</v>
      </c>
      <c r="R51" s="1434" t="str">
        <f>IF(Rupture_10min="Yes",sig('Release Calculations'!$BU$16/Rupture_Time,3,10,0),"")</f>
        <v/>
      </c>
      <c r="S51" s="1447" t="str">
        <f t="shared" ref="S51:S56" si="92">IF(Rupture_10min="Yes",Small_Leak_Units,"Instantaneous")</f>
        <v>Instantaneous</v>
      </c>
      <c r="T51" s="1435">
        <f t="shared" ref="T51:T56" si="93">IF(Rupture_10min="Yes",ROUND(Rupture_Time,0)/$T$4,0)</f>
        <v>0</v>
      </c>
      <c r="U51" s="1434">
        <f>ROUND(('Release Calculations'!$BU$14+Rupture_Time)/$U$4,0)</f>
        <v>0</v>
      </c>
      <c r="V51" s="1434">
        <f>sig('Release Calculations'!$BU$55/$V$4,3,100,0)</f>
        <v>0</v>
      </c>
      <c r="W51" s="1435" t="str">
        <f t="shared" ref="W51:W56" si="94">IF(Report_A&lt;&gt;"",Report_A,IF(Dike_Area_Units="","sq m",Dike_Area_Units))</f>
        <v>sq m</v>
      </c>
      <c r="X51" s="1438">
        <f>ROUND('Release Calculations'!BU$214,3)</f>
        <v>0</v>
      </c>
      <c r="Y51" s="1458" t="str">
        <f>IF('Release Calculations'!$BU$225="","",sig('Release Calculations'!$BU$225,3,1000,0))</f>
        <v/>
      </c>
      <c r="Z51" s="1458" t="str">
        <f>IF('Release Calculations'!$BU$231="","",sig('Release Calculations'!$BU$231,3,1000,0))</f>
        <v/>
      </c>
      <c r="AA51" s="1458" t="str">
        <f>IF('Release Calculations'!$BU$255="","",sig('Release Calculations'!$BU$255,3,1000,0))</f>
        <v/>
      </c>
      <c r="AB51" s="1458" t="str">
        <f>IF('Release Calculations'!$BU$261="","",sig('Release Calculations'!$BU$261,3,1000,0))</f>
        <v/>
      </c>
      <c r="AC51" s="1458" t="str">
        <f>IF('Release Calculations'!$BU$267="","",sig('Release Calculations'!$BU$267,3,1000,0))</f>
        <v/>
      </c>
      <c r="AD51" s="1196" t="str">
        <f>IF('Release Calculations'!$BU$249="","",ROUND('Release Calculations'!$BU$249,1))</f>
        <v/>
      </c>
      <c r="AE51" s="1434">
        <f>sig('Release Calculations'!$BU$70/$AE$4,3,100,0)</f>
        <v>0</v>
      </c>
      <c r="AF51" s="1435" t="str">
        <f t="shared" ref="AF51:AF57" si="95">Small_Leak_AQ_Units</f>
        <v>kg</v>
      </c>
      <c r="AG51" s="1326" t="str">
        <f>sig('Release Calculations'!$BU$89/$AG$4,3,10,3)</f>
        <v/>
      </c>
      <c r="AH51" s="1435" t="str">
        <f t="shared" ref="AH51:AH57" si="96">IF(AG51="","Instantaneous",Small_Leak_Units)</f>
        <v>Instantaneous</v>
      </c>
      <c r="AI51" s="1434">
        <f>sig('Release Calculations'!$BU$282/$AI$4,3,100,0)</f>
        <v>0</v>
      </c>
      <c r="AJ51" s="1435" t="str">
        <f t="shared" ref="AJ51:AJ57" si="97">IF(Report_D&lt;&gt;"",Report_D,Public_Units)</f>
        <v>m</v>
      </c>
      <c r="AK51" s="1434">
        <f>sig('Release Calculations'!$BU$285/$AK$4,3,100,0)</f>
        <v>0</v>
      </c>
      <c r="AL51" s="1435"/>
      <c r="AM51" s="1434">
        <f>sig('Release Calculations'!$BU$287/$AM$4,3,100,0)</f>
        <v>0</v>
      </c>
      <c r="AN51" s="1435" t="str">
        <f t="shared" ref="AN51:AN57" si="98">IF(Report_D&lt;&gt;"",Report_D,Public_Units)</f>
        <v>m</v>
      </c>
      <c r="AO51" s="1434">
        <f>sig('Release Calculations'!$BU$288/$AO$4,3,100,0)</f>
        <v>0</v>
      </c>
      <c r="AP51" s="1452" t="str">
        <f t="shared" ref="AP51:AP57" si="99">IF(Report_D&lt;&gt;"",Report_D,Public_Units)</f>
        <v>m</v>
      </c>
      <c r="AQ51" s="1434">
        <f>sig('Release Calculations'!$BU$290/$AQ$4,3,100,0)</f>
        <v>0</v>
      </c>
      <c r="AR51" s="1452" t="str">
        <f t="shared" ref="AR51:AR57" si="100">IF(Report_D&lt;&gt;"",Report_D,Public_Units)</f>
        <v>m</v>
      </c>
      <c r="AS51" s="1452" t="str">
        <f t="shared" ref="AS51:AS57" si="101">IF(Occ_Bldg_Name=0,"",Occ_Bldg_Name)</f>
        <v/>
      </c>
      <c r="AT51" s="1452" t="str">
        <f t="shared" ref="AT51:AT57" si="102">IF(Occ_Bldg2_Name=0,"",Occ_Bldg2_Name)</f>
        <v/>
      </c>
      <c r="AU51" s="1452" t="str">
        <f t="shared" ref="AU51:AU57" si="103">IF(Occ_Bldg2_Direction=0,"",Occ_Bldg2_Direction)</f>
        <v/>
      </c>
      <c r="AV51" s="114">
        <f>sig('Release Calculations'!$BU$296,3,1000,-1)</f>
        <v>0</v>
      </c>
      <c r="AW51" s="114">
        <f>sig('Release Calculations'!$BU$297,3,1000,-1)</f>
        <v>0</v>
      </c>
      <c r="AX51" s="114" t="str">
        <f>sig('Release Calculations'!$BU$298,3,1000,0)</f>
        <v/>
      </c>
      <c r="AY51" s="114" t="str">
        <f>sig('Release Calculations'!$BU$299,3,1000,0)</f>
        <v/>
      </c>
      <c r="AZ51" s="114">
        <f>sig('Release Calculations'!$BU$300,3,1000,-1)</f>
        <v>0</v>
      </c>
      <c r="BA51" s="114">
        <f>sig('Release Calculations'!$BU$301,3,1000,-1)</f>
        <v>0</v>
      </c>
      <c r="BB51" s="114" t="str">
        <f>sig('Release Calculations'!$BU$302,3,10,3)</f>
        <v/>
      </c>
      <c r="BC51" s="2576" t="str">
        <f>sig('Release Calculations'!$BU$303,3,10,3)</f>
        <v/>
      </c>
      <c r="BD51" s="2569">
        <f>sig('Release Calculations'!$BU$320/$BD$4,3,100,0)</f>
        <v>0</v>
      </c>
      <c r="BE51" s="1435" t="str">
        <f t="shared" ref="BE51:BG57" si="104">IF(Report_D&lt;&gt;"",Report_D,Public_Units)</f>
        <v>m</v>
      </c>
      <c r="BF51" s="2569">
        <f>sig('Release Calculations'!$BU$319/$BF$4,3,100,0)</f>
        <v>0</v>
      </c>
      <c r="BG51" s="1435" t="str">
        <f t="shared" si="104"/>
        <v>m</v>
      </c>
      <c r="BH51" s="1434">
        <f>sig(MAX('Release Calculations'!$BU$438,'Release Calculations'!BU439)/$BJ$4,3,100,0)</f>
        <v>0</v>
      </c>
      <c r="BI51" s="1435" t="str">
        <f t="shared" ref="BI51:BI57" si="105">IF(Report_D&lt;&gt;"",Report_D,Public_Units)</f>
        <v>m</v>
      </c>
      <c r="BJ51" s="1434">
        <f>sig('Release Calculations'!$BU$342/$BJ$4,3,100,0)</f>
        <v>0</v>
      </c>
      <c r="BK51" s="1435" t="str">
        <f t="shared" ref="BK51:BM57" si="106">IF(Report_D&lt;&gt;"",Report_D,Public_Units)</f>
        <v>m</v>
      </c>
      <c r="BL51" s="2655">
        <f>sig('Release Calculations'!$BU$439/$BJ$4,3,100,0)</f>
        <v>0</v>
      </c>
      <c r="BM51" s="1435" t="str">
        <f t="shared" si="106"/>
        <v>m</v>
      </c>
      <c r="BN51" s="1505">
        <f>ROUND('Release Calculations'!$BU$345,1)</f>
        <v>0</v>
      </c>
      <c r="BO51" s="1505">
        <f>ROUND('Release Calculations'!$BU$347,1)</f>
        <v>0</v>
      </c>
      <c r="BP51" s="1503" t="str">
        <f>sig('Release Calculations'!$BU$90/$BP$4,3,10,1)</f>
        <v/>
      </c>
      <c r="BQ51" s="1435" t="str">
        <f t="shared" ref="BQ51:BQ56" si="107">IF(BP51="","Instantaneous",Small_Leak_Units)</f>
        <v>Instantaneous</v>
      </c>
      <c r="BR51" s="1434">
        <f>sig(IF(Location="Indoors",'Release Calculations'!$BU$311/$BR$4,'Release Calculations'!$BU$325/$BR$4),3,100,0)</f>
        <v>0</v>
      </c>
      <c r="BS51" s="1435" t="str">
        <f t="shared" ref="BS51:BS57" si="108">IF(Report_D&lt;&gt;"",Report_D,Public_Units)</f>
        <v>m</v>
      </c>
      <c r="BT51" s="1748">
        <f>ROUND(IF(Location="Indoors",'Release Calculations'!$BU$314,'Release Calculations'!$BU$330),1)</f>
        <v>0</v>
      </c>
      <c r="BU51" s="1748">
        <f>ROUND(IF(Location="Indoors",'Release Calculations'!$BU$316,'Release Calculations'!$BU$334),1)</f>
        <v>0</v>
      </c>
      <c r="BV51" s="1509"/>
      <c r="BW51" s="1445"/>
      <c r="BX51" s="263"/>
      <c r="BY51" s="263"/>
      <c r="BZ51" s="123"/>
      <c r="CA51" s="4" t="str">
        <f>IF('Release Calculations'!BU$368="NA","",'Release Calculations'!BU$368)</f>
        <v/>
      </c>
      <c r="CB51" s="4" t="str">
        <f>IF('Release Calculations'!BU$398="NA","",'Release Calculations'!BU$398)</f>
        <v/>
      </c>
      <c r="CC51" s="4" t="str">
        <f>IF('Release Calculations'!BU$403="NA","",'Release Calculations'!BU$403)</f>
        <v/>
      </c>
      <c r="CD51" s="735" t="str">
        <f>IF('Release Calculations'!BU$408="NA","",'Release Calculations'!BU$408)</f>
        <v/>
      </c>
      <c r="CE51" s="4" t="str">
        <f>IF('Release Calculations'!BU$412="NA","",'Release Calculations'!BU$412)</f>
        <v/>
      </c>
      <c r="CF51" s="4" t="str">
        <f>IF('Release Calculations'!BU$417="NA","",'Release Calculations'!BU$417)</f>
        <v/>
      </c>
      <c r="CG51" s="4" t="str">
        <f>IF('Release Calculations'!BU$437="NA","",'Release Calculations'!BU$437)</f>
        <v/>
      </c>
      <c r="CH51" s="4" t="str">
        <f>IF('Release Calculations'!BU$427="NA","",'Release Calculations'!BU$427)</f>
        <v/>
      </c>
      <c r="CI51" s="4" t="str">
        <f>IF(AND('Release Calculations'!BU444="NA",'Release Calculations'!BU454="NA"),"",IF('Release Calculations'!BU454="NA",'Release Calculations'!BU444,IF('Release Calculations'!BU454&gt;'Release Calculations'!BU444,'Release Calculations'!BU454,'Release Calculations'!BU444)))</f>
        <v/>
      </c>
      <c r="CJ51" s="4"/>
      <c r="CK51" s="4" t="str">
        <f>IF('Release Calculations'!BD435="NA","",'Release Calculations'!BD435)</f>
        <v/>
      </c>
      <c r="CL51" s="19"/>
      <c r="CM51" s="19"/>
      <c r="CN51" s="189" t="str">
        <f>IF(CA51="","",IF('Release Calculations'!BU$284="Yes",IF(CA51=Conseq_VeryLow,Desc_VeryLow,IF(CA51=Conseq_Low,Desc_Low,IF(CA51=Conseq_Moderate,Desc_Moderate,IF(CA51=Conseq_High,Desc_High,IF(CA51=Conseq_VeryHigh,Desc_VeryHigh,IF(CA51=Conseq_ExtremeHigh,Desc_ExtremeHigh,Desc_GT_ExtremeHigh)))))),IF(CA51=Conseq_Low_Offsite,Desc_Low_Offsite,Desc_VeryLow_Offsite)))</f>
        <v/>
      </c>
      <c r="CO51" s="189" t="str">
        <f t="shared" si="83"/>
        <v/>
      </c>
      <c r="CP51" s="189" t="str">
        <f t="shared" si="83"/>
        <v/>
      </c>
      <c r="CQ51" s="189" t="str">
        <f t="shared" si="83"/>
        <v/>
      </c>
      <c r="CR51" s="189" t="str">
        <f t="shared" si="83"/>
        <v/>
      </c>
      <c r="CS51" s="189" t="str">
        <f t="shared" si="83"/>
        <v/>
      </c>
      <c r="CT51" s="189" t="str">
        <f t="shared" si="83"/>
        <v/>
      </c>
      <c r="CU51" s="189" t="str">
        <f t="shared" si="83"/>
        <v/>
      </c>
      <c r="CV51" s="189" t="str">
        <f t="shared" si="83"/>
        <v/>
      </c>
      <c r="CW51" s="67"/>
      <c r="CX51" s="189" t="str">
        <f t="shared" si="84"/>
        <v/>
      </c>
      <c r="CY51" s="40" t="s">
        <v>822</v>
      </c>
      <c r="CZ51" s="189" t="str">
        <f>IF(CA51="","",IF('Release Calculations'!BU$284="Yes"," at a "&amp;$AI$3&amp;" of "&amp;AI51&amp;" "&amp;AJ51&amp;" which exceeds Distance to the Fence Line of "&amp;Public_Input&amp;" "&amp;Public_Units&amp;"  - Modeled as "&amp;IF(Rupture_10min="Yes","10 Minute Release","Instantaneous Release")))</f>
        <v/>
      </c>
      <c r="DA51" s="189" t="str">
        <f>IF(CB51="","","Modeled as "&amp;IF(Rupture_10min="Yes","10 Minute Release","Instantaneous Release")&amp;IF('Release Calculations'!$BU$292="Yes"," with operating personnel in close proximity and a "&amp;$AM$3&amp;" of "&amp;AM51&amp;" "&amp;AN51," at a "&amp;$AM$3&amp;" of "&amp;AM51&amp;" "&amp;AN51)&amp;IF('Release Calculations'!$BU$287&gt;Public," which exceeds Distance to the Fence Line of "&amp;Public_Input&amp;" "&amp;Public_Units&amp;".  Target Factor may be conservative",))</f>
        <v/>
      </c>
      <c r="DB51" s="226" t="str">
        <f>IF(CC51="","",IF('Release Calculations'!BU305="Yes","and Potential for Asphyxiation","")&amp;IF('Release Calculations'!BU$292="Yes"," with operations personnel in close proximity at an "&amp;$AZ$3&amp;" of "&amp;AZ51&amp;" ppm"," at an "&amp;$AZ$3&amp;" of "&amp;AZ51&amp;" ppm"))</f>
        <v/>
      </c>
      <c r="DC51" s="189" t="str">
        <f t="shared" ref="DC51:DC57" si="109">IF(CD51="",""," at a "&amp;$AV$3&amp;" of "&amp;AV51&amp;" ppm")</f>
        <v/>
      </c>
      <c r="DD51" s="189" t="str">
        <f>IF(CE51="",""," of a "&amp;IF(Ease_of_Ignition_Feed="High","pyrophoric ","high/low temperature ")&amp;IF(Dermal_Tox_Feed&lt;&gt;"","or "&amp;Dermal_Tox_Feed,"")&amp;" chemical"&amp;IF('Release Calculations'!$BU$292="Yes"," with operating personnel in close proximity",""))</f>
        <v/>
      </c>
      <c r="DE51" s="189" t="str">
        <f>IF(CF51="","",IF(Location="Indoors",""," Modeled as "&amp;IF(Rupture_10min="Yes","10 Minute Release","Instantaneous Release"))&amp;IF('Release Calculations'!$BU$292="Yes"," with operating personnel in close proximity and a "&amp;$BF$3&amp;" of "&amp;BF51&amp;" "&amp;BG51," at a "&amp;$BF$3&amp;" of "&amp;BF51&amp;" "&amp;BG51))</f>
        <v/>
      </c>
      <c r="DF51" s="189" t="str">
        <f>IF(CG51="",""," Modeled as "&amp;IF(Rupture_10min="Yes","10 Minute Release","Instantaneous Release")&amp;IF('Release Calculations'!BU$326="Yes"," with "&amp;$BR$3&amp;" of "&amp;BR51&amp;" "&amp;BS51&amp;IF('Release Calculations'!BU$335&lt;&gt;"Yes",""," including "&amp;$BT$3&amp;" of "&amp;BT51)&amp;".  1 psi Blast Overpresssure exceeds Distance to the Fence Line of "&amp;Public_Input&amp;" "&amp;Public_Units&amp;".  Consider adjustment for Off-Site Impacts",IF('Release Calculations'!BU$335&lt;&gt;"Yes"," impacting on site personnel at a "&amp;$BR$3&amp;" of "&amp;BR51&amp;" "&amp;BS51," impacting on site personnel at a "&amp;$BR$3&amp;" of "&amp;BR51&amp;" "&amp;BS51&amp;" including "&amp;$BT$3&amp;" of "&amp;BT51)))</f>
        <v/>
      </c>
      <c r="DG51" s="189" t="str">
        <f>IF(CH51="","",IF('Release Calculations'!BU$312="Yes"," with "&amp;$BR$3&amp;" of "&amp;BR51&amp;" "&amp;BS51&amp;IF('Release Calculations'!BU$317&lt;&gt;"Yes",""," including "&amp;$BT$3&amp;" of "&amp;BT51)&amp;".  1 psi Blast Overpresssure exceeds Distance to the Fence Line of "&amp;Public_Input&amp;" "&amp;Public_Units&amp;".  Consider adjustment for Off-Site Impacts",IF('Release Calculations'!BU$317&lt;&gt;"Yes"," impacting enclosed area operating personnel, on site personnel at a "&amp;$BR$3&amp;" of "&amp;BR51&amp;" "&amp;BS51," impacting enclosed area operating personnel, on site personnel at a "&amp;$BR$3&amp;" of "&amp;BR51&amp;" "&amp;BS51&amp;" including "&amp;$BT$3&amp;" of "&amp;BT51)))</f>
        <v/>
      </c>
      <c r="DH51" s="189" t="str">
        <f>IF(CI51="","",IF('Release Calculations'!BU$343="Yes"," with "&amp;$BH$3&amp;" of "&amp;BH51&amp;" "&amp;BI51&amp;IF('Release Calculations'!BU$348&lt;&gt;"Yes",""," including "&amp;$BN$3&amp;" of "&amp;BN51&amp;" psi.")&amp;" 1 psi Blast Overpresssure exceeds Distance to the Fence Line of "&amp;Public_Input&amp;" "&amp;Public_Units&amp;".  Consider adjustment for Off-Site Impacts",IF('Release Calculations'!BU$348&lt;&gt;"Yes",IF(Attended="Yes"," impacting personnel in close proximity at a "&amp;$BH$3&amp;" of "&amp;BH51&amp;" "&amp;BI51," impacting on site personnel at a "&amp;$BH$3&amp;" of "&amp;BH51&amp;" "&amp;BI51)," impacting on site personnel at a "&amp;$BH$3&amp;" of "&amp;BH51&amp;" "&amp;BI51&amp;" including "&amp;$BN$3&amp;" of "&amp;BN51&amp;" psi")))</f>
        <v/>
      </c>
      <c r="DI51" s="67"/>
      <c r="DJ51" s="189" t="str">
        <f>IF('Release Calculations'!AZ435&gt;0,"Groundwater or Remediation Issue",IF('Release Calculations'!BB435&gt;0,"High Aqueous Toxicity",""))</f>
        <v/>
      </c>
      <c r="DK51" s="19" t="s">
        <v>822</v>
      </c>
      <c r="DL51" s="39"/>
      <c r="DM51" s="239">
        <f>'Release Calculations'!BU396</f>
        <v>0</v>
      </c>
      <c r="DN51" s="239">
        <f>'Release Calculations'!BU$401</f>
        <v>0</v>
      </c>
      <c r="DO51" s="34"/>
      <c r="DP51" s="239">
        <f>'Release Calculations'!BU410</f>
        <v>0</v>
      </c>
      <c r="DQ51" s="239">
        <f>'Release Calculations'!BU415</f>
        <v>0</v>
      </c>
      <c r="DR51" s="34"/>
      <c r="DS51" s="34"/>
      <c r="DT51" s="239">
        <f>IF(AND('Release Calculations'!BU444="NA",'Release Calculations'!BU454="NA"),0,IF('Release Calculations'!BU454="NA",'Release Calculations'!BU442,IF('Release Calculations'!BU454&gt;'Release Calculations'!BU444,0,'Release Calculations'!BU442)))</f>
        <v>0</v>
      </c>
      <c r="DU51" s="34"/>
      <c r="DV51" s="6"/>
      <c r="DW51" s="40"/>
      <c r="DX51" s="250"/>
      <c r="DY51" s="249" t="s">
        <v>2983</v>
      </c>
      <c r="DZ51" s="250" t="s">
        <v>292</v>
      </c>
      <c r="EA51" s="740"/>
      <c r="EB51" s="249" t="str">
        <f>"Probability of Exposure to Hot or Toxic Material"</f>
        <v>Probability of Exposure to Hot or Toxic Material</v>
      </c>
      <c r="EC51" s="249" t="s">
        <v>292</v>
      </c>
      <c r="ED51" s="248"/>
      <c r="EE51" s="248"/>
      <c r="EF51" s="249" t="s">
        <v>292</v>
      </c>
      <c r="EG51" s="248"/>
      <c r="EH51" s="248"/>
      <c r="EI51" s="19"/>
      <c r="EJ51" s="250"/>
      <c r="EK51" s="249" t="str">
        <f>IF(Attended_Op="Yes","Noted as Personnel Routinely in Immediate Area or Equipment Type involves Materials Handling - "&amp;IF('Release Calculations'!BU210
*3600&lt;30," with a very Short Exposure Duration (&lt; 30 sec)","Time at Risk May Apply"),"Probability of Personnel to be in Close Proximity to Chemical Release based on Toxic Impact Area to "&amp;AM51&amp;" "&amp;AN51&amp;IF('Release Calculations'!BU395&lt;0.01," (with potential for higher POE credit upon further review)",""))</f>
        <v>Probability of Personnel to be in Close Proximity to Chemical Release based on Toxic Impact Area to 0 m (with potential for higher POE credit upon further review)</v>
      </c>
      <c r="EL51" s="250" t="str">
        <f>IF(Attended_Op="Yes","Noted as Personnel Routinely in Immediate Area or Equipment Type involves Materials Handling - Time at Risk May Apply","Probability of Personnel to be in Close Proximity to Chemical Release based on Ratio Enclosed Process Area Concentation of "&amp;AZ51&amp;" ppm to 10 ER-3 for "&amp;Chemical&amp;IF(Fract_Key_Chemical&lt;1," mixture "," ")&amp;IF('Release Calculations'!$BU$400&lt;0.01,"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51" s="248"/>
      <c r="EN51"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Calculations'!$BU$409&lt;0.01," (with potential for higher POE credit upon further review)",""))</f>
        <v>Probability of Personnel to be in Close Proximity to Chemical Release based on Spray Distance of 1 m (with potential for higher POE credit upon further review)</v>
      </c>
      <c r="EO51"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"&amp;AZ51&amp;" to "&amp;LFL_Fract_FlashFIre&amp;" LFL","Flammable Impact Area to "&amp;BF51&amp;" "&amp;BG51)&amp;IF('Release Calculations'!$BU$414&lt;0.01," (with potential for higher POE credit upon further review)",""))</f>
        <v>Probability of Personnel to be in Close Proximity to Chemical Release based on Flammable Impact Area to 0 m (with potential for higher POE credit upon further review)</v>
      </c>
      <c r="EP51" s="248"/>
      <c r="EQ51" s="248"/>
      <c r="ER51" s="4" t="str">
        <f>IF(Attended_Op="Yes","Noted as Personnel Routinely in Immediate Area or Equipment Type involves Materials Handling - Time at Risk May Apply","Probability of Personnel to be in Close Proximity to Chemical Release based on Physical Explosion Impact Area to "&amp;BH51&amp;" "&amp;BI51&amp;IF('Release Calculations'!$BU$452&lt;0.01," (with potential for higher POE credit upon further review)",""))</f>
        <v>Probability of Personnel to be in Close Proximity to Chemical Release based on Physical Explosion Impact Area to 0 m (with potential for higher POE credit upon further review)</v>
      </c>
      <c r="ES51" s="248"/>
      <c r="ET51" s="248"/>
      <c r="EU51" s="19"/>
      <c r="EV51" s="1379"/>
      <c r="EW51" s="957">
        <f>'Release Calculations'!BU395</f>
        <v>6.0000000000000008E-7</v>
      </c>
      <c r="EX51" s="957">
        <f>'Release Calculations'!$BU$400</f>
        <v>0</v>
      </c>
      <c r="EY51" s="1380"/>
      <c r="EZ51" s="957">
        <f>'Release Calculations'!$BU$409</f>
        <v>0</v>
      </c>
      <c r="FA51" s="957">
        <f>'Release Calculations'!$BU$414</f>
        <v>0</v>
      </c>
      <c r="FB51" s="6"/>
      <c r="FC51" s="6"/>
      <c r="FD51" s="957">
        <f>IF(AND('Release Calculations'!BU444="NA",'Release Calculations'!BU454="NA"),0,IF('Release Calculations'!BU454="NA",'Release Calculations'!BU441,'Release Calculations'!BU452))</f>
        <v>0</v>
      </c>
      <c r="FE51" s="6"/>
      <c r="FF51" s="6"/>
      <c r="FG51" s="19"/>
      <c r="FH51" s="34"/>
      <c r="FI51" s="34"/>
      <c r="FJ51" s="34"/>
      <c r="FK51" s="739"/>
      <c r="FL51" s="34"/>
      <c r="FM51" s="239" t="str">
        <f>IF(Location="Outdoors",'Release Calculations'!BU$323,'Release Calculations'!BU$309)</f>
        <v/>
      </c>
      <c r="FN51" s="239" t="str">
        <f>'Release Calculations'!BU$324</f>
        <v/>
      </c>
      <c r="FO51" s="39" t="str">
        <f>IF(State&lt;&gt;"Solid",'Release Calculations'!BU$309,Dust_SecondExpl_POE)</f>
        <v/>
      </c>
      <c r="FP51" s="34"/>
      <c r="FQ51" s="34"/>
      <c r="FR51" s="6"/>
      <c r="FS51" s="40"/>
      <c r="FT51" s="248"/>
      <c r="FU51" s="248"/>
      <c r="FV51" s="248"/>
      <c r="FW51" s="741"/>
      <c r="FX51" s="248"/>
      <c r="FY51" s="249" t="s">
        <v>1461</v>
      </c>
      <c r="FZ51" s="249" t="s">
        <v>1460</v>
      </c>
      <c r="GA51" s="250" t="s">
        <v>1461</v>
      </c>
      <c r="GB51" s="248"/>
      <c r="GC51" s="248"/>
      <c r="GD51" s="248"/>
      <c r="GE51" s="19"/>
      <c r="GF51" s="248"/>
      <c r="GG51" s="248"/>
      <c r="GH51" s="248"/>
      <c r="GI51" s="741"/>
      <c r="GJ51" s="248"/>
      <c r="GK51" s="3148"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"&amp;BP51&amp;" "&amp;BQ51&amp;" Easily Ignited Material with Distance to LFL of "&amp;BD51&amp;" "&amp;BE51,IF(OR(Ease_of_Ignition_Feed="Low",AND(Flash_Pt_Feed&gt;MAX(Ambient_Temp,T),Aerosol_Potential="Yes")),"Outdoor Release of Difficult to Ignite Material or Combustible Aerosol","Outdoor release of "&amp;BP51&amp;" "&amp;BQ51&amp;" Flammable Material with Distance to LFL of "&amp;BD51&amp;" "&amp;BE51)),IF(Ease_of_Ignition_Feed="Elevated","Indoor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51" s="2581" t="str">
        <f>IF(Flash_Pt_Feed="","No Flash Point Entered",IF(Ease_of_Ignition_Feed="High","Noted as Pyrophoric Material",IF(Ease_of_Ignition_Feed="Elevated","Outdoor Release of "&amp;BP51&amp;" " &amp;BQ51&amp;" Easily Ignited Material with Distance to LFL of "&amp;BD51&amp;" "&amp;BE51&amp;"-POX",IF(Ease_of_Ignition_Feed="Low","Outdoor Release of "&amp;BP51&amp;" " &amp;BQ51&amp;" Difficult to Ignite Material with Distance to LFL of "&amp;BD51&amp;" "&amp;BE51&amp;"-POX","Outdoor Release of "&amp;BP51&amp;" " &amp;BQ51&amp;" Flammable Material with Distance to LFL of "&amp;BD51&amp;" "&amp;BE51&amp;"-POX"))))</f>
        <v>No Flash Point Entered</v>
      </c>
      <c r="GM51" s="250" t="str">
        <f>IF(OR(Ease_of_Ignition_Feed="High",Ease_of_Ignition_Feed="Elevated"),"Indoor Release of Easily Ignited Material-POX",IF(Ease_of_Ignition_Feed="Low","Indoor Release of Difficult to Ignite Material-POX","Indoor Release of Flammable Material-POX"))</f>
        <v>Indoor Release of Flammable Material-POX</v>
      </c>
      <c r="GN51" s="248"/>
      <c r="GO51" s="248"/>
      <c r="GP51" s="248"/>
      <c r="GQ51" s="19"/>
      <c r="GR51" s="189" t="str">
        <f t="shared" si="35"/>
        <v/>
      </c>
      <c r="GS51" s="26"/>
      <c r="GT51" s="26"/>
      <c r="GU51" s="26"/>
      <c r="GV51" s="26"/>
      <c r="GW51" s="26"/>
      <c r="GX51" s="26"/>
      <c r="GY51" s="26"/>
      <c r="GZ51" s="26"/>
      <c r="HA51" s="26"/>
      <c r="HB51" s="26"/>
      <c r="HC51" s="26"/>
      <c r="HD51" s="26"/>
      <c r="HE51" s="26"/>
      <c r="HF51" s="26"/>
      <c r="HG51" s="26"/>
      <c r="HH51" s="26"/>
      <c r="HI51" s="26"/>
    </row>
    <row r="52" spans="1:220" s="30" customFormat="1" ht="12.75" customHeight="1" x14ac:dyDescent="0.25">
      <c r="A52" s="35"/>
      <c r="B52" s="64" t="str">
        <f>'Scenario Identification'!DE3</f>
        <v>Equipment Rupture at Saturation Temperature</v>
      </c>
      <c r="C52" s="1457" t="str">
        <f t="shared" si="80"/>
        <v/>
      </c>
      <c r="D52" s="65"/>
      <c r="E52" s="2483" t="str">
        <f>IF(MAX('Release Calculations'!BY35,'Release Calculations'!BY43,'Release Calculations'!BY62,1-'Release Calculations'!BY82,ABS(MIN('Release Calculations'!BY35,'Release Calculations'!BY43,'Release Calculations'!BY62,1-'Release Calculations'!BY82)))&gt;$E$4,"Yes","")</f>
        <v/>
      </c>
      <c r="F52" s="1418" t="s">
        <v>428</v>
      </c>
      <c r="G52" s="1434">
        <f t="shared" si="85"/>
        <v>0</v>
      </c>
      <c r="H52" s="1427" t="str">
        <f t="shared" si="86"/>
        <v>liter</v>
      </c>
      <c r="I52" s="1418"/>
      <c r="J52" s="1421"/>
      <c r="K52" s="1427">
        <f t="shared" si="87"/>
        <v>0</v>
      </c>
      <c r="L52" s="1434">
        <f>sig('Release Calculations'!$BY$16/$L$4,3,100,0)</f>
        <v>0</v>
      </c>
      <c r="M52" s="1435" t="str">
        <f t="shared" si="88"/>
        <v>kg</v>
      </c>
      <c r="N52" s="1432" t="str">
        <f t="shared" si="89"/>
        <v xml:space="preserve">Liquid:   ,  ,  ,  ,  </v>
      </c>
      <c r="O52" s="1434">
        <f>ROUND('Release Calculations'!$BY$15,0)</f>
        <v>0</v>
      </c>
      <c r="P52" s="1434">
        <f t="shared" si="90"/>
        <v>0</v>
      </c>
      <c r="Q52" s="1446" t="str">
        <f t="shared" si="91"/>
        <v>bar</v>
      </c>
      <c r="R52" s="1434" t="str">
        <f>IF(Rupture_10min="Yes",sig('Release Calculations'!$BY$16/Rupture_Time,3,10,0),"")</f>
        <v/>
      </c>
      <c r="S52" s="1447" t="str">
        <f t="shared" si="92"/>
        <v>Instantaneous</v>
      </c>
      <c r="T52" s="1435">
        <f t="shared" si="93"/>
        <v>0</v>
      </c>
      <c r="U52" s="1434">
        <f>ROUND(('Release Calculations'!$BY$14+Rupture_Time)/$U$4,0)</f>
        <v>0</v>
      </c>
      <c r="V52" s="1434">
        <f>sig('Release Calculations'!$BY$55/$V$4,3,100,0)</f>
        <v>0</v>
      </c>
      <c r="W52" s="1435" t="str">
        <f t="shared" si="94"/>
        <v>sq m</v>
      </c>
      <c r="X52" s="1438">
        <f>ROUND('Release Calculations'!BY$214,3)</f>
        <v>0</v>
      </c>
      <c r="Y52" s="1458" t="str">
        <f>IF('Release Calculations'!$BY$225="","",sig('Release Calculations'!$BY$225,3,1000,0))</f>
        <v/>
      </c>
      <c r="Z52" s="1458" t="str">
        <f>IF('Release Calculations'!$BY$231="","",sig('Release Calculations'!$BY$231,3,1000,0))</f>
        <v/>
      </c>
      <c r="AA52" s="1458" t="str">
        <f>IF('Release Calculations'!$BY$255="","",sig('Release Calculations'!$BY$255,3,1000,0))</f>
        <v/>
      </c>
      <c r="AB52" s="1458" t="str">
        <f>IF('Release Calculations'!$BY$261="","",sig('Release Calculations'!$BY$261,3,1000,0))</f>
        <v/>
      </c>
      <c r="AC52" s="1458" t="str">
        <f>IF('Release Calculations'!$BY$267="","",sig('Release Calculations'!$BY$267,3,1000,0))</f>
        <v/>
      </c>
      <c r="AD52" s="1196" t="str">
        <f>IF('Release Calculations'!$BY$249="","",ROUND('Release Calculations'!$BY$249,1))</f>
        <v/>
      </c>
      <c r="AE52" s="1434">
        <f>sig('Release Calculations'!$BY$70/$AE$4,3,100,0)</f>
        <v>0</v>
      </c>
      <c r="AF52" s="1435" t="str">
        <f t="shared" si="95"/>
        <v>kg</v>
      </c>
      <c r="AG52" s="1326" t="str">
        <f>sig('Release Calculations'!$BY$89/$AG$4,3,10,3)</f>
        <v/>
      </c>
      <c r="AH52" s="1435" t="str">
        <f t="shared" si="96"/>
        <v>Instantaneous</v>
      </c>
      <c r="AI52" s="1434">
        <f>sig('Release Calculations'!$BY$282/$AI$4,3,100,0)</f>
        <v>0</v>
      </c>
      <c r="AJ52" s="1435" t="str">
        <f t="shared" si="97"/>
        <v>m</v>
      </c>
      <c r="AK52" s="1434">
        <f>sig('Release Calculations'!$BY$285/$AK$4,3,100,0)</f>
        <v>0</v>
      </c>
      <c r="AL52" s="1435" t="str">
        <f t="shared" ref="AL52:AL57" si="110">IF(Report_D&lt;&gt;"",Report_D,Public_Units)</f>
        <v>m</v>
      </c>
      <c r="AM52" s="1434">
        <f>sig('Release Calculations'!$BY$287/$AM$4,3,100,0)</f>
        <v>0</v>
      </c>
      <c r="AN52" s="1435" t="str">
        <f t="shared" si="98"/>
        <v>m</v>
      </c>
      <c r="AO52" s="1434">
        <f>sig('Release Calculations'!$BY$288/$AO$4,3,100,0)</f>
        <v>0</v>
      </c>
      <c r="AP52" s="1452" t="str">
        <f t="shared" si="99"/>
        <v>m</v>
      </c>
      <c r="AQ52" s="1434">
        <f>sig('Release Calculations'!$BY$290/$AQ$4,3,100,0)</f>
        <v>0</v>
      </c>
      <c r="AR52" s="1452" t="str">
        <f t="shared" si="100"/>
        <v>m</v>
      </c>
      <c r="AS52" s="1452" t="str">
        <f t="shared" si="101"/>
        <v/>
      </c>
      <c r="AT52" s="1452" t="str">
        <f t="shared" si="102"/>
        <v/>
      </c>
      <c r="AU52" s="1452" t="str">
        <f t="shared" si="103"/>
        <v/>
      </c>
      <c r="AV52" s="114">
        <f>sig('Release Calculations'!$BY$296,3,1000,-1)</f>
        <v>0</v>
      </c>
      <c r="AW52" s="114">
        <f>sig('Release Calculations'!$BY$297,3,1000,-1)</f>
        <v>0</v>
      </c>
      <c r="AX52" s="114" t="str">
        <f>sig('Release Calculations'!$BY$298,3,1000,0)</f>
        <v/>
      </c>
      <c r="AY52" s="114" t="str">
        <f>sig('Release Calculations'!$BY$299,3,1000,0)</f>
        <v/>
      </c>
      <c r="AZ52" s="114">
        <f>sig('Release Calculations'!$BY$300,3,1000,-1)</f>
        <v>0</v>
      </c>
      <c r="BA52" s="114">
        <f>sig('Release Calculations'!$BY$301,3,1000,-1)</f>
        <v>0</v>
      </c>
      <c r="BB52" s="114" t="str">
        <f>sig('Release Calculations'!$BY$302,3,10,3)</f>
        <v/>
      </c>
      <c r="BC52" s="2576" t="str">
        <f>sig('Release Calculations'!$BY$303,3,10,3)</f>
        <v/>
      </c>
      <c r="BD52" s="2569">
        <f>sig('Release Calculations'!$BY$320/$BD$4,3,100,0)</f>
        <v>0</v>
      </c>
      <c r="BE52" s="1435" t="str">
        <f t="shared" si="104"/>
        <v>m</v>
      </c>
      <c r="BF52" s="2569">
        <f>sig('Release Calculations'!$BY$319/$BF$4,3,100,0)</f>
        <v>0</v>
      </c>
      <c r="BG52" s="1435" t="str">
        <f t="shared" si="104"/>
        <v>m</v>
      </c>
      <c r="BH52" s="1434">
        <f>sig(MAX('Release Calculations'!$BY$438,'Release Calculations'!$BY$439)/$BJ$4,3,100,0)</f>
        <v>0</v>
      </c>
      <c r="BI52" s="1435" t="str">
        <f t="shared" si="105"/>
        <v>m</v>
      </c>
      <c r="BJ52" s="1434">
        <f>sig('Release Calculations'!$BY$342/$BJ$4,3,100,0)</f>
        <v>0</v>
      </c>
      <c r="BK52" s="1435" t="str">
        <f t="shared" si="106"/>
        <v>m</v>
      </c>
      <c r="BL52" s="2569">
        <f>sig('Release Calculations'!$BY$439/$BJ$4,3,100,0)</f>
        <v>0</v>
      </c>
      <c r="BM52" s="1435" t="str">
        <f t="shared" si="106"/>
        <v>m</v>
      </c>
      <c r="BN52" s="1505">
        <f>ROUND('Release Calculations'!$BY$345,1)</f>
        <v>0</v>
      </c>
      <c r="BO52" s="1505">
        <f>ROUND('Release Calculations'!$BY$347,1)</f>
        <v>0</v>
      </c>
      <c r="BP52" s="1503" t="str">
        <f>sig('Release Calculations'!$BY$90/$BP$4,3,10,1)</f>
        <v/>
      </c>
      <c r="BQ52" s="1435" t="str">
        <f t="shared" si="107"/>
        <v>Instantaneous</v>
      </c>
      <c r="BR52" s="1434">
        <f>sig(IF(Location="Indoors",'Release Calculations'!$BY$311/$BR$4,'Release Calculations'!$BY$325/$BR$4),3,100,0)</f>
        <v>0</v>
      </c>
      <c r="BS52" s="1435" t="str">
        <f t="shared" si="108"/>
        <v>m</v>
      </c>
      <c r="BT52" s="1748">
        <f>ROUND(IF(Location="Indoors",'Release Calculations'!$BY$314,'Release Calculations'!$BY$330),1)</f>
        <v>0</v>
      </c>
      <c r="BU52" s="1748">
        <f>ROUND(IF(Location="Indoors",'Release Calculations'!$BY$316,'Release Calculations'!$BY$334),1)</f>
        <v>0</v>
      </c>
      <c r="BV52" s="1509"/>
      <c r="BW52" s="1445"/>
      <c r="BX52" s="263"/>
      <c r="BY52" s="263"/>
      <c r="BZ52" s="123"/>
      <c r="CA52" s="4" t="str">
        <f>IF('Release Calculations'!BY$368="NA","",'Release Calculations'!BY$368)</f>
        <v/>
      </c>
      <c r="CB52" s="4" t="str">
        <f>IF('Release Calculations'!BY$398="NA","",'Release Calculations'!BY$398)</f>
        <v/>
      </c>
      <c r="CC52" s="4" t="str">
        <f>IF('Release Calculations'!BY$403="NA","",'Release Calculations'!BY$403)</f>
        <v/>
      </c>
      <c r="CD52" s="735" t="str">
        <f>IF('Release Calculations'!BY$408="NA","",'Release Calculations'!BY$408)</f>
        <v/>
      </c>
      <c r="CE52" s="4" t="str">
        <f>IF('Release Calculations'!BY$412="NA","",'Release Calculations'!BY$412)</f>
        <v/>
      </c>
      <c r="CF52" s="4" t="str">
        <f>IF('Release Calculations'!BY$417="NA","",'Release Calculations'!BY$417)</f>
        <v/>
      </c>
      <c r="CG52" s="4" t="str">
        <f>IF('Release Calculations'!BY$437="NA","",'Release Calculations'!BY$437)</f>
        <v/>
      </c>
      <c r="CH52" s="4" t="str">
        <f>IF('Release Calculations'!BY$427="NA","",'Release Calculations'!BY$427)</f>
        <v/>
      </c>
      <c r="CI52" s="4" t="str">
        <f>IF(AND('Release Calculations'!BY444="NA",'Release Calculations'!BY454="NA"),"",IF('Release Calculations'!BY454="NA",'Release Calculations'!BY444,IF('Release Calculations'!BY454&gt;'Release Calculations'!BY444,'Release Calculations'!BY454,'Release Calculations'!BY444)))</f>
        <v/>
      </c>
      <c r="CJ52" s="4"/>
      <c r="CK52" s="4" t="str">
        <f>IF('Release Calculations'!BD436="NA","",'Release Calculations'!BD436)</f>
        <v/>
      </c>
      <c r="CL52" s="19"/>
      <c r="CM52" s="19"/>
      <c r="CN52" s="189" t="str">
        <f>IF(CA52="","",IF('Release Calculations'!BY$284="Yes",IF(CA52=Conseq_VeryLow,Desc_VeryLow,IF(CA52=Conseq_Low,Desc_Low,IF(CA52=Conseq_Moderate,Desc_Moderate,IF(CA52=Conseq_High,Desc_High,IF(CA52=Conseq_VeryHigh,Desc_VeryHigh,IF(CA52=Conseq_ExtremeHigh,Desc_ExtremeHigh,Desc_GT_ExtremeHigh)))))),IF(CA52=Conseq_Low_Offsite,Desc_Low_Offsite,Desc_VeryLow_Offsite)))</f>
        <v/>
      </c>
      <c r="CO52" s="189" t="str">
        <f t="shared" si="83"/>
        <v/>
      </c>
      <c r="CP52" s="189" t="str">
        <f t="shared" si="83"/>
        <v/>
      </c>
      <c r="CQ52" s="189" t="str">
        <f t="shared" si="83"/>
        <v/>
      </c>
      <c r="CR52" s="189" t="str">
        <f t="shared" si="83"/>
        <v/>
      </c>
      <c r="CS52" s="189" t="str">
        <f t="shared" si="83"/>
        <v/>
      </c>
      <c r="CT52" s="189" t="str">
        <f t="shared" si="83"/>
        <v/>
      </c>
      <c r="CU52" s="189" t="str">
        <f t="shared" si="83"/>
        <v/>
      </c>
      <c r="CV52" s="189" t="str">
        <f t="shared" si="83"/>
        <v/>
      </c>
      <c r="CW52" s="67"/>
      <c r="CX52" s="189" t="str">
        <f t="shared" si="84"/>
        <v/>
      </c>
      <c r="CY52" s="40" t="s">
        <v>822</v>
      </c>
      <c r="CZ52" s="189" t="str">
        <f>IF(CA52="","",IF('Release Calculations'!BY$284="Yes"," at a "&amp;$AI$3&amp;" of "&amp;AI52&amp;" "&amp;AJ52&amp;" which exceeds Distance to the Fence Line of "&amp;Public_Input&amp;" "&amp;Public_Units&amp;" - Modeled as "&amp;IF(Rupture_10min="Yes","10 Minute Release","Instantaneous Release")))</f>
        <v/>
      </c>
      <c r="DA52" s="189" t="str">
        <f>IF(CB52="","","Modeled as "&amp;IF(Rupture_10min="Yes","10 Minute Release","Instantaneous Release")&amp;IF('Release Calculations'!$BY$292="Yes"," with operating personnel in close proximity and a "&amp;$AM$3&amp;" of "&amp;AM52&amp;" "&amp;AN52," at a "&amp;$AM$3&amp;" of "&amp;AM52&amp;" "&amp;AN52)&amp;IF('Release Calculations'!$BY$287&gt;Public," which exceeds Distance to the Fence Line of "&amp;Public_Input&amp;" "&amp;Public_Units&amp;".  Target Factor may be conservative",))</f>
        <v/>
      </c>
      <c r="DB52" s="226" t="str">
        <f>IF(CC52="","",IF('Release Calculations'!BY305="Yes","and Potential for Asphyxiation","")&amp;IF('Release Calculations'!BY$292="Yes"," with operations personnel in close proximity at an "&amp;$AZ$3&amp;" of "&amp;AZ52&amp;" ppm"," at an "&amp;$AZ$3&amp;" of "&amp;AZ52&amp;" ppm"))</f>
        <v/>
      </c>
      <c r="DC52" s="189" t="str">
        <f t="shared" si="109"/>
        <v/>
      </c>
      <c r="DD52" s="189" t="str">
        <f>IF(CE52="",""," of a "&amp;IF(Ease_of_Ignition_Feed="High","pyrophoric ","high/low temperature ")&amp;IF(Dermal_Tox_Feed&lt;&gt;"","or "&amp;Dermal_Tox_Feed,"")&amp;" chemical"&amp;IF('Release Calculations'!$BY$292="Yes"," with operating personnel in close proximity",""))</f>
        <v/>
      </c>
      <c r="DE52" s="189" t="str">
        <f>IF(CF52="","",IF(Location="Indoors",""," Modeled as "&amp;IF(Rupture_10min="Yes","10 Minute Release","Instantaneous Release"))&amp;IF('Release Calculations'!$BY$292="Yes"," with operating personnel in close proximity and a "&amp;$BF$3&amp;" of "&amp;BF52&amp;" "&amp;BG52," at a "&amp;$BF$3&amp;" of "&amp;BF52&amp;" "&amp;BG52))</f>
        <v/>
      </c>
      <c r="DF52" s="189" t="str">
        <f>IF(CG52="",""," Modeled as "&amp;IF(Rupture_10min="Yes","10 Minute Release","Instantaneous Release")&amp;IF('Release Calculations'!BY$326="Yes"," with "&amp;$BR$3&amp;" of "&amp;BR52&amp;" "&amp;BS52&amp;IF('Release Calculations'!BY$335&lt;&gt;"Yes",""," including "&amp;$BT$3&amp;" of "&amp;BT52)&amp;".  1 psi Blast Overpresssure exceeds Distance to the Fence Line of "&amp;Public_Input&amp;" "&amp;Public_Units&amp;".  Consider adjustment for Off-Site Impacts",IF('Release Calculations'!BY$335&lt;&gt;"Yes"," impacting on site personnel at a "&amp;$BR$3&amp;" of "&amp;BR52&amp;" "&amp;BS52," impacting on site personnel at a "&amp;$BR$3&amp;" of "&amp;BR52&amp;" "&amp;BS52&amp;" including "&amp;$BT$3&amp;" of "&amp;BT52)))</f>
        <v/>
      </c>
      <c r="DG52" s="189" t="str">
        <f>IF(CH52="","",IF('Release Calculations'!BY$312="Yes"," with "&amp;$BR$3&amp;" of "&amp;BR52&amp;" "&amp;BS52&amp;IF('Release Calculations'!BY$317&lt;&gt;"Yes",""," including "&amp;$BT$3&amp;" of "&amp;BT52)&amp;".  1 psi Blast Overpresssure exceeds Distance to the Fence Line of "&amp;Public_Input&amp;" "&amp;Public_Units&amp;".  Consider potential for additinal Off-Site Impacts",IF('Release Calculations'!BY$317&lt;&gt;"Yes"," impacting enclosed area operating personnel, on site personnel at a "&amp;$BR$3&amp;" of "&amp;BR52&amp;" "&amp;BS52," impacting enclosed area operating personnel, on site personnel at a "&amp;$BR$3&amp;" of "&amp;BR52&amp;" "&amp;BS52&amp;" including "&amp;$BT$3&amp;" of "&amp;BT52)))</f>
        <v/>
      </c>
      <c r="DH52" s="189" t="str">
        <f>IF(CI52="","",IF(OR('Release Calculations'!BY$343="Yes",'Release Calculations'!BY$352="Yes")," with "&amp;$BH$3&amp;" of "&amp;BH52&amp;" "&amp;BI52&amp;IF('Release Calculations'!BY$348&lt;&gt;"Yes",""," including "&amp;$BN$3&amp;" of "&amp;BN52&amp;" psi.")&amp;" 1 psi Blast Overpresssure exceeds Distance to the Fence Line of "&amp;Public_Input&amp;" "&amp;Public_Units&amp;".  Consider adjustment for Off-Site Impacts",IF('Release Calculations'!BY$357="Yes",IF('Release Calculations'!BY$348&lt;&gt;"Yes"," from uncontrolled reaction impacting on site personnel at a "&amp;$BH$3&amp;" of "&amp;BH52&amp;" "&amp;BI52," from uncontrolled reaction impacting on site personnel at a "&amp;$BH$3&amp;" of "&amp;BH52&amp;" "&amp;BI52&amp;" including "&amp;$BN$3&amp;" of "&amp;BN52&amp;" psi"),IF('Release Calculations'!BY$348&lt;&gt;"Yes",IF(Attended="Yes"," impacting personnel in close proximity at a "&amp;$BH$3&amp;" of "&amp;BH52&amp;" "&amp;BI52," impacting on site personnel at a "&amp;$BH$3&amp;" of "&amp;BH52&amp;" "&amp;BI52)," impacting on site personnel at a "&amp;$BH$3&amp;" of "&amp;BH52&amp;" "&amp;BI52&amp;" including "&amp;$BN$3&amp;" of "&amp;BN52&amp;" psi"))))</f>
        <v/>
      </c>
      <c r="DI52" s="67"/>
      <c r="DJ52" s="189" t="str">
        <f>IF('Release Calculations'!AZ436&gt;0,"Groundwater or Remediation Issue",IF('Release Calculations'!BB436&gt;0,"High Aqueous Toxicity",""))</f>
        <v/>
      </c>
      <c r="DK52" s="19" t="s">
        <v>822</v>
      </c>
      <c r="DL52" s="39"/>
      <c r="DM52" s="239">
        <f>'Release Calculations'!BY396</f>
        <v>0</v>
      </c>
      <c r="DN52" s="239">
        <f>'Release Calculations'!BY$401</f>
        <v>0</v>
      </c>
      <c r="DO52" s="34"/>
      <c r="DP52" s="239">
        <f>'Release Calculations'!BY410</f>
        <v>0</v>
      </c>
      <c r="DQ52" s="239">
        <f>'Release Calculations'!BY415</f>
        <v>0</v>
      </c>
      <c r="DR52" s="34"/>
      <c r="DS52" s="34"/>
      <c r="DT52" s="39">
        <f>IF(AND('Release Calculations'!BY444="NA",'Release Calculations'!BY454="NA"),0,IF('Release Calculations'!BY454="NA",'Release Calculations'!BY442,IF('Release Calculations'!BY454&gt;'Release Calculations'!BY444,0,'Release Calculations'!BY442)))</f>
        <v>0</v>
      </c>
      <c r="DU52" s="34"/>
      <c r="DV52" s="6"/>
      <c r="DW52" s="40"/>
      <c r="DX52" s="250"/>
      <c r="DY52" s="249" t="s">
        <v>2983</v>
      </c>
      <c r="DZ52" s="250" t="s">
        <v>292</v>
      </c>
      <c r="EA52" s="740"/>
      <c r="EB52" s="249" t="str">
        <f>IF(AND(Equipment="Pump",Remote_Start="Yes",CI52&lt;&gt;"",CI52&gt;5,Attended="Yes"),"Remote Start Pump or &gt; 10 minutes to Failure","Probability of Exposure to Hot or Toxic Material")</f>
        <v>Probability of Exposure to Hot or Toxic Material</v>
      </c>
      <c r="EC52" s="249" t="s">
        <v>292</v>
      </c>
      <c r="ED52" s="248"/>
      <c r="EE52" s="248"/>
      <c r="EF52" s="250" t="str">
        <f>IF(AND(Equipment="Pump",Remote_Start="Yes",CI52&lt;&gt;"",CI52&gt;4,Attended="Yes"),"Remote Start Pump or &gt; 10 minutes to Failure","Probability of Exposure")</f>
        <v>Probability of Exposure</v>
      </c>
      <c r="EG52" s="248"/>
      <c r="EH52" s="248"/>
      <c r="EI52" s="19"/>
      <c r="EJ52" s="250"/>
      <c r="EK52" s="249" t="str">
        <f>IF(AND(Equipment="Pump",Remote_Start="Yes"),"Noted as Remote Start such that Personnel are Not in the Immediate Proximity of the Pump",IF(Attended_Op="Yes","Noted as Personnel Routinely in Immediate Area or Equipment Type involves Materials Handling - "&amp;IF('Release Calculations'!BY210*3600&lt;30," with a very Short Exposure Duration (&lt; 30 sec)","Time at Risk May Apply"),"Probability of Personnel to be in Close Proximity to Chemical Release based on Toxic Impact Area to "&amp;AM52&amp;" "&amp;AN52&amp;IF('Release Calculations'!BY395&lt;0.01," (with potential for higher POE credit upon further review)","")))</f>
        <v>Probability of Personnel to be in Close Proximity to Chemical Release based on Toxic Impact Area to 0 m (with potential for higher POE credit upon further review)</v>
      </c>
      <c r="EL52" s="250" t="str">
        <f>IF(AND(Equipment="Pump",Remote_Start="Yes"),"Noted as Remote Start such that Personnel are Not in the Immediate Proximity of the Pump",IF(Attended_Op="Yes","Noted as Personnel Routinely in Immediate Area or Equipment Type involves Materials Handling - Time at Risk May Apply","Probability of Personnel to be in Close Proximity to Chemical Release based on Ratio Enclosed Process Area Concentation of "&amp;AZ52&amp;" ppm to 10 ER-3 for "&amp;Chemical&amp;IF(Fract_Key_Chemical&lt;1," mixture "," ")&amp;IF('Release Calculations'!$BY$400&lt;0.01,"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52" s="248"/>
      <c r="EN52" s="249" t="str">
        <f>IF(AND(Equipment="Pump",Remote_Start="Yes"),"Noted as Remote Start such that Personnel are Not in the Immediate Proximity of the Pump",IF(Attended_Op="Yes","Noted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Calculations'!$BY$409&lt;0.01," (with potential for higher POE credit upon further review)","")))</f>
        <v>Probability of Personnel to be in Close Proximity to Chemical Release based on Spray Distance of 1 m (with potential for higher POE credit upon further review)</v>
      </c>
      <c r="EO52" s="249" t="str">
        <f>IF(AND(Equipment="Pump",Remote_Start="Yes"),"Noted as Remote Start such that Personnel are Not in the Immediate Proximity of the Pump",IF(Attended_Op="Yes","Noted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"&amp;AZ52&amp;" to "&amp;LFL_Fract_FlashFIre&amp;" LFL","Flammable Impact Area to "&amp;BF52&amp;" "&amp;BG52)&amp;IF('Release Calculations'!$BY$414&lt;0.01," (with potential for higher POE credit upon further review)","")))</f>
        <v>Probability of Personnel to be in Close Proximity to Chemical Release based on Flammable Impact Area to 0 m (with potential for higher POE credit upon further review)</v>
      </c>
      <c r="EP52" s="248"/>
      <c r="EQ52" s="248"/>
      <c r="ER52" s="4" t="str">
        <f>IF(AND(Equipment="Pump",Remote_Start="Yes",CI52&lt;&gt;"",CI52&gt;4),"Operations Personnel not likely to be in Immediate Proximity of the Pump for Remote Start",IF(Attended_Op="Yes","Noted as Personnel Routinely in Immediate Area or Equipment Type involves Materials Handling - Time at Risk May Apply","Probability of Personnel to be in Close Proximity to Chemical Release based on Physical Explosion Impact Area to "&amp;BH52&amp;" "&amp;BI52&amp;IF('Release Calculations'!$BY$452&lt;0.01," (with potential for higher POE credit upon further review)","")))</f>
        <v>Probability of Personnel to be in Close Proximity to Chemical Release based on Physical Explosion Impact Area to 0 m (with potential for higher POE credit upon further review)</v>
      </c>
      <c r="ES52" s="248"/>
      <c r="ET52" s="248"/>
      <c r="EU52" s="19"/>
      <c r="EV52" s="1379"/>
      <c r="EW52" s="957">
        <f>'Release Calculations'!BY395</f>
        <v>6.0000000000000008E-7</v>
      </c>
      <c r="EX52" s="957">
        <f>'Release Calculations'!$BY$400</f>
        <v>0</v>
      </c>
      <c r="EY52" s="1380"/>
      <c r="EZ52" s="957">
        <f>'Release Calculations'!$BY$409</f>
        <v>0</v>
      </c>
      <c r="FA52" s="957">
        <f>'Release Calculations'!$BY$414</f>
        <v>0</v>
      </c>
      <c r="FB52" s="6"/>
      <c r="FC52" s="6"/>
      <c r="FD52" s="957">
        <f>IF(AND('Release Calculations'!BY444="NA",'Release Calculations'!BY454="NA"),0,IF('Release Calculations'!BY454="NA",'Release Calculations'!BY441,'Release Calculations'!BY452))</f>
        <v>0</v>
      </c>
      <c r="FE52" s="6"/>
      <c r="FF52" s="6"/>
      <c r="FG52" s="19"/>
      <c r="FH52" s="34"/>
      <c r="FI52" s="34"/>
      <c r="FJ52" s="34"/>
      <c r="FK52" s="739"/>
      <c r="FL52" s="34"/>
      <c r="FM52" s="239" t="str">
        <f>IF(Location="Outdoors",'Release Calculations'!BY$323,'Release Calculations'!BY$309)</f>
        <v/>
      </c>
      <c r="FN52" s="239" t="str">
        <f>'Release Calculations'!BY$324</f>
        <v/>
      </c>
      <c r="FO52" s="39" t="str">
        <f>IF(State&lt;&gt;"Solid",'Release Calculations'!BY$309,Dust_SecondExpl_POE)</f>
        <v/>
      </c>
      <c r="FP52" s="34"/>
      <c r="FQ52" s="34"/>
      <c r="FR52" s="6"/>
      <c r="FS52" s="40"/>
      <c r="FT52" s="248"/>
      <c r="FU52" s="248"/>
      <c r="FV52" s="248"/>
      <c r="FW52" s="741"/>
      <c r="FX52" s="248"/>
      <c r="FY52" s="249" t="s">
        <v>1461</v>
      </c>
      <c r="FZ52" s="249" t="s">
        <v>1460</v>
      </c>
      <c r="GA52" s="250" t="s">
        <v>1461</v>
      </c>
      <c r="GB52" s="248"/>
      <c r="GC52" s="248"/>
      <c r="GD52" s="248"/>
      <c r="GE52" s="19"/>
      <c r="GF52" s="248"/>
      <c r="GG52" s="248"/>
      <c r="GH52" s="248"/>
      <c r="GI52" s="741"/>
      <c r="GJ52" s="248"/>
      <c r="GK52" s="3148"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"&amp;BP52&amp;" "&amp;BQ52&amp;" Easily Ignited Material with Distance to LFL of "&amp;BD52&amp;" "&amp;BE52,IF(OR(Ease_of_Ignition_Feed="Low",AND(Flash_Pt_Feed&gt;MAX(Ambient_Temp,T_atBurst),Aerosol_Potential="Yes")),"Outdoor Release of Difficult to Ignite Material or Combustible Aerosol","Outdoor release of "&amp;BP52&amp;" "&amp;BQ52&amp;" Flammable Material with Distance to LFL of "&amp;BD52&amp;" "&amp;BE52)),IF(Ease_of_Ignition_Feed="Elevated","Indoor Release of Easily Ignited Material",IF(OR(Ease_of_Ignition_Feed="Low",AND(Flash_Pt_Feed&gt;MAX(Ambient_Temp,T_atBurst),Aerosol_Potential="Yes")),"Indoor Release of Difficult to Ignite Material or Combustible Aerosol","Indoor Release of Flammable Material")))))))</f>
        <v>No Flash Point Entered</v>
      </c>
      <c r="GL52" s="2581" t="str">
        <f>IF(Flash_Pt_Feed="","No Flash Point Entered",IF(Ease_of_Ignition_Feed="High","Noted as Pyrophoric Material",IF(Ease_of_Ignition_Feed="Elevated","Outdoor Release of "&amp;BP52&amp;" " &amp;BQ52&amp;" Easily Ignited Material with Distance to LFL of "&amp;BD52&amp;" "&amp;BE52&amp;"-POX",IF(Ease_of_Ignition_Feed="Low","Outdoor Release of "&amp;BP52&amp;" " &amp;BQ52&amp;" Difficult to Ignite Material with Distance to LFL of "&amp;BD52&amp;" "&amp;BE52&amp;"-POX","Outdoor Release of "&amp;BP52&amp;" " &amp;BQ52&amp;" Flammable Material with Distance to LFL of "&amp;BD52&amp;" "&amp;BE52&amp;"-POX"))))</f>
        <v>No Flash Point Entered</v>
      </c>
      <c r="GM52" s="250" t="str">
        <f>IF(OR(Ease_of_Ignition_Feed="High",Ease_of_Ignition_Feed="Elevated"),"Indoor Release of Easily Ignited Material-POX",IF(Ease_of_Ignition_Feed="Low","Indoor Release of Difficult to Ignite Material-POX","Indoor Release of Flammable Material-POX"))</f>
        <v>Indoor Release of Flammable Material-POX</v>
      </c>
      <c r="GN52" s="248"/>
      <c r="GO52" s="248"/>
      <c r="GP52" s="248"/>
      <c r="GQ52" s="19"/>
      <c r="GR52" s="189" t="str">
        <f t="shared" si="35"/>
        <v/>
      </c>
      <c r="GS52" s="26"/>
      <c r="GT52" s="26"/>
      <c r="GU52" s="26"/>
      <c r="GV52" s="26"/>
      <c r="GW52" s="26"/>
      <c r="GX52" s="26"/>
      <c r="GY52" s="26"/>
      <c r="GZ52" s="26"/>
      <c r="HA52" s="26"/>
      <c r="HB52" s="26"/>
      <c r="HC52" s="26"/>
      <c r="HD52" s="26"/>
      <c r="HE52" s="26"/>
      <c r="HF52" s="26"/>
      <c r="HG52" s="26"/>
      <c r="HH52" s="26"/>
      <c r="HI52" s="26"/>
    </row>
    <row r="53" spans="1:220" s="30" customFormat="1" ht="12.75" customHeight="1" x14ac:dyDescent="0.25">
      <c r="A53" s="35"/>
      <c r="B53" s="64" t="str">
        <f>'Scenario Identification'!DF3</f>
        <v>Equipment Rupture at Peak Temperature</v>
      </c>
      <c r="C53" s="1457" t="str">
        <f t="shared" si="80"/>
        <v/>
      </c>
      <c r="D53" s="65"/>
      <c r="E53" s="2483" t="str">
        <f>IF(MAX('Release Calculations'!CA35,'Release Calculations'!CA43,'Release Calculations'!CA62,1-'Release Calculations'!CA82,ABS(MIN('Release Calculations'!CA35,'Release Calculations'!CA43,'Release Calculations'!CA62,1-'Release Calculations'!CA82)))&gt;$E$4,"Yes","")</f>
        <v/>
      </c>
      <c r="F53" s="1418" t="s">
        <v>428</v>
      </c>
      <c r="G53" s="1434">
        <f t="shared" si="85"/>
        <v>0</v>
      </c>
      <c r="H53" s="1427" t="str">
        <f t="shared" si="86"/>
        <v>liter</v>
      </c>
      <c r="I53" s="1418"/>
      <c r="J53" s="1421"/>
      <c r="K53" s="1427">
        <f t="shared" si="87"/>
        <v>0</v>
      </c>
      <c r="L53" s="1434">
        <f>sig('Release Calculations'!$CA$16/$L$4,3,100,0)</f>
        <v>0</v>
      </c>
      <c r="M53" s="1435" t="str">
        <f t="shared" si="88"/>
        <v>kg</v>
      </c>
      <c r="N53" s="1432" t="str">
        <f t="shared" si="89"/>
        <v xml:space="preserve">Liquid:   ,  ,  ,  ,  </v>
      </c>
      <c r="O53" s="1434">
        <f>ROUND('Release Calculations'!$CA$15,0)</f>
        <v>0</v>
      </c>
      <c r="P53" s="1434">
        <f t="shared" si="90"/>
        <v>0</v>
      </c>
      <c r="Q53" s="1446" t="str">
        <f t="shared" si="91"/>
        <v>bar</v>
      </c>
      <c r="R53" s="1434" t="str">
        <f>IF(Rupture_10min="Yes",sig('Release Calculations'!$CA$16/Rupture_Time,3,10,0),"")</f>
        <v/>
      </c>
      <c r="S53" s="1447" t="str">
        <f t="shared" si="92"/>
        <v>Instantaneous</v>
      </c>
      <c r="T53" s="1435">
        <f t="shared" si="93"/>
        <v>0</v>
      </c>
      <c r="U53" s="1434">
        <f>ROUND(('Release Calculations'!$CA$14+Rupture_Time)/$U$4,0)</f>
        <v>0</v>
      </c>
      <c r="V53" s="1434">
        <f>sig('Release Calculations'!$CA$55/$V$4,3,100,0)</f>
        <v>0</v>
      </c>
      <c r="W53" s="1435" t="str">
        <f t="shared" si="94"/>
        <v>sq m</v>
      </c>
      <c r="X53" s="1438">
        <f>ROUND('Release Calculations'!CA$214,3)</f>
        <v>0</v>
      </c>
      <c r="Y53" s="1458" t="str">
        <f>IF('Release Calculations'!$CA$225="","",sig('Release Calculations'!$CA$225,3,1000,0))</f>
        <v/>
      </c>
      <c r="Z53" s="1458" t="str">
        <f>IF('Release Calculations'!$CA$231="","",sig('Release Calculations'!$CA$231,3,1000,0))</f>
        <v/>
      </c>
      <c r="AA53" s="1458" t="str">
        <f>IF('Release Calculations'!$CA$255="","",sig('Release Calculations'!$CA$255,3,1000,0))</f>
        <v/>
      </c>
      <c r="AB53" s="1458" t="str">
        <f>IF('Release Calculations'!$CA$261="","",sig('Release Calculations'!$CA$261,3,1000,0))</f>
        <v/>
      </c>
      <c r="AC53" s="1458" t="str">
        <f>IF('Release Calculations'!$CA$267="","",sig('Release Calculations'!$CA$267,3,1000,0))</f>
        <v/>
      </c>
      <c r="AD53" s="1196" t="str">
        <f>IF('Release Calculations'!$CA$249="","",ROUND('Release Calculations'!$CA$249,1))</f>
        <v/>
      </c>
      <c r="AE53" s="1434">
        <f>sig('Release Calculations'!$CA$70/$AE$4,3,100,0)</f>
        <v>0</v>
      </c>
      <c r="AF53" s="1435" t="str">
        <f t="shared" si="95"/>
        <v>kg</v>
      </c>
      <c r="AG53" s="1326" t="str">
        <f>sig('Release Calculations'!$CA$89/$AG$4,3,10,3)</f>
        <v/>
      </c>
      <c r="AH53" s="1435" t="str">
        <f t="shared" si="96"/>
        <v>Instantaneous</v>
      </c>
      <c r="AI53" s="1434">
        <f>sig('Release Calculations'!$CA$282/$AI$4,3,100,0)</f>
        <v>0</v>
      </c>
      <c r="AJ53" s="1435" t="str">
        <f t="shared" si="97"/>
        <v>m</v>
      </c>
      <c r="AK53" s="1434">
        <f>sig('Release Calculations'!$CA$285/$AK$4,3,100,0)</f>
        <v>0</v>
      </c>
      <c r="AL53" s="1435" t="str">
        <f t="shared" si="110"/>
        <v>m</v>
      </c>
      <c r="AM53" s="1434">
        <f>sig('Release Calculations'!$CA$287/$AM$4,3,100,0)</f>
        <v>0</v>
      </c>
      <c r="AN53" s="1435" t="str">
        <f t="shared" si="98"/>
        <v>m</v>
      </c>
      <c r="AO53" s="1434">
        <f>sig('Release Calculations'!$CA$288/$AO$4,3,100,0)</f>
        <v>0</v>
      </c>
      <c r="AP53" s="1452" t="str">
        <f t="shared" si="99"/>
        <v>m</v>
      </c>
      <c r="AQ53" s="1434">
        <f>sig('Release Calculations'!$CA$290/$AQ$4,3,100,0)</f>
        <v>0</v>
      </c>
      <c r="AR53" s="1452" t="str">
        <f t="shared" si="100"/>
        <v>m</v>
      </c>
      <c r="AS53" s="1452" t="str">
        <f t="shared" si="101"/>
        <v/>
      </c>
      <c r="AT53" s="1452" t="str">
        <f t="shared" si="102"/>
        <v/>
      </c>
      <c r="AU53" s="1452" t="str">
        <f t="shared" si="103"/>
        <v/>
      </c>
      <c r="AV53" s="114">
        <f>sig('Release Calculations'!$CA$296,3,1000,-1)</f>
        <v>0</v>
      </c>
      <c r="AW53" s="114">
        <f>sig('Release Calculations'!$CA$297,3,1000,-1)</f>
        <v>0</v>
      </c>
      <c r="AX53" s="114" t="str">
        <f>sig('Release Calculations'!$CA$298,3,1000,0)</f>
        <v/>
      </c>
      <c r="AY53" s="114" t="str">
        <f>sig('Release Calculations'!$CA$299,3,1000,0)</f>
        <v/>
      </c>
      <c r="AZ53" s="114">
        <f>sig('Release Calculations'!$CA$300,3,1000,-1)</f>
        <v>0</v>
      </c>
      <c r="BA53" s="114">
        <f>sig('Release Calculations'!$CA$301,3,1000,-1)</f>
        <v>0</v>
      </c>
      <c r="BB53" s="114" t="str">
        <f>sig('Release Calculations'!$CA$302,3,10,3)</f>
        <v/>
      </c>
      <c r="BC53" s="2576" t="str">
        <f>sig('Release Calculations'!$CA$303,3,10,3)</f>
        <v/>
      </c>
      <c r="BD53" s="2569">
        <f>sig('Release Calculations'!$CA$320/$BD$4,3,100,0)</f>
        <v>0</v>
      </c>
      <c r="BE53" s="1435" t="str">
        <f t="shared" si="104"/>
        <v>m</v>
      </c>
      <c r="BF53" s="2569">
        <f>sig('Release Calculations'!$CA$319/$BF$4,3,100,0)</f>
        <v>0</v>
      </c>
      <c r="BG53" s="1435" t="str">
        <f t="shared" si="104"/>
        <v>m</v>
      </c>
      <c r="BH53" s="1434">
        <f>sig(MAX('Release Calculations'!$CA$438,'Release Calculations'!$CA$439)/$BJ$4,3,100,0)</f>
        <v>0</v>
      </c>
      <c r="BI53" s="1435" t="str">
        <f t="shared" si="105"/>
        <v>m</v>
      </c>
      <c r="BJ53" s="1434">
        <f>sig('Release Calculations'!$CA$342/$BJ$4,3,100,0)</f>
        <v>0</v>
      </c>
      <c r="BK53" s="1435" t="str">
        <f t="shared" si="106"/>
        <v>m</v>
      </c>
      <c r="BL53" s="2569">
        <f>sig('Release Calculations'!$CA$439/$BJ$4,3,100,0)</f>
        <v>0</v>
      </c>
      <c r="BM53" s="1435" t="str">
        <f t="shared" si="106"/>
        <v>m</v>
      </c>
      <c r="BN53" s="1505">
        <f>ROUND('Release Calculations'!$CA$345,1)</f>
        <v>0</v>
      </c>
      <c r="BO53" s="1505">
        <f>ROUND('Release Calculations'!$CA$347,1)</f>
        <v>0</v>
      </c>
      <c r="BP53" s="1503" t="str">
        <f>sig('Release Calculations'!$CA$90/$BP$4,3,10,1)</f>
        <v/>
      </c>
      <c r="BQ53" s="1435" t="str">
        <f t="shared" si="107"/>
        <v>Instantaneous</v>
      </c>
      <c r="BR53" s="1434">
        <f>sig(IF(Location="Indoors",'Release Calculations'!$CA$311/$BR$4,'Release Calculations'!$CA$325/$BR$4),3,100,0)</f>
        <v>0</v>
      </c>
      <c r="BS53" s="1435" t="str">
        <f t="shared" si="108"/>
        <v>m</v>
      </c>
      <c r="BT53" s="1748">
        <f>ROUND(IF(Location="Indoors",'Release Calculations'!$CA$314,'Release Calculations'!$CA$330),1)</f>
        <v>0</v>
      </c>
      <c r="BU53" s="1748">
        <f>ROUND(IF(Location="Indoors",'Release Calculations'!$CA$316,'Release Calculations'!$CA$334),1)</f>
        <v>0</v>
      </c>
      <c r="BV53" s="1509"/>
      <c r="BW53" s="1445"/>
      <c r="BX53" s="263"/>
      <c r="BY53" s="263"/>
      <c r="BZ53" s="123"/>
      <c r="CA53" s="491" t="str">
        <f>IF('Release Calculations'!CA$368="NA","",'Release Calculations'!CA$368)</f>
        <v/>
      </c>
      <c r="CB53" s="491" t="str">
        <f>IF('Release Calculations'!CA$398="NA","",'Release Calculations'!CA$398)</f>
        <v/>
      </c>
      <c r="CC53" s="491" t="str">
        <f>IF('Release Calculations'!CA$403="NA","",'Release Calculations'!CA$403)</f>
        <v/>
      </c>
      <c r="CD53" s="735" t="str">
        <f>IF('Release Calculations'!CA$408="NA","",'Release Calculations'!CA$408)</f>
        <v/>
      </c>
      <c r="CE53" s="491" t="str">
        <f>IF('Release Calculations'!CA$412="NA","",'Release Calculations'!CA$412)</f>
        <v/>
      </c>
      <c r="CF53" s="491" t="str">
        <f>IF('Release Calculations'!CA$417="NA","",'Release Calculations'!CA$417)</f>
        <v/>
      </c>
      <c r="CG53" s="491" t="str">
        <f>IF('Release Calculations'!CA$437="NA","",'Release Calculations'!CA$437)</f>
        <v/>
      </c>
      <c r="CH53" s="491" t="str">
        <f>IF('Release Calculations'!CA$427="NA","",'Release Calculations'!CA$427)</f>
        <v/>
      </c>
      <c r="CI53" s="491" t="str">
        <f>IF(AND('Release Calculations'!CA444="NA",'Release Calculations'!CA454="NA"),"",IF('Release Calculations'!CA454="NA",'Release Calculations'!CA444,IF('Release Calculations'!CA454&gt;'Release Calculations'!CA444,'Release Calculations'!CA454,'Release Calculations'!CA444)))</f>
        <v/>
      </c>
      <c r="CJ53" s="491"/>
      <c r="CK53" s="491" t="str">
        <f>IF('Release Calculations'!BD437="NA","",'Release Calculations'!BD437)</f>
        <v/>
      </c>
      <c r="CL53" s="19"/>
      <c r="CM53" s="19"/>
      <c r="CN53" s="501" t="str">
        <f>IF(CA53="","",IF('Release Calculations'!CA$284="Yes",IF(CA53=Conseq_VeryLow,Desc_VeryLow,IF(CA53=Conseq_Low,Desc_Low,IF(CA53=Conseq_Moderate,Desc_Moderate,IF(CA53=Conseq_High,Desc_High,IF(CA53=Conseq_VeryHigh,Desc_VeryHigh,IF(CA53=Conseq_ExtremeHigh,Desc_ExtremeHigh,Desc_GT_ExtremeHigh)))))),IF(CA53=Conseq_Low_Offsite,Desc_Low_Offsite,Desc_VeryLow_Offsite)))</f>
        <v/>
      </c>
      <c r="CO53" s="189" t="str">
        <f t="shared" si="83"/>
        <v/>
      </c>
      <c r="CP53" s="189" t="str">
        <f t="shared" si="83"/>
        <v/>
      </c>
      <c r="CQ53" s="189" t="str">
        <f t="shared" si="83"/>
        <v/>
      </c>
      <c r="CR53" s="189" t="str">
        <f t="shared" si="83"/>
        <v/>
      </c>
      <c r="CS53" s="189" t="str">
        <f t="shared" si="83"/>
        <v/>
      </c>
      <c r="CT53" s="189" t="str">
        <f t="shared" si="83"/>
        <v/>
      </c>
      <c r="CU53" s="189" t="str">
        <f t="shared" si="83"/>
        <v/>
      </c>
      <c r="CV53" s="189" t="str">
        <f t="shared" si="83"/>
        <v/>
      </c>
      <c r="CW53" s="67"/>
      <c r="CX53" s="189" t="str">
        <f t="shared" si="84"/>
        <v/>
      </c>
      <c r="CY53" s="40"/>
      <c r="CZ53" s="501" t="str">
        <f>IF(CA53="","",IF('Release Calculations'!CA$284="Yes"," at a "&amp;$AI$3&amp;" of "&amp;AI53&amp;" "&amp;AJ53&amp;" which exceeds Distance to the Fence Line of "&amp;Public_Input&amp;" "&amp;Public_Units&amp;" - Modeled as "&amp;IF(Rupture_10min="Yes","10 Minute Release","Instantaneous Release")))</f>
        <v/>
      </c>
      <c r="DA53" s="189" t="str">
        <f>IF(CB53="","","Modeled as "&amp;IF(Rupture_10min="Yes","10 Minute Release","Instantaneous Release")&amp;IF('Release Calculations'!$CA$292="Yes"," with operating personnel in close proximity and a "&amp;$AM$3&amp;" of "&amp;AM53&amp;" "&amp;AN53," at a "&amp;$AM$3&amp;" of "&amp;AM53&amp;" "&amp;AN53)&amp;IF('Release Calculations'!$CA$287&gt;Public," which exceeds Distance to the Fence Line of "&amp;Public_Input&amp;" "&amp;Public_Units&amp;".  Target Factor may be conservative",))</f>
        <v/>
      </c>
      <c r="DB53" s="226" t="str">
        <f>IF(CC53="","",IF('Release Calculations'!CA305="Yes","and Potential for Asphyxiation","")&amp;IF('Release Calculations'!CA$292="Yes"," with operations personnel in close proximity at an "&amp;$AZ$3&amp;" of "&amp;AZ53&amp;" ppm"," at an "&amp;$AZ$3&amp;" of "&amp;AZ53&amp;" ppm"))</f>
        <v/>
      </c>
      <c r="DC53" s="189" t="str">
        <f t="shared" si="109"/>
        <v/>
      </c>
      <c r="DD53" s="189" t="str">
        <f>IF(CE53="",""," of a "&amp;IF(Ease_of_Ignition_Feed="High","pyrophoric ","high/low temperature ")&amp;IF(Dermal_Tox_Feed&lt;&gt;"","or "&amp;Dermal_Tox_Feed,"")&amp;" chemical"&amp;IF('Release Calculations'!$CA$292="Yes"," with operating personnel in close proximity",""))</f>
        <v/>
      </c>
      <c r="DE53" s="189" t="str">
        <f>IF(CF53="","",IF(Location="Indoors",""," Modeled as "&amp;IF(Rupture_10min="Yes","10 Minute Release","Instantaneous Release"))&amp;IF('Release Calculations'!$CA$292="Yes"," with operating personnel in close proximity and a "&amp;$BF$3&amp;" of "&amp;BF53&amp;" "&amp;BG53," at a "&amp;$BF$3&amp;" of "&amp;BF53&amp;" "&amp;BG53))</f>
        <v/>
      </c>
      <c r="DF53" s="189" t="str">
        <f>IF(CG53="",""," Modeled as "&amp;IF(Rupture_10min="Yes","10 Minute Release","Instantaneous Release")&amp;IF('Release Calculations'!CA$326="Yes"," with "&amp;$BR$3&amp;" of "&amp;BR53&amp;" "&amp;BS53&amp;IF('Release Calculations'!CA$335&lt;&gt;"Yes",""," including "&amp;$BT$3&amp;" of "&amp;BT53)&amp;".  1 psi Blast Overpresssure exceeds Distance to the Fence Line of "&amp;Public_Input&amp;" "&amp;Public_Units&amp;".  Consider adjustment for Off-Site Impacts",IF('Release Calculations'!CA$335&lt;&gt;"Yes"," impacting on site personnel at a "&amp;$BR$3&amp;" of "&amp;BR53&amp;" "&amp;BS53," impacting on site personnel at a "&amp;$BR$3&amp;" of "&amp;BR53&amp;" "&amp;BS53&amp;" including "&amp;$BT$3&amp;" of "&amp;BT53)))</f>
        <v/>
      </c>
      <c r="DG53" s="189" t="str">
        <f>IF(CH53="","",IF('Release Calculations'!CA$312="Yes"," with "&amp;$BR$3&amp;" of "&amp;BR53&amp;" "&amp;BS53&amp;IF('Release Calculations'!CA$317&lt;&gt;"Yes",""," including "&amp;$BT$3&amp;" of "&amp;BT53)&amp;".  1 psi Blast Overpresssure exceeds Distance to the Fence Line of "&amp;Public_Input&amp;" "&amp;Public_Units&amp;".  Consider adjustment for Off-Site Impacts",IF('Release Calculations'!CA$317&lt;&gt;"Yes"," impacting enclosed area operating personnel, on site personnel at a "&amp;$BR$3&amp;" of "&amp;BR53&amp;" "&amp;BS53," impacting enclosed area operating personnel, on site personnel at a "&amp;$BR$3&amp;" of "&amp;BR53&amp;" "&amp;BS53&amp;" including "&amp;$BT$3&amp;" of "&amp;BT53)))</f>
        <v/>
      </c>
      <c r="DH53" s="189" t="str">
        <f>IF(CI53="","",IF(OR('Release Calculations'!CA$343="Yes",'Release Calculations'!CA$352="Yes")," with "&amp;$BH$3&amp;" of "&amp;BH53&amp;" "&amp;BI53&amp;IF('Release Calculations'!CA$348&lt;&gt;"Yes",""," including "&amp;$BN$3&amp;" of "&amp;BN53&amp;" psi.")&amp;" 1 psi Blast Overpresssure exceeds Distance to the Fence Line of "&amp;Public_Input&amp;" "&amp;Public_Units&amp;".  Consider adjustment for Off-Site Impacts",IF('Release Calculations'!CA$357="Yes",IF('Release Calculations'!CA$348&lt;&gt;"Yes"," from uncontrolled reaction impacting on site personnel at a "&amp;$BH$3&amp;" of "&amp;BH53&amp;" "&amp;BI53," from uncontrolled reaction impacting on site personnel at a "&amp;$BH$3&amp;" of "&amp;BH53&amp;" "&amp;BI53&amp;" including "&amp;$BN$3&amp;" of "&amp;BN53&amp;" psi"),IF('Release Calculations'!CA$348&lt;&gt;"Yes",IF(Attended="Yes"," impacting personnel in close proximity at a "&amp;$BH$3&amp;" of "&amp;BH53&amp;" "&amp;BI53," impacting on site personnel at a "&amp;$BH$3&amp;" of "&amp;BH53)," impacting on site personnel at a "&amp;$BH$3&amp;" of "&amp;BH53&amp;" "&amp;BI53&amp;" including "&amp;$BN$3&amp;" of "&amp;BN53&amp;" psi"))))</f>
        <v/>
      </c>
      <c r="DI53" s="67"/>
      <c r="DJ53" s="189" t="str">
        <f>IF('Release Calculations'!AZ437&gt;0,"Groundwater or Remediation Issue",IF('Release Calculations'!BB437&gt;0,"High Aqueous Toxicity",""))</f>
        <v/>
      </c>
      <c r="DK53" s="19"/>
      <c r="DL53" s="39"/>
      <c r="DM53" s="239">
        <f>'Release Calculations'!CA396</f>
        <v>0</v>
      </c>
      <c r="DN53" s="239">
        <f>'Release Calculations'!CA$401</f>
        <v>0</v>
      </c>
      <c r="DO53" s="34"/>
      <c r="DP53" s="239">
        <f>'Release Calculations'!CA410</f>
        <v>0</v>
      </c>
      <c r="DQ53" s="239">
        <f>'Release Calculations'!CA415</f>
        <v>0</v>
      </c>
      <c r="DR53" s="34"/>
      <c r="DS53" s="34"/>
      <c r="DT53" s="39">
        <f>IF(AND('Release Calculations'!CA444="NA",'Release Calculations'!CA454="NA"),0,IF('Release Calculations'!CA454="NA",'Release Calculations'!CA442,IF('Release Calculations'!CA454&gt;'Release Calculations'!CA444,0,'Release Calculations'!CA442)))</f>
        <v>0</v>
      </c>
      <c r="DU53" s="34"/>
      <c r="DV53" s="502"/>
      <c r="DW53" s="40"/>
      <c r="DX53" s="250"/>
      <c r="DY53" s="249" t="s">
        <v>2983</v>
      </c>
      <c r="DZ53" s="250" t="s">
        <v>292</v>
      </c>
      <c r="EA53" s="740"/>
      <c r="EB53" s="249" t="str">
        <f>IF(AND(Equipment="Pump",Remote_Start="Yes",CI53&lt;&gt;"",CI53&gt;5,Attended="Yes"),"Remote Start Pump or &gt; 10 minutes to Failure","Probability of Exposure to Hot or Toxic Material")</f>
        <v>Probability of Exposure to Hot or Toxic Material</v>
      </c>
      <c r="EC53" s="249" t="s">
        <v>292</v>
      </c>
      <c r="ED53" s="248"/>
      <c r="EE53" s="248"/>
      <c r="EF53" s="250" t="str">
        <f>IF(AND(Equipment="Pump",Remote_Start="Yes",CI53&lt;&gt;"",CI53&gt;5,Attended="Yes"),"Remote Start Pump or &gt; 10 minutes to Failure","Probability of Exposure")</f>
        <v>Probability of Exposure</v>
      </c>
      <c r="EG53" s="248"/>
      <c r="EH53" s="248"/>
      <c r="EI53" s="19"/>
      <c r="EJ53" s="250"/>
      <c r="EK53" s="249" t="str">
        <f>IF(Attended_Op="Yes","Noted as Personnel Routinely in Immediate Area or Equipment Type involves Materials Handling - "&amp;IF('Release Calculations'!CA210*3600&lt;30," with a very Short Exposure Duration (&lt; 30 sec)","Time at Risk May Apply"),"Probability of Personnel to be in Close Proximity to Chemical Release based on Toxic Impact Area to "&amp;AM53&amp;" "&amp;AN53&amp;IF('Release Calculations'!CA395&lt;0.01," (with potential for higher POE credit upon further review)",""))</f>
        <v>Probability of Personnel to be in Close Proximity to Chemical Release based on Toxic Impact Area to 0 m (with potential for higher POE credit upon further review)</v>
      </c>
      <c r="EL53" s="250" t="str">
        <f>IF(Attended_Op="Yes","Noted as Personnel Routinely in Immediate Area or Equipment Type involves Materials Handling - Time at Risk May Apply","Probability of Personnel to be in Close Proximity to Chemical Release based on Ratio Enclosed Process Area Concentation of "&amp;AZ53&amp;" ppm to 10 ER-3 for "&amp;Chemical&amp;IF(Fract_Key_Chemical&lt;1," mixture "," ")&amp;IF('Release Calculations'!$CA$400&lt;0.01,"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53" s="248"/>
      <c r="EN53"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Calculations'!$CA$409&lt;0.01," (with potential for higher POE credit upon further review)",""))</f>
        <v>Probability of Personnel to be in Close Proximity to Chemical Release based on Spray Distance of 1 m (with potential for higher POE credit upon further review)</v>
      </c>
      <c r="EO53"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"&amp;AZ53&amp;" to "&amp;LFL_Fract_FlashFIre&amp;" LFL","Flammable Impact Area to "&amp;BF53&amp;" "&amp;BG53)&amp;IF('Release Calculations'!$CA$414&lt;0.01," (with potential for higher POE credit upon further review)",""))</f>
        <v>Probability of Personnel to be in Close Proximity to Chemical Release based on Flammable Impact Area to 0 m (with potential for higher POE credit upon further review)</v>
      </c>
      <c r="EP53" s="248"/>
      <c r="EQ53" s="248"/>
      <c r="ER53" s="4" t="str">
        <f>IF(Attended_Op="Yes","Noted as Personnel Routinely in Immediate Area or Equipment Type involves Materials Handling - Time at Risk May Apply","Probability of Personnel to be in Close Proximity to Chemical Release based on Physical Explosion Impact Area to "&amp;BH53&amp;" "&amp;BI53&amp;IF('Release Calculations'!$CA$452&lt;0.01," (with potential for higher POE credit upon further review)",""))</f>
        <v>Probability of Personnel to be in Close Proximity to Chemical Release based on Physical Explosion Impact Area to 0 m (with potential for higher POE credit upon further review)</v>
      </c>
      <c r="ES53" s="248"/>
      <c r="ET53" s="248"/>
      <c r="EU53" s="19"/>
      <c r="EV53" s="1379"/>
      <c r="EW53" s="957">
        <f>'Release Calculations'!CA395</f>
        <v>6.0000000000000008E-7</v>
      </c>
      <c r="EX53" s="957">
        <f>'Release Calculations'!$CA$400</f>
        <v>0</v>
      </c>
      <c r="EY53" s="1380"/>
      <c r="EZ53" s="957">
        <f>'Release Calculations'!$CA$409</f>
        <v>0</v>
      </c>
      <c r="FA53" s="957">
        <f>'Release Calculations'!$CA$414</f>
        <v>0</v>
      </c>
      <c r="FB53" s="6"/>
      <c r="FC53" s="6"/>
      <c r="FD53" s="957">
        <f>IF(AND('Release Calculations'!CA444="NA",'Release Calculations'!CA454="NA"),0,IF('Release Calculations'!CA454="NA",'Release Calculations'!CA441,'Release Calculations'!CA452))</f>
        <v>0</v>
      </c>
      <c r="FE53" s="6"/>
      <c r="FF53" s="6"/>
      <c r="FG53" s="19"/>
      <c r="FH53" s="499"/>
      <c r="FI53" s="499"/>
      <c r="FJ53" s="499"/>
      <c r="FK53" s="739"/>
      <c r="FL53" s="499"/>
      <c r="FM53" s="239" t="str">
        <f>IF(Location="Outdoors",'Release Calculations'!CA$323,'Release Calculations'!CA$309)</f>
        <v/>
      </c>
      <c r="FN53" s="239" t="str">
        <f>'Release Calculations'!CA$324</f>
        <v/>
      </c>
      <c r="FO53" s="39" t="str">
        <f>IF(State&lt;&gt;"Solid",'Release Calculations'!CA$309,Dust_SecondExpl_POE)</f>
        <v/>
      </c>
      <c r="FP53" s="499"/>
      <c r="FQ53" s="499"/>
      <c r="FR53" s="502"/>
      <c r="FS53" s="40"/>
      <c r="FT53" s="503"/>
      <c r="FU53" s="503"/>
      <c r="FV53" s="503"/>
      <c r="FW53" s="741"/>
      <c r="FX53" s="503"/>
      <c r="FY53" s="249" t="s">
        <v>1461</v>
      </c>
      <c r="FZ53" s="249" t="s">
        <v>1460</v>
      </c>
      <c r="GA53" s="250" t="s">
        <v>1461</v>
      </c>
      <c r="GB53" s="503"/>
      <c r="GC53" s="503"/>
      <c r="GD53" s="503"/>
      <c r="GE53" s="19"/>
      <c r="GF53" s="503"/>
      <c r="GG53" s="503"/>
      <c r="GH53" s="503"/>
      <c r="GI53" s="741"/>
      <c r="GJ53" s="503"/>
      <c r="GK53" s="3148"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"&amp;BP53&amp;" "&amp;BQ53&amp;" Easily Ignited Material with Distance to LFL of "&amp;BD53&amp;" "&amp;BE53,IF(OR(Ease_of_Ignition_Feed="Low",AND(Flash_Pt_Feed&gt;MAX(Ambient_Temp,Tpeak_atBurst),Aerosol_Potential="Yes")),"Outdoor Release of Difficult to Ignite Material or Combustible Aerosol","Outdoor release of "&amp;BP53&amp;" "&amp;BQ53&amp;" Flammable Material with Distance to LFL of "&amp;BD53&amp;" "&amp;BE53)),IF(Ease_of_Ignition_Feed="Elevated","Indoor Release of Easily Ignited Material",IF(OR(Ease_of_Ignition_Feed="Low",AND(Flash_Pt_Feed&gt;MAX(Ambient_Temp,Tpeak_atBurst),Aerosol_Potential="Yes")),"Indoor Release of Difficult to Ignite Material or Combustible Aerosol","Indoor Release of Flammable Material")))))))</f>
        <v>No Flash Point Entered</v>
      </c>
      <c r="GL53" s="2581" t="str">
        <f>IF(Flash_Pt_Feed="","No Flash Point Entered",IF(Ease_of_Ignition_Feed="High","Noted as Pyrophoric Material",IF(Ease_of_Ignition_Feed="Elevated","Outdoor Release of "&amp;BP53&amp;" " &amp;BQ53&amp;" Easily Ignited Material with Distance to LFL of "&amp;BD53&amp;" "&amp;BE53&amp;"-POX",IF(Ease_of_Ignition_Feed="Low","Outdoor Release of "&amp;BP53&amp;" " &amp;BQ53&amp;" Difficult to Ignite Material with Distance to LFL of "&amp;BD53&amp;" "&amp;BE53&amp;"-POX","Outdoor Release of "&amp;BP53&amp;" " &amp;BQ53&amp;" Flammable Material with Distance to LFL of "&amp;BD53&amp;" "&amp;BE53&amp;"-POX"))))</f>
        <v>No Flash Point Entered</v>
      </c>
      <c r="GM53" s="250" t="str">
        <f>IF(OR(Ease_of_Ignition_Feed="High",Ease_of_Ignition_Feed="Elevated"),"Indoor Release of Easily Ignited Material-POX",IF(Ease_of_Ignition_Feed="Low","Indoor Release of Difficult to Ignite Material-POX","Indoor Release of Flammable Material-POX"))</f>
        <v>Indoor Release of Flammable Material-POX</v>
      </c>
      <c r="GN53" s="503"/>
      <c r="GO53" s="503"/>
      <c r="GP53" s="503"/>
      <c r="GQ53" s="19"/>
      <c r="GR53" s="189" t="str">
        <f t="shared" si="35"/>
        <v/>
      </c>
      <c r="GS53" s="26"/>
      <c r="GT53" s="26"/>
      <c r="GU53" s="26"/>
      <c r="GV53" s="26"/>
      <c r="GW53" s="26"/>
      <c r="GX53" s="26"/>
      <c r="GY53" s="26"/>
      <c r="GZ53" s="26"/>
      <c r="HA53" s="26"/>
      <c r="HB53" s="26"/>
      <c r="HC53" s="26"/>
      <c r="HD53" s="26"/>
      <c r="HE53" s="26"/>
      <c r="HF53" s="26"/>
      <c r="HG53" s="26"/>
      <c r="HH53" s="26"/>
      <c r="HI53" s="26"/>
    </row>
    <row r="54" spans="1:220" s="30" customFormat="1" ht="12.75" customHeight="1" x14ac:dyDescent="0.25">
      <c r="A54" s="35"/>
      <c r="B54" s="64" t="str">
        <f>'Scenario Identification'!DG3</f>
        <v>Equipment Rupture at Fire Conditions</v>
      </c>
      <c r="C54" s="1457" t="str">
        <f t="shared" si="80"/>
        <v/>
      </c>
      <c r="D54" s="65"/>
      <c r="E54" s="2483" t="str">
        <f>IF(MAX('Release Calculations'!CC35,'Release Calculations'!CC43,'Release Calculations'!CC62,1-'Release Calculations'!CC82,ABS(MIN('Release Calculations'!CC35,'Release Calculations'!CC43,'Release Calculations'!CC62,1-'Release Calculations'!CC82)))&gt;$E$4,"Yes","")</f>
        <v/>
      </c>
      <c r="F54" s="1418" t="s">
        <v>428</v>
      </c>
      <c r="G54" s="1434">
        <f t="shared" si="85"/>
        <v>0</v>
      </c>
      <c r="H54" s="1427" t="str">
        <f t="shared" si="86"/>
        <v>liter</v>
      </c>
      <c r="I54" s="1418"/>
      <c r="J54" s="1421"/>
      <c r="K54" s="1427">
        <f t="shared" si="87"/>
        <v>0</v>
      </c>
      <c r="L54" s="1434">
        <f>sig('Release Calculations'!$CC$16/$L$4,3,100,0)</f>
        <v>0</v>
      </c>
      <c r="M54" s="1435" t="str">
        <f t="shared" si="88"/>
        <v>kg</v>
      </c>
      <c r="N54" s="1432" t="str">
        <f t="shared" si="89"/>
        <v xml:space="preserve">Liquid:   ,  ,  ,  ,  </v>
      </c>
      <c r="O54" s="1434">
        <f>ROUND('Release Calculations'!$CC$15,0)</f>
        <v>0</v>
      </c>
      <c r="P54" s="1434">
        <f t="shared" si="90"/>
        <v>0</v>
      </c>
      <c r="Q54" s="1446" t="str">
        <f t="shared" si="91"/>
        <v>bar</v>
      </c>
      <c r="R54" s="1434" t="str">
        <f>IF(Rupture_10min="Yes",sig('Release Calculations'!$CC$16/Rupture_Time,3,10,0),"")</f>
        <v/>
      </c>
      <c r="S54" s="1447" t="str">
        <f t="shared" si="92"/>
        <v>Instantaneous</v>
      </c>
      <c r="T54" s="1435">
        <f t="shared" si="93"/>
        <v>0</v>
      </c>
      <c r="U54" s="1434">
        <f>ROUND(('Release Calculations'!$CC$14+Rupture_Time)/$U$4,0)</f>
        <v>0</v>
      </c>
      <c r="V54" s="1434">
        <f>sig('Release Calculations'!$CC$55/$V$4,3,100,0)</f>
        <v>0</v>
      </c>
      <c r="W54" s="1435" t="str">
        <f t="shared" si="94"/>
        <v>sq m</v>
      </c>
      <c r="X54" s="1438">
        <f>ROUND('Release Calculations'!CC$214,3)</f>
        <v>0</v>
      </c>
      <c r="Y54" s="1458" t="str">
        <f>IF('Release Calculations'!$CC$225="","",sig('Release Calculations'!$CC$225,3,1000,0))</f>
        <v/>
      </c>
      <c r="Z54" s="1458" t="str">
        <f>IF('Release Calculations'!$CC$231="","",sig('Release Calculations'!$CC$231,3,1000,0))</f>
        <v/>
      </c>
      <c r="AA54" s="1458" t="str">
        <f>IF('Release Calculations'!$CC$255="","",sig('Release Calculations'!$CC$255,3,1000,0))</f>
        <v/>
      </c>
      <c r="AB54" s="1458" t="str">
        <f>IF('Release Calculations'!$CC$261="","",sig('Release Calculations'!$CC$261,3,1000,0))</f>
        <v/>
      </c>
      <c r="AC54" s="1458" t="str">
        <f>IF('Release Calculations'!$CC$267="","",sig('Release Calculations'!$CC$267,3,1000,0))</f>
        <v/>
      </c>
      <c r="AD54" s="1196" t="str">
        <f>IF('Release Calculations'!$CC$249="","",ROUND('Release Calculations'!$CC$249,1))</f>
        <v/>
      </c>
      <c r="AE54" s="1434">
        <f>sig('Release Calculations'!$CC$70/$AE$4,3,100,0)</f>
        <v>0</v>
      </c>
      <c r="AF54" s="1435" t="str">
        <f t="shared" si="95"/>
        <v>kg</v>
      </c>
      <c r="AG54" s="1326" t="str">
        <f>sig('Release Calculations'!$CC$90/$AG$4,3,10,3)</f>
        <v/>
      </c>
      <c r="AH54" s="1435" t="str">
        <f t="shared" si="96"/>
        <v>Instantaneous</v>
      </c>
      <c r="AI54" s="1434">
        <f>sig('Release Calculations'!$CC$282/$AI$4,3,100,0)</f>
        <v>0</v>
      </c>
      <c r="AJ54" s="1435" t="str">
        <f t="shared" si="97"/>
        <v>m</v>
      </c>
      <c r="AK54" s="1434">
        <f>sig('Release Calculations'!$CC$285/$AK$4,3,100,0)</f>
        <v>0</v>
      </c>
      <c r="AL54" s="1435" t="str">
        <f t="shared" si="110"/>
        <v>m</v>
      </c>
      <c r="AM54" s="1434">
        <f>sig('Release Calculations'!$CC$287/$AM$4,3,100,0)</f>
        <v>0</v>
      </c>
      <c r="AN54" s="1435" t="str">
        <f t="shared" si="98"/>
        <v>m</v>
      </c>
      <c r="AO54" s="1434">
        <f>sig('Release Calculations'!$CC$288/$AO$4,3,100,0)</f>
        <v>0</v>
      </c>
      <c r="AP54" s="1452" t="str">
        <f t="shared" si="99"/>
        <v>m</v>
      </c>
      <c r="AQ54" s="1434">
        <f>sig('Release Calculations'!$CC$290/$AQ$4,3,100,0)</f>
        <v>0</v>
      </c>
      <c r="AR54" s="1452" t="str">
        <f t="shared" si="100"/>
        <v>m</v>
      </c>
      <c r="AS54" s="1452" t="str">
        <f t="shared" si="101"/>
        <v/>
      </c>
      <c r="AT54" s="1452" t="str">
        <f t="shared" si="102"/>
        <v/>
      </c>
      <c r="AU54" s="1452" t="str">
        <f t="shared" si="103"/>
        <v/>
      </c>
      <c r="AV54" s="114">
        <f>sig('Release Calculations'!$CC$296,3,1000,-1)</f>
        <v>0</v>
      </c>
      <c r="AW54" s="114">
        <f>sig('Release Calculations'!$CC$297,3,1000,-1)</f>
        <v>0</v>
      </c>
      <c r="AX54" s="114" t="str">
        <f>sig('Release Calculations'!$CC$298,3,1000,0)</f>
        <v/>
      </c>
      <c r="AY54" s="114" t="str">
        <f>sig('Release Calculations'!$CC$299,3,1000,0)</f>
        <v/>
      </c>
      <c r="AZ54" s="114">
        <f>sig('Release Calculations'!$CC$300,3,1000,-1)</f>
        <v>0</v>
      </c>
      <c r="BA54" s="114">
        <f>sig('Release Calculations'!$CC$301,3,1000,-1)</f>
        <v>0</v>
      </c>
      <c r="BB54" s="114" t="str">
        <f>sig('Release Calculations'!$CC$302,3,10,3)</f>
        <v/>
      </c>
      <c r="BC54" s="2576" t="str">
        <f>sig('Release Calculations'!$CC$303,3,10,3)</f>
        <v/>
      </c>
      <c r="BD54" s="1419"/>
      <c r="BE54" s="1422"/>
      <c r="BF54" s="2569">
        <f>sig('Release Calculations'!$CC$471/$BF$4,3,100,0)</f>
        <v>0</v>
      </c>
      <c r="BG54" s="1435" t="str">
        <f t="shared" si="104"/>
        <v>m</v>
      </c>
      <c r="BH54" s="1434">
        <f>sig(MAX('Release Calculations'!$CC$438,'Release Calculations'!$CC$439)/$BJ$4,3,100,0)</f>
        <v>0</v>
      </c>
      <c r="BI54" s="1435" t="str">
        <f t="shared" si="105"/>
        <v>m</v>
      </c>
      <c r="BJ54" s="1434">
        <f>sig('Release Calculations'!$CC$342/$BJ$4,3,100,0)</f>
        <v>0</v>
      </c>
      <c r="BK54" s="1435" t="str">
        <f t="shared" si="106"/>
        <v>m</v>
      </c>
      <c r="BL54" s="2569">
        <f>sig('Release Calculations'!$CC$439/$BJ$4,3,100,0)</f>
        <v>0</v>
      </c>
      <c r="BM54" s="1435" t="str">
        <f t="shared" si="106"/>
        <v>m</v>
      </c>
      <c r="BN54" s="1505">
        <f>ROUND('Release Calculations'!$CC$345,1)</f>
        <v>0</v>
      </c>
      <c r="BO54" s="1505">
        <f>ROUND('Release Calculations'!$CC$347,1)</f>
        <v>0</v>
      </c>
      <c r="BP54" s="1503" t="str">
        <f>sig('Release Calculations'!$CC$90/$BP$4,3,10,1)</f>
        <v/>
      </c>
      <c r="BQ54" s="1435" t="str">
        <f t="shared" si="107"/>
        <v>Instantaneous</v>
      </c>
      <c r="BR54" s="1434"/>
      <c r="BS54" s="1435" t="str">
        <f t="shared" si="108"/>
        <v>m</v>
      </c>
      <c r="BT54" s="1748"/>
      <c r="BU54" s="1748"/>
      <c r="BV54" s="1509"/>
      <c r="BW54" s="1445"/>
      <c r="BX54" s="263"/>
      <c r="BY54" s="263"/>
      <c r="BZ54" s="123"/>
      <c r="CA54" s="4" t="str">
        <f>IF('Release Calculations'!CC$368="NA","",'Release Calculations'!CC$368)</f>
        <v/>
      </c>
      <c r="CB54" s="4" t="str">
        <f>IF('Release Calculations'!CC$398="NA","",'Release Calculations'!CC$398)</f>
        <v/>
      </c>
      <c r="CC54" s="4" t="str">
        <f>IF('Release Calculations'!CC$403="NA","",'Release Calculations'!CC$403)</f>
        <v/>
      </c>
      <c r="CD54" s="735" t="str">
        <f>IF('Release Calculations'!CC$408="NA","",'Release Calculations'!CC$408)</f>
        <v/>
      </c>
      <c r="CE54" s="4" t="str">
        <f>IF('Release Calculations'!CC$412="NA","",'Release Calculations'!CC$412)</f>
        <v/>
      </c>
      <c r="CF54" s="4" t="str">
        <f>IF('Release Calculations'!CC$476="NA","",'Release Calculations'!CC$476)</f>
        <v/>
      </c>
      <c r="CG54" s="4"/>
      <c r="CH54" s="4"/>
      <c r="CI54" s="4" t="str">
        <f>IF(AND('Release Calculations'!CC444="NA",'Release Calculations'!CC454="NA"),"",IF('Release Calculations'!CC454="NA",'Release Calculations'!CC444,IF('Release Calculations'!CC454&gt;'Release Calculations'!CC444,'Release Calculations'!CC454,'Release Calculations'!CC444)))</f>
        <v/>
      </c>
      <c r="CJ54" s="4"/>
      <c r="CK54" s="4" t="str">
        <f>IF('Release Calculations'!BD438="NA","",'Release Calculations'!BD438)</f>
        <v/>
      </c>
      <c r="CL54" s="19"/>
      <c r="CM54" s="19"/>
      <c r="CN54" s="189" t="str">
        <f>IF(CA54="","",IF('Release Calculations'!CC$284="Yes",IF(CA54=Conseq_VeryLow,Desc_VeryLow,IF(CA54=Conseq_Low,Desc_Low,IF(CA54=Conseq_Moderate,Desc_Moderate,IF(CA54=Conseq_High,Desc_High,IF(CA54=Conseq_VeryHigh,Desc_VeryHigh,IF(CA54=Conseq_ExtremeHigh,Desc_ExtremeHigh,Desc_GT_ExtremeHigh)))))),IF(CA54=Conseq_Low_Offsite,Desc_Low_Offsite,Desc_VeryLow_Offsite)))</f>
        <v/>
      </c>
      <c r="CO54" s="189" t="str">
        <f t="shared" ref="CO54:CS57" si="111">IF(CB54="","",IF(CB54=Conseq_VeryLow,Desc_VeryLow,IF(CB54=Conseq_Low,Desc_Low,IF(CB54=Conseq_Moderate,Desc_Moderate,IF(CB54=Conseq_High,Desc_High,IF(CB54=Conseq_VeryHigh,Desc_VeryHigh,IF(CB54=Conseq_ExtremeHigh,Desc_ExtremeHigh,Desc_GT_ExtremeHigh)))))))</f>
        <v/>
      </c>
      <c r="CP54" s="189" t="str">
        <f t="shared" si="111"/>
        <v/>
      </c>
      <c r="CQ54" s="189" t="str">
        <f t="shared" si="111"/>
        <v/>
      </c>
      <c r="CR54" s="189" t="str">
        <f t="shared" si="111"/>
        <v/>
      </c>
      <c r="CS54" s="189" t="str">
        <f t="shared" si="111"/>
        <v/>
      </c>
      <c r="CT54" s="67"/>
      <c r="CU54" s="189" t="str">
        <f>IF(CH54="","",IF(CH54=Conseq_VeryLow,Desc_VeryLow,IF(CH54=Conseq_Low,Desc_Low,IF(CH54=Conseq_Moderate,Desc_Moderate,IF(CH54=Conseq_High,Desc_High,IF(CH54=Conseq_VeryHigh,Desc_VeryHigh,IF(CH54=Conseq_ExtremeHigh,Desc_ExtremeHigh,Desc_GT_ExtremeHigh)))))))</f>
        <v/>
      </c>
      <c r="CV54" s="189" t="str">
        <f t="shared" si="83"/>
        <v/>
      </c>
      <c r="CW54" s="67"/>
      <c r="CX54" s="189" t="str">
        <f t="shared" si="84"/>
        <v/>
      </c>
      <c r="CY54" s="40"/>
      <c r="CZ54" s="189" t="str">
        <f>IF(CA54="","",IF('Release Calculations'!CC$284="Yes"," at a "&amp;$AI$3&amp;" of "&amp;AI54&amp;" "&amp;AJ54&amp;" which exceeds Distance to the Fence Line of "&amp;Public_Input&amp;" "&amp;Public_Units&amp;" - Modeled as "&amp;IF(Rupture_10min="Yes","10 Minute Release","Instantaneous Release")))</f>
        <v/>
      </c>
      <c r="DA54" s="189" t="str">
        <f>IF(CB54="","","Modeled as "&amp;IF(Rupture_10min="Yes","10 Minute Release","Instantaneous Release")&amp;IF('Release Calculations'!$CC$292="Yes"," with operating personnel in close proximity and a "&amp;$AM$3&amp;" of "&amp;AM54&amp;" "&amp;AN54," at a "&amp;$AM$3&amp;" of "&amp;AM54&amp;" "&amp;AN54)&amp;IF('Release Calculations'!$CC$287&gt;Public," which exceeds Distance to the Fence Line of "&amp;Public_Input&amp;" "&amp;Public_Units&amp;".  Target Factor may be conservative",))</f>
        <v/>
      </c>
      <c r="DB54" s="226" t="str">
        <f>IF(CC54="","",IF('Release Calculations'!CC305="Yes","and Potential for Asphyxiation","")&amp;IF('Release Calculations'!CC$292="Yes"," with operations personnel in close proximity at an "&amp;$AZ$3&amp;" of "&amp;AZ54&amp;" ppm"," at an "&amp;$AZ$3&amp;" of "&amp;AZ54&amp;" ppm"))</f>
        <v/>
      </c>
      <c r="DC54" s="189" t="str">
        <f t="shared" si="109"/>
        <v/>
      </c>
      <c r="DD54" s="189" t="str">
        <f>IF(CE54="",""," of a "&amp;IF(Ease_of_Ignition_Feed="High","pyrophoric ","high/low temperature ")&amp;IF(Dermal_Tox_Feed&lt;&gt;"","or "&amp;Dermal_Tox_Feed,"")&amp;" chemical"&amp;IF('Release Calculations'!$CC$292="Yes"," with operating personnel in close proximity",""))</f>
        <v/>
      </c>
      <c r="DE54" s="189" t="str">
        <f>IF(CF54="","",IF('Release Calculations'!CC365="Yes"," Thermal radiation of 4 Kw/sq m exceeds Distance to the Fence Line of "&amp;Public_Input&amp;" "&amp;Public_Units&amp;".  Consider potential for Off-Site Impacts",IF('Release Calculations'!$CC$292="Yes"," with operating personnel in close proximity and a "&amp;$BF$3&amp;" of "&amp;BF54&amp;" "&amp;BG54," at a "&amp;$BF$3&amp;" of "&amp;BF54&amp;" "&amp;BG54)))</f>
        <v/>
      </c>
      <c r="DF54" s="67"/>
      <c r="DG54" s="67"/>
      <c r="DH54" s="189" t="str">
        <f>IF(CI54="","",IF(OR('Release Calculations'!CC$343="Yes",'Release Calculations'!CC$352="Yes")," with "&amp;$BH$3&amp;" of "&amp;BH54&amp;" "&amp;BI54&amp;IF('Release Calculations'!CC$348&lt;&gt;"Yes",""," including "&amp;$BN$3&amp;" of "&amp;BN54&amp;" psi.")&amp;" 1 psi Blast Overpresssure exceeds Distance to the Fence Line of "&amp;Public_Input&amp;" "&amp;Public_Units&amp;".  Consider adjustment for Off-Site Impacts",IF('Release Calculations'!CC$357="Yes",IF('Release Calculations'!CC$348&lt;&gt;"Yes"," from uncontrolled reaction impacting on site personnel at a "&amp;$BH$3&amp;" of "&amp;BH54&amp;" "&amp;BI54," from uncontrolled reaction impacting on site personnel at a "&amp;$BH$3&amp;" of "&amp;BH54&amp;" "&amp;BI54&amp;" including "&amp;$BN$3&amp;" of "&amp;BN54&amp;" psi"),IF('Release Calculations'!CC$348&lt;&gt;"Yes",IF(Attended="Yes"," impacting personnel in close proximity at a "&amp;$BH$3&amp;" of "&amp;BH54&amp;" "&amp;BI51," impacting on site personnel at a "&amp;$BH$3&amp;" of "&amp;BH54&amp;" "&amp;BI51)," impacting on site personnel at a "&amp;$BH$3&amp;" of "&amp;BH54&amp;" "&amp;BI54&amp;" including "&amp;$BN$3&amp;" of "&amp;BN54&amp;" psi"))))</f>
        <v/>
      </c>
      <c r="DI54" s="67"/>
      <c r="DJ54" s="189" t="str">
        <f>IF('Release Calculations'!AZ438&gt;0,"Groundwater or Remediation Issue",IF('Release Calculations'!BB438&gt;0,"High Aqueous Toxicity",""))</f>
        <v/>
      </c>
      <c r="DK54" s="19" t="s">
        <v>822</v>
      </c>
      <c r="DL54" s="39"/>
      <c r="DM54" s="239">
        <f>'Release Calculations'!CC396</f>
        <v>0</v>
      </c>
      <c r="DN54" s="239">
        <f>'Release Calculations'!CC$401</f>
        <v>0</v>
      </c>
      <c r="DO54" s="34"/>
      <c r="DP54" s="239">
        <f>'Release Calculations'!CC410</f>
        <v>0</v>
      </c>
      <c r="DQ54" s="239">
        <f>'Release Calculations'!CC474</f>
        <v>0</v>
      </c>
      <c r="DR54" s="34"/>
      <c r="DS54" s="34"/>
      <c r="DT54" s="239">
        <f>IF(AND('Release Calculations'!CC444="NA",'Release Calculations'!CC454="NA"),0,IF('Release Calculations'!CC454="NA",'Release Calculations'!CC442,IF('Release Calculations'!CC454&gt;'Release Calculations'!CC444,0,'Release Calculations'!CC442)))</f>
        <v>0</v>
      </c>
      <c r="DU54" s="34"/>
      <c r="DV54" s="6"/>
      <c r="DW54" s="40"/>
      <c r="DX54" s="250"/>
      <c r="DY54" s="249" t="s">
        <v>2983</v>
      </c>
      <c r="DZ54" s="250" t="s">
        <v>292</v>
      </c>
      <c r="EA54" s="740"/>
      <c r="EB54" s="249" t="str">
        <f>"Probability of Exposure to Hot or Toxic Material"</f>
        <v>Probability of Exposure to Hot or Toxic Material</v>
      </c>
      <c r="EC54" s="249" t="s">
        <v>292</v>
      </c>
      <c r="ED54" s="248"/>
      <c r="EE54" s="248"/>
      <c r="EF54" s="249" t="s">
        <v>292</v>
      </c>
      <c r="EG54" s="248"/>
      <c r="EH54" s="248"/>
      <c r="EI54" s="19"/>
      <c r="EJ54" s="250"/>
      <c r="EK54" s="249" t="str">
        <f>IF(Attended_Op="Yes","Noted as Personnel Routinely in Immediate Area or Equipment Type involves Materials Handling - "&amp;IF('Release Calculations'!CC210*3600&lt;30," with a very Short Exposure Duration (&lt; 30 sec)","Time at Risk May Apply"),"Probability of Personnel to be in Close Proximity to Chemical Release based on Toxic Impact Area to "&amp;AM54&amp;" "&amp;AN54&amp;IF('Release Calculations'!CC395&lt;0.01," (with potential for higher POE credit upon further review)",""))</f>
        <v>Probability of Personnel to be in Close Proximity to Chemical Release based on Toxic Impact Area to 0 m (with potential for higher POE credit upon further review)</v>
      </c>
      <c r="EL54" s="250" t="str">
        <f>IF(Attended_Op="Yes","Noted as Personnel Routinely in Immediate Area or Equipment Type involves Materials Handling - Time at Risk May Apply","Probability of Personnel to be in Close Proximity to Chemical Release based on Ratio Enclosed Process Area Concentation of "&amp;AZ54&amp;" ppm to 10 ER-3 for "&amp;Chemical&amp;IF(Fract_Key_Chemical&lt;1," mixture "," ")&amp;IF('Release Calculations'!$CC$400&lt;0.01,"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54" s="248"/>
      <c r="EN54"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Calculations'!$CC$409&lt;0.01," (with potential for higher POE credit upon further review)",""))</f>
        <v>Probability of Personnel to be in Close Proximity to Chemical Release based on Spray Distance of 1 m (with potential for higher POE credit upon further review)</v>
      </c>
      <c r="EO54" s="248"/>
      <c r="EP54" s="248"/>
      <c r="EQ54" s="248"/>
      <c r="ER54" s="4" t="str">
        <f>IF(Attended_Op="Yes","Noted as Personnel Routinely in Immediate Area or Equipment Type involves Materials Handling - Time at Risk May Apply","Probability of Personnel to be in Close Proximity to Chemical Release based on Physical Explosion Impact Area to "&amp;BH54&amp;" "&amp;BI54&amp;IF('Release Calculations'!$CC$452&lt;0.01," (with potential for higher POE credit upon further review)",""))</f>
        <v>Probability of Personnel to be in Close Proximity to Chemical Release based on Physical Explosion Impact Area to 0 m (with potential for higher POE credit upon further review)</v>
      </c>
      <c r="ES54" s="248"/>
      <c r="ET54" s="248"/>
      <c r="EU54" s="19"/>
      <c r="EV54" s="1379"/>
      <c r="EW54" s="957">
        <f>'Release Calculations'!CC395</f>
        <v>6.0000000000000008E-7</v>
      </c>
      <c r="EX54" s="957">
        <f>'Release Calculations'!$CC$400</f>
        <v>0</v>
      </c>
      <c r="EY54" s="1380"/>
      <c r="EZ54" s="957">
        <f>'Release Calculations'!$CC$409</f>
        <v>0</v>
      </c>
      <c r="FA54" s="1380"/>
      <c r="FB54" s="6"/>
      <c r="FC54" s="6"/>
      <c r="FD54" s="957">
        <f>IF(AND('Release Calculations'!CC444="NA",'Release Calculations'!CC454="NA"),0,IF('Release Calculations'!CC454="NA",'Release Calculations'!CC441,'Release Calculations'!CC452))</f>
        <v>0</v>
      </c>
      <c r="FE54" s="6"/>
      <c r="FF54" s="6"/>
      <c r="FG54" s="19"/>
      <c r="FH54" s="34"/>
      <c r="FI54" s="34"/>
      <c r="FJ54" s="34"/>
      <c r="FK54" s="739"/>
      <c r="FL54" s="34"/>
      <c r="FM54" s="39">
        <v>0</v>
      </c>
      <c r="FN54" s="239">
        <v>0</v>
      </c>
      <c r="FO54" s="39">
        <v>0</v>
      </c>
      <c r="FP54" s="34"/>
      <c r="FQ54" s="34"/>
      <c r="FR54" s="6"/>
      <c r="FS54" s="40"/>
      <c r="FT54" s="248"/>
      <c r="FU54" s="248"/>
      <c r="FV54" s="248"/>
      <c r="FW54" s="741"/>
      <c r="FX54" s="248"/>
      <c r="FY54" s="250" t="s">
        <v>1461</v>
      </c>
      <c r="FZ54" s="249" t="s">
        <v>1460</v>
      </c>
      <c r="GA54" s="250" t="s">
        <v>1461</v>
      </c>
      <c r="GB54" s="248"/>
      <c r="GC54" s="248"/>
      <c r="GD54" s="248"/>
      <c r="GE54" s="19"/>
      <c r="GF54" s="248"/>
      <c r="GG54" s="248"/>
      <c r="GH54" s="248"/>
      <c r="GI54" s="741"/>
      <c r="GJ54" s="248"/>
      <c r="GK54" s="3148"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"&amp;BP54&amp;" "&amp;BQ54&amp;" Easily Ignited Material with Distance to LFL of "&amp;BD54&amp;" "&amp;BE54,IF(OR(Ease_of_Ignition_Feed="Low",AND(Flash_Pt_Feed&gt;MAX(Ambient_Temp,T_atFire_Burst),Aerosol_Potential="Yes")),"Outdoor Release of Difficult to Ignite Material or Combustible Aerosol","Outdoor release of "&amp;BP54&amp;" "&amp;BQ54&amp;" Flammable Material with Distance to LFL of "&amp;BD54&amp;" "&amp;BE54)),IF(Ease_of_Ignition_Feed="Elevated","Indoor Release of Easily Ignited Material",IF(OR(Ease_of_Ignition_Feed="Low",AND(Flash_Pt_Feed&gt;MAX(Ambient_Temp,T_atFire_Burst),Aerosol_Potential="Yes")),"Indoor Release of Difficult to Ignite Material or Combustible Aerosol","Indoor Release of Flammable Material")))))))</f>
        <v>No Flash Point Entered</v>
      </c>
      <c r="GL54" s="2581" t="str">
        <f>IF(Flash_Pt_Feed="","No Flash Point Entered",IF(Ease_of_Ignition_Feed="High","Noted as Pyrophoric Material",""))</f>
        <v>No Flash Point Entered</v>
      </c>
      <c r="GM54" s="250" t="s">
        <v>553</v>
      </c>
      <c r="GN54" s="248"/>
      <c r="GO54" s="248"/>
      <c r="GP54" s="248"/>
      <c r="GQ54" s="19"/>
      <c r="GR54" s="189" t="str">
        <f t="shared" si="35"/>
        <v/>
      </c>
      <c r="GS54" s="26"/>
      <c r="GT54" s="26"/>
      <c r="GU54" s="26"/>
      <c r="GV54" s="26"/>
      <c r="GW54" s="26"/>
      <c r="GX54" s="26"/>
      <c r="GY54" s="26"/>
      <c r="GZ54" s="26"/>
      <c r="HA54" s="26"/>
      <c r="HB54" s="26"/>
      <c r="HC54" s="26"/>
      <c r="HD54" s="26"/>
      <c r="HE54" s="26"/>
      <c r="HF54" s="26"/>
      <c r="HG54" s="26"/>
      <c r="HH54" s="26"/>
      <c r="HI54" s="26"/>
    </row>
    <row r="55" spans="1:220" s="30" customFormat="1" ht="12.75" customHeight="1" x14ac:dyDescent="0.25">
      <c r="A55" s="26"/>
      <c r="B55" s="64" t="str">
        <f>'Scenario Identification'!DH3</f>
        <v>Equipment Rupture - Deflagration</v>
      </c>
      <c r="C55" s="1457" t="str">
        <f t="shared" si="80"/>
        <v/>
      </c>
      <c r="D55" s="65"/>
      <c r="E55" s="2483" t="str">
        <f>IF(MAX('Release Calculations'!BW35,'Release Calculations'!BW43,'Release Calculations'!BW62,1-'Release Calculations'!BW82,ABS(MIN('Release Calculations'!BW35,'Release Calculations'!BW43,'Release Calculations'!BW62,1-'Release Calculations'!BW82)))&gt;$E$4,"Yes","")</f>
        <v/>
      </c>
      <c r="F55" s="1418" t="s">
        <v>428</v>
      </c>
      <c r="G55" s="1434">
        <f t="shared" si="85"/>
        <v>0</v>
      </c>
      <c r="H55" s="1427" t="str">
        <f t="shared" si="86"/>
        <v>liter</v>
      </c>
      <c r="I55" s="1418"/>
      <c r="J55" s="1421"/>
      <c r="K55" s="1427">
        <f t="shared" si="87"/>
        <v>0</v>
      </c>
      <c r="L55" s="1434">
        <f>sig('Release Calculations'!$BW$16/$L$4,3,100,0)</f>
        <v>0</v>
      </c>
      <c r="M55" s="1435" t="str">
        <f t="shared" si="88"/>
        <v>kg</v>
      </c>
      <c r="N55" s="1432" t="str">
        <f t="shared" si="89"/>
        <v xml:space="preserve">Liquid:   ,  ,  ,  ,  </v>
      </c>
      <c r="O55" s="1434">
        <f>ROUND('Release Calculations'!$BW$15,0)</f>
        <v>0</v>
      </c>
      <c r="P55" s="1434">
        <f t="shared" si="90"/>
        <v>0</v>
      </c>
      <c r="Q55" s="1446" t="str">
        <f t="shared" si="91"/>
        <v>bar</v>
      </c>
      <c r="R55" s="1434" t="str">
        <f>IF(Rupture_10min="Yes",sig('Release Calculations'!$BW$16/Rupture_Time,3,10,0),"")</f>
        <v/>
      </c>
      <c r="S55" s="1447" t="str">
        <f t="shared" si="92"/>
        <v>Instantaneous</v>
      </c>
      <c r="T55" s="1435">
        <f t="shared" si="93"/>
        <v>0</v>
      </c>
      <c r="U55" s="1434">
        <f>ROUND(('Release Calculations'!$BW$14+Rupture_Time)/$U$4,0)</f>
        <v>0</v>
      </c>
      <c r="V55" s="1434">
        <f>sig('Release Calculations'!$BW$55/$V$4,3,100,0)</f>
        <v>0</v>
      </c>
      <c r="W55" s="1435" t="str">
        <f t="shared" si="94"/>
        <v>sq m</v>
      </c>
      <c r="X55" s="1438">
        <f>ROUND('Release Calculations'!BW$214,3)</f>
        <v>0</v>
      </c>
      <c r="Y55" s="1458" t="str">
        <f>IF('Release Calculations'!$BW$225="","",sig('Release Calculations'!$BW$225,3,1000,0))</f>
        <v/>
      </c>
      <c r="Z55" s="1458" t="str">
        <f>IF('Release Calculations'!$BW$231="","",sig('Release Calculations'!$BW$231,3,1000,0))</f>
        <v/>
      </c>
      <c r="AA55" s="1458" t="str">
        <f>IF('Release Calculations'!$BW$255="","",sig('Release Calculations'!$BW$255,3,1000,0))</f>
        <v/>
      </c>
      <c r="AB55" s="1458" t="str">
        <f>IF('Release Calculations'!$BW$261="","",sig('Release Calculations'!$BW$261,3,1000,0))</f>
        <v/>
      </c>
      <c r="AC55" s="1458" t="str">
        <f>IF('Release Calculations'!$BW$267="","",sig('Release Calculations'!$BW$267,3,1000,0))</f>
        <v/>
      </c>
      <c r="AD55" s="1196" t="str">
        <f>IF('Release Calculations'!$BW$249="","",ROUND('Release Calculations'!$BW$249,1))</f>
        <v/>
      </c>
      <c r="AE55" s="1434">
        <f>sig('Release Calculations'!$BW$70/$AE$4,3,100,0)</f>
        <v>0</v>
      </c>
      <c r="AF55" s="1435" t="str">
        <f t="shared" si="95"/>
        <v>kg</v>
      </c>
      <c r="AG55" s="1326" t="str">
        <f>sig('Release Calculations'!$BW$89/$AG$4,3,10,3)</f>
        <v/>
      </c>
      <c r="AH55" s="1435" t="str">
        <f t="shared" si="96"/>
        <v>Instantaneous</v>
      </c>
      <c r="AI55" s="1434">
        <f>sig('Release Calculations'!$BW$282/$AI$4,3,100,0)</f>
        <v>0</v>
      </c>
      <c r="AJ55" s="1435" t="str">
        <f t="shared" si="97"/>
        <v>m</v>
      </c>
      <c r="AK55" s="1434">
        <f>sig('Release Calculations'!$BW$285/$AK$4,3,100,0)</f>
        <v>0</v>
      </c>
      <c r="AL55" s="1435" t="str">
        <f t="shared" si="110"/>
        <v>m</v>
      </c>
      <c r="AM55" s="1434">
        <f>sig('Release Calculations'!$BW$287/$AM$4,3,100,0)</f>
        <v>0</v>
      </c>
      <c r="AN55" s="1435" t="str">
        <f t="shared" si="98"/>
        <v>m</v>
      </c>
      <c r="AO55" s="1434">
        <f>sig('Release Calculations'!$BW$288/$AO$4,3,100,0)</f>
        <v>0</v>
      </c>
      <c r="AP55" s="1452" t="str">
        <f t="shared" si="99"/>
        <v>m</v>
      </c>
      <c r="AQ55" s="1434">
        <f>sig('Release Calculations'!$BW$290/$AQ$4,3,100,0)</f>
        <v>0</v>
      </c>
      <c r="AR55" s="1452" t="str">
        <f t="shared" si="100"/>
        <v>m</v>
      </c>
      <c r="AS55" s="1452" t="str">
        <f t="shared" si="101"/>
        <v/>
      </c>
      <c r="AT55" s="1452" t="str">
        <f t="shared" si="102"/>
        <v/>
      </c>
      <c r="AU55" s="1452" t="str">
        <f t="shared" si="103"/>
        <v/>
      </c>
      <c r="AV55" s="114">
        <f>sig('Release Calculations'!$BW$296,3,1000,-1)</f>
        <v>0</v>
      </c>
      <c r="AW55" s="114">
        <f>sig('Release Calculations'!$BW$297,3,1000,-1)</f>
        <v>0</v>
      </c>
      <c r="AX55" s="114" t="str">
        <f>sig('Release Calculations'!$BW$298,3,1000,0)</f>
        <v/>
      </c>
      <c r="AY55" s="114" t="str">
        <f>sig('Release Calculations'!$BW$299,3,1000,0)</f>
        <v/>
      </c>
      <c r="AZ55" s="114">
        <f>sig('Release Calculations'!$BW$300,3,1000,-1)</f>
        <v>0</v>
      </c>
      <c r="BA55" s="114">
        <f>sig('Release Calculations'!$BW$301,3,1000,-1)</f>
        <v>0</v>
      </c>
      <c r="BB55" s="114" t="str">
        <f>sig('Release Calculations'!$BW$302,3,10,3)</f>
        <v/>
      </c>
      <c r="BC55" s="2576" t="str">
        <f>sig('Release Calculations'!$BW$303,3,10,3)</f>
        <v/>
      </c>
      <c r="BD55" s="1419"/>
      <c r="BE55" s="1422"/>
      <c r="BF55" s="2569">
        <f>sig('Release Calculations'!$BW$471/$BF$4,3,100,0)</f>
        <v>0</v>
      </c>
      <c r="BG55" s="1435" t="str">
        <f t="shared" si="104"/>
        <v>m</v>
      </c>
      <c r="BH55" s="1434">
        <f>sig(MAX('Release Calculations'!$BW$438,'Release Calculations'!$BW$439)/$BJ$4,3,100,0)</f>
        <v>0</v>
      </c>
      <c r="BI55" s="1435" t="str">
        <f t="shared" si="105"/>
        <v>m</v>
      </c>
      <c r="BJ55" s="1434">
        <f>sig('Release Calculations'!$BW$342/$BJ$4,3,100,0)</f>
        <v>0</v>
      </c>
      <c r="BK55" s="1435" t="str">
        <f t="shared" si="106"/>
        <v>m</v>
      </c>
      <c r="BL55" s="2569">
        <f>sig('Release Calculations'!$BW$439/$BJ$4,3,100,0)</f>
        <v>0</v>
      </c>
      <c r="BM55" s="1435" t="str">
        <f t="shared" si="106"/>
        <v>m</v>
      </c>
      <c r="BN55" s="1505">
        <f>ROUND('Release Calculations'!$BW$345,1)</f>
        <v>0</v>
      </c>
      <c r="BO55" s="1505">
        <f>ROUND('Release Calculations'!$BW$347,1)</f>
        <v>0</v>
      </c>
      <c r="BP55" s="1503" t="str">
        <f>sig('Release Calculations'!$BW$90/$BP$4,3,10,1)</f>
        <v/>
      </c>
      <c r="BQ55" s="1435" t="str">
        <f t="shared" si="107"/>
        <v>Instantaneous</v>
      </c>
      <c r="BR55" s="1434"/>
      <c r="BS55" s="1435" t="str">
        <f t="shared" si="108"/>
        <v>m</v>
      </c>
      <c r="BT55" s="1748"/>
      <c r="BU55" s="1748"/>
      <c r="BV55" s="1509"/>
      <c r="BW55" s="1445"/>
      <c r="BX55" s="263"/>
      <c r="BY55" s="263"/>
      <c r="BZ55" s="123"/>
      <c r="CA55" s="4" t="str">
        <f>IF('Release Calculations'!BW$368="NA","",'Release Calculations'!BW$368)</f>
        <v/>
      </c>
      <c r="CB55" s="4" t="str">
        <f>IF('Release Calculations'!BW$398="NA","",'Release Calculations'!BW$398)</f>
        <v/>
      </c>
      <c r="CC55" s="4" t="str">
        <f>IF('Release Calculations'!BW$403="NA","",'Release Calculations'!BW$403)</f>
        <v/>
      </c>
      <c r="CD55" s="735" t="str">
        <f>IF('Release Calculations'!BW$408="NA","",'Release Calculations'!BW$408)</f>
        <v/>
      </c>
      <c r="CE55" s="4" t="str">
        <f>IF('Release Calculations'!BW$412="NA","",'Release Calculations'!BW$412)</f>
        <v/>
      </c>
      <c r="CF55" s="4" t="str">
        <f>IF('Release Calculations'!BW$476="NA","",'Release Calculations'!BW$476)</f>
        <v/>
      </c>
      <c r="CG55" s="4"/>
      <c r="CH55" s="4"/>
      <c r="CI55" s="4" t="str">
        <f>IF(AND('Release Calculations'!BW444="NA",'Release Calculations'!BW454="NA"),"",IF('Release Calculations'!BW454="NA",'Release Calculations'!BW444,IF('Release Calculations'!BW454&gt;'Release Calculations'!BW444,'Release Calculations'!BW454,'Release Calculations'!BW444)))</f>
        <v/>
      </c>
      <c r="CJ55" s="4"/>
      <c r="CK55" s="4" t="str">
        <f>IF('Release Calculations'!BD435="NA","",'Release Calculations'!BD435)</f>
        <v/>
      </c>
      <c r="CL55" s="19"/>
      <c r="CM55" s="19"/>
      <c r="CN55" s="189" t="str">
        <f>IF(CA55="","",IF('Release Calculations'!BW$284="Yes",IF(CA55=Conseq_VeryLow,Desc_VeryLow,IF(CA55=Conseq_Low,Desc_Low,IF(CA55=Conseq_Moderate,Desc_Moderate,IF(CA55=Conseq_High,Desc_High,IF(CA55=Conseq_VeryHigh,Desc_VeryHigh,IF(CA55=Conseq_ExtremeHigh,Desc_ExtremeHigh,Desc_GT_ExtremeHigh)))))),IF(CA55=Conseq_Low_Offsite,Desc_Low_Offsite,Desc_VeryLow_Offsite)))</f>
        <v/>
      </c>
      <c r="CO55" s="189" t="str">
        <f t="shared" si="111"/>
        <v/>
      </c>
      <c r="CP55" s="189" t="str">
        <f t="shared" si="111"/>
        <v/>
      </c>
      <c r="CQ55" s="189" t="str">
        <f t="shared" si="111"/>
        <v/>
      </c>
      <c r="CR55" s="189" t="str">
        <f t="shared" si="111"/>
        <v/>
      </c>
      <c r="CS55" s="189" t="str">
        <f t="shared" si="111"/>
        <v/>
      </c>
      <c r="CT55" s="67"/>
      <c r="CU55" s="67"/>
      <c r="CV55" s="189" t="str">
        <f t="shared" si="83"/>
        <v/>
      </c>
      <c r="CW55" s="67"/>
      <c r="CX55" s="189" t="str">
        <f t="shared" si="84"/>
        <v/>
      </c>
      <c r="CY55" s="40" t="s">
        <v>1834</v>
      </c>
      <c r="CZ55" s="189" t="str">
        <f>IF(CA55="","",IF('Release Calculations'!BW$284="Yes"," at a "&amp;$AI$3&amp;" of "&amp;AI55&amp;" "&amp;AJ55&amp;" which exceeds Distance to the Fence Line of "&amp;Public_Input&amp;" "&amp;Public_Units&amp;" - Modeled as "&amp;IF(Rupture_10min="Yes","10 Minute Release","Instantaneous Release")))</f>
        <v/>
      </c>
      <c r="DA55" s="189" t="str">
        <f>IF(CB55="","","Modeled as "&amp;IF(Rupture_10min="Yes","10 Minute Release","Instantaneous Release")&amp;IF('Release Calculations'!$BW$292="Yes"," with operating personnel in close proximity and a "&amp;$AM$3&amp;" of "&amp;AM55&amp;" "&amp;AN55," at a "&amp;$AM$3&amp;" of "&amp;AM55&amp;" "&amp;AN55)&amp;IF('Release Calculations'!$BW$287&gt;Public," which exceeds Distance to the Fence Line of "&amp;Public_Input&amp;" "&amp;Public_Units&amp;".  Target Factor may be conservative",))</f>
        <v/>
      </c>
      <c r="DB55" s="226" t="str">
        <f>IF(CC55="","",IF('Release Calculations'!BW305="Yes","and Potential for Asphyxiation","")&amp;IF('Release Calculations'!BW$292="Yes"," with operations personnel in close proximity at an "&amp;$AZ$3&amp;" of "&amp;AZ55&amp;" ppm"," at an "&amp;$AZ$3&amp;" of "&amp;AZ55&amp;" ppm"))</f>
        <v/>
      </c>
      <c r="DC55" s="189" t="str">
        <f t="shared" si="109"/>
        <v/>
      </c>
      <c r="DD55" s="189" t="str">
        <f>IF(CE55="",""," of a "&amp;IF(Ease_of_Ignition_Feed="High","pyrophoric ","high/low temperature ")&amp;IF(Dermal_Tox_Feed&lt;&gt;"","or "&amp;Dermal_Tox_Feed,"")&amp;" chemical"&amp;IF('Release Calculations'!$BW$292="Yes"," with operating personnel in close proximity",""))</f>
        <v/>
      </c>
      <c r="DE55" s="189" t="str">
        <f>IF(CF55="","",IF('Release Calculations'!BW365="Yes"," Thermal radiation of 4 Kw/sq m exceeds Distance to the Fence Line of "&amp;Public_Input&amp;" "&amp;Public_Units&amp;".  Consider potential for Off-Site Impacts",IF('Release Calculations'!$BW$292="Yes"," with operating personnel in close proximity and a "&amp;$BF$3&amp;" of "&amp;BF55&amp;" "&amp;BG55," at a "&amp;$BF$3&amp;" of "&amp;BF55&amp;" "&amp;BG55)))</f>
        <v/>
      </c>
      <c r="DF55" s="67"/>
      <c r="DG55" s="67"/>
      <c r="DH55" s="189" t="str">
        <f>IF(CI55="","",IF(OR('Release Calculations'!BW$343="Yes",'Release Calculations'!BW$352="Yes")," with "&amp;$BH$3&amp;" of "&amp;BH55&amp;" "&amp;BI55&amp;IF('Release Calculations'!BW$348&lt;&gt;"Yes",""," including "&amp;$BN$3&amp;" of "&amp;BN55&amp;" psi.")&amp;" 1 psi Blast Overpresssure exceeds Distance to the Fence Line of "&amp;Public_Input&amp;" "&amp;Public_Units&amp;".  Consider adjustment for Off-Site Impacts",IF('Release Calculations'!BW$357="Yes",IF('Release Calculations'!BW$348&lt;&gt;"Yes"," from uncontrolled reaction impacting on site personnel at a "&amp;$BH$3&amp;" of "&amp;BH55&amp;" "&amp;BI55," from uncontrolled reaction impacting on site personnel at a "&amp;$BH$3&amp;" of "&amp;BH55&amp;" "&amp;BI55&amp;" including "&amp;$BN$3&amp;" of "&amp;BN55&amp;" psi"),IF('Release Calculations'!BW$348&lt;&gt;"Yes",IF(Attended="Yes"," impacting personnel in close proximity at a "&amp;$BH$3&amp;" of "&amp;BH55&amp;" "&amp;BI55," impacting on site personnel at a "&amp;$BH$3&amp;" of "&amp;BH55&amp;" "&amp;BI55)," impacting on site personnel at a "&amp;$BH$3&amp;" of "&amp;BH55&amp;" "&amp;BI55&amp;" including "&amp;$BN$3&amp;" of "&amp;BN55&amp;" psi"))))</f>
        <v/>
      </c>
      <c r="DI55" s="67"/>
      <c r="DJ55" s="189" t="str">
        <f>IF('Release Calculations'!AZ435&gt;0,"Groundwater or Remediation Issue",IF('Release Calculations'!BB435&gt;0,"High Aqueous Toxicity",""))</f>
        <v/>
      </c>
      <c r="DK55" s="19" t="s">
        <v>822</v>
      </c>
      <c r="DL55" s="39"/>
      <c r="DM55" s="239">
        <f>'Release Calculations'!BW396</f>
        <v>0</v>
      </c>
      <c r="DN55" s="239">
        <f>'Release Calculations'!BW$401</f>
        <v>0</v>
      </c>
      <c r="DO55" s="34"/>
      <c r="DP55" s="239">
        <f>'Release Calculations'!BW410</f>
        <v>0</v>
      </c>
      <c r="DQ55" s="239">
        <f>'Release Calculations'!BW474</f>
        <v>0</v>
      </c>
      <c r="DR55" s="34"/>
      <c r="DS55" s="34"/>
      <c r="DT55" s="239">
        <f>IF(AND('Release Calculations'!BW444="NA",'Release Calculations'!BW454="NA"),0,IF('Release Calculations'!BW454="NA",'Release Calculations'!BW442,IF('Release Calculations'!BW454&gt;'Release Calculations'!BW444,0,'Release Calculations'!BW442)))</f>
        <v>0</v>
      </c>
      <c r="DU55" s="34"/>
      <c r="DV55" s="6"/>
      <c r="DW55" s="40"/>
      <c r="DX55" s="250"/>
      <c r="DY55" s="249" t="s">
        <v>2983</v>
      </c>
      <c r="DZ55" s="250" t="s">
        <v>292</v>
      </c>
      <c r="EA55" s="740"/>
      <c r="EB55" s="249" t="str">
        <f>IF(AND(Equipment="Pump",Remote_Start="Yes",CI55&lt;&gt;"",CI55&gt;5),"Remote Start Pump or &gt; 10 minutes to Failure","Probability of Exposure to Hot or Toxic Material")</f>
        <v>Probability of Exposure to Hot or Toxic Material</v>
      </c>
      <c r="EC55" s="249" t="s">
        <v>292</v>
      </c>
      <c r="ED55" s="248"/>
      <c r="EE55" s="248"/>
      <c r="EF55" s="249" t="s">
        <v>292</v>
      </c>
      <c r="EG55" s="248"/>
      <c r="EH55" s="248"/>
      <c r="EI55" s="19"/>
      <c r="EJ55" s="250"/>
      <c r="EK55" s="249" t="str">
        <f>IF(Attended_Op="Yes","Noted as Personnel Routinely in Immediate Area or Equipment Type involves Materials Handling - "&amp;IF('Release Calculations'!BW210*3600&lt;30," with a very Short Exposure Duration (&lt; 30 sec)","Time at Risk May Apply"),"Probability of Personnel to be in Close Proximity to Chemical Release based on Toxic Impact Area to "&amp;AM55&amp;" "&amp;AN55&amp;IF('Release Calculations'!BW395&lt;0.01," (with potential for higher POE credit upon further review)",""))</f>
        <v>Probability of Personnel to be in Close Proximity to Chemical Release based on Toxic Impact Area to 0 m (with potential for higher POE credit upon further review)</v>
      </c>
      <c r="EL55" s="250" t="str">
        <f>IF(Attended_Op="Yes","Noted as Personnel Routinely in Immediate Area or Equipment Type involves Materials Handling - Time at Risk May Apply","Probability of Personnel to be in Close Proximity to Chemical Release based on Ratio Enclosed Process Area Concentation of "&amp;AZ55&amp;" ppm to 10 ER-3 for "&amp;Chemical&amp;IF(Fract_Key_Chemical&lt;1," mixture "," ")&amp;IF('Release Calculations'!$BW$400&lt;0.01,"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55" s="248"/>
      <c r="EN55"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Calculations'!$BW$409&lt;0.01," (with potential for higher POE credit upon further review)",""))</f>
        <v>Probability of Personnel to be in Close Proximity to Chemical Release based on Spray Distance of 1 m (with potential for higher POE credit upon further review)</v>
      </c>
      <c r="EO55" s="248"/>
      <c r="EP55" s="248"/>
      <c r="EQ55" s="248"/>
      <c r="ER55" s="4" t="str">
        <f>IF(Attended_Op="Yes","Noted as Personnel Routinely in Immediate Area or Equipment Type involves Materials Handling - Time at Risk May Apply","Probability of Personnel to be in Close Proximity to Chemical Release based on Physical Explosion Impact Area to "&amp;BH55&amp;" "&amp;BI55&amp;IF('Release Calculations'!$BW$452&lt;0.01," (with potential for higher POE credit upon further review)",""))</f>
        <v>Probability of Personnel to be in Close Proximity to Chemical Release based on Physical Explosion Impact Area to 0 m (with potential for higher POE credit upon further review)</v>
      </c>
      <c r="ES55" s="248"/>
      <c r="ET55" s="248"/>
      <c r="EU55" s="19"/>
      <c r="EV55" s="1379"/>
      <c r="EW55" s="957">
        <f>'Release Calculations'!BW395</f>
        <v>6.0000000000000008E-7</v>
      </c>
      <c r="EX55" s="957">
        <f>'Release Calculations'!$BW$400</f>
        <v>0</v>
      </c>
      <c r="EY55" s="1380"/>
      <c r="EZ55" s="957">
        <f>'Release Calculations'!$BW$409</f>
        <v>0</v>
      </c>
      <c r="FA55" s="1380"/>
      <c r="FB55" s="6"/>
      <c r="FC55" s="6"/>
      <c r="FD55" s="957">
        <f>IF(AND('Release Calculations'!BW444="NA",'Release Calculations'!BW454="NA"),0,IF('Release Calculations'!BW454="NA",'Release Calculations'!BW441,'Release Calculations'!BW452))</f>
        <v>0</v>
      </c>
      <c r="FE55" s="6"/>
      <c r="FF55" s="6"/>
      <c r="FG55" s="19"/>
      <c r="FH55" s="39">
        <f t="shared" ref="FH55:FM55" si="112">IF(Equipment="Fired Equipment - Combustion Unit",1,IF(AND(State&lt;&gt;"Solid",Flash_Pt_Feed=""),1,IF(AND(State&lt;&gt;"Solid",Ease_of_Ignition_Feed&lt;&gt;"Elevated",Ease_of_Ignition_Feed&lt;&gt;"High",Conductive_Feed&lt;&gt;"Non-Conductive",NonConductive_Equipment&lt;&gt;"Yes"),IF(AND(OR(AND(Flash_Pt_Feed&lt;93,Flash_Pt_Feed&gt;38),Aerosol_Internal="Yes"),T&lt;(Flash_Pt_Feed-5)),2,1),IF(State&lt;&gt;"Solid",0,Dust_Equip_POI))))</f>
        <v>1</v>
      </c>
      <c r="FI55" s="39">
        <f t="shared" si="112"/>
        <v>1</v>
      </c>
      <c r="FJ55" s="39">
        <f t="shared" si="112"/>
        <v>1</v>
      </c>
      <c r="FK55" s="39">
        <f t="shared" si="112"/>
        <v>1</v>
      </c>
      <c r="FL55" s="39">
        <f t="shared" si="112"/>
        <v>1</v>
      </c>
      <c r="FM55" s="39">
        <f t="shared" si="112"/>
        <v>1</v>
      </c>
      <c r="FN55" s="39">
        <f>IF(Equipment="Fired Equipment - Combustion Unit",1,IF(AND(State&lt;&gt;"Solid",Flash_Pt_Feed=""),1,IF(AND(State&lt;&gt;"Solid",Ease_of_Ignition_Feed&lt;&gt;"Elevated",Ease_of_Ignition_Feed&lt;&gt;"High",Conductive_Feed&lt;&gt;"Non-Conductive"),IF(AND(OR(AND(Flash_Pt_Feed&lt;93,Flash_Pt_Feed&gt;38),Aerosol_Internal="Yes"),T&lt;(Flash_Pt_Feed-5)),2,1),IF(State&lt;&gt;"Solid",0,Dust_Equip_POI))))</f>
        <v>1</v>
      </c>
      <c r="FO55" s="39">
        <f>IF(Equipment="Fired Equipment - Combustion Unit",1,IF(AND(State&lt;&gt;"Solid",Flash_Pt_Feed=""),1,IF(AND(State&lt;&gt;"Solid",Ease_of_Ignition_Feed&lt;&gt;"Elevated",Ease_of_Ignition_Feed&lt;&gt;"High",Conductive_Feed&lt;&gt;"Non-Conductive"),IF(AND(OR(AND(Flash_Pt_Feed&lt;93,Flash_Pt_Feed&gt;38),Aerosol_Internal="Yes"),T&lt;(Flash_Pt_Feed-5)),2,1),IF(State&lt;&gt;"Solid",0,Dust_Equip_POI))))</f>
        <v>1</v>
      </c>
      <c r="FP55" s="39">
        <f>IF(Equipment="Fired Equipment - Combustion Unit",1,IF(AND(State&lt;&gt;"Solid",Flash_Pt_Feed=""),1,IF(AND(State&lt;&gt;"Solid",Ease_of_Ignition_Feed&lt;&gt;"Elevated",Ease_of_Ignition_Feed&lt;&gt;"High",Conductive_Feed&lt;&gt;"Non-Conductive",NonConductive_Equipment&lt;&gt;"Yes"),IF(AND(OR(AND(Flash_Pt_Feed&lt;93,Flash_Pt_Feed&gt;38),Aerosol_Internal="Yes"),T&lt;(Flash_Pt_Feed-5)),2,1),IF(State&lt;&gt;"Solid",0,Dust_Equip_POI))))</f>
        <v>1</v>
      </c>
      <c r="FQ55" s="34"/>
      <c r="FR55" s="6"/>
      <c r="FS55" s="40"/>
      <c r="FT55" s="250" t="s">
        <v>247</v>
      </c>
      <c r="FU55" s="250" t="s">
        <v>247</v>
      </c>
      <c r="FV55" s="250" t="s">
        <v>247</v>
      </c>
      <c r="FW55" s="250" t="s">
        <v>247</v>
      </c>
      <c r="FX55" s="250" t="s">
        <v>247</v>
      </c>
      <c r="FY55" s="250" t="s">
        <v>247</v>
      </c>
      <c r="FZ55" s="249" t="s">
        <v>1460</v>
      </c>
      <c r="GA55" s="250" t="s">
        <v>1461</v>
      </c>
      <c r="GB55" s="250" t="s">
        <v>247</v>
      </c>
      <c r="GC55" s="248"/>
      <c r="GD55" s="248"/>
      <c r="GE55" s="19"/>
      <c r="GF55" s="250" t="str">
        <f>IF(OR(Ease_of_Ignition_Feed="High",Ease_of_Ignition_Feed="Elevated"),"Head Space Ingnition of Pyrophoric or Easily Ignited Material",IF(Ease_of_Ignition_Feed="Low","Head Space Ingnition of Difficult to Ignite Material",IF(Flash_Pt_Feed="","No Flash Point Entered",IF(AND(Flam_In_Area&lt;Flammable_inArea_Limit,Flash_Pt_Feed&lt;Flammable_FP_Limit,T&lt;(Flash_Pt_Feed-5)),"Head Space Ignition of "&amp;Conductive_Feed&amp;" Combustible Material"&amp;IF(NonConductive_Equipment="Yes","in Non-Conductive Equipment",""),"Head Space Ingnition of "&amp;Conductive_Feed&amp;" Flammable Material"&amp;IF(NonConductive_Equipment="Yes","in Non-Conductive Equipment","")))))</f>
        <v>No Flash Point Entered</v>
      </c>
      <c r="GG55" s="250" t="str">
        <f>IF(OR(Ease_of_Ignition_Feed="High",Ease_of_Ignition_Feed="Elevated"),"Head Space Ingnition of Pyrophoric or Easily Ignited Material",IF(Ease_of_Ignition_Feed="Low","Head Space Ingnition of Difficult to Ignite Material",IF(Flash_Pt_Feed="","No Flash Point Entered",IF(AND(Flam_In_Area&lt;Flammable_inArea_Limit,Flash_Pt_Feed&lt;Flammable_FP_Limit,T&lt;(Flash_Pt_Feed-5)),"Head Space Ignition of "&amp;Conductive_Feed&amp;" Combustible Material"&amp;IF(NonConductive_Equipment="Yes","in Non-Conductive Equipment",""),"Head Space Ingnition of "&amp;Conductive_Feed&amp;" Flammable Material"&amp;IF(NonConductive_Equipment="Yes","in Non-Conductive Equipment","")))))</f>
        <v>No Flash Point Entered</v>
      </c>
      <c r="GH55" s="250" t="str">
        <f>IF(OR(Ease_of_Ignition_Feed="High",Ease_of_Ignition_Feed="Elevated"),"Head Space Ingnition of Pyrophoric or Easily Ignited Material",IF(Ease_of_Ignition_Feed="Low","Head Space Ingnition of Difficult to Ignite Material",IF(Flash_Pt_Feed="","No Flash Point Entered",IF(AND(Flam_In_Area&lt;Flammable_inArea_Limit,Flash_Pt_Feed&lt;Flammable_FP_Limit,T&lt;(Flash_Pt_Feed-5)),"Head Space Ignition of "&amp;Conductive_Feed&amp;" Combustible Material"&amp;IF(NonConductive_Equipment="Yes","in Non-Conductive Equipment",""),"Head Space Ingnition of "&amp;Conductive_Feed&amp;" Flammable Material"&amp;IF(NonConductive_Equipment="Yes","in Non-Conductive Equipment","")))))</f>
        <v>No Flash Point Entered</v>
      </c>
      <c r="GI55" s="250" t="str">
        <f>IF(OR(Ease_of_Ignition_Feed="High",Ease_of_Ignition_Feed="Elevated"),"Head Space Ingnition of Pyrophoric or Easily Ignited Material",IF(Ease_of_Ignition_Feed="Low","Head Space Ingnition of Difficult to Ignite Material",IF(Flash_Pt_Feed="","No Flash Point Entered",IF(AND(Flam_In_Area&lt;Flammable_inArea_Limit,Flash_Pt_Feed&lt;Flammable_FP_Limit,T&lt;(Flash_Pt_Feed-5)),"Head Space Ignition of "&amp;Conductive_Feed&amp;" Combustible Material"&amp;IF(NonConductive_Equipment="Yes","in Non-Conductive Equipment",""),"Head Space Ingnition of "&amp;Conductive_Feed&amp;" Flammable Material"&amp;IF(NonConductive_Equipment="Yes","in Non-Conductive Equipment","")))))</f>
        <v>No Flash Point Entered</v>
      </c>
      <c r="GJ55" s="250" t="str">
        <f>IF(OR(Ease_of_Ignition_Feed="High",Ease_of_Ignition_Feed="Elevated"),"Head Space Ingnition of Pyrophoric or Easily Ignited Material",IF(Ease_of_Ignition_Feed="Low","Head Space Ingnition of Difficult to Ignite Material",IF(Flash_Pt_Feed="","No Flash Point Entered",IF(AND(Flam_In_Area&lt;Flammable_inArea_Limit,Flash_Pt_Feed&lt;Flammable_FP_Limit,T&lt;(Flash_Pt_Feed-5)),"Head Space Ignition of "&amp;Conductive_Feed&amp;" Combustible Material"&amp;IF(NonConductive_Equipment="Yes","in Non-Conductive Equipment",""),"Head Space Ingnition of "&amp;Conductive_Feed&amp;" Flammable Material"&amp;IF(NonConductive_Equipment="Yes","in Non-Conductive Equipment","")))))</f>
        <v>No Flash Point Entered</v>
      </c>
      <c r="GK55" s="3149" t="str">
        <f>IF(Ease_of_Ignition_Feed="High","Noted as Pyrophoric Material",IF(Dust_Deflagration="Yes",IF(Dust_MIE_Feed&lt;Dust_Low_MIE,"Ignition of Combustible Dust with MIE&lt;Dust_Low_MIE","Ignition of Combustible Dust with MIE&gt;Dust_Low_MIE"),IF(Ease_of_Ignition_Feed="Elevated","Head Space Ingnition of Pyrophoric or Easily Ignited Material",IF(Ease_of_Ignition_Feed="Low","Head Space Ingnition of Difficult to Ignite Material",IF(Flash_Pt_Feed="","No Flash Point Entered","Head Space Ingnition of "&amp;Conductive_Feed&amp;" Flammable Material"&amp;IF(NonConductive_Equipment="Yes","in Non-Conductive Equipment",""))))))</f>
        <v>No Flash Point Entered</v>
      </c>
      <c r="GL55" s="250" t="str">
        <f>IF(Dust_Deflagration="Yes",IF(Dust_MIE_Feed&lt;Dust_Low_MIE,"Ignition of Combustible Dust with MIE&lt;Dust_Low_MIE","Ignition of Combustible Dust with MIE&gt;Dust_Low_MIE"),IF(OR(Ease_of_Ignition_Feed="High",Ease_of_Ignition_Feed="Elevated",NonConductive_Equipment="Yes",Conductive_Feed="Non-Conductive"),"Head Space Ingnition of Easily Ignited or Non-Conductive Material with Distance to LFL of "&amp;BD55&amp;" "&amp;BE55&amp;"-POX",IF(Ease_of_Ignition_Feed="Low","Head Space Ingnition of Difficult to Ignite Material with Distance to LFL of "&amp;BD55&amp;" "&amp;BE55&amp;"-POX",IF(Flash_Pt_Feed="","No Flash Point Entered",IF(AND(Flam_In_Area&lt;Flammable_inArea_Limit,Flash_Pt_Feed&lt;Flammable_FP_Limit,T&lt;(Flash_Pt_Feed-5)),"Head Space Ignition of Combustible Material with Distance to LFL of "&amp;BD55&amp;" "&amp;BE55&amp;"-POX","Head Space Ingnition of Flammable Material with Distance to LFL of "&amp;BD55&amp;" "&amp;BE55&amp;"-POX")))))</f>
        <v>No Flash Point Entered</v>
      </c>
      <c r="GM55" s="250" t="str">
        <f>IF(Dust_Deflagration="Yes",IF(Dust_MIE_Feed&lt;Dust_Low_MIE,"Ignition of Combustible Dust with MIE&lt;Dust_Low_MIE","Ignition of Combustible Dust with MIE&gt;30"),IF(OR(Ease_of_Ignition_Feed="High",Ease_of_Ignition_Feed="Elevated",NonConductive_Equipment="Yes",Conductive_Feed="Non-Conductive"),"Head Space Ingnition of Easily Ignited or Non-Conductive Material-POX",IF(Ease_of_Ignition_Feed="Low","Head Space Ingnition of Difficult to Ignite Material-POX",IF(Flash_Pt_Feed="","No Flash Point Entered",IF(AND(Flam_In_Area&lt;100,Flash_Pt_Feed&lt;93,Flash_Pt_Feed&gt;38,T&lt;(Flash_Pt_Feed-5)),"Head Space Ignition of Combustible Material-POX","Head Space Ingnition of Flammable Material-POX")))))</f>
        <v>No Flash Point Entered</v>
      </c>
      <c r="GN55" s="250" t="str">
        <f>IF(Dust_Deflagration="Yes",IF(Dust_MIE_Feed&lt;Dust_Low_MIE,"Ignition of Combustible Dust with MIE&lt;Dust_Low_MIE","Ignition of Combustible Dust with MIE&gt;Dust_Low_MIE"),IF(OR(Ease_of_Ignition_Feed="High",Ease_of_Ignition_Feed="Elevated"),"Head Space Ingnition of Pyrophoric or Easily Ignited Material",IF(Ease_of_Ignition_Feed="Low","Head Space Ingnition of Difficult to Ignite Material",IF(Flash_Pt_Feed="","No Flash Point Entered",IF(AND(Flam_In_Area&lt;Flammable_inArea_Limit,Flash_Pt_Feed&lt;Flammable_FP_Limit,T&lt;(Flash_Pt_Feed-5)),"Head Space Ignition of "&amp;Conductive_Feed&amp;" Combustible Material"&amp;IF(NonConductive_Equipment="Yes","in Non-Conductive Equipment",""),"Head Space Ingnition of "&amp;Conductive_Feed&amp;" Flammable Material"&amp;IF(NonConductive_Equipment="Yes","in Non-Conductive Equipment",""))))))</f>
        <v>No Flash Point Entered</v>
      </c>
      <c r="GO55" s="248"/>
      <c r="GP55" s="248"/>
      <c r="GQ55" s="19"/>
      <c r="GR55" s="189" t="str">
        <f t="shared" si="35"/>
        <v/>
      </c>
      <c r="GS55" s="26"/>
      <c r="GT55" s="26"/>
      <c r="GU55" s="26"/>
      <c r="GV55" s="26"/>
      <c r="GW55" s="26"/>
      <c r="GX55" s="26"/>
      <c r="GY55" s="26"/>
      <c r="GZ55" s="26"/>
      <c r="HA55" s="26"/>
      <c r="HB55" s="26"/>
      <c r="HC55" s="26"/>
      <c r="HD55" s="26"/>
      <c r="HE55" s="26"/>
      <c r="HF55" s="26"/>
      <c r="HG55" s="26"/>
      <c r="HH55" s="26"/>
      <c r="HI55" s="26"/>
    </row>
    <row r="56" spans="1:220" s="30" customFormat="1" ht="12.75" customHeight="1" x14ac:dyDescent="0.25">
      <c r="A56" s="26"/>
      <c r="B56" s="64" t="str">
        <f>'Scenario Identification'!DI3</f>
        <v>Equipment Rupture - Detonation/Deflagration</v>
      </c>
      <c r="C56" s="1457" t="str">
        <f t="shared" si="80"/>
        <v/>
      </c>
      <c r="D56" s="65"/>
      <c r="E56" s="2483" t="str">
        <f>IF(MAX('Release Calculations'!BY35,'Release Calculations'!BY43,'Release Calculations'!BY62,1-'Release Calculations'!BY82,ABS(MIN('Release Calculations'!BY35,'Release Calculations'!BY43,'Release Calculations'!BY62,1-'Release Calculations'!BY82)))&gt;$E$4,"Yes","")</f>
        <v/>
      </c>
      <c r="F56" s="1418" t="s">
        <v>428</v>
      </c>
      <c r="G56" s="1434">
        <f t="shared" si="85"/>
        <v>0</v>
      </c>
      <c r="H56" s="1427" t="str">
        <f t="shared" si="86"/>
        <v>liter</v>
      </c>
      <c r="I56" s="1418"/>
      <c r="J56" s="1421"/>
      <c r="K56" s="1427">
        <f t="shared" si="87"/>
        <v>0</v>
      </c>
      <c r="L56" s="1434">
        <f>sig('Release Calculations'!$BY$16/$L$4,3,100,0)</f>
        <v>0</v>
      </c>
      <c r="M56" s="1435" t="str">
        <f t="shared" si="88"/>
        <v>kg</v>
      </c>
      <c r="N56" s="1432" t="str">
        <f t="shared" si="89"/>
        <v xml:space="preserve">Liquid:   ,  ,  ,  ,  </v>
      </c>
      <c r="O56" s="1434">
        <f>ROUND('Release Calculations'!$BY$15,0)</f>
        <v>0</v>
      </c>
      <c r="P56" s="1434">
        <f t="shared" si="90"/>
        <v>0</v>
      </c>
      <c r="Q56" s="1446" t="str">
        <f t="shared" si="91"/>
        <v>bar</v>
      </c>
      <c r="R56" s="1434" t="str">
        <f>IF(Rupture_10min="Yes",sig('Release Calculations'!$BY$16/Rupture_Time,3,10,0),"")</f>
        <v/>
      </c>
      <c r="S56" s="1447" t="str">
        <f t="shared" si="92"/>
        <v>Instantaneous</v>
      </c>
      <c r="T56" s="1435">
        <f t="shared" si="93"/>
        <v>0</v>
      </c>
      <c r="U56" s="1434">
        <f>ROUND(('Release Calculations'!$BY$14+Rupture_Time)/$U$4,0)</f>
        <v>0</v>
      </c>
      <c r="V56" s="1434">
        <f>sig('Release Calculations'!$BY$55/$V$4,3,100,0)</f>
        <v>0</v>
      </c>
      <c r="W56" s="1435" t="str">
        <f t="shared" si="94"/>
        <v>sq m</v>
      </c>
      <c r="X56" s="1438">
        <f>ROUND('Release Calculations'!BY$214,3)</f>
        <v>0</v>
      </c>
      <c r="Y56" s="1458" t="str">
        <f>IF('Release Calculations'!$BY$225="","",sig('Release Calculations'!$BY$225,3,1000,0))</f>
        <v/>
      </c>
      <c r="Z56" s="1458" t="str">
        <f>IF('Release Calculations'!$BY$231="","",sig('Release Calculations'!$BY$231,3,1000,0))</f>
        <v/>
      </c>
      <c r="AA56" s="1458" t="str">
        <f>IF('Release Calculations'!$BY$255="","",sig('Release Calculations'!$BY$255,3,1000,0))</f>
        <v/>
      </c>
      <c r="AB56" s="1458" t="str">
        <f>IF('Release Calculations'!$BY$261="","",sig('Release Calculations'!$BY$261,3,1000,0))</f>
        <v/>
      </c>
      <c r="AC56" s="1458" t="str">
        <f>IF('Release Calculations'!$BY$267="","",sig('Release Calculations'!$BY$267,3,1000,0))</f>
        <v/>
      </c>
      <c r="AD56" s="1196" t="str">
        <f>IF('Release Calculations'!$BY$249="","",ROUND('Release Calculations'!$BY$249,1))</f>
        <v/>
      </c>
      <c r="AE56" s="1434">
        <f>sig('Release Calculations'!$BY$70/$AE$4,3,100,0)</f>
        <v>0</v>
      </c>
      <c r="AF56" s="1435" t="str">
        <f t="shared" si="95"/>
        <v>kg</v>
      </c>
      <c r="AG56" s="1326" t="str">
        <f>sig('Release Calculations'!$BY$89/$AG$4,3,10,3)</f>
        <v/>
      </c>
      <c r="AH56" s="1435" t="str">
        <f t="shared" si="96"/>
        <v>Instantaneous</v>
      </c>
      <c r="AI56" s="1434">
        <f>sig('Release Calculations'!$BY$282/$AI$4,3,100,0)</f>
        <v>0</v>
      </c>
      <c r="AJ56" s="1435" t="str">
        <f t="shared" si="97"/>
        <v>m</v>
      </c>
      <c r="AK56" s="1434">
        <f>sig('Release Calculations'!$BY$285/$AK$4,3,100,0)</f>
        <v>0</v>
      </c>
      <c r="AL56" s="1435" t="str">
        <f t="shared" si="110"/>
        <v>m</v>
      </c>
      <c r="AM56" s="1434">
        <f>sig('Release Calculations'!$BY$287/$AM$4,3,100,0)</f>
        <v>0</v>
      </c>
      <c r="AN56" s="1435" t="str">
        <f t="shared" si="98"/>
        <v>m</v>
      </c>
      <c r="AO56" s="1434">
        <f>sig('Release Calculations'!$BY$288/$AO$4,3,100,0)</f>
        <v>0</v>
      </c>
      <c r="AP56" s="1452" t="str">
        <f t="shared" si="99"/>
        <v>m</v>
      </c>
      <c r="AQ56" s="1434">
        <f>sig('Release Calculations'!$BY$290/$AQ$4,3,100,0)</f>
        <v>0</v>
      </c>
      <c r="AR56" s="1452" t="str">
        <f t="shared" si="100"/>
        <v>m</v>
      </c>
      <c r="AS56" s="1452" t="str">
        <f t="shared" si="101"/>
        <v/>
      </c>
      <c r="AT56" s="1452" t="str">
        <f t="shared" si="102"/>
        <v/>
      </c>
      <c r="AU56" s="1452" t="str">
        <f t="shared" si="103"/>
        <v/>
      </c>
      <c r="AV56" s="114">
        <f>sig('Release Calculations'!$BY$296,3,1000,-1)</f>
        <v>0</v>
      </c>
      <c r="AW56" s="114">
        <f>sig('Release Calculations'!$BY$297,3,1000,-1)</f>
        <v>0</v>
      </c>
      <c r="AX56" s="114" t="str">
        <f>sig('Release Calculations'!$BY$298,3,1000,0)</f>
        <v/>
      </c>
      <c r="AY56" s="114" t="str">
        <f>sig('Release Calculations'!$BY$299,3,1000,0)</f>
        <v/>
      </c>
      <c r="AZ56" s="114">
        <f>sig('Release Calculations'!$BY$300,3,1000,-1)</f>
        <v>0</v>
      </c>
      <c r="BA56" s="114">
        <f>sig('Release Calculations'!$BY$301,3,1000,-1)</f>
        <v>0</v>
      </c>
      <c r="BB56" s="114" t="str">
        <f>sig('Release Calculations'!$BY$302,3,10,3)</f>
        <v/>
      </c>
      <c r="BC56" s="2576" t="str">
        <f>sig('Release Calculations'!$BY$303,3,10,3)</f>
        <v/>
      </c>
      <c r="BD56" s="2569">
        <f>sig('Release Calculations'!$BY$320/$BD$4,3,100,0)</f>
        <v>0</v>
      </c>
      <c r="BE56" s="1435" t="str">
        <f t="shared" si="104"/>
        <v>m</v>
      </c>
      <c r="BF56" s="2569">
        <f>sig('Release Calculations'!$BY$319/$BF$4,3,100,0)</f>
        <v>0</v>
      </c>
      <c r="BG56" s="1435" t="str">
        <f t="shared" si="104"/>
        <v>m</v>
      </c>
      <c r="BH56" s="1434">
        <f>sig(MAX('Release Calculations'!$BY$455,'Release Calculations'!$BY$456)/$BJ$4,3,100,0)</f>
        <v>0</v>
      </c>
      <c r="BI56" s="1435" t="str">
        <f t="shared" si="105"/>
        <v>m</v>
      </c>
      <c r="BJ56" s="1434">
        <f>sig('Release Calculations'!$BY$351/$BJ$4,3,100,0)</f>
        <v>0</v>
      </c>
      <c r="BK56" s="1435" t="str">
        <f t="shared" si="106"/>
        <v>m</v>
      </c>
      <c r="BL56" s="2569">
        <f>sig('Release Calculations'!$BY$439/$BJ$4,3,100,0)</f>
        <v>0</v>
      </c>
      <c r="BM56" s="1435" t="str">
        <f t="shared" si="106"/>
        <v>m</v>
      </c>
      <c r="BN56" s="1505">
        <f>ROUND('Release Calculations'!$BY$354,1)</f>
        <v>0</v>
      </c>
      <c r="BO56" s="1505">
        <f>ROUND('Release Calculations'!$BY$356,1)</f>
        <v>0</v>
      </c>
      <c r="BP56" s="1503" t="str">
        <f>sig('Release Calculations'!$BY$90/$BP$4,3,10,1)</f>
        <v/>
      </c>
      <c r="BQ56" s="1435" t="str">
        <f t="shared" si="107"/>
        <v>Instantaneous</v>
      </c>
      <c r="BR56" s="1434">
        <f>sig(IF(Location="Indoors",'Release Calculations'!$BY$311/$BR$4,'Release Calculations'!$BY$325/$BR$4),3,100,0)</f>
        <v>0</v>
      </c>
      <c r="BS56" s="1435" t="str">
        <f t="shared" si="108"/>
        <v>m</v>
      </c>
      <c r="BT56" s="1748">
        <f>ROUND(IF(Location="Indoors",'Release Calculations'!$BY$314,'Release Calculations'!$BY$330),1)</f>
        <v>0</v>
      </c>
      <c r="BU56" s="1748">
        <f>ROUND(IF(Location="Indoors",'Release Calculations'!$BY$316,'Release Calculations'!$BY$334),1)</f>
        <v>0</v>
      </c>
      <c r="BV56" s="1509"/>
      <c r="BW56" s="1445"/>
      <c r="BX56" s="263"/>
      <c r="BY56" s="263"/>
      <c r="BZ56" s="123"/>
      <c r="CA56" s="4" t="str">
        <f>IF('Release Calculations'!BY$368="NA","",'Release Calculations'!BY$368)</f>
        <v/>
      </c>
      <c r="CB56" s="4" t="str">
        <f>IF('Release Calculations'!BY$398="NA","",'Release Calculations'!BY$398)</f>
        <v/>
      </c>
      <c r="CC56" s="4" t="str">
        <f>IF('Release Calculations'!BY$403="NA","",'Release Calculations'!BY$403)</f>
        <v/>
      </c>
      <c r="CD56" s="735" t="str">
        <f>IF('Release Calculations'!BY$408="NA","",'Release Calculations'!BY$408)</f>
        <v/>
      </c>
      <c r="CE56" s="4" t="str">
        <f>IF('Release Calculations'!BY$412="NA","",'Release Calculations'!BY$412)</f>
        <v/>
      </c>
      <c r="CF56" s="4" t="str">
        <f>IF('Release Calculations'!BY$417="NA","",'Release Calculations'!BY$417)</f>
        <v/>
      </c>
      <c r="CG56" s="4" t="str">
        <f>IF('Release Calculations'!BY$437="NA","",'Release Calculations'!BY$437)</f>
        <v/>
      </c>
      <c r="CH56" s="4" t="str">
        <f>IF('Release Calculations'!BY$427="NA","",'Release Calculations'!BY$427)</f>
        <v/>
      </c>
      <c r="CI56" s="4" t="str">
        <f>IF('Release Calculations'!BY470="NA","",'Release Calculations'!BY470)</f>
        <v/>
      </c>
      <c r="CJ56" s="4"/>
      <c r="CK56" s="4" t="str">
        <f>IF('Release Calculations'!BD436="NA","",'Release Calculations'!BD436)</f>
        <v/>
      </c>
      <c r="CL56" s="19"/>
      <c r="CM56" s="19"/>
      <c r="CN56" s="189" t="str">
        <f>IF(CA56="","",IF('Release Calculations'!BY$284="Yes",IF(CA56=Conseq_VeryLow,Desc_VeryLow,IF(CA56=Conseq_Low,Desc_Low,IF(CA56=Conseq_Moderate,Desc_Moderate,IF(CA56=Conseq_High,Desc_High,IF(CA56=Conseq_VeryHigh,Desc_VeryHigh,IF(CA56=Conseq_ExtremeHigh,Desc_ExtremeHigh,Desc_GT_ExtremeHigh)))))),IF(CA56=Conseq_Low_Offsite,Desc_Low_Offsite,Desc_VeryLow_Offsite)))</f>
        <v/>
      </c>
      <c r="CO56" s="189" t="str">
        <f t="shared" si="111"/>
        <v/>
      </c>
      <c r="CP56" s="189" t="str">
        <f t="shared" si="111"/>
        <v/>
      </c>
      <c r="CQ56" s="189" t="str">
        <f t="shared" si="111"/>
        <v/>
      </c>
      <c r="CR56" s="189" t="str">
        <f t="shared" si="111"/>
        <v/>
      </c>
      <c r="CS56" s="189" t="str">
        <f t="shared" si="111"/>
        <v/>
      </c>
      <c r="CT56" s="189" t="str">
        <f t="shared" ref="CT56:CV57" si="113">IF(CG56="","",IF(CG56=Conseq_VeryLow,Desc_VeryLow,IF(CG56=Conseq_Low,Desc_Low,IF(CG56=Conseq_Moderate,Desc_Moderate,IF(CG56=Conseq_High,Desc_High,IF(CG56=Conseq_VeryHigh,Desc_VeryHigh,IF(CG56=Conseq_ExtremeHigh,Desc_ExtremeHigh,Desc_GT_ExtremeHigh)))))))</f>
        <v/>
      </c>
      <c r="CU56" s="189" t="str">
        <f t="shared" si="113"/>
        <v/>
      </c>
      <c r="CV56" s="189" t="str">
        <f t="shared" si="113"/>
        <v/>
      </c>
      <c r="CW56" s="67"/>
      <c r="CX56" s="189" t="str">
        <f t="shared" si="84"/>
        <v/>
      </c>
      <c r="CY56" s="40"/>
      <c r="CZ56" s="189" t="str">
        <f>IF(CA56="","",IF('Release Calculations'!BY$284="Yes"," at a "&amp;$AI$3&amp;" of "&amp;AI56&amp;" "&amp;AJ56&amp;" which exceeds Distance to the Fence Line of "&amp;Public_Input&amp;" "&amp;Public_Units&amp;" - Modeled as "&amp;IF(Rupture_10min="Yes","10 Minute Release","Instantaneous Release")))</f>
        <v/>
      </c>
      <c r="DA56" s="189" t="str">
        <f>IF(CB56="","","Modeled as "&amp;IF(Rupture_10min="Yes","10 Minute Release","Instantaneous Release")&amp;IF('Release Calculations'!$BY$292="Yes"," with operating personnel in close proximity and a "&amp;$AM$3&amp;" of "&amp;AM56&amp;" "&amp;AN56," at a "&amp;$AM$3&amp;" of "&amp;AM56&amp;" "&amp;AN56)&amp;IF('Release Calculations'!$BY$287&gt;Public," which exceeds Distance to the Fence Line of "&amp;Public_Input&amp;" "&amp;Public_Units&amp;".  Target Factor may be conservative",))</f>
        <v/>
      </c>
      <c r="DB56" s="226" t="str">
        <f>IF(CC56="","",IF('Release Calculations'!BY305="Yes","and Potential for Asphyxiation","")&amp;IF('Release Calculations'!BY$292="Yes"," with operations personnel in close proximity at an "&amp;$AZ$3&amp;" of "&amp;AZ56&amp;" ppm"," at an "&amp;$AZ$3&amp;" of "&amp;AZ56&amp;" ppm"))</f>
        <v/>
      </c>
      <c r="DC56" s="189" t="str">
        <f t="shared" si="109"/>
        <v/>
      </c>
      <c r="DD56" s="189" t="str">
        <f>IF(CE56="",""," of a "&amp;IF(Ease_of_Ignition_Feed="High","pyrophoric ","high/low temperature ")&amp;IF(Dermal_Tox_Feed&lt;&gt;"","or "&amp;Dermal_Tox_Feed,"")&amp;" chemical"&amp;IF('Release Calculations'!$BY$292="Yes"," with operating personnel in close proximity",""))</f>
        <v/>
      </c>
      <c r="DE56" s="189" t="str">
        <f>IF(CF56="","",IF(Location="Indoors",""," Modeled as "&amp;IF(Rupture_10min="Yes","10 Minute Release","Instantaneous Release"))&amp;IF('Release Calculations'!$BY$292="Yes"," with operating personnel in close proximity and a "&amp;$BF$3&amp;" of "&amp;BF56&amp;" "&amp;BG56," at a "&amp;$BF$3&amp;" of "&amp;BF56&amp;" "&amp;BG56))</f>
        <v/>
      </c>
      <c r="DF56" s="189" t="str">
        <f>IF(CG56="",""," Modeled as "&amp;IF(Rupture_10min="Yes","10 Minute Release","Instantaneous Release")&amp;IF('Release Calculations'!BY$326="Yes"," with "&amp;$BR$3&amp;" of "&amp;BR56&amp;" "&amp;BS56&amp;IF('Release Calculations'!BY$335&lt;&gt;"Yes",""," including "&amp;$BT$3&amp;" of "&amp;BT56)&amp;".  1 psi Blast Overpresssure exceeds Distance to the Fence Line of "&amp;Public_Input&amp;" "&amp;Public_Units&amp;".  Consider adjustment for Off-Site Impacts",IF('Release Calculations'!BY$335&lt;&gt;"Yes"," impacting on site personnel at a "&amp;$BR$3&amp;" of "&amp;BR56&amp;" "&amp;BS56," impacting on site personnel at a "&amp;$BR$3&amp;" of "&amp;BR56&amp;" "&amp;BS56&amp;" including "&amp;$BT$3&amp;" of "&amp;BT56)))</f>
        <v/>
      </c>
      <c r="DG56" s="189" t="str">
        <f>IF(CH56="","",IF('Release Calculations'!BY$312="Yes"," with "&amp;$BR$3&amp;" of "&amp;BR56&amp;" "&amp;BS56&amp;IF('Release Calculations'!BY$317&lt;&gt;"Yes",""," including "&amp;$BT$3&amp;" of "&amp;BT56)&amp;".  1 psi Blast Overpresssure exceeds Distance to the Fence Line of "&amp;Public_Input&amp;" "&amp;Public_Units&amp;".  Consider adjustment for Off-Site Impacts",IF('Release Calculations'!BY$317&lt;&gt;"Yes"," impacting enclosed area operating personnel, on site personnel at a "&amp;$BR$3&amp;" of "&amp;BR56&amp;" "&amp;BS56," impacting enclosed area operating personnel, on site personnel at a "&amp;$BR$3&amp;" of "&amp;BR56&amp;" "&amp;BS56&amp;" including "&amp;$BT$3&amp;" of "&amp;BT56)))</f>
        <v/>
      </c>
      <c r="DH56" s="189" t="str">
        <f>IF(CI56="","",IF(OR('Release Calculations'!BY$343="Yes",'Release Calculations'!BY$352="Yes")," with "&amp;$BH$3&amp;" of "&amp;BH56&amp;" "&amp;BI56&amp;IF('Release Calculations'!BY$348&lt;&gt;"Yes",""," including "&amp;$BN$3&amp;" of "&amp;BN56&amp;" psi.")&amp;" 1 psi Blast Overpresssure exceeds Distance to the Fence Line of "&amp;Public_Input&amp;" "&amp;Public_Units&amp;".  Consider adjustment for Off-Site Impacts",IF('Release Calculations'!BY$357="Yes",IF('Release Calculations'!BY$348&lt;&gt;"Yes"," from uncontrolled reaction impacting on site personnel at a "&amp;$BH$3&amp;" of "&amp;BH56&amp;" "&amp;BI56," from uncontrolled reaction impacting on site personnel at a "&amp;$BH$3&amp;" of "&amp;BH56&amp;" "&amp;BI56&amp;" including "&amp;$BN$3&amp;" of "&amp;BN56&amp;" psi"),IF('Release Calculations'!BY$348&lt;&gt;"Yes",IF(Attended="Yes"," impacting personnel in close proximity at a "&amp;$BH$3&amp;" of "&amp;BH56&amp;" "&amp;BI56," impacting on site personnel at a "&amp;$BH$3&amp;" of "&amp;BH56&amp;" "&amp;BI56)," impacting on site personnel at a "&amp;$BH$3&amp;" of "&amp;BH56&amp;" "&amp;BI56&amp;" including "&amp;$BN$3&amp;" of "&amp;BN56&amp;" psi"))))</f>
        <v/>
      </c>
      <c r="DI56" s="67"/>
      <c r="DJ56" s="189" t="str">
        <f>IF('Release Calculations'!AZ436&gt;0,"Groundwater or Remediation Issue",IF('Release Calculations'!BB436&gt;0,"High Aqueous Toxicity",""))</f>
        <v/>
      </c>
      <c r="DK56" s="19" t="s">
        <v>822</v>
      </c>
      <c r="DL56" s="39"/>
      <c r="DM56" s="1197">
        <f>'Release Calculations'!BY396</f>
        <v>0</v>
      </c>
      <c r="DN56" s="1197">
        <f>'Release Calculations'!BY$401</f>
        <v>0</v>
      </c>
      <c r="DO56" s="34"/>
      <c r="DP56" s="1197">
        <f>'Release Calculations'!BY410</f>
        <v>0</v>
      </c>
      <c r="DQ56" s="1197">
        <f>'Release Calculations'!BY415</f>
        <v>0</v>
      </c>
      <c r="DR56" s="34"/>
      <c r="DS56" s="34"/>
      <c r="DT56" s="39" t="str">
        <f>IF(AND(Equipment="Pump",Remote_Start="Yes",CI56&lt;&gt;"",CI56&gt;5,),1,IF(ISERROR('Scenario Identification'!DS56),"",IF(AND(Equipment="Pump",CI56&lt;&gt;"",CI56&gt;5,OR('Scenario Identification'!DS56=0,'Scenario Identification'!DS56&gt;10)),1,"")))</f>
        <v/>
      </c>
      <c r="DU56" s="34"/>
      <c r="DV56" s="6"/>
      <c r="DW56" s="40"/>
      <c r="DX56" s="250"/>
      <c r="DY56" s="249" t="s">
        <v>2983</v>
      </c>
      <c r="DZ56" s="250" t="s">
        <v>292</v>
      </c>
      <c r="EA56" s="740"/>
      <c r="EB56" s="249" t="str">
        <f>IF(AND(Equipment="Pump",Remote_Start="Yes",CI56&lt;&gt;"",CI56&gt;5,Attended="Yes"),"Remote Start Pump or &gt; 10 minutes to Failure","Probability of Exposure to Hot or Toxic Material")</f>
        <v>Probability of Exposure to Hot or Toxic Material</v>
      </c>
      <c r="EC56" s="249" t="s">
        <v>292</v>
      </c>
      <c r="ED56" s="248"/>
      <c r="EE56" s="248"/>
      <c r="EF56" s="250" t="str">
        <f>IF(AND(Equipment="Pump",Remote_Start="Yes",CI56&lt;&gt;"",CI56&gt;5),"Remote Start Pump or &gt; 10 minutes to Failure","Probability of Exposure")</f>
        <v>Probability of Exposure</v>
      </c>
      <c r="EG56" s="248"/>
      <c r="EH56" s="248"/>
      <c r="EI56" s="19"/>
      <c r="EJ56" s="250"/>
      <c r="EK56" s="249" t="str">
        <f>IF(Attended_Op="Yes","Noted as Personnel Routinely in Immediate Area or Equipment Type involves Materials Handling - "&amp;IF('Release Calculations'!BY210*3600&lt;30," with a very Short Exposure Duration (&lt; 30 sec)","Time at Risk May Apply"),"Probability of Personnel to be in Close Proximity to Chemical Release based on Toxic Impact Area to "&amp;AM56&amp;" "&amp;AN56&amp;IF('Release Calculations'!BY395&lt;0.01," (with potential for higher POE credit upon further review)",""))</f>
        <v>Probability of Personnel to be in Close Proximity to Chemical Release based on Toxic Impact Area to 0 m (with potential for higher POE credit upon further review)</v>
      </c>
      <c r="EL56" s="250" t="str">
        <f>IF(Attended_Op="Yes","Noted as Personnel Routinely in Immediate Area or Equipment Type involves Materials Handling - Time at Risk May Apply","Probability of Personnel to be in Close Proximity to Chemical Release based on Ratio Enclosed Process Area Concentation of "&amp;AZ56&amp;" ppm to 10 ER-3 for "&amp;Chemical&amp;IF(Fract_Key_Chemical&lt;1," mixture "," ")&amp;IF('Release Calculations'!$BY$400&lt;0.01,"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56" s="248"/>
      <c r="EN56"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Calculations'!$BY$409&lt;0.01," (with potential for higher POE credit upon further review)",""))</f>
        <v>Probability of Personnel to be in Close Proximity to Chemical Release based on Spray Distance of 1 m (with potential for higher POE credit upon further review)</v>
      </c>
      <c r="EO56"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"&amp;AZ56&amp;" to "&amp;LFL_Fract_FlashFIre&amp;" LFL","Flammable Impact Area to "&amp;BF56&amp;" "&amp;BG56)&amp;IF('Release Calculations'!$BY$414&lt;0.01," (with potential for higher POE credit upon further review)",""))</f>
        <v>Probability of Personnel to be in Close Proximity to Chemical Release based on Flammable Impact Area to 0 m (with potential for higher POE credit upon further review)</v>
      </c>
      <c r="EP56" s="248"/>
      <c r="EQ56" s="248"/>
      <c r="ER56" s="4" t="str">
        <f>IF(Attended_Op="Yes","Noted as Personnel Routinely in Immediate Area or Equipment Type involves Materials Handling - Time at Risk May Apply","Probability of Personnel to be in Close Proximity to Chemical Release based on Physical Explosion Impact Area to "&amp;BH56&amp;" "&amp;BI56&amp;IF('Release Calculations'!$BY$452&lt;0.01," (with potential for higher POE credit upon further review)",""))</f>
        <v>Probability of Personnel to be in Close Proximity to Chemical Release based on Physical Explosion Impact Area to 0 m (with potential for higher POE credit upon further review)</v>
      </c>
      <c r="ES56" s="248"/>
      <c r="ET56" s="248"/>
      <c r="EU56" s="19"/>
      <c r="EV56" s="1379"/>
      <c r="EW56" s="957">
        <f>'Release Calculations'!BY395</f>
        <v>6.0000000000000008E-7</v>
      </c>
      <c r="EX56" s="957">
        <f>'Release Calculations'!$BY$400</f>
        <v>0</v>
      </c>
      <c r="EY56" s="1380"/>
      <c r="EZ56" s="957">
        <f>'Release Calculations'!$BY$409</f>
        <v>0</v>
      </c>
      <c r="FA56" s="957">
        <f>'Release Calculations'!$BY$414</f>
        <v>0</v>
      </c>
      <c r="FB56" s="6"/>
      <c r="FC56" s="6"/>
      <c r="FD56" s="957">
        <f>IF(AND('Release Calculations'!BY444="NA",'Release Calculations'!BY454="NA"),0,IF('Release Calculations'!BY454="NA",'Release Calculations'!BY441,'Release Calculations'!BY452))</f>
        <v>0</v>
      </c>
      <c r="FE56" s="6"/>
      <c r="FF56" s="6"/>
      <c r="FG56" s="19"/>
      <c r="FH56" s="34"/>
      <c r="FI56" s="34"/>
      <c r="FJ56" s="34"/>
      <c r="FK56" s="739"/>
      <c r="FL56" s="34"/>
      <c r="FM56" s="459" t="str">
        <f>IF(Location="Outdoors",'Release Calculations'!BY$323,'Release Calculations'!BY$309)</f>
        <v/>
      </c>
      <c r="FN56" s="239" t="str">
        <f>'Release Calculations'!BY$324</f>
        <v/>
      </c>
      <c r="FO56" s="39" t="str">
        <f>IF(State&lt;&gt;"Solid",'Release Calculations'!BY$309,Dust_SecondExpl_POE)</f>
        <v/>
      </c>
      <c r="FP56" s="34"/>
      <c r="FQ56" s="34"/>
      <c r="FR56" s="6"/>
      <c r="FS56" s="40"/>
      <c r="FT56" s="248"/>
      <c r="FU56" s="248"/>
      <c r="FV56" s="248"/>
      <c r="FW56" s="741"/>
      <c r="FX56" s="248"/>
      <c r="FY56" s="249" t="s">
        <v>1461</v>
      </c>
      <c r="FZ56" s="249" t="s">
        <v>1460</v>
      </c>
      <c r="GA56" s="250" t="s">
        <v>1461</v>
      </c>
      <c r="GB56" s="248"/>
      <c r="GC56" s="248"/>
      <c r="GD56" s="248"/>
      <c r="GE56" s="19"/>
      <c r="GF56" s="248"/>
      <c r="GG56" s="248"/>
      <c r="GH56" s="248"/>
      <c r="GI56" s="741"/>
      <c r="GJ56" s="248"/>
      <c r="GK56" s="3148"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"&amp;BP56&amp;" "&amp;BQ56&amp;" Easily Ignited Material with Distance to LFL of "&amp;BD56&amp;" "&amp;BE56,IF(OR(Ease_of_Ignition_Feed="Low",AND(Flash_Pt_Feed&gt;MAX(Ambient_Temp,T),Aerosol_Potential="Yes")),"Outdoor Release of Difficult to Ignite Material or Combustible Aerosol","Outdoor release of "&amp;BP56&amp;" "&amp;BQ56&amp;" Flammable Material with Distance to LFL of "&amp;BD56&amp;" "&amp;BE56)),IF(Ease_of_Ignition_Feed="Elevated","Indoor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56" s="2581" t="str">
        <f>IF(OR(Ease_of_Ignition_Feed="High",Ease_of_Ignition_Feed="Elevated"),"Outdoor Release of "&amp;BP56&amp;" " &amp;BQ56&amp;" Easily Ignited Material with Distance to LFL of "&amp;BD56&amp;" "&amp;BE56&amp;"-POX",IF(Ease_of_Ignition_Feed="Low","Outdoor Release of "&amp;BP56&amp;" " &amp;BQ56&amp;" Difficult to Ignite Material with Distance to LFL of "&amp;BD56&amp;" "&amp;BE56&amp;"-POX","Outdoor Release of "&amp;BP56&amp;" " &amp;BQ56&amp;" Flammable Material with Distance to LFL of "&amp;BD56&amp;" "&amp;BE56&amp;"-POX"))</f>
        <v>Outdoor Release of  Instantaneous Flammable Material with Distance to LFL of 0 m-POX</v>
      </c>
      <c r="GM56" s="250" t="str">
        <f>IF(OR(Ease_of_Ignition_Feed="High",Ease_of_Ignition_Feed="Elevated"),"Indoor Release of Easily Ignited Material-POX",IF(Ease_of_Ignition_Feed="Low","Indoor Release of Difficult to Ignite Material-POX","Indoor Release of Flammable Material-POX"))</f>
        <v>Indoor Release of Flammable Material-POX</v>
      </c>
      <c r="GN56" s="248"/>
      <c r="GO56" s="248"/>
      <c r="GP56" s="248"/>
      <c r="GQ56" s="19"/>
      <c r="GR56" s="189" t="str">
        <f t="shared" si="35"/>
        <v/>
      </c>
      <c r="GS56" s="26"/>
      <c r="GT56" s="26"/>
      <c r="GU56" s="26"/>
      <c r="GV56" s="26"/>
      <c r="GW56" s="26"/>
      <c r="GX56" s="26"/>
      <c r="GY56" s="26"/>
      <c r="GZ56" s="26"/>
      <c r="HA56" s="26"/>
      <c r="HB56" s="26"/>
      <c r="HC56" s="26"/>
      <c r="HD56" s="26"/>
      <c r="HE56" s="26"/>
      <c r="HF56" s="26"/>
      <c r="HG56" s="26"/>
      <c r="HH56" s="26"/>
      <c r="HI56" s="26"/>
    </row>
    <row r="57" spans="1:220" s="30" customFormat="1" x14ac:dyDescent="0.25">
      <c r="A57" s="26"/>
      <c r="B57" s="64" t="str">
        <f>'Scenario Identification'!DJ3</f>
        <v>USER DEFINED LOSS EVENT</v>
      </c>
      <c r="C57" s="1457" t="str">
        <f t="shared" si="80"/>
        <v/>
      </c>
      <c r="D57" s="65"/>
      <c r="E57" s="2486"/>
      <c r="F57" s="1420" t="str">
        <f>IF('User Scenario'!S2="","",'User Scenario'!S2)</f>
        <v/>
      </c>
      <c r="G57" s="1436"/>
      <c r="H57" s="1429"/>
      <c r="I57" s="1418" t="str">
        <f>IF('User Scenario'!S4="","",'User Scenario'!S4&amp;" "&amp;'User Scenario'!W4)</f>
        <v/>
      </c>
      <c r="J57" s="1421" t="str">
        <f>IF(Report_H&lt;&gt;"",Report_H,D_Units)</f>
        <v>mm</v>
      </c>
      <c r="K57" s="1431" t="str">
        <f>'Release Calculations'!CJ10</f>
        <v/>
      </c>
      <c r="L57" s="1434" t="str">
        <f>sig('Release Calculations'!$CJ$8/$L$4,3,100,0)</f>
        <v/>
      </c>
      <c r="M57" s="1435" t="str">
        <f t="shared" si="88"/>
        <v>kg</v>
      </c>
      <c r="N57" s="1432" t="str">
        <f>"Vapor"&amp;":  "&amp;Fract_Key_Chemical&amp;" "&amp;Chemical&amp;", "&amp;WtFract_2&amp;" "&amp;Chemical_2&amp;", "&amp;WtFract_3&amp;" "&amp;Chemical_3&amp;", "&amp;WtFract_4&amp;" "&amp;Chemical_4&amp;", "&amp;WtFract_5&amp;" "&amp;Chemical_5</f>
        <v xml:space="preserve">Vapor:   ,  ,  ,  ,  </v>
      </c>
      <c r="O57" s="1424"/>
      <c r="P57" s="1419"/>
      <c r="Q57" s="1428"/>
      <c r="R57" s="1434" t="str">
        <f>sig('Release Calculations'!$CJ$7/$AG$4,3,10,0)</f>
        <v/>
      </c>
      <c r="S57" s="1447" t="str">
        <f>Small_Leak_Units</f>
        <v>kg/min</v>
      </c>
      <c r="T57" s="1425"/>
      <c r="U57" s="1424"/>
      <c r="V57" s="1419"/>
      <c r="W57" s="1422"/>
      <c r="X57" s="1440" t="str">
        <f>IF('User Scenario'!S14="","",'User Scenario'!S14)</f>
        <v/>
      </c>
      <c r="Y57" s="1458" t="str">
        <f>IF('Release Calculations'!$CJ$21="","",sig('Release Calculations'!$CJ$21,3,1000,0))</f>
        <v/>
      </c>
      <c r="Z57" s="1458" t="str">
        <f>IF('Release Calculations'!$CJ$22="","",sig('Release Calculations'!$CJ$22,3,1000,0))</f>
        <v/>
      </c>
      <c r="AA57" s="1458" t="str">
        <f>IF('Release Calculations'!$CJ$22="","",sig('Release Calculations'!$CJ$22,3,1000,0))</f>
        <v/>
      </c>
      <c r="AB57" s="1458" t="str">
        <f>IF('Release Calculations'!$CJ$22="","",sig('Release Calculations'!$CJ$22,3,1000,0))</f>
        <v/>
      </c>
      <c r="AC57" s="1458" t="str">
        <f>IF('Release Calculations'!$CJ$22="","",sig('Release Calculations'!$CJ$22,3,1000,0))</f>
        <v/>
      </c>
      <c r="AD57" s="1196" t="str">
        <f>IF('Release Calculations'!$CJ$26="","",ROUND('Release Calculations'!$CJ$26,1))</f>
        <v/>
      </c>
      <c r="AE57" s="1434" t="str">
        <f>sig('Release Calculations'!$CJ$16/$L$4,3,100,0)</f>
        <v/>
      </c>
      <c r="AF57" s="1435" t="str">
        <f t="shared" si="95"/>
        <v>kg</v>
      </c>
      <c r="AG57" s="1326" t="str">
        <f>sig('Release Calculations'!$CJ$13/$AG$4,3,10,3)</f>
        <v/>
      </c>
      <c r="AH57" s="1435" t="str">
        <f t="shared" si="96"/>
        <v>Instantaneous</v>
      </c>
      <c r="AI57" s="1434" t="str">
        <f>sig('Release Calculations'!$CJ$144/$AI$4,3,100,0)</f>
        <v/>
      </c>
      <c r="AJ57" s="1435" t="str">
        <f t="shared" si="97"/>
        <v>m</v>
      </c>
      <c r="AK57" s="1434" t="str">
        <f>sig('Release Calculations'!$CJ$146/$AK$4,3,100,0)</f>
        <v/>
      </c>
      <c r="AL57" s="1435" t="str">
        <f t="shared" si="110"/>
        <v>m</v>
      </c>
      <c r="AM57" s="1434" t="str">
        <f>sig('Release Calculations'!$CJ$148/$AM$4,3,100,0)</f>
        <v/>
      </c>
      <c r="AN57" s="1435" t="str">
        <f t="shared" si="98"/>
        <v>m</v>
      </c>
      <c r="AO57" s="1434" t="str">
        <f>sig('Release Calculations'!$CJ$149/$AO$4,3,100,0)</f>
        <v/>
      </c>
      <c r="AP57" s="1452" t="str">
        <f t="shared" si="99"/>
        <v>m</v>
      </c>
      <c r="AQ57" s="1434" t="str">
        <f>sig('Release Calculations'!$CJ$151/$AQ$4,3,100,0)</f>
        <v/>
      </c>
      <c r="AR57" s="1452" t="str">
        <f t="shared" si="100"/>
        <v>m</v>
      </c>
      <c r="AS57" s="1452" t="str">
        <f t="shared" si="101"/>
        <v/>
      </c>
      <c r="AT57" s="1452" t="str">
        <f t="shared" si="102"/>
        <v/>
      </c>
      <c r="AU57" s="1452" t="str">
        <f t="shared" si="103"/>
        <v/>
      </c>
      <c r="AV57" s="114">
        <f>sig('Release Calculations'!CJ155,3,1000,-1)</f>
        <v>0</v>
      </c>
      <c r="AW57" s="114">
        <f>sig('Release Calculations'!CJ156,3,1000,-1)</f>
        <v>0</v>
      </c>
      <c r="AX57" s="1776"/>
      <c r="AY57" s="1776"/>
      <c r="AZ57" s="114">
        <f>sig('Release Calculations'!$CJ$158,3,1000,-1)</f>
        <v>0</v>
      </c>
      <c r="BA57" s="114">
        <f>sig('Release Calculations'!$CJ$158,3,1000,-1)</f>
        <v>0</v>
      </c>
      <c r="BB57" s="114"/>
      <c r="BC57" s="2576"/>
      <c r="BD57" s="2569" t="str">
        <f>sig('Release Calculations'!$CJ$171/$BD$4,3,100,0)</f>
        <v/>
      </c>
      <c r="BE57" s="1435" t="str">
        <f t="shared" si="104"/>
        <v>m</v>
      </c>
      <c r="BF57" s="2569" t="str">
        <f>sig('Release Calculations'!$CJ$170/$BF$4,3,100,0)</f>
        <v/>
      </c>
      <c r="BG57" s="1435" t="str">
        <f t="shared" si="104"/>
        <v>m</v>
      </c>
      <c r="BH57" s="1434" t="str">
        <f>IF('User Scenario'!Q44="","",'User Scenario'!Q44&amp;" "&amp;'User Scenario'!U44)</f>
        <v/>
      </c>
      <c r="BI57" s="1435" t="str">
        <f t="shared" si="105"/>
        <v>m</v>
      </c>
      <c r="BJ57" s="1434">
        <f>sig('Release Calculations'!$CJ$181/$BJ$4,3,100,0)</f>
        <v>0</v>
      </c>
      <c r="BK57" s="1435" t="str">
        <f t="shared" si="106"/>
        <v>m</v>
      </c>
      <c r="BL57" s="2569">
        <f>sig('Release Calculations'!$CJ$182/$BJ$4,3,100,0)</f>
        <v>0</v>
      </c>
      <c r="BM57" s="1435" t="str">
        <f t="shared" si="106"/>
        <v>m</v>
      </c>
      <c r="BN57" s="1505">
        <f>IF('Release Calculations'!$CJ$184="","",ROUND('Release Calculations'!$CJ$184,1))</f>
        <v>0</v>
      </c>
      <c r="BO57" s="1747"/>
      <c r="BP57" s="1503" t="str">
        <f>IF('User Scenario'!T44="","",'User Scenario'!T44&amp;" "&amp;'User Scenario'!AE44)</f>
        <v/>
      </c>
      <c r="BQ57" s="1435" t="str">
        <f>Small_Leak_Units</f>
        <v>kg/min</v>
      </c>
      <c r="BR57" s="1434">
        <f>sig(IF(Location="Indoors",'Release Calculations'!$CJ$164/$BR$4,'Release Calculations'!$CJ$174/$BR$4),3,100,0)</f>
        <v>0</v>
      </c>
      <c r="BS57" s="1435" t="str">
        <f t="shared" si="108"/>
        <v>m</v>
      </c>
      <c r="BT57" s="1748">
        <f>IF(Location="Indoors",IF('Release Calculations'!$CJ$166="","",ROUND('Release Calculations'!$CJ$166,1)),IF('Release Calculations'!$CJ$176="","",ROUND('Release Calculations'!$CJ$176,1)))</f>
        <v>0</v>
      </c>
      <c r="BU57" s="1750"/>
      <c r="BV57" s="1510" t="str">
        <f>IF('User Scenario'!S50="","",'User Scenario'!S50)</f>
        <v/>
      </c>
      <c r="BW57" s="1444" t="str">
        <f>'User Scenario'!W50</f>
        <v>sec</v>
      </c>
      <c r="BX57" s="5"/>
      <c r="BY57" s="263"/>
      <c r="BZ57" s="19"/>
      <c r="CA57" s="4" t="str">
        <f>IF('Release Calculations'!CJ$189="NA","",'Release Calculations'!CJ$189)</f>
        <v/>
      </c>
      <c r="CB57" s="4" t="str">
        <f>IF('Release Calculations'!CJ$220="NA","",'Release Calculations'!CJ$220)</f>
        <v/>
      </c>
      <c r="CC57" s="4" t="str">
        <f>IF('Release Calculations'!CJ$225="NA","",'Release Calculations'!CJ$225)</f>
        <v/>
      </c>
      <c r="CD57" s="4" t="str">
        <f>IF('Release Calculations'!CJ$230="NA","",'Release Calculations'!CJ$230)</f>
        <v/>
      </c>
      <c r="CE57" s="4" t="str">
        <f>IF('Release Calculations'!CJ$236="NA","",'Release Calculations'!CJ$236)</f>
        <v/>
      </c>
      <c r="CF57" s="4" t="str">
        <f>IF('Release Calculations'!CJ$241="NA","",'Release Calculations'!CJ$241)</f>
        <v/>
      </c>
      <c r="CG57" s="4" t="str">
        <f>IF('Release Calculations'!CJ$258="NA","",'Release Calculations'!CJ$258)</f>
        <v/>
      </c>
      <c r="CH57" s="4" t="str">
        <f>IF('Release Calculations'!CJ$249="NA","",'Release Calculations'!CJ$249)</f>
        <v/>
      </c>
      <c r="CI57" s="4" t="str">
        <f>IF('Release Calculations'!CJ$273="NA","",'Release Calculations'!CJ$273)</f>
        <v/>
      </c>
      <c r="CJ57" s="4"/>
      <c r="CK57" s="4"/>
      <c r="CL57" s="19"/>
      <c r="CM57" s="26"/>
      <c r="CN57" s="189" t="str">
        <f>IF(CA57="","",IF('Release Calculations'!CJ$145="Yes",IF(CA57=Conseq_VeryLow,Desc_VeryLow,IF(CA57=Conseq_Low,Desc_Low,IF(CA57=Conseq_Moderate,Desc_Moderate,IF(CA57=Conseq_High,Desc_High,IF(CA57=Conseq_VeryHigh,Desc_VeryHigh,IF(CA57=Conseq_ExtremeHigh,Desc_ExtremeHigh,Desc_GT_ExtremeHigh)))))),IF(CA57=Conseq_Low_Offsite,Desc_Low_Offsite,Desc_VeryLow_Offsite)))</f>
        <v/>
      </c>
      <c r="CO57" s="189" t="str">
        <f t="shared" si="111"/>
        <v/>
      </c>
      <c r="CP57" s="189" t="str">
        <f t="shared" si="111"/>
        <v/>
      </c>
      <c r="CQ57" s="189" t="str">
        <f t="shared" si="111"/>
        <v/>
      </c>
      <c r="CR57" s="189" t="str">
        <f t="shared" si="111"/>
        <v/>
      </c>
      <c r="CS57" s="189" t="str">
        <f t="shared" si="111"/>
        <v/>
      </c>
      <c r="CT57" s="189" t="str">
        <f t="shared" si="113"/>
        <v/>
      </c>
      <c r="CU57" s="189" t="str">
        <f t="shared" si="113"/>
        <v/>
      </c>
      <c r="CV57" s="189" t="str">
        <f t="shared" si="113"/>
        <v/>
      </c>
      <c r="CW57" s="67"/>
      <c r="CX57" s="189" t="str">
        <f t="shared" si="84"/>
        <v/>
      </c>
      <c r="CY57" s="26"/>
      <c r="CZ57" s="189" t="str">
        <f>IF(CA57="","",IF('Release Calculations'!CJ$145="Yes"," at a "&amp;$AI$3&amp;" of "&amp;AI57&amp;" "&amp;AJ57&amp;" which exceeds Distance to the Fence Line of "&amp;Public_Input&amp;" "&amp;Public_Units))</f>
        <v/>
      </c>
      <c r="DA57" s="189" t="str">
        <f>IF(CB57="","",IF('Release Calculations'!$CJ$153="Yes"," with operating personnel in close proximity and a "&amp;$AM$3&amp;" of "&amp;AM57&amp;" "&amp;AN57," at a "&amp;$AM$3&amp;" of "&amp;AM57&amp;" "&amp;AN57)&amp;IF('Release Calculations'!CJ$148&gt;Public," which exceeds Distance to the Fence Line of "&amp;Public_Input&amp;" "&amp;Public_Units&amp;".  Target Factor may be conservative",))</f>
        <v/>
      </c>
      <c r="DB57" s="226" t="str">
        <f>IF(CC57="","",IF('Release Calculations'!CJ160="Yes","and Potential for Asphyxiation","")&amp;IF('Release Calculations'!$CJ$153="Yes"," with operations personnel in close proximity at an "&amp;$AZ$3&amp;" of "&amp;AZ57&amp;" ppm"," at an "&amp;$AZ$3&amp;" of "&amp;AZ57&amp;" ppm"))</f>
        <v/>
      </c>
      <c r="DC57" s="189" t="str">
        <f t="shared" si="109"/>
        <v/>
      </c>
      <c r="DD57" s="189" t="str">
        <f>IF(CE57="",""," of a "&amp;IF(Ease_of_Ignition_Feed="High","pyrophoric ","high/low temperature ")&amp;IF(Dermal_Tox_Feed&lt;&gt;"","or "&amp;Dermal_Tox_Feed,"")&amp;" chemical"&amp;IF('Release Calculations'!$CJ$153="Yes"," with operating personnel in close proximity",""))</f>
        <v/>
      </c>
      <c r="DE57" s="189" t="str">
        <f>IF(CF57="","",IF('Release Calculations'!$CJ$153="Yes"," with operating personnel in close proximity and a "&amp;$BF$3&amp;" of "&amp;BF57&amp;" "&amp;BG57," at a "&amp;$BF$3&amp;" of "&amp;BF57&amp;" "&amp;BG57))</f>
        <v/>
      </c>
      <c r="DF57" s="67"/>
      <c r="DG57" s="67"/>
      <c r="DH57" s="189" t="str">
        <f>IF(CI57="","",IF('Release Calculations'!$CJ$153="Yes"," impacting personnel in close proximity at a "&amp;$BH$3&amp;" of "&amp;BH57&amp;" "&amp;BI57," impacting on site personnel at a "&amp;$BH$3&amp;" of "&amp;BH57&amp;" "&amp;BI57)&amp;IF('Release Calculations'!CJ$183&lt;&gt;"Yes","",".  "&amp;$BN$3&amp;" of "&amp;BN57&amp;" psi"&amp;" exceeds Distance to the Fence Line of "&amp;Public_Input&amp;" "&amp;Public_Units&amp;".  Consider potential for Off-Site Impacts"))</f>
        <v/>
      </c>
      <c r="DI57" s="67"/>
      <c r="DJ57" s="189" t="str">
        <f>IF('Release Calculations'!AZ439&gt;0,"Groundwater or Remediation Issue",IF('Release Calculations'!BB439&gt;0,"High Aqueous Toxicity",""))</f>
        <v/>
      </c>
      <c r="DK57" s="19"/>
      <c r="DL57" s="39"/>
      <c r="DM57" s="239">
        <f>'Release Calculations'!CJ218</f>
        <v>0</v>
      </c>
      <c r="DN57" s="239">
        <f>'Release Calculations'!CJ223</f>
        <v>0</v>
      </c>
      <c r="DO57" s="34"/>
      <c r="DP57" s="239">
        <f>'Release Calculations'!CJ234</f>
        <v>0</v>
      </c>
      <c r="DQ57" s="239">
        <f>'Release Calculations'!CJ239</f>
        <v>0</v>
      </c>
      <c r="DR57" s="34"/>
      <c r="DS57" s="34"/>
      <c r="DT57" s="239">
        <f>'Release Calculations'!CJ262</f>
        <v>0</v>
      </c>
      <c r="DU57" s="34"/>
      <c r="DV57" s="6"/>
      <c r="DW57" s="26"/>
      <c r="DX57" s="250"/>
      <c r="DY57" s="249" t="s">
        <v>2983</v>
      </c>
      <c r="DZ57" s="250" t="s">
        <v>292</v>
      </c>
      <c r="EA57" s="740"/>
      <c r="EB57" s="249" t="str">
        <f>IF(AND(Equipment="Pump",Remote_Start="Yes",CI57&lt;&gt;"",CI57&gt;5),"Remote Start Pump or &gt; 10 minutes to Failure","Probability of Exposure to Hot or Toxic Material")</f>
        <v>Probability of Exposure to Hot or Toxic Material</v>
      </c>
      <c r="EC57" s="249" t="s">
        <v>292</v>
      </c>
      <c r="ED57" s="248"/>
      <c r="EE57" s="248"/>
      <c r="EF57" s="250" t="str">
        <f>IF(AND(Equipment="Pump",Remote_Start="Yes",CI57&lt;&gt;"",CI57&gt;5),"Remote Start Pump or &gt; 10 minutes to Failure","Probability of Exposure")</f>
        <v>Probability of Exposure</v>
      </c>
      <c r="EG57" s="248"/>
      <c r="EH57" s="248"/>
      <c r="EI57" s="19"/>
      <c r="EJ57" s="250"/>
      <c r="EK57" s="249" t="str">
        <f>IF(Attended_Op="Yes","Noted as Personnel Routinely in Immediate Area or Equipment Type involves Materials Handling - "&amp;IF('Release Calculations'!$CJ$135&lt;30," with a very Short Exposure Duration (&lt; 30 sec)","Time at Risk May Apply"),"Probability of Personnel to be in Close Proximity to Chemical Release based on Toxic Impact Area to "&amp;AM57&amp;" "&amp;AN57&amp;IF('Release Calculations'!CJ217&lt;0.01," (with potential for higher POE credit upon further review)",""))</f>
        <v>Probability of Personnel to be in Close Proximity to Chemical Release based on Toxic Impact Area to  m (with potential for higher POE credit upon further review)</v>
      </c>
      <c r="EL57" s="250" t="str">
        <f>IF(Attended_Op="Yes","Noted as Personnel Routinely in Immediate Area or Equipment Type involves Materials Handling - Time at Risk May Apply","Probability of Personnel to be in Close Proximity to Chemical Release based on Ratio Enclosed Process Area Concentation of "&amp;AZ57&amp;" ppm to 10 ER-3 for "&amp;Chemical&amp;IF(Fract_Key_Chemical&lt;1," mixture "," ")&amp;IF('Release Calculations'!$CJ$222&lt;0.01," (with potential for higher POE credit upon further review)",""))</f>
        <v>Probability of Personnel to be in Close Proximity to Chemical Release based on Ratio Enclosed Process Area Concentation of 0 ppm to 10 ER-3 for  mixture  (with potential for higher POE credit upon further review)</v>
      </c>
      <c r="EM57" s="248"/>
      <c r="EN57" s="249" t="str">
        <f>IF(Attended_Op="Yes","Noted as Personnel Routinely in Immediate Area or Equipment Type involves Materials Handling - Time at Risk May Apply","Probability of Personnel to be in Close Proximity to Chemical Release based on Spray Distance of "&amp;ROUND(IF(State="Vapor",Spray_Distance*D_VerySmall,Spray_Distance)/$AI$4,0)&amp;" "&amp;Public_Units&amp;IF('Release Calculations'!$CJ$233&lt;0.01," (with potential for higher POE credit upon further review)",""))</f>
        <v>Probability of Personnel to be in Close Proximity to Chemical Release based on Spray Distance of 1 m (with potential for higher POE credit upon further review)</v>
      </c>
      <c r="EO57" s="249" t="str">
        <f>IF(Attended_Op="Yes","Noted as Personnel Routinely in Immediate Area or Equipment Type involves Materials Handling - Time at Risk May Apply","Probability of Personnel to be in Close Proximity to Chemical Release based on "&amp;IF(Location="Indoors","Ratio Enclosed Process Area Concentation of "&amp;AZ57&amp;" to "&amp;LFL_Fract_FlashFIre&amp;" LFL","Flammable Impact Area to "&amp;BF57&amp;" "&amp;BG57)&amp;IF('Release Calculations'!$CJ$238&lt;0.01," (with potential for higher POE credit upon further review)",""))</f>
        <v>Probability of Personnel to be in Close Proximity to Chemical Release based on Flammable Impact Area to  m (with potential for higher POE credit upon further review)</v>
      </c>
      <c r="EP57" s="248"/>
      <c r="EQ57" s="248"/>
      <c r="ER57" s="4" t="str">
        <f>IF(Attended_Op="Yes","Noted as Personnel Routinely in Immediate Area or Equipment Type involves Materials Handling - Time at Risk May Apply","Probability of Personnel to be in Close Proximity to Chemical Release based on Physical Explosion Impact Area to "&amp;BH57&amp;" "&amp;BI57&amp;IF('Release Calculations'!$CJ$261&lt;0.01," (with potential for higher POE credit upon further review)",""))</f>
        <v>Probability of Personnel to be in Close Proximity to Chemical Release based on Physical Explosion Impact Area to  m (with potential for higher POE credit upon further review)</v>
      </c>
      <c r="ES57" s="248"/>
      <c r="ET57" s="248"/>
      <c r="EU57" s="19"/>
      <c r="EV57" s="1379"/>
      <c r="EW57" s="957">
        <f>'Release Calculations'!CJ217</f>
        <v>0</v>
      </c>
      <c r="EX57" s="957">
        <f>'Release Calculations'!$CJ$222</f>
        <v>0</v>
      </c>
      <c r="EY57" s="1380"/>
      <c r="EZ57" s="957">
        <f>'Release Calculations'!$CJ$233</f>
        <v>8.0000000000000007E-5</v>
      </c>
      <c r="FA57" s="957">
        <f>'Release Calculations'!$CJ$238</f>
        <v>0</v>
      </c>
      <c r="FB57" s="6"/>
      <c r="FC57" s="6"/>
      <c r="FD57" s="957">
        <f>'Release Calculations'!CJ261</f>
        <v>0</v>
      </c>
      <c r="FE57" s="6"/>
      <c r="FF57" s="6"/>
      <c r="FG57" s="19"/>
      <c r="FH57" s="34"/>
      <c r="FI57" s="34"/>
      <c r="FJ57" s="34"/>
      <c r="FK57" s="739"/>
      <c r="FL57" s="34"/>
      <c r="FM57" s="239" t="str">
        <f>IF(Location="Outdoors",'Release Calculations'!CJ172,'Release Calculations'!CJ162)</f>
        <v/>
      </c>
      <c r="FN57" s="239" t="str">
        <f>IF(CG57="","",'Release Calculations'!CJ173)</f>
        <v/>
      </c>
      <c r="FO57" s="39" t="str">
        <f>IF(CH57="","",IF(State&lt;&gt;"Solid",'Release Calculations'!CJ162,Dust_SecondExpl_POE))</f>
        <v/>
      </c>
      <c r="FP57" s="34"/>
      <c r="FQ57" s="34"/>
      <c r="FR57" s="6"/>
      <c r="FS57" s="26"/>
      <c r="FT57" s="248"/>
      <c r="FU57" s="248"/>
      <c r="FV57" s="248"/>
      <c r="FW57" s="741"/>
      <c r="FX57" s="248"/>
      <c r="FY57" s="249" t="s">
        <v>1461</v>
      </c>
      <c r="FZ57" s="249" t="s">
        <v>1460</v>
      </c>
      <c r="GA57" s="250" t="s">
        <v>1461</v>
      </c>
      <c r="GB57" s="248"/>
      <c r="GC57" s="248"/>
      <c r="GD57" s="248"/>
      <c r="GE57" s="19"/>
      <c r="GF57" s="248"/>
      <c r="GG57" s="248"/>
      <c r="GH57" s="248"/>
      <c r="GI57" s="741"/>
      <c r="GJ57" s="248"/>
      <c r="GK57" s="3148" t="str">
        <f>IF(Ease_of_Ignition_Feed="High","Noted as Pyrophoric Material",IF(Dust_Deflagration="Yes",IF(Dust_MIE_Feed&lt;Dust_Low_MIE,"Ignition of Combustible Dust with MIE&lt;Dust_Low_MIE","Ignition of Combustible Dust with MIE&gt;Dust_Low_MIE"),IF(Equipment="Fired Equipment - Process Heat Transfer","Fired Equipment with High Likelihood of Ignition",IF(Flash_Pt_Feed="","No Flash Point Entered",IF(Location&lt;&gt;"Indoors",IF(Ease_of_Ignition_Feed="Elevated","Outdoor Release of "&amp;BP57&amp;" "&amp;BQ57&amp;" Easily Ignited Material with Distance to LFL of "&amp;BD57&amp;" "&amp;BE57,IF(OR(Ease_of_Ignition_Feed="Low",AND(Flash_Pt_Feed&gt;MAX(Ambient_Temp,T),Aerosol_Potential="Yes")),"Outdoor Release of Difficult to Ignite Material or Combustible Aerosol","Outdoor release of "&amp;BP57&amp;" "&amp;BQ57&amp;" Flammable Material with Distance to LFL of "&amp;BD57&amp;" "&amp;BE57)),IF(Ease_of_Ignition_Feed="Elevated","Indoor Release of Easily Ignited Material",IF(OR(Ease_of_Ignition_Feed="Low",AND(Flash_Pt_Feed&gt;MAX(Ambient_Temp,T),Aerosol_Potential="Yes")),"Indoor Release of Difficult to Ignite Material or Combustible Aerosol","Indoor Release of Flammable Material")))))))</f>
        <v>No Flash Point Entered</v>
      </c>
      <c r="GL57" s="2581" t="str">
        <f>IF(OR(Ease_of_Ignition_Feed="High",Ease_of_Ignition_Feed="Elevated"),"Outdoor Release of "&amp;BP57&amp;" " &amp;BQ57&amp;" Easily Ignited Material with Distance to LFL of "&amp;BD57&amp;" "&amp;BE57&amp;"-POX",IF(Ease_of_Ignition_Feed="Low","Outdoor Release of "&amp;BP57&amp;" " &amp;BQ57&amp;" Difficult to Ignite Material with Distance to LFL of "&amp;BD57&amp;" "&amp;BE57&amp;"-POX","Outdoor Release of "&amp;BP57&amp;" " &amp;BQ57&amp;" Flammable Material with Distance to LFL of "&amp;BD57&amp;" "&amp;BE57&amp;"-POX"))</f>
        <v>Outdoor Release of  kg/min Flammable Material with Distance to LFL of  m-POX</v>
      </c>
      <c r="GM57" s="250" t="str">
        <f>IF(OR(Ease_of_Ignition_Feed="High",Ease_of_Ignition_Feed="Elevated"),"Indoor Release of Easily Ignited Material-POX",IF(Ease_of_Ignition_Feed="Low","Indoor Release of Difficult to Ignite Material-POX","Indoor Release of Flammable Material-POX"))</f>
        <v>Indoor Release of Flammable Material-POX</v>
      </c>
      <c r="GN57" s="248"/>
      <c r="GO57" s="248"/>
      <c r="GP57" s="248"/>
      <c r="GQ57" s="19"/>
      <c r="GR57" s="189" t="str">
        <f t="shared" si="35"/>
        <v/>
      </c>
      <c r="GS57" s="26"/>
      <c r="GT57" s="26"/>
      <c r="GU57" s="26"/>
      <c r="GV57" s="26"/>
      <c r="GW57" s="26"/>
      <c r="GX57" s="26"/>
      <c r="GY57" s="26"/>
      <c r="GZ57" s="26"/>
      <c r="HA57" s="26"/>
      <c r="HB57" s="26"/>
      <c r="HC57" s="26"/>
      <c r="HD57" s="26"/>
      <c r="HE57" s="26"/>
      <c r="HF57" s="26"/>
      <c r="HG57" s="26"/>
      <c r="HH57" s="26"/>
      <c r="HI57" s="26"/>
    </row>
    <row r="58" spans="1:220" s="30" customFormat="1" x14ac:dyDescent="0.25">
      <c r="A58" s="26"/>
      <c r="B58" s="65"/>
      <c r="C58" s="65"/>
      <c r="D58" s="65"/>
      <c r="E58" s="65"/>
      <c r="F58" s="65"/>
      <c r="G58" s="65"/>
      <c r="H58" s="65"/>
      <c r="I58" s="65"/>
      <c r="J58" s="65"/>
      <c r="K58" s="65"/>
      <c r="L58" s="65"/>
      <c r="M58" s="65"/>
      <c r="N58" s="71"/>
      <c r="O58" s="65"/>
      <c r="P58" s="65"/>
      <c r="Q58" s="65"/>
      <c r="R58" s="65"/>
      <c r="S58" s="65"/>
      <c r="T58" s="65"/>
      <c r="U58" s="65"/>
      <c r="V58" s="65"/>
      <c r="W58" s="65"/>
      <c r="X58" s="65"/>
      <c r="Y58" s="65"/>
      <c r="Z58" s="65"/>
      <c r="AA58" s="65"/>
      <c r="AB58" s="65"/>
      <c r="AC58" s="65"/>
      <c r="AD58" s="65"/>
      <c r="AE58" s="65"/>
      <c r="AF58" s="65"/>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5"/>
      <c r="BY58" s="5"/>
      <c r="BZ58" s="19"/>
      <c r="CA58" s="19"/>
      <c r="CB58" s="19"/>
      <c r="CC58" s="19"/>
      <c r="CD58" s="19"/>
      <c r="CE58" s="19"/>
      <c r="CF58" s="19"/>
      <c r="CG58" s="19"/>
      <c r="CH58" s="19"/>
      <c r="CI58" s="19"/>
      <c r="CJ58" s="19"/>
      <c r="CK58" s="19"/>
      <c r="CL58" s="19"/>
      <c r="CM58" s="26"/>
      <c r="CN58" s="26"/>
      <c r="CO58" s="26"/>
      <c r="CP58" s="26"/>
      <c r="CQ58" s="26"/>
      <c r="CR58" s="26"/>
      <c r="CS58" s="26"/>
      <c r="CT58" s="26"/>
      <c r="CU58" s="26"/>
      <c r="CV58" s="26"/>
      <c r="CW58" s="26"/>
      <c r="CX58" s="26"/>
      <c r="CY58" s="26"/>
      <c r="CZ58" s="26"/>
      <c r="DA58" s="26"/>
      <c r="DB58" s="19"/>
      <c r="DC58" s="19"/>
      <c r="DD58" s="19"/>
      <c r="DE58" s="19"/>
      <c r="DF58" s="19"/>
      <c r="DG58" s="19"/>
      <c r="DH58" s="19"/>
      <c r="DI58" s="19"/>
      <c r="DJ58" s="19"/>
      <c r="DK58" s="19"/>
      <c r="DL58" s="19"/>
      <c r="DM58" s="19"/>
      <c r="DN58" s="19"/>
      <c r="DO58" s="19"/>
      <c r="DP58" s="19"/>
      <c r="DQ58" s="35"/>
      <c r="DR58" s="35"/>
      <c r="DS58" s="35"/>
      <c r="DT58" s="19"/>
      <c r="DU58" s="35"/>
      <c r="DV58" s="35"/>
      <c r="DW58" s="26"/>
      <c r="DX58" s="26"/>
      <c r="DY58" s="26"/>
      <c r="DZ58" s="19"/>
      <c r="EA58" s="19"/>
      <c r="EB58" s="19"/>
      <c r="EC58" s="19"/>
      <c r="ED58" s="19"/>
      <c r="EE58" s="19"/>
      <c r="EF58" s="19"/>
      <c r="EG58" s="19"/>
      <c r="EH58" s="19"/>
      <c r="EI58" s="35"/>
      <c r="EJ58" s="35"/>
      <c r="EK58" s="35"/>
      <c r="EL58" s="35"/>
      <c r="EM58" s="35"/>
      <c r="EN58" s="35"/>
      <c r="EO58" s="35"/>
      <c r="EP58" s="35"/>
      <c r="EQ58" s="35"/>
      <c r="ER58" s="35"/>
      <c r="ES58" s="35"/>
      <c r="ET58" s="35"/>
      <c r="EU58" s="35"/>
      <c r="EV58" s="35"/>
      <c r="EW58" s="35"/>
      <c r="EX58" s="35"/>
      <c r="EY58" s="35"/>
      <c r="EZ58" s="35"/>
      <c r="FA58" s="35"/>
      <c r="FB58" s="35"/>
      <c r="FC58" s="35"/>
      <c r="FD58" s="35"/>
      <c r="FE58" s="35"/>
      <c r="FF58" s="35"/>
      <c r="FG58" s="35"/>
      <c r="FH58" s="19"/>
      <c r="FI58" s="19"/>
      <c r="FJ58" s="19"/>
      <c r="FK58" s="19"/>
      <c r="FL58" s="19"/>
      <c r="FM58" s="35"/>
      <c r="FN58" s="35"/>
      <c r="FO58" s="35"/>
      <c r="FP58" s="19"/>
      <c r="FQ58" s="35"/>
      <c r="FR58" s="35"/>
      <c r="FS58" s="26"/>
      <c r="FT58" s="26"/>
      <c r="FU58" s="26"/>
      <c r="FV58" s="19"/>
      <c r="FW58" s="19"/>
      <c r="FX58" s="19"/>
      <c r="FY58" s="19"/>
      <c r="FZ58" s="19"/>
      <c r="GA58" s="19"/>
      <c r="GB58" s="19"/>
      <c r="GC58" s="19"/>
      <c r="GD58" s="19"/>
      <c r="GE58" s="35"/>
      <c r="GF58" s="72"/>
      <c r="GG58" s="72"/>
      <c r="GH58" s="72"/>
      <c r="GI58" s="72"/>
      <c r="GJ58" s="72"/>
      <c r="GK58" s="19"/>
      <c r="GL58" s="72"/>
      <c r="GM58" s="72"/>
      <c r="GN58" s="72"/>
      <c r="GO58" s="72"/>
      <c r="GP58" s="72"/>
      <c r="GQ58" s="35"/>
      <c r="GR58" s="35"/>
      <c r="GS58" s="26"/>
      <c r="GT58" s="26"/>
      <c r="GU58" s="26"/>
      <c r="GV58" s="26"/>
      <c r="GW58" s="26"/>
      <c r="GX58" s="26"/>
      <c r="GY58" s="26"/>
      <c r="GZ58" s="26"/>
      <c r="HA58" s="26"/>
      <c r="HB58" s="26"/>
      <c r="HC58" s="26"/>
      <c r="HD58" s="26"/>
      <c r="HE58" s="26"/>
      <c r="HF58" s="26"/>
      <c r="HG58" s="26"/>
      <c r="HH58" s="26"/>
      <c r="HI58" s="26"/>
    </row>
    <row r="59" spans="1:220" s="30" customFormat="1" x14ac:dyDescent="0.25">
      <c r="A59" s="26"/>
      <c r="B59" s="65"/>
      <c r="C59" s="65"/>
      <c r="D59" s="65"/>
      <c r="E59" s="244"/>
      <c r="F59" s="244"/>
      <c r="G59" s="244"/>
      <c r="H59" s="244"/>
      <c r="I59" s="244"/>
      <c r="J59" s="244"/>
      <c r="K59" s="244"/>
      <c r="L59" s="244"/>
      <c r="M59" s="244"/>
      <c r="N59" s="227"/>
      <c r="O59" s="244"/>
      <c r="P59" s="244"/>
      <c r="Q59" s="244"/>
      <c r="R59" s="244"/>
      <c r="S59" s="1449"/>
      <c r="T59" s="244"/>
      <c r="U59" s="244"/>
      <c r="V59" s="244"/>
      <c r="W59" s="244"/>
      <c r="X59" s="244"/>
      <c r="Y59" s="244"/>
      <c r="Z59" s="244"/>
      <c r="AA59" s="244"/>
      <c r="AB59" s="244"/>
      <c r="AC59" s="244"/>
      <c r="AD59" s="244"/>
      <c r="AE59" s="244"/>
      <c r="AF59" s="244"/>
      <c r="AG59" s="244"/>
      <c r="AH59" s="244"/>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5"/>
      <c r="BY59" s="5"/>
      <c r="BZ59" s="19"/>
      <c r="CA59" s="19"/>
      <c r="CB59" s="19"/>
      <c r="CC59" s="19"/>
      <c r="CD59" s="19"/>
      <c r="CE59" s="19"/>
      <c r="CF59" s="19"/>
      <c r="CG59" s="19"/>
      <c r="CH59" s="19"/>
      <c r="CI59" s="19"/>
      <c r="CJ59" s="19"/>
      <c r="CK59" s="19"/>
      <c r="CL59" s="19"/>
      <c r="CM59" s="26"/>
      <c r="CN59" s="26"/>
      <c r="CO59" s="26"/>
      <c r="CP59" s="26"/>
      <c r="CQ59" s="26"/>
      <c r="CR59" s="26"/>
      <c r="CS59" s="26"/>
      <c r="CT59" s="26"/>
      <c r="CU59" s="26"/>
      <c r="CV59" s="26"/>
      <c r="CW59" s="26"/>
      <c r="CX59" s="26"/>
      <c r="CY59" s="26"/>
      <c r="CZ59" s="26"/>
      <c r="DA59" s="26"/>
      <c r="DB59" s="19"/>
      <c r="DC59" s="19"/>
      <c r="DD59" s="19"/>
      <c r="DE59" s="19"/>
      <c r="DF59" s="19"/>
      <c r="DG59" s="19"/>
      <c r="DH59" s="19"/>
      <c r="DI59" s="19"/>
      <c r="DJ59" s="69"/>
      <c r="DK59"/>
      <c r="DL59"/>
      <c r="DM59"/>
      <c r="DN59"/>
      <c r="DO59"/>
      <c r="DP59"/>
      <c r="DQ59"/>
      <c r="DR59"/>
      <c r="DS59"/>
      <c r="DT59"/>
      <c r="DU59"/>
      <c r="DV59"/>
      <c r="DW59" s="26"/>
      <c r="DX59" s="5"/>
      <c r="DY59" s="5"/>
      <c r="DZ59" s="5"/>
      <c r="EA59" s="5"/>
      <c r="EB59" s="5"/>
      <c r="EC59" s="5"/>
      <c r="ED59" s="5"/>
      <c r="EE59" s="5"/>
      <c r="EF59" s="5"/>
      <c r="EG59" s="5"/>
      <c r="EH59" s="5"/>
      <c r="EI59" s="19"/>
      <c r="EJ59"/>
      <c r="EK59"/>
      <c r="EL59"/>
      <c r="EM59"/>
      <c r="EN59"/>
      <c r="EO59"/>
      <c r="EP59"/>
      <c r="EQ59"/>
      <c r="ER59"/>
      <c r="ES59"/>
      <c r="ET59"/>
      <c r="EU59" s="19"/>
      <c r="EV59" s="1218"/>
      <c r="EW59" s="1218"/>
      <c r="EX59" s="1218"/>
      <c r="EY59" s="1218"/>
      <c r="EZ59" s="1218"/>
      <c r="FA59" s="1218"/>
      <c r="FB59" s="1218"/>
      <c r="FC59" s="1218"/>
      <c r="FD59" s="1218"/>
      <c r="FE59" s="1218"/>
      <c r="FF59" s="1218"/>
      <c r="FG59" s="19"/>
      <c r="FH59"/>
      <c r="FI59"/>
      <c r="FJ59"/>
      <c r="FK59"/>
      <c r="FL59"/>
      <c r="FM59"/>
      <c r="FN59"/>
      <c r="FO59"/>
      <c r="FP59"/>
      <c r="FQ59"/>
      <c r="FR59"/>
      <c r="FS59" s="26"/>
      <c r="FT59" s="5"/>
      <c r="FU59" s="5"/>
      <c r="FV59" s="5"/>
      <c r="FW59" s="5"/>
      <c r="FX59" s="5"/>
      <c r="FY59" s="5"/>
      <c r="FZ59" s="5"/>
      <c r="GA59" s="5"/>
      <c r="GB59" s="5"/>
      <c r="GC59" s="5"/>
      <c r="GD59" s="5"/>
      <c r="GE59" s="19"/>
      <c r="GF59"/>
      <c r="GG59"/>
      <c r="GH59"/>
      <c r="GI59"/>
      <c r="GJ59"/>
      <c r="GK59" s="1218"/>
      <c r="GL59"/>
      <c r="GM59"/>
      <c r="GN59"/>
      <c r="GO59"/>
      <c r="GP59"/>
      <c r="GQ59" s="19"/>
      <c r="GR59" s="35"/>
      <c r="GS59" s="26"/>
      <c r="GT59" s="26"/>
      <c r="GU59" s="26"/>
      <c r="GV59" s="26"/>
      <c r="GW59" s="26"/>
      <c r="GX59" s="26"/>
      <c r="GY59" s="26"/>
      <c r="GZ59" s="26"/>
      <c r="HA59" s="26"/>
      <c r="HB59" s="26"/>
      <c r="HC59" s="26"/>
      <c r="HD59" s="26"/>
      <c r="HE59" s="26"/>
      <c r="HF59" s="26"/>
      <c r="HG59" s="26"/>
      <c r="HH59" s="26"/>
      <c r="HI59" s="26"/>
    </row>
    <row r="60" spans="1:220" s="30" customFormat="1" x14ac:dyDescent="0.25">
      <c r="A60" s="26"/>
      <c r="B60" s="65"/>
      <c r="C60" s="65"/>
      <c r="D60" s="65"/>
      <c r="E60" s="65"/>
      <c r="F60" s="65"/>
      <c r="G60" s="65"/>
      <c r="H60" s="65"/>
      <c r="I60" s="65"/>
      <c r="J60" s="65"/>
      <c r="K60" s="65"/>
      <c r="L60" s="65"/>
      <c r="M60" s="65"/>
      <c r="N60" s="71"/>
      <c r="O60" s="65"/>
      <c r="P60" s="65"/>
      <c r="Q60" s="65"/>
      <c r="R60" s="65"/>
      <c r="S60" s="65"/>
      <c r="T60" s="65"/>
      <c r="U60" s="65"/>
      <c r="V60" s="65"/>
      <c r="W60" s="65"/>
      <c r="X60" s="65"/>
      <c r="Y60" s="65"/>
      <c r="Z60" s="65"/>
      <c r="AA60" s="65"/>
      <c r="AB60" s="65"/>
      <c r="AC60" s="65"/>
      <c r="AD60" s="65"/>
      <c r="AE60" s="65"/>
      <c r="AF60" s="65"/>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5"/>
      <c r="BY60" s="5"/>
      <c r="BZ60" s="19"/>
      <c r="CA60" s="19"/>
      <c r="CB60" s="19"/>
      <c r="CC60" s="19"/>
      <c r="CD60" s="19"/>
      <c r="CE60" s="19"/>
      <c r="CF60" s="19"/>
      <c r="CG60" s="19"/>
      <c r="CH60" s="19"/>
      <c r="CI60" s="19"/>
      <c r="CJ60" s="19"/>
      <c r="CK60" s="19"/>
      <c r="CL60" s="19"/>
      <c r="CM60" s="26"/>
      <c r="CN60" s="26"/>
      <c r="CO60" s="26"/>
      <c r="CP60" s="26"/>
      <c r="CQ60" s="26"/>
      <c r="CR60" s="26"/>
      <c r="CS60" s="26"/>
      <c r="CT60" s="26"/>
      <c r="CU60" s="26"/>
      <c r="CV60" s="26"/>
      <c r="CW60" s="26"/>
      <c r="CX60" s="26"/>
      <c r="CY60" s="26"/>
      <c r="CZ60" s="26"/>
      <c r="DA60" s="26"/>
      <c r="DB60" s="19"/>
      <c r="DC60" s="19"/>
      <c r="DD60" s="19"/>
      <c r="DE60" s="19"/>
      <c r="DF60" s="19"/>
      <c r="DG60" s="19"/>
      <c r="DH60" s="19"/>
      <c r="DI60" s="19"/>
      <c r="DJ60" s="69"/>
      <c r="DK60" s="69"/>
      <c r="DL60" s="5"/>
      <c r="DM60" s="5"/>
      <c r="DN60" s="5"/>
      <c r="DO60" s="5"/>
      <c r="DP60" s="5"/>
      <c r="DQ60" s="5"/>
      <c r="DR60" s="5"/>
      <c r="DS60" s="5"/>
      <c r="DT60" s="5"/>
      <c r="DU60" s="5"/>
      <c r="DV60" s="5"/>
      <c r="DW60" s="26"/>
      <c r="DX60" s="26"/>
      <c r="DY60" s="26"/>
      <c r="DZ60" s="19"/>
      <c r="EA60" s="19"/>
      <c r="EB60" s="19"/>
      <c r="EC60" s="19"/>
      <c r="ED60" s="19"/>
      <c r="EE60" s="19"/>
      <c r="EF60" s="19"/>
      <c r="EG60" s="19"/>
      <c r="EH60" s="69"/>
      <c r="EI60" s="19"/>
      <c r="EJ60" s="19"/>
      <c r="EK60" s="19"/>
      <c r="EL60" s="19"/>
      <c r="EM60" s="19"/>
      <c r="EN60" s="19"/>
      <c r="EO60" s="19"/>
      <c r="EP60" s="19"/>
      <c r="EQ60" s="19"/>
      <c r="ER60" s="19"/>
      <c r="ES60" s="19"/>
      <c r="ET60" s="19"/>
      <c r="EU60" s="19"/>
      <c r="EV60" s="19"/>
      <c r="EW60" s="19"/>
      <c r="EX60" s="19"/>
      <c r="EY60" s="19"/>
      <c r="EZ60" s="19"/>
      <c r="FA60" s="19"/>
      <c r="FB60" s="19"/>
      <c r="FC60" s="19"/>
      <c r="FD60" s="19"/>
      <c r="FE60" s="19"/>
      <c r="FF60" s="19"/>
      <c r="FG60" s="19"/>
      <c r="FH60" s="5"/>
      <c r="FI60" s="5"/>
      <c r="FJ60" s="5"/>
      <c r="FK60" s="5"/>
      <c r="FL60" s="5"/>
      <c r="FM60" s="5"/>
      <c r="FN60" s="5"/>
      <c r="FO60" s="5"/>
      <c r="FP60" s="5"/>
      <c r="FQ60" s="5"/>
      <c r="FR60" s="5"/>
      <c r="FS60" s="26"/>
      <c r="FT60" s="26"/>
      <c r="FU60" s="26"/>
      <c r="FV60" s="19"/>
      <c r="FW60" s="19"/>
      <c r="FX60" s="19"/>
      <c r="FY60" s="19"/>
      <c r="FZ60" s="19"/>
      <c r="GA60" s="19"/>
      <c r="GB60" s="19"/>
      <c r="GC60" s="19"/>
      <c r="GD60" s="69"/>
      <c r="GE60" s="19"/>
      <c r="GF60" s="26"/>
      <c r="GG60" s="26"/>
      <c r="GH60" s="19"/>
      <c r="GI60" s="19"/>
      <c r="GJ60" s="19"/>
      <c r="GK60" s="19"/>
      <c r="GL60" s="19"/>
      <c r="GM60" s="19"/>
      <c r="GN60" s="19"/>
      <c r="GO60" s="19"/>
      <c r="GP60" s="69"/>
      <c r="GQ60" s="19"/>
      <c r="GR60" s="35"/>
      <c r="GS60" s="26"/>
      <c r="GT60" s="26"/>
      <c r="GU60" s="26"/>
      <c r="GV60" s="26"/>
      <c r="GW60" s="26"/>
      <c r="GX60" s="26"/>
      <c r="GY60" s="26"/>
      <c r="GZ60" s="26"/>
      <c r="HA60" s="26"/>
      <c r="HB60" s="26"/>
      <c r="HC60" s="26"/>
      <c r="HD60" s="26"/>
      <c r="HE60" s="26"/>
      <c r="HF60" s="26"/>
      <c r="HG60" s="26"/>
      <c r="HH60" s="26"/>
      <c r="HI60" s="26"/>
    </row>
    <row r="61" spans="1:220" s="30" customFormat="1" x14ac:dyDescent="0.25">
      <c r="A61" s="26"/>
      <c r="B61" s="26"/>
      <c r="C61" s="26"/>
      <c r="D61" s="26"/>
      <c r="E61" s="26"/>
      <c r="F61" s="26"/>
      <c r="G61" s="26"/>
      <c r="H61" s="26"/>
      <c r="I61" s="26"/>
      <c r="J61" s="26"/>
      <c r="K61" s="26"/>
      <c r="L61" s="26"/>
      <c r="M61" s="26"/>
      <c r="N61" s="26"/>
      <c r="O61" s="26"/>
      <c r="P61" s="26"/>
      <c r="Q61" s="26"/>
      <c r="R61" s="26"/>
      <c r="S61" s="40"/>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19"/>
      <c r="BA61" s="19"/>
      <c r="BB61" s="19"/>
      <c r="BC61" s="19"/>
      <c r="BD61" s="19"/>
      <c r="BE61" s="19"/>
      <c r="BF61" s="26"/>
      <c r="BG61" s="26"/>
      <c r="BH61" s="26"/>
      <c r="BI61" s="26"/>
      <c r="BJ61" s="26"/>
      <c r="BK61" s="26"/>
      <c r="BL61" s="26"/>
      <c r="BM61" s="26"/>
      <c r="BN61" s="26"/>
      <c r="BO61" s="26"/>
      <c r="BP61" s="26"/>
      <c r="BQ61" s="26"/>
      <c r="BR61" s="26"/>
      <c r="BS61" s="26"/>
      <c r="BT61" s="26"/>
      <c r="BU61" s="26"/>
      <c r="BV61" s="26"/>
      <c r="BW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19"/>
      <c r="DC61" s="19"/>
      <c r="DD61" s="19"/>
      <c r="DE61" s="19"/>
      <c r="DF61" s="19"/>
      <c r="DG61" s="19"/>
      <c r="DH61" s="19"/>
      <c r="DI61" s="19"/>
      <c r="DJ61" s="19"/>
      <c r="DK61" s="35"/>
      <c r="DL61" s="35"/>
      <c r="DM61" s="35"/>
      <c r="DN61" s="35"/>
      <c r="DO61" s="35"/>
      <c r="DP61" s="35"/>
      <c r="DQ61" s="35"/>
      <c r="DR61" s="35"/>
      <c r="DS61" s="35" t="s">
        <v>822</v>
      </c>
      <c r="DT61" s="35"/>
      <c r="DU61" s="35" t="s">
        <v>822</v>
      </c>
      <c r="DV61" s="35"/>
      <c r="DW61" s="26"/>
      <c r="DX61" s="26"/>
      <c r="DY61" s="26"/>
      <c r="DZ61" s="19"/>
      <c r="EA61" s="19"/>
      <c r="EB61" s="19"/>
      <c r="EC61" s="19"/>
      <c r="ED61" s="19"/>
      <c r="EE61" s="19"/>
      <c r="EF61" s="19"/>
      <c r="EG61" s="19"/>
      <c r="EH61" s="19"/>
      <c r="EI61" s="35"/>
      <c r="EJ61" s="35"/>
      <c r="EK61" s="35"/>
      <c r="EL61" s="35"/>
      <c r="EM61" s="35"/>
      <c r="EN61" s="35"/>
      <c r="EO61" s="35"/>
      <c r="EP61" s="35"/>
      <c r="EQ61" s="35"/>
      <c r="ER61" s="35"/>
      <c r="ES61" s="35"/>
      <c r="ET61" s="35"/>
      <c r="EU61" s="35"/>
      <c r="EV61" s="35"/>
      <c r="EW61" s="35"/>
      <c r="EX61" s="35"/>
      <c r="EY61" s="35"/>
      <c r="EZ61" s="35"/>
      <c r="FA61" s="35"/>
      <c r="FB61" s="35"/>
      <c r="FC61" s="35"/>
      <c r="FD61" s="35"/>
      <c r="FE61" s="35"/>
      <c r="FF61" s="35"/>
      <c r="FG61" s="35"/>
      <c r="FH61" s="35"/>
      <c r="FI61" s="35"/>
      <c r="FJ61" s="35"/>
      <c r="FK61" s="35"/>
      <c r="FL61" s="35"/>
      <c r="FM61" s="35"/>
      <c r="FN61" s="35"/>
      <c r="FO61" s="35"/>
      <c r="FP61" s="35"/>
      <c r="FQ61" s="35"/>
      <c r="FR61" s="35"/>
      <c r="FS61" s="26"/>
      <c r="FT61" s="26"/>
      <c r="FU61" s="26"/>
      <c r="FV61" s="19"/>
      <c r="FW61" s="19"/>
      <c r="FX61" s="19"/>
      <c r="FY61" s="19"/>
      <c r="FZ61" s="19"/>
      <c r="GA61" s="19"/>
      <c r="GB61" s="19"/>
      <c r="GC61" s="19"/>
      <c r="GD61" s="19"/>
      <c r="GE61" s="35"/>
      <c r="GF61" s="26"/>
      <c r="GG61" s="26"/>
      <c r="GH61" s="19"/>
      <c r="GI61" s="19"/>
      <c r="GJ61" s="19"/>
      <c r="GK61" s="19"/>
      <c r="GL61" s="19"/>
      <c r="GM61" s="19"/>
      <c r="GN61" s="19"/>
      <c r="GO61" s="19"/>
      <c r="GP61" s="19"/>
      <c r="GQ61" s="35"/>
      <c r="GR61" s="35"/>
      <c r="GS61" s="26"/>
      <c r="GT61" s="26"/>
      <c r="GU61" s="26"/>
      <c r="GV61" s="26"/>
      <c r="GW61" s="26"/>
      <c r="GX61" s="26"/>
      <c r="GY61" s="26"/>
      <c r="GZ61" s="26"/>
      <c r="HA61" s="26"/>
      <c r="HB61" s="26"/>
      <c r="HC61" s="26"/>
      <c r="HD61" s="26"/>
      <c r="HE61" s="26"/>
      <c r="HF61" s="26"/>
      <c r="HG61" s="26"/>
      <c r="HH61" s="26"/>
      <c r="HI61" s="26"/>
      <c r="HJ61" s="26"/>
      <c r="HK61" s="26"/>
      <c r="HL61" s="26"/>
    </row>
  </sheetData>
  <sheetProtection sheet="1" objects="1" scenarios="1"/>
  <mergeCells count="14">
    <mergeCell ref="E2:BW2"/>
    <mergeCell ref="GX2:HI2"/>
    <mergeCell ref="CA2:CK2"/>
    <mergeCell ref="CN2:CX2"/>
    <mergeCell ref="DX2:EH2"/>
    <mergeCell ref="FT2:GD2"/>
    <mergeCell ref="EV2:FF2"/>
    <mergeCell ref="GU3:GV3"/>
    <mergeCell ref="FH2:FR2"/>
    <mergeCell ref="GU4:GV4"/>
    <mergeCell ref="CZ2:DJ2"/>
    <mergeCell ref="DL2:DV2"/>
    <mergeCell ref="EJ2:ET2"/>
    <mergeCell ref="GF2:GP2"/>
  </mergeCells>
  <phoneticPr fontId="3" type="noConversion"/>
  <dataValidations disablePrompts="1" count="2">
    <dataValidation type="list" allowBlank="1" showInputMessage="1" showErrorMessage="1" sqref="R4:S4 X4" xr:uid="{00000000-0002-0000-1700-000000000000}">
      <formula1>Rate_List</formula1>
    </dataValidation>
    <dataValidation type="list" allowBlank="1" showInputMessage="1" showErrorMessage="1" sqref="F4" xr:uid="{00000000-0002-0000-1700-000001000000}">
      <formula1>Mass_List</formula1>
    </dataValidation>
  </dataValidations>
  <printOptions headings="1"/>
  <pageMargins left="0" right="0" top="0" bottom="0" header="0" footer="0"/>
  <pageSetup paperSize="256" scale="45" fitToHeight="0" pageOrder="overThenDown" orientation="landscape" r:id="rId1"/>
  <headerFooter alignWithMargins="0"/>
  <ignoredErrors>
    <ignoredError sqref="AK12:AK13 AM12:AM13 AO12:AO13 BF12 GK9 BF13:BF25 GK13 AK14:AK25 AM14:AM25 AO14:AO25 GK15 GK17 BF28:BF48 AK29:AK48 AM29:AM48 AO29:AO48 AQ29 EL30 EX30 L32 R32 X32:Z32 AE32 AG32 AI32 AV32:BD32 BP32 BR32 BT32:BU32 CC32:CE32 CN32 CZ32:DB32 DD32:DG32 DM32:DN32 DP32:DQ32 EO32 FA32 FN32:FO32 N35 GM35 K38 GR41 AK50 AM50 AO50:AO56 AQ51 BF50:BF53 GR50 BH51:BH57 BJ51:BJ57 BL51:BL57 AK52:AK57 AM52:AM57 GK55 BF56:BF57 EB56 AQ31:AQ36 AQ38:AQ39 GK19 GK21 GK23 BF5:BF7 AO5:AO7 AM5:AM7 AK5:AK7" formula="1"/>
  </ignoredErrors>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9">
    <tabColor theme="0"/>
  </sheetPr>
  <dimension ref="B3:B50"/>
  <sheetViews>
    <sheetView showGridLines="0" showRowColHeaders="0" workbookViewId="0">
      <selection activeCell="F15" sqref="F15"/>
    </sheetView>
  </sheetViews>
  <sheetFormatPr defaultColWidth="9.1796875" defaultRowHeight="13" x14ac:dyDescent="0.3"/>
  <cols>
    <col min="1" max="1" width="3.81640625" style="750" customWidth="1"/>
    <col min="2" max="2" width="85.81640625" style="598" customWidth="1"/>
    <col min="3" max="3" width="3.81640625" style="750" customWidth="1"/>
    <col min="4" max="16384" width="9.1796875" style="750"/>
  </cols>
  <sheetData>
    <row r="3" spans="2:2" ht="18" x14ac:dyDescent="0.3">
      <c r="B3" s="2054" t="s">
        <v>2793</v>
      </c>
    </row>
    <row r="5" spans="2:2" x14ac:dyDescent="0.3">
      <c r="B5" s="4143" t="s">
        <v>4746</v>
      </c>
    </row>
    <row r="6" spans="2:2" x14ac:dyDescent="0.3">
      <c r="B6" s="4143"/>
    </row>
    <row r="7" spans="2:2" x14ac:dyDescent="0.3">
      <c r="B7" s="4143"/>
    </row>
    <row r="8" spans="2:2" x14ac:dyDescent="0.3">
      <c r="B8" s="4143"/>
    </row>
    <row r="9" spans="2:2" x14ac:dyDescent="0.3">
      <c r="B9" s="4143"/>
    </row>
    <row r="10" spans="2:2" x14ac:dyDescent="0.3">
      <c r="B10" s="4143"/>
    </row>
    <row r="11" spans="2:2" x14ac:dyDescent="0.3">
      <c r="B11" s="4143"/>
    </row>
    <row r="12" spans="2:2" x14ac:dyDescent="0.3">
      <c r="B12" s="4143"/>
    </row>
    <row r="13" spans="2:2" x14ac:dyDescent="0.3">
      <c r="B13" s="4143"/>
    </row>
    <row r="14" spans="2:2" x14ac:dyDescent="0.3">
      <c r="B14" s="4143"/>
    </row>
    <row r="15" spans="2:2" x14ac:dyDescent="0.3">
      <c r="B15" s="4143"/>
    </row>
    <row r="16" spans="2:2" x14ac:dyDescent="0.3">
      <c r="B16" s="4143"/>
    </row>
    <row r="17" spans="2:2" x14ac:dyDescent="0.3">
      <c r="B17" s="4143"/>
    </row>
    <row r="18" spans="2:2" x14ac:dyDescent="0.3">
      <c r="B18" s="4143"/>
    </row>
    <row r="19" spans="2:2" x14ac:dyDescent="0.3">
      <c r="B19" s="4143"/>
    </row>
    <row r="20" spans="2:2" x14ac:dyDescent="0.3">
      <c r="B20" s="4143"/>
    </row>
    <row r="21" spans="2:2" x14ac:dyDescent="0.3">
      <c r="B21" s="4143"/>
    </row>
    <row r="22" spans="2:2" x14ac:dyDescent="0.3">
      <c r="B22" s="4143"/>
    </row>
    <row r="23" spans="2:2" x14ac:dyDescent="0.3">
      <c r="B23" s="4143" t="s">
        <v>4986</v>
      </c>
    </row>
    <row r="24" spans="2:2" x14ac:dyDescent="0.3">
      <c r="B24" s="4143"/>
    </row>
    <row r="25" spans="2:2" x14ac:dyDescent="0.3">
      <c r="B25" s="4143"/>
    </row>
    <row r="26" spans="2:2" x14ac:dyDescent="0.3">
      <c r="B26" s="4143"/>
    </row>
    <row r="27" spans="2:2" x14ac:dyDescent="0.3">
      <c r="B27" s="4143"/>
    </row>
    <row r="28" spans="2:2" x14ac:dyDescent="0.3">
      <c r="B28" s="4143"/>
    </row>
    <row r="29" spans="2:2" x14ac:dyDescent="0.3">
      <c r="B29" s="4143"/>
    </row>
    <row r="30" spans="2:2" x14ac:dyDescent="0.3">
      <c r="B30" s="4143"/>
    </row>
    <row r="31" spans="2:2" x14ac:dyDescent="0.3">
      <c r="B31" s="4143"/>
    </row>
    <row r="32" spans="2:2" x14ac:dyDescent="0.3">
      <c r="B32" s="4143"/>
    </row>
    <row r="33" spans="2:2" x14ac:dyDescent="0.3">
      <c r="B33" s="4143"/>
    </row>
    <row r="34" spans="2:2" x14ac:dyDescent="0.3">
      <c r="B34" s="4143"/>
    </row>
    <row r="35" spans="2:2" x14ac:dyDescent="0.3">
      <c r="B35" s="4143"/>
    </row>
    <row r="36" spans="2:2" x14ac:dyDescent="0.3">
      <c r="B36" s="4143"/>
    </row>
    <row r="37" spans="2:2" x14ac:dyDescent="0.3">
      <c r="B37" s="4143"/>
    </row>
    <row r="38" spans="2:2" x14ac:dyDescent="0.3">
      <c r="B38" s="4143"/>
    </row>
    <row r="39" spans="2:2" x14ac:dyDescent="0.3">
      <c r="B39" s="4144"/>
    </row>
    <row r="40" spans="2:2" x14ac:dyDescent="0.3">
      <c r="B40" s="4143" t="s">
        <v>4987</v>
      </c>
    </row>
    <row r="41" spans="2:2" x14ac:dyDescent="0.3">
      <c r="B41" s="4143"/>
    </row>
    <row r="42" spans="2:2" x14ac:dyDescent="0.3">
      <c r="B42" s="4143"/>
    </row>
    <row r="43" spans="2:2" x14ac:dyDescent="0.3">
      <c r="B43" s="4143"/>
    </row>
    <row r="44" spans="2:2" x14ac:dyDescent="0.3">
      <c r="B44" s="4143"/>
    </row>
    <row r="45" spans="2:2" x14ac:dyDescent="0.3">
      <c r="B45" s="4143"/>
    </row>
    <row r="46" spans="2:2" x14ac:dyDescent="0.3">
      <c r="B46" s="4143"/>
    </row>
    <row r="47" spans="2:2" x14ac:dyDescent="0.3">
      <c r="B47" s="4143"/>
    </row>
    <row r="48" spans="2:2" x14ac:dyDescent="0.3">
      <c r="B48" s="4143"/>
    </row>
    <row r="49" spans="2:2" x14ac:dyDescent="0.3">
      <c r="B49" s="3901"/>
    </row>
    <row r="50" spans="2:2" x14ac:dyDescent="0.3">
      <c r="B50" s="3901"/>
    </row>
  </sheetData>
  <sheetProtection sheet="1" objects="1" scenarios="1"/>
  <mergeCells count="3">
    <mergeCell ref="B5:B22"/>
    <mergeCell ref="B23:B39"/>
    <mergeCell ref="B40:B50"/>
  </mergeCells>
  <pageMargins left="0.5" right="0.5" top="0.25" bottom="0.5" header="0" footer="0.2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5553" r:id="rId4" name="Button 1">
              <controlPr defaultSize="0" print="0" autoFill="0" autoPict="0" macro="[0]!Go_To_LOPA_Menu">
                <anchor moveWithCells="1" sizeWithCells="1">
                  <from>
                    <xdr:col>0</xdr:col>
                    <xdr:colOff>190500</xdr:colOff>
                    <xdr:row>0</xdr:row>
                    <xdr:rowOff>76200</xdr:rowOff>
                  </from>
                  <to>
                    <xdr:col>1</xdr:col>
                    <xdr:colOff>1689100</xdr:colOff>
                    <xdr:row>2</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tabColor rgb="FFFF0000"/>
    <pageSetUpPr autoPageBreaks="0" fitToPage="1"/>
  </sheetPr>
  <dimension ref="A1:HN2"/>
  <sheetViews>
    <sheetView showGridLines="0" zoomScale="80" zoomScaleNormal="80" workbookViewId="0">
      <pane xSplit="7" ySplit="2" topLeftCell="H3" activePane="bottomRight" state="frozenSplit"/>
      <selection pane="topRight" activeCell="H1" sqref="H1"/>
      <selection pane="bottomLeft" activeCell="A3" sqref="A3"/>
      <selection pane="bottomRight" activeCell="A3" sqref="A3"/>
    </sheetView>
  </sheetViews>
  <sheetFormatPr defaultColWidth="9.1796875" defaultRowHeight="15" customHeight="1" outlineLevelCol="1" x14ac:dyDescent="0.25"/>
  <cols>
    <col min="1" max="1" width="12.54296875" style="279" bestFit="1" customWidth="1"/>
    <col min="2" max="2" width="10.1796875" style="280" customWidth="1"/>
    <col min="3" max="3" width="18.453125" style="279" customWidth="1"/>
    <col min="4" max="4" width="33.1796875" style="280" customWidth="1"/>
    <col min="5" max="5" width="40.7265625" style="280" customWidth="1"/>
    <col min="6" max="6" width="25.453125" style="280" customWidth="1"/>
    <col min="7" max="7" width="22.1796875" style="280" customWidth="1"/>
    <col min="8" max="8" width="21" style="280" customWidth="1"/>
    <col min="9" max="9" width="20.1796875" style="279" customWidth="1"/>
    <col min="10" max="10" width="19" style="280" customWidth="1"/>
    <col min="11" max="11" width="6.1796875" style="279" customWidth="1" outlineLevel="1"/>
    <col min="12" max="12" width="14.81640625" style="279" customWidth="1" outlineLevel="1"/>
    <col min="13" max="13" width="9.1796875" style="1454" customWidth="1" outlineLevel="1"/>
    <col min="14" max="14" width="5.453125" style="1453" customWidth="1" outlineLevel="1"/>
    <col min="15" max="15" width="8" style="279" customWidth="1" outlineLevel="1"/>
    <col min="16" max="16" width="5.81640625" style="1453" customWidth="1" outlineLevel="1"/>
    <col min="17" max="17" width="12.1796875" style="279" customWidth="1" outlineLevel="1"/>
    <col min="18" max="18" width="9.1796875" style="1454" customWidth="1" outlineLevel="1"/>
    <col min="19" max="19" width="5.453125" style="1453" customWidth="1" outlineLevel="1"/>
    <col min="20" max="20" width="22.81640625" style="1453" customWidth="1" outlineLevel="1"/>
    <col min="21" max="21" width="10.1796875" style="279" customWidth="1" outlineLevel="1"/>
    <col min="22" max="22" width="8" style="1454" customWidth="1" outlineLevel="1"/>
    <col min="23" max="23" width="6.1796875" style="1453" customWidth="1" outlineLevel="1"/>
    <col min="24" max="24" width="8.1796875" style="1454" customWidth="1" outlineLevel="1"/>
    <col min="25" max="25" width="8.81640625" style="1453" customWidth="1" outlineLevel="1"/>
    <col min="26" max="27" width="11" style="279" customWidth="1" outlineLevel="1"/>
    <col min="28" max="28" width="6.1796875" style="1454" customWidth="1" outlineLevel="1"/>
    <col min="29" max="29" width="5.453125" style="1453" customWidth="1" outlineLevel="1"/>
    <col min="30" max="30" width="10.1796875" style="1497" customWidth="1" outlineLevel="1"/>
    <col min="31" max="36" width="10.1796875" style="279" customWidth="1" outlineLevel="1"/>
    <col min="37" max="37" width="7.453125" style="1454" customWidth="1" outlineLevel="1"/>
    <col min="38" max="38" width="5" style="1453" customWidth="1" outlineLevel="1"/>
    <col min="39" max="39" width="10.453125" style="1454" customWidth="1" outlineLevel="1"/>
    <col min="40" max="40" width="7.81640625" style="1453" customWidth="1" outlineLevel="1"/>
    <col min="41" max="41" width="9" style="280" customWidth="1" outlineLevel="1"/>
    <col min="42" max="42" width="5.1796875" style="280" customWidth="1" outlineLevel="1"/>
    <col min="43" max="43" width="8.81640625" style="1454" customWidth="1" outlineLevel="1"/>
    <col min="44" max="44" width="5.453125" style="1453" customWidth="1" outlineLevel="1"/>
    <col min="45" max="45" width="9.81640625" style="1454" customWidth="1" outlineLevel="1"/>
    <col min="46" max="46" width="6.1796875" style="1453" customWidth="1" outlineLevel="1"/>
    <col min="47" max="47" width="11" style="1453" customWidth="1" outlineLevel="1"/>
    <col min="48" max="48" width="6.1796875" style="1453" customWidth="1" outlineLevel="1"/>
    <col min="49" max="49" width="9" style="1453" customWidth="1" outlineLevel="1"/>
    <col min="50" max="53" width="6.1796875" style="1453" customWidth="1" outlineLevel="1"/>
    <col min="54" max="62" width="10.81640625" style="279" customWidth="1" outlineLevel="1"/>
    <col min="63" max="63" width="5.453125" style="279" customWidth="1" outlineLevel="1"/>
    <col min="64" max="64" width="11.81640625" style="1454" customWidth="1" outlineLevel="1"/>
    <col min="65" max="65" width="5.81640625" style="1453" customWidth="1" outlineLevel="1"/>
    <col min="66" max="66" width="10.1796875" style="1454" customWidth="1" outlineLevel="1"/>
    <col min="67" max="67" width="6" style="1453" customWidth="1" outlineLevel="1"/>
    <col min="68" max="68" width="7" style="1454" customWidth="1" outlineLevel="1"/>
    <col min="69" max="71" width="6.1796875" style="1453" customWidth="1" outlineLevel="1"/>
    <col min="72" max="73" width="7.453125" style="279" customWidth="1" outlineLevel="1"/>
    <col min="74" max="74" width="8.453125" style="1454" customWidth="1" outlineLevel="1"/>
    <col min="75" max="75" width="9.81640625" style="1453" customWidth="1" outlineLevel="1"/>
    <col min="76" max="76" width="8.1796875" style="1454" customWidth="1" outlineLevel="1"/>
    <col min="77" max="77" width="5.1796875" style="1453" customWidth="1" outlineLevel="1"/>
    <col min="78" max="79" width="10.81640625" style="279" customWidth="1" outlineLevel="1"/>
    <col min="80" max="80" width="9.1796875" style="1454" customWidth="1" outlineLevel="1"/>
    <col min="81" max="81" width="5.1796875" style="1453" customWidth="1" outlineLevel="1"/>
    <col min="82" max="82" width="10.1796875" style="279" customWidth="1" outlineLevel="1"/>
    <col min="83" max="84" width="26.1796875" style="280" customWidth="1"/>
    <col min="85" max="85" width="16.26953125" style="280" customWidth="1"/>
    <col min="86" max="86" width="28.81640625" style="280" customWidth="1"/>
    <col min="87" max="87" width="5.81640625" style="279" customWidth="1"/>
    <col min="88" max="90" width="5.81640625" style="279" customWidth="1" outlineLevel="1"/>
    <col min="91" max="97" width="4.81640625" style="279" customWidth="1" outlineLevel="1"/>
    <col min="98" max="98" width="5.81640625" style="279" customWidth="1" outlineLevel="1"/>
    <col min="99" max="99" width="5.81640625" style="279" customWidth="1"/>
    <col min="100" max="100" width="12.1796875" style="279" customWidth="1"/>
    <col min="101" max="101" width="9.81640625" style="279" customWidth="1"/>
    <col min="102" max="102" width="9.1796875" style="279" customWidth="1"/>
    <col min="103" max="103" width="9.81640625" style="2322" customWidth="1"/>
    <col min="104" max="104" width="17.1796875" style="279" customWidth="1"/>
    <col min="105" max="105" width="14.453125" style="279" customWidth="1"/>
    <col min="106" max="106" width="14.453125" style="1453" customWidth="1"/>
    <col min="107" max="107" width="31.1796875" style="280" customWidth="1"/>
    <col min="108" max="108" width="16.1796875" style="280" customWidth="1"/>
    <col min="109" max="114" width="11.1796875" style="280" customWidth="1"/>
    <col min="115" max="115" width="21.1796875" style="280" customWidth="1"/>
    <col min="116" max="116" width="11.1796875" style="280" customWidth="1"/>
    <col min="117" max="117" width="13.453125" style="280" customWidth="1"/>
    <col min="118" max="118" width="8.1796875" style="280" customWidth="1"/>
    <col min="119" max="119" width="5.81640625" style="280" customWidth="1"/>
    <col min="120" max="123" width="5.81640625" style="280" customWidth="1" outlineLevel="1"/>
    <col min="124" max="128" width="6.81640625" style="280" customWidth="1" outlineLevel="1"/>
    <col min="129" max="134" width="5.81640625" style="280" customWidth="1" outlineLevel="1"/>
    <col min="135" max="135" width="10.1796875" style="280" customWidth="1" outlineLevel="1"/>
    <col min="136" max="139" width="11.1796875" style="280" customWidth="1" outlineLevel="1"/>
    <col min="140" max="142" width="13" style="280" customWidth="1" outlineLevel="1"/>
    <col min="143" max="143" width="14.1796875" style="280" customWidth="1" outlineLevel="1"/>
    <col min="144" max="144" width="11.81640625" style="280" customWidth="1" outlineLevel="1"/>
    <col min="145" max="145" width="7.1796875" style="279" customWidth="1" outlineLevel="1"/>
    <col min="146" max="146" width="5.81640625" style="279" customWidth="1" outlineLevel="1"/>
    <col min="147" max="159" width="5.81640625" style="280" customWidth="1" outlineLevel="1"/>
    <col min="160" max="160" width="5.81640625" style="279" customWidth="1" outlineLevel="1"/>
    <col min="161" max="173" width="5.81640625" style="280" customWidth="1" outlineLevel="1"/>
    <col min="174" max="174" width="5.81640625" style="279" customWidth="1" outlineLevel="1"/>
    <col min="175" max="187" width="5.81640625" style="280" customWidth="1" outlineLevel="1"/>
    <col min="188" max="188" width="5.81640625" style="279" customWidth="1" outlineLevel="1"/>
    <col min="189" max="201" width="5.81640625" style="280" customWidth="1" outlineLevel="1"/>
    <col min="202" max="202" width="5.1796875" style="279" customWidth="1" outlineLevel="1"/>
    <col min="203" max="204" width="5.81640625" style="280" customWidth="1" outlineLevel="1"/>
    <col min="205" max="205" width="5.81640625" style="279" customWidth="1" outlineLevel="1"/>
    <col min="206" max="207" width="5.81640625" style="280" customWidth="1" outlineLevel="1"/>
    <col min="208" max="208" width="5.81640625" style="279" customWidth="1" outlineLevel="1"/>
    <col min="209" max="210" width="5.81640625" style="280" customWidth="1" outlineLevel="1"/>
    <col min="211" max="211" width="5.81640625" style="279" customWidth="1" outlineLevel="1"/>
    <col min="212" max="213" width="5.81640625" style="280" customWidth="1" outlineLevel="1"/>
    <col min="214" max="222" width="5.81640625" style="279" customWidth="1" outlineLevel="1"/>
    <col min="223" max="225" width="8.81640625" style="280"/>
    <col min="226" max="16384" width="9.1796875" style="280"/>
  </cols>
  <sheetData>
    <row r="1" spans="1:222" s="26" customFormat="1" ht="80.25" customHeight="1" x14ac:dyDescent="0.25">
      <c r="A1" s="2319">
        <v>4.5</v>
      </c>
      <c r="B1" s="178"/>
      <c r="C1" s="19"/>
      <c r="D1" s="40"/>
      <c r="H1" s="178"/>
      <c r="I1" s="19"/>
      <c r="J1" s="19"/>
      <c r="K1" s="2502"/>
      <c r="L1" s="253" t="s">
        <v>593</v>
      </c>
      <c r="M1" s="1462"/>
      <c r="N1" s="1462"/>
      <c r="O1" s="1462"/>
      <c r="P1" s="1462"/>
      <c r="Q1" s="1462"/>
      <c r="R1" s="1462"/>
      <c r="S1" s="1462"/>
      <c r="T1" s="1462"/>
      <c r="U1" s="1462"/>
      <c r="V1" s="1462"/>
      <c r="W1" s="1462"/>
      <c r="X1" s="1462"/>
      <c r="Y1" s="1462"/>
      <c r="Z1" s="1462"/>
      <c r="AA1" s="1462"/>
      <c r="AB1" s="1462"/>
      <c r="AC1" s="1462"/>
      <c r="AD1" s="1496"/>
      <c r="AE1" s="1462"/>
      <c r="AF1" s="1462"/>
      <c r="AG1" s="1718"/>
      <c r="AH1" s="1718"/>
      <c r="AI1" s="1718"/>
      <c r="AJ1" s="1462"/>
      <c r="AK1" s="1455"/>
      <c r="AL1" s="1462"/>
      <c r="AM1" s="1455"/>
      <c r="AN1" s="1462"/>
      <c r="AO1" s="1463"/>
      <c r="AP1" s="1463"/>
      <c r="AQ1" s="1455"/>
      <c r="AR1" s="1456"/>
      <c r="AS1" s="1455"/>
      <c r="AT1" s="1456"/>
      <c r="AU1" s="1719"/>
      <c r="AV1" s="1719"/>
      <c r="AW1" s="2177"/>
      <c r="AX1" s="2177"/>
      <c r="AY1" s="1719"/>
      <c r="AZ1" s="1719"/>
      <c r="BA1" s="1719"/>
      <c r="BB1" s="1462"/>
      <c r="BC1" s="1718"/>
      <c r="BD1" s="1718"/>
      <c r="BE1" s="1718"/>
      <c r="BF1" s="1462"/>
      <c r="BG1" s="2034"/>
      <c r="BH1" s="2034"/>
      <c r="BI1" s="2034"/>
      <c r="BJ1" s="2572"/>
      <c r="BK1" s="2572"/>
      <c r="BL1" s="1455"/>
      <c r="BM1" s="1456"/>
      <c r="BN1" s="1462"/>
      <c r="BO1" s="1462"/>
      <c r="BP1" s="1462"/>
      <c r="BQ1" s="1462"/>
      <c r="BR1" s="2034"/>
      <c r="BS1" s="2034"/>
      <c r="BT1" s="1462"/>
      <c r="BU1" s="1718"/>
      <c r="BV1" s="1455"/>
      <c r="BW1" s="1456"/>
      <c r="BX1" s="1455"/>
      <c r="BY1" s="1456"/>
      <c r="BZ1" s="1462"/>
      <c r="CA1" s="1718"/>
      <c r="CB1" s="1455"/>
      <c r="CC1" s="1456"/>
      <c r="CD1" s="254"/>
      <c r="CE1" s="40"/>
      <c r="CF1" s="40"/>
      <c r="CG1" s="40"/>
      <c r="CH1" s="40"/>
      <c r="CI1" s="24" t="s">
        <v>1689</v>
      </c>
      <c r="CJ1" s="746"/>
      <c r="CK1" s="1216"/>
      <c r="CL1" s="80"/>
      <c r="CM1" s="80"/>
      <c r="CN1" s="785"/>
      <c r="CO1" s="1217"/>
      <c r="CP1" s="80"/>
      <c r="CQ1" s="785"/>
      <c r="CR1" s="1217"/>
      <c r="CS1" s="80"/>
      <c r="CT1" s="80"/>
      <c r="CU1" s="135"/>
      <c r="CV1" s="19"/>
      <c r="CW1" s="19"/>
      <c r="CX1" s="19"/>
      <c r="CY1" s="2320"/>
      <c r="CZ1" s="19"/>
      <c r="DA1" s="19"/>
      <c r="DB1" s="40"/>
      <c r="DE1" s="787" t="s">
        <v>472</v>
      </c>
      <c r="DF1" s="789"/>
      <c r="DG1" s="789"/>
      <c r="DH1" s="789"/>
      <c r="DI1" s="789"/>
      <c r="DJ1" s="1543"/>
      <c r="DK1" s="1544"/>
      <c r="DL1" s="787" t="s">
        <v>2994</v>
      </c>
      <c r="DM1" s="788"/>
      <c r="DN1" s="24" t="s">
        <v>2012</v>
      </c>
      <c r="DO1" s="1869"/>
      <c r="DP1" s="1869"/>
      <c r="DQ1" s="288"/>
      <c r="DR1" s="288"/>
      <c r="DS1" s="288"/>
      <c r="DT1" s="288"/>
      <c r="DU1" s="1216"/>
      <c r="DV1" s="1216"/>
      <c r="DW1" s="1216"/>
      <c r="DX1" s="1216"/>
      <c r="DY1" s="1870"/>
      <c r="DZ1" s="1870"/>
      <c r="EA1" s="1870"/>
      <c r="EB1" s="1870"/>
      <c r="EC1" s="1870"/>
      <c r="ED1" s="1216"/>
      <c r="EE1" s="283" t="s">
        <v>1461</v>
      </c>
      <c r="EF1" s="290"/>
      <c r="EG1" s="786"/>
      <c r="EH1" s="786"/>
      <c r="EI1" s="1130" t="s">
        <v>292</v>
      </c>
      <c r="EJ1" s="1131"/>
      <c r="EK1" s="1132"/>
      <c r="EL1" s="1542"/>
      <c r="EM1" s="1394" t="s">
        <v>3337</v>
      </c>
      <c r="EN1" s="1133"/>
      <c r="EO1" s="136"/>
      <c r="EP1" s="284" t="s">
        <v>3217</v>
      </c>
      <c r="EQ1" s="284"/>
      <c r="ER1" s="284"/>
      <c r="ES1" s="284"/>
      <c r="ET1" s="284"/>
      <c r="EU1" s="1472"/>
      <c r="EV1" s="1632"/>
      <c r="EW1" s="284"/>
      <c r="EX1" s="1472"/>
      <c r="EY1" s="284"/>
      <c r="EZ1" s="284"/>
      <c r="FA1" s="284"/>
      <c r="FB1" s="284"/>
      <c r="FC1" s="1632"/>
      <c r="FD1" s="284" t="s">
        <v>3218</v>
      </c>
      <c r="FE1" s="284"/>
      <c r="FF1" s="284"/>
      <c r="FG1" s="284"/>
      <c r="FH1" s="284"/>
      <c r="FI1" s="1472"/>
      <c r="FJ1" s="1632"/>
      <c r="FK1" s="284"/>
      <c r="FL1" s="1632"/>
      <c r="FM1" s="284"/>
      <c r="FN1" s="284"/>
      <c r="FO1" s="284"/>
      <c r="FP1" s="284"/>
      <c r="FQ1" s="1632"/>
      <c r="FR1" s="24" t="s">
        <v>1726</v>
      </c>
      <c r="FS1" s="288"/>
      <c r="FT1" s="288"/>
      <c r="FU1" s="288"/>
      <c r="FV1" s="288"/>
      <c r="FW1" s="1216"/>
      <c r="FX1" s="1216"/>
      <c r="FY1" s="288"/>
      <c r="FZ1" s="1216"/>
      <c r="GA1" s="288"/>
      <c r="GB1" s="288"/>
      <c r="GC1" s="288"/>
      <c r="GD1" s="289"/>
      <c r="GE1" s="1216"/>
      <c r="GF1" s="283" t="s">
        <v>1727</v>
      </c>
      <c r="GG1" s="285"/>
      <c r="GH1" s="285"/>
      <c r="GI1" s="285"/>
      <c r="GJ1" s="285"/>
      <c r="GK1" s="1473"/>
      <c r="GL1" s="1473"/>
      <c r="GM1" s="285"/>
      <c r="GN1" s="1473"/>
      <c r="GO1" s="285"/>
      <c r="GP1" s="285"/>
      <c r="GQ1" s="285"/>
      <c r="GR1" s="286"/>
      <c r="GS1" s="1488"/>
      <c r="GT1" s="281" t="s">
        <v>465</v>
      </c>
      <c r="GU1" s="287"/>
      <c r="GV1" s="282"/>
      <c r="GW1" s="283" t="s">
        <v>462</v>
      </c>
      <c r="GX1" s="285"/>
      <c r="GY1" s="286"/>
      <c r="GZ1" s="283" t="s">
        <v>463</v>
      </c>
      <c r="HA1" s="285"/>
      <c r="HB1" s="286"/>
      <c r="HC1" s="1185" t="s">
        <v>2849</v>
      </c>
      <c r="HD1" s="1134"/>
      <c r="HE1" s="1186"/>
      <c r="HF1" s="2902" t="s">
        <v>2922</v>
      </c>
      <c r="HG1" s="2903"/>
      <c r="HH1" s="2901"/>
      <c r="HI1" s="2901"/>
      <c r="HJ1" s="2901"/>
      <c r="HK1" s="2901"/>
      <c r="HL1" s="2901"/>
      <c r="HM1" s="2901"/>
      <c r="HN1" s="2904"/>
    </row>
    <row r="2" spans="1:222" s="19" customFormat="1" ht="129" customHeight="1" x14ac:dyDescent="0.25">
      <c r="A2" s="1780" t="s">
        <v>1020</v>
      </c>
      <c r="B2" s="1781" t="s">
        <v>1859</v>
      </c>
      <c r="C2" s="1783" t="s">
        <v>1084</v>
      </c>
      <c r="D2" s="1783" t="s">
        <v>152</v>
      </c>
      <c r="E2" s="1783" t="s">
        <v>1019</v>
      </c>
      <c r="F2" s="1783" t="s">
        <v>4745</v>
      </c>
      <c r="G2" s="1784" t="s">
        <v>308</v>
      </c>
      <c r="H2" s="1782" t="s">
        <v>1858</v>
      </c>
      <c r="I2" s="1782" t="s">
        <v>151</v>
      </c>
      <c r="J2" s="1782" t="s">
        <v>1799</v>
      </c>
      <c r="K2" s="2499" t="s">
        <v>4674</v>
      </c>
      <c r="L2" s="1785" t="s">
        <v>2024</v>
      </c>
      <c r="M2" s="1569" t="s">
        <v>123</v>
      </c>
      <c r="N2" s="2578" t="s">
        <v>1824</v>
      </c>
      <c r="O2" s="1569" t="s">
        <v>2991</v>
      </c>
      <c r="P2" s="2578" t="s">
        <v>3259</v>
      </c>
      <c r="Q2" s="1785" t="s">
        <v>2681</v>
      </c>
      <c r="R2" s="1569" t="s">
        <v>1037</v>
      </c>
      <c r="S2" s="2578" t="s">
        <v>3260</v>
      </c>
      <c r="T2" s="1785" t="s">
        <v>3243</v>
      </c>
      <c r="U2" s="1786" t="s">
        <v>3234</v>
      </c>
      <c r="V2" s="1570" t="s">
        <v>3229</v>
      </c>
      <c r="W2" s="2579" t="s">
        <v>3261</v>
      </c>
      <c r="X2" s="1570" t="s">
        <v>3228</v>
      </c>
      <c r="Y2" s="2579" t="s">
        <v>3262</v>
      </c>
      <c r="Z2" s="1786" t="s">
        <v>4204</v>
      </c>
      <c r="AA2" s="1786" t="s">
        <v>3233</v>
      </c>
      <c r="AB2" s="1570" t="s">
        <v>3230</v>
      </c>
      <c r="AC2" s="2579" t="s">
        <v>3263</v>
      </c>
      <c r="AD2" s="1787" t="s">
        <v>2731</v>
      </c>
      <c r="AE2" s="1786" t="s">
        <v>4503</v>
      </c>
      <c r="AF2" s="1786" t="s">
        <v>4501</v>
      </c>
      <c r="AG2" s="2174" t="s">
        <v>3570</v>
      </c>
      <c r="AH2" s="2174" t="s">
        <v>3571</v>
      </c>
      <c r="AI2" s="2174" t="s">
        <v>3572</v>
      </c>
      <c r="AJ2" s="1786" t="s">
        <v>3236</v>
      </c>
      <c r="AK2" s="1569" t="s">
        <v>1641</v>
      </c>
      <c r="AL2" s="2578" t="s">
        <v>3264</v>
      </c>
      <c r="AM2" s="1569" t="s">
        <v>1642</v>
      </c>
      <c r="AN2" s="2578" t="s">
        <v>3306</v>
      </c>
      <c r="AO2" s="1569" t="s">
        <v>4504</v>
      </c>
      <c r="AP2" s="2578" t="s">
        <v>4505</v>
      </c>
      <c r="AQ2" s="1569" t="s">
        <v>4502</v>
      </c>
      <c r="AR2" s="2578" t="s">
        <v>4502</v>
      </c>
      <c r="AS2" s="1569" t="str">
        <f>"Distance to Severe Toxic Impact (LC-50 Concentration)"</f>
        <v>Distance to Severe Toxic Impact (LC-50 Concentration)</v>
      </c>
      <c r="AT2" s="2578" t="s">
        <v>4531</v>
      </c>
      <c r="AU2" s="2174" t="s">
        <v>3567</v>
      </c>
      <c r="AV2" s="2579" t="s">
        <v>3566</v>
      </c>
      <c r="AW2" s="2174" t="s">
        <v>3568</v>
      </c>
      <c r="AX2" s="2287" t="s">
        <v>3569</v>
      </c>
      <c r="AY2" s="2176" t="s">
        <v>3670</v>
      </c>
      <c r="AZ2" s="1786" t="s">
        <v>3671</v>
      </c>
      <c r="BA2" s="2175" t="s">
        <v>3672</v>
      </c>
      <c r="BB2" s="1786" t="s">
        <v>4892</v>
      </c>
      <c r="BC2" s="1786" t="s">
        <v>4893</v>
      </c>
      <c r="BD2" s="2176" t="s">
        <v>4712</v>
      </c>
      <c r="BE2" s="2176" t="s">
        <v>4713</v>
      </c>
      <c r="BF2" s="1786" t="s">
        <v>4112</v>
      </c>
      <c r="BG2" s="1786" t="s">
        <v>4119</v>
      </c>
      <c r="BH2" s="1786" t="s">
        <v>4715</v>
      </c>
      <c r="BI2" s="2174" t="s">
        <v>4716</v>
      </c>
      <c r="BJ2" s="2174" t="s">
        <v>4724</v>
      </c>
      <c r="BK2" s="2287" t="s">
        <v>4732</v>
      </c>
      <c r="BL2" s="2571" t="str">
        <f>"Distance to Severe Flammable Impact ("&amp;LFL_Fract_FlashFIre&amp;" LFL, BLEVE, or Dust Fireball)"</f>
        <v>Distance to Severe Flammable Impact (0.5 LFL, BLEVE, or Dust Fireball)</v>
      </c>
      <c r="BM2" s="2579" t="s">
        <v>4733</v>
      </c>
      <c r="BN2" s="1570" t="s">
        <v>4005</v>
      </c>
      <c r="BO2" s="2578" t="s">
        <v>3266</v>
      </c>
      <c r="BP2" s="1569" t="s">
        <v>1622</v>
      </c>
      <c r="BQ2" s="2578" t="s">
        <v>3267</v>
      </c>
      <c r="BR2" s="2658" t="s">
        <v>4143</v>
      </c>
      <c r="BS2" s="2657"/>
      <c r="BT2" s="1785" t="s">
        <v>4559</v>
      </c>
      <c r="BU2" s="1786" t="s">
        <v>4560</v>
      </c>
      <c r="BV2" s="1569" t="s">
        <v>2938</v>
      </c>
      <c r="BW2" s="2578" t="s">
        <v>3268</v>
      </c>
      <c r="BX2" s="1569" t="s">
        <v>236</v>
      </c>
      <c r="BY2" s="2578" t="s">
        <v>3269</v>
      </c>
      <c r="BZ2" s="1785" t="s">
        <v>4561</v>
      </c>
      <c r="CA2" s="1786" t="s">
        <v>4562</v>
      </c>
      <c r="CB2" s="1569" t="s">
        <v>2943</v>
      </c>
      <c r="CC2" s="2578" t="s">
        <v>3307</v>
      </c>
      <c r="CD2" s="1785" t="s">
        <v>3223</v>
      </c>
      <c r="CE2" s="1782" t="s">
        <v>1194</v>
      </c>
      <c r="CF2" s="1782" t="s">
        <v>3380</v>
      </c>
      <c r="CG2" s="1782" t="s">
        <v>309</v>
      </c>
      <c r="CH2" s="1782" t="s">
        <v>3378</v>
      </c>
      <c r="CI2" s="1788" t="s">
        <v>4217</v>
      </c>
      <c r="CJ2" s="1788" t="s">
        <v>5249</v>
      </c>
      <c r="CK2" s="1788" t="s">
        <v>4218</v>
      </c>
      <c r="CL2" s="1788" t="s">
        <v>310</v>
      </c>
      <c r="CM2" s="1788" t="s">
        <v>1461</v>
      </c>
      <c r="CN2" s="1788" t="s">
        <v>2995</v>
      </c>
      <c r="CO2" s="1788" t="s">
        <v>4093</v>
      </c>
      <c r="CP2" s="1788" t="s">
        <v>292</v>
      </c>
      <c r="CQ2" s="1788" t="s">
        <v>4219</v>
      </c>
      <c r="CR2" s="1788" t="s">
        <v>4220</v>
      </c>
      <c r="CS2" s="1788" t="s">
        <v>909</v>
      </c>
      <c r="CT2" s="1789" t="s">
        <v>1798</v>
      </c>
      <c r="CU2" s="1790" t="s">
        <v>706</v>
      </c>
      <c r="CV2" s="3328" t="s">
        <v>1813</v>
      </c>
      <c r="CW2" s="1791" t="s">
        <v>94</v>
      </c>
      <c r="CX2" s="1791" t="s">
        <v>173</v>
      </c>
      <c r="CY2" s="2321" t="s">
        <v>353</v>
      </c>
      <c r="CZ2" s="1791" t="s">
        <v>3110</v>
      </c>
      <c r="DA2" s="1791" t="s">
        <v>1860</v>
      </c>
      <c r="DB2" s="1791" t="s">
        <v>3439</v>
      </c>
      <c r="DC2" s="1792" t="s">
        <v>3441</v>
      </c>
      <c r="DD2" s="1781" t="s">
        <v>3440</v>
      </c>
      <c r="DE2" s="1781" t="s">
        <v>4235</v>
      </c>
      <c r="DF2" s="1781" t="s">
        <v>4236</v>
      </c>
      <c r="DG2" s="1781" t="s">
        <v>1711</v>
      </c>
      <c r="DH2" s="1781" t="s">
        <v>1712</v>
      </c>
      <c r="DI2" s="1781" t="s">
        <v>375</v>
      </c>
      <c r="DJ2" s="1781" t="s">
        <v>376</v>
      </c>
      <c r="DK2" s="1781" t="s">
        <v>3338</v>
      </c>
      <c r="DL2" s="1788" t="s">
        <v>2997</v>
      </c>
      <c r="DM2" s="1793" t="s">
        <v>2998</v>
      </c>
      <c r="DN2" s="1788" t="s">
        <v>1276</v>
      </c>
      <c r="DO2" s="1793" t="s">
        <v>4026</v>
      </c>
      <c r="DP2" s="1793" t="s">
        <v>619</v>
      </c>
      <c r="DQ2" s="1793" t="s">
        <v>1777</v>
      </c>
      <c r="DR2" s="1793" t="s">
        <v>715</v>
      </c>
      <c r="DS2" s="1793" t="s">
        <v>1618</v>
      </c>
      <c r="DT2" s="1793" t="s">
        <v>3274</v>
      </c>
      <c r="DU2" s="1793" t="s">
        <v>3275</v>
      </c>
      <c r="DV2" s="1793" t="s">
        <v>3278</v>
      </c>
      <c r="DW2" s="1793" t="s">
        <v>3431</v>
      </c>
      <c r="DX2" s="1793" t="s">
        <v>3432</v>
      </c>
      <c r="DY2" s="1793" t="s">
        <v>3276</v>
      </c>
      <c r="DZ2" s="1793" t="s">
        <v>3277</v>
      </c>
      <c r="EA2" s="1793" t="s">
        <v>3433</v>
      </c>
      <c r="EB2" s="1793" t="s">
        <v>3434</v>
      </c>
      <c r="EC2" s="1793" t="s">
        <v>2752</v>
      </c>
      <c r="ED2" s="1793" t="s">
        <v>3435</v>
      </c>
      <c r="EE2" s="1788" t="s">
        <v>464</v>
      </c>
      <c r="EF2" s="1793" t="s">
        <v>619</v>
      </c>
      <c r="EG2" s="1788" t="s">
        <v>2999</v>
      </c>
      <c r="EH2" s="1793" t="s">
        <v>3000</v>
      </c>
      <c r="EI2" s="1788" t="s">
        <v>464</v>
      </c>
      <c r="EJ2" s="1793" t="s">
        <v>619</v>
      </c>
      <c r="EK2" s="1788" t="s">
        <v>3001</v>
      </c>
      <c r="EL2" s="1793" t="s">
        <v>3002</v>
      </c>
      <c r="EM2" s="1788" t="s">
        <v>464</v>
      </c>
      <c r="EN2" s="1793" t="s">
        <v>619</v>
      </c>
      <c r="EO2" s="1788" t="s">
        <v>3095</v>
      </c>
      <c r="EP2" s="1793" t="s">
        <v>4095</v>
      </c>
      <c r="EQ2" s="1793" t="s">
        <v>4094</v>
      </c>
      <c r="ER2" s="1793" t="s">
        <v>619</v>
      </c>
      <c r="ES2" s="1793" t="s">
        <v>134</v>
      </c>
      <c r="ET2" s="1793" t="s">
        <v>3274</v>
      </c>
      <c r="EU2" s="1793" t="s">
        <v>3275</v>
      </c>
      <c r="EV2" s="1793" t="s">
        <v>3278</v>
      </c>
      <c r="EW2" s="1793" t="s">
        <v>3276</v>
      </c>
      <c r="EX2" s="1793" t="s">
        <v>3277</v>
      </c>
      <c r="EY2" s="1793" t="s">
        <v>1630</v>
      </c>
      <c r="EZ2" s="1793" t="s">
        <v>2563</v>
      </c>
      <c r="FA2" s="1793" t="s">
        <v>3505</v>
      </c>
      <c r="FB2" s="1793" t="s">
        <v>870</v>
      </c>
      <c r="FC2" s="1793" t="s">
        <v>2752</v>
      </c>
      <c r="FD2" s="1793" t="s">
        <v>4097</v>
      </c>
      <c r="FE2" s="1793" t="s">
        <v>4096</v>
      </c>
      <c r="FF2" s="1793" t="s">
        <v>619</v>
      </c>
      <c r="FG2" s="1793" t="s">
        <v>134</v>
      </c>
      <c r="FH2" s="1793" t="s">
        <v>3274</v>
      </c>
      <c r="FI2" s="1793" t="s">
        <v>3275</v>
      </c>
      <c r="FJ2" s="1793" t="s">
        <v>3278</v>
      </c>
      <c r="FK2" s="1793" t="s">
        <v>3276</v>
      </c>
      <c r="FL2" s="1793" t="s">
        <v>3277</v>
      </c>
      <c r="FM2" s="1793" t="s">
        <v>1837</v>
      </c>
      <c r="FN2" s="1793" t="s">
        <v>2563</v>
      </c>
      <c r="FO2" s="1793" t="s">
        <v>3505</v>
      </c>
      <c r="FP2" s="1793" t="s">
        <v>870</v>
      </c>
      <c r="FQ2" s="1793" t="s">
        <v>2752</v>
      </c>
      <c r="FR2" s="1793" t="s">
        <v>4099</v>
      </c>
      <c r="FS2" s="1793" t="s">
        <v>4098</v>
      </c>
      <c r="FT2" s="1793" t="s">
        <v>619</v>
      </c>
      <c r="FU2" s="1793" t="s">
        <v>1759</v>
      </c>
      <c r="FV2" s="1793" t="s">
        <v>3274</v>
      </c>
      <c r="FW2" s="1793" t="s">
        <v>3275</v>
      </c>
      <c r="FX2" s="1793" t="s">
        <v>3278</v>
      </c>
      <c r="FY2" s="1793" t="s">
        <v>3276</v>
      </c>
      <c r="FZ2" s="1793" t="s">
        <v>3277</v>
      </c>
      <c r="GA2" s="1793" t="s">
        <v>1630</v>
      </c>
      <c r="GB2" s="1793" t="s">
        <v>2563</v>
      </c>
      <c r="GC2" s="1793" t="s">
        <v>3505</v>
      </c>
      <c r="GD2" s="1793" t="s">
        <v>870</v>
      </c>
      <c r="GE2" s="1793" t="s">
        <v>2752</v>
      </c>
      <c r="GF2" s="1793" t="s">
        <v>4101</v>
      </c>
      <c r="GG2" s="1793" t="s">
        <v>4100</v>
      </c>
      <c r="GH2" s="1793" t="s">
        <v>619</v>
      </c>
      <c r="GI2" s="1793" t="s">
        <v>1759</v>
      </c>
      <c r="GJ2" s="1793" t="s">
        <v>3274</v>
      </c>
      <c r="GK2" s="1793" t="s">
        <v>3275</v>
      </c>
      <c r="GL2" s="1793" t="s">
        <v>3278</v>
      </c>
      <c r="GM2" s="1793" t="s">
        <v>3276</v>
      </c>
      <c r="GN2" s="1793" t="s">
        <v>3277</v>
      </c>
      <c r="GO2" s="1793" t="s">
        <v>1630</v>
      </c>
      <c r="GP2" s="1793" t="s">
        <v>2563</v>
      </c>
      <c r="GQ2" s="1793" t="s">
        <v>3505</v>
      </c>
      <c r="GR2" s="1793" t="s">
        <v>870</v>
      </c>
      <c r="GS2" s="1793" t="s">
        <v>2752</v>
      </c>
      <c r="GT2" s="1793" t="s">
        <v>4103</v>
      </c>
      <c r="GU2" s="1793" t="s">
        <v>4102</v>
      </c>
      <c r="GV2" s="1793" t="s">
        <v>619</v>
      </c>
      <c r="GW2" s="1793" t="s">
        <v>4104</v>
      </c>
      <c r="GX2" s="1793" t="s">
        <v>4105</v>
      </c>
      <c r="GY2" s="1793" t="s">
        <v>619</v>
      </c>
      <c r="GZ2" s="1793" t="s">
        <v>4106</v>
      </c>
      <c r="HA2" s="1793" t="s">
        <v>4107</v>
      </c>
      <c r="HB2" s="1793" t="s">
        <v>619</v>
      </c>
      <c r="HC2" s="1793" t="s">
        <v>4108</v>
      </c>
      <c r="HD2" s="1793" t="s">
        <v>4109</v>
      </c>
      <c r="HE2" s="1793" t="s">
        <v>619</v>
      </c>
      <c r="HF2" s="1793" t="s">
        <v>2937</v>
      </c>
      <c r="HG2" s="1793" t="s">
        <v>2841</v>
      </c>
      <c r="HH2" s="1793" t="s">
        <v>2842</v>
      </c>
      <c r="HI2" s="1793" t="s">
        <v>2843</v>
      </c>
      <c r="HJ2" s="1793" t="s">
        <v>2844</v>
      </c>
      <c r="HK2" s="1793" t="s">
        <v>2845</v>
      </c>
      <c r="HL2" s="1793" t="s">
        <v>2846</v>
      </c>
      <c r="HM2" s="1793" t="s">
        <v>2847</v>
      </c>
      <c r="HN2" s="1793" t="s">
        <v>2848</v>
      </c>
    </row>
  </sheetData>
  <autoFilter ref="A2:HN2" xr:uid="{00000000-0001-0000-1900-000000000000}"/>
  <phoneticPr fontId="3" type="noConversion"/>
  <dataValidations count="1">
    <dataValidation type="list" allowBlank="1" showInputMessage="1" showErrorMessage="1" sqref="CW2" xr:uid="{00000000-0002-0000-1900-000000000000}">
      <formula1>"Yes,No"</formula1>
    </dataValidation>
  </dataValidations>
  <pageMargins left="0.25" right="0" top="0.25" bottom="0.5" header="0" footer="0.25"/>
  <pageSetup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6749" r:id="rId4" name="Risk_Graph">
              <controlPr defaultSize="0" print="0" autoFill="0" autoPict="0" macro="[0]!Go_To_Risk_Graph">
                <anchor>
                  <from>
                    <xdr:col>4</xdr:col>
                    <xdr:colOff>1695450</xdr:colOff>
                    <xdr:row>0</xdr:row>
                    <xdr:rowOff>457200</xdr:rowOff>
                  </from>
                  <to>
                    <xdr:col>4</xdr:col>
                    <xdr:colOff>2457450</xdr:colOff>
                    <xdr:row>0</xdr:row>
                    <xdr:rowOff>914400</xdr:rowOff>
                  </to>
                </anchor>
              </controlPr>
            </control>
          </mc:Choice>
        </mc:AlternateContent>
        <mc:AlternateContent xmlns:mc="http://schemas.openxmlformats.org/markup-compatibility/2006">
          <mc:Choice Requires="x14">
            <control shapeId="756750" r:id="rId5" name="LOPA_Worksheet_&gt;">
              <controlPr defaultSize="0" print="0" autoFill="0" autoPict="0" macro="[0]!Generate_LOPA">
                <anchor>
                  <from>
                    <xdr:col>4</xdr:col>
                    <xdr:colOff>781050</xdr:colOff>
                    <xdr:row>0</xdr:row>
                    <xdr:rowOff>127000</xdr:rowOff>
                  </from>
                  <to>
                    <xdr:col>4</xdr:col>
                    <xdr:colOff>2114550</xdr:colOff>
                    <xdr:row>0</xdr:row>
                    <xdr:rowOff>381000</xdr:rowOff>
                  </to>
                </anchor>
              </controlPr>
            </control>
          </mc:Choice>
        </mc:AlternateContent>
        <mc:AlternateContent xmlns:mc="http://schemas.openxmlformats.org/markup-compatibility/2006">
          <mc:Choice Requires="x14">
            <control shapeId="756752" r:id="rId6" name="Clear_Results">
              <controlPr defaultSize="0" print="0" autoFill="0" autoPict="0" macro="[0]!Clear_Results">
                <anchor>
                  <from>
                    <xdr:col>7</xdr:col>
                    <xdr:colOff>184150</xdr:colOff>
                    <xdr:row>0</xdr:row>
                    <xdr:rowOff>146050</xdr:rowOff>
                  </from>
                  <to>
                    <xdr:col>8</xdr:col>
                    <xdr:colOff>12700</xdr:colOff>
                    <xdr:row>0</xdr:row>
                    <xdr:rowOff>381000</xdr:rowOff>
                  </to>
                </anchor>
              </controlPr>
            </control>
          </mc:Choice>
        </mc:AlternateContent>
        <mc:AlternateContent xmlns:mc="http://schemas.openxmlformats.org/markup-compatibility/2006">
          <mc:Choice Requires="x14">
            <control shapeId="756754" r:id="rId7" name="Create_User_Scenario">
              <controlPr defaultSize="0" print="0" autoFill="0" autoPict="0" macro="[0]!Create_User_Scenario_from_Scenario_Results">
                <anchor>
                  <from>
                    <xdr:col>3</xdr:col>
                    <xdr:colOff>742950</xdr:colOff>
                    <xdr:row>0</xdr:row>
                    <xdr:rowOff>469900</xdr:rowOff>
                  </from>
                  <to>
                    <xdr:col>3</xdr:col>
                    <xdr:colOff>1657350</xdr:colOff>
                    <xdr:row>0</xdr:row>
                    <xdr:rowOff>927100</xdr:rowOff>
                  </to>
                </anchor>
              </controlPr>
            </control>
          </mc:Choice>
        </mc:AlternateContent>
        <mc:AlternateContent xmlns:mc="http://schemas.openxmlformats.org/markup-compatibility/2006">
          <mc:Choice Requires="x14">
            <control shapeId="756757" r:id="rId8" name="Modify_User_Scenario">
              <controlPr defaultSize="0" print="0" autoFill="0" autoPict="0" macro="[0]!Modify_User_Scenario">
                <anchor>
                  <from>
                    <xdr:col>3</xdr:col>
                    <xdr:colOff>1758950</xdr:colOff>
                    <xdr:row>0</xdr:row>
                    <xdr:rowOff>469900</xdr:rowOff>
                  </from>
                  <to>
                    <xdr:col>4</xdr:col>
                    <xdr:colOff>539750</xdr:colOff>
                    <xdr:row>0</xdr:row>
                    <xdr:rowOff>927100</xdr:rowOff>
                  </to>
                </anchor>
              </controlPr>
            </control>
          </mc:Choice>
        </mc:AlternateContent>
        <mc:AlternateContent xmlns:mc="http://schemas.openxmlformats.org/markup-compatibility/2006">
          <mc:Choice Requires="x14">
            <control shapeId="799300" r:id="rId9" name="Duplicate">
              <controlPr defaultSize="0" print="0" autoFill="0" autoPict="0" macro="[0]!Duplicate_Scenario">
                <anchor>
                  <from>
                    <xdr:col>4</xdr:col>
                    <xdr:colOff>641350</xdr:colOff>
                    <xdr:row>0</xdr:row>
                    <xdr:rowOff>469900</xdr:rowOff>
                  </from>
                  <to>
                    <xdr:col>4</xdr:col>
                    <xdr:colOff>1593850</xdr:colOff>
                    <xdr:row>0</xdr:row>
                    <xdr:rowOff>927100</xdr:rowOff>
                  </to>
                </anchor>
              </controlPr>
            </control>
          </mc:Choice>
        </mc:AlternateContent>
        <mc:AlternateContent xmlns:mc="http://schemas.openxmlformats.org/markup-compatibility/2006">
          <mc:Choice Requires="x14">
            <control shapeId="799301" r:id="rId10" name="Reset_Filters">
              <controlPr defaultSize="0" print="0" autoFill="0" autoPict="0" macro="[0]!Clear_Filters">
                <anchor>
                  <from>
                    <xdr:col>3</xdr:col>
                    <xdr:colOff>146050</xdr:colOff>
                    <xdr:row>0</xdr:row>
                    <xdr:rowOff>457200</xdr:rowOff>
                  </from>
                  <to>
                    <xdr:col>3</xdr:col>
                    <xdr:colOff>641350</xdr:colOff>
                    <xdr:row>0</xdr:row>
                    <xdr:rowOff>914400</xdr:rowOff>
                  </to>
                </anchor>
              </controlPr>
            </control>
          </mc:Choice>
        </mc:AlternateContent>
        <mc:AlternateContent xmlns:mc="http://schemas.openxmlformats.org/markup-compatibility/2006">
          <mc:Choice Requires="x14">
            <control shapeId="799302" r:id="rId11" name="Go To Equipment Table">
              <controlPr defaultSize="0" print="0" autoFill="0" autoPict="0" macro="[0]!Go_To_Equipment_Table">
                <anchor>
                  <from>
                    <xdr:col>2</xdr:col>
                    <xdr:colOff>787400</xdr:colOff>
                    <xdr:row>0</xdr:row>
                    <xdr:rowOff>127000</xdr:rowOff>
                  </from>
                  <to>
                    <xdr:col>3</xdr:col>
                    <xdr:colOff>1054100</xdr:colOff>
                    <xdr:row>0</xdr:row>
                    <xdr:rowOff>381000</xdr:rowOff>
                  </to>
                </anchor>
              </controlPr>
            </control>
          </mc:Choice>
        </mc:AlternateContent>
        <mc:AlternateContent xmlns:mc="http://schemas.openxmlformats.org/markup-compatibility/2006">
          <mc:Choice Requires="x14">
            <control shapeId="799504" r:id="rId12" name="Sort">
              <controlPr defaultSize="0" print="0" autoFill="0" autoPict="0" macro="[0]!Sort_Scenario_Results">
                <anchor>
                  <from>
                    <xdr:col>2</xdr:col>
                    <xdr:colOff>787400</xdr:colOff>
                    <xdr:row>0</xdr:row>
                    <xdr:rowOff>457200</xdr:rowOff>
                  </from>
                  <to>
                    <xdr:col>3</xdr:col>
                    <xdr:colOff>44450</xdr:colOff>
                    <xdr:row>0</xdr:row>
                    <xdr:rowOff>914400</xdr:rowOff>
                  </to>
                </anchor>
              </controlPr>
            </control>
          </mc:Choice>
        </mc:AlternateContent>
        <mc:AlternateContent xmlns:mc="http://schemas.openxmlformats.org/markup-compatibility/2006">
          <mc:Choice Requires="x14">
            <control shapeId="1273994" r:id="rId13" name="Scenario_Identification">
              <controlPr defaultSize="0" print="0" autoFill="0" autoPict="0" macro="[0]!Go_To_Scenario_List">
                <anchor moveWithCells="1" sizeWithCells="1">
                  <from>
                    <xdr:col>3</xdr:col>
                    <xdr:colOff>1155700</xdr:colOff>
                    <xdr:row>0</xdr:row>
                    <xdr:rowOff>114300</xdr:rowOff>
                  </from>
                  <to>
                    <xdr:col>4</xdr:col>
                    <xdr:colOff>679450</xdr:colOff>
                    <xdr:row>0</xdr:row>
                    <xdr:rowOff>374650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tabColor rgb="FFFF0000"/>
  </sheetPr>
  <dimension ref="A1:U70"/>
  <sheetViews>
    <sheetView showRowColHeaders="0" zoomScale="90" zoomScaleNormal="90" workbookViewId="0">
      <selection activeCell="F13" sqref="F13"/>
    </sheetView>
  </sheetViews>
  <sheetFormatPr defaultColWidth="9.1796875" defaultRowHeight="13" x14ac:dyDescent="0.3"/>
  <cols>
    <col min="1" max="1" width="3.453125" style="751" customWidth="1"/>
    <col min="2" max="9" width="10.81640625" style="751" customWidth="1"/>
    <col min="10" max="10" width="5.81640625" style="751" customWidth="1"/>
    <col min="11" max="11" width="2.1796875" style="750" customWidth="1"/>
    <col min="12" max="12" width="5.81640625" style="751" customWidth="1"/>
    <col min="13" max="20" width="10.81640625" style="751" customWidth="1"/>
    <col min="21" max="21" width="2.81640625" style="751" customWidth="1"/>
    <col min="22" max="16384" width="9.1796875" style="751"/>
  </cols>
  <sheetData>
    <row r="1" spans="1:21" x14ac:dyDescent="0.3">
      <c r="A1" s="749"/>
      <c r="B1" s="749"/>
      <c r="C1" s="749"/>
      <c r="D1" s="749"/>
      <c r="E1" s="749"/>
      <c r="F1" s="749"/>
      <c r="G1" s="749"/>
      <c r="H1" s="749"/>
      <c r="I1" s="749"/>
      <c r="J1" s="749"/>
      <c r="L1" s="749"/>
      <c r="M1" s="749"/>
      <c r="N1" s="749"/>
      <c r="O1" s="749"/>
      <c r="P1" s="749"/>
      <c r="Q1" s="749"/>
      <c r="R1" s="749"/>
      <c r="S1" s="749"/>
      <c r="T1" s="749"/>
      <c r="U1" s="749"/>
    </row>
    <row r="2" spans="1:21" ht="15.5" x14ac:dyDescent="0.35">
      <c r="A2" s="749"/>
      <c r="B2" s="4145" t="s">
        <v>2563</v>
      </c>
      <c r="C2" s="4145"/>
      <c r="D2" s="4145"/>
      <c r="E2" s="4145"/>
      <c r="F2" s="4145"/>
      <c r="G2" s="4145"/>
      <c r="H2" s="4146"/>
      <c r="I2" s="4146"/>
      <c r="J2" s="752"/>
      <c r="K2" s="753"/>
      <c r="L2" s="749"/>
      <c r="M2" s="4145" t="s">
        <v>2562</v>
      </c>
      <c r="N2" s="4145"/>
      <c r="O2" s="4145"/>
      <c r="P2" s="4145"/>
      <c r="Q2" s="4145"/>
      <c r="R2" s="4145"/>
      <c r="S2" s="4146"/>
      <c r="T2" s="4146"/>
      <c r="U2" s="749"/>
    </row>
    <row r="3" spans="1:21" x14ac:dyDescent="0.3">
      <c r="A3" s="749"/>
      <c r="B3" s="4150" t="s">
        <v>2050</v>
      </c>
      <c r="C3" s="4150"/>
      <c r="D3" s="4150"/>
      <c r="E3" s="4150"/>
      <c r="F3" s="4150"/>
      <c r="G3" s="4150"/>
      <c r="H3" s="4150"/>
      <c r="I3" s="4150"/>
      <c r="J3" s="749"/>
      <c r="K3" s="768"/>
      <c r="L3" s="749"/>
      <c r="M3" s="4150" t="s">
        <v>2050</v>
      </c>
      <c r="N3" s="4150"/>
      <c r="O3" s="4150"/>
      <c r="P3" s="4150"/>
      <c r="Q3" s="4150"/>
      <c r="R3" s="4150"/>
      <c r="S3" s="4150"/>
      <c r="T3" s="4150"/>
      <c r="U3" s="749"/>
    </row>
    <row r="4" spans="1:21" x14ac:dyDescent="0.3">
      <c r="A4" s="749"/>
      <c r="B4" s="754"/>
      <c r="C4" s="754"/>
      <c r="D4" s="755"/>
      <c r="E4" s="755" t="s">
        <v>2323</v>
      </c>
      <c r="F4" s="4147">
        <f>Equipment_Tag</f>
        <v>0</v>
      </c>
      <c r="G4" s="4148"/>
      <c r="H4" s="749"/>
      <c r="I4" s="749"/>
      <c r="J4" s="749"/>
      <c r="L4" s="749"/>
      <c r="M4" s="749"/>
      <c r="N4" s="754"/>
      <c r="O4" s="755"/>
      <c r="P4" s="755" t="s">
        <v>2323</v>
      </c>
      <c r="Q4" s="4147">
        <f>Equipment_Tag</f>
        <v>0</v>
      </c>
      <c r="R4" s="4148"/>
      <c r="S4" s="749"/>
      <c r="T4" s="749"/>
      <c r="U4" s="749"/>
    </row>
    <row r="5" spans="1:21" x14ac:dyDescent="0.3">
      <c r="A5" s="749"/>
      <c r="B5" s="754"/>
      <c r="C5" s="754"/>
      <c r="D5" s="755"/>
      <c r="E5" s="755" t="s">
        <v>2328</v>
      </c>
      <c r="F5" s="4147">
        <f>Equipment</f>
        <v>0</v>
      </c>
      <c r="G5" s="4148"/>
      <c r="H5" s="749"/>
      <c r="I5" s="749"/>
      <c r="J5" s="749"/>
      <c r="L5" s="749"/>
      <c r="M5" s="749"/>
      <c r="N5" s="754"/>
      <c r="O5" s="755"/>
      <c r="P5" s="755" t="s">
        <v>2328</v>
      </c>
      <c r="Q5" s="4147">
        <f>Equipment</f>
        <v>0</v>
      </c>
      <c r="R5" s="4148"/>
      <c r="S5" s="749"/>
      <c r="T5" s="749"/>
      <c r="U5" s="749"/>
    </row>
    <row r="6" spans="1:21" x14ac:dyDescent="0.3">
      <c r="A6" s="749"/>
      <c r="B6" s="754"/>
      <c r="C6" s="754"/>
      <c r="D6" s="754"/>
      <c r="E6" s="755" t="s">
        <v>2591</v>
      </c>
      <c r="F6" s="760">
        <f>IF(Relief_Set=0,1.01325*MAWP,1.01325*Relief_Set)</f>
        <v>0</v>
      </c>
      <c r="G6" s="749" t="s">
        <v>2985</v>
      </c>
      <c r="H6" s="749"/>
      <c r="I6" s="749"/>
      <c r="J6" s="749"/>
      <c r="L6" s="749"/>
      <c r="M6" s="749"/>
      <c r="N6" s="754"/>
      <c r="O6" s="749"/>
      <c r="P6" s="749"/>
      <c r="Q6" s="749"/>
      <c r="R6" s="749"/>
      <c r="S6" s="749"/>
      <c r="T6" s="749"/>
      <c r="U6" s="749"/>
    </row>
    <row r="7" spans="1:21" x14ac:dyDescent="0.3">
      <c r="A7" s="749"/>
      <c r="B7" s="749"/>
      <c r="C7" s="749"/>
      <c r="D7" s="749"/>
      <c r="E7" s="749"/>
      <c r="F7" s="749"/>
      <c r="G7" s="749"/>
      <c r="H7" s="749"/>
      <c r="I7" s="749"/>
      <c r="J7" s="749"/>
      <c r="L7" s="749"/>
      <c r="M7" s="4146" t="s">
        <v>2993</v>
      </c>
      <c r="N7" s="4146"/>
      <c r="O7" s="4146"/>
      <c r="P7" s="4146"/>
      <c r="Q7" s="4146"/>
      <c r="R7" s="4146"/>
      <c r="S7" s="4146"/>
      <c r="T7" s="4146"/>
      <c r="U7" s="749"/>
    </row>
    <row r="8" spans="1:21" x14ac:dyDescent="0.3">
      <c r="A8" s="553"/>
      <c r="B8" s="4154" t="s">
        <v>3492</v>
      </c>
      <c r="C8" s="4154"/>
      <c r="D8" s="4154"/>
      <c r="E8" s="4154"/>
      <c r="F8" s="4154"/>
      <c r="G8" s="4154"/>
      <c r="H8" s="4154"/>
      <c r="I8" s="4154"/>
      <c r="J8" s="3609"/>
      <c r="L8" s="749"/>
      <c r="M8" s="4146"/>
      <c r="N8" s="4146"/>
      <c r="O8" s="4146"/>
      <c r="P8" s="4146"/>
      <c r="Q8" s="4146"/>
      <c r="R8" s="4146"/>
      <c r="S8" s="4146"/>
      <c r="T8" s="4146"/>
      <c r="U8" s="749"/>
    </row>
    <row r="9" spans="1:21" x14ac:dyDescent="0.3">
      <c r="A9" s="553"/>
      <c r="B9" s="4154"/>
      <c r="C9" s="4154"/>
      <c r="D9" s="4154"/>
      <c r="E9" s="4154"/>
      <c r="F9" s="4154"/>
      <c r="G9" s="4154"/>
      <c r="H9" s="4154"/>
      <c r="I9" s="4154"/>
      <c r="J9" s="3609"/>
      <c r="L9" s="553"/>
      <c r="M9" s="553"/>
      <c r="N9" s="553"/>
      <c r="O9" s="553"/>
      <c r="P9" s="553"/>
      <c r="Q9" s="553"/>
      <c r="R9" s="553"/>
      <c r="S9" s="553"/>
      <c r="T9" s="553"/>
      <c r="U9" s="553"/>
    </row>
    <row r="10" spans="1:21" x14ac:dyDescent="0.3">
      <c r="A10" s="770"/>
      <c r="B10" s="4154"/>
      <c r="C10" s="4154"/>
      <c r="D10" s="4154"/>
      <c r="E10" s="4154"/>
      <c r="F10" s="4154"/>
      <c r="G10" s="4154"/>
      <c r="H10" s="4154"/>
      <c r="I10" s="4154"/>
      <c r="J10" s="3609"/>
      <c r="L10" s="553"/>
      <c r="M10" s="553" t="s">
        <v>2564</v>
      </c>
      <c r="N10" s="553"/>
      <c r="O10" s="553"/>
      <c r="P10" s="553"/>
      <c r="Q10" s="553"/>
      <c r="R10" s="553"/>
      <c r="S10" s="553"/>
      <c r="T10" s="553"/>
      <c r="U10" s="553"/>
    </row>
    <row r="11" spans="1:21" x14ac:dyDescent="0.3">
      <c r="A11" s="553"/>
      <c r="B11" s="553"/>
      <c r="C11" s="553"/>
      <c r="D11" s="553"/>
      <c r="E11" s="553"/>
      <c r="F11" s="553"/>
      <c r="G11" s="553"/>
      <c r="H11" s="553"/>
      <c r="I11" s="553"/>
      <c r="J11" s="553"/>
      <c r="L11" s="553"/>
      <c r="M11" s="4151" t="s">
        <v>5251</v>
      </c>
      <c r="N11" s="4151"/>
      <c r="O11" s="4151"/>
      <c r="P11" s="4151"/>
      <c r="Q11" s="4151"/>
      <c r="R11" s="4151"/>
      <c r="S11" s="4151"/>
      <c r="T11" s="4151"/>
      <c r="U11" s="553"/>
    </row>
    <row r="12" spans="1:21" ht="13.5" thickBot="1" x14ac:dyDescent="0.35">
      <c r="A12" s="553"/>
      <c r="B12" s="553"/>
      <c r="C12" s="771" t="s">
        <v>2588</v>
      </c>
      <c r="D12" s="553"/>
      <c r="E12" s="553"/>
      <c r="F12" s="772" t="s">
        <v>2587</v>
      </c>
      <c r="G12" s="772" t="s">
        <v>2561</v>
      </c>
      <c r="H12" s="553"/>
      <c r="I12" s="553"/>
      <c r="J12" s="553"/>
      <c r="L12" s="553"/>
      <c r="M12" s="4151"/>
      <c r="N12" s="4151"/>
      <c r="O12" s="4151"/>
      <c r="P12" s="4151"/>
      <c r="Q12" s="4151"/>
      <c r="R12" s="4151"/>
      <c r="S12" s="4151"/>
      <c r="T12" s="4151"/>
      <c r="U12" s="553"/>
    </row>
    <row r="13" spans="1:21" ht="13.5" thickBot="1" x14ac:dyDescent="0.35">
      <c r="A13" s="553"/>
      <c r="B13" s="553"/>
      <c r="C13" s="553"/>
      <c r="D13" s="553"/>
      <c r="E13" s="555" t="s">
        <v>2569</v>
      </c>
      <c r="F13" s="905"/>
      <c r="G13" s="553"/>
      <c r="H13" s="553" t="s">
        <v>2570</v>
      </c>
      <c r="I13" s="553"/>
      <c r="J13" s="553"/>
      <c r="L13" s="553"/>
      <c r="M13" s="4151" t="s">
        <v>3096</v>
      </c>
      <c r="N13" s="4152"/>
      <c r="O13" s="4152"/>
      <c r="P13" s="4152"/>
      <c r="Q13" s="4152"/>
      <c r="R13" s="4152"/>
      <c r="S13" s="4152"/>
      <c r="T13" s="4152"/>
      <c r="U13" s="783"/>
    </row>
    <row r="14" spans="1:21" ht="13.5" thickBot="1" x14ac:dyDescent="0.35">
      <c r="A14" s="553"/>
      <c r="B14" s="553"/>
      <c r="C14" s="553"/>
      <c r="D14" s="553"/>
      <c r="E14" s="555" t="s">
        <v>2607</v>
      </c>
      <c r="F14" s="906"/>
      <c r="G14" s="553"/>
      <c r="H14" s="553" t="s">
        <v>2541</v>
      </c>
      <c r="I14" s="553"/>
      <c r="J14" s="553"/>
      <c r="L14" s="553"/>
      <c r="M14" s="4151"/>
      <c r="N14" s="4152"/>
      <c r="O14" s="4152"/>
      <c r="P14" s="4152"/>
      <c r="Q14" s="4152"/>
      <c r="R14" s="4152"/>
      <c r="S14" s="4152"/>
      <c r="T14" s="4152"/>
      <c r="U14" s="783"/>
    </row>
    <row r="15" spans="1:21" x14ac:dyDescent="0.3">
      <c r="A15" s="553"/>
      <c r="B15" s="553"/>
      <c r="C15" s="553"/>
      <c r="D15" s="553"/>
      <c r="E15" s="554" t="s">
        <v>2658</v>
      </c>
      <c r="F15" s="904">
        <f>Max_ContainedMass</f>
        <v>0</v>
      </c>
      <c r="G15" s="553"/>
      <c r="H15" s="553" t="s">
        <v>2571</v>
      </c>
      <c r="I15" s="553"/>
      <c r="J15" s="553"/>
      <c r="L15" s="553"/>
      <c r="M15" s="4152"/>
      <c r="N15" s="4152"/>
      <c r="O15" s="4152"/>
      <c r="P15" s="4152"/>
      <c r="Q15" s="4152"/>
      <c r="R15" s="4152"/>
      <c r="S15" s="4152"/>
      <c r="T15" s="4152"/>
      <c r="U15" s="783"/>
    </row>
    <row r="16" spans="1:21" ht="12.75" customHeight="1" x14ac:dyDescent="0.3">
      <c r="A16" s="553"/>
      <c r="B16" s="553"/>
      <c r="C16" s="553"/>
      <c r="D16" s="553"/>
      <c r="E16" s="554" t="s">
        <v>2593</v>
      </c>
      <c r="F16" s="758">
        <f>1.01325*Max_Feed_P</f>
        <v>1.01325E-3</v>
      </c>
      <c r="G16" s="758">
        <f>1.01325*Downstr_P</f>
        <v>0</v>
      </c>
      <c r="H16" s="553" t="s">
        <v>2987</v>
      </c>
      <c r="I16" s="553"/>
      <c r="J16" s="553"/>
      <c r="L16" s="553"/>
      <c r="M16" s="4151" t="s">
        <v>3097</v>
      </c>
      <c r="N16" s="4152"/>
      <c r="O16" s="4152"/>
      <c r="P16" s="4152"/>
      <c r="Q16" s="4152"/>
      <c r="R16" s="4152"/>
      <c r="S16" s="4152"/>
      <c r="T16" s="4152"/>
      <c r="U16" s="783"/>
    </row>
    <row r="17" spans="1:21" ht="12.75" customHeight="1" x14ac:dyDescent="0.3">
      <c r="A17" s="553"/>
      <c r="B17" s="553"/>
      <c r="C17" s="553"/>
      <c r="D17" s="553"/>
      <c r="E17" s="554" t="s">
        <v>5250</v>
      </c>
      <c r="F17" s="760">
        <f>Feedrate*60</f>
        <v>0</v>
      </c>
      <c r="G17" s="761">
        <f>Backflow*60</f>
        <v>0</v>
      </c>
      <c r="H17" s="553" t="s">
        <v>2608</v>
      </c>
      <c r="I17" s="553"/>
      <c r="J17" s="553"/>
      <c r="L17" s="553"/>
      <c r="M17" s="4152"/>
      <c r="N17" s="4152"/>
      <c r="O17" s="4152"/>
      <c r="P17" s="4152"/>
      <c r="Q17" s="4152"/>
      <c r="R17" s="4152"/>
      <c r="S17" s="4152"/>
      <c r="T17" s="4152"/>
      <c r="U17" s="783"/>
    </row>
    <row r="18" spans="1:21" x14ac:dyDescent="0.3">
      <c r="A18" s="553"/>
      <c r="B18" s="553"/>
      <c r="C18" s="553"/>
      <c r="D18" s="553"/>
      <c r="E18" s="554" t="s">
        <v>2609</v>
      </c>
      <c r="F18" s="766">
        <f>IF(AND(F14&lt;&gt;"",F15&gt;0),F14*F17/F15,0)</f>
        <v>0</v>
      </c>
      <c r="G18" s="765">
        <f>IF(AND(F14&lt;&gt;"",F15&gt;0),F14*G17/F15,0)</f>
        <v>0</v>
      </c>
      <c r="H18" s="553" t="s">
        <v>2570</v>
      </c>
      <c r="I18" s="553"/>
      <c r="J18" s="553"/>
      <c r="L18" s="553"/>
      <c r="M18" s="4153"/>
      <c r="N18" s="4153"/>
      <c r="O18" s="4153"/>
      <c r="P18" s="4153"/>
      <c r="Q18" s="4153"/>
      <c r="R18" s="4153"/>
      <c r="S18" s="4153"/>
      <c r="T18" s="4153"/>
      <c r="U18" s="783"/>
    </row>
    <row r="19" spans="1:21" x14ac:dyDescent="0.3">
      <c r="A19" s="553"/>
      <c r="B19" s="553"/>
      <c r="C19" s="553"/>
      <c r="D19" s="553"/>
      <c r="E19" s="555" t="s">
        <v>2610</v>
      </c>
      <c r="F19" s="762" t="str">
        <f>IF(OR(Equipment="Pump",Equipment="Piping",Equipment="Compressor or Blower",F17=0),"",(1-F13-F18)*Max_ContainedMass/(F17))</f>
        <v/>
      </c>
      <c r="G19" s="762" t="str">
        <f>IF(OR(Equipment="Pump",Equipment="Piping",Equipment="Compressor or Blower",G17=0),"",(1-F13-G18)*Max_ContainedMass/(G17))</f>
        <v/>
      </c>
      <c r="H19" s="776" t="s">
        <v>2541</v>
      </c>
      <c r="I19" s="553"/>
      <c r="J19" s="553"/>
      <c r="L19" s="553"/>
      <c r="M19" s="553"/>
      <c r="N19" s="553"/>
      <c r="O19" s="553"/>
      <c r="P19" s="553"/>
      <c r="Q19" s="553"/>
      <c r="R19" s="553"/>
      <c r="S19" s="553"/>
      <c r="T19" s="553"/>
      <c r="U19" s="553"/>
    </row>
    <row r="20" spans="1:21" ht="13.5" thickBot="1" x14ac:dyDescent="0.35">
      <c r="A20" s="553"/>
      <c r="B20" s="553"/>
      <c r="C20" s="553"/>
      <c r="D20" s="773" t="str">
        <f>IF(F16&lt;F6,"Source Pressure less than Relief Set or MAWP - Overflow May Not Occur","")</f>
        <v/>
      </c>
      <c r="E20" s="553"/>
      <c r="F20" s="553"/>
      <c r="G20" s="553"/>
      <c r="H20" s="553"/>
      <c r="I20" s="553"/>
      <c r="J20" s="553"/>
      <c r="L20" s="553"/>
      <c r="M20" s="771" t="s">
        <v>3098</v>
      </c>
      <c r="N20" s="553"/>
      <c r="O20" s="553"/>
      <c r="P20" s="553"/>
      <c r="Q20" s="553"/>
      <c r="R20" s="553"/>
      <c r="S20" s="553"/>
      <c r="T20" s="553"/>
      <c r="U20" s="553"/>
    </row>
    <row r="21" spans="1:21" ht="13.5" thickBot="1" x14ac:dyDescent="0.35">
      <c r="A21" s="553"/>
      <c r="B21" s="553"/>
      <c r="C21" s="553"/>
      <c r="D21" s="773" t="str">
        <f>IF(G16&lt;F6,"Source Pressure less than Relief Set or MAWP - Backflow May Not Occur","")</f>
        <v/>
      </c>
      <c r="E21" s="553"/>
      <c r="F21" s="553"/>
      <c r="G21" s="553"/>
      <c r="H21" s="553"/>
      <c r="I21" s="553"/>
      <c r="J21" s="553"/>
      <c r="L21" s="553"/>
      <c r="M21" s="553"/>
      <c r="N21" s="771"/>
      <c r="O21" s="553"/>
      <c r="P21" s="553"/>
      <c r="Q21" s="346" t="s">
        <v>2630</v>
      </c>
      <c r="R21" s="909"/>
      <c r="S21" s="553" t="s">
        <v>3160</v>
      </c>
      <c r="T21" s="553"/>
      <c r="U21" s="553"/>
    </row>
    <row r="22" spans="1:21" ht="15" x14ac:dyDescent="0.3">
      <c r="A22" s="553"/>
      <c r="B22" s="553"/>
      <c r="C22" s="553"/>
      <c r="D22" s="553"/>
      <c r="E22" s="553"/>
      <c r="F22" s="553"/>
      <c r="G22" s="553"/>
      <c r="H22" s="553"/>
      <c r="I22" s="553"/>
      <c r="J22" s="553"/>
      <c r="L22" s="553"/>
      <c r="M22" s="553"/>
      <c r="N22" s="771"/>
      <c r="O22" s="553"/>
      <c r="P22" s="553"/>
      <c r="Q22" s="346" t="s">
        <v>2631</v>
      </c>
      <c r="R22" s="908">
        <f>Enclosed_Process_Volume</f>
        <v>0</v>
      </c>
      <c r="S22" s="553" t="s">
        <v>2632</v>
      </c>
      <c r="T22" s="553"/>
      <c r="U22" s="553"/>
    </row>
    <row r="23" spans="1:21" ht="13.5" thickBot="1" x14ac:dyDescent="0.35">
      <c r="A23" s="553"/>
      <c r="B23" s="553"/>
      <c r="C23" s="771" t="s">
        <v>2656</v>
      </c>
      <c r="D23" s="553"/>
      <c r="E23" s="553"/>
      <c r="F23" s="553"/>
      <c r="G23" s="553"/>
      <c r="H23" s="553"/>
      <c r="I23" s="553"/>
      <c r="J23" s="553"/>
      <c r="L23" s="553"/>
      <c r="M23" s="553"/>
      <c r="N23" s="553"/>
      <c r="O23" s="345"/>
      <c r="P23" s="345"/>
      <c r="Q23" s="346" t="s">
        <v>4551</v>
      </c>
      <c r="R23" s="593" t="str">
        <f>ER3_Mix</f>
        <v/>
      </c>
      <c r="S23" s="553" t="s">
        <v>979</v>
      </c>
      <c r="T23" s="553"/>
      <c r="U23" s="553"/>
    </row>
    <row r="24" spans="1:21" ht="13.5" thickBot="1" x14ac:dyDescent="0.35">
      <c r="A24" s="553"/>
      <c r="B24" s="553"/>
      <c r="C24" s="553"/>
      <c r="D24" s="553"/>
      <c r="E24" s="555" t="s">
        <v>2596</v>
      </c>
      <c r="F24" s="906"/>
      <c r="G24" s="553" t="s">
        <v>2986</v>
      </c>
      <c r="H24" s="553"/>
      <c r="I24" s="553"/>
      <c r="J24" s="553"/>
      <c r="L24" s="553"/>
      <c r="M24" s="553"/>
      <c r="N24" s="553"/>
      <c r="O24" s="553"/>
      <c r="P24" s="345"/>
      <c r="Q24" s="346" t="s">
        <v>2628</v>
      </c>
      <c r="R24" s="593" t="str">
        <f>LFL_Mix</f>
        <v/>
      </c>
      <c r="S24" s="553" t="s">
        <v>980</v>
      </c>
      <c r="T24" s="553"/>
      <c r="U24" s="553"/>
    </row>
    <row r="25" spans="1:21" ht="13.5" thickBot="1" x14ac:dyDescent="0.35">
      <c r="A25" s="553"/>
      <c r="B25" s="553"/>
      <c r="C25" s="553"/>
      <c r="D25" s="553"/>
      <c r="E25" s="555" t="s">
        <v>2607</v>
      </c>
      <c r="F25" s="906"/>
      <c r="G25" s="553" t="s">
        <v>2541</v>
      </c>
      <c r="H25" s="553"/>
      <c r="I25" s="553"/>
      <c r="J25" s="553"/>
      <c r="L25" s="553"/>
      <c r="M25" s="553"/>
      <c r="N25" s="553"/>
      <c r="O25" s="553"/>
      <c r="P25" s="345"/>
      <c r="Q25" s="346" t="s">
        <v>2629</v>
      </c>
      <c r="R25" s="790">
        <f>IF(OR(Mw_Feed=0,Liq_rho=0),0,IF(76.6*Mw_Feed^0.67*IF(R21="Indoors",0.17,2.36)*Psat/(Liq_rho*(T+273))&lt;1-Fv,Fv+76.6*Mw_Feed^0.67*IF(R21="Indoors",0.17,2.36)*Psat/(Liq_rho*(T+273)),1))</f>
        <v>0</v>
      </c>
      <c r="S25" s="553"/>
      <c r="T25" s="553"/>
      <c r="U25" s="553"/>
    </row>
    <row r="26" spans="1:21" x14ac:dyDescent="0.3">
      <c r="A26" s="553"/>
      <c r="B26" s="553"/>
      <c r="C26" s="553"/>
      <c r="D26" s="553"/>
      <c r="E26" s="554" t="s">
        <v>2589</v>
      </c>
      <c r="F26" s="907">
        <f>1.01325*P</f>
        <v>1.01325E-3</v>
      </c>
      <c r="G26" s="553" t="s">
        <v>2986</v>
      </c>
      <c r="H26" s="553"/>
      <c r="I26" s="553"/>
      <c r="J26" s="553"/>
      <c r="L26" s="553"/>
      <c r="M26" s="553"/>
      <c r="N26" s="553"/>
      <c r="O26" s="553"/>
      <c r="P26" s="553"/>
      <c r="Q26" s="555" t="str">
        <f>IF(R21="Indoors","Maximum Allowable Leak Rate for Indoor Concentration &lt; ER-3: ","Maximum Allowable Leak Rate for time-scaled LC-50 &lt; "&amp;HD_Severe_Impact&amp;" m: ")</f>
        <v xml:space="preserve">Maximum Allowable Leak Rate for time-scaled LC-50 &lt; 3 m: </v>
      </c>
      <c r="R26" s="803" t="str">
        <f>IF(OR(ER3_Mix="",R25=0),"",IF(R21="Indoors",ER3_Mix*0.001*Vap_rho_atAmbient*Enclosed_Process_Volume/(60*R25),IF(1000000/(LC50_Mix*(60/OnSite_Limit)^(1/2))&gt;1,60*((HD_Severe_Impact+'Release Calculations'!P129)/'Release Calculations'!P127)^(1/'Release Calculations'!P128)*Wind*Mw_Mix/(1000000/(LC50_Mix*(60/OnSite_Limit)^(1/2))-1)/R25,"")))</f>
        <v/>
      </c>
      <c r="S26" s="776" t="str">
        <f>IF(R21="Indoors"," Kg/min at 1 Air Change / hr"," Kg/min")</f>
        <v xml:space="preserve"> Kg/min</v>
      </c>
      <c r="T26" s="553"/>
      <c r="U26" s="553"/>
    </row>
    <row r="27" spans="1:21" x14ac:dyDescent="0.3">
      <c r="A27" s="553"/>
      <c r="B27" s="553"/>
      <c r="C27" s="553"/>
      <c r="D27" s="553"/>
      <c r="E27" s="554" t="s">
        <v>2590</v>
      </c>
      <c r="F27" s="758">
        <f>Inert_FeedRate*60</f>
        <v>0</v>
      </c>
      <c r="G27" s="553" t="s">
        <v>2608</v>
      </c>
      <c r="H27" s="553"/>
      <c r="I27" s="553"/>
      <c r="J27" s="553"/>
      <c r="L27" s="553"/>
      <c r="M27" s="553"/>
      <c r="N27" s="553"/>
      <c r="O27" s="553"/>
      <c r="P27" s="553"/>
      <c r="Q27" s="555" t="str">
        <f>IF(R21="Indoors","Maximum Allowable Leak Rate for Indoor Concentration &lt; 0.1 LFL: ","Maximum Allowable Leak Rate for "&amp;LFL_Fract_FlashFIre&amp;" LFL &lt; "&amp;HD_Severe_Impact&amp;" m: ")</f>
        <v xml:space="preserve">Maximum Allowable Leak Rate for 0.5 LFL &lt; 3 m: </v>
      </c>
      <c r="R27" s="1302" t="str">
        <f>IF(OR(LFL_Mix="",R25=0),"",IF(R21="Indoors",LFL_Mix*1*Vap_rho_atAmbient*Enclosed_Process_Volume/(60*R25),IF(100/(LFL_Mix*LFL_Fract_FlashFIre)&gt;1,60*((HD_Severe_Impact+'Release Calculations'!P129)/'Release Calculations'!P127)^(1/'Release Calculations'!P128)*Wind*Mw_Mix/(AvgTime_Correction*100/(LFL_Mix*LFL_Fract_FlashFIre)-1)/R25,"")))</f>
        <v/>
      </c>
      <c r="S27" s="776" t="str">
        <f>IF(R21="Indoors"," Kg/min at 1 Air Change / hr"," Kg/min")</f>
        <v xml:space="preserve"> Kg/min</v>
      </c>
      <c r="T27" s="553"/>
      <c r="U27" s="553"/>
    </row>
    <row r="28" spans="1:21" x14ac:dyDescent="0.3">
      <c r="A28" s="553"/>
      <c r="B28" s="553"/>
      <c r="C28" s="553"/>
      <c r="D28" s="553"/>
      <c r="E28" s="554" t="s">
        <v>2592</v>
      </c>
      <c r="F28" s="758">
        <f>1.01325*Max_Inert_P</f>
        <v>1.01325E-3</v>
      </c>
      <c r="G28" s="553" t="s">
        <v>2986</v>
      </c>
      <c r="H28" s="553"/>
      <c r="I28" s="553"/>
      <c r="J28" s="553"/>
      <c r="L28" s="553"/>
      <c r="M28" s="553"/>
      <c r="N28" s="553"/>
      <c r="O28" s="553"/>
      <c r="P28" s="553"/>
      <c r="Q28" s="555" t="str">
        <f>IF(R21="Indoors","Maximum Allowable Leak Rate for Asphyxiation at 19.5 % Oxygen: ","")</f>
        <v/>
      </c>
      <c r="R28" s="1303" t="str">
        <f>IF(R21="Indoors",0.0714*1000*Vap_rho_atAmbient*Enclosed_Process_Volume/(60*R25),"")</f>
        <v/>
      </c>
      <c r="S28" s="776" t="str">
        <f>IF(R21="Indoors"," Kg/min at 1 Air Change / hr","")</f>
        <v/>
      </c>
      <c r="T28" s="553"/>
      <c r="U28" s="553"/>
    </row>
    <row r="29" spans="1:21" x14ac:dyDescent="0.3">
      <c r="A29" s="553"/>
      <c r="B29" s="553"/>
      <c r="C29" s="553"/>
      <c r="D29" s="553"/>
      <c r="E29" s="554" t="s">
        <v>2567</v>
      </c>
      <c r="F29" s="759">
        <f>Volume</f>
        <v>0</v>
      </c>
      <c r="G29" s="553" t="s">
        <v>2595</v>
      </c>
      <c r="H29" s="553"/>
      <c r="I29" s="553"/>
      <c r="J29" s="553"/>
      <c r="L29" s="553"/>
      <c r="M29" s="553"/>
      <c r="N29" s="553"/>
      <c r="O29" s="553"/>
      <c r="P29" s="553"/>
      <c r="Q29" s="553"/>
      <c r="R29" s="553"/>
      <c r="S29" s="553"/>
      <c r="T29" s="553"/>
      <c r="U29" s="553"/>
    </row>
    <row r="30" spans="1:21" ht="12" customHeight="1" x14ac:dyDescent="0.3">
      <c r="A30" s="553"/>
      <c r="B30" s="553"/>
      <c r="C30" s="553"/>
      <c r="D30" s="553"/>
      <c r="E30" s="554" t="s">
        <v>2654</v>
      </c>
      <c r="F30" s="806">
        <f>IF(State="Vapor",0,Effective_Fill_Fract)</f>
        <v>0.8</v>
      </c>
      <c r="G30" s="553"/>
      <c r="H30" s="553"/>
      <c r="I30" s="553"/>
      <c r="J30" s="553"/>
      <c r="L30" s="553"/>
      <c r="M30" s="771"/>
      <c r="N30" s="553"/>
      <c r="O30" s="553"/>
      <c r="P30" s="553"/>
      <c r="Q30" s="4156" t="s">
        <v>3152</v>
      </c>
      <c r="R30" s="4156"/>
      <c r="S30" s="553"/>
      <c r="T30" s="553"/>
      <c r="U30" s="553"/>
    </row>
    <row r="31" spans="1:21" x14ac:dyDescent="0.3">
      <c r="A31" s="553"/>
      <c r="B31" s="553"/>
      <c r="C31" s="553"/>
      <c r="D31" s="553"/>
      <c r="E31" s="554" t="s">
        <v>2609</v>
      </c>
      <c r="F31" s="766">
        <f>IF(AND(F25&lt;&gt;"",Volume&gt;0),F25*82.06*F27*(T+273)/((1-F30)*Volume*Pad_MW),0)</f>
        <v>0</v>
      </c>
      <c r="G31" s="553" t="s">
        <v>2594</v>
      </c>
      <c r="H31" s="553"/>
      <c r="I31" s="553"/>
      <c r="J31" s="553"/>
      <c r="L31" s="553"/>
      <c r="M31" s="771" t="s">
        <v>3099</v>
      </c>
      <c r="N31" s="771"/>
      <c r="O31" s="783"/>
      <c r="P31" s="783"/>
      <c r="Q31" s="4157"/>
      <c r="R31" s="4157"/>
      <c r="S31" s="783"/>
      <c r="T31" s="783"/>
      <c r="U31" s="783"/>
    </row>
    <row r="32" spans="1:21" x14ac:dyDescent="0.3">
      <c r="A32" s="553"/>
      <c r="B32" s="553"/>
      <c r="C32" s="553"/>
      <c r="D32" s="553"/>
      <c r="E32" s="555" t="s">
        <v>2610</v>
      </c>
      <c r="F32" s="762" t="str">
        <f>IF(OR(Equipment="Pump",Equipment="Piping",Equipment="Compressor or Blower",Inert_FeedRate=0),"",(Pad_MW*(1-F30)*Volume*1.01325*(F6-F24-F31)/(82.06*(T+273)))/F27)</f>
        <v/>
      </c>
      <c r="G32" s="776" t="s">
        <v>2541</v>
      </c>
      <c r="H32" s="553"/>
      <c r="I32" s="553"/>
      <c r="J32" s="553"/>
      <c r="L32" s="553"/>
      <c r="M32" s="783"/>
      <c r="N32" s="771"/>
      <c r="O32" s="783"/>
      <c r="P32" s="783"/>
      <c r="Q32" s="3609"/>
      <c r="R32" s="3609"/>
      <c r="S32" s="783"/>
      <c r="T32" s="783"/>
      <c r="U32" s="783"/>
    </row>
    <row r="33" spans="1:21" ht="15" x14ac:dyDescent="0.3">
      <c r="A33" s="553"/>
      <c r="B33" s="553"/>
      <c r="C33" s="553"/>
      <c r="D33" s="773" t="str">
        <f>IF(F28&lt;F6,"Source Pressure less than Relief Set or MAWP - Overpressure May Not Occur","")</f>
        <v/>
      </c>
      <c r="E33" s="553"/>
      <c r="F33" s="553"/>
      <c r="G33" s="553"/>
      <c r="H33" s="553"/>
      <c r="I33" s="553"/>
      <c r="J33" s="553"/>
      <c r="L33" s="553"/>
      <c r="M33" s="783"/>
      <c r="N33" s="553"/>
      <c r="O33" s="553"/>
      <c r="P33" s="554" t="s">
        <v>2633</v>
      </c>
      <c r="Q33" s="795">
        <f>Sur_Area</f>
        <v>0.01</v>
      </c>
      <c r="R33" s="345" t="s">
        <v>304</v>
      </c>
      <c r="S33" s="345"/>
      <c r="T33" s="553"/>
      <c r="U33" s="783"/>
    </row>
    <row r="34" spans="1:21" ht="15" x14ac:dyDescent="0.3">
      <c r="A34" s="553"/>
      <c r="B34" s="553"/>
      <c r="C34" s="553"/>
      <c r="D34" s="553"/>
      <c r="E34" s="553"/>
      <c r="F34" s="553"/>
      <c r="G34" s="553"/>
      <c r="H34" s="553"/>
      <c r="I34" s="553"/>
      <c r="J34" s="553"/>
      <c r="L34" s="553"/>
      <c r="M34" s="783"/>
      <c r="N34" s="553"/>
      <c r="O34" s="553"/>
      <c r="P34" s="346" t="str">
        <f>IF(OR(Insulation="Yes",Insulation="Fireproof"),"Heat Loss Coefficient (with Insulation): ","Heat Loss Coefficient (no Insulation): ")</f>
        <v xml:space="preserve">Heat Loss Coefficient (no Insulation): </v>
      </c>
      <c r="Q34" s="792">
        <f>Ht_Loss_Coeff</f>
        <v>0.01</v>
      </c>
      <c r="R34" s="345" t="s">
        <v>2586</v>
      </c>
      <c r="S34" s="345"/>
      <c r="T34" s="553"/>
      <c r="U34" s="783"/>
    </row>
    <row r="35" spans="1:21" ht="12.75" customHeight="1" x14ac:dyDescent="0.3">
      <c r="A35" s="553"/>
      <c r="B35" s="553"/>
      <c r="C35" s="553"/>
      <c r="D35" s="553"/>
      <c r="E35" s="553"/>
      <c r="F35" s="4149" t="s">
        <v>2580</v>
      </c>
      <c r="G35" s="3967" t="s">
        <v>2581</v>
      </c>
      <c r="H35" s="3967" t="s">
        <v>2582</v>
      </c>
      <c r="I35" s="553"/>
      <c r="J35" s="553"/>
      <c r="L35" s="553"/>
      <c r="M35" s="783"/>
      <c r="N35" s="553"/>
      <c r="O35" s="553"/>
      <c r="P35" s="346" t="s">
        <v>3154</v>
      </c>
      <c r="Q35" s="792">
        <f>MART_SetPt</f>
        <v>0</v>
      </c>
      <c r="R35" s="345" t="s">
        <v>551</v>
      </c>
      <c r="S35" s="345"/>
      <c r="T35" s="553"/>
      <c r="U35" s="783"/>
    </row>
    <row r="36" spans="1:21" ht="12.75" customHeight="1" thickBot="1" x14ac:dyDescent="0.35">
      <c r="A36" s="553"/>
      <c r="B36" s="553"/>
      <c r="C36" s="771" t="s">
        <v>2577</v>
      </c>
      <c r="D36" s="553"/>
      <c r="E36" s="553"/>
      <c r="F36" s="4149"/>
      <c r="G36" s="3967"/>
      <c r="H36" s="3967"/>
      <c r="I36" s="553"/>
      <c r="J36" s="553"/>
      <c r="L36" s="553"/>
      <c r="M36" s="783"/>
      <c r="N36" s="553"/>
      <c r="O36" s="553"/>
      <c r="P36" s="346" t="s">
        <v>3153</v>
      </c>
      <c r="Q36" s="764">
        <f>Sur_Area*Ht_Loss_Coeff*(Q35-Ambient_Temp)</f>
        <v>-2.5000000000000001E-3</v>
      </c>
      <c r="R36" s="553" t="s">
        <v>2576</v>
      </c>
      <c r="S36" s="553"/>
      <c r="T36" s="553"/>
      <c r="U36" s="783"/>
    </row>
    <row r="37" spans="1:21" ht="14.25" customHeight="1" thickBot="1" x14ac:dyDescent="0.35">
      <c r="A37" s="553"/>
      <c r="B37" s="553"/>
      <c r="C37" s="553"/>
      <c r="D37" s="553"/>
      <c r="E37" s="555" t="s">
        <v>2597</v>
      </c>
      <c r="F37" s="906"/>
      <c r="G37" s="553"/>
      <c r="H37" s="553"/>
      <c r="I37" s="553" t="s">
        <v>551</v>
      </c>
      <c r="J37" s="553"/>
      <c r="L37" s="553"/>
      <c r="M37" s="783"/>
      <c r="N37" s="553"/>
      <c r="O37" s="776" t="s">
        <v>2636</v>
      </c>
      <c r="P37" s="553"/>
      <c r="Q37" s="346"/>
      <c r="R37" s="553"/>
      <c r="S37" s="553"/>
      <c r="T37" s="553"/>
      <c r="U37" s="783"/>
    </row>
    <row r="38" spans="1:21" ht="13.5" thickBot="1" x14ac:dyDescent="0.35">
      <c r="A38" s="553"/>
      <c r="B38" s="553"/>
      <c r="C38" s="553"/>
      <c r="D38" s="553"/>
      <c r="E38" s="555" t="s">
        <v>2607</v>
      </c>
      <c r="F38" s="906"/>
      <c r="G38" s="553"/>
      <c r="H38" s="553"/>
      <c r="I38" s="553" t="s">
        <v>2541</v>
      </c>
      <c r="J38" s="553"/>
      <c r="L38" s="553"/>
      <c r="M38" s="783"/>
      <c r="N38" s="553"/>
      <c r="O38" s="553"/>
      <c r="P38" s="346" t="s">
        <v>2634</v>
      </c>
      <c r="Q38" s="4158" t="str">
        <f>IF(Heating_Media_Name=0,"",Heating_Media_Name)</f>
        <v/>
      </c>
      <c r="R38" s="4159"/>
      <c r="S38" s="553" t="str">
        <f>IF(Heating_Media_Name=0,"",IF(HT_Psat&gt;Heating_P+1," Vapor"," Liquid"))</f>
        <v/>
      </c>
      <c r="T38" s="553"/>
      <c r="U38" s="783"/>
    </row>
    <row r="39" spans="1:21" ht="12.75" customHeight="1" x14ac:dyDescent="0.3">
      <c r="A39" s="553"/>
      <c r="B39" s="553"/>
      <c r="C39" s="553"/>
      <c r="D39" s="553"/>
      <c r="E39" s="554" t="s">
        <v>2583</v>
      </c>
      <c r="F39" s="910">
        <f>T</f>
        <v>0</v>
      </c>
      <c r="G39" s="553"/>
      <c r="H39" s="553"/>
      <c r="I39" s="553" t="s">
        <v>551</v>
      </c>
      <c r="J39" s="553"/>
      <c r="L39" s="553"/>
      <c r="M39" s="783"/>
      <c r="N39" s="553"/>
      <c r="O39" s="553"/>
      <c r="P39" s="346" t="s">
        <v>2635</v>
      </c>
      <c r="Q39" s="791">
        <f>Heating_T</f>
        <v>0</v>
      </c>
      <c r="R39" s="794" t="s">
        <v>551</v>
      </c>
      <c r="S39" s="553"/>
      <c r="T39" s="553"/>
      <c r="U39" s="783"/>
    </row>
    <row r="40" spans="1:21" x14ac:dyDescent="0.3">
      <c r="A40" s="553"/>
      <c r="B40" s="553"/>
      <c r="C40" s="553"/>
      <c r="D40" s="553"/>
      <c r="E40" s="554" t="s">
        <v>2568</v>
      </c>
      <c r="F40" s="759">
        <f>T_atRelief</f>
        <v>0</v>
      </c>
      <c r="G40" s="553"/>
      <c r="H40" s="553"/>
      <c r="I40" s="553" t="s">
        <v>551</v>
      </c>
      <c r="J40" s="553"/>
      <c r="L40" s="553"/>
      <c r="M40" s="783"/>
      <c r="N40" s="783"/>
      <c r="O40" s="783"/>
      <c r="P40" s="554" t="str">
        <f>IF(S38="Vapor","Heat of Vaporization: ","Heat Capacity: ")</f>
        <v xml:space="preserve">Heat Capacity: </v>
      </c>
      <c r="Q40" s="793" t="str">
        <f>IF(S38="Vapor",IF(HT_Lat_Ht="","",4.187*HT_Lat_Ht),IF(HT_Liq_C="","",4.187*HT_Liq_C))</f>
        <v/>
      </c>
      <c r="R40" s="553" t="str">
        <f>IF(S38="Vapor"," Kjoule/Kg"," Kjoule/Kg C")</f>
        <v xml:space="preserve"> Kjoule/Kg C</v>
      </c>
      <c r="S40" s="553"/>
      <c r="T40" s="783"/>
      <c r="U40" s="783"/>
    </row>
    <row r="41" spans="1:21" x14ac:dyDescent="0.3">
      <c r="A41" s="553"/>
      <c r="B41" s="553"/>
      <c r="C41" s="553"/>
      <c r="D41" s="553"/>
      <c r="E41" s="554" t="s">
        <v>2572</v>
      </c>
      <c r="F41" s="759">
        <f>Heating_T</f>
        <v>0</v>
      </c>
      <c r="G41" s="553"/>
      <c r="H41" s="553"/>
      <c r="I41" s="553" t="s">
        <v>551</v>
      </c>
      <c r="J41" s="553"/>
      <c r="L41" s="553"/>
      <c r="M41" s="553"/>
      <c r="N41" s="553"/>
      <c r="O41" s="553"/>
      <c r="P41" s="555" t="s">
        <v>2649</v>
      </c>
      <c r="Q41" s="801" t="str">
        <f>IF(AND(Q40&lt;&gt;"",Heating_T&gt;Q35),60*Q36/(Q40*(Heating_T-Q35)),"")</f>
        <v/>
      </c>
      <c r="R41" s="776" t="s">
        <v>2608</v>
      </c>
      <c r="S41" s="553"/>
      <c r="T41" s="553"/>
      <c r="U41" s="553"/>
    </row>
    <row r="42" spans="1:21" x14ac:dyDescent="0.3">
      <c r="A42" s="553"/>
      <c r="B42" s="553"/>
      <c r="C42" s="553"/>
      <c r="D42" s="553"/>
      <c r="E42" s="554" t="s">
        <v>2615</v>
      </c>
      <c r="F42" s="769">
        <f>Tmax_ME_Continuous</f>
        <v>0</v>
      </c>
      <c r="G42" s="553"/>
      <c r="H42" s="553"/>
      <c r="I42" s="553" t="s">
        <v>551</v>
      </c>
      <c r="J42" s="553"/>
      <c r="L42" s="553"/>
      <c r="M42" s="553"/>
      <c r="N42" s="553"/>
      <c r="O42" s="553"/>
      <c r="P42" s="554"/>
      <c r="Q42" s="797" t="str">
        <f>IF(AND(Q39&lt;T_atRelief,Heating_T_Input&lt;&gt;""),"Heating Media Temperature is less than Boiling Point at MAWP or Relief Set - Overpressure May Not Occur","")</f>
        <v/>
      </c>
      <c r="R42" s="553"/>
      <c r="S42" s="553"/>
      <c r="T42" s="553"/>
      <c r="U42" s="553"/>
    </row>
    <row r="43" spans="1:21" ht="13.5" thickBot="1" x14ac:dyDescent="0.35">
      <c r="A43" s="553"/>
      <c r="B43" s="553"/>
      <c r="C43" s="553"/>
      <c r="D43" s="553"/>
      <c r="E43" s="554" t="s">
        <v>2616</v>
      </c>
      <c r="F43" s="769">
        <f>Tmax_MechEng</f>
        <v>0</v>
      </c>
      <c r="G43" s="553"/>
      <c r="H43" s="553"/>
      <c r="I43" s="553" t="s">
        <v>551</v>
      </c>
      <c r="J43" s="553"/>
      <c r="L43" s="553"/>
      <c r="M43" s="553"/>
      <c r="N43" s="553"/>
      <c r="O43" s="776" t="s">
        <v>2637</v>
      </c>
      <c r="P43" s="553"/>
      <c r="Q43" s="553"/>
      <c r="R43" s="553"/>
      <c r="S43" s="553"/>
      <c r="T43" s="553"/>
      <c r="U43" s="553"/>
    </row>
    <row r="44" spans="1:21" ht="15.5" thickBot="1" x14ac:dyDescent="0.35">
      <c r="A44" s="553"/>
      <c r="B44" s="553"/>
      <c r="C44" s="553"/>
      <c r="D44" s="553"/>
      <c r="E44" s="554" t="s">
        <v>2573</v>
      </c>
      <c r="F44" s="757">
        <f>HT_Area</f>
        <v>0</v>
      </c>
      <c r="G44" s="553"/>
      <c r="H44" s="553"/>
      <c r="I44" s="553" t="s">
        <v>304</v>
      </c>
      <c r="J44" s="553"/>
      <c r="L44" s="553"/>
      <c r="M44" s="553"/>
      <c r="N44" s="553"/>
      <c r="O44" s="553"/>
      <c r="P44" s="555" t="s">
        <v>2640</v>
      </c>
      <c r="Q44" s="1016"/>
      <c r="R44" s="553"/>
      <c r="S44" s="553"/>
      <c r="T44" s="553"/>
      <c r="U44" s="553"/>
    </row>
    <row r="45" spans="1:21" ht="15" x14ac:dyDescent="0.3">
      <c r="A45" s="553"/>
      <c r="B45" s="553"/>
      <c r="C45" s="553"/>
      <c r="D45" s="553"/>
      <c r="E45" s="554" t="s">
        <v>2574</v>
      </c>
      <c r="F45" s="757">
        <f>U</f>
        <v>0</v>
      </c>
      <c r="G45" s="553"/>
      <c r="H45" s="553"/>
      <c r="I45" s="553" t="s">
        <v>2586</v>
      </c>
      <c r="J45" s="553"/>
      <c r="L45" s="553"/>
      <c r="M45" s="553"/>
      <c r="N45" s="553"/>
      <c r="O45" s="553"/>
      <c r="P45" s="346" t="s">
        <v>2638</v>
      </c>
      <c r="Q45" s="1193">
        <f>4.187*DHR</f>
        <v>0</v>
      </c>
      <c r="R45" s="345" t="s">
        <v>2639</v>
      </c>
      <c r="S45" s="553"/>
      <c r="T45" s="553"/>
      <c r="U45" s="553"/>
    </row>
    <row r="46" spans="1:21" x14ac:dyDescent="0.3">
      <c r="A46" s="553"/>
      <c r="B46" s="553"/>
      <c r="C46" s="553"/>
      <c r="D46" s="553"/>
      <c r="E46" s="554" t="s">
        <v>2575</v>
      </c>
      <c r="F46" s="758">
        <f>IF(State="Vapor",0.5*(Vap_C+Vap_C_atTBp)*4.187,0.5*(Liq_C+Liq_C_atTBp)*4.187)</f>
        <v>0</v>
      </c>
      <c r="G46" s="553"/>
      <c r="H46" s="553"/>
      <c r="I46" s="553" t="s">
        <v>2579</v>
      </c>
      <c r="J46" s="553"/>
      <c r="L46" s="553"/>
      <c r="M46" s="553"/>
      <c r="N46" s="553"/>
      <c r="O46" s="553"/>
      <c r="P46" s="554" t="s">
        <v>2646</v>
      </c>
      <c r="Q46" s="796" t="str">
        <f>TNR</f>
        <v>&gt;TNR</v>
      </c>
      <c r="R46" s="345" t="s">
        <v>551</v>
      </c>
      <c r="S46" s="553"/>
      <c r="T46" s="553"/>
      <c r="U46" s="553"/>
    </row>
    <row r="47" spans="1:21" x14ac:dyDescent="0.3">
      <c r="A47" s="553"/>
      <c r="B47" s="553"/>
      <c r="C47" s="553"/>
      <c r="D47" s="553"/>
      <c r="E47" s="554" t="s">
        <v>2584</v>
      </c>
      <c r="F47" s="760">
        <f>ContainedMass</f>
        <v>0</v>
      </c>
      <c r="G47" s="553"/>
      <c r="H47" s="553"/>
      <c r="I47" s="553" t="s">
        <v>2571</v>
      </c>
      <c r="J47" s="553"/>
      <c r="L47" s="553"/>
      <c r="M47" s="553"/>
      <c r="N47" s="553"/>
      <c r="O47" s="553"/>
      <c r="P47" s="346" t="s">
        <v>3153</v>
      </c>
      <c r="Q47" s="804" t="str">
        <f>IF(Q35&lt;Ambient_Temp,"",Sur_Area*Ht_Loss_Coeff*(Q35-Ambient_Temp))</f>
        <v/>
      </c>
      <c r="R47" s="553" t="s">
        <v>2576</v>
      </c>
      <c r="S47" s="553"/>
      <c r="T47" s="553"/>
      <c r="U47" s="553"/>
    </row>
    <row r="48" spans="1:21" ht="12.75" customHeight="1" x14ac:dyDescent="0.3">
      <c r="A48" s="553"/>
      <c r="B48" s="553"/>
      <c r="C48" s="553"/>
      <c r="D48" s="553"/>
      <c r="E48" s="554" t="s">
        <v>2585</v>
      </c>
      <c r="F48" s="760">
        <f>0.1*Max_ContainedMass</f>
        <v>0</v>
      </c>
      <c r="G48" s="553"/>
      <c r="H48" s="553"/>
      <c r="I48" s="553" t="s">
        <v>2571</v>
      </c>
      <c r="J48" s="553"/>
      <c r="L48" s="553"/>
      <c r="M48" s="553"/>
      <c r="N48" s="553"/>
      <c r="O48" s="553"/>
      <c r="P48" s="555" t="s">
        <v>2650</v>
      </c>
      <c r="Q48" s="798" t="str">
        <f>IF(AND(ABS(DHR)&gt;1,Q44&gt;0,Q47&lt;&gt;""),-60*Q47*Q44/(4.187*DHR),"")</f>
        <v/>
      </c>
      <c r="R48" s="776" t="s">
        <v>2608</v>
      </c>
      <c r="S48" s="553"/>
      <c r="T48" s="553"/>
      <c r="U48" s="553"/>
    </row>
    <row r="49" spans="1:21" x14ac:dyDescent="0.3">
      <c r="A49" s="553"/>
      <c r="B49" s="553"/>
      <c r="C49" s="553"/>
      <c r="D49" s="553"/>
      <c r="E49" s="554" t="s">
        <v>2578</v>
      </c>
      <c r="F49" s="760">
        <f>IF(F41&gt;F40,HT_Area*U*((F41-MART_SetPt)-(F41-F40))/LN((F41-MART_SetPt)/(F41-F40)),0)</f>
        <v>0</v>
      </c>
      <c r="G49" s="760">
        <f>Motor</f>
        <v>0</v>
      </c>
      <c r="H49" s="760">
        <f>Fire_Heat_Rate*4.187</f>
        <v>0</v>
      </c>
      <c r="I49" s="553" t="s">
        <v>2576</v>
      </c>
      <c r="J49" s="553"/>
      <c r="L49" s="553"/>
      <c r="M49" s="553"/>
      <c r="N49" s="553"/>
      <c r="O49" s="553"/>
      <c r="P49" s="555"/>
      <c r="Q49" s="1601" t="str">
        <f>IF(Q35&lt;Ambient_Temp,"Alarm Temperature is less than Ambient Temperature","")</f>
        <v>Alarm Temperature is less than Ambient Temperature</v>
      </c>
      <c r="R49" s="553"/>
      <c r="S49" s="776"/>
      <c r="T49" s="553"/>
      <c r="U49" s="553"/>
    </row>
    <row r="50" spans="1:21" x14ac:dyDescent="0.3">
      <c r="A50" s="553"/>
      <c r="B50" s="553"/>
      <c r="C50" s="553"/>
      <c r="D50" s="553"/>
      <c r="E50" s="554" t="s">
        <v>2609</v>
      </c>
      <c r="F50" s="764">
        <f>IF(F46*F47=0,0,F38*60*HT_Area*U*(F41-MART_SetPt)/(F46*F47))</f>
        <v>0</v>
      </c>
      <c r="G50" s="764">
        <f>IF(F46*F47=0,0,F38*60*G49/(F46*F47))</f>
        <v>0</v>
      </c>
      <c r="H50" s="764">
        <f>IF(F46*F47=0,0,F38*60*H49/(F46*F47))</f>
        <v>0</v>
      </c>
      <c r="I50" s="553" t="s">
        <v>551</v>
      </c>
      <c r="J50" s="553"/>
      <c r="L50" s="553"/>
      <c r="M50" s="553"/>
      <c r="N50" s="553"/>
      <c r="O50" s="553"/>
      <c r="P50" s="553"/>
      <c r="Q50" s="553"/>
      <c r="R50" s="553"/>
      <c r="S50" s="553"/>
      <c r="T50" s="553"/>
      <c r="U50" s="553"/>
    </row>
    <row r="51" spans="1:21" ht="12.75" customHeight="1" x14ac:dyDescent="0.3">
      <c r="A51" s="553"/>
      <c r="B51" s="553"/>
      <c r="C51" s="553"/>
      <c r="D51" s="553"/>
      <c r="E51" s="555" t="s">
        <v>2611</v>
      </c>
      <c r="F51" s="762" t="str">
        <f>IF(F49=0,"",(F40-MART_SetPt-F50)*F46*F47/(60*F49))</f>
        <v/>
      </c>
      <c r="G51" s="762" t="str">
        <f>IF(G49=0,"",(F40-MART_SetPt-G50)*F46*F47/(0.5*60*G49))</f>
        <v/>
      </c>
      <c r="H51" s="762" t="str">
        <f>IF(H49=0,"",(F40-MART_SetPt-H50)*F46*F47/(60*H49))</f>
        <v/>
      </c>
      <c r="I51" s="776" t="s">
        <v>2541</v>
      </c>
      <c r="J51" s="553"/>
      <c r="L51" s="553"/>
      <c r="M51" s="553"/>
      <c r="N51" s="553"/>
      <c r="O51" s="553"/>
      <c r="P51" s="553"/>
      <c r="Q51" s="4156" t="s">
        <v>2641</v>
      </c>
      <c r="R51" s="4156"/>
      <c r="S51" s="553"/>
      <c r="T51" s="553"/>
      <c r="U51" s="553"/>
    </row>
    <row r="52" spans="1:21" x14ac:dyDescent="0.3">
      <c r="A52" s="553"/>
      <c r="B52" s="553"/>
      <c r="C52" s="553"/>
      <c r="D52" s="553"/>
      <c r="E52" s="554" t="s">
        <v>2609</v>
      </c>
      <c r="F52" s="764">
        <f>IF(F46*F48=0,0,F38*60*HT_Area*U*(F41-MART_SetPt)/(F46*F48))</f>
        <v>0</v>
      </c>
      <c r="G52" s="764">
        <f>IF(F46*F48=0,0,F38*60*G49/(F46*F48))</f>
        <v>0</v>
      </c>
      <c r="H52" s="764">
        <f>IF(F46*F48=0,0,F38*60*H49/(F46*F48))</f>
        <v>0</v>
      </c>
      <c r="I52" s="553" t="s">
        <v>551</v>
      </c>
      <c r="J52" s="553"/>
      <c r="L52" s="553"/>
      <c r="M52" s="771" t="s">
        <v>3100</v>
      </c>
      <c r="N52" s="553"/>
      <c r="O52" s="553"/>
      <c r="P52" s="553"/>
      <c r="Q52" s="4157"/>
      <c r="R52" s="4157"/>
      <c r="S52" s="553"/>
      <c r="T52" s="553"/>
      <c r="U52" s="553"/>
    </row>
    <row r="53" spans="1:21" x14ac:dyDescent="0.3">
      <c r="A53" s="553"/>
      <c r="B53" s="553"/>
      <c r="C53" s="553"/>
      <c r="D53" s="553"/>
      <c r="E53" s="872" t="s">
        <v>2612</v>
      </c>
      <c r="F53" s="762" t="str">
        <f>IF(F49=0,"",(F40-MART_SetPt-F52)*F46*F48/(60*F49))</f>
        <v/>
      </c>
      <c r="G53" s="762" t="str">
        <f>IF(G49=0,"",(F40-MART_SetPt-G52)*F46*F48/(0.5*60*G49))</f>
        <v/>
      </c>
      <c r="H53" s="762" t="str">
        <f>IF(OR(Equipment="Pump",Equipment="Piping",Equipment="Compressor or Blower",H49=0),"",(F40-MART_SetPt-H52)*F46*F48/(IF(Fill&lt;&gt;"",(0.1/Fill)^0.5,0.3)*60*H49))</f>
        <v/>
      </c>
      <c r="I53" s="776" t="s">
        <v>2541</v>
      </c>
      <c r="J53" s="553"/>
      <c r="L53" s="553"/>
      <c r="M53" s="553"/>
      <c r="N53" s="553"/>
      <c r="O53" s="553"/>
      <c r="P53" s="553"/>
      <c r="Q53" s="3609"/>
      <c r="R53" s="3609"/>
      <c r="S53" s="553"/>
      <c r="T53" s="553"/>
      <c r="U53" s="553"/>
    </row>
    <row r="54" spans="1:21" x14ac:dyDescent="0.3">
      <c r="A54" s="553"/>
      <c r="B54" s="774" t="str">
        <f>IF(F41&lt;F40,"Heating Media Temperature less than Boiling Point at Relief Set or MAWP - Overpressure May Not Occur","")</f>
        <v/>
      </c>
      <c r="C54" s="553"/>
      <c r="D54" s="553"/>
      <c r="E54" s="872"/>
      <c r="F54" s="776"/>
      <c r="G54" s="776"/>
      <c r="H54" s="776"/>
      <c r="I54" s="776"/>
      <c r="J54" s="553"/>
      <c r="L54" s="553"/>
      <c r="M54" s="553"/>
      <c r="N54" s="553"/>
      <c r="O54" s="553"/>
      <c r="P54" s="554" t="s">
        <v>2644</v>
      </c>
      <c r="Q54" s="769">
        <f>ContainedMass</f>
        <v>0</v>
      </c>
      <c r="R54" s="553" t="s">
        <v>2571</v>
      </c>
      <c r="S54" s="553"/>
      <c r="T54" s="553"/>
      <c r="U54" s="553"/>
    </row>
    <row r="55" spans="1:21" x14ac:dyDescent="0.3">
      <c r="A55" s="553"/>
      <c r="B55" s="774" t="str">
        <f>IF(F42&lt;F40,"Maximum Mechanical Energy Temperature at High Level less than Boiling Point at Relief Set or MAWP - Overpressure May Not Occur","")</f>
        <v/>
      </c>
      <c r="C55" s="553"/>
      <c r="D55" s="553"/>
      <c r="E55" s="555"/>
      <c r="F55" s="777"/>
      <c r="G55" s="777"/>
      <c r="H55" s="777"/>
      <c r="I55" s="776"/>
      <c r="J55" s="553"/>
      <c r="L55" s="553"/>
      <c r="M55" s="553"/>
      <c r="N55" s="553"/>
      <c r="O55" s="553"/>
      <c r="P55" s="554" t="s">
        <v>2642</v>
      </c>
      <c r="Q55" s="764">
        <f>IF(State="Vapor",4.187*Vap_C_atTBp,4.187*Liq_C_atTBp)</f>
        <v>0</v>
      </c>
      <c r="R55" s="553" t="str">
        <f>IF(R53="Vapor"," Kjoule/Kg C - Vapor"," Kjoule/Kg C - Liquid")</f>
        <v xml:space="preserve"> Kjoule/Kg C - Liquid</v>
      </c>
      <c r="S55" s="553"/>
      <c r="T55" s="553"/>
      <c r="U55" s="553"/>
    </row>
    <row r="56" spans="1:21" x14ac:dyDescent="0.3">
      <c r="A56" s="553"/>
      <c r="B56" s="774" t="str">
        <f>IF(F43&lt;F40,"Maximum Mechanical Energy Temperature at Low Level less than Boiling Point at Relief Set or MAWP - Overpressure May Not Occur","")</f>
        <v/>
      </c>
      <c r="C56" s="553"/>
      <c r="D56" s="553"/>
      <c r="E56" s="555"/>
      <c r="F56" s="777"/>
      <c r="G56" s="777"/>
      <c r="H56" s="777"/>
      <c r="I56" s="776"/>
      <c r="J56" s="553"/>
      <c r="L56" s="553"/>
      <c r="M56" s="553"/>
      <c r="N56" s="553"/>
      <c r="O56" s="553"/>
      <c r="P56" s="554" t="s">
        <v>2645</v>
      </c>
      <c r="Q56" s="799">
        <f>ContainedMass*Q55*(T_atRelief-Q35)+86400*Q36</f>
        <v>-216</v>
      </c>
      <c r="R56" s="553" t="s">
        <v>2643</v>
      </c>
      <c r="S56" s="553"/>
      <c r="T56" s="553"/>
      <c r="U56" s="553"/>
    </row>
    <row r="57" spans="1:21" x14ac:dyDescent="0.3">
      <c r="A57" s="553"/>
      <c r="B57" s="553"/>
      <c r="C57" s="553"/>
      <c r="D57" s="553"/>
      <c r="E57" s="555"/>
      <c r="F57" s="777"/>
      <c r="G57" s="777"/>
      <c r="H57" s="777"/>
      <c r="I57" s="776"/>
      <c r="J57" s="553"/>
      <c r="L57" s="553"/>
      <c r="M57" s="553"/>
      <c r="N57" s="776"/>
      <c r="O57" s="776"/>
      <c r="P57" s="555" t="s">
        <v>2651</v>
      </c>
      <c r="Q57" s="802" t="str">
        <f>IF(AND(Q40&lt;&gt;"",Heating_T&gt;T_atRelief),Q56*LN((Heating_T-Q35)/(Heating_T-T_atRelief))/(1440*Q40*(T_atRelief-Q35)),"")</f>
        <v/>
      </c>
      <c r="R57" s="776" t="s">
        <v>2608</v>
      </c>
      <c r="S57" s="776"/>
      <c r="T57" s="553"/>
      <c r="U57" s="553"/>
    </row>
    <row r="58" spans="1:21" ht="12.75" customHeight="1" x14ac:dyDescent="0.3">
      <c r="A58" s="553"/>
      <c r="B58" s="771" t="s">
        <v>3297</v>
      </c>
      <c r="C58" s="553"/>
      <c r="D58" s="554"/>
      <c r="E58" s="553"/>
      <c r="F58" s="553"/>
      <c r="G58" s="553"/>
      <c r="H58" s="553"/>
      <c r="I58" s="553"/>
      <c r="J58" s="553"/>
      <c r="L58" s="553"/>
      <c r="M58" s="553"/>
      <c r="N58" s="776"/>
      <c r="O58" s="776"/>
      <c r="P58" s="555"/>
      <c r="Q58" s="797" t="str">
        <f>IF(AND(Q55&lt;R51,Heating_T_Input&lt;&gt;""),"Heating Media Temperature is less than Boiling Point at MAWP or Relief Set - Overpressure May Not Occur","")</f>
        <v/>
      </c>
      <c r="R58" s="553"/>
      <c r="S58" s="776"/>
      <c r="T58" s="553"/>
      <c r="U58" s="553"/>
    </row>
    <row r="59" spans="1:21" ht="12.75" customHeight="1" x14ac:dyDescent="0.3">
      <c r="A59" s="553"/>
      <c r="B59" s="775" t="s">
        <v>2617</v>
      </c>
      <c r="C59" s="553"/>
      <c r="D59" s="3967" t="s">
        <v>2600</v>
      </c>
      <c r="E59" s="3967" t="s">
        <v>2601</v>
      </c>
      <c r="F59" s="3967" t="s">
        <v>2602</v>
      </c>
      <c r="G59" s="3967" t="s">
        <v>2603</v>
      </c>
      <c r="H59" s="3967" t="s">
        <v>2604</v>
      </c>
      <c r="I59" s="3967" t="s">
        <v>2605</v>
      </c>
      <c r="J59" s="3967"/>
      <c r="L59" s="553"/>
      <c r="M59" s="553"/>
      <c r="N59" s="776"/>
      <c r="O59" s="776"/>
      <c r="P59" s="554" t="s">
        <v>3155</v>
      </c>
      <c r="Q59" s="804" t="str">
        <f>IF(TNR="&gt;TNR","",IF(TNR&lt;Ambient_Temp,"",ContainedMass*Q55*(TNR-Q35)+86400*Sur_Area*Ht_Loss_Coeff*(Q35-Ambient_Temp)))</f>
        <v/>
      </c>
      <c r="R59" s="553" t="s">
        <v>2643</v>
      </c>
      <c r="S59" s="553"/>
      <c r="T59" s="553"/>
      <c r="U59" s="553"/>
    </row>
    <row r="60" spans="1:21" x14ac:dyDescent="0.3">
      <c r="A60" s="553"/>
      <c r="B60" s="553"/>
      <c r="C60" s="553"/>
      <c r="D60" s="3967"/>
      <c r="E60" s="3967"/>
      <c r="F60" s="3967"/>
      <c r="G60" s="3967"/>
      <c r="H60" s="3967"/>
      <c r="I60" s="3967"/>
      <c r="J60" s="3967"/>
      <c r="L60" s="553"/>
      <c r="M60" s="553"/>
      <c r="N60" s="776"/>
      <c r="O60" s="776"/>
      <c r="P60" s="555" t="s">
        <v>2652</v>
      </c>
      <c r="Q60" s="801" t="str">
        <f>IF(ABS(DHR)&gt;1,-Q56*Q44/(1440*4.187*DHR),"")</f>
        <v/>
      </c>
      <c r="R60" s="776" t="s">
        <v>2608</v>
      </c>
      <c r="S60" s="776"/>
      <c r="T60" s="553"/>
      <c r="U60" s="553"/>
    </row>
    <row r="61" spans="1:21" x14ac:dyDescent="0.3">
      <c r="A61" s="553"/>
      <c r="B61" s="553"/>
      <c r="C61" s="554" t="s">
        <v>2597</v>
      </c>
      <c r="D61" s="791">
        <f>MART_SetPt</f>
        <v>0</v>
      </c>
      <c r="E61" s="553"/>
      <c r="F61" s="553"/>
      <c r="G61" s="553"/>
      <c r="H61" s="553"/>
      <c r="I61" s="553"/>
      <c r="J61" s="553" t="s">
        <v>551</v>
      </c>
      <c r="L61" s="553"/>
      <c r="M61" s="553"/>
      <c r="N61" s="553"/>
      <c r="O61" s="553"/>
      <c r="P61" s="553"/>
      <c r="Q61" s="553"/>
      <c r="R61" s="553"/>
      <c r="S61" s="553"/>
      <c r="T61" s="553"/>
      <c r="U61" s="553"/>
    </row>
    <row r="62" spans="1:21" x14ac:dyDescent="0.3">
      <c r="A62" s="553"/>
      <c r="B62" s="553"/>
      <c r="C62" s="554" t="s">
        <v>2607</v>
      </c>
      <c r="D62" s="791">
        <f>F38</f>
        <v>0</v>
      </c>
      <c r="E62" s="553"/>
      <c r="F62" s="553"/>
      <c r="G62" s="553"/>
      <c r="H62" s="553"/>
      <c r="I62" s="553"/>
      <c r="J62" s="553" t="s">
        <v>2541</v>
      </c>
      <c r="L62" s="553"/>
      <c r="M62" s="553"/>
      <c r="N62" s="553"/>
      <c r="O62" s="553"/>
      <c r="P62" s="553"/>
      <c r="Q62" s="3967" t="s">
        <v>2647</v>
      </c>
      <c r="R62" s="3967" t="s">
        <v>2648</v>
      </c>
      <c r="S62" s="553"/>
      <c r="T62" s="553"/>
      <c r="U62" s="553"/>
    </row>
    <row r="63" spans="1:21" x14ac:dyDescent="0.3">
      <c r="A63" s="553"/>
      <c r="B63" s="553"/>
      <c r="C63" s="554" t="s">
        <v>2599</v>
      </c>
      <c r="D63" s="800" t="str">
        <f>IF(ABS(DHR)&gt;1,TNR,"")</f>
        <v/>
      </c>
      <c r="E63" s="779"/>
      <c r="F63" s="553"/>
      <c r="G63" s="553"/>
      <c r="H63" s="553"/>
      <c r="I63" s="553"/>
      <c r="J63" s="553" t="s">
        <v>551</v>
      </c>
      <c r="L63" s="553"/>
      <c r="M63" s="553"/>
      <c r="N63" s="553"/>
      <c r="O63" s="553"/>
      <c r="P63" s="553"/>
      <c r="Q63" s="4155"/>
      <c r="R63" s="4155"/>
      <c r="S63" s="553"/>
      <c r="T63" s="553"/>
      <c r="U63" s="553"/>
    </row>
    <row r="64" spans="1:21" x14ac:dyDescent="0.3">
      <c r="A64" s="553"/>
      <c r="B64" s="553"/>
      <c r="C64" s="554" t="s">
        <v>2613</v>
      </c>
      <c r="D64" s="759">
        <f>T_atRelief</f>
        <v>0</v>
      </c>
      <c r="E64" s="779"/>
      <c r="F64" s="553"/>
      <c r="G64" s="553"/>
      <c r="H64" s="553"/>
      <c r="I64" s="553"/>
      <c r="J64" s="553" t="s">
        <v>551</v>
      </c>
      <c r="L64" s="553"/>
      <c r="M64" s="553"/>
      <c r="N64" s="553"/>
      <c r="O64" s="553"/>
      <c r="P64" s="553"/>
      <c r="Q64" s="3893"/>
      <c r="R64" s="3893"/>
      <c r="S64" s="553"/>
      <c r="T64" s="553"/>
      <c r="U64" s="553"/>
    </row>
    <row r="65" spans="1:21" ht="15" x14ac:dyDescent="0.3">
      <c r="A65" s="553"/>
      <c r="B65" s="553"/>
      <c r="C65" s="554" t="s">
        <v>2614</v>
      </c>
      <c r="D65" s="778" t="str">
        <f t="shared" ref="D65:I65" si="0">IF(OR(D68="",D68="&gt;Relief Temp"),"",MART_SetPt-D67)</f>
        <v/>
      </c>
      <c r="E65" s="778" t="str">
        <f t="shared" si="0"/>
        <v/>
      </c>
      <c r="F65" s="778" t="str">
        <f t="shared" si="0"/>
        <v/>
      </c>
      <c r="G65" s="778" t="str">
        <f t="shared" si="0"/>
        <v/>
      </c>
      <c r="H65" s="778" t="str">
        <f t="shared" si="0"/>
        <v/>
      </c>
      <c r="I65" s="778" t="str">
        <f t="shared" si="0"/>
        <v/>
      </c>
      <c r="J65" s="553" t="s">
        <v>551</v>
      </c>
      <c r="L65" s="553"/>
      <c r="M65" s="553"/>
      <c r="N65" s="553"/>
      <c r="O65" s="553"/>
      <c r="P65" s="554" t="s">
        <v>2567</v>
      </c>
      <c r="Q65" s="806">
        <f>Volume/1000</f>
        <v>0</v>
      </c>
      <c r="R65" s="553"/>
      <c r="S65" s="553" t="s">
        <v>2632</v>
      </c>
      <c r="T65" s="553"/>
      <c r="U65" s="553"/>
    </row>
    <row r="66" spans="1:21" x14ac:dyDescent="0.3">
      <c r="A66" s="553"/>
      <c r="B66" s="553"/>
      <c r="C66" s="554" t="s">
        <v>2606</v>
      </c>
      <c r="D66" s="763" t="str">
        <f>IF(ABS(DHR)&lt;1,"",IF(MART_R1&gt;0,MART_R1,""))</f>
        <v/>
      </c>
      <c r="E66" s="763" t="str">
        <f>IF(ABS(DHR)&lt;1,"",IF(MART_R2&gt;0,MART_R2,""))</f>
        <v/>
      </c>
      <c r="F66" s="763" t="str">
        <f>IF(ABS(DHR)&lt;1,"",IF(MART_R3&gt;0,MART_R3,""))</f>
        <v/>
      </c>
      <c r="G66" s="763" t="str">
        <f>IF(ABS(DHR)&lt;1,"",IF(AND(Catalyzed="Yes",MART_R4&gt;0),MART_R4,""))</f>
        <v/>
      </c>
      <c r="H66" s="763" t="str">
        <f>IF(ABS(DHR)&lt;1,"",IF(AND(Rx_Pooling="Yes",MART_R5&gt;0),MART_R5,""))</f>
        <v/>
      </c>
      <c r="I66" s="763" t="str">
        <f>IF(ABS(DHR)&lt;1,"",IF(AND(Rx_MisLoading="Yes",MART_R6&gt;0),MART_R6,""))</f>
        <v/>
      </c>
      <c r="J66" s="553" t="s">
        <v>2542</v>
      </c>
      <c r="L66" s="553"/>
      <c r="M66" s="553"/>
      <c r="N66" s="553"/>
      <c r="O66" s="553"/>
      <c r="P66" s="554" t="s">
        <v>2654</v>
      </c>
      <c r="Q66" s="806">
        <f>IF(F13="",F30,F13)</f>
        <v>0.8</v>
      </c>
      <c r="R66" s="553"/>
      <c r="S66" s="553"/>
      <c r="T66" s="553"/>
      <c r="U66" s="553"/>
    </row>
    <row r="67" spans="1:21" x14ac:dyDescent="0.3">
      <c r="A67" s="553"/>
      <c r="B67" s="553"/>
      <c r="C67" s="554" t="s">
        <v>2609</v>
      </c>
      <c r="D67" s="767" t="str">
        <f t="shared" ref="D67:I67" si="1">IF(D66="","",$D62*D66)</f>
        <v/>
      </c>
      <c r="E67" s="767" t="str">
        <f t="shared" si="1"/>
        <v/>
      </c>
      <c r="F67" s="767" t="str">
        <f t="shared" si="1"/>
        <v/>
      </c>
      <c r="G67" s="767" t="str">
        <f t="shared" si="1"/>
        <v/>
      </c>
      <c r="H67" s="767" t="str">
        <f t="shared" si="1"/>
        <v/>
      </c>
      <c r="I67" s="767" t="str">
        <f t="shared" si="1"/>
        <v/>
      </c>
      <c r="J67" s="553" t="s">
        <v>551</v>
      </c>
      <c r="L67" s="553"/>
      <c r="M67" s="553"/>
      <c r="N67" s="553"/>
      <c r="O67" s="553"/>
      <c r="P67" s="555" t="s">
        <v>2655</v>
      </c>
      <c r="Q67" s="807" t="str">
        <f>IF(Inert_FeedRate=0,"",(Pad_MW*(1-F30)*Volume*1.01325*(F6-F24)/(82.06*(T+273)))/1440)</f>
        <v/>
      </c>
      <c r="R67" s="776"/>
      <c r="S67" s="776" t="s">
        <v>2608</v>
      </c>
      <c r="T67" s="553"/>
      <c r="U67" s="553"/>
    </row>
    <row r="68" spans="1:21" x14ac:dyDescent="0.3">
      <c r="A68" s="553"/>
      <c r="B68" s="553"/>
      <c r="C68" s="555" t="s">
        <v>2598</v>
      </c>
      <c r="D68" s="762" t="str">
        <f>IF(ABS(DHR)&lt;1,"",IF(MART_Rx1&gt;0,MART_Rx1,""))</f>
        <v/>
      </c>
      <c r="E68" s="762" t="str">
        <f>IF(ABS(DHR)&lt;1,"",IF(MART_Rx2&gt;0,MART_Rx2,""))</f>
        <v/>
      </c>
      <c r="F68" s="762" t="str">
        <f>IF(ABS(DHR)&lt;1,"",IF(MART_Rx3&gt;0,MART_Rx3,""))</f>
        <v/>
      </c>
      <c r="G68" s="762" t="str">
        <f>IF(ABS(DHR)&lt;1,"",IF(MART_Rx4&gt;0,MART_Rx4,""))</f>
        <v/>
      </c>
      <c r="H68" s="762" t="str">
        <f>IF(ABS(DHR)&lt;1,"",IF(MART_Rx5&gt;0,MART_Rx5,""))</f>
        <v/>
      </c>
      <c r="I68" s="762" t="str">
        <f>IF(ABS(DHR)&lt;1,"",IF(MART_Rx6&gt;0,MART_Rx6,""))</f>
        <v/>
      </c>
      <c r="J68" s="776" t="s">
        <v>2541</v>
      </c>
      <c r="L68" s="553"/>
      <c r="M68" s="553"/>
      <c r="N68" s="553"/>
      <c r="O68" s="553"/>
      <c r="P68" s="555" t="s">
        <v>2657</v>
      </c>
      <c r="Q68" s="808">
        <f>(1-Q66)*(1-(1.01325+F24)/(1.01325+F6))*Max_ContainedMass/1440</f>
        <v>0</v>
      </c>
      <c r="R68" s="808">
        <f>(1-F13)*Max_ContainedMass/1440</f>
        <v>0</v>
      </c>
      <c r="S68" s="776" t="s">
        <v>2608</v>
      </c>
      <c r="T68" s="553"/>
      <c r="U68" s="553"/>
    </row>
    <row r="69" spans="1:21" x14ac:dyDescent="0.3">
      <c r="A69" s="553"/>
      <c r="B69" s="773" t="str">
        <f>IF(Gas_Gen&gt;0,"Note for Reactions generating Volatile or Gaseous products, consider Pressure Alarm determined by Pressure Rise Rate","")</f>
        <v/>
      </c>
      <c r="C69" s="555"/>
      <c r="D69" s="776"/>
      <c r="E69" s="776"/>
      <c r="F69" s="776"/>
      <c r="G69" s="776"/>
      <c r="H69" s="776"/>
      <c r="I69" s="776"/>
      <c r="J69" s="776"/>
      <c r="L69" s="553"/>
      <c r="M69" s="553"/>
      <c r="N69" s="553"/>
      <c r="O69" s="553"/>
      <c r="P69" s="555"/>
      <c r="Q69" s="553"/>
      <c r="R69" s="553"/>
      <c r="S69" s="776"/>
      <c r="T69" s="553"/>
      <c r="U69" s="553"/>
    </row>
    <row r="70" spans="1:21" x14ac:dyDescent="0.3">
      <c r="D70" s="756"/>
    </row>
  </sheetData>
  <sheetProtection sheet="1" objects="1" scenarios="1"/>
  <mergeCells count="30">
    <mergeCell ref="E59:E60"/>
    <mergeCell ref="F59:F60"/>
    <mergeCell ref="G59:G60"/>
    <mergeCell ref="Q38:R38"/>
    <mergeCell ref="D59:D60"/>
    <mergeCell ref="H59:H60"/>
    <mergeCell ref="I59:I60"/>
    <mergeCell ref="J59:J60"/>
    <mergeCell ref="Q62:Q64"/>
    <mergeCell ref="R62:R64"/>
    <mergeCell ref="Q30:Q32"/>
    <mergeCell ref="R30:R32"/>
    <mergeCell ref="Q51:Q53"/>
    <mergeCell ref="R51:R53"/>
    <mergeCell ref="B2:I2"/>
    <mergeCell ref="M2:T2"/>
    <mergeCell ref="F4:G4"/>
    <mergeCell ref="Q4:R4"/>
    <mergeCell ref="F35:F36"/>
    <mergeCell ref="G35:G36"/>
    <mergeCell ref="H35:H36"/>
    <mergeCell ref="F5:G5"/>
    <mergeCell ref="Q5:R5"/>
    <mergeCell ref="B3:I3"/>
    <mergeCell ref="M3:T3"/>
    <mergeCell ref="M7:T8"/>
    <mergeCell ref="M11:T12"/>
    <mergeCell ref="M13:T15"/>
    <mergeCell ref="M16:T18"/>
    <mergeCell ref="B8:J10"/>
  </mergeCells>
  <phoneticPr fontId="3" type="noConversion"/>
  <conditionalFormatting sqref="F19">
    <cfRule type="expression" dxfId="345" priority="24">
      <formula>IF($F$19&lt;1,TRUE,FALSE)</formula>
    </cfRule>
  </conditionalFormatting>
  <conditionalFormatting sqref="G19">
    <cfRule type="expression" dxfId="344" priority="23">
      <formula>IF($G$19&lt;1,TRUE,FALSE)</formula>
    </cfRule>
  </conditionalFormatting>
  <conditionalFormatting sqref="F32">
    <cfRule type="expression" dxfId="343" priority="22">
      <formula>IF($F$32&lt;1,TRUE,FALSE)</formula>
    </cfRule>
  </conditionalFormatting>
  <conditionalFormatting sqref="F51">
    <cfRule type="expression" dxfId="342" priority="21">
      <formula>IF(AND($F$51&lt;1,$F$51&gt;0),TRUE,FALSE)</formula>
    </cfRule>
  </conditionalFormatting>
  <conditionalFormatting sqref="G51">
    <cfRule type="expression" dxfId="341" priority="20">
      <formula>IF(AND(G$51&lt;1,$G$51&gt;0),TRUE,FALSE)</formula>
    </cfRule>
  </conditionalFormatting>
  <conditionalFormatting sqref="H51">
    <cfRule type="expression" dxfId="340" priority="19">
      <formula>IF(AND($H$51&lt;1,$H$51&gt;0),TRUE,FALSE)</formula>
    </cfRule>
  </conditionalFormatting>
  <conditionalFormatting sqref="F53">
    <cfRule type="expression" dxfId="339" priority="18">
      <formula>IF($F$53&lt;1,TRUE,FALSE)</formula>
    </cfRule>
  </conditionalFormatting>
  <conditionalFormatting sqref="G53">
    <cfRule type="expression" dxfId="338" priority="17">
      <formula>IF($G$53&lt;1,TRUE,FALSE)</formula>
    </cfRule>
  </conditionalFormatting>
  <conditionalFormatting sqref="H53">
    <cfRule type="expression" dxfId="337" priority="16">
      <formula>IF($H$53&lt;1,TRUE,FALSE)</formula>
    </cfRule>
  </conditionalFormatting>
  <conditionalFormatting sqref="D68">
    <cfRule type="expression" dxfId="336" priority="15">
      <formula>IF(AND($D$68&lt;1,$D$68&gt;0),TRUE,FALSE)</formula>
    </cfRule>
  </conditionalFormatting>
  <conditionalFormatting sqref="E68">
    <cfRule type="expression" dxfId="335" priority="14">
      <formula>IF(AND($E$68&lt;1,$E$68&gt;0),TRUE,FALSE)</formula>
    </cfRule>
  </conditionalFormatting>
  <conditionalFormatting sqref="F68">
    <cfRule type="expression" dxfId="334" priority="13">
      <formula>IF(AND($F$68&lt;1,$F$68&gt;0),TRUE,FALSE)</formula>
    </cfRule>
  </conditionalFormatting>
  <conditionalFormatting sqref="G68">
    <cfRule type="expression" dxfId="333" priority="12">
      <formula>IF(AND($G$68&lt;1,$G$68&gt;0),TRUE,FALSE)</formula>
    </cfRule>
  </conditionalFormatting>
  <conditionalFormatting sqref="H68">
    <cfRule type="expression" dxfId="332" priority="11">
      <formula>IF(AND($H$68&lt;1,$H$68&gt;0),TRUE,FALSE)</formula>
    </cfRule>
  </conditionalFormatting>
  <conditionalFormatting sqref="I68">
    <cfRule type="expression" dxfId="331" priority="10">
      <formula>IF(AND($I$68&lt;1,$I$68&gt;0),TRUE,FALSE)</formula>
    </cfRule>
  </conditionalFormatting>
  <conditionalFormatting sqref="R21">
    <cfRule type="expression" dxfId="330" priority="8">
      <formula>IF($R$21="",TRUE,FALSE)</formula>
    </cfRule>
  </conditionalFormatting>
  <conditionalFormatting sqref="F13">
    <cfRule type="expression" dxfId="329" priority="7">
      <formula>IF($F$13="",TRUE,FALSE)</formula>
    </cfRule>
  </conditionalFormatting>
  <conditionalFormatting sqref="F14">
    <cfRule type="expression" dxfId="328" priority="6">
      <formula>IF($F$14="",TRUE,FALSE)</formula>
    </cfRule>
  </conditionalFormatting>
  <conditionalFormatting sqref="F24">
    <cfRule type="expression" dxfId="327" priority="5">
      <formula>IF($F$24="",TRUE,FALSE)</formula>
    </cfRule>
  </conditionalFormatting>
  <conditionalFormatting sqref="F25">
    <cfRule type="expression" dxfId="326" priority="4">
      <formula>IF($F$25="",TRUE,FALSE)</formula>
    </cfRule>
  </conditionalFormatting>
  <conditionalFormatting sqref="F37">
    <cfRule type="expression" dxfId="325" priority="3">
      <formula>IF($F$37="",TRUE,FALSE)</formula>
    </cfRule>
  </conditionalFormatting>
  <conditionalFormatting sqref="F38">
    <cfRule type="expression" dxfId="324" priority="2">
      <formula>IF($F$38="",TRUE,FALSE)</formula>
    </cfRule>
  </conditionalFormatting>
  <conditionalFormatting sqref="Q44">
    <cfRule type="expression" dxfId="323" priority="1">
      <formula>IF($Q$44="",TRUE,FALSE)</formula>
    </cfRule>
  </conditionalFormatting>
  <dataValidations count="2">
    <dataValidation type="list" allowBlank="1" showInputMessage="1" showErrorMessage="1" sqref="R21" xr:uid="{00000000-0002-0000-1A00-000000000000}">
      <formula1>Location_List</formula1>
    </dataValidation>
    <dataValidation type="decimal" allowBlank="1" showInputMessage="1" showErrorMessage="1" sqref="F13" xr:uid="{00000000-0002-0000-1A00-000001000000}">
      <formula1>0</formula1>
      <formula2>1</formula2>
    </dataValidation>
  </dataValidations>
  <pageMargins left="1" right="1" top="0.25" bottom="0" header="0" footer="0.25"/>
  <pageSetup scale="85" orientation="portrait" r:id="rId1"/>
  <headerFooter alignWithMargins="0"/>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48589" r:id="rId4" name="Button 13">
              <controlPr defaultSize="0" print="0" autoFill="0" autoPict="0" macro="[0]!Go_To_LOPA_Menu">
                <anchor moveWithCells="1" sizeWithCells="1">
                  <from>
                    <xdr:col>0</xdr:col>
                    <xdr:colOff>127000</xdr:colOff>
                    <xdr:row>0</xdr:row>
                    <xdr:rowOff>76200</xdr:rowOff>
                  </from>
                  <to>
                    <xdr:col>2</xdr:col>
                    <xdr:colOff>660400</xdr:colOff>
                    <xdr:row>1</xdr:row>
                    <xdr:rowOff>146050</xdr:rowOff>
                  </to>
                </anchor>
              </controlPr>
            </control>
          </mc:Choice>
        </mc:AlternateContent>
        <mc:AlternateContent xmlns:mc="http://schemas.openxmlformats.org/markup-compatibility/2006">
          <mc:Choice Requires="x14">
            <control shapeId="1048591" r:id="rId5" name="Button 15">
              <controlPr defaultSize="0" print="0" autoFill="0" autoPict="0" macro="[0]!Clear_MALR">
                <anchor moveWithCells="1" sizeWithCells="1">
                  <from>
                    <xdr:col>7</xdr:col>
                    <xdr:colOff>38100</xdr:colOff>
                    <xdr:row>0</xdr:row>
                    <xdr:rowOff>76200</xdr:rowOff>
                  </from>
                  <to>
                    <xdr:col>9</xdr:col>
                    <xdr:colOff>381000</xdr:colOff>
                    <xdr:row>1</xdr:row>
                    <xdr:rowOff>114300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1">
    <tabColor rgb="FFFF0000"/>
    <pageSetUpPr autoPageBreaks="0"/>
  </sheetPr>
  <dimension ref="A1:S10"/>
  <sheetViews>
    <sheetView showGridLines="0" showRowColHeaders="0" zoomScale="80" zoomScaleNormal="80" workbookViewId="0">
      <pane xSplit="4" ySplit="2" topLeftCell="E3" activePane="bottomRight" state="frozenSplit"/>
      <selection pane="topRight" activeCell="C1" sqref="C1"/>
      <selection pane="bottomLeft" activeCell="A3" sqref="A3"/>
      <selection pane="bottomRight" activeCell="G15" sqref="G15"/>
    </sheetView>
  </sheetViews>
  <sheetFormatPr defaultColWidth="9.1796875" defaultRowHeight="12.5" x14ac:dyDescent="0.25"/>
  <cols>
    <col min="1" max="1" width="24.1796875" style="2294" bestFit="1" customWidth="1"/>
    <col min="2" max="2" width="13.81640625" style="2290" bestFit="1" customWidth="1"/>
    <col min="3" max="3" width="8.453125" style="2290" customWidth="1"/>
    <col min="4" max="4" width="17" style="2290" bestFit="1" customWidth="1"/>
    <col min="5" max="5" width="25.1796875" style="2297" customWidth="1"/>
    <col min="6" max="6" width="8.1796875" style="2290" customWidth="1"/>
    <col min="7" max="7" width="33.453125" style="2289" customWidth="1"/>
    <col min="8" max="8" width="46.453125" style="2292" customWidth="1"/>
    <col min="9" max="9" width="16.453125" style="2296" bestFit="1" customWidth="1"/>
    <col min="10" max="17" width="14.1796875" style="2294" customWidth="1"/>
    <col min="18" max="18" width="40" style="2294" customWidth="1"/>
    <col min="19" max="19" width="14.1796875" style="2294" customWidth="1"/>
    <col min="20" max="16384" width="9.1796875" style="2289"/>
  </cols>
  <sheetData>
    <row r="1" spans="1:19" ht="29.25" customHeight="1" x14ac:dyDescent="0.25">
      <c r="A1" s="2293"/>
      <c r="H1" s="2291"/>
      <c r="I1" s="2295"/>
      <c r="J1" s="2293"/>
      <c r="K1" s="2293"/>
      <c r="L1" s="2293"/>
      <c r="M1" s="2293"/>
      <c r="N1" s="2293"/>
      <c r="O1" s="2293"/>
      <c r="P1" s="2293"/>
      <c r="Q1" s="2293"/>
      <c r="R1" s="2293"/>
      <c r="S1" s="2293"/>
    </row>
    <row r="2" spans="1:19" s="2298" customFormat="1" ht="13" x14ac:dyDescent="0.25">
      <c r="A2" s="2919" t="s">
        <v>4539</v>
      </c>
      <c r="B2" s="2920" t="s">
        <v>4534</v>
      </c>
      <c r="C2" s="2920" t="s">
        <v>4535</v>
      </c>
      <c r="D2" s="2920" t="s">
        <v>4536</v>
      </c>
      <c r="E2" s="2920" t="s">
        <v>1084</v>
      </c>
      <c r="F2" s="2920" t="s">
        <v>4537</v>
      </c>
      <c r="G2" s="2920" t="s">
        <v>464</v>
      </c>
      <c r="H2" s="2919" t="s">
        <v>619</v>
      </c>
      <c r="I2" s="2919" t="s">
        <v>4538</v>
      </c>
      <c r="J2" s="2919" t="s">
        <v>3274</v>
      </c>
      <c r="K2" s="2919" t="s">
        <v>3275</v>
      </c>
      <c r="L2" s="2919" t="s">
        <v>3278</v>
      </c>
      <c r="M2" s="2919" t="s">
        <v>3276</v>
      </c>
      <c r="N2" s="2919" t="s">
        <v>3277</v>
      </c>
      <c r="O2" s="2919" t="s">
        <v>1837</v>
      </c>
      <c r="P2" s="2919" t="s">
        <v>2563</v>
      </c>
      <c r="Q2" s="2919" t="s">
        <v>3505</v>
      </c>
      <c r="R2" s="2919" t="s">
        <v>870</v>
      </c>
      <c r="S2" s="2919" t="s">
        <v>2752</v>
      </c>
    </row>
    <row r="3" spans="1:19" x14ac:dyDescent="0.25">
      <c r="A3" s="2921"/>
      <c r="B3" s="2922"/>
      <c r="C3" s="2922"/>
      <c r="D3" s="2922"/>
      <c r="E3" s="2923"/>
      <c r="F3" s="2922"/>
      <c r="G3" s="2924"/>
      <c r="H3" s="2921"/>
      <c r="I3" s="2925"/>
      <c r="J3" s="2921"/>
      <c r="K3" s="2921"/>
      <c r="L3" s="2921"/>
      <c r="M3" s="2921"/>
      <c r="N3" s="2921"/>
      <c r="O3" s="2921"/>
      <c r="P3" s="2921"/>
      <c r="Q3" s="2921"/>
      <c r="R3" s="2921"/>
      <c r="S3" s="2921"/>
    </row>
    <row r="10" spans="1:19" x14ac:dyDescent="0.25">
      <c r="H10" s="3272"/>
    </row>
  </sheetData>
  <sheetProtection sheet="1" objects="1" scenarios="1" formatColumns="0" formatRows="0" sort="0" autoFilter="0" pivotTables="0"/>
  <autoFilter ref="A2:S2" xr:uid="{00000000-0009-0000-0000-00001B000000}"/>
  <sortState xmlns:xlrd2="http://schemas.microsoft.com/office/spreadsheetml/2017/richdata2" ref="A2:S2">
    <sortCondition ref="B2"/>
    <sortCondition ref="A2"/>
    <sortCondition ref="D2"/>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1329" r:id="rId4" name="Button 1">
              <controlPr defaultSize="0" print="0" autoFill="0" autoPict="0" macro="[0]!Go_To_LOPA_Menu">
                <anchor moveWithCells="1">
                  <from>
                    <xdr:col>0</xdr:col>
                    <xdr:colOff>127000</xdr:colOff>
                    <xdr:row>0</xdr:row>
                    <xdr:rowOff>127000</xdr:rowOff>
                  </from>
                  <to>
                    <xdr:col>0</xdr:col>
                    <xdr:colOff>1454150</xdr:colOff>
                    <xdr:row>0</xdr:row>
                    <xdr:rowOff>336550</xdr:rowOff>
                  </to>
                </anchor>
              </controlPr>
            </control>
          </mc:Choice>
        </mc:AlternateContent>
        <mc:AlternateContent xmlns:mc="http://schemas.openxmlformats.org/markup-compatibility/2006">
          <mc:Choice Requires="x14">
            <control shapeId="1251330" r:id="rId5" name="Pool Fire">
              <controlPr defaultSize="0" print="0" autoFill="0" autoPict="0" macro="[0]!Clear_IPL_List">
                <anchor moveWithCells="1">
                  <from>
                    <xdr:col>7</xdr:col>
                    <xdr:colOff>1333500</xdr:colOff>
                    <xdr:row>0</xdr:row>
                    <xdr:rowOff>69850</xdr:rowOff>
                  </from>
                  <to>
                    <xdr:col>7</xdr:col>
                    <xdr:colOff>2298700</xdr:colOff>
                    <xdr:row>0</xdr:row>
                    <xdr:rowOff>279400</xdr:rowOff>
                  </to>
                </anchor>
              </controlPr>
            </control>
          </mc:Choice>
        </mc:AlternateContent>
        <mc:AlternateContent xmlns:mc="http://schemas.openxmlformats.org/markup-compatibility/2006">
          <mc:Choice Requires="x14">
            <control shapeId="1251331" r:id="rId6" name="Button 3">
              <controlPr defaultSize="0" print="0" autoFill="0" autoPict="0" macro="[0]!Write_IPL_List_Back">
                <anchor moveWithCells="1">
                  <from>
                    <xdr:col>1</xdr:col>
                    <xdr:colOff>127000</xdr:colOff>
                    <xdr:row>0</xdr:row>
                    <xdr:rowOff>127000</xdr:rowOff>
                  </from>
                  <to>
                    <xdr:col>3</xdr:col>
                    <xdr:colOff>768350</xdr:colOff>
                    <xdr:row>0</xdr:row>
                    <xdr:rowOff>323850</xdr:rowOff>
                  </to>
                </anchor>
              </controlPr>
            </control>
          </mc:Choice>
        </mc:AlternateContent>
        <mc:AlternateContent xmlns:mc="http://schemas.openxmlformats.org/markup-compatibility/2006">
          <mc:Choice Requires="x14">
            <control shapeId="1251333" r:id="rId7" name="Button 5">
              <controlPr defaultSize="0" print="0" autoFill="0" autoPict="0" macro="[0]!Generate_IPL_List">
                <anchor moveWithCells="1">
                  <from>
                    <xdr:col>6</xdr:col>
                    <xdr:colOff>2260600</xdr:colOff>
                    <xdr:row>0</xdr:row>
                    <xdr:rowOff>69850</xdr:rowOff>
                  </from>
                  <to>
                    <xdr:col>7</xdr:col>
                    <xdr:colOff>984250</xdr:colOff>
                    <xdr:row>0</xdr:row>
                    <xdr:rowOff>304800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8">
    <tabColor rgb="FFFF0000"/>
    <pageSetUpPr autoPageBreaks="0"/>
  </sheetPr>
  <dimension ref="A1:AW45"/>
  <sheetViews>
    <sheetView showGridLines="0" showRowColHeaders="0" showZeros="0" zoomScale="80" zoomScaleNormal="80" workbookViewId="0">
      <selection activeCell="AY32" sqref="AY32"/>
    </sheetView>
  </sheetViews>
  <sheetFormatPr defaultColWidth="9.1796875" defaultRowHeight="14" x14ac:dyDescent="0.25"/>
  <cols>
    <col min="1" max="1" width="2.81640625" style="324" customWidth="1"/>
    <col min="2" max="2" width="32.1796875" style="324" customWidth="1"/>
    <col min="3" max="3" width="6.81640625" style="324" customWidth="1"/>
    <col min="4" max="14" width="6.81640625" style="323" customWidth="1"/>
    <col min="15" max="15" width="7.81640625" style="323" customWidth="1"/>
    <col min="16" max="16" width="2.81640625" style="323" customWidth="1"/>
    <col min="17" max="17" width="2" style="324" customWidth="1"/>
    <col min="18" max="18" width="9.1796875" style="2596" bestFit="1" customWidth="1"/>
    <col min="19" max="19" width="11" style="2596" customWidth="1"/>
    <col min="20" max="20" width="11.81640625" style="2596" customWidth="1"/>
    <col min="21" max="22" width="9.1796875" style="2596" bestFit="1" customWidth="1"/>
    <col min="23" max="23" width="11.1796875" style="2596" customWidth="1"/>
    <col min="24" max="26" width="9.1796875" style="324"/>
    <col min="27" max="27" width="9.453125" style="324" hidden="1" customWidth="1"/>
    <col min="28" max="37" width="9.1796875" style="324" hidden="1" customWidth="1"/>
    <col min="38" max="48" width="6.81640625" style="323" hidden="1" customWidth="1"/>
    <col min="49" max="49" width="7.81640625" style="323" hidden="1" customWidth="1"/>
    <col min="50" max="50" width="9.1796875" style="324" customWidth="1"/>
    <col min="51" max="16384" width="9.1796875" style="324"/>
  </cols>
  <sheetData>
    <row r="1" spans="1:49" ht="14.5" thickBot="1" x14ac:dyDescent="0.3">
      <c r="A1" s="322"/>
      <c r="B1" s="322"/>
      <c r="C1" s="322"/>
      <c r="Q1" s="322"/>
      <c r="R1" s="324"/>
      <c r="S1" s="324"/>
      <c r="T1" s="324"/>
      <c r="U1" s="324"/>
      <c r="V1" s="324"/>
      <c r="W1" s="324"/>
    </row>
    <row r="2" spans="1:49" ht="16.5" customHeight="1" x14ac:dyDescent="0.25">
      <c r="A2" s="322"/>
      <c r="B2" s="322"/>
      <c r="C2" s="322"/>
      <c r="D2" s="2300"/>
      <c r="E2" s="2301"/>
      <c r="F2" s="2301"/>
      <c r="G2" s="2301"/>
      <c r="H2" s="2301"/>
      <c r="I2" s="2301"/>
      <c r="J2" s="2301"/>
      <c r="K2" s="2301"/>
      <c r="L2" s="2301"/>
      <c r="M2" s="2301"/>
      <c r="N2" s="2301"/>
      <c r="O2" s="2302"/>
      <c r="P2" s="322"/>
      <c r="Q2" s="2596"/>
      <c r="R2" s="324"/>
      <c r="S2" s="324"/>
      <c r="T2" s="324"/>
      <c r="U2" s="324"/>
      <c r="V2" s="324"/>
      <c r="W2" s="324"/>
      <c r="AL2" s="2300"/>
      <c r="AM2" s="2301"/>
      <c r="AN2" s="2301"/>
      <c r="AO2" s="2301"/>
      <c r="AP2" s="2301"/>
      <c r="AQ2" s="2301"/>
      <c r="AR2" s="2301"/>
      <c r="AS2" s="2301"/>
      <c r="AT2" s="2301"/>
      <c r="AU2" s="2301"/>
      <c r="AV2" s="2301"/>
      <c r="AW2" s="2302"/>
    </row>
    <row r="3" spans="1:49" ht="15" customHeight="1" x14ac:dyDescent="0.25">
      <c r="A3" s="322"/>
      <c r="B3" s="325" t="s">
        <v>1</v>
      </c>
      <c r="C3" s="322"/>
      <c r="D3" s="2303"/>
      <c r="E3" s="2304"/>
      <c r="F3" s="4163" t="s">
        <v>4546</v>
      </c>
      <c r="G3" s="4165"/>
      <c r="H3" s="4165"/>
      <c r="I3" s="4165"/>
      <c r="J3" s="4165"/>
      <c r="K3" s="4165"/>
      <c r="L3" s="4165"/>
      <c r="M3" s="4165"/>
      <c r="N3" s="4165"/>
      <c r="O3" s="2305"/>
      <c r="P3" s="324"/>
      <c r="Q3" s="2596"/>
      <c r="R3" s="324"/>
      <c r="S3" s="324"/>
      <c r="T3" s="324"/>
      <c r="U3" s="324"/>
      <c r="V3" s="324"/>
      <c r="W3" s="324"/>
      <c r="AB3" s="2596" t="s">
        <v>309</v>
      </c>
      <c r="AC3" s="2596" t="s">
        <v>4549</v>
      </c>
      <c r="AD3" s="2596" t="s">
        <v>4548</v>
      </c>
      <c r="AI3" s="2597" t="s">
        <v>3</v>
      </c>
      <c r="AJ3" s="2598">
        <f>MATCH(9.999999999999E+307,'Scenario Results'!A:A)</f>
        <v>1</v>
      </c>
      <c r="AL3" s="2303"/>
      <c r="AM3" s="2304"/>
      <c r="AN3" s="4163" t="s">
        <v>4546</v>
      </c>
      <c r="AO3" s="4165"/>
      <c r="AP3" s="4165"/>
      <c r="AQ3" s="4165"/>
      <c r="AR3" s="4165"/>
      <c r="AS3" s="4165"/>
      <c r="AT3" s="4165"/>
      <c r="AU3" s="4165"/>
      <c r="AV3" s="4165"/>
      <c r="AW3" s="2305"/>
    </row>
    <row r="4" spans="1:49" ht="16.5" customHeight="1" x14ac:dyDescent="0.25">
      <c r="A4" s="322"/>
      <c r="B4" s="2599"/>
      <c r="C4" s="322"/>
      <c r="D4" s="2306"/>
      <c r="E4" s="2307"/>
      <c r="F4" s="19"/>
      <c r="G4" s="11" t="s">
        <v>4776</v>
      </c>
      <c r="H4" s="11"/>
      <c r="I4" s="11"/>
      <c r="J4" s="11"/>
      <c r="K4" s="2632"/>
      <c r="L4" s="11" t="s">
        <v>137</v>
      </c>
      <c r="M4" s="2308"/>
      <c r="N4" s="2308"/>
      <c r="O4" s="2305"/>
      <c r="P4" s="324"/>
      <c r="Q4" s="2288"/>
      <c r="R4" s="324"/>
      <c r="S4" s="324"/>
      <c r="T4" s="324"/>
      <c r="U4" s="324"/>
      <c r="V4" s="324"/>
      <c r="W4" s="324"/>
      <c r="AB4" s="2596">
        <f>G14+6</f>
        <v>8</v>
      </c>
      <c r="AC4" s="2596">
        <f>M5*10^(-$F$5)+M6*10^(-$F$6)+M7*10^(-$F$7)+M8*10^(-$F$8)+M9*10^(-$F$9)+M10*10^(-$F$10)+M11*10^(-$F$11)+M12*10^(-$F$12)+M13*10^(-$F$13)+1E-20</f>
        <v>9.9999999999999995E-21</v>
      </c>
      <c r="AD4" s="2596">
        <f>M27*10^(-$F$5)+M28*10^(-$F$6)+M29*10^(-$F$7)+M30*10^(-$F$8)+M31*10^(-$F$9)+M32*10^(-$F$10)+M33*10^(-$F$11)+M34*10^(-$F$12)+M35*10^(-$F$13)+1E-20</f>
        <v>9.9999999999999995E-21</v>
      </c>
      <c r="AI4" s="2597" t="s">
        <v>4</v>
      </c>
      <c r="AJ4" s="2598">
        <f>MATCH(REPT("z",255),'Scenario Results'!A:A)</f>
        <v>2</v>
      </c>
      <c r="AL4" s="2306"/>
      <c r="AM4" s="2307"/>
      <c r="AN4" s="19"/>
      <c r="AO4" s="2308"/>
      <c r="AP4" s="2308"/>
      <c r="AQ4" s="2308"/>
      <c r="AR4" s="2308"/>
      <c r="AS4" s="2596"/>
      <c r="AT4" s="2308"/>
      <c r="AU4" s="2308"/>
      <c r="AV4" s="2308"/>
      <c r="AW4" s="2305"/>
    </row>
    <row r="5" spans="1:49" ht="15.5" x14ac:dyDescent="0.25">
      <c r="A5" s="322"/>
      <c r="B5" s="2599"/>
      <c r="C5" s="322"/>
      <c r="D5" s="4166"/>
      <c r="E5" s="4168" t="s">
        <v>4533</v>
      </c>
      <c r="F5" s="2308">
        <v>0</v>
      </c>
      <c r="G5" s="2309">
        <f ca="1">IF(G$14&lt;&gt;"",INDEX($AO5:$AU5,MATCH(G$14,$AO$14:$AU$14,0)),0)</f>
        <v>0</v>
      </c>
      <c r="H5" s="2309">
        <f t="shared" ref="H5:M13" ca="1" si="0">IF(H$14&lt;&gt;"",INDEX($AO5:$AU5,MATCH(H$14,$AO$14:$AU$14,0)),0)</f>
        <v>0</v>
      </c>
      <c r="I5" s="2309">
        <f t="shared" ca="1" si="0"/>
        <v>0</v>
      </c>
      <c r="J5" s="2309">
        <f t="shared" ca="1" si="0"/>
        <v>0</v>
      </c>
      <c r="K5" s="2309">
        <f t="shared" ca="1" si="0"/>
        <v>0</v>
      </c>
      <c r="L5" s="2309">
        <f t="shared" si="0"/>
        <v>0</v>
      </c>
      <c r="M5" s="2309">
        <f t="shared" si="0"/>
        <v>0</v>
      </c>
      <c r="N5" s="4161" t="s">
        <v>137</v>
      </c>
      <c r="O5" s="2311"/>
      <c r="P5" s="324"/>
      <c r="Q5" s="2596"/>
      <c r="R5" s="324"/>
      <c r="S5" s="324"/>
      <c r="T5" s="324"/>
      <c r="U5" s="324"/>
      <c r="V5" s="324"/>
      <c r="W5" s="324"/>
      <c r="AB5" s="2596">
        <f>G14+5</f>
        <v>7</v>
      </c>
      <c r="AC5" s="2596">
        <f>L5*10^(-$F$5)+L6*10^(-$F$6)+L7*10^(-$F$7)+L8*10^(-$F$8)+L9*10^(-$F$9)+L10*10^(-$F$10)+L11*10^(-$F$11)+L12*10^(-$F$12)+L13*10^(-$F$13)+AC4</f>
        <v>9.9999999999999995E-21</v>
      </c>
      <c r="AD5" s="2596">
        <f>L27*10^(-$F$5)+L28*10^(-$F$6)+L29*10^(-$F$7)+L30*10^(-$F$8)+L31*10^(-$F$9)+L32*10^(-$F$10)+L33*10^(-$F$11)+L34*10^(-$F$12)+L35*10^(-$F$13)+AD4</f>
        <v>9.9999999999999995E-21</v>
      </c>
      <c r="AI5" s="2597" t="s">
        <v>2</v>
      </c>
      <c r="AJ5" s="2598">
        <f>IF(ISERROR(AJ3),IF(ISERROR(AJ4),1000,AJ4),AJ3)</f>
        <v>1</v>
      </c>
      <c r="AL5" s="4166"/>
      <c r="AM5" s="4168" t="s">
        <v>4533</v>
      </c>
      <c r="AN5" s="2308">
        <v>0</v>
      </c>
      <c r="AO5" s="2309">
        <f t="array" aca="1" ref="AO5" ca="1">SUMPRODUCT((TF_Results=AO$14)*((Gap2_Results)=AO$14-$F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5" s="2309">
        <f t="array" aca="1" ref="AP5" ca="1">SUMPRODUCT((TF_Results=AP$14)*((Gap2_Results)=AP$14-$F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5" s="2309">
        <f t="array" aca="1" ref="AQ5" ca="1">SUMPRODUCT((TF_Results=AQ$14)*((Gap2_Results)=AQ$14-$F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5" s="2309">
        <f t="array" aca="1" ref="AR5" ca="1">SUMPRODUCT((TF_Results=AR$14)*((Gap2_Results)=AR$14-$F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5" s="2309">
        <f t="array" aca="1" ref="AS5" ca="1">SUMPRODUCT((TF_Results=AS$14)*((Gap2_Results)=AS$14-$F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5" s="2309">
        <f t="array" aca="1" ref="AT5" ca="1">SUMPRODUCT((TF_Results=AT$14)*((Gap2_Results)=AT$14-$F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5" s="2309">
        <f t="array" aca="1" ref="AU5" ca="1">SUMPRODUCT((TF_Results=AU$14)*((Gap2_Results)=AU$14-$F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5" s="2310"/>
      <c r="AW5" s="2311"/>
    </row>
    <row r="6" spans="1:49" ht="15.65" customHeight="1" x14ac:dyDescent="0.25">
      <c r="A6" s="322"/>
      <c r="B6" s="2599"/>
      <c r="C6" s="322"/>
      <c r="D6" s="4167"/>
      <c r="E6" s="4169"/>
      <c r="F6" s="2308">
        <v>1</v>
      </c>
      <c r="G6" s="2309">
        <f t="shared" ref="G6:G13" ca="1" si="1">IF(G$14&lt;&gt;"",INDEX($AO6:$AU6,MATCH(G$14,$AO$14:$AU$14,0)),0)</f>
        <v>0</v>
      </c>
      <c r="H6" s="2309">
        <f t="shared" ca="1" si="0"/>
        <v>0</v>
      </c>
      <c r="I6" s="2309">
        <f t="shared" ca="1" si="0"/>
        <v>0</v>
      </c>
      <c r="J6" s="2309">
        <f t="shared" ca="1" si="0"/>
        <v>0</v>
      </c>
      <c r="K6" s="2309">
        <f t="shared" ca="1" si="0"/>
        <v>0</v>
      </c>
      <c r="L6" s="2309">
        <f t="shared" si="0"/>
        <v>0</v>
      </c>
      <c r="M6" s="2309">
        <f t="shared" si="0"/>
        <v>0</v>
      </c>
      <c r="N6" s="4160"/>
      <c r="O6" s="2311"/>
      <c r="P6" s="324"/>
      <c r="Q6" s="2596"/>
      <c r="R6" s="324"/>
      <c r="S6" s="324"/>
      <c r="T6" s="324"/>
      <c r="U6" s="324"/>
      <c r="V6" s="324"/>
      <c r="W6" s="324"/>
      <c r="AB6" s="2596">
        <f>G14+4</f>
        <v>6</v>
      </c>
      <c r="AC6" s="2596">
        <f ca="1">K5*10^(-$F$5)+K6*10^(-$F$6)+K7*10^(-$F$7)+K8*10^(-$F$8)+K9*10^(-$F$9)+K10*10^(-$F$10)+K11*10^(-$F$11)+K12*10^(-$F$12)+K13*10^(-$F$13)+AC5</f>
        <v>9.9999999999999995E-21</v>
      </c>
      <c r="AD6" s="2596">
        <f ca="1">K27*10^(-$F$5)+K28*10^(-$F$6)+K29*10^(-$F$7)+K30*10^(-$F$8)+K31*10^(-$F$9)+K32*10^(-$F$10)+K33*10^(-$F$11)+K34*10^(-$F$12)+K35*10^(-$F$13)+AD5</f>
        <v>9.9999999999999995E-21</v>
      </c>
      <c r="AI6" s="2597" t="s">
        <v>5</v>
      </c>
      <c r="AJ6" s="2598" t="e">
        <f>MATCH(9.999999999999E+307,'Equipment Table'!A:A)</f>
        <v>#N/A</v>
      </c>
      <c r="AL6" s="4167"/>
      <c r="AM6" s="4169"/>
      <c r="AN6" s="2308">
        <v>1</v>
      </c>
      <c r="AO6" s="2309">
        <f t="array" aca="1" ref="AO6" ca="1">SUMPRODUCT((TF_Results=AO$14)*((Gap2_Results)=AO$14-$F6)*(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6" s="2309">
        <f t="array" aca="1" ref="AP6" ca="1">SUMPRODUCT((TF_Results=AP$14)*((Gap2_Results)=AP$14-$F6)*(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6" s="2309">
        <f t="array" aca="1" ref="AQ6" ca="1">SUMPRODUCT((TF_Results=AQ$14)*((Gap2_Results)=AQ$14-$F6)*(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6" s="2309">
        <f t="array" aca="1" ref="AR6" ca="1">SUMPRODUCT((TF_Results=AR$14)*((Gap2_Results)=AR$14-$F6)*(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6" s="2309">
        <f t="array" aca="1" ref="AS6" ca="1">SUMPRODUCT((TF_Results=AS$14)*((Gap2_Results)=AS$14-$F6)*(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6" s="2309">
        <f t="array" aca="1" ref="AT6" ca="1">SUMPRODUCT((TF_Results=AT$14)*((Gap2_Results)=AT$14-$F6)*(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6" s="2309">
        <f t="array" aca="1" ref="AU6" ca="1">SUMPRODUCT((TF_Results=AU$14)*((Gap2_Results)=AU$14-$F6)*(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6" s="2310"/>
      <c r="AW6" s="2311"/>
    </row>
    <row r="7" spans="1:49" ht="15.5" x14ac:dyDescent="0.25">
      <c r="A7" s="322"/>
      <c r="B7" s="2599"/>
      <c r="C7" s="322"/>
      <c r="D7" s="4167"/>
      <c r="E7" s="4169"/>
      <c r="F7" s="2308">
        <v>2</v>
      </c>
      <c r="G7" s="2309">
        <f t="shared" ca="1" si="1"/>
        <v>0</v>
      </c>
      <c r="H7" s="2309">
        <f t="shared" ca="1" si="0"/>
        <v>0</v>
      </c>
      <c r="I7" s="2309">
        <f t="shared" ca="1" si="0"/>
        <v>0</v>
      </c>
      <c r="J7" s="2309">
        <f t="shared" ca="1" si="0"/>
        <v>0</v>
      </c>
      <c r="K7" s="2309">
        <f t="shared" ca="1" si="0"/>
        <v>0</v>
      </c>
      <c r="L7" s="2309">
        <f t="shared" si="0"/>
        <v>0</v>
      </c>
      <c r="M7" s="2309">
        <f t="shared" si="0"/>
        <v>0</v>
      </c>
      <c r="N7" s="2633"/>
      <c r="O7" s="2311"/>
      <c r="P7" s="324"/>
      <c r="Q7" s="2596"/>
      <c r="R7" s="324"/>
      <c r="S7" s="324"/>
      <c r="T7" s="324"/>
      <c r="U7" s="324"/>
      <c r="V7" s="324"/>
      <c r="W7" s="324"/>
      <c r="AB7" s="2596">
        <f>G14+3</f>
        <v>5</v>
      </c>
      <c r="AC7" s="2596">
        <f ca="1">J5*10^(-$F$5)+J6*10^(-$F$6)+J7*10^(-$F$7)+J8*10^(-$F$8)+J9*10^(-$F$9)+J10*10^(-$F$10)+J11*10^(-$F$11)+J12*10^(-$F$12)+J13*10^(-$F$13)+AC6</f>
        <v>9.9999999999999995E-21</v>
      </c>
      <c r="AD7" s="2596">
        <f ca="1">J27*10^(-$F$5)+J28*10^(-$F$6)+J29*10^(-$F$7)+J30*10^(-$F$8)+J31*10^(-$F$9)+J32*10^(-$F$10)+J33*10^(-$F$11)+J34*10^(-$F$12)+J35*10^(-$F$13)+AD6</f>
        <v>9.9999999999999995E-21</v>
      </c>
      <c r="AI7" s="2597" t="s">
        <v>6</v>
      </c>
      <c r="AJ7" s="2598">
        <f>MATCH(REPT("z",255),'Equipment Table'!A:A)</f>
        <v>3</v>
      </c>
      <c r="AL7" s="4167"/>
      <c r="AM7" s="4169"/>
      <c r="AN7" s="2308">
        <v>2</v>
      </c>
      <c r="AO7" s="2309">
        <f t="array" aca="1" ref="AO7" ca="1">SUMPRODUCT((TF_Results=AO$14)*((Gap2_Results)=AO$14-$F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7" s="2309">
        <f t="array" aca="1" ref="AP7" ca="1">SUMPRODUCT((TF_Results=AP$14)*((Gap2_Results)=AP$14-$F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7" s="2309">
        <f t="array" aca="1" ref="AQ7" ca="1">SUMPRODUCT((TF_Results=AQ$14)*((Gap2_Results)=AQ$14-$F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7" s="2309">
        <f t="array" aca="1" ref="AR7" ca="1">SUMPRODUCT((TF_Results=AR$14)*((Gap2_Results)=AR$14-$F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7" s="2309">
        <f t="array" aca="1" ref="AS7" ca="1">SUMPRODUCT((TF_Results=AS$14)*((Gap2_Results)=AS$14-$F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7" s="2309">
        <f t="array" aca="1" ref="AT7" ca="1">SUMPRODUCT((TF_Results=AT$14)*((Gap2_Results)=AT$14-$F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7" s="2309">
        <f t="array" aca="1" ref="AU7" ca="1">SUMPRODUCT((TF_Results=AU$14)*((Gap2_Results)=AU$14-$F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7" s="2310"/>
      <c r="AW7" s="2311"/>
    </row>
    <row r="8" spans="1:49" ht="15.5" x14ac:dyDescent="0.25">
      <c r="A8" s="322"/>
      <c r="B8" s="2599"/>
      <c r="C8" s="322"/>
      <c r="D8" s="4167"/>
      <c r="E8" s="4169"/>
      <c r="F8" s="2308">
        <v>3</v>
      </c>
      <c r="G8" s="2309">
        <f t="shared" ca="1" si="1"/>
        <v>0</v>
      </c>
      <c r="H8" s="2309">
        <f t="shared" ca="1" si="0"/>
        <v>0</v>
      </c>
      <c r="I8" s="2309">
        <f t="shared" ca="1" si="0"/>
        <v>0</v>
      </c>
      <c r="J8" s="2309">
        <f t="shared" ca="1" si="0"/>
        <v>0</v>
      </c>
      <c r="K8" s="2309">
        <f t="shared" ca="1" si="0"/>
        <v>0</v>
      </c>
      <c r="L8" s="2309">
        <f t="shared" si="0"/>
        <v>0</v>
      </c>
      <c r="M8" s="2309">
        <f t="shared" si="0"/>
        <v>0</v>
      </c>
      <c r="N8" s="2633"/>
      <c r="O8" s="2311"/>
      <c r="P8" s="324"/>
      <c r="Q8" s="2596"/>
      <c r="R8" s="324"/>
      <c r="S8" s="324"/>
      <c r="T8" s="324"/>
      <c r="U8" s="324"/>
      <c r="V8" s="324"/>
      <c r="W8" s="324"/>
      <c r="AB8" s="2596">
        <f>G14+2</f>
        <v>4</v>
      </c>
      <c r="AC8" s="2596">
        <f ca="1">I5*10^(-$F$5)+I6*10^(-$F$6)+I7*10^(-$F$7)+I8*10^(-$F$8)+I9*10^(-$F$9)+I10*10^(-$F$10)+I11*10^(-$F$11)+I12*10^(-$F$12)+I13*10^(-$F$13)+AC7</f>
        <v>9.9999999999999995E-21</v>
      </c>
      <c r="AD8" s="2596">
        <f ca="1">I27*10^(-$F$5)+I28*10^(-$F$6)+I29*10^(-$F$7)+I30*10^(-$F$8)+I31*10^(-$F$9)+I32*10^(-$F$10)+I33*10^(-$F$11)+I34*10^(-$F$12)+I35*10^(-$F$13)+AD7</f>
        <v>9.9999999999999995E-21</v>
      </c>
      <c r="AI8" s="2600" t="s">
        <v>7</v>
      </c>
      <c r="AJ8" s="2598">
        <f>IF(ISERROR(AJ7),IF(ISERROR(AJ6),100,AJ6),AJ7)</f>
        <v>3</v>
      </c>
      <c r="AL8" s="4167"/>
      <c r="AM8" s="4169"/>
      <c r="AN8" s="2308">
        <v>3</v>
      </c>
      <c r="AO8" s="2309">
        <f t="array" aca="1" ref="AO8" ca="1">SUMPRODUCT((TF_Results=AO$14)*((Gap2_Results)=AO$14-$F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8" s="2309">
        <f t="array" aca="1" ref="AP8" ca="1">SUMPRODUCT((TF_Results=AP$14)*((Gap2_Results)=AP$14-$F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8" s="2309">
        <f t="array" aca="1" ref="AQ8" ca="1">SUMPRODUCT((TF_Results=AQ$14)*((Gap2_Results)=AQ$14-$F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8" s="2309">
        <f t="array" aca="1" ref="AR8" ca="1">SUMPRODUCT((TF_Results=AR$14)*((Gap2_Results)=AR$14-$F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8" s="2309">
        <f t="array" aca="1" ref="AS8" ca="1">SUMPRODUCT((TF_Results=AS$14)*((Gap2_Results)=AS$14-$F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8" s="2309">
        <f t="array" aca="1" ref="AT8" ca="1">SUMPRODUCT((TF_Results=AT$14)*((Gap2_Results)=AT$14-$F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8" s="2309">
        <f t="array" aca="1" ref="AU8" ca="1">SUMPRODUCT((TF_Results=AU$14)*((Gap2_Results)=AU$14-$F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8" s="2310"/>
      <c r="AW8" s="2311"/>
    </row>
    <row r="9" spans="1:49" ht="15.5" x14ac:dyDescent="0.25">
      <c r="A9" s="322"/>
      <c r="B9" s="2599"/>
      <c r="C9" s="322"/>
      <c r="D9" s="4167"/>
      <c r="E9" s="4169"/>
      <c r="F9" s="2308">
        <v>4</v>
      </c>
      <c r="G9" s="2309">
        <f t="shared" ca="1" si="1"/>
        <v>0</v>
      </c>
      <c r="H9" s="2309">
        <f t="shared" ca="1" si="0"/>
        <v>0</v>
      </c>
      <c r="I9" s="2309">
        <f t="shared" ca="1" si="0"/>
        <v>0</v>
      </c>
      <c r="J9" s="2309">
        <f t="shared" ca="1" si="0"/>
        <v>0</v>
      </c>
      <c r="K9" s="2309">
        <f t="shared" ca="1" si="0"/>
        <v>0</v>
      </c>
      <c r="L9" s="2309">
        <f t="shared" si="0"/>
        <v>0</v>
      </c>
      <c r="M9" s="2309">
        <f t="shared" si="0"/>
        <v>0</v>
      </c>
      <c r="N9" s="2633"/>
      <c r="O9" s="2311"/>
      <c r="P9" s="324"/>
      <c r="Q9" s="2596"/>
      <c r="R9" s="324"/>
      <c r="S9" s="324"/>
      <c r="T9" s="324"/>
      <c r="U9" s="324"/>
      <c r="V9" s="324"/>
      <c r="W9" s="324"/>
      <c r="AB9" s="2596">
        <f>G14+1</f>
        <v>3</v>
      </c>
      <c r="AC9" s="2596">
        <f ca="1">H5*10^(-$F$5)+H6*10^(-$F$6)+H7*10^(-$F$7)+H8*10^(-$F$8)+H9*10^(-$F$9)+H10*10^(-$F$10)+H11*10^(-$F$11)+H12*10^(-$F$12)+H13*10^(-$F$13)+AC8</f>
        <v>9.9999999999999995E-21</v>
      </c>
      <c r="AD9" s="2596">
        <f ca="1">H27*10^(-$F$5)+H28*10^(-$F$6)+H29*10^(-$F$7)+H30*10^(-$F$8)+H31*10^(-$F$9)+H32*10^(-$F$10)+H33*10^(-$F$11)+H34*10^(-$F$12)+H35*10^(-$F$13)+AD8</f>
        <v>9.9999999999999995E-21</v>
      </c>
      <c r="AI9" s="2597" t="s">
        <v>0</v>
      </c>
      <c r="AJ9" s="2598">
        <f>IF(COUNTA(B4:B23)&gt;0,1,0)</f>
        <v>0</v>
      </c>
      <c r="AL9" s="4167"/>
      <c r="AM9" s="4169"/>
      <c r="AN9" s="2308">
        <v>4</v>
      </c>
      <c r="AO9" s="2309">
        <f t="array" aca="1" ref="AO9" ca="1">SUMPRODUCT((TF_Results=AO$14)*((Gap2_Results)=AO$14-$F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9" s="2309">
        <f t="array" aca="1" ref="AP9" ca="1">SUMPRODUCT((TF_Results=AP$14)*((Gap2_Results)=AP$14-$F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9" s="2309">
        <f t="array" aca="1" ref="AQ9" ca="1">SUMPRODUCT((TF_Results=AQ$14)*((Gap2_Results)=AQ$14-$F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9" s="2309">
        <f t="array" aca="1" ref="AR9" ca="1">SUMPRODUCT((TF_Results=AR$14)*((Gap2_Results)=AR$14-$F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9" s="2309">
        <f t="array" aca="1" ref="AS9" ca="1">SUMPRODUCT((TF_Results=AS$14)*((Gap2_Results)=AS$14-$F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9" s="2309">
        <f t="array" aca="1" ref="AT9" ca="1">SUMPRODUCT((TF_Results=AT$14)*((Gap2_Results)=AT$14-$F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9" s="2309">
        <f t="array" aca="1" ref="AU9" ca="1">SUMPRODUCT((TF_Results=AU$14)*((Gap2_Results)=AU$14-$F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9" s="2310"/>
      <c r="AW9" s="2311"/>
    </row>
    <row r="10" spans="1:49" ht="15.5" x14ac:dyDescent="0.25">
      <c r="A10" s="322"/>
      <c r="B10" s="2599"/>
      <c r="C10" s="322"/>
      <c r="D10" s="4167"/>
      <c r="E10" s="4169"/>
      <c r="F10" s="972">
        <v>5</v>
      </c>
      <c r="G10" s="2309">
        <f t="shared" ca="1" si="1"/>
        <v>0</v>
      </c>
      <c r="H10" s="2309">
        <f t="shared" ca="1" si="0"/>
        <v>0</v>
      </c>
      <c r="I10" s="2309">
        <f t="shared" ca="1" si="0"/>
        <v>0</v>
      </c>
      <c r="J10" s="2309">
        <f t="shared" ca="1" si="0"/>
        <v>0</v>
      </c>
      <c r="K10" s="2309">
        <f t="shared" ca="1" si="0"/>
        <v>0</v>
      </c>
      <c r="L10" s="2309">
        <f t="shared" si="0"/>
        <v>0</v>
      </c>
      <c r="M10" s="2309">
        <f t="shared" si="0"/>
        <v>0</v>
      </c>
      <c r="N10" s="2633"/>
      <c r="O10" s="2311"/>
      <c r="P10" s="324"/>
      <c r="Q10" s="2596"/>
      <c r="R10" s="324"/>
      <c r="S10" s="324"/>
      <c r="T10" s="324"/>
      <c r="U10" s="324"/>
      <c r="V10" s="324"/>
      <c r="W10" s="324"/>
      <c r="AB10" s="2596">
        <f>G14</f>
        <v>2</v>
      </c>
      <c r="AC10" s="2596">
        <f ca="1">G5*10^(-$F$5)+G6*10^(-$F$6)+G7*10^(-$F$7)+G8*10^(-$F$8)+G9*10^(-$F$9)+G10*10^(-$F$10)+G11*10^(-$F$11)+G12*10^(-$F$12)+G13*10^(-$F$13)+AC9</f>
        <v>9.9999999999999995E-21</v>
      </c>
      <c r="AD10" s="2596">
        <f ca="1">G27*10^(-$F$5)+G28*10^(-$F$6)+G29*10^(-$F$7)+G30*10^(-$F$8)+G31*10^(-$F$9)+G32*10^(-$F$10)+G33*10^(-$F$11)+G34*10^(-$F$12)+G35*10^(-$F$13)+AD9</f>
        <v>9.9999999999999995E-21</v>
      </c>
      <c r="AL10" s="4167"/>
      <c r="AM10" s="4169"/>
      <c r="AN10" s="972">
        <v>5</v>
      </c>
      <c r="AO10" s="2309">
        <f t="array" aca="1" ref="AO10" ca="1">SUMPRODUCT((TF_Results=AO$14)*((Gap2_Results)=AO$14-$F10)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10" s="2309">
        <f t="array" aca="1" ref="AP10" ca="1">SUMPRODUCT((TF_Results=AP$14)*((Gap2_Results)=AP$14-$F10)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10" s="2309">
        <f t="array" aca="1" ref="AQ10" ca="1">SUMPRODUCT((TF_Results=AQ$14)*((Gap2_Results)=AQ$14-$F10)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10" s="2309">
        <f t="array" aca="1" ref="AR10" ca="1">SUMPRODUCT((TF_Results=AR$14)*((Gap2_Results)=AR$14-$F10)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10" s="2309">
        <f t="array" aca="1" ref="AS10" ca="1">SUMPRODUCT((TF_Results=AS$14)*((Gap2_Results)=AS$14-$F10)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10" s="2309">
        <f t="array" aca="1" ref="AT10" ca="1">SUMPRODUCT((TF_Results=AT$14)*((Gap2_Results)=AT$14-$F10)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10" s="2309">
        <f t="array" aca="1" ref="AU10" ca="1">SUMPRODUCT((TF_Results=AU$14)*((Gap2_Results)=AU$14-$F10)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10" s="2310"/>
      <c r="AW10" s="2311"/>
    </row>
    <row r="11" spans="1:49" ht="15.5" x14ac:dyDescent="0.25">
      <c r="A11" s="322"/>
      <c r="B11" s="2599"/>
      <c r="C11" s="322"/>
      <c r="D11" s="4167"/>
      <c r="E11" s="4169"/>
      <c r="F11" s="972">
        <v>6</v>
      </c>
      <c r="G11" s="2309">
        <f t="shared" ca="1" si="1"/>
        <v>0</v>
      </c>
      <c r="H11" s="2309">
        <f t="shared" ca="1" si="0"/>
        <v>0</v>
      </c>
      <c r="I11" s="2309">
        <f t="shared" ca="1" si="0"/>
        <v>0</v>
      </c>
      <c r="J11" s="2309">
        <f t="shared" ca="1" si="0"/>
        <v>0</v>
      </c>
      <c r="K11" s="2309">
        <f t="shared" ca="1" si="0"/>
        <v>0</v>
      </c>
      <c r="L11" s="2309">
        <f t="shared" si="0"/>
        <v>0</v>
      </c>
      <c r="M11" s="2309">
        <f t="shared" si="0"/>
        <v>0</v>
      </c>
      <c r="N11" s="2633"/>
      <c r="O11" s="2311"/>
      <c r="P11" s="324"/>
      <c r="Q11" s="2596"/>
      <c r="R11" s="324"/>
      <c r="S11" s="324"/>
      <c r="T11" s="324"/>
      <c r="U11" s="324"/>
      <c r="V11" s="324"/>
      <c r="W11" s="324"/>
      <c r="AL11" s="4167"/>
      <c r="AM11" s="4169"/>
      <c r="AN11" s="972">
        <v>6</v>
      </c>
      <c r="AO11" s="2309">
        <f t="array" aca="1" ref="AO11" ca="1">SUMPRODUCT((TF_Results=AO$14)*((Gap2_Results)=AO$14-$F11)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11" s="2309">
        <f t="array" aca="1" ref="AP11" ca="1">SUMPRODUCT((TF_Results=AP$14)*((Gap2_Results)=AP$14-$F11)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11" s="2309">
        <f t="array" aca="1" ref="AQ11" ca="1">SUMPRODUCT((TF_Results=AQ$14)*((Gap2_Results)=AQ$14-$F11)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11" s="2309">
        <f t="array" aca="1" ref="AR11" ca="1">SUMPRODUCT((TF_Results=AR$14)*((Gap2_Results)=AR$14-$F11)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11" s="2309">
        <f t="array" aca="1" ref="AS11" ca="1">SUMPRODUCT((TF_Results=AS$14)*((Gap2_Results)=AS$14-$F11)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11" s="2309">
        <f t="array" aca="1" ref="AT11" ca="1">SUMPRODUCT((TF_Results=AT$14)*((Gap2_Results)=AT$14-$F11)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11" s="2309">
        <f t="array" aca="1" ref="AU11" ca="1">SUMPRODUCT((TF_Results=AU$14)*((Gap2_Results)=AU$14-$F11)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11" s="2310"/>
      <c r="AW11" s="2311"/>
    </row>
    <row r="12" spans="1:49" ht="15.5" x14ac:dyDescent="0.25">
      <c r="A12" s="322"/>
      <c r="B12" s="2599"/>
      <c r="C12" s="322"/>
      <c r="D12" s="4167"/>
      <c r="E12" s="4169"/>
      <c r="F12" s="972">
        <v>7</v>
      </c>
      <c r="G12" s="2309">
        <f t="shared" ca="1" si="1"/>
        <v>0</v>
      </c>
      <c r="H12" s="2309">
        <f t="shared" ca="1" si="0"/>
        <v>0</v>
      </c>
      <c r="I12" s="2309">
        <f t="shared" ca="1" si="0"/>
        <v>0</v>
      </c>
      <c r="J12" s="2309">
        <f t="shared" ca="1" si="0"/>
        <v>0</v>
      </c>
      <c r="K12" s="2309">
        <f t="shared" ca="1" si="0"/>
        <v>0</v>
      </c>
      <c r="L12" s="2309">
        <f t="shared" si="0"/>
        <v>0</v>
      </c>
      <c r="M12" s="2309">
        <f t="shared" si="0"/>
        <v>0</v>
      </c>
      <c r="N12" s="4160" t="s">
        <v>140</v>
      </c>
      <c r="O12" s="2311"/>
      <c r="P12" s="324"/>
      <c r="Q12" s="2596"/>
      <c r="R12" s="324"/>
      <c r="S12" s="324"/>
      <c r="T12" s="324"/>
      <c r="U12" s="324"/>
      <c r="V12" s="324"/>
      <c r="W12" s="324"/>
      <c r="AL12" s="4167"/>
      <c r="AM12" s="4169"/>
      <c r="AN12" s="972">
        <v>7</v>
      </c>
      <c r="AO12" s="2309">
        <f t="array" aca="1" ref="AO12" ca="1">SUMPRODUCT((TF_Results=AO$14)*((Gap2_Results)=AO$14-$F12)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12" s="2309">
        <f t="array" aca="1" ref="AP12" ca="1">SUMPRODUCT((TF_Results=AP$14)*((Gap2_Results)=AP$14-$F12)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12" s="2309">
        <f t="array" aca="1" ref="AQ12" ca="1">SUMPRODUCT((TF_Results=AQ$14)*((Gap2_Results)=AQ$14-$F12)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12" s="2309">
        <f t="array" aca="1" ref="AR12" ca="1">SUMPRODUCT((TF_Results=AR$14)*((Gap2_Results)=AR$14-$F12)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12" s="2309">
        <f t="array" aca="1" ref="AS12" ca="1">SUMPRODUCT((TF_Results=AS$14)*((Gap2_Results)=AS$14-$F12)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12" s="2309">
        <f t="array" aca="1" ref="AT12" ca="1">SUMPRODUCT((TF_Results=AT$14)*((Gap2_Results)=AT$14-$F12)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12" s="2309">
        <f t="array" aca="1" ref="AU12" ca="1">SUMPRODUCT((TF_Results=AU$14)*((Gap2_Results)=AU$14-$F12)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12" s="2310"/>
      <c r="AW12" s="2311"/>
    </row>
    <row r="13" spans="1:49" ht="15.5" x14ac:dyDescent="0.25">
      <c r="A13" s="322"/>
      <c r="B13" s="2599"/>
      <c r="C13" s="322"/>
      <c r="D13" s="4167"/>
      <c r="E13" s="4169"/>
      <c r="F13" s="972">
        <v>8</v>
      </c>
      <c r="G13" s="2309">
        <f t="shared" ca="1" si="1"/>
        <v>0</v>
      </c>
      <c r="H13" s="2309">
        <f t="shared" ca="1" si="0"/>
        <v>0</v>
      </c>
      <c r="I13" s="2309">
        <f t="shared" ca="1" si="0"/>
        <v>0</v>
      </c>
      <c r="J13" s="2309">
        <f t="shared" ca="1" si="0"/>
        <v>0</v>
      </c>
      <c r="K13" s="2309">
        <f t="shared" ca="1" si="0"/>
        <v>0</v>
      </c>
      <c r="L13" s="2309">
        <f t="shared" si="0"/>
        <v>0</v>
      </c>
      <c r="M13" s="2309">
        <f t="shared" si="0"/>
        <v>0</v>
      </c>
      <c r="N13" s="4160"/>
      <c r="O13" s="2311"/>
      <c r="P13" s="324"/>
      <c r="Q13" s="2596"/>
      <c r="R13" s="324"/>
      <c r="S13" s="324"/>
      <c r="T13" s="324"/>
      <c r="U13" s="324"/>
      <c r="V13" s="324"/>
      <c r="W13" s="324"/>
      <c r="AL13" s="4167"/>
      <c r="AM13" s="4169"/>
      <c r="AN13" s="972">
        <v>8</v>
      </c>
      <c r="AO13" s="2309">
        <f t="array" aca="1" ref="AO13" ca="1">SUMPRODUCT((TF_Results=AO$14)*((Gap2_Results)=AO$14-$F13)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13" s="2309">
        <f t="array" aca="1" ref="AP13" ca="1">SUMPRODUCT((TF_Results=AP$14)*((Gap2_Results)=AP$14-$F13)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13" s="2309">
        <f t="array" aca="1" ref="AQ13" ca="1">SUMPRODUCT((TF_Results=AQ$14)*((Gap2_Results)=AQ$14-$F13)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13" s="2309">
        <f t="array" aca="1" ref="AR13" ca="1">SUMPRODUCT((TF_Results=AR$14)*((Gap2_Results)=AR$14-$F13)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13" s="2309">
        <f t="array" aca="1" ref="AS13" ca="1">SUMPRODUCT((TF_Results=AS$14)*((Gap2_Results)=AS$14-$F13)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13" s="2309">
        <f t="array" aca="1" ref="AT13" ca="1">SUMPRODUCT((TF_Results=AT$14)*((Gap2_Results)=AT$14-$F13)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13" s="2309">
        <f t="array" aca="1" ref="AU13" ca="1">SUMPRODUCT((TF_Results=AU$14)*((Gap2_Results)=AU$14-$F13)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13" s="2310"/>
      <c r="AW13" s="2311"/>
    </row>
    <row r="14" spans="1:49" ht="16.5" customHeight="1" x14ac:dyDescent="0.25">
      <c r="A14" s="322"/>
      <c r="B14" s="2599"/>
      <c r="C14" s="322"/>
      <c r="D14" s="4176" t="s">
        <v>4545</v>
      </c>
      <c r="E14" s="4177"/>
      <c r="F14" s="4177"/>
      <c r="G14" s="2312">
        <f>IF(AO14&gt;0,AO14,IF(AP14&gt;0,AP14,IF(AQ14&gt;0,AQ14,IF(AR14&gt;0,AR14,IF(AS14&gt;0,AS14,IF(AT14&gt;0,AT14,AU14))))))</f>
        <v>2</v>
      </c>
      <c r="H14" s="2312">
        <f>IF(G14="","",IF(AND(AO14&gt;0,AP14&gt;0),AP14,IF(AQ14&gt;0,AQ14,IF(AR14&gt;0,AR14,IF(AS14&gt;0,AS14,IF(AT14&gt;0,AT14,IF(AND(AU14&gt;0,G14&lt;&gt;MAX(AO14:AU14)),AU14,"")))))))</f>
        <v>3</v>
      </c>
      <c r="I14" s="2312">
        <f>IF(H14="","",IF(AND(AP14&gt;0,AQ14&gt;0),AQ14,IF(AR14&gt;0,AR14,IF(AS14&gt;0,AS14,IF(AT14&gt;0,AT14,IF(AND(AU14&gt;0,H14&lt;&gt;MAX(AO14:AU14)),AU14,""))))))</f>
        <v>4</v>
      </c>
      <c r="J14" s="2312">
        <f>IF(I14="","",IF(AND(AQ14&gt;0,AR14&gt;0),AR14,IF(AS14&gt;0,AS14,IF(AT14&gt;0,AT14,IF(AND(AU14&gt;0,I14&lt;&gt;MAX(AO14:AU14)),AU14,"")))))</f>
        <v>5</v>
      </c>
      <c r="K14" s="2312">
        <f>IF(J14="","",IF(AND(AR14&gt;0,AS14&gt;0),AS14,IF(AT14&gt;0,AT14,IF(AND(AU14&gt;0,J14&lt;&gt;MAX(AO14:AU14)),AU14,""))))</f>
        <v>6</v>
      </c>
      <c r="L14" s="2312" t="str">
        <f>IF(K14="","",IF(AND(AS14&gt;0,AT14&gt;0),AT14,IF(AND(AU14&gt;0,K14&lt;&gt;MAX(AO14:AU14)),AU14,"")))</f>
        <v/>
      </c>
      <c r="M14" s="2312" t="str">
        <f>IF(L14="","",IF(AND(AT14&gt;0,AU14&gt;0),AU14,""))</f>
        <v/>
      </c>
      <c r="N14" s="2310"/>
      <c r="O14" s="2311"/>
      <c r="P14" s="324"/>
      <c r="Q14" s="2596"/>
      <c r="R14" s="324"/>
      <c r="S14" s="324"/>
      <c r="T14" s="324"/>
      <c r="U14" s="324"/>
      <c r="V14" s="324"/>
      <c r="W14" s="324"/>
      <c r="AL14" s="4176" t="s">
        <v>4545</v>
      </c>
      <c r="AM14" s="4177"/>
      <c r="AN14" s="4177"/>
      <c r="AO14" s="2312">
        <f>Conseq_VeryLow</f>
        <v>2</v>
      </c>
      <c r="AP14" s="2312">
        <f>IF(Conseq_Low&lt;&gt;AO14,Conseq_Low,0)</f>
        <v>3</v>
      </c>
      <c r="AQ14" s="2312">
        <f>IF(Conseq_Moderate&lt;&gt;MAX(AO14:AP14),Conseq_Moderate,0)</f>
        <v>4</v>
      </c>
      <c r="AR14" s="2312">
        <f>IF(Conseq_High&lt;&gt;MAX(AO14:AQ14),Conseq_High,0)</f>
        <v>5</v>
      </c>
      <c r="AS14" s="2312">
        <f>IF(Conseq_VeryHigh&lt;&gt;MAX(AO14:AR14),Conseq_VeryHigh,0)</f>
        <v>6</v>
      </c>
      <c r="AT14" s="2312">
        <f>IF(Conseq_ExtremeHigh&lt;&gt;MAX(AO14:AS14),Conseq_ExtremeHigh,0)</f>
        <v>0</v>
      </c>
      <c r="AU14" s="2312">
        <f>IF(Conseq_GT_ExtremeHigh&lt;&gt;MAX(AO14:AS14),Conseq_GT_ExtremeHigh,0)</f>
        <v>0</v>
      </c>
      <c r="AV14" s="2310"/>
      <c r="AW14" s="2311"/>
    </row>
    <row r="15" spans="1:49" ht="16.5" customHeight="1" x14ac:dyDescent="0.25">
      <c r="A15" s="322"/>
      <c r="B15" s="2599"/>
      <c r="C15" s="322"/>
      <c r="D15" s="4178"/>
      <c r="E15" s="4177"/>
      <c r="F15" s="4177"/>
      <c r="G15" s="4170" t="str">
        <f>IF(G$14&lt;&gt;"",INDEX($AO15:$AU15,MATCH(G$14,$AO$14:$AU$14,0)),"")</f>
        <v>Moderate Severity</v>
      </c>
      <c r="H15" s="4170" t="str">
        <f t="shared" ref="H15:M15" si="2">IF(H$14&lt;&gt;"",INDEX($AO15:$AU15,MATCH(H$14,$AO$14:$AU$14,0)),"")</f>
        <v>High Severity</v>
      </c>
      <c r="I15" s="4170" t="str">
        <f t="shared" si="2"/>
        <v>Very High Severity</v>
      </c>
      <c r="J15" s="4170" t="str">
        <f t="shared" si="2"/>
        <v>Extremely High Severity</v>
      </c>
      <c r="K15" s="4170" t="str">
        <f t="shared" si="2"/>
        <v>Catastrophic Severity</v>
      </c>
      <c r="L15" s="4170" t="str">
        <f t="shared" si="2"/>
        <v/>
      </c>
      <c r="M15" s="4170" t="str">
        <f t="shared" si="2"/>
        <v/>
      </c>
      <c r="N15" s="2310"/>
      <c r="O15" s="2311"/>
      <c r="P15" s="324"/>
      <c r="Q15" s="2596"/>
      <c r="R15" s="324"/>
      <c r="S15" s="324"/>
      <c r="T15" s="324"/>
      <c r="U15" s="324"/>
      <c r="V15" s="324"/>
      <c r="W15" s="324"/>
      <c r="AL15" s="4178"/>
      <c r="AM15" s="4177"/>
      <c r="AN15" s="4177"/>
      <c r="AO15" s="4162" t="str">
        <f>Desc_VeryLow</f>
        <v>Moderate Severity</v>
      </c>
      <c r="AP15" s="4162" t="str">
        <f>Desc_Low</f>
        <v>High Severity</v>
      </c>
      <c r="AQ15" s="4162" t="str">
        <f>Desc_Moderate</f>
        <v>Very High Severity</v>
      </c>
      <c r="AR15" s="4162" t="str">
        <f>Desc_High</f>
        <v>Extremely High Severity</v>
      </c>
      <c r="AS15" s="4162" t="str">
        <f>Desc_VeryHigh</f>
        <v>Catastrophic Severity</v>
      </c>
      <c r="AT15" s="4162" t="str">
        <f>Desc_ExtremeHigh</f>
        <v>Catastrophic Severity</v>
      </c>
      <c r="AU15" s="4162" t="str">
        <f>Desc_GT_ExtremeHigh</f>
        <v>Catastrophic Severity</v>
      </c>
      <c r="AV15" s="2310"/>
      <c r="AW15" s="2311"/>
    </row>
    <row r="16" spans="1:49" ht="15.65" customHeight="1" x14ac:dyDescent="0.25">
      <c r="A16" s="322"/>
      <c r="B16" s="2599"/>
      <c r="C16" s="322"/>
      <c r="D16" s="4178"/>
      <c r="E16" s="4177"/>
      <c r="F16" s="4177"/>
      <c r="G16" s="4171"/>
      <c r="H16" s="4171"/>
      <c r="I16" s="4171"/>
      <c r="J16" s="4171"/>
      <c r="K16" s="4171"/>
      <c r="L16" s="4171"/>
      <c r="M16" s="4171"/>
      <c r="N16" s="2310"/>
      <c r="O16" s="2311"/>
      <c r="P16" s="324"/>
      <c r="Q16" s="2596"/>
      <c r="R16" s="324"/>
      <c r="S16" s="324"/>
      <c r="T16" s="324"/>
      <c r="U16" s="324"/>
      <c r="V16" s="324"/>
      <c r="W16" s="324"/>
      <c r="AL16" s="4178"/>
      <c r="AM16" s="4177"/>
      <c r="AN16" s="4177"/>
      <c r="AO16" s="4179"/>
      <c r="AP16" s="4179"/>
      <c r="AQ16" s="4179"/>
      <c r="AR16" s="4179"/>
      <c r="AS16" s="4179"/>
      <c r="AT16" s="4179"/>
      <c r="AU16" s="4179"/>
      <c r="AV16" s="2310"/>
      <c r="AW16" s="2311"/>
    </row>
    <row r="17" spans="1:49" ht="15.5" x14ac:dyDescent="0.25">
      <c r="A17" s="322"/>
      <c r="B17" s="2599"/>
      <c r="C17" s="322"/>
      <c r="D17" s="4178"/>
      <c r="E17" s="4177"/>
      <c r="F17" s="4177"/>
      <c r="G17" s="4171"/>
      <c r="H17" s="4171"/>
      <c r="I17" s="4171"/>
      <c r="J17" s="4171"/>
      <c r="K17" s="4171"/>
      <c r="L17" s="4171"/>
      <c r="M17" s="4171"/>
      <c r="N17" s="2310"/>
      <c r="O17" s="2311"/>
      <c r="P17" s="324"/>
      <c r="Q17" s="2596"/>
      <c r="R17" s="324"/>
      <c r="S17" s="324"/>
      <c r="T17" s="324"/>
      <c r="U17" s="324"/>
      <c r="V17" s="324"/>
      <c r="W17" s="324"/>
      <c r="AL17" s="4178"/>
      <c r="AM17" s="4177"/>
      <c r="AN17" s="4177"/>
      <c r="AO17" s="4179"/>
      <c r="AP17" s="4179"/>
      <c r="AQ17" s="4179"/>
      <c r="AR17" s="4179"/>
      <c r="AS17" s="4179"/>
      <c r="AT17" s="4179"/>
      <c r="AU17" s="4179"/>
      <c r="AV17" s="2310"/>
      <c r="AW17" s="2311"/>
    </row>
    <row r="18" spans="1:49" ht="18" customHeight="1" x14ac:dyDescent="0.25">
      <c r="A18" s="322"/>
      <c r="B18" s="2599"/>
      <c r="C18" s="322"/>
      <c r="D18" s="4178"/>
      <c r="E18" s="4177"/>
      <c r="F18" s="4177"/>
      <c r="G18" s="4171"/>
      <c r="H18" s="4171"/>
      <c r="I18" s="4171"/>
      <c r="J18" s="4171"/>
      <c r="K18" s="4171"/>
      <c r="L18" s="4171"/>
      <c r="M18" s="4171"/>
      <c r="N18" s="2310"/>
      <c r="O18" s="2311"/>
      <c r="P18" s="324"/>
      <c r="Q18" s="2596"/>
      <c r="R18" s="324"/>
      <c r="S18" s="324"/>
      <c r="T18" s="324"/>
      <c r="U18" s="324"/>
      <c r="V18" s="324"/>
      <c r="W18" s="324"/>
      <c r="AL18" s="4178"/>
      <c r="AM18" s="4177"/>
      <c r="AN18" s="4177"/>
      <c r="AO18" s="4179"/>
      <c r="AP18" s="4179"/>
      <c r="AQ18" s="4179"/>
      <c r="AR18" s="4179"/>
      <c r="AS18" s="4179"/>
      <c r="AT18" s="4179"/>
      <c r="AU18" s="4179"/>
      <c r="AV18" s="2310"/>
      <c r="AW18" s="2311"/>
    </row>
    <row r="19" spans="1:49" ht="16.5" customHeight="1" x14ac:dyDescent="0.25">
      <c r="A19" s="322"/>
      <c r="B19" s="2599"/>
      <c r="C19" s="322"/>
      <c r="D19" s="4178"/>
      <c r="E19" s="4177"/>
      <c r="F19" s="4177"/>
      <c r="G19" s="4171"/>
      <c r="H19" s="4171"/>
      <c r="I19" s="4171"/>
      <c r="J19" s="4171"/>
      <c r="K19" s="4171"/>
      <c r="L19" s="4171"/>
      <c r="M19" s="4171"/>
      <c r="N19" s="2310"/>
      <c r="O19" s="2311"/>
      <c r="R19" s="324"/>
      <c r="S19" s="324"/>
      <c r="T19" s="324"/>
      <c r="U19" s="324"/>
      <c r="V19" s="324"/>
      <c r="W19" s="324"/>
      <c r="AL19" s="4178"/>
      <c r="AM19" s="4177"/>
      <c r="AN19" s="4177"/>
      <c r="AO19" s="4179"/>
      <c r="AP19" s="4179"/>
      <c r="AQ19" s="4179"/>
      <c r="AR19" s="4179"/>
      <c r="AS19" s="4179"/>
      <c r="AT19" s="4179"/>
      <c r="AU19" s="4179"/>
      <c r="AV19" s="2310"/>
      <c r="AW19" s="2311"/>
    </row>
    <row r="20" spans="1:49" ht="16.5" customHeight="1" x14ac:dyDescent="0.25">
      <c r="A20" s="322"/>
      <c r="B20" s="2599"/>
      <c r="C20" s="322"/>
      <c r="D20" s="2303"/>
      <c r="E20" s="2304"/>
      <c r="F20" s="2310"/>
      <c r="G20" s="2310"/>
      <c r="H20" s="2315" t="s">
        <v>279</v>
      </c>
      <c r="I20" s="2310">
        <f ca="1">SUM(G5:M13)</f>
        <v>0</v>
      </c>
      <c r="K20" s="2314"/>
      <c r="L20" s="2315" t="s">
        <v>4532</v>
      </c>
      <c r="M20" s="2310">
        <f ca="1">MAX(IF(SUM(G5:G13)&gt;0,Conseq_VeryLow,0),IF(SUM(H5:H13)&gt;0,Conseq_Low,0),IF(SUM(I5:I13)&gt;0,Conseq_Moderate,0),IF(SUM(J5:J13)&gt;0,Conseq_High,0),IF(SUM(K5:K13)&gt;0,Conseq_VeryHigh,0),IF(SUM(L5:L13)&gt;0,Conseq_ExtremeHigh,0),IF(SUM(M5:M13)&gt;0,Conseq_GT_ExtremeHigh,0))</f>
        <v>0</v>
      </c>
      <c r="O20" s="2313"/>
      <c r="AL20" s="2303"/>
      <c r="AM20" s="2304"/>
      <c r="AN20" s="2310"/>
      <c r="AO20" s="2310"/>
      <c r="AP20" s="2315" t="s">
        <v>279</v>
      </c>
      <c r="AQ20" s="2310">
        <f ca="1">SUM(AO5:AU13)</f>
        <v>0</v>
      </c>
      <c r="AS20" s="2314"/>
      <c r="AT20" s="2315" t="s">
        <v>4532</v>
      </c>
      <c r="AU20" s="2310">
        <f ca="1">MAX(IF(SUM(AO5:AO13)&gt;0,Conseq_VeryLow,0),IF(SUM(AP5:AP13)&gt;0,Conseq_Low,0),IF(SUM(AQ5:AQ13)&gt;0,Conseq_Moderate,0),IF(SUM(AR5:AR13)&gt;0,Conseq_High,0),IF(SUM(AS5:AS13)&gt;0,Conseq_VeryHigh,0),IF(SUM(AT5:AT13)&gt;0,Conseq_ExtremeHigh,0),IF(SUM(AU5:AU13)&gt;0,Conseq_GT_ExtremeHigh,0))</f>
        <v>0</v>
      </c>
      <c r="AW20" s="2313"/>
    </row>
    <row r="21" spans="1:49" ht="16" thickBot="1" x14ac:dyDescent="0.3">
      <c r="A21" s="322"/>
      <c r="B21" s="2599"/>
      <c r="C21" s="322"/>
      <c r="D21" s="2316"/>
      <c r="E21" s="2317"/>
      <c r="F21" s="2317"/>
      <c r="G21" s="2317"/>
      <c r="H21" s="2317"/>
      <c r="I21" s="2317"/>
      <c r="J21" s="2317"/>
      <c r="K21" s="2317"/>
      <c r="L21" s="2317"/>
      <c r="M21" s="2317"/>
      <c r="N21" s="2317"/>
      <c r="O21" s="2318"/>
      <c r="AL21" s="2316"/>
      <c r="AM21" s="2317"/>
      <c r="AN21" s="2317"/>
      <c r="AO21" s="2317"/>
      <c r="AP21" s="2317"/>
      <c r="AQ21" s="2317"/>
      <c r="AR21" s="2317"/>
      <c r="AS21" s="2317"/>
      <c r="AT21" s="2317"/>
      <c r="AU21" s="2317"/>
      <c r="AV21" s="2317"/>
      <c r="AW21" s="2318"/>
    </row>
    <row r="22" spans="1:49" ht="15.5" x14ac:dyDescent="0.25">
      <c r="B22" s="2599"/>
      <c r="C22" s="322"/>
    </row>
    <row r="23" spans="1:49" ht="16.5" customHeight="1" thickBot="1" x14ac:dyDescent="0.3">
      <c r="B23" s="2599"/>
    </row>
    <row r="24" spans="1:49" x14ac:dyDescent="0.25">
      <c r="D24" s="2300"/>
      <c r="E24" s="2301"/>
      <c r="F24" s="2301"/>
      <c r="G24" s="2301"/>
      <c r="H24" s="2301"/>
      <c r="I24" s="2301"/>
      <c r="J24" s="2301"/>
      <c r="K24" s="2301"/>
      <c r="L24" s="2301"/>
      <c r="M24" s="2301"/>
      <c r="N24" s="2301"/>
      <c r="O24" s="2302"/>
      <c r="AL24" s="2300"/>
      <c r="AM24" s="2301"/>
      <c r="AN24" s="2301"/>
      <c r="AO24" s="2301"/>
      <c r="AP24" s="2301"/>
      <c r="AQ24" s="2301"/>
      <c r="AR24" s="2301"/>
      <c r="AS24" s="2301"/>
      <c r="AT24" s="2301"/>
      <c r="AU24" s="2301"/>
      <c r="AV24" s="2301"/>
      <c r="AW24" s="2302"/>
    </row>
    <row r="25" spans="1:49" ht="16.5" customHeight="1" x14ac:dyDescent="0.25">
      <c r="D25" s="2303"/>
      <c r="E25" s="2304"/>
      <c r="F25" s="4163" t="s">
        <v>4547</v>
      </c>
      <c r="G25" s="4165"/>
      <c r="H25" s="4165"/>
      <c r="I25" s="4165"/>
      <c r="J25" s="4165"/>
      <c r="K25" s="4165"/>
      <c r="L25" s="4165"/>
      <c r="M25" s="4165"/>
      <c r="N25" s="4165"/>
      <c r="O25" s="2305"/>
      <c r="AL25" s="2303"/>
      <c r="AM25" s="2304"/>
      <c r="AN25" s="4163" t="s">
        <v>4547</v>
      </c>
      <c r="AO25" s="4164"/>
      <c r="AP25" s="4164"/>
      <c r="AQ25" s="4164"/>
      <c r="AR25" s="4164"/>
      <c r="AS25" s="4164"/>
      <c r="AT25" s="4164"/>
      <c r="AU25" s="4164"/>
      <c r="AV25" s="4165"/>
      <c r="AW25" s="2305"/>
    </row>
    <row r="26" spans="1:49" ht="16.5" customHeight="1" x14ac:dyDescent="0.25">
      <c r="D26" s="2306"/>
      <c r="E26" s="2307"/>
      <c r="F26" s="19"/>
      <c r="G26" s="11" t="s">
        <v>4776</v>
      </c>
      <c r="H26" s="11"/>
      <c r="I26" s="11"/>
      <c r="J26" s="11"/>
      <c r="K26" s="2632"/>
      <c r="L26" s="11" t="s">
        <v>137</v>
      </c>
      <c r="M26" s="2308"/>
      <c r="N26" s="2308"/>
      <c r="O26" s="2305"/>
      <c r="AL26" s="2306"/>
      <c r="AM26" s="2307"/>
      <c r="AN26" s="19"/>
      <c r="AO26" s="2308"/>
      <c r="AP26" s="2308"/>
      <c r="AQ26" s="2308"/>
      <c r="AR26" s="2308"/>
      <c r="AS26" s="2596"/>
      <c r="AT26" s="2308"/>
      <c r="AU26" s="2308"/>
      <c r="AV26" s="2308"/>
      <c r="AW26" s="2305"/>
    </row>
    <row r="27" spans="1:49" ht="16.5" customHeight="1" x14ac:dyDescent="0.25">
      <c r="D27" s="4166"/>
      <c r="E27" s="4168" t="s">
        <v>4533</v>
      </c>
      <c r="F27" s="2308">
        <v>0</v>
      </c>
      <c r="G27" s="2309">
        <f ca="1">IF(G$14&lt;&gt;"",INDEX($AO27:$AU27,MATCH(G$14,$AO$36:$AU$36,0)),0)</f>
        <v>0</v>
      </c>
      <c r="H27" s="2309">
        <f t="shared" ref="H27:M35" ca="1" si="3">IF(H$14&lt;&gt;"",INDEX($AO27:$AU27,MATCH(H$14,$AO$36:$AU$36,0)),0)</f>
        <v>0</v>
      </c>
      <c r="I27" s="2309">
        <f t="shared" ca="1" si="3"/>
        <v>0</v>
      </c>
      <c r="J27" s="2309">
        <f t="shared" ca="1" si="3"/>
        <v>0</v>
      </c>
      <c r="K27" s="2309">
        <f t="shared" ca="1" si="3"/>
        <v>0</v>
      </c>
      <c r="L27" s="2309">
        <f t="shared" si="3"/>
        <v>0</v>
      </c>
      <c r="M27" s="2309">
        <f t="shared" si="3"/>
        <v>0</v>
      </c>
      <c r="N27" s="4161" t="s">
        <v>137</v>
      </c>
      <c r="O27" s="2311"/>
      <c r="AL27" s="4166"/>
      <c r="AM27" s="4168" t="s">
        <v>4533</v>
      </c>
      <c r="AN27" s="2308">
        <v>0</v>
      </c>
      <c r="AO27" s="2309">
        <f t="array" aca="1" ref="AO27" ca="1">SUMPRODUCT((TF_Results=AO$36)*((Gap_Results-BPCS_Credit*(BPCS_Status="Fully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O$36-$F27)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27" s="2309">
        <f t="array" aca="1" ref="AP27" ca="1">SUMPRODUCT((TF_Results=AP$36)*((Gap_Results-BPCS_Credit*(BPCS_Status="Fully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P$36-$F27)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27" s="2309">
        <f t="array" aca="1" ref="AQ27" ca="1">SUMPRODUCT((TF_Results=AQ$36)*((Gap_Results-BPCS_Credit*(BPCS_Status="Fully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Q$36-$F27)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27" s="2309">
        <f t="array" aca="1" ref="AR27" ca="1">SUMPRODUCT((TF_Results=AR$36)*((Gap_Results-BPCS_Credit*(BPCS_Status="Fully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R$36-$F27)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27" s="2309">
        <f t="array" aca="1" ref="AS27" ca="1">SUMPRODUCT((TF_Results=AS$36)*((Gap_Results-BPCS_Credit*(BPCS_Status="Fully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S$36-$F27)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27" s="2309">
        <f t="array" aca="1" ref="AT27" ca="1">SUMPRODUCT((TF_Results=AT$36)*((Gap_Results-BPCS_Credit*(BPCS_Status="Fully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T$36-$F27)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27" s="2309">
        <f t="array" aca="1" ref="AU27" ca="1">SUMPRODUCT((TF_Results=AU$36)*((Gap_Results-BPCS_Credit*(BPCS_Status="Fully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U$36-$F27)*(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27" s="2310"/>
      <c r="AW27" s="2311"/>
    </row>
    <row r="28" spans="1:49" ht="16.5" customHeight="1" x14ac:dyDescent="0.25">
      <c r="D28" s="4167"/>
      <c r="E28" s="4169"/>
      <c r="F28" s="2308">
        <v>1</v>
      </c>
      <c r="G28" s="2309">
        <f t="shared" ref="G28:G35" ca="1" si="4">IF(G$14&lt;&gt;"",INDEX($AO28:$AU28,MATCH(G$14,$AO$36:$AU$36,0)),0)</f>
        <v>0</v>
      </c>
      <c r="H28" s="2309">
        <f t="shared" ca="1" si="3"/>
        <v>0</v>
      </c>
      <c r="I28" s="2309">
        <f t="shared" ca="1" si="3"/>
        <v>0</v>
      </c>
      <c r="J28" s="2309">
        <f t="shared" ca="1" si="3"/>
        <v>0</v>
      </c>
      <c r="K28" s="2309">
        <f t="shared" ca="1" si="3"/>
        <v>0</v>
      </c>
      <c r="L28" s="2309">
        <f t="shared" si="3"/>
        <v>0</v>
      </c>
      <c r="M28" s="2309">
        <f t="shared" si="3"/>
        <v>0</v>
      </c>
      <c r="N28" s="4160"/>
      <c r="O28" s="2311"/>
      <c r="AL28" s="4167"/>
      <c r="AM28" s="4169"/>
      <c r="AN28" s="2308">
        <v>1</v>
      </c>
      <c r="AO28" s="2309">
        <f t="array" aca="1" ref="AO28" ca="1">SUMPRODUCT((TF_Results=AO$36)*((Gap_Results-BPCS_Credit*(BPCS_Status="Fully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O$36-$F28)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28" s="2309">
        <f t="array" aca="1" ref="AP28" ca="1">SUMPRODUCT((TF_Results=AP$36)*((Gap_Results-BPCS_Credit*(BPCS_Status="Fully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P$36-$F28)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28" s="2309">
        <f t="array" aca="1" ref="AQ28" ca="1">SUMPRODUCT((TF_Results=AQ$36)*((Gap_Results-BPCS_Credit*(BPCS_Status="Fully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Q$36-$F28)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28" s="2309">
        <f t="array" aca="1" ref="AR28" ca="1">SUMPRODUCT((TF_Results=AR$36)*((Gap_Results-BPCS_Credit*(BPCS_Status="Fully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R$36-$F28)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28" s="2309">
        <f t="array" aca="1" ref="AS28" ca="1">SUMPRODUCT((TF_Results=AS$36)*((Gap_Results-BPCS_Credit*(BPCS_Status="Fully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S$36-$F28)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28" s="2309">
        <f t="array" aca="1" ref="AT28" ca="1">SUMPRODUCT((TF_Results=AT$36)*((Gap_Results-BPCS_Credit*(BPCS_Status="Fully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T$36-$F28)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28" s="2309">
        <f t="array" aca="1" ref="AU28" ca="1">SUMPRODUCT((TF_Results=AU$36)*((Gap_Results-BPCS_Credit*(BPCS_Status="Fully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U$36-$F28)*(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28" s="2310"/>
      <c r="AW28" s="2311"/>
    </row>
    <row r="29" spans="1:49" ht="16.5" customHeight="1" x14ac:dyDescent="0.25">
      <c r="D29" s="4167"/>
      <c r="E29" s="4169"/>
      <c r="F29" s="2308">
        <v>2</v>
      </c>
      <c r="G29" s="2309">
        <f t="shared" ca="1" si="4"/>
        <v>0</v>
      </c>
      <c r="H29" s="2309">
        <f t="shared" ca="1" si="3"/>
        <v>0</v>
      </c>
      <c r="I29" s="2309">
        <f t="shared" ca="1" si="3"/>
        <v>0</v>
      </c>
      <c r="J29" s="2309">
        <f t="shared" ca="1" si="3"/>
        <v>0</v>
      </c>
      <c r="K29" s="2309">
        <f t="shared" ca="1" si="3"/>
        <v>0</v>
      </c>
      <c r="L29" s="2309">
        <f t="shared" si="3"/>
        <v>0</v>
      </c>
      <c r="M29" s="2309">
        <f t="shared" si="3"/>
        <v>0</v>
      </c>
      <c r="N29" s="2633"/>
      <c r="O29" s="2311"/>
      <c r="AL29" s="4167"/>
      <c r="AM29" s="4169"/>
      <c r="AN29" s="2308">
        <v>2</v>
      </c>
      <c r="AO29" s="2309">
        <f t="array" aca="1" ref="AO29" ca="1">SUMPRODUCT((TF_Results=AO$36)*((Gap_Results-BPCS_Credit*(BPCS_Status="Fully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O$36-$F29)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29" s="2309">
        <f t="array" aca="1" ref="AP29" ca="1">SUMPRODUCT((TF_Results=AP$36)*((Gap_Results-BPCS_Credit*(BPCS_Status="Fully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P$36-$F29)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29" s="2309">
        <f t="array" aca="1" ref="AQ29" ca="1">SUMPRODUCT((TF_Results=AQ$36)*((Gap_Results-BPCS_Credit*(BPCS_Status="Fully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Q$36-$F29)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29" s="2309">
        <f t="array" aca="1" ref="AR29" ca="1">SUMPRODUCT((TF_Results=AR$36)*((Gap_Results-BPCS_Credit*(BPCS_Status="Fully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R$36-$F29)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29" s="2309">
        <f t="array" aca="1" ref="AS29" ca="1">SUMPRODUCT((TF_Results=AS$36)*((Gap_Results-BPCS_Credit*(BPCS_Status="Fully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S$36-$F29)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29" s="2309">
        <f t="array" aca="1" ref="AT29" ca="1">SUMPRODUCT((TF_Results=AT$36)*((Gap_Results-BPCS_Credit*(BPCS_Status="Fully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T$36-$F29)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29" s="2309">
        <f t="array" aca="1" ref="AU29" ca="1">SUMPRODUCT((TF_Results=AU$36)*((Gap_Results-BPCS_Credit*(BPCS_Status="Fully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U$36-$F29)*(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29" s="2310"/>
      <c r="AW29" s="2311"/>
    </row>
    <row r="30" spans="1:49" ht="16.5" customHeight="1" x14ac:dyDescent="0.25">
      <c r="D30" s="4167"/>
      <c r="E30" s="4169"/>
      <c r="F30" s="2308">
        <v>3</v>
      </c>
      <c r="G30" s="2309">
        <f t="shared" ca="1" si="4"/>
        <v>0</v>
      </c>
      <c r="H30" s="2309">
        <f t="shared" ca="1" si="3"/>
        <v>0</v>
      </c>
      <c r="I30" s="2309">
        <f t="shared" ca="1" si="3"/>
        <v>0</v>
      </c>
      <c r="J30" s="2309">
        <f t="shared" ca="1" si="3"/>
        <v>0</v>
      </c>
      <c r="K30" s="2309">
        <f t="shared" ca="1" si="3"/>
        <v>0</v>
      </c>
      <c r="L30" s="2309">
        <f t="shared" si="3"/>
        <v>0</v>
      </c>
      <c r="M30" s="2309">
        <f t="shared" si="3"/>
        <v>0</v>
      </c>
      <c r="N30" s="2633"/>
      <c r="O30" s="2311"/>
      <c r="AL30" s="4167"/>
      <c r="AM30" s="4169"/>
      <c r="AN30" s="2308">
        <v>3</v>
      </c>
      <c r="AO30" s="2309">
        <f t="array" aca="1" ref="AO30" ca="1">SUMPRODUCT((TF_Results=AO$36)*((Gap_Results-BPCS_Credit*(BPCS_Status="Fully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O$36-$F30)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30" s="2309">
        <f t="array" aca="1" ref="AP30" ca="1">SUMPRODUCT((TF_Results=AP$36)*((Gap_Results-BPCS_Credit*(BPCS_Status="Fully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P$36-$F30)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30" s="2309">
        <f t="array" aca="1" ref="AQ30" ca="1">SUMPRODUCT((TF_Results=AQ$36)*((Gap_Results-BPCS_Credit*(BPCS_Status="Fully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Q$36-$F30)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30" s="2309">
        <f t="array" aca="1" ref="AR30" ca="1">SUMPRODUCT((TF_Results=AR$36)*((Gap_Results-BPCS_Credit*(BPCS_Status="Fully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R$36-$F30)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30" s="2309">
        <f t="array" aca="1" ref="AS30" ca="1">SUMPRODUCT((TF_Results=AS$36)*((Gap_Results-BPCS_Credit*(BPCS_Status="Fully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S$36-$F30)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30" s="2309">
        <f t="array" aca="1" ref="AT30" ca="1">SUMPRODUCT((TF_Results=AT$36)*((Gap_Results-BPCS_Credit*(BPCS_Status="Fully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T$36-$F30)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30" s="2309">
        <f t="array" aca="1" ref="AU30" ca="1">SUMPRODUCT((TF_Results=AU$36)*((Gap_Results-BPCS_Credit*(BPCS_Status="Fully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U$36-$F30)*(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30" s="2310"/>
      <c r="AW30" s="2311"/>
    </row>
    <row r="31" spans="1:49" ht="16.5" customHeight="1" x14ac:dyDescent="0.25">
      <c r="D31" s="4167"/>
      <c r="E31" s="4169"/>
      <c r="F31" s="2308">
        <v>4</v>
      </c>
      <c r="G31" s="2309">
        <f t="shared" ca="1" si="4"/>
        <v>0</v>
      </c>
      <c r="H31" s="2309">
        <f t="shared" ca="1" si="3"/>
        <v>0</v>
      </c>
      <c r="I31" s="2309">
        <f t="shared" ca="1" si="3"/>
        <v>0</v>
      </c>
      <c r="J31" s="2309">
        <f t="shared" ca="1" si="3"/>
        <v>0</v>
      </c>
      <c r="K31" s="2309">
        <f t="shared" ca="1" si="3"/>
        <v>0</v>
      </c>
      <c r="L31" s="2309">
        <f t="shared" si="3"/>
        <v>0</v>
      </c>
      <c r="M31" s="2309">
        <f t="shared" si="3"/>
        <v>0</v>
      </c>
      <c r="N31" s="2633"/>
      <c r="O31" s="2311"/>
      <c r="AL31" s="4167"/>
      <c r="AM31" s="4169"/>
      <c r="AN31" s="2308">
        <v>4</v>
      </c>
      <c r="AO31" s="2309">
        <f t="array" aca="1" ref="AO31" ca="1">SUMPRODUCT((TF_Results=AO$36)*((Gap_Results-BPCS_Credit*(BPCS_Status="Fully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O$36-$F31)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31" s="2309">
        <f t="array" aca="1" ref="AP31" ca="1">SUMPRODUCT((TF_Results=AP$36)*((Gap_Results-BPCS_Credit*(BPCS_Status="Fully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P$36-$F31)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31" s="2309">
        <f t="array" aca="1" ref="AQ31" ca="1">SUMPRODUCT((TF_Results=AQ$36)*((Gap_Results-BPCS_Credit*(BPCS_Status="Fully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Q$36-$F31)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31" s="2309">
        <f t="array" aca="1" ref="AR31" ca="1">SUMPRODUCT((TF_Results=AR$36)*((Gap_Results-BPCS_Credit*(BPCS_Status="Fully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R$36-$F31)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31" s="2309">
        <f t="array" aca="1" ref="AS31" ca="1">SUMPRODUCT((TF_Results=AS$36)*((Gap_Results-BPCS_Credit*(BPCS_Status="Fully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S$36-$F31)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31" s="2309">
        <f t="array" aca="1" ref="AT31" ca="1">SUMPRODUCT((TF_Results=AT$36)*((Gap_Results-BPCS_Credit*(BPCS_Status="Fully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T$36-$F31)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31" s="2309">
        <f t="array" aca="1" ref="AU31" ca="1">SUMPRODUCT((TF_Results=AU$36)*((Gap_Results-BPCS_Credit*(BPCS_Status="Fully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U$36-$F31)*(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31" s="2310"/>
      <c r="AW31" s="2311"/>
    </row>
    <row r="32" spans="1:49" ht="16.5" customHeight="1" x14ac:dyDescent="0.25">
      <c r="D32" s="4167"/>
      <c r="E32" s="4169"/>
      <c r="F32" s="972">
        <v>5</v>
      </c>
      <c r="G32" s="2309">
        <f t="shared" ca="1" si="4"/>
        <v>0</v>
      </c>
      <c r="H32" s="2309">
        <f t="shared" ca="1" si="3"/>
        <v>0</v>
      </c>
      <c r="I32" s="2309">
        <f t="shared" ca="1" si="3"/>
        <v>0</v>
      </c>
      <c r="J32" s="2309">
        <f t="shared" ca="1" si="3"/>
        <v>0</v>
      </c>
      <c r="K32" s="2309">
        <f t="shared" ca="1" si="3"/>
        <v>0</v>
      </c>
      <c r="L32" s="2309">
        <f t="shared" si="3"/>
        <v>0</v>
      </c>
      <c r="M32" s="2309">
        <f t="shared" si="3"/>
        <v>0</v>
      </c>
      <c r="N32" s="2633"/>
      <c r="O32" s="2311"/>
      <c r="AL32" s="4167"/>
      <c r="AM32" s="4169"/>
      <c r="AN32" s="972">
        <v>5</v>
      </c>
      <c r="AO32" s="2309">
        <f t="array" aca="1" ref="AO32" ca="1">SUMPRODUCT((TF_Results=AO$36)*((Gap_Results-BPCS_Credit*(BPCS_Status="Fully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O$36-$F32)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32" s="2309">
        <f t="array" aca="1" ref="AP32" ca="1">SUMPRODUCT((TF_Results=AP$36)*((Gap_Results-BPCS_Credit*(BPCS_Status="Fully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P$36-$F32)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32" s="2309">
        <f t="array" aca="1" ref="AQ32" ca="1">SUMPRODUCT((TF_Results=AQ$36)*((Gap_Results-BPCS_Credit*(BPCS_Status="Fully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Q$36-$F32)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32" s="2309">
        <f t="array" aca="1" ref="AR32" ca="1">SUMPRODUCT((TF_Results=AR$36)*((Gap_Results-BPCS_Credit*(BPCS_Status="Fully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R$36-$F32)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32" s="2309">
        <f t="array" aca="1" ref="AS32" ca="1">SUMPRODUCT((TF_Results=AS$36)*((Gap_Results-BPCS_Credit*(BPCS_Status="Fully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S$36-$F32)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32" s="2309">
        <f t="array" aca="1" ref="AT32" ca="1">SUMPRODUCT((TF_Results=AT$36)*((Gap_Results-BPCS_Credit*(BPCS_Status="Fully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T$36-$F32)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32" s="2309">
        <f t="array" aca="1" ref="AU32" ca="1">SUMPRODUCT((TF_Results=AU$36)*((Gap_Results-BPCS_Credit*(BPCS_Status="Fully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U$36-$F32)*(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32" s="2310"/>
      <c r="AW32" s="2311"/>
    </row>
    <row r="33" spans="4:49" ht="16.5" customHeight="1" x14ac:dyDescent="0.25">
      <c r="D33" s="4167"/>
      <c r="E33" s="4169"/>
      <c r="F33" s="972">
        <v>6</v>
      </c>
      <c r="G33" s="2309">
        <f t="shared" ca="1" si="4"/>
        <v>0</v>
      </c>
      <c r="H33" s="2309">
        <f t="shared" ca="1" si="3"/>
        <v>0</v>
      </c>
      <c r="I33" s="2309">
        <f t="shared" ca="1" si="3"/>
        <v>0</v>
      </c>
      <c r="J33" s="2309">
        <f t="shared" ca="1" si="3"/>
        <v>0</v>
      </c>
      <c r="K33" s="2309">
        <f t="shared" ca="1" si="3"/>
        <v>0</v>
      </c>
      <c r="L33" s="2309">
        <f t="shared" si="3"/>
        <v>0</v>
      </c>
      <c r="M33" s="2309">
        <f t="shared" si="3"/>
        <v>0</v>
      </c>
      <c r="N33" s="2633"/>
      <c r="O33" s="2311"/>
      <c r="AL33" s="4167"/>
      <c r="AM33" s="4169"/>
      <c r="AN33" s="972">
        <v>6</v>
      </c>
      <c r="AO33" s="2309">
        <f t="array" aca="1" ref="AO33" ca="1">SUMPRODUCT((TF_Results=AO$36)*((Gap_Results-BPCS_Credit*(BPCS_Status="Fully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O$36-$F33)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33" s="2309">
        <f t="array" aca="1" ref="AP33" ca="1">SUMPRODUCT((TF_Results=AP$36)*((Gap_Results-BPCS_Credit*(BPCS_Status="Fully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P$36-$F33)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33" s="2309">
        <f t="array" aca="1" ref="AQ33" ca="1">SUMPRODUCT((TF_Results=AQ$36)*((Gap_Results-BPCS_Credit*(BPCS_Status="Fully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Q$36-$F33)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33" s="2309">
        <f t="array" aca="1" ref="AR33" ca="1">SUMPRODUCT((TF_Results=AR$36)*((Gap_Results-BPCS_Credit*(BPCS_Status="Fully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R$36-$F33)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33" s="2309">
        <f t="array" aca="1" ref="AS33" ca="1">SUMPRODUCT((TF_Results=AS$36)*((Gap_Results-BPCS_Credit*(BPCS_Status="Fully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S$36-$F33)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33" s="2309">
        <f t="array" aca="1" ref="AT33" ca="1">SUMPRODUCT((TF_Results=AT$36)*((Gap_Results-BPCS_Credit*(BPCS_Status="Fully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T$36-$F33)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33" s="2309">
        <f t="array" aca="1" ref="AU33" ca="1">SUMPRODUCT((TF_Results=AU$36)*((Gap_Results-BPCS_Credit*(BPCS_Status="Fully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U$36-$F33)*(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33" s="2310"/>
      <c r="AW33" s="2311"/>
    </row>
    <row r="34" spans="4:49" ht="16.5" customHeight="1" x14ac:dyDescent="0.25">
      <c r="D34" s="4167"/>
      <c r="E34" s="4169"/>
      <c r="F34" s="972">
        <v>7</v>
      </c>
      <c r="G34" s="2309">
        <f t="shared" ca="1" si="4"/>
        <v>0</v>
      </c>
      <c r="H34" s="2309">
        <f t="shared" ca="1" si="3"/>
        <v>0</v>
      </c>
      <c r="I34" s="2309">
        <f t="shared" ca="1" si="3"/>
        <v>0</v>
      </c>
      <c r="J34" s="2309">
        <f t="shared" ca="1" si="3"/>
        <v>0</v>
      </c>
      <c r="K34" s="2309">
        <f t="shared" ca="1" si="3"/>
        <v>0</v>
      </c>
      <c r="L34" s="2309">
        <f t="shared" si="3"/>
        <v>0</v>
      </c>
      <c r="M34" s="2309">
        <f t="shared" si="3"/>
        <v>0</v>
      </c>
      <c r="N34" s="4160" t="s">
        <v>140</v>
      </c>
      <c r="O34" s="2311"/>
      <c r="AL34" s="4167"/>
      <c r="AM34" s="4169"/>
      <c r="AN34" s="972">
        <v>7</v>
      </c>
      <c r="AO34" s="2309">
        <f t="array" aca="1" ref="AO34" ca="1">SUMPRODUCT((TF_Results=AO$36)*((Gap_Results-BPCS_Credit*(BPCS_Status="Fully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O$36-$F34)*(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34" s="2309">
        <f t="array" aca="1" ref="AP34" ca="1">SUMPRODUCT((TF_Results=AP$36)*((Gap_Results-BPCS_Credit*(BPCS_Status="Fully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P$36-$F34)*(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34" s="2309">
        <f t="array" aca="1" ref="AQ34" ca="1">SUMPRODUCT((TF_Results=AQ$36)*((Gap_Results-BPCS_Credit*(BPCS_Status="Fully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Q$36-$F34)*(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34" s="2309">
        <f t="array" aca="1" ref="AR34" ca="1">SUMPRODUCT((TF_Results=AR$36)*((Gap_Results-BPCS_Credit*(BPCS_Status="Fully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R$36-$F34)*(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34" s="2309">
        <f t="array" aca="1" ref="AS34" ca="1">SUMPRODUCT((TF_Results=AS$36)*((Gap_Results-BPCS_Credit*(BPCS_Status="Fully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S$36-$F34)*(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34" s="2309">
        <f t="array" aca="1" ref="AT34" ca="1">SUMPRODUCT((TF_Results=AT$36)*((Gap_Results-BPCS_Credit*(BPCS_Status="Fully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T$36-$F34)*(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34" s="2309">
        <f t="array" aca="1" ref="AU34" ca="1">SUMPRODUCT((TF_Results=AU$36)*((Gap_Results-BPCS_Credit*(BPCS_Status="Fully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U$36-$F34)*(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34" s="2310"/>
      <c r="AW34" s="2311"/>
    </row>
    <row r="35" spans="4:49" ht="16.5" customHeight="1" x14ac:dyDescent="0.25">
      <c r="D35" s="4167"/>
      <c r="E35" s="4169"/>
      <c r="F35" s="972">
        <v>8</v>
      </c>
      <c r="G35" s="2309">
        <f t="shared" ca="1" si="4"/>
        <v>0</v>
      </c>
      <c r="H35" s="2309">
        <f t="shared" ca="1" si="3"/>
        <v>0</v>
      </c>
      <c r="I35" s="2309">
        <f t="shared" ca="1" si="3"/>
        <v>0</v>
      </c>
      <c r="J35" s="2309">
        <f t="shared" ca="1" si="3"/>
        <v>0</v>
      </c>
      <c r="K35" s="2309">
        <f t="shared" ca="1" si="3"/>
        <v>0</v>
      </c>
      <c r="L35" s="2309">
        <f t="shared" si="3"/>
        <v>0</v>
      </c>
      <c r="M35" s="2309">
        <f t="shared" si="3"/>
        <v>0</v>
      </c>
      <c r="N35" s="4160"/>
      <c r="O35" s="2311"/>
      <c r="AL35" s="4167"/>
      <c r="AM35" s="4169"/>
      <c r="AN35" s="972">
        <v>8</v>
      </c>
      <c r="AO35" s="2309">
        <f t="array" aca="1" ref="AO35" ca="1">SUMPRODUCT((TF_Results=AO$36)*((Gap_Results-BPCS_Credit*(BPCS_Status="Fully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O$36-$F35)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P35" s="2309">
        <f t="array" aca="1" ref="AP35" ca="1">SUMPRODUCT((TF_Results=AP$36)*((Gap_Results-BPCS_Credit*(BPCS_Status="Fully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P$36-$F35)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Q35" s="2309">
        <f t="array" aca="1" ref="AQ35" ca="1">SUMPRODUCT((TF_Results=AQ$36)*((Gap_Results-BPCS_Credit*(BPCS_Status="Fully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Q$36-$F35)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R35" s="2309">
        <f t="array" aca="1" ref="AR35" ca="1">SUMPRODUCT((TF_Results=AR$36)*((Gap_Results-BPCS_Credit*(BPCS_Status="Fully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R$36-$F35)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S35" s="2309">
        <f t="array" aca="1" ref="AS35" ca="1">SUMPRODUCT((TF_Results=AS$36)*((Gap_Results-BPCS_Credit*(BPCS_Status="Fully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S$36-$F35)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T35" s="2309">
        <f t="array" aca="1" ref="AT35" ca="1">SUMPRODUCT((TF_Results=AT$36)*((Gap_Results-BPCS_Credit*(BPCS_Status="Fully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T$36-$F35)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U35" s="2309">
        <f t="array" aca="1" ref="AU35" ca="1">SUMPRODUCT((TF_Results=AU$36)*((Gap_Results-BPCS_Credit*(BPCS_Status="Fully Implemented")-Alarm_Credit*(Alarm_Status="Fully Implemented")-SISA_Credit*(SISA_Status="Fully Implemented")-SISB_Credit*(SISB_Status="Fully Implemented")-Relief_Credit*(Relief_Status="Fully Implemented")-SRPS1_Credit*(SRPS1_Status="Fully Implemented")-SRPS2_Credit*(SRPS2_Status="Fully Implemented")-SRPS3_Credit*(SRPS3_Status="Fully Implemented"))=AU$36-$F35)*(Credible_Results="Yes")*(IF(Risk_Filters=0,1,IF(((Equipment_Results=$B$4)+(Equipment_Results=$B$5)+(Equipment_Results=$B$6)+(Equipment_Results=$B$7)+(Equipment_Results=$B$8)+(Equipment_Results=$B$9)+(Equipment_Results=$B$10)+(Equipment_Results=$B$11)+(Equipment_Results=$B$12)+(Equipment_Results=$B$13)+(Equipment_Results=$B$14)+(Equipment_Results=$B$15)+(Equipment_Results=$B$16)+(Equipment_Results=$B$17)+(Equipment_Results=$B$18)+(Equipment_Results=$B$19)+(Equipment_Results=$B$20)+(Equipment_Results=$B$21)+(Equipment_Results=$B$22)+(Equipment_Results=$B$23))&gt;0,1,0))))</f>
        <v>0</v>
      </c>
      <c r="AV35" s="2310"/>
      <c r="AW35" s="2311"/>
    </row>
    <row r="36" spans="4:49" ht="16.5" customHeight="1" x14ac:dyDescent="0.25">
      <c r="D36" s="4176" t="s">
        <v>4545</v>
      </c>
      <c r="E36" s="4177"/>
      <c r="F36" s="4177"/>
      <c r="G36" s="2312">
        <f>IF(AO36&gt;0,AO36,IF(AP36&gt;0,AP36,IF(AQ36&gt;0,AQ36,IF(AR36&gt;0,AR36,IF(AS36&gt;0,AS36,IF(AT36&gt;0,AT36,AU36))))))</f>
        <v>2</v>
      </c>
      <c r="H36" s="2312">
        <f>IF(G36="","",IF(AND(AO36&gt;0,AP36&gt;0),AP36,IF(AQ36&gt;0,AQ36,IF(AR36&gt;0,AR36,IF(AS36&gt;0,AS36,IF(AT36&gt;0,AT36,IF(AND(AU36&gt;0,G36&lt;&gt;MAX(AO36:AU36)),AU36,"")))))))</f>
        <v>3</v>
      </c>
      <c r="I36" s="2312">
        <f>IF(H36="","",IF(AND(AP36&gt;0,AQ36&gt;0),AQ36,IF(AR36&gt;0,AR36,IF(AS36&gt;0,AS36,IF(AT36&gt;0,AT36,IF(AND(AU36&gt;0,H36&lt;&gt;MAX(AO36:AU36)),AU36,""))))))</f>
        <v>4</v>
      </c>
      <c r="J36" s="2312">
        <f>IF(I36="","",IF(AND(AQ36&gt;0,AR36&gt;0),AR36,IF(AS36&gt;0,AS36,IF(AT36&gt;0,AT36,IF(AND(AU36&gt;0,I36&lt;&gt;MAX(AO36:AU36)),AU36,"")))))</f>
        <v>5</v>
      </c>
      <c r="K36" s="2312">
        <f>IF(J36="","",IF(AND(AR36&gt;0,AS36&gt;0),AS36,IF(AT36&gt;0,AT36,IF(AND(AU36&gt;0,J36&lt;&gt;MAX(AO36:AU36)),AU36,""))))</f>
        <v>6</v>
      </c>
      <c r="L36" s="2312" t="str">
        <f>IF(K36="","",IF(AND(AS36&gt;0,AT36&gt;0),AT36,IF(AND(AU36&gt;0,K36&lt;&gt;MAX(AO36:AU36)),AU36,"")))</f>
        <v/>
      </c>
      <c r="M36" s="2312" t="str">
        <f>IF(L36="","",IF(AND(AT36&gt;0,AU36&gt;0),AU36,""))</f>
        <v/>
      </c>
      <c r="N36" s="2310"/>
      <c r="O36" s="2311"/>
      <c r="AL36" s="4172" t="s">
        <v>4545</v>
      </c>
      <c r="AM36" s="4173"/>
      <c r="AN36" s="4173"/>
      <c r="AO36" s="2312">
        <f>Conseq_VeryLow</f>
        <v>2</v>
      </c>
      <c r="AP36" s="2312">
        <f>IF(Conseq_Low&lt;&gt;AO36,Conseq_Low,0)</f>
        <v>3</v>
      </c>
      <c r="AQ36" s="2312">
        <f>IF(Conseq_Moderate&lt;&gt;MAX(AO36:AP36),Conseq_Moderate,0)</f>
        <v>4</v>
      </c>
      <c r="AR36" s="2312">
        <f>IF(Conseq_High&lt;&gt;MAX(AO36:AQ36),Conseq_High,0)</f>
        <v>5</v>
      </c>
      <c r="AS36" s="2312">
        <f>IF(Conseq_VeryHigh&lt;&gt;MAX(AO36:AR36),Conseq_VeryHigh,0)</f>
        <v>6</v>
      </c>
      <c r="AT36" s="2312">
        <f>IF(Conseq_ExtremeHigh&lt;&gt;MAX(AO36:AS36),Conseq_ExtremeHigh,0)</f>
        <v>0</v>
      </c>
      <c r="AU36" s="2312">
        <f>IF(Conseq_GT_ExtremeHigh&lt;&gt;MAX(AO36:AS36),Conseq_GT_ExtremeHigh,0)</f>
        <v>0</v>
      </c>
      <c r="AV36" s="2310"/>
      <c r="AW36" s="2311"/>
    </row>
    <row r="37" spans="4:49" ht="16.5" customHeight="1" x14ac:dyDescent="0.25">
      <c r="D37" s="4178"/>
      <c r="E37" s="4177"/>
      <c r="F37" s="4177"/>
      <c r="G37" s="4174" t="str">
        <f>IF(G$14&lt;&gt;"",INDEX($AO37:$AU37,MATCH(G$14,$AO$14:$AU$14,0)),"")</f>
        <v>Moderate Severity</v>
      </c>
      <c r="H37" s="4174" t="str">
        <f t="shared" ref="H37:M37" si="5">IF(H$14&lt;&gt;"",INDEX($AO37:$AU37,MATCH(H$14,$AO$14:$AU$14,0)),"")</f>
        <v>High Severity</v>
      </c>
      <c r="I37" s="4174" t="str">
        <f t="shared" si="5"/>
        <v>Very High Severity</v>
      </c>
      <c r="J37" s="4174" t="str">
        <f t="shared" si="5"/>
        <v>Extremely High Severity</v>
      </c>
      <c r="K37" s="4174" t="str">
        <f t="shared" si="5"/>
        <v>Catastrophic Severity</v>
      </c>
      <c r="L37" s="4174" t="str">
        <f t="shared" si="5"/>
        <v/>
      </c>
      <c r="M37" s="4170" t="str">
        <f t="shared" si="5"/>
        <v/>
      </c>
      <c r="N37" s="2310"/>
      <c r="O37" s="2311"/>
      <c r="AL37" s="4172"/>
      <c r="AM37" s="4173"/>
      <c r="AN37" s="4173"/>
      <c r="AO37" s="4162" t="str">
        <f>Desc_VeryLow</f>
        <v>Moderate Severity</v>
      </c>
      <c r="AP37" s="4162" t="str">
        <f>Desc_Low</f>
        <v>High Severity</v>
      </c>
      <c r="AQ37" s="4162" t="str">
        <f>Desc_Moderate</f>
        <v>Very High Severity</v>
      </c>
      <c r="AR37" s="4162" t="str">
        <f>Desc_High</f>
        <v>Extremely High Severity</v>
      </c>
      <c r="AS37" s="4162" t="str">
        <f>Desc_VeryHigh</f>
        <v>Catastrophic Severity</v>
      </c>
      <c r="AT37" s="4162" t="str">
        <f>Desc_ExtremeHigh</f>
        <v>Catastrophic Severity</v>
      </c>
      <c r="AU37" s="4162" t="str">
        <f>Desc_GT_ExtremeHigh</f>
        <v>Catastrophic Severity</v>
      </c>
      <c r="AV37" s="2310"/>
      <c r="AW37" s="2311"/>
    </row>
    <row r="38" spans="4:49" ht="16.5" customHeight="1" x14ac:dyDescent="0.25">
      <c r="D38" s="4178"/>
      <c r="E38" s="4177"/>
      <c r="F38" s="4177"/>
      <c r="G38" s="4175"/>
      <c r="H38" s="4175"/>
      <c r="I38" s="4175"/>
      <c r="J38" s="4175"/>
      <c r="K38" s="4175"/>
      <c r="L38" s="4175"/>
      <c r="M38" s="4171"/>
      <c r="N38" s="2310"/>
      <c r="O38" s="2311"/>
      <c r="AL38" s="4172"/>
      <c r="AM38" s="4173"/>
      <c r="AN38" s="4173"/>
      <c r="AO38" s="4162"/>
      <c r="AP38" s="4162"/>
      <c r="AQ38" s="4162"/>
      <c r="AR38" s="4162"/>
      <c r="AS38" s="4162"/>
      <c r="AT38" s="4162"/>
      <c r="AU38" s="4162"/>
      <c r="AV38" s="2310"/>
      <c r="AW38" s="2311"/>
    </row>
    <row r="39" spans="4:49" ht="16.5" customHeight="1" x14ac:dyDescent="0.25">
      <c r="D39" s="4178"/>
      <c r="E39" s="4177"/>
      <c r="F39" s="4177"/>
      <c r="G39" s="4175"/>
      <c r="H39" s="4175"/>
      <c r="I39" s="4175"/>
      <c r="J39" s="4175"/>
      <c r="K39" s="4175"/>
      <c r="L39" s="4175"/>
      <c r="M39" s="4171"/>
      <c r="N39" s="2310"/>
      <c r="O39" s="2311"/>
      <c r="AL39" s="4172"/>
      <c r="AM39" s="4173"/>
      <c r="AN39" s="4173"/>
      <c r="AO39" s="4162"/>
      <c r="AP39" s="4162"/>
      <c r="AQ39" s="4162"/>
      <c r="AR39" s="4162"/>
      <c r="AS39" s="4162"/>
      <c r="AT39" s="4162"/>
      <c r="AU39" s="4162"/>
      <c r="AV39" s="2310"/>
      <c r="AW39" s="2311"/>
    </row>
    <row r="40" spans="4:49" ht="16.5" customHeight="1" x14ac:dyDescent="0.25">
      <c r="D40" s="4178"/>
      <c r="E40" s="4177"/>
      <c r="F40" s="4177"/>
      <c r="G40" s="4175"/>
      <c r="H40" s="4175"/>
      <c r="I40" s="4175"/>
      <c r="J40" s="4175"/>
      <c r="K40" s="4175"/>
      <c r="L40" s="4175"/>
      <c r="M40" s="4171"/>
      <c r="N40" s="2310"/>
      <c r="O40" s="2311"/>
      <c r="AL40" s="4172"/>
      <c r="AM40" s="4173"/>
      <c r="AN40" s="4173"/>
      <c r="AO40" s="4162"/>
      <c r="AP40" s="4162"/>
      <c r="AQ40" s="4162"/>
      <c r="AR40" s="4162"/>
      <c r="AS40" s="4162"/>
      <c r="AT40" s="4162"/>
      <c r="AU40" s="4162"/>
      <c r="AV40" s="2310"/>
      <c r="AW40" s="2311"/>
    </row>
    <row r="41" spans="4:49" ht="16.5" customHeight="1" x14ac:dyDescent="0.25">
      <c r="D41" s="4178"/>
      <c r="E41" s="4177"/>
      <c r="F41" s="4177"/>
      <c r="G41" s="4175"/>
      <c r="H41" s="4175"/>
      <c r="I41" s="4175"/>
      <c r="J41" s="4175"/>
      <c r="K41" s="4175"/>
      <c r="L41" s="4175"/>
      <c r="M41" s="4171"/>
      <c r="N41" s="2310"/>
      <c r="O41" s="2311"/>
      <c r="AL41" s="4172"/>
      <c r="AM41" s="4173"/>
      <c r="AN41" s="4173"/>
      <c r="AO41" s="4162"/>
      <c r="AP41" s="4162"/>
      <c r="AQ41" s="4162"/>
      <c r="AR41" s="4162"/>
      <c r="AS41" s="4162"/>
      <c r="AT41" s="4162"/>
      <c r="AU41" s="4162"/>
      <c r="AV41" s="2310"/>
      <c r="AW41" s="2311"/>
    </row>
    <row r="42" spans="4:49" ht="16.5" customHeight="1" x14ac:dyDescent="0.25">
      <c r="D42" s="2303"/>
      <c r="E42" s="2304"/>
      <c r="F42" s="2310"/>
      <c r="G42" s="2310"/>
      <c r="H42" s="2315" t="s">
        <v>279</v>
      </c>
      <c r="I42" s="2310">
        <f ca="1">SUM(G27:M35)</f>
        <v>0</v>
      </c>
      <c r="K42" s="2314"/>
      <c r="L42" s="2315" t="s">
        <v>4532</v>
      </c>
      <c r="M42" s="2310">
        <f ca="1">MAX(IF(SUM(G27:G35)&gt;0,Conseq_VeryLow,0),IF(SUM(H27:H35)&gt;0,Conseq_Low,0),IF(SUM(I27:I35)&gt;0,Conseq_Moderate,0),IF(SUM(J27:J35)&gt;0,Conseq_High,0),IF(SUM(K27:K35)&gt;0,Conseq_VeryHigh,0),IF(SUM(L27:L35)&gt;0,Conseq_ExtremeHigh,0),IF(SUM(M27:M35)&gt;0,Conseq_GT_ExtremeHigh,0))</f>
        <v>0</v>
      </c>
      <c r="O42" s="2313"/>
      <c r="AL42" s="2303"/>
      <c r="AM42" s="2304"/>
      <c r="AN42" s="2310"/>
      <c r="AO42" s="2310"/>
      <c r="AP42" s="2315" t="s">
        <v>279</v>
      </c>
      <c r="AQ42" s="2310">
        <f ca="1">SUM(AO27:AU35)</f>
        <v>0</v>
      </c>
      <c r="AS42" s="2314"/>
      <c r="AT42" s="2315" t="s">
        <v>4532</v>
      </c>
      <c r="AU42" s="2310">
        <f ca="1">MAX(IF(SUM(AO27:AO35)&gt;0,Conseq_VeryLow,0),IF(SUM(AP27:AP35)&gt;0,Conseq_Low,0),IF(SUM(AQ27:AQ35)&gt;0,Conseq_Moderate,0),IF(SUM(AR27:AR35)&gt;0,Conseq_High,0),IF(SUM(AS27:AS35)&gt;0,Conseq_VeryHigh,0),IF(SUM(AT27:AT35)&gt;0,Conseq_ExtremeHigh,0),IF(SUM(AU27:AU35)&gt;0,Conseq_GT_ExtremeHigh,0))</f>
        <v>0</v>
      </c>
      <c r="AW42" s="2313"/>
    </row>
    <row r="43" spans="4:49" ht="16.5" customHeight="1" thickBot="1" x14ac:dyDescent="0.3">
      <c r="D43" s="2316"/>
      <c r="E43" s="2317"/>
      <c r="F43" s="2317"/>
      <c r="G43" s="2317"/>
      <c r="H43" s="2317"/>
      <c r="I43" s="2317"/>
      <c r="J43" s="2317"/>
      <c r="K43" s="2317"/>
      <c r="L43" s="2317"/>
      <c r="M43" s="2317"/>
      <c r="N43" s="2317"/>
      <c r="O43" s="2318"/>
      <c r="AL43" s="2316"/>
      <c r="AM43" s="2317"/>
      <c r="AN43" s="2317"/>
      <c r="AO43" s="2317"/>
      <c r="AP43" s="2317"/>
      <c r="AQ43" s="2317"/>
      <c r="AR43" s="2317"/>
      <c r="AS43" s="2317"/>
      <c r="AT43" s="2317"/>
      <c r="AU43" s="2317"/>
      <c r="AV43" s="2317"/>
      <c r="AW43" s="2318"/>
    </row>
    <row r="44" spans="4:49" ht="16.5" customHeight="1" x14ac:dyDescent="0.25"/>
    <row r="45" spans="4:49" ht="16.5" customHeight="1" x14ac:dyDescent="0.25"/>
  </sheetData>
  <sheetProtection sheet="1" objects="1" scenarios="1"/>
  <mergeCells count="48">
    <mergeCell ref="D36:F41"/>
    <mergeCell ref="F3:N3"/>
    <mergeCell ref="D14:F19"/>
    <mergeCell ref="G15:G19"/>
    <mergeCell ref="H15:H19"/>
    <mergeCell ref="I15:I19"/>
    <mergeCell ref="J15:J19"/>
    <mergeCell ref="K15:K19"/>
    <mergeCell ref="L15:L19"/>
    <mergeCell ref="M15:M19"/>
    <mergeCell ref="D27:D35"/>
    <mergeCell ref="E27:E35"/>
    <mergeCell ref="F25:N25"/>
    <mergeCell ref="D5:D13"/>
    <mergeCell ref="E5:E13"/>
    <mergeCell ref="L37:L41"/>
    <mergeCell ref="AN3:AV3"/>
    <mergeCell ref="AL5:AL13"/>
    <mergeCell ref="AM5:AM13"/>
    <mergeCell ref="AL14:AN19"/>
    <mergeCell ref="AO15:AO19"/>
    <mergeCell ref="AP15:AP19"/>
    <mergeCell ref="AQ15:AQ19"/>
    <mergeCell ref="AR15:AR19"/>
    <mergeCell ref="AS15:AS19"/>
    <mergeCell ref="AT15:AT19"/>
    <mergeCell ref="AU15:AU19"/>
    <mergeCell ref="M37:M41"/>
    <mergeCell ref="AL36:AN41"/>
    <mergeCell ref="AO37:AO41"/>
    <mergeCell ref="AP37:AP41"/>
    <mergeCell ref="G37:G41"/>
    <mergeCell ref="H37:H41"/>
    <mergeCell ref="I37:I41"/>
    <mergeCell ref="J37:J41"/>
    <mergeCell ref="K37:K41"/>
    <mergeCell ref="AT37:AT41"/>
    <mergeCell ref="AU37:AU41"/>
    <mergeCell ref="AN25:AV25"/>
    <mergeCell ref="AL27:AL35"/>
    <mergeCell ref="AM27:AM35"/>
    <mergeCell ref="AQ37:AQ41"/>
    <mergeCell ref="AR37:AR41"/>
    <mergeCell ref="N12:N13"/>
    <mergeCell ref="N5:N6"/>
    <mergeCell ref="N27:N28"/>
    <mergeCell ref="N34:N35"/>
    <mergeCell ref="AS37:AS41"/>
  </mergeCells>
  <phoneticPr fontId="3" type="noConversion"/>
  <conditionalFormatting sqref="O10:O14">
    <cfRule type="cellIs" dxfId="322" priority="720" stopIfTrue="1" operator="greaterThan">
      <formula>3</formula>
    </cfRule>
    <cfRule type="cellIs" dxfId="321" priority="721" stopIfTrue="1" operator="between">
      <formula>1</formula>
      <formula>4</formula>
    </cfRule>
  </conditionalFormatting>
  <conditionalFormatting sqref="G14:M15">
    <cfRule type="cellIs" dxfId="320" priority="670" operator="equal">
      <formula>0</formula>
    </cfRule>
  </conditionalFormatting>
  <conditionalFormatting sqref="O5">
    <cfRule type="cellIs" dxfId="319" priority="688" stopIfTrue="1" operator="greaterThan">
      <formula>-1</formula>
    </cfRule>
    <cfRule type="cellIs" dxfId="318" priority="689" stopIfTrue="1" operator="between">
      <formula>-3</formula>
      <formula>0</formula>
    </cfRule>
    <cfRule type="cellIs" dxfId="317" priority="690" stopIfTrue="1" operator="lessThan">
      <formula>-2</formula>
    </cfRule>
  </conditionalFormatting>
  <conditionalFormatting sqref="O6">
    <cfRule type="cellIs" dxfId="316" priority="691" stopIfTrue="1" operator="greaterThan">
      <formula>2</formula>
    </cfRule>
    <cfRule type="cellIs" dxfId="315" priority="692" stopIfTrue="1" operator="between">
      <formula>-1</formula>
      <formula>3</formula>
    </cfRule>
    <cfRule type="cellIs" dxfId="314" priority="693" stopIfTrue="1" operator="lessThan">
      <formula>0</formula>
    </cfRule>
  </conditionalFormatting>
  <conditionalFormatting sqref="O7">
    <cfRule type="cellIs" dxfId="313" priority="694" stopIfTrue="1" operator="greaterThan">
      <formula>3</formula>
    </cfRule>
    <cfRule type="cellIs" dxfId="312" priority="695" stopIfTrue="1" operator="between">
      <formula>1</formula>
      <formula>4</formula>
    </cfRule>
    <cfRule type="cellIs" dxfId="311" priority="696" stopIfTrue="1" operator="lessThan">
      <formula>2</formula>
    </cfRule>
  </conditionalFormatting>
  <conditionalFormatting sqref="O8">
    <cfRule type="cellIs" dxfId="310" priority="697" stopIfTrue="1" operator="greaterThan">
      <formula>4</formula>
    </cfRule>
    <cfRule type="cellIs" dxfId="309" priority="698" stopIfTrue="1" operator="between">
      <formula>2</formula>
      <formula>5</formula>
    </cfRule>
    <cfRule type="cellIs" dxfId="308" priority="699" stopIfTrue="1" operator="between">
      <formula>1</formula>
      <formula>3</formula>
    </cfRule>
  </conditionalFormatting>
  <conditionalFormatting sqref="O9">
    <cfRule type="cellIs" dxfId="307" priority="702" stopIfTrue="1" operator="greaterThan">
      <formula>3</formula>
    </cfRule>
    <cfRule type="cellIs" dxfId="306" priority="703" stopIfTrue="1" operator="between">
      <formula>2</formula>
      <formula>4</formula>
    </cfRule>
    <cfRule type="cellIs" dxfId="305" priority="704" stopIfTrue="1" operator="between">
      <formula>0</formula>
      <formula>3</formula>
    </cfRule>
  </conditionalFormatting>
  <conditionalFormatting sqref="Q4">
    <cfRule type="cellIs" dxfId="304" priority="685" operator="equal">
      <formula>0</formula>
    </cfRule>
  </conditionalFormatting>
  <conditionalFormatting sqref="G5:M13">
    <cfRule type="expression" dxfId="303" priority="211">
      <formula>IF(AND($F5=G$14,G$14&gt;0),TRUE,FALSE)</formula>
    </cfRule>
    <cfRule type="expression" dxfId="302" priority="213">
      <formula>IF(AND($F5&gt;G$14,G$14&gt;0),TRUE,FALSE)</formula>
    </cfRule>
    <cfRule type="expression" dxfId="301" priority="214">
      <formula>IF(AND($F5&lt;G$14,G$14&gt;0),TRUE,FALSE)</formula>
    </cfRule>
  </conditionalFormatting>
  <conditionalFormatting sqref="AW10:AW14">
    <cfRule type="cellIs" dxfId="300" priority="149" stopIfTrue="1" operator="greaterThan">
      <formula>3</formula>
    </cfRule>
    <cfRule type="cellIs" dxfId="299" priority="150" stopIfTrue="1" operator="between">
      <formula>1</formula>
      <formula>4</formula>
    </cfRule>
  </conditionalFormatting>
  <conditionalFormatting sqref="AO14:AU15">
    <cfRule type="cellIs" dxfId="298" priority="131" operator="equal">
      <formula>0</formula>
    </cfRule>
  </conditionalFormatting>
  <conditionalFormatting sqref="AW5">
    <cfRule type="cellIs" dxfId="297" priority="133" stopIfTrue="1" operator="greaterThan">
      <formula>-1</formula>
    </cfRule>
    <cfRule type="cellIs" dxfId="296" priority="134" stopIfTrue="1" operator="between">
      <formula>-3</formula>
      <formula>0</formula>
    </cfRule>
    <cfRule type="cellIs" dxfId="295" priority="135" stopIfTrue="1" operator="lessThan">
      <formula>-2</formula>
    </cfRule>
  </conditionalFormatting>
  <conditionalFormatting sqref="AW6">
    <cfRule type="cellIs" dxfId="294" priority="136" stopIfTrue="1" operator="greaterThan">
      <formula>2</formula>
    </cfRule>
    <cfRule type="cellIs" dxfId="293" priority="137" stopIfTrue="1" operator="between">
      <formula>-1</formula>
      <formula>3</formula>
    </cfRule>
    <cfRule type="cellIs" dxfId="292" priority="138" stopIfTrue="1" operator="lessThan">
      <formula>0</formula>
    </cfRule>
  </conditionalFormatting>
  <conditionalFormatting sqref="AW7">
    <cfRule type="cellIs" dxfId="291" priority="139" stopIfTrue="1" operator="greaterThan">
      <formula>3</formula>
    </cfRule>
    <cfRule type="cellIs" dxfId="290" priority="140" stopIfTrue="1" operator="between">
      <formula>1</formula>
      <formula>4</formula>
    </cfRule>
    <cfRule type="cellIs" dxfId="289" priority="141" stopIfTrue="1" operator="lessThan">
      <formula>2</formula>
    </cfRule>
  </conditionalFormatting>
  <conditionalFormatting sqref="AW8">
    <cfRule type="cellIs" dxfId="288" priority="142" stopIfTrue="1" operator="greaterThan">
      <formula>4</formula>
    </cfRule>
    <cfRule type="cellIs" dxfId="287" priority="143" stopIfTrue="1" operator="between">
      <formula>2</formula>
      <formula>5</formula>
    </cfRule>
    <cfRule type="cellIs" dxfId="286" priority="144" stopIfTrue="1" operator="between">
      <formula>1</formula>
      <formula>3</formula>
    </cfRule>
  </conditionalFormatting>
  <conditionalFormatting sqref="AW9">
    <cfRule type="cellIs" dxfId="285" priority="145" stopIfTrue="1" operator="greaterThan">
      <formula>3</formula>
    </cfRule>
    <cfRule type="cellIs" dxfId="284" priority="146" stopIfTrue="1" operator="between">
      <formula>2</formula>
      <formula>4</formula>
    </cfRule>
    <cfRule type="cellIs" dxfId="283" priority="147" stopIfTrue="1" operator="between">
      <formula>0</formula>
      <formula>3</formula>
    </cfRule>
  </conditionalFormatting>
  <conditionalFormatting sqref="AW32:AW36">
    <cfRule type="cellIs" dxfId="282" priority="90" stopIfTrue="1" operator="greaterThan">
      <formula>3</formula>
    </cfRule>
    <cfRule type="cellIs" dxfId="281" priority="91" stopIfTrue="1" operator="between">
      <formula>1</formula>
      <formula>4</formula>
    </cfRule>
  </conditionalFormatting>
  <conditionalFormatting sqref="AW27">
    <cfRule type="cellIs" dxfId="280" priority="75" stopIfTrue="1" operator="greaterThan">
      <formula>-1</formula>
    </cfRule>
    <cfRule type="cellIs" dxfId="279" priority="76" stopIfTrue="1" operator="between">
      <formula>-3</formula>
      <formula>0</formula>
    </cfRule>
    <cfRule type="cellIs" dxfId="278" priority="77" stopIfTrue="1" operator="lessThan">
      <formula>-2</formula>
    </cfRule>
  </conditionalFormatting>
  <conditionalFormatting sqref="AW28">
    <cfRule type="cellIs" dxfId="277" priority="78" stopIfTrue="1" operator="greaterThan">
      <formula>2</formula>
    </cfRule>
    <cfRule type="cellIs" dxfId="276" priority="79" stopIfTrue="1" operator="between">
      <formula>-1</formula>
      <formula>3</formula>
    </cfRule>
    <cfRule type="cellIs" dxfId="275" priority="80" stopIfTrue="1" operator="lessThan">
      <formula>0</formula>
    </cfRule>
  </conditionalFormatting>
  <conditionalFormatting sqref="AW29">
    <cfRule type="cellIs" dxfId="274" priority="81" stopIfTrue="1" operator="greaterThan">
      <formula>3</formula>
    </cfRule>
    <cfRule type="cellIs" dxfId="273" priority="82" stopIfTrue="1" operator="between">
      <formula>1</formula>
      <formula>4</formula>
    </cfRule>
    <cfRule type="cellIs" dxfId="272" priority="83" stopIfTrue="1" operator="lessThan">
      <formula>2</formula>
    </cfRule>
  </conditionalFormatting>
  <conditionalFormatting sqref="AW30">
    <cfRule type="cellIs" dxfId="271" priority="84" stopIfTrue="1" operator="greaterThan">
      <formula>4</formula>
    </cfRule>
    <cfRule type="cellIs" dxfId="270" priority="85" stopIfTrue="1" operator="between">
      <formula>2</formula>
      <formula>5</formula>
    </cfRule>
    <cfRule type="cellIs" dxfId="269" priority="86" stopIfTrue="1" operator="between">
      <formula>1</formula>
      <formula>3</formula>
    </cfRule>
  </conditionalFormatting>
  <conditionalFormatting sqref="AW31">
    <cfRule type="cellIs" dxfId="268" priority="87" stopIfTrue="1" operator="greaterThan">
      <formula>3</formula>
    </cfRule>
    <cfRule type="cellIs" dxfId="267" priority="88" stopIfTrue="1" operator="between">
      <formula>2</formula>
      <formula>4</formula>
    </cfRule>
    <cfRule type="cellIs" dxfId="266" priority="89" stopIfTrue="1" operator="between">
      <formula>0</formula>
      <formula>3</formula>
    </cfRule>
  </conditionalFormatting>
  <conditionalFormatting sqref="AO27">
    <cfRule type="expression" dxfId="265" priority="74">
      <formula>IF(AND($F27=AO$14,AO$14&gt;0),TRUE,FALSE)</formula>
    </cfRule>
    <cfRule type="expression" dxfId="264" priority="132">
      <formula>IF(AND($F27&gt;AO$14,AO$14&gt;0),TRUE,FALSE)</formula>
    </cfRule>
    <cfRule type="expression" dxfId="263" priority="148">
      <formula>IF(AND($F27&lt;AO$14,AO$14&gt;0),TRUE,FALSE)</formula>
    </cfRule>
  </conditionalFormatting>
  <conditionalFormatting sqref="AO28:AO35">
    <cfRule type="expression" dxfId="262" priority="71">
      <formula>IF(AND($F28=AO$14,AO$14&gt;0),TRUE,FALSE)</formula>
    </cfRule>
    <cfRule type="expression" dxfId="261" priority="72">
      <formula>IF(AND($F28&gt;AO$14,AO$14&gt;0),TRUE,FALSE)</formula>
    </cfRule>
    <cfRule type="expression" dxfId="260" priority="73">
      <formula>IF(AND($F28&lt;AO$14,AO$14&gt;0),TRUE,FALSE)</formula>
    </cfRule>
  </conditionalFormatting>
  <conditionalFormatting sqref="AP27">
    <cfRule type="expression" dxfId="259" priority="68">
      <formula>IF(AND($F27=AP$14,AP$14&gt;0),TRUE,FALSE)</formula>
    </cfRule>
    <cfRule type="expression" dxfId="258" priority="69">
      <formula>IF(AND($F27&gt;AP$14,AP$14&gt;0),TRUE,FALSE)</formula>
    </cfRule>
    <cfRule type="expression" dxfId="257" priority="70">
      <formula>IF(AND($F27&lt;AP$14,AP$14&gt;0),TRUE,FALSE)</formula>
    </cfRule>
  </conditionalFormatting>
  <conditionalFormatting sqref="AP28:AP35">
    <cfRule type="expression" dxfId="256" priority="65">
      <formula>IF(AND($F28=AP$14,AP$14&gt;0),TRUE,FALSE)</formula>
    </cfRule>
    <cfRule type="expression" dxfId="255" priority="66">
      <formula>IF(AND($F28&gt;AP$14,AP$14&gt;0),TRUE,FALSE)</formula>
    </cfRule>
    <cfRule type="expression" dxfId="254" priority="67">
      <formula>IF(AND($F28&lt;AP$14,AP$14&gt;0),TRUE,FALSE)</formula>
    </cfRule>
  </conditionalFormatting>
  <conditionalFormatting sqref="AQ27">
    <cfRule type="expression" dxfId="253" priority="62">
      <formula>IF(AND($F27=AQ$14,AQ$14&gt;0),TRUE,FALSE)</formula>
    </cfRule>
    <cfRule type="expression" dxfId="252" priority="63">
      <formula>IF(AND($F27&gt;AQ$14,AQ$14&gt;0),TRUE,FALSE)</formula>
    </cfRule>
    <cfRule type="expression" dxfId="251" priority="64">
      <formula>IF(AND($F27&lt;AQ$14,AQ$14&gt;0),TRUE,FALSE)</formula>
    </cfRule>
  </conditionalFormatting>
  <conditionalFormatting sqref="AQ28:AQ35">
    <cfRule type="expression" dxfId="250" priority="59">
      <formula>IF(AND($F28=AQ$14,AQ$14&gt;0),TRUE,FALSE)</formula>
    </cfRule>
    <cfRule type="expression" dxfId="249" priority="60">
      <formula>IF(AND($F28&gt;AQ$14,AQ$14&gt;0),TRUE,FALSE)</formula>
    </cfRule>
    <cfRule type="expression" dxfId="248" priority="61">
      <formula>IF(AND($F28&lt;AQ$14,AQ$14&gt;0),TRUE,FALSE)</formula>
    </cfRule>
  </conditionalFormatting>
  <conditionalFormatting sqref="AR27">
    <cfRule type="expression" dxfId="247" priority="56">
      <formula>IF(AND($F27=AR$14,AR$14&gt;0),TRUE,FALSE)</formula>
    </cfRule>
    <cfRule type="expression" dxfId="246" priority="57">
      <formula>IF(AND($F27&gt;AR$14,AR$14&gt;0),TRUE,FALSE)</formula>
    </cfRule>
    <cfRule type="expression" dxfId="245" priority="58">
      <formula>IF(AND($F27&lt;AR$14,AR$14&gt;0),TRUE,FALSE)</formula>
    </cfRule>
  </conditionalFormatting>
  <conditionalFormatting sqref="AR28:AR35">
    <cfRule type="expression" dxfId="244" priority="53">
      <formula>IF(AND($F28=AR$14,AR$14&gt;0),TRUE,FALSE)</formula>
    </cfRule>
    <cfRule type="expression" dxfId="243" priority="54">
      <formula>IF(AND($F28&gt;AR$14,AR$14&gt;0),TRUE,FALSE)</formula>
    </cfRule>
    <cfRule type="expression" dxfId="242" priority="55">
      <formula>IF(AND($F28&lt;AR$14,AR$14&gt;0),TRUE,FALSE)</formula>
    </cfRule>
  </conditionalFormatting>
  <conditionalFormatting sqref="AS27">
    <cfRule type="expression" dxfId="241" priority="50">
      <formula>IF(AND($F27=AS$14,AS$14&gt;0),TRUE,FALSE)</formula>
    </cfRule>
    <cfRule type="expression" dxfId="240" priority="51">
      <formula>IF(AND($F27&gt;AS$14,AS$14&gt;0),TRUE,FALSE)</formula>
    </cfRule>
    <cfRule type="expression" dxfId="239" priority="52">
      <formula>IF(AND($F27&lt;AS$14,AS$14&gt;0),TRUE,FALSE)</formula>
    </cfRule>
  </conditionalFormatting>
  <conditionalFormatting sqref="AS28:AS35">
    <cfRule type="expression" dxfId="238" priority="47">
      <formula>IF(AND($F28=AS$14,AS$14&gt;0),TRUE,FALSE)</formula>
    </cfRule>
    <cfRule type="expression" dxfId="237" priority="48">
      <formula>IF(AND($F28&gt;AS$14,AS$14&gt;0),TRUE,FALSE)</formula>
    </cfRule>
    <cfRule type="expression" dxfId="236" priority="49">
      <formula>IF(AND($F28&lt;AS$14,AS$14&gt;0),TRUE,FALSE)</formula>
    </cfRule>
  </conditionalFormatting>
  <conditionalFormatting sqref="AT27">
    <cfRule type="expression" dxfId="235" priority="44">
      <formula>IF(AND($F27=AT$14,AT$14&gt;0),TRUE,FALSE)</formula>
    </cfRule>
    <cfRule type="expression" dxfId="234" priority="45">
      <formula>IF(AND($F27&gt;AT$14,AT$14&gt;0),TRUE,FALSE)</formula>
    </cfRule>
    <cfRule type="expression" dxfId="233" priority="46">
      <formula>IF(AND($F27&lt;AT$14,AT$14&gt;0),TRUE,FALSE)</formula>
    </cfRule>
  </conditionalFormatting>
  <conditionalFormatting sqref="AT28:AT35">
    <cfRule type="cellIs" dxfId="232" priority="41" operator="equal">
      <formula>0</formula>
    </cfRule>
  </conditionalFormatting>
  <conditionalFormatting sqref="AT28:AT35">
    <cfRule type="expression" dxfId="231" priority="40">
      <formula>IF(AND($F28=AT$14,AT$14&gt;0),TRUE,FALSE)</formula>
    </cfRule>
    <cfRule type="expression" dxfId="230" priority="42">
      <formula>IF(AND($F28&gt;AT$14,AT$14&gt;0),TRUE,FALSE)</formula>
    </cfRule>
    <cfRule type="expression" dxfId="229" priority="43">
      <formula>IF(AND($F28&lt;AT$14,AT$14&gt;0),TRUE,FALSE)</formula>
    </cfRule>
  </conditionalFormatting>
  <conditionalFormatting sqref="AU27">
    <cfRule type="expression" dxfId="228" priority="37">
      <formula>IF(AND($F27=AU$14,AU$14&gt;0),TRUE,FALSE)</formula>
    </cfRule>
    <cfRule type="expression" dxfId="227" priority="38">
      <formula>IF(AND($F27&gt;AU$14,AU$14&gt;0),TRUE,FALSE)</formula>
    </cfRule>
    <cfRule type="expression" dxfId="226" priority="39">
      <formula>IF(AND($F27&lt;AU$14,AU$14&gt;0),TRUE,FALSE)</formula>
    </cfRule>
  </conditionalFormatting>
  <conditionalFormatting sqref="AU28:AU35">
    <cfRule type="expression" dxfId="225" priority="34">
      <formula>IF(AND($F28=AU$14,AU$14&gt;0),TRUE,FALSE)</formula>
    </cfRule>
    <cfRule type="expression" dxfId="224" priority="35">
      <formula>IF(AND($F28&gt;AU$14,AU$14&gt;0),TRUE,FALSE)</formula>
    </cfRule>
    <cfRule type="expression" dxfId="223" priority="36">
      <formula>IF(AND($F28&lt;AU$14,AU$14&gt;0),TRUE,FALSE)</formula>
    </cfRule>
  </conditionalFormatting>
  <conditionalFormatting sqref="G5:M13">
    <cfRule type="expression" dxfId="222" priority="30" stopIfTrue="1">
      <formula>IF(G$14="",TRUE,FALSE)</formula>
    </cfRule>
  </conditionalFormatting>
  <conditionalFormatting sqref="G27:M35">
    <cfRule type="expression" dxfId="221" priority="8" stopIfTrue="1">
      <formula>IF(G$14="",TRUE,FALSE)</formula>
    </cfRule>
  </conditionalFormatting>
  <conditionalFormatting sqref="O32:O36">
    <cfRule type="cellIs" dxfId="220" priority="28" stopIfTrue="1" operator="greaterThan">
      <formula>3</formula>
    </cfRule>
    <cfRule type="cellIs" dxfId="219" priority="29" stopIfTrue="1" operator="between">
      <formula>1</formula>
      <formula>4</formula>
    </cfRule>
  </conditionalFormatting>
  <conditionalFormatting sqref="G37:M37">
    <cfRule type="cellIs" dxfId="218" priority="12" operator="equal">
      <formula>0</formula>
    </cfRule>
  </conditionalFormatting>
  <conditionalFormatting sqref="O27">
    <cfRule type="cellIs" dxfId="217" priority="13" stopIfTrue="1" operator="greaterThan">
      <formula>-1</formula>
    </cfRule>
    <cfRule type="cellIs" dxfId="216" priority="14" stopIfTrue="1" operator="between">
      <formula>-3</formula>
      <formula>0</formula>
    </cfRule>
    <cfRule type="cellIs" dxfId="215" priority="15" stopIfTrue="1" operator="lessThan">
      <formula>-2</formula>
    </cfRule>
  </conditionalFormatting>
  <conditionalFormatting sqref="O28">
    <cfRule type="cellIs" dxfId="214" priority="16" stopIfTrue="1" operator="greaterThan">
      <formula>2</formula>
    </cfRule>
    <cfRule type="cellIs" dxfId="213" priority="17" stopIfTrue="1" operator="between">
      <formula>-1</formula>
      <formula>3</formula>
    </cfRule>
    <cfRule type="cellIs" dxfId="212" priority="18" stopIfTrue="1" operator="lessThan">
      <formula>0</formula>
    </cfRule>
  </conditionalFormatting>
  <conditionalFormatting sqref="O29">
    <cfRule type="cellIs" dxfId="211" priority="19" stopIfTrue="1" operator="greaterThan">
      <formula>3</formula>
    </cfRule>
    <cfRule type="cellIs" dxfId="210" priority="20" stopIfTrue="1" operator="between">
      <formula>1</formula>
      <formula>4</formula>
    </cfRule>
    <cfRule type="cellIs" dxfId="209" priority="21" stopIfTrue="1" operator="lessThan">
      <formula>2</formula>
    </cfRule>
  </conditionalFormatting>
  <conditionalFormatting sqref="O30">
    <cfRule type="cellIs" dxfId="208" priority="22" stopIfTrue="1" operator="greaterThan">
      <formula>4</formula>
    </cfRule>
    <cfRule type="cellIs" dxfId="207" priority="23" stopIfTrue="1" operator="between">
      <formula>2</formula>
      <formula>5</formula>
    </cfRule>
    <cfRule type="cellIs" dxfId="206" priority="24" stopIfTrue="1" operator="between">
      <formula>1</formula>
      <formula>3</formula>
    </cfRule>
  </conditionalFormatting>
  <conditionalFormatting sqref="O31">
    <cfRule type="cellIs" dxfId="205" priority="25" stopIfTrue="1" operator="greaterThan">
      <formula>3</formula>
    </cfRule>
    <cfRule type="cellIs" dxfId="204" priority="26" stopIfTrue="1" operator="between">
      <formula>2</formula>
      <formula>4</formula>
    </cfRule>
    <cfRule type="cellIs" dxfId="203" priority="27" stopIfTrue="1" operator="between">
      <formula>0</formula>
      <formula>3</formula>
    </cfRule>
  </conditionalFormatting>
  <conditionalFormatting sqref="G27:M35">
    <cfRule type="expression" dxfId="202" priority="9">
      <formula>IF(AND($F27=G$14,G$14&gt;0),TRUE,FALSE)</formula>
    </cfRule>
    <cfRule type="expression" dxfId="201" priority="10">
      <formula>IF(AND($F27&gt;G$14,G$14&gt;0),TRUE,FALSE)</formula>
    </cfRule>
    <cfRule type="expression" dxfId="200" priority="11">
      <formula>IF(AND($F27&lt;G$14,G$14&gt;0),TRUE,FALSE)</formula>
    </cfRule>
  </conditionalFormatting>
  <conditionalFormatting sqref="G36:M36">
    <cfRule type="cellIs" dxfId="199" priority="7" operator="equal">
      <formula>0</formula>
    </cfRule>
  </conditionalFormatting>
  <conditionalFormatting sqref="AO5:AO13">
    <cfRule type="expression" dxfId="198" priority="4">
      <formula>IF(AND($F5=AO$14,AO$14&gt;0),TRUE,FALSE)</formula>
    </cfRule>
    <cfRule type="expression" dxfId="197" priority="5">
      <formula>IF(AND($F5&gt;AO$14,AO$14&gt;0),TRUE,FALSE)</formula>
    </cfRule>
    <cfRule type="expression" dxfId="196" priority="6">
      <formula>IF(AND($F5&lt;AO$14,AO$14&gt;0),TRUE,FALSE)</formula>
    </cfRule>
  </conditionalFormatting>
  <conditionalFormatting sqref="AP5:AU13">
    <cfRule type="expression" dxfId="195" priority="1">
      <formula>IF(AND($F5=AP$14,AP$14&gt;0),TRUE,FALSE)</formula>
    </cfRule>
    <cfRule type="expression" dxfId="194" priority="2">
      <formula>IF(AND($F5&gt;AP$14,AP$14&gt;0),TRUE,FALSE)</formula>
    </cfRule>
    <cfRule type="expression" dxfId="193" priority="3">
      <formula>IF(AND($F5&lt;AP$14,AP$14&gt;0),TRUE,FALSE)</formula>
    </cfRule>
  </conditionalFormatting>
  <dataValidations count="1">
    <dataValidation type="list" allowBlank="1" showInputMessage="1" showErrorMessage="1" sqref="B4:B23" xr:uid="{00000000-0002-0000-1C00-000000000000}">
      <formula1>Tag_List</formula1>
    </dataValidation>
  </dataValidations>
  <pageMargins left="0.25" right="0" top="1.5" bottom="1" header="0.5" footer="0.5"/>
  <pageSetup scale="7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903" r:id="rId4" name="Button 95">
              <controlPr defaultSize="0" print="0" autoFill="0" autoPict="0" macro="[0]!Go_To_LOPA_Menu">
                <anchor moveWithCells="1" sizeWithCells="1">
                  <from>
                    <xdr:col>1</xdr:col>
                    <xdr:colOff>107950</xdr:colOff>
                    <xdr:row>0</xdr:row>
                    <xdr:rowOff>146050</xdr:rowOff>
                  </from>
                  <to>
                    <xdr:col>1</xdr:col>
                    <xdr:colOff>1860550</xdr:colOff>
                    <xdr:row>1</xdr:row>
                    <xdr:rowOff>146050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1">
    <tabColor rgb="FFFF0000"/>
    <pageSetUpPr autoPageBreaks="0"/>
  </sheetPr>
  <dimension ref="A1:AL13"/>
  <sheetViews>
    <sheetView showGridLines="0" showRowColHeaders="0" zoomScale="80" zoomScaleNormal="80" workbookViewId="0">
      <pane xSplit="4" ySplit="2" topLeftCell="E3" activePane="bottomRight" state="frozenSplit"/>
      <selection pane="topRight" activeCell="E1" sqref="E1"/>
      <selection pane="bottomLeft" activeCell="A3" sqref="A3"/>
      <selection pane="bottomRight" activeCell="J8" sqref="J8"/>
    </sheetView>
  </sheetViews>
  <sheetFormatPr defaultColWidth="9.1796875" defaultRowHeight="10.5" x14ac:dyDescent="0.25"/>
  <cols>
    <col min="1" max="1" width="8.453125" style="9" customWidth="1"/>
    <col min="2" max="2" width="8.1796875" style="9" customWidth="1"/>
    <col min="3" max="3" width="30.1796875" style="9" customWidth="1"/>
    <col min="4" max="4" width="40.81640625" style="9" hidden="1" customWidth="1"/>
    <col min="5" max="5" width="24.1796875" style="9" customWidth="1"/>
    <col min="6" max="6" width="15.1796875" style="9" hidden="1" customWidth="1"/>
    <col min="7" max="7" width="9.81640625" style="9" hidden="1" customWidth="1"/>
    <col min="8" max="8" width="10.81640625" style="9" hidden="1" customWidth="1"/>
    <col min="9" max="9" width="20.54296875" style="9" customWidth="1"/>
    <col min="10" max="10" width="11.453125" style="9" hidden="1" customWidth="1"/>
    <col min="11" max="11" width="8.1796875" style="9" hidden="1" customWidth="1"/>
    <col min="12" max="12" width="17" style="9" customWidth="1"/>
    <col min="13" max="13" width="20.54296875" style="9" hidden="1" customWidth="1"/>
    <col min="14" max="14" width="16.81640625" style="9" customWidth="1"/>
    <col min="15" max="15" width="16" style="9" hidden="1" customWidth="1"/>
    <col min="16" max="16" width="20.54296875" style="9" customWidth="1"/>
    <col min="17" max="17" width="1.1796875" style="9" customWidth="1"/>
    <col min="18" max="18" width="20.54296875" style="9" customWidth="1"/>
    <col min="19" max="19" width="8.81640625" style="9" hidden="1" customWidth="1"/>
    <col min="20" max="20" width="14.1796875" style="9" hidden="1" customWidth="1"/>
    <col min="21" max="21" width="20.54296875" style="9" customWidth="1"/>
    <col min="22" max="22" width="8.81640625" style="9" hidden="1" customWidth="1"/>
    <col min="23" max="23" width="14.1796875" style="9" hidden="1" customWidth="1"/>
    <col min="24" max="24" width="17.1796875" style="9" customWidth="1"/>
    <col min="25" max="25" width="8.81640625" style="9" hidden="1" customWidth="1"/>
    <col min="26" max="26" width="14.1796875" style="9" hidden="1" customWidth="1"/>
    <col min="27" max="27" width="17.1796875" style="9" customWidth="1"/>
    <col min="28" max="28" width="8.81640625" style="9" hidden="1" customWidth="1"/>
    <col min="29" max="29" width="14.1796875" style="9" hidden="1" customWidth="1"/>
    <col min="30" max="33" width="20.54296875" style="9" customWidth="1"/>
    <col min="34" max="34" width="26.81640625" style="9" customWidth="1"/>
    <col min="35" max="35" width="22" style="9" customWidth="1"/>
    <col min="36" max="36" width="10.81640625" style="9" customWidth="1"/>
    <col min="37" max="37" width="12.1796875" style="9" customWidth="1"/>
    <col min="38" max="38" width="10" style="9" customWidth="1"/>
    <col min="39" max="16384" width="9.1796875" style="9"/>
  </cols>
  <sheetData>
    <row r="1" spans="1:38" ht="21" customHeight="1" x14ac:dyDescent="0.25">
      <c r="A1" s="41"/>
      <c r="B1" s="146"/>
      <c r="C1" s="61" t="s">
        <v>468</v>
      </c>
      <c r="D1" s="59"/>
      <c r="E1" s="59"/>
      <c r="F1" s="59"/>
      <c r="G1" s="59"/>
      <c r="H1" s="59"/>
      <c r="I1" s="1528"/>
      <c r="J1" s="59"/>
      <c r="K1" s="59"/>
      <c r="L1" s="1527"/>
      <c r="M1" s="59"/>
      <c r="N1" s="59"/>
      <c r="O1" s="59"/>
      <c r="P1" s="60"/>
      <c r="Q1" s="142"/>
      <c r="R1" s="62"/>
      <c r="S1" s="42"/>
      <c r="T1" s="42"/>
      <c r="U1" s="42"/>
      <c r="V1" s="42"/>
      <c r="W1" s="42"/>
      <c r="X1" s="42"/>
      <c r="Y1" s="42"/>
      <c r="Z1" s="42"/>
      <c r="AA1" s="42"/>
      <c r="AB1" s="42"/>
      <c r="AC1" s="42"/>
      <c r="AD1" s="42"/>
      <c r="AE1" s="42"/>
      <c r="AF1" s="42"/>
      <c r="AG1" s="43"/>
      <c r="AH1" s="4229" t="s">
        <v>3441</v>
      </c>
      <c r="AI1" s="4229" t="s">
        <v>3440</v>
      </c>
      <c r="AJ1" s="4226" t="s">
        <v>1635</v>
      </c>
      <c r="AK1" s="4227"/>
      <c r="AL1" s="4228"/>
    </row>
    <row r="2" spans="1:38" ht="32" thickBot="1" x14ac:dyDescent="0.3">
      <c r="A2" s="145" t="s">
        <v>1493</v>
      </c>
      <c r="B2" s="44" t="s">
        <v>1507</v>
      </c>
      <c r="C2" s="44" t="s">
        <v>3354</v>
      </c>
      <c r="D2" s="1529" t="s">
        <v>3353</v>
      </c>
      <c r="E2" s="44" t="s">
        <v>4541</v>
      </c>
      <c r="F2" s="918" t="s">
        <v>4540</v>
      </c>
      <c r="G2" s="45" t="s">
        <v>1479</v>
      </c>
      <c r="H2" s="46"/>
      <c r="I2" s="44" t="s">
        <v>1104</v>
      </c>
      <c r="J2" s="1626" t="s">
        <v>552</v>
      </c>
      <c r="K2" s="1626"/>
      <c r="L2" s="44" t="s">
        <v>2732</v>
      </c>
      <c r="M2" s="46" t="s">
        <v>2995</v>
      </c>
      <c r="N2" s="44" t="s">
        <v>492</v>
      </c>
      <c r="O2" s="46" t="s">
        <v>2996</v>
      </c>
      <c r="P2" s="1168" t="s">
        <v>5228</v>
      </c>
      <c r="Q2" s="143"/>
      <c r="R2" s="47" t="s">
        <v>4543</v>
      </c>
      <c r="S2" s="48" t="s">
        <v>4544</v>
      </c>
      <c r="T2" s="1629"/>
      <c r="U2" s="47" t="s">
        <v>4543</v>
      </c>
      <c r="V2" s="48" t="s">
        <v>4544</v>
      </c>
      <c r="W2" s="49"/>
      <c r="X2" s="47" t="s">
        <v>1633</v>
      </c>
      <c r="Y2" s="48" t="s">
        <v>92</v>
      </c>
      <c r="Z2" s="49"/>
      <c r="AA2" s="47" t="s">
        <v>1634</v>
      </c>
      <c r="AB2" s="48" t="s">
        <v>93</v>
      </c>
      <c r="AC2" s="49"/>
      <c r="AD2" s="47" t="s">
        <v>759</v>
      </c>
      <c r="AE2" s="47" t="s">
        <v>124</v>
      </c>
      <c r="AF2" s="47" t="s">
        <v>125</v>
      </c>
      <c r="AG2" s="2905" t="s">
        <v>126</v>
      </c>
      <c r="AH2" s="4230"/>
      <c r="AI2" s="4230"/>
      <c r="AJ2" s="50" t="s">
        <v>1210</v>
      </c>
      <c r="AK2" s="50" t="s">
        <v>1603</v>
      </c>
      <c r="AL2" s="51" t="s">
        <v>873</v>
      </c>
    </row>
    <row r="3" spans="1:38" ht="25.5" customHeight="1" x14ac:dyDescent="0.25">
      <c r="A3" s="1489"/>
      <c r="B3" s="4200" t="s">
        <v>1897</v>
      </c>
      <c r="C3" s="4210"/>
      <c r="D3" s="4220"/>
      <c r="E3" s="4218"/>
      <c r="F3" s="4189"/>
      <c r="G3" s="4213" t="s">
        <v>1777</v>
      </c>
      <c r="H3" s="4189"/>
      <c r="I3" s="4189"/>
      <c r="J3" s="1628" t="s">
        <v>3279</v>
      </c>
      <c r="K3" s="1627" t="s">
        <v>1897</v>
      </c>
      <c r="L3" s="4180"/>
      <c r="M3" s="4183"/>
      <c r="N3" s="4180"/>
      <c r="O3" s="4183"/>
      <c r="P3" s="4202"/>
      <c r="Q3" s="142"/>
      <c r="R3" s="4189"/>
      <c r="S3" s="2299" t="s">
        <v>4542</v>
      </c>
      <c r="T3" s="1630" t="s">
        <v>1897</v>
      </c>
      <c r="U3" s="4189"/>
      <c r="V3" s="2299" t="s">
        <v>4542</v>
      </c>
      <c r="W3" s="1630" t="s">
        <v>1897</v>
      </c>
      <c r="X3" s="4189"/>
      <c r="Y3" s="52" t="s">
        <v>1987</v>
      </c>
      <c r="Z3" s="1630" t="s">
        <v>1897</v>
      </c>
      <c r="AA3" s="4189"/>
      <c r="AB3" s="52" t="s">
        <v>1987</v>
      </c>
      <c r="AC3" s="1630" t="s">
        <v>1897</v>
      </c>
      <c r="AD3" s="4189"/>
      <c r="AE3" s="4189"/>
      <c r="AF3" s="4189"/>
      <c r="AG3" s="4189"/>
      <c r="AH3" s="4192"/>
      <c r="AI3" s="4192"/>
      <c r="AJ3" s="4195" t="s">
        <v>4234</v>
      </c>
      <c r="AK3" s="4236"/>
      <c r="AL3" s="4231"/>
    </row>
    <row r="4" spans="1:38" x14ac:dyDescent="0.25">
      <c r="A4" s="53"/>
      <c r="B4" s="4201"/>
      <c r="C4" s="4211"/>
      <c r="D4" s="4221"/>
      <c r="E4" s="4219"/>
      <c r="F4" s="4190"/>
      <c r="G4" s="4214"/>
      <c r="H4" s="4190"/>
      <c r="I4" s="4190"/>
      <c r="J4" s="1628" t="s">
        <v>3280</v>
      </c>
      <c r="K4" s="1627" t="s">
        <v>1897</v>
      </c>
      <c r="L4" s="4181"/>
      <c r="M4" s="4184"/>
      <c r="N4" s="4181"/>
      <c r="O4" s="4184"/>
      <c r="P4" s="4190"/>
      <c r="R4" s="4190"/>
      <c r="S4" s="1474" t="s">
        <v>3279</v>
      </c>
      <c r="T4" s="1630" t="s">
        <v>1897</v>
      </c>
      <c r="U4" s="4190"/>
      <c r="V4" s="1474" t="s">
        <v>3279</v>
      </c>
      <c r="W4" s="1630" t="s">
        <v>1897</v>
      </c>
      <c r="X4" s="4190"/>
      <c r="Y4" s="1474" t="s">
        <v>3279</v>
      </c>
      <c r="Z4" s="1630" t="s">
        <v>1897</v>
      </c>
      <c r="AA4" s="4190"/>
      <c r="AB4" s="1474" t="s">
        <v>3279</v>
      </c>
      <c r="AC4" s="1630" t="s">
        <v>1897</v>
      </c>
      <c r="AD4" s="4190"/>
      <c r="AE4" s="4190"/>
      <c r="AF4" s="4190"/>
      <c r="AG4" s="4190"/>
      <c r="AH4" s="4193"/>
      <c r="AI4" s="4193"/>
      <c r="AJ4" s="4196"/>
      <c r="AK4" s="4187"/>
      <c r="AL4" s="4232"/>
    </row>
    <row r="5" spans="1:38" ht="12.75" customHeight="1" x14ac:dyDescent="0.25">
      <c r="A5" s="53"/>
      <c r="B5" s="4208"/>
      <c r="C5" s="4211"/>
      <c r="D5" s="4221"/>
      <c r="E5" s="4219"/>
      <c r="F5" s="4190"/>
      <c r="G5" s="4215"/>
      <c r="H5" s="4191"/>
      <c r="I5" s="4190"/>
      <c r="J5" s="1628" t="s">
        <v>3283</v>
      </c>
      <c r="K5" s="1627" t="s">
        <v>1897</v>
      </c>
      <c r="L5" s="4181"/>
      <c r="M5" s="4184"/>
      <c r="N5" s="4181"/>
      <c r="O5" s="4184"/>
      <c r="P5" s="4190"/>
      <c r="R5" s="4190"/>
      <c r="S5" s="54" t="s">
        <v>3280</v>
      </c>
      <c r="T5" s="1630" t="s">
        <v>1897</v>
      </c>
      <c r="U5" s="4190"/>
      <c r="V5" s="54" t="s">
        <v>3280</v>
      </c>
      <c r="W5" s="1630" t="s">
        <v>1897</v>
      </c>
      <c r="X5" s="4190"/>
      <c r="Y5" s="54" t="s">
        <v>3280</v>
      </c>
      <c r="Z5" s="1630" t="s">
        <v>1897</v>
      </c>
      <c r="AA5" s="4190"/>
      <c r="AB5" s="54" t="s">
        <v>3280</v>
      </c>
      <c r="AC5" s="1630" t="s">
        <v>1897</v>
      </c>
      <c r="AD5" s="4190"/>
      <c r="AE5" s="4190"/>
      <c r="AF5" s="4190"/>
      <c r="AG5" s="4190"/>
      <c r="AH5" s="4193"/>
      <c r="AI5" s="4193"/>
      <c r="AJ5" s="4196"/>
      <c r="AK5" s="4187"/>
      <c r="AL5" s="4232"/>
    </row>
    <row r="6" spans="1:38" ht="10.4" customHeight="1" x14ac:dyDescent="0.25">
      <c r="A6" s="53"/>
      <c r="B6" s="4190"/>
      <c r="C6" s="4211"/>
      <c r="D6" s="4221"/>
      <c r="E6" s="4219"/>
      <c r="F6" s="4190"/>
      <c r="G6" s="4216" t="s">
        <v>715</v>
      </c>
      <c r="H6" s="4202"/>
      <c r="I6" s="4190"/>
      <c r="J6" s="1628" t="s">
        <v>3426</v>
      </c>
      <c r="K6" s="1627" t="s">
        <v>1897</v>
      </c>
      <c r="L6" s="4181"/>
      <c r="M6" s="4184"/>
      <c r="N6" s="4181"/>
      <c r="O6" s="4184"/>
      <c r="P6" s="4190"/>
      <c r="R6" s="4190"/>
      <c r="S6" s="1474" t="s">
        <v>3283</v>
      </c>
      <c r="T6" s="1630" t="s">
        <v>1897</v>
      </c>
      <c r="U6" s="4190"/>
      <c r="V6" s="1474" t="s">
        <v>3283</v>
      </c>
      <c r="W6" s="1630" t="s">
        <v>1897</v>
      </c>
      <c r="X6" s="4190"/>
      <c r="Y6" s="1474" t="s">
        <v>3283</v>
      </c>
      <c r="Z6" s="1630" t="s">
        <v>1897</v>
      </c>
      <c r="AA6" s="4190"/>
      <c r="AB6" s="1474" t="s">
        <v>3283</v>
      </c>
      <c r="AC6" s="1630" t="s">
        <v>1897</v>
      </c>
      <c r="AD6" s="4190"/>
      <c r="AE6" s="4190"/>
      <c r="AF6" s="4190"/>
      <c r="AG6" s="4190"/>
      <c r="AH6" s="4193"/>
      <c r="AI6" s="4193"/>
      <c r="AJ6" s="4197"/>
      <c r="AK6" s="4237"/>
      <c r="AL6" s="4233"/>
    </row>
    <row r="7" spans="1:38" ht="12.75" customHeight="1" x14ac:dyDescent="0.25">
      <c r="A7" s="1492" t="s">
        <v>3298</v>
      </c>
      <c r="B7" s="4190"/>
      <c r="C7" s="4211"/>
      <c r="D7" s="4221"/>
      <c r="E7" s="4219"/>
      <c r="F7" s="4190"/>
      <c r="G7" s="4217"/>
      <c r="H7" s="4191"/>
      <c r="I7" s="4190"/>
      <c r="J7" s="1628" t="s">
        <v>3427</v>
      </c>
      <c r="K7" s="1627" t="s">
        <v>1897</v>
      </c>
      <c r="L7" s="4181"/>
      <c r="M7" s="4184"/>
      <c r="N7" s="4181"/>
      <c r="O7" s="4184"/>
      <c r="P7" s="4190"/>
      <c r="R7" s="4190"/>
      <c r="S7" s="1474" t="s">
        <v>3281</v>
      </c>
      <c r="T7" s="1630" t="s">
        <v>1897</v>
      </c>
      <c r="U7" s="4190"/>
      <c r="V7" s="1474" t="s">
        <v>3281</v>
      </c>
      <c r="W7" s="1630" t="s">
        <v>1897</v>
      </c>
      <c r="X7" s="4190"/>
      <c r="Y7" s="1474" t="s">
        <v>3281</v>
      </c>
      <c r="Z7" s="1630" t="s">
        <v>1897</v>
      </c>
      <c r="AA7" s="4190"/>
      <c r="AB7" s="1474" t="s">
        <v>3281</v>
      </c>
      <c r="AC7" s="1630" t="s">
        <v>1897</v>
      </c>
      <c r="AD7" s="4190"/>
      <c r="AE7" s="4190"/>
      <c r="AF7" s="4190"/>
      <c r="AG7" s="4190"/>
      <c r="AH7" s="4193"/>
      <c r="AI7" s="4193"/>
      <c r="AJ7" s="4198" t="s">
        <v>1636</v>
      </c>
      <c r="AK7" s="4186"/>
      <c r="AL7" s="4234"/>
    </row>
    <row r="8" spans="1:38" x14ac:dyDescent="0.25">
      <c r="A8" s="1490" t="s">
        <v>1012</v>
      </c>
      <c r="B8" s="4190"/>
      <c r="C8" s="4211"/>
      <c r="D8" s="4221"/>
      <c r="E8" s="4219"/>
      <c r="F8" s="4190"/>
      <c r="G8" s="4216" t="s">
        <v>714</v>
      </c>
      <c r="H8" s="4206" t="str">
        <f>IF(OR(H3="",H6=""),"",IF(H6*H3&lt;0.03,2,IF(H6*H3&lt;0.3,1,0)))</f>
        <v/>
      </c>
      <c r="I8" s="4190"/>
      <c r="J8" s="1628" t="s">
        <v>3281</v>
      </c>
      <c r="K8" s="1627" t="s">
        <v>1897</v>
      </c>
      <c r="L8" s="4181"/>
      <c r="M8" s="4184"/>
      <c r="N8" s="4181"/>
      <c r="O8" s="4184"/>
      <c r="P8" s="4190"/>
      <c r="R8" s="4190"/>
      <c r="S8" s="54" t="s">
        <v>3282</v>
      </c>
      <c r="T8" s="1630" t="s">
        <v>1897</v>
      </c>
      <c r="U8" s="4190"/>
      <c r="V8" s="54" t="s">
        <v>3282</v>
      </c>
      <c r="W8" s="1630" t="s">
        <v>1897</v>
      </c>
      <c r="X8" s="4190"/>
      <c r="Y8" s="54" t="s">
        <v>3282</v>
      </c>
      <c r="Z8" s="1630" t="s">
        <v>1897</v>
      </c>
      <c r="AA8" s="4190"/>
      <c r="AB8" s="54" t="s">
        <v>3282</v>
      </c>
      <c r="AC8" s="1630" t="s">
        <v>1897</v>
      </c>
      <c r="AD8" s="4190"/>
      <c r="AE8" s="4190"/>
      <c r="AF8" s="4190"/>
      <c r="AG8" s="4190"/>
      <c r="AH8" s="4193"/>
      <c r="AI8" s="4193"/>
      <c r="AJ8" s="4196"/>
      <c r="AK8" s="4187"/>
      <c r="AL8" s="4232"/>
    </row>
    <row r="9" spans="1:38" x14ac:dyDescent="0.25">
      <c r="A9" s="1490" t="s">
        <v>2792</v>
      </c>
      <c r="B9" s="4190"/>
      <c r="C9" s="4211"/>
      <c r="D9" s="4221"/>
      <c r="E9" s="4219"/>
      <c r="F9" s="4190"/>
      <c r="G9" s="4217"/>
      <c r="H9" s="4207"/>
      <c r="I9" s="4190"/>
      <c r="J9" s="1628" t="s">
        <v>3282</v>
      </c>
      <c r="K9" s="1627" t="s">
        <v>1897</v>
      </c>
      <c r="L9" s="4181"/>
      <c r="M9" s="4184"/>
      <c r="N9" s="4181"/>
      <c r="O9" s="4184"/>
      <c r="P9" s="4190"/>
      <c r="R9" s="4190"/>
      <c r="S9" s="55" t="s">
        <v>1988</v>
      </c>
      <c r="T9" s="1630" t="s">
        <v>1897</v>
      </c>
      <c r="U9" s="4190"/>
      <c r="V9" s="55" t="s">
        <v>1988</v>
      </c>
      <c r="W9" s="1630" t="s">
        <v>1897</v>
      </c>
      <c r="X9" s="4190"/>
      <c r="Y9" s="55" t="s">
        <v>1988</v>
      </c>
      <c r="Z9" s="1630" t="s">
        <v>1897</v>
      </c>
      <c r="AA9" s="4190"/>
      <c r="AB9" s="55" t="s">
        <v>1988</v>
      </c>
      <c r="AC9" s="1630" t="s">
        <v>1897</v>
      </c>
      <c r="AD9" s="4190"/>
      <c r="AE9" s="4190"/>
      <c r="AF9" s="4190"/>
      <c r="AG9" s="4190"/>
      <c r="AH9" s="4193"/>
      <c r="AI9" s="4193"/>
      <c r="AJ9" s="4196"/>
      <c r="AK9" s="4187"/>
      <c r="AL9" s="4232"/>
    </row>
    <row r="10" spans="1:38" x14ac:dyDescent="0.25">
      <c r="A10" s="1490" t="s">
        <v>3295</v>
      </c>
      <c r="B10" s="4190"/>
      <c r="C10" s="4212"/>
      <c r="D10" s="4221"/>
      <c r="E10" s="4219"/>
      <c r="F10" s="4190"/>
      <c r="G10" s="4223" t="s">
        <v>1989</v>
      </c>
      <c r="H10" s="4203"/>
      <c r="I10" s="4190"/>
      <c r="J10" s="1628" t="s">
        <v>3428</v>
      </c>
      <c r="K10" s="1627" t="s">
        <v>1897</v>
      </c>
      <c r="L10" s="4181"/>
      <c r="M10" s="4184"/>
      <c r="N10" s="4181"/>
      <c r="O10" s="4184"/>
      <c r="P10" s="4190"/>
      <c r="R10" s="4191"/>
      <c r="S10" s="55" t="s">
        <v>3093</v>
      </c>
      <c r="T10" s="1630" t="s">
        <v>1897</v>
      </c>
      <c r="U10" s="4191"/>
      <c r="V10" s="55" t="s">
        <v>3093</v>
      </c>
      <c r="W10" s="1630" t="s">
        <v>1897</v>
      </c>
      <c r="X10" s="4191"/>
      <c r="Y10" s="55" t="s">
        <v>3093</v>
      </c>
      <c r="Z10" s="1630" t="s">
        <v>1897</v>
      </c>
      <c r="AA10" s="4191"/>
      <c r="AB10" s="55" t="s">
        <v>3093</v>
      </c>
      <c r="AC10" s="1630" t="s">
        <v>1897</v>
      </c>
      <c r="AD10" s="4191"/>
      <c r="AE10" s="4191"/>
      <c r="AF10" s="4191"/>
      <c r="AG10" s="4191"/>
      <c r="AH10" s="4193"/>
      <c r="AI10" s="4193"/>
      <c r="AJ10" s="4197"/>
      <c r="AK10" s="4237"/>
      <c r="AL10" s="4233"/>
    </row>
    <row r="11" spans="1:38" x14ac:dyDescent="0.25">
      <c r="A11" s="1491"/>
      <c r="B11" s="4209"/>
      <c r="C11" s="1166" t="s">
        <v>2928</v>
      </c>
      <c r="D11" s="4221"/>
      <c r="E11" s="4207"/>
      <c r="F11" s="4191"/>
      <c r="G11" s="4224"/>
      <c r="H11" s="4204"/>
      <c r="I11" s="4191"/>
      <c r="J11" s="1628" t="s">
        <v>3429</v>
      </c>
      <c r="K11" s="1627" t="s">
        <v>1897</v>
      </c>
      <c r="L11" s="4182"/>
      <c r="M11" s="4185"/>
      <c r="N11" s="4182"/>
      <c r="O11" s="4185"/>
      <c r="P11" s="4191"/>
      <c r="R11" s="1167"/>
      <c r="S11" s="56" t="s">
        <v>3094</v>
      </c>
      <c r="T11" s="1630" t="s">
        <v>1897</v>
      </c>
      <c r="U11" s="1167"/>
      <c r="V11" s="56" t="s">
        <v>3094</v>
      </c>
      <c r="W11" s="1630" t="s">
        <v>1897</v>
      </c>
      <c r="X11" s="1167"/>
      <c r="Y11" s="56" t="s">
        <v>3094</v>
      </c>
      <c r="Z11" s="1630" t="s">
        <v>1897</v>
      </c>
      <c r="AA11" s="1167"/>
      <c r="AB11" s="56" t="s">
        <v>3094</v>
      </c>
      <c r="AC11" s="1630" t="s">
        <v>1897</v>
      </c>
      <c r="AD11" s="1167"/>
      <c r="AE11" s="1167"/>
      <c r="AF11" s="1167"/>
      <c r="AG11" s="1167"/>
      <c r="AH11" s="4193"/>
      <c r="AI11" s="4193"/>
      <c r="AJ11" s="4198" t="s">
        <v>1637</v>
      </c>
      <c r="AK11" s="4186"/>
      <c r="AL11" s="4234"/>
    </row>
    <row r="12" spans="1:38" ht="21" x14ac:dyDescent="0.25">
      <c r="A12" s="57"/>
      <c r="B12" s="1176" t="s">
        <v>2929</v>
      </c>
      <c r="C12" s="326"/>
      <c r="D12" s="4221"/>
      <c r="E12" s="2872"/>
      <c r="F12" s="784"/>
      <c r="G12" s="4224"/>
      <c r="H12" s="4204"/>
      <c r="I12" s="58"/>
      <c r="J12" s="1628" t="s">
        <v>1989</v>
      </c>
      <c r="K12" s="1627" t="s">
        <v>1897</v>
      </c>
      <c r="L12" s="2873"/>
      <c r="M12" s="919"/>
      <c r="N12" s="2874"/>
      <c r="O12" s="1002"/>
      <c r="P12" s="748"/>
      <c r="Q12" s="144"/>
      <c r="R12" s="1179"/>
      <c r="S12" s="1631" t="s">
        <v>1989</v>
      </c>
      <c r="T12" s="1627" t="s">
        <v>1897</v>
      </c>
      <c r="U12" s="1179"/>
      <c r="V12" s="1631" t="s">
        <v>1989</v>
      </c>
      <c r="W12" s="1630" t="s">
        <v>1897</v>
      </c>
      <c r="X12" s="1179"/>
      <c r="Y12" s="1631" t="s">
        <v>1989</v>
      </c>
      <c r="Z12" s="1630" t="s">
        <v>1897</v>
      </c>
      <c r="AA12" s="1179"/>
      <c r="AB12" s="1631" t="s">
        <v>1989</v>
      </c>
      <c r="AC12" s="1630" t="s">
        <v>1897</v>
      </c>
      <c r="AD12" s="1179"/>
      <c r="AE12" s="1179"/>
      <c r="AF12" s="1179"/>
      <c r="AG12" s="1179"/>
      <c r="AH12" s="4193"/>
      <c r="AI12" s="4193"/>
      <c r="AJ12" s="4196"/>
      <c r="AK12" s="4187"/>
      <c r="AL12" s="4232"/>
    </row>
    <row r="13" spans="1:38" ht="11" thickBot="1" x14ac:dyDescent="0.3">
      <c r="A13" s="2909">
        <f>IF(E13="","",E13-SUM(I13,L13,N13,P13,R13,U13,X13,AA13,AD13,AE13,AF13,AG13))</f>
        <v>0</v>
      </c>
      <c r="B13" s="1177"/>
      <c r="C13" s="1178"/>
      <c r="D13" s="4222"/>
      <c r="E13" s="2908">
        <f>IF(F13="",E12,F13)</f>
        <v>0</v>
      </c>
      <c r="F13" s="1174" t="str">
        <f>IF(F12="","",VLOOKUP(F12,TFCorrect_Table,2,))</f>
        <v/>
      </c>
      <c r="G13" s="4225"/>
      <c r="H13" s="4205"/>
      <c r="I13" s="2908">
        <f>IF(ISERROR(MATCH(I12,IE,FALSE)),IF(ISERROR(MATCH(I12,IE_Fire,FALSE)),B13,VLOOKUP(I12,IE_Fire_Table,2,FALSE)),VLOOKUP(I12,IE_Table,2,FALSE))</f>
        <v>0</v>
      </c>
      <c r="J13" s="2910" t="s">
        <v>3430</v>
      </c>
      <c r="K13" s="2911" t="s">
        <v>1897</v>
      </c>
      <c r="L13" s="2908">
        <f>IF(M13="",L12,M13)</f>
        <v>0</v>
      </c>
      <c r="M13" s="2900" t="str">
        <f>IF(M12="","",VLOOKUP(M12,POI_Table,2,))</f>
        <v/>
      </c>
      <c r="N13" s="2908">
        <f>IF(O13="",N12,O13)</f>
        <v>0</v>
      </c>
      <c r="O13" s="2900" t="str">
        <f>IF(O12="","",VLOOKUP(O12,POE_Alternate_Table,2,))</f>
        <v/>
      </c>
      <c r="P13" s="2900" t="str">
        <f>IF(P12="","",IF(AND(OR(I12="Operator Failure Action once per quarter or less",I12="Operator Failure Action more than once per quarter"),ISERROR(SEARCH("USER DEFINED",P12))),0,VLOOKUP(P12,POE_Table,2,)))</f>
        <v/>
      </c>
      <c r="Q13" s="1175"/>
      <c r="R13" s="2900" t="str">
        <f>IF(R12="","",VLOOKUP(R12,IPL_Operator_Factor,3,))</f>
        <v/>
      </c>
      <c r="S13" s="2912" t="s">
        <v>3430</v>
      </c>
      <c r="T13" s="2913" t="s">
        <v>1897</v>
      </c>
      <c r="U13" s="2900" t="str">
        <f>IF(U12="","",VLOOKUP(U12,IPL_Operator_Factor,3,))</f>
        <v/>
      </c>
      <c r="V13" s="2912" t="s">
        <v>3430</v>
      </c>
      <c r="W13" s="2913" t="s">
        <v>1897</v>
      </c>
      <c r="X13" s="2900" t="str">
        <f>IF(X12="","",VLOOKUP(X12,IPL_SIS_Factor,3,))</f>
        <v/>
      </c>
      <c r="Y13" s="2912" t="s">
        <v>3430</v>
      </c>
      <c r="Z13" s="2913" t="s">
        <v>1897</v>
      </c>
      <c r="AA13" s="2914" t="str">
        <f>IF(AA12="","",VLOOKUP(AA12,IPL_SIS_Factor,3,))</f>
        <v/>
      </c>
      <c r="AB13" s="2912" t="s">
        <v>3430</v>
      </c>
      <c r="AC13" s="2913" t="s">
        <v>1897</v>
      </c>
      <c r="AD13" s="2900" t="str">
        <f>IF(AD12="","",VLOOKUP(AD12,IPL_PRD_Factor,3,))</f>
        <v/>
      </c>
      <c r="AE13" s="2915" t="str">
        <f>IF(AE12="","",IF(ISERROR(VLOOKUP(AE12,IPL_SRPS_Factor,3,FALSE)),0,VLOOKUP(AE12,IPL_SRPS_Factor,3,FALSE)))</f>
        <v/>
      </c>
      <c r="AF13" s="2915" t="str">
        <f>IF(AF12="","",IF(ISERROR(VLOOKUP(AF12,IPL_SRPS_Factor,3,FALSE)),0,VLOOKUP(AF12,IPL_SRPS_Factor,3,FALSE)))</f>
        <v/>
      </c>
      <c r="AG13" s="2900" t="str">
        <f>IF(AG12="","",IF(ISERROR(VLOOKUP(AG12,IPL_SRPS_Factor,3,FALSE)),0,VLOOKUP(AG12,IPL_SRPS_Factor,3,FALSE)))</f>
        <v/>
      </c>
      <c r="AH13" s="4194"/>
      <c r="AI13" s="4194"/>
      <c r="AJ13" s="4199"/>
      <c r="AK13" s="4188"/>
      <c r="AL13" s="4235"/>
    </row>
  </sheetData>
  <sheetProtection sheet="1" objects="1" scenarios="1"/>
  <mergeCells count="42">
    <mergeCell ref="AJ1:AL1"/>
    <mergeCell ref="AH1:AH2"/>
    <mergeCell ref="AI1:AI2"/>
    <mergeCell ref="N3:N11"/>
    <mergeCell ref="O3:O11"/>
    <mergeCell ref="P3:P11"/>
    <mergeCell ref="R3:R10"/>
    <mergeCell ref="AF3:AF10"/>
    <mergeCell ref="AL3:AL6"/>
    <mergeCell ref="AL7:AL10"/>
    <mergeCell ref="U3:U10"/>
    <mergeCell ref="X3:X10"/>
    <mergeCell ref="AL11:AL13"/>
    <mergeCell ref="AA3:AA10"/>
    <mergeCell ref="AK3:AK6"/>
    <mergeCell ref="AK7:AK10"/>
    <mergeCell ref="B3:B4"/>
    <mergeCell ref="I3:I11"/>
    <mergeCell ref="H3:H5"/>
    <mergeCell ref="H6:H7"/>
    <mergeCell ref="H10:H13"/>
    <mergeCell ref="H8:H9"/>
    <mergeCell ref="B5:B11"/>
    <mergeCell ref="C3:C10"/>
    <mergeCell ref="G3:G5"/>
    <mergeCell ref="G6:G7"/>
    <mergeCell ref="G8:G9"/>
    <mergeCell ref="E3:E11"/>
    <mergeCell ref="F3:F11"/>
    <mergeCell ref="D3:D13"/>
    <mergeCell ref="G10:G13"/>
    <mergeCell ref="L3:L11"/>
    <mergeCell ref="M3:M11"/>
    <mergeCell ref="AK11:AK13"/>
    <mergeCell ref="AG3:AG10"/>
    <mergeCell ref="AD3:AD10"/>
    <mergeCell ref="AE3:AE10"/>
    <mergeCell ref="AH3:AH13"/>
    <mergeCell ref="AI3:AI13"/>
    <mergeCell ref="AJ3:AJ6"/>
    <mergeCell ref="AJ7:AJ10"/>
    <mergeCell ref="AJ11:AJ13"/>
  </mergeCells>
  <phoneticPr fontId="3" type="noConversion"/>
  <conditionalFormatting sqref="K3">
    <cfRule type="expression" dxfId="192" priority="67892" stopIfTrue="1">
      <formula>IF(AND(OR(I12="BPCS Failure",I12="BPCS with Mechanical Failure",I12="Blower or Damper Failure",I12="Pump Failure",I12="Ignitor Failure"),K3="",K9=""),TRUE,FALSE)</formula>
    </cfRule>
    <cfRule type="expression" dxfId="191" priority="67893" stopIfTrue="1">
      <formula>IF((LEN(K3)-LEN(SUBSTITUTE(K3,",","")))&gt;19,TRUE,FALSE)</formula>
    </cfRule>
  </conditionalFormatting>
  <conditionalFormatting sqref="K9">
    <cfRule type="expression" dxfId="190" priority="67894" stopIfTrue="1">
      <formula>IF(AND(OR(I12="BPCS Failure",I12="BPCS with Mechanical Failure",I12="Blower or Damper Failure",I12="Pump Failure",I12="Ignitor Failure"),K9="",K3=""),TRUE,FALSE)</formula>
    </cfRule>
    <cfRule type="expression" dxfId="189" priority="67895" stopIfTrue="1">
      <formula>IF((LEN(K9)-LEN(SUBSTITUTE(K9,",","")))&gt;19,TRUE,FALSE)</formula>
    </cfRule>
  </conditionalFormatting>
  <conditionalFormatting sqref="J12">
    <cfRule type="expression" dxfId="188" priority="67896" stopIfTrue="1">
      <formula>IF(ISERROR(MATCH(J12,IE,FALSE)),FALSE,TRUE)</formula>
    </cfRule>
  </conditionalFormatting>
  <conditionalFormatting sqref="I12">
    <cfRule type="expression" dxfId="187" priority="67897" stopIfTrue="1">
      <formula>IF(AND(ISERROR(MATCH(I12,IE,FALSE)),ISERROR(MATCH(I12,IE_Fire,FALSE))),FALSE,TRUE)</formula>
    </cfRule>
  </conditionalFormatting>
  <conditionalFormatting sqref="X11 AA11 R11 U11 AD11:AG11">
    <cfRule type="containsText" dxfId="186" priority="56805" operator="containsText" text="No">
      <formula>NOT(ISERROR(SEARCH("No",R11)))</formula>
    </cfRule>
  </conditionalFormatting>
  <conditionalFormatting sqref="H8">
    <cfRule type="expression" dxfId="185" priority="67920" stopIfTrue="1">
      <formula>IF(H8&lt;#REF!,TRUE,FALSE)</formula>
    </cfRule>
  </conditionalFormatting>
  <conditionalFormatting sqref="L12">
    <cfRule type="expression" dxfId="184" priority="30327">
      <formula>IF($L12&lt;&gt;$L13,TRUE,FALSE)</formula>
    </cfRule>
  </conditionalFormatting>
  <conditionalFormatting sqref="E12">
    <cfRule type="expression" dxfId="183" priority="30325">
      <formula>IF($E12&lt;&gt;$E13,TRUE,FALSE)</formula>
    </cfRule>
  </conditionalFormatting>
  <conditionalFormatting sqref="N12">
    <cfRule type="expression" dxfId="182" priority="30324">
      <formula>IF($N12&lt;&gt;$N13,TRUE,FALSE)</formula>
    </cfRule>
  </conditionalFormatting>
  <conditionalFormatting sqref="R12">
    <cfRule type="expression" dxfId="181" priority="18222" stopIfTrue="1">
      <formula>IF(OR(AND(C13&gt;0,C13&lt;1440,R12="&gt;24 hours for operator to respond to alarms and procedures, low stress, recognized event  (Note: SIL-2 Alarm required)"),AND(C13&gt;0,C13&lt;15,R12="Low stress operator response recognized event &gt; 1/4 hr to respond")),TRUE,FALSE)</formula>
    </cfRule>
  </conditionalFormatting>
  <conditionalFormatting sqref="U12">
    <cfRule type="expression" dxfId="180" priority="139" stopIfTrue="1">
      <formula>IF(OR(AND(F13&gt;0,F13&lt;1440,U12="&gt;24 hours for operator to respond to alarms and procedures, low stress, recognized event  (Note: SIL-2 Alarm required)"),AND(F13&gt;0,F13&lt;15,U12="Low stress operator response recognized event &gt; 1/4 hr to respond")),TRUE,FALSE)</formula>
    </cfRule>
  </conditionalFormatting>
  <dataValidations count="14">
    <dataValidation type="list" allowBlank="1" showInputMessage="1" showErrorMessage="1" sqref="P12" xr:uid="{00000000-0002-0000-1D00-000000000000}">
      <formula1>POE_2</formula1>
    </dataValidation>
    <dataValidation type="list" allowBlank="1" showInputMessage="1" showErrorMessage="1" sqref="X12 AA12" xr:uid="{00000000-0002-0000-1D00-000001000000}">
      <formula1>IPL_SIS</formula1>
    </dataValidation>
    <dataValidation type="list" allowBlank="1" showInputMessage="1" showErrorMessage="1" sqref="AE12:AG12" xr:uid="{00000000-0002-0000-1D00-000002000000}">
      <formula1>IPL_SRPS</formula1>
    </dataValidation>
    <dataValidation type="list" allowBlank="1" showInputMessage="1" showErrorMessage="1" sqref="U12 R12" xr:uid="{00000000-0002-0000-1D00-000003000000}">
      <formula1>IPL_Operator</formula1>
    </dataValidation>
    <dataValidation type="list" allowBlank="1" showInputMessage="1" showErrorMessage="1" sqref="AD12" xr:uid="{00000000-0002-0000-1D00-000004000000}">
      <formula1>IPL_PRD</formula1>
    </dataValidation>
    <dataValidation type="list" showInputMessage="1" showErrorMessage="1" errorTitle="Change Not Allowed" error="The initiating event can only be changed for BPCS Failure or Operator Action Failure.  _x000a_For other initiating events, create a new user scenario from the Scenario Results worksheet." sqref="I12" xr:uid="{00000000-0002-0000-1D00-000005000000}">
      <formula1>IF(ISERROR(MATCH(I12,IE,FALSE)),IF(ISERROR(MATCH(I12,IE_Fire,FALSE)),I12,IE_Fire_USER),IE)</formula1>
    </dataValidation>
    <dataValidation type="list" allowBlank="1" showInputMessage="1" showErrorMessage="1" sqref="M12" xr:uid="{00000000-0002-0000-1D00-000006000000}">
      <formula1>POI_1</formula1>
    </dataValidation>
    <dataValidation type="list" allowBlank="1" showInputMessage="1" showErrorMessage="1" sqref="O12" xr:uid="{00000000-0002-0000-1D00-000007000000}">
      <formula1>POE_Alternate</formula1>
    </dataValidation>
    <dataValidation type="decimal" operator="greaterThan" allowBlank="1" showInputMessage="1" showErrorMessage="1" error="Please enter a numeric value." sqref="H3" xr:uid="{00000000-0002-0000-1D00-000008000000}">
      <formula1>0.4</formula1>
    </dataValidation>
    <dataValidation type="list" allowBlank="1" showInputMessage="1" showErrorMessage="1" sqref="R11 U11 X11 AA11 AD11:AG11" xr:uid="{00000000-0002-0000-1D00-000009000000}">
      <formula1>"Fully Implemented, Proposed, In Progress"</formula1>
    </dataValidation>
    <dataValidation type="list" allowBlank="1" showInputMessage="1" showErrorMessage="1" sqref="H6" xr:uid="{00000000-0002-0000-1D00-00000A000000}">
      <formula1>"0.5,0.2,0.1,0.05,0.02,0.01,0.005,0.002,0.001,0.0005,0.0002"</formula1>
    </dataValidation>
    <dataValidation type="list" allowBlank="1" showInputMessage="1" showErrorMessage="1" sqref="F12" xr:uid="{00000000-0002-0000-1D00-00000B000000}">
      <formula1>TFCorrect</formula1>
    </dataValidation>
    <dataValidation type="textLength" operator="lessThanOrEqual" allowBlank="1" showInputMessage="1" showErrorMessage="1" errorTitle="Too Long" error="More than 200 characters not allowed." sqref="T12 W12 Z12 AC12" xr:uid="{00000000-0002-0000-1D00-00000C000000}">
      <formula1>200</formula1>
    </dataValidation>
    <dataValidation type="textLength" operator="lessThanOrEqual" allowBlank="1" showInputMessage="1" showErrorMessage="1" errorTitle="Too Long" error="More than 20 characters not allowed." sqref="T3:T11 T13 W3:W11 W13 Z3:Z11 Z13 AC3:AC11 AC13" xr:uid="{00000000-0002-0000-1D00-00000D000000}">
      <formula1>20</formula1>
    </dataValidation>
  </dataValidations>
  <pageMargins left="0" right="0" top="0.5" bottom="0.25" header="0" footer="0"/>
  <pageSetup paperSize="17" scale="70" orientation="landscape" r:id="rId1"/>
  <headerFooter alignWithMargins="0">
    <oddHeader>&amp;CLayers of Protection Analysis Worksheet</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lt;_Back_to_Results">
              <controlPr defaultSize="0" print="0" autoFill="0" autoPict="0" macro="[0]!Write_LOPA_Back">
                <anchor moveWithCells="1" sizeWithCells="1">
                  <from>
                    <xdr:col>0</xdr:col>
                    <xdr:colOff>69850</xdr:colOff>
                    <xdr:row>0</xdr:row>
                    <xdr:rowOff>50800</xdr:rowOff>
                  </from>
                  <to>
                    <xdr:col>2</xdr:col>
                    <xdr:colOff>533400</xdr:colOff>
                    <xdr:row>0</xdr:row>
                    <xdr:rowOff>228600</xdr:rowOff>
                  </to>
                </anchor>
              </controlPr>
            </control>
          </mc:Choice>
        </mc:AlternateContent>
        <mc:AlternateContent xmlns:mc="http://schemas.openxmlformats.org/markup-compatibility/2006">
          <mc:Choice Requires="x14">
            <control shapeId="13607" r:id="rId5" name="IE">
              <controlPr defaultSize="0" print="0" autoFill="0" autoPict="0" macro="[0]!IE_Instruments">
                <anchor moveWithCells="1">
                  <from>
                    <xdr:col>8</xdr:col>
                    <xdr:colOff>1257300</xdr:colOff>
                    <xdr:row>1</xdr:row>
                    <xdr:rowOff>228600</xdr:rowOff>
                  </from>
                  <to>
                    <xdr:col>8</xdr:col>
                    <xdr:colOff>1397000</xdr:colOff>
                    <xdr:row>1</xdr:row>
                    <xdr:rowOff>368300</xdr:rowOff>
                  </to>
                </anchor>
              </controlPr>
            </control>
          </mc:Choice>
        </mc:AlternateContent>
        <mc:AlternateContent xmlns:mc="http://schemas.openxmlformats.org/markup-compatibility/2006">
          <mc:Choice Requires="x14">
            <control shapeId="13608" r:id="rId6" name="BPCS">
              <controlPr defaultSize="0" print="0" autoFill="0" autoPict="0" macro="[0]!BPCS_Instruments">
                <anchor moveWithCells="1">
                  <from>
                    <xdr:col>17</xdr:col>
                    <xdr:colOff>1250950</xdr:colOff>
                    <xdr:row>1</xdr:row>
                    <xdr:rowOff>228600</xdr:rowOff>
                  </from>
                  <to>
                    <xdr:col>17</xdr:col>
                    <xdr:colOff>1390650</xdr:colOff>
                    <xdr:row>1</xdr:row>
                    <xdr:rowOff>368300</xdr:rowOff>
                  </to>
                </anchor>
              </controlPr>
            </control>
          </mc:Choice>
        </mc:AlternateContent>
        <mc:AlternateContent xmlns:mc="http://schemas.openxmlformats.org/markup-compatibility/2006">
          <mc:Choice Requires="x14">
            <control shapeId="13609" r:id="rId7" name="Alarm">
              <controlPr defaultSize="0" print="0" autoFill="0" autoPict="0" macro="[0]!Alarm_Instruments">
                <anchor moveWithCells="1">
                  <from>
                    <xdr:col>20</xdr:col>
                    <xdr:colOff>1250950</xdr:colOff>
                    <xdr:row>1</xdr:row>
                    <xdr:rowOff>228600</xdr:rowOff>
                  </from>
                  <to>
                    <xdr:col>20</xdr:col>
                    <xdr:colOff>1390650</xdr:colOff>
                    <xdr:row>1</xdr:row>
                    <xdr:rowOff>368300</xdr:rowOff>
                  </to>
                </anchor>
              </controlPr>
            </control>
          </mc:Choice>
        </mc:AlternateContent>
        <mc:AlternateContent xmlns:mc="http://schemas.openxmlformats.org/markup-compatibility/2006">
          <mc:Choice Requires="x14">
            <control shapeId="13610" r:id="rId8" name="SISA">
              <controlPr defaultSize="0" print="0" autoFill="0" autoPict="0" macro="[0]!SISA_Instruments">
                <anchor moveWithCells="1">
                  <from>
                    <xdr:col>23</xdr:col>
                    <xdr:colOff>1016000</xdr:colOff>
                    <xdr:row>1</xdr:row>
                    <xdr:rowOff>228600</xdr:rowOff>
                  </from>
                  <to>
                    <xdr:col>23</xdr:col>
                    <xdr:colOff>1155700</xdr:colOff>
                    <xdr:row>1</xdr:row>
                    <xdr:rowOff>368300</xdr:rowOff>
                  </to>
                </anchor>
              </controlPr>
            </control>
          </mc:Choice>
        </mc:AlternateContent>
        <mc:AlternateContent xmlns:mc="http://schemas.openxmlformats.org/markup-compatibility/2006">
          <mc:Choice Requires="x14">
            <control shapeId="13611" r:id="rId9" name="SISB">
              <controlPr defaultSize="0" print="0" autoFill="0" autoPict="0" macro="[0]!SISB_Instruments">
                <anchor moveWithCells="1">
                  <from>
                    <xdr:col>26</xdr:col>
                    <xdr:colOff>1016000</xdr:colOff>
                    <xdr:row>1</xdr:row>
                    <xdr:rowOff>228600</xdr:rowOff>
                  </from>
                  <to>
                    <xdr:col>26</xdr:col>
                    <xdr:colOff>1155700</xdr:colOff>
                    <xdr:row>1</xdr:row>
                    <xdr:rowOff>368300</xdr:rowOff>
                  </to>
                </anchor>
              </controlPr>
            </control>
          </mc:Choice>
        </mc:AlternateContent>
        <mc:AlternateContent xmlns:mc="http://schemas.openxmlformats.org/markup-compatibility/2006">
          <mc:Choice Requires="x14">
            <control shapeId="13612" r:id="rId10" name="Expand">
              <controlPr defaultSize="0" print="0" autoFill="0" autoPict="0" macro="[0]!Expand_All">
                <anchor moveWithCells="1">
                  <from>
                    <xdr:col>2</xdr:col>
                    <xdr:colOff>584200</xdr:colOff>
                    <xdr:row>0</xdr:row>
                    <xdr:rowOff>69850</xdr:rowOff>
                  </from>
                  <to>
                    <xdr:col>2</xdr:col>
                    <xdr:colOff>1295400</xdr:colOff>
                    <xdr:row>0</xdr:row>
                    <xdr:rowOff>241300</xdr:rowOff>
                  </to>
                </anchor>
              </controlPr>
            </control>
          </mc:Choice>
        </mc:AlternateContent>
        <mc:AlternateContent xmlns:mc="http://schemas.openxmlformats.org/markup-compatibility/2006">
          <mc:Choice Requires="x14">
            <control shapeId="13613" r:id="rId11" name="Collapse">
              <controlPr defaultSize="0" print="0" autoFill="0" autoPict="0" macro="[0]!Collapse_All">
                <anchor moveWithCells="1">
                  <from>
                    <xdr:col>2</xdr:col>
                    <xdr:colOff>1384300</xdr:colOff>
                    <xdr:row>0</xdr:row>
                    <xdr:rowOff>50800</xdr:rowOff>
                  </from>
                  <to>
                    <xdr:col>2</xdr:col>
                    <xdr:colOff>1993900</xdr:colOff>
                    <xdr:row>0</xdr:row>
                    <xdr:rowOff>241300</xdr:rowOff>
                  </to>
                </anchor>
              </controlPr>
            </control>
          </mc:Choice>
        </mc:AlternateContent>
        <mc:AlternateContent xmlns:mc="http://schemas.openxmlformats.org/markup-compatibility/2006">
          <mc:Choice Requires="x14">
            <control shapeId="255207" r:id="rId12" name="HE">
              <controlPr defaultSize="0" print="0" autoFill="0" autoPict="0" macro="[0]!Human_Error">
                <anchor moveWithCells="1">
                  <from>
                    <xdr:col>8</xdr:col>
                    <xdr:colOff>38100</xdr:colOff>
                    <xdr:row>1</xdr:row>
                    <xdr:rowOff>228600</xdr:rowOff>
                  </from>
                  <to>
                    <xdr:col>8</xdr:col>
                    <xdr:colOff>952500</xdr:colOff>
                    <xdr:row>1</xdr:row>
                    <xdr:rowOff>368300</xdr:rowOff>
                  </to>
                </anchor>
              </controlPr>
            </control>
          </mc:Choice>
        </mc:AlternateContent>
        <mc:AlternateContent xmlns:mc="http://schemas.openxmlformats.org/markup-compatibility/2006">
          <mc:Choice Requires="x14">
            <control shapeId="255648" r:id="rId13" name="Alt_PE">
              <controlPr defaultSize="0" print="0" autoFill="0" autoPict="0" macro="[0]!Alt_PE">
                <anchor moveWithCells="1">
                  <from>
                    <xdr:col>13</xdr:col>
                    <xdr:colOff>990600</xdr:colOff>
                    <xdr:row>1</xdr:row>
                    <xdr:rowOff>228600</xdr:rowOff>
                  </from>
                  <to>
                    <xdr:col>13</xdr:col>
                    <xdr:colOff>1130300</xdr:colOff>
                    <xdr:row>1</xdr:row>
                    <xdr:rowOff>368300</xdr:rowOff>
                  </to>
                </anchor>
              </controlPr>
            </control>
          </mc:Choice>
        </mc:AlternateContent>
        <mc:AlternateContent xmlns:mc="http://schemas.openxmlformats.org/markup-compatibility/2006">
          <mc:Choice Requires="x14">
            <control shapeId="255649" r:id="rId14" name="Alt_TF">
              <controlPr defaultSize="0" print="0" autoFill="0" autoPict="0" macro="[0]!Alt_Target_Factor">
                <anchor moveWithCells="1">
                  <from>
                    <xdr:col>4</xdr:col>
                    <xdr:colOff>1511300</xdr:colOff>
                    <xdr:row>1</xdr:row>
                    <xdr:rowOff>228600</xdr:rowOff>
                  </from>
                  <to>
                    <xdr:col>4</xdr:col>
                    <xdr:colOff>1651000</xdr:colOff>
                    <xdr:row>1</xdr:row>
                    <xdr:rowOff>368300</xdr:rowOff>
                  </to>
                </anchor>
              </controlPr>
            </control>
          </mc:Choice>
        </mc:AlternateContent>
        <mc:AlternateContent xmlns:mc="http://schemas.openxmlformats.org/markup-compatibility/2006">
          <mc:Choice Requires="x14">
            <control shapeId="255747" r:id="rId15" name="Alt_PI">
              <controlPr defaultSize="0" print="0" autoFill="0" autoPict="0" macro="[0]!Alt_PI">
                <anchor moveWithCells="1">
                  <from>
                    <xdr:col>11</xdr:col>
                    <xdr:colOff>1009650</xdr:colOff>
                    <xdr:row>1</xdr:row>
                    <xdr:rowOff>228600</xdr:rowOff>
                  </from>
                  <to>
                    <xdr:col>11</xdr:col>
                    <xdr:colOff>1149350</xdr:colOff>
                    <xdr:row>1</xdr:row>
                    <xdr:rowOff>368300</xdr:rowOff>
                  </to>
                </anchor>
              </controlPr>
            </control>
          </mc:Choice>
        </mc:AlternateContent>
        <mc:AlternateContent xmlns:mc="http://schemas.openxmlformats.org/markup-compatibility/2006">
          <mc:Choice Requires="x14">
            <control shapeId="255832" r:id="rId16" name="SuggestedIPLs">
              <controlPr defaultSize="0" print="0" autoFill="0" autoPict="0" macro="[0]!LOPA_Worksheet_Macros.Suggested_IPLs">
                <anchor moveWithCells="1">
                  <from>
                    <xdr:col>2</xdr:col>
                    <xdr:colOff>1714500</xdr:colOff>
                    <xdr:row>1</xdr:row>
                    <xdr:rowOff>228600</xdr:rowOff>
                  </from>
                  <to>
                    <xdr:col>2</xdr:col>
                    <xdr:colOff>2076450</xdr:colOff>
                    <xdr:row>1</xdr:row>
                    <xdr:rowOff>368300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tabColor rgb="FF00B0F0"/>
    <pageSetUpPr autoPageBreaks="0" fitToPage="1"/>
  </sheetPr>
  <dimension ref="A1:DE842"/>
  <sheetViews>
    <sheetView showGridLines="0" topLeftCell="A78" zoomScale="90" zoomScaleNormal="90" zoomScaleSheetLayoutView="70" zoomScalePageLayoutView="80" workbookViewId="0">
      <selection activeCell="CC296" sqref="CC296:CC297"/>
    </sheetView>
  </sheetViews>
  <sheetFormatPr defaultColWidth="9.1796875" defaultRowHeight="15" customHeight="1" x14ac:dyDescent="0.25"/>
  <cols>
    <col min="1" max="1" width="2.26953125" style="7" customWidth="1"/>
    <col min="2" max="2" width="55.1796875" style="7" customWidth="1"/>
    <col min="3" max="3" width="1.1796875" style="7" customWidth="1"/>
    <col min="4" max="4" width="13.81640625" style="7" customWidth="1"/>
    <col min="5" max="5" width="1.453125" style="7" customWidth="1"/>
    <col min="6" max="6" width="14.81640625" style="7" customWidth="1"/>
    <col min="7" max="7" width="1.26953125" style="7" customWidth="1"/>
    <col min="8" max="8" width="14.81640625" style="7" customWidth="1"/>
    <col min="9" max="9" width="1.1796875" style="7" customWidth="1"/>
    <col min="10" max="10" width="14.81640625" style="7" customWidth="1"/>
    <col min="11" max="11" width="2" style="7" customWidth="1"/>
    <col min="12" max="12" width="14.81640625" style="7" customWidth="1"/>
    <col min="13" max="13" width="1.81640625" style="7" customWidth="1"/>
    <col min="14" max="14" width="14.81640625" style="7" customWidth="1"/>
    <col min="15" max="15" width="1.81640625" style="7" customWidth="1"/>
    <col min="16" max="16" width="14.81640625" style="7" customWidth="1"/>
    <col min="17" max="17" width="1.81640625" style="7" customWidth="1"/>
    <col min="18" max="18" width="13.7265625" style="7" customWidth="1"/>
    <col min="19" max="19" width="1.81640625" style="7" customWidth="1"/>
    <col min="20" max="20" width="14.81640625" style="7" customWidth="1"/>
    <col min="21" max="21" width="1.1796875" style="7" customWidth="1"/>
    <col min="22" max="22" width="14.1796875" style="7" customWidth="1"/>
    <col min="23" max="23" width="1.81640625" style="7" customWidth="1"/>
    <col min="24" max="24" width="14.81640625" style="7" customWidth="1"/>
    <col min="25" max="25" width="1.81640625" style="7" customWidth="1"/>
    <col min="26" max="26" width="11.81640625" style="7" customWidth="1"/>
    <col min="27" max="27" width="1.81640625" style="7" customWidth="1"/>
    <col min="28" max="28" width="2.81640625" style="7" customWidth="1"/>
    <col min="29" max="29" width="56" style="7" customWidth="1"/>
    <col min="30" max="30" width="2.1796875" style="7" customWidth="1"/>
    <col min="31" max="31" width="16.1796875" style="7" customWidth="1"/>
    <col min="32" max="32" width="2.1796875" style="7" customWidth="1"/>
    <col min="33" max="33" width="13.54296875" style="7" customWidth="1"/>
    <col min="34" max="34" width="2.1796875" style="7" customWidth="1"/>
    <col min="35" max="35" width="16.81640625" style="7" customWidth="1"/>
    <col min="36" max="36" width="2.1796875" style="7" customWidth="1"/>
    <col min="37" max="37" width="15.453125" style="7" customWidth="1"/>
    <col min="38" max="38" width="3.1796875" style="7" customWidth="1"/>
    <col min="39" max="39" width="15.453125" style="7" customWidth="1"/>
    <col min="40" max="40" width="2.81640625" style="7" customWidth="1"/>
    <col min="41" max="41" width="15" style="7" customWidth="1"/>
    <col min="42" max="42" width="3.453125" style="7" customWidth="1"/>
    <col min="43" max="43" width="12.453125" style="7" customWidth="1"/>
    <col min="44" max="44" width="2.81640625" style="7" customWidth="1"/>
    <col min="45" max="45" width="3" style="7" customWidth="1"/>
    <col min="46" max="46" width="50.81640625" style="7" customWidth="1"/>
    <col min="47" max="47" width="1.1796875" style="7" customWidth="1"/>
    <col min="48" max="48" width="13.81640625" style="7" customWidth="1"/>
    <col min="49" max="49" width="1.1796875" style="7" customWidth="1"/>
    <col min="50" max="50" width="15.453125" style="7" customWidth="1"/>
    <col min="51" max="51" width="1.1796875" style="7" customWidth="1"/>
    <col min="52" max="52" width="15.1796875" style="7" customWidth="1"/>
    <col min="53" max="53" width="1.1796875" style="7" customWidth="1"/>
    <col min="54" max="54" width="13.81640625" style="7" customWidth="1"/>
    <col min="55" max="55" width="1.1796875" style="7" customWidth="1"/>
    <col min="56" max="56" width="13.81640625" style="7" customWidth="1"/>
    <col min="57" max="57" width="1.1796875" style="7" customWidth="1"/>
    <col min="58" max="58" width="13.81640625" style="7" customWidth="1"/>
    <col min="59" max="59" width="1" style="7" customWidth="1"/>
    <col min="60" max="60" width="13.81640625" style="7" customWidth="1"/>
    <col min="61" max="61" width="1.81640625" style="7" customWidth="1"/>
    <col min="62" max="62" width="13.81640625" style="7" customWidth="1"/>
    <col min="63" max="63" width="1.1796875" style="7" customWidth="1"/>
    <col min="64" max="64" width="15.453125" style="7" customWidth="1"/>
    <col min="65" max="65" width="1.1796875" style="7" customWidth="1"/>
    <col min="66" max="66" width="13.81640625" style="7" customWidth="1"/>
    <col min="67" max="67" width="2.453125" style="7" customWidth="1"/>
    <col min="68" max="68" width="13" style="7" customWidth="1"/>
    <col min="69" max="69" width="2.1796875" style="7" customWidth="1"/>
    <col min="70" max="70" width="2.81640625" style="7" customWidth="1"/>
    <col min="71" max="71" width="54" style="7" customWidth="1"/>
    <col min="72" max="72" width="1.1796875" style="7" customWidth="1"/>
    <col min="73" max="73" width="14.26953125" style="7" customWidth="1"/>
    <col min="74" max="74" width="1.453125" style="7" customWidth="1"/>
    <col min="75" max="75" width="14.1796875" style="7" customWidth="1"/>
    <col min="76" max="76" width="1.453125" style="7" customWidth="1"/>
    <col min="77" max="77" width="14.1796875" style="7" customWidth="1"/>
    <col min="78" max="78" width="1.81640625" style="7" customWidth="1"/>
    <col min="79" max="79" width="15" style="7" customWidth="1"/>
    <col min="80" max="80" width="1.81640625" style="7" customWidth="1"/>
    <col min="81" max="81" width="13.81640625" style="7" customWidth="1"/>
    <col min="82" max="82" width="1.1796875" style="7" customWidth="1"/>
    <col min="83" max="83" width="12.1796875" style="7" customWidth="1"/>
    <col min="84" max="85" width="1.81640625" style="7" customWidth="1"/>
    <col min="86" max="86" width="50.1796875" style="7" customWidth="1"/>
    <col min="87" max="87" width="1.81640625" style="7" customWidth="1"/>
    <col min="88" max="88" width="16.453125" style="7" customWidth="1"/>
    <col min="89" max="89" width="1.1796875" style="7" customWidth="1"/>
    <col min="90" max="90" width="11.81640625" style="7" customWidth="1"/>
    <col min="91" max="91" width="1.81640625" style="7" customWidth="1"/>
    <col min="92" max="92" width="33.453125" style="7" customWidth="1"/>
    <col min="93" max="93" width="10.1796875" style="7" bestFit="1" customWidth="1"/>
    <col min="94" max="16384" width="9.1796875" style="7"/>
  </cols>
  <sheetData>
    <row r="1" spans="1:91" ht="11.25" customHeight="1" thickBot="1" x14ac:dyDescent="0.3">
      <c r="A1" s="83"/>
      <c r="B1" s="2"/>
      <c r="C1" s="83"/>
      <c r="D1" s="83"/>
      <c r="E1" s="83"/>
      <c r="F1" s="83"/>
      <c r="G1" s="83"/>
      <c r="H1" s="83"/>
      <c r="I1" s="83"/>
      <c r="J1" s="83"/>
      <c r="K1" s="83"/>
      <c r="L1" s="83"/>
      <c r="M1" s="83"/>
      <c r="N1" s="83"/>
      <c r="O1" s="83"/>
      <c r="P1" s="83"/>
      <c r="Q1" s="83"/>
      <c r="R1" s="83"/>
      <c r="S1" s="83"/>
      <c r="T1" s="83"/>
      <c r="U1" s="83"/>
      <c r="V1" s="83"/>
      <c r="W1" s="83"/>
      <c r="X1" s="83"/>
      <c r="Y1" s="83"/>
      <c r="Z1" s="83"/>
      <c r="AA1" s="83"/>
      <c r="AB1" s="81"/>
      <c r="AC1" s="81"/>
      <c r="AD1" s="81"/>
      <c r="AE1" s="81"/>
      <c r="AF1" s="81"/>
      <c r="AG1" s="81"/>
      <c r="AH1" s="81"/>
      <c r="AI1" s="81"/>
      <c r="AJ1" s="81"/>
      <c r="AK1" s="81"/>
      <c r="AL1" s="81"/>
      <c r="AM1" s="81"/>
      <c r="AN1" s="81"/>
      <c r="AO1" s="81"/>
      <c r="AP1" s="81"/>
      <c r="AQ1" s="81"/>
      <c r="AR1" s="81"/>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1"/>
      <c r="BS1" s="81"/>
      <c r="BT1" s="81"/>
      <c r="BU1" s="81"/>
      <c r="BV1" s="81"/>
      <c r="BW1" s="81"/>
      <c r="BX1" s="81"/>
      <c r="BY1" s="81"/>
      <c r="BZ1" s="81"/>
      <c r="CA1" s="81"/>
      <c r="CB1" s="81"/>
      <c r="CC1" s="81"/>
      <c r="CD1" s="81"/>
      <c r="CE1" s="81"/>
      <c r="CF1" s="81"/>
      <c r="CG1" s="83"/>
      <c r="CH1" s="83"/>
      <c r="CI1" s="83"/>
      <c r="CJ1" s="83"/>
      <c r="CK1" s="83"/>
      <c r="CL1" s="83"/>
      <c r="CM1" s="83"/>
    </row>
    <row r="2" spans="1:91" ht="29.25" customHeight="1" thickBot="1" x14ac:dyDescent="0.3">
      <c r="A2" s="83"/>
      <c r="B2" s="4245" t="str">
        <f>"HOLE SIZE BASED RELEASE RATES FOR "&amp;Equipment_Tag&amp;" CONTAINING "&amp;Chemical</f>
        <v xml:space="preserve">HOLE SIZE BASED RELEASE RATES FOR  CONTAINING </v>
      </c>
      <c r="C2" s="3673"/>
      <c r="D2" s="3673"/>
      <c r="E2" s="3673"/>
      <c r="F2" s="3673"/>
      <c r="G2" s="3673"/>
      <c r="H2" s="3673"/>
      <c r="I2" s="3673"/>
      <c r="J2" s="3673"/>
      <c r="K2" s="3673"/>
      <c r="L2" s="3673"/>
      <c r="M2" s="3673"/>
      <c r="N2" s="3673"/>
      <c r="O2" s="3673"/>
      <c r="P2" s="3673"/>
      <c r="Q2" s="3673"/>
      <c r="R2" s="3673"/>
      <c r="S2" s="3673"/>
      <c r="T2" s="3673"/>
      <c r="U2" s="3673"/>
      <c r="V2" s="3673"/>
      <c r="W2" s="3673"/>
      <c r="X2" s="3673"/>
      <c r="Y2" s="3673"/>
      <c r="Z2" s="3660"/>
      <c r="AA2" s="83"/>
      <c r="AB2" s="81"/>
      <c r="AC2" s="4249" t="str">
        <f>"OVERFLOW AND OTHER RELEASE RATE FOR "&amp;Equipment_Tag&amp;" CONTAINING "&amp;Chemical</f>
        <v xml:space="preserve">OVERFLOW AND OTHER RELEASE RATE FOR  CONTAINING </v>
      </c>
      <c r="AD2" s="3673"/>
      <c r="AE2" s="3673"/>
      <c r="AF2" s="3673"/>
      <c r="AG2" s="3673"/>
      <c r="AH2" s="3673"/>
      <c r="AI2" s="3673"/>
      <c r="AJ2" s="3673"/>
      <c r="AK2" s="3673"/>
      <c r="AL2" s="3673"/>
      <c r="AM2" s="3673"/>
      <c r="AN2" s="4250"/>
      <c r="AO2" s="4250"/>
      <c r="AP2" s="4250"/>
      <c r="AQ2" s="4251"/>
      <c r="AR2" s="81"/>
      <c r="AS2" s="83"/>
      <c r="AT2" s="4245" t="str">
        <f>"HEAT BALANCE BASED RELEASE RATES FOR "&amp;Equipment_Tag&amp;" CONTAINING "&amp;Chemical</f>
        <v xml:space="preserve">HEAT BALANCE BASED RELEASE RATES FOR  CONTAINING </v>
      </c>
      <c r="AU2" s="3673"/>
      <c r="AV2" s="3673"/>
      <c r="AW2" s="3673"/>
      <c r="AX2" s="3673"/>
      <c r="AY2" s="3673"/>
      <c r="AZ2" s="3673"/>
      <c r="BA2" s="3673"/>
      <c r="BB2" s="3673"/>
      <c r="BC2" s="3673"/>
      <c r="BD2" s="3673"/>
      <c r="BE2" s="3673"/>
      <c r="BF2" s="3673"/>
      <c r="BG2" s="3673"/>
      <c r="BH2" s="3673"/>
      <c r="BI2" s="3673"/>
      <c r="BJ2" s="3673"/>
      <c r="BK2" s="3673"/>
      <c r="BL2" s="3673"/>
      <c r="BM2" s="4250"/>
      <c r="BN2" s="4250"/>
      <c r="BO2" s="4250"/>
      <c r="BP2" s="4251"/>
      <c r="BQ2" s="83"/>
      <c r="BR2" s="3"/>
      <c r="BS2" s="4249" t="str">
        <f>"CATESTROPHIC FAILURE OR RUPTURE BASED RELEASE RATES FOR "&amp;Equipment_Tag&amp;" CONTAINING "&amp;Chemical</f>
        <v xml:space="preserve">CATESTROPHIC FAILURE OR RUPTURE BASED RELEASE RATES FOR  CONTAINING </v>
      </c>
      <c r="BT2" s="4259"/>
      <c r="BU2" s="4259"/>
      <c r="BV2" s="4259"/>
      <c r="BW2" s="4259"/>
      <c r="BX2" s="4259"/>
      <c r="BY2" s="4259"/>
      <c r="BZ2" s="4259"/>
      <c r="CA2" s="4259"/>
      <c r="CB2" s="4259"/>
      <c r="CC2" s="4259"/>
      <c r="CD2" s="4259"/>
      <c r="CE2" s="4260"/>
      <c r="CF2" s="81"/>
      <c r="CG2" s="83"/>
      <c r="CH2" s="4256" t="str">
        <f>"USER DEFINED LOSS EVENT FOR "&amp;Equipment_Tag&amp;" CONTAINING "&amp;Chemical</f>
        <v xml:space="preserve">USER DEFINED LOSS EVENT FOR  CONTAINING </v>
      </c>
      <c r="CI2" s="4257"/>
      <c r="CJ2" s="4257"/>
      <c r="CK2" s="4257"/>
      <c r="CL2" s="4258"/>
      <c r="CM2" s="83"/>
    </row>
    <row r="3" spans="1:91" ht="11.25" customHeight="1" thickBot="1" x14ac:dyDescent="0.3">
      <c r="A3" s="83"/>
      <c r="B3" s="2"/>
      <c r="C3" s="83"/>
      <c r="D3" s="83"/>
      <c r="E3" s="83"/>
      <c r="F3" s="83"/>
      <c r="G3" s="83"/>
      <c r="H3" s="83"/>
      <c r="I3" s="83"/>
      <c r="J3" s="83"/>
      <c r="K3" s="83"/>
      <c r="L3" s="83"/>
      <c r="M3" s="83"/>
      <c r="N3" s="83"/>
      <c r="O3" s="83"/>
      <c r="P3" s="83"/>
      <c r="Q3" s="83"/>
      <c r="R3" s="83"/>
      <c r="S3" s="83"/>
      <c r="T3" s="83"/>
      <c r="U3" s="83"/>
      <c r="V3" s="83"/>
      <c r="W3" s="83"/>
      <c r="X3" s="83"/>
      <c r="Y3" s="83"/>
      <c r="Z3" s="83"/>
      <c r="AA3" s="83"/>
      <c r="AB3" s="81"/>
      <c r="AC3" s="81"/>
      <c r="AD3" s="81"/>
      <c r="AE3" s="81"/>
      <c r="AF3" s="81"/>
      <c r="AG3" s="81"/>
      <c r="AH3" s="81"/>
      <c r="AI3" s="81"/>
      <c r="AJ3" s="81"/>
      <c r="AK3" s="81"/>
      <c r="AL3" s="81"/>
      <c r="AM3" s="81"/>
      <c r="AN3" s="81"/>
      <c r="AO3" s="81"/>
      <c r="AP3" s="81"/>
      <c r="AQ3" s="81"/>
      <c r="AR3" s="81"/>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1"/>
      <c r="BS3" s="81"/>
      <c r="BT3" s="81"/>
      <c r="BU3" s="81"/>
      <c r="BV3" s="81"/>
      <c r="BW3" s="81"/>
      <c r="BX3" s="81"/>
      <c r="BY3" s="81"/>
      <c r="BZ3" s="81"/>
      <c r="CA3" s="81"/>
      <c r="CB3" s="81"/>
      <c r="CC3" s="81"/>
      <c r="CD3" s="81"/>
      <c r="CE3" s="81"/>
      <c r="CF3" s="81"/>
      <c r="CG3" s="83"/>
      <c r="CH3" s="83"/>
      <c r="CI3" s="83"/>
      <c r="CJ3" s="83"/>
      <c r="CK3" s="83"/>
      <c r="CL3" s="83"/>
      <c r="CM3" s="83"/>
    </row>
    <row r="4" spans="1:91" ht="27" customHeight="1" thickBot="1" x14ac:dyDescent="0.3">
      <c r="A4" s="83"/>
      <c r="B4" s="469" t="s">
        <v>998</v>
      </c>
      <c r="C4" s="83"/>
      <c r="D4" s="14" t="s">
        <v>2669</v>
      </c>
      <c r="E4" s="83"/>
      <c r="F4" s="14" t="s">
        <v>5209</v>
      </c>
      <c r="G4" s="83"/>
      <c r="H4" s="14" t="str">
        <f>"Gasket at "&amp;Failure_Gasket&amp;" MAWP"</f>
        <v>Gasket at 1.3 MAWP</v>
      </c>
      <c r="I4" s="83"/>
      <c r="J4" s="14" t="s">
        <v>1717</v>
      </c>
      <c r="K4" s="83"/>
      <c r="L4" s="14" t="s">
        <v>1781</v>
      </c>
      <c r="M4" s="83"/>
      <c r="N4" s="139" t="s">
        <v>36</v>
      </c>
      <c r="O4" s="83"/>
      <c r="P4" s="14" t="s">
        <v>34</v>
      </c>
      <c r="Q4" s="83"/>
      <c r="R4" s="139" t="s">
        <v>3982</v>
      </c>
      <c r="S4" s="83"/>
      <c r="T4" s="139" t="s">
        <v>35</v>
      </c>
      <c r="U4" s="83"/>
      <c r="V4" s="14" t="s">
        <v>1631</v>
      </c>
      <c r="W4" s="83"/>
      <c r="X4" s="407" t="s">
        <v>1632</v>
      </c>
      <c r="Y4" s="83"/>
      <c r="Z4" s="83"/>
      <c r="AA4" s="83"/>
      <c r="AB4" s="81"/>
      <c r="AC4" s="82" t="s">
        <v>998</v>
      </c>
      <c r="AD4" s="81"/>
      <c r="AE4" s="732" t="s">
        <v>989</v>
      </c>
      <c r="AF4" s="81"/>
      <c r="AG4" s="732" t="s">
        <v>2560</v>
      </c>
      <c r="AH4" s="81"/>
      <c r="AI4" s="1402" t="s">
        <v>2549</v>
      </c>
      <c r="AJ4" s="81"/>
      <c r="AK4" s="732" t="s">
        <v>1781</v>
      </c>
      <c r="AL4" s="81"/>
      <c r="AM4" s="732" t="s">
        <v>2550</v>
      </c>
      <c r="AN4" s="81"/>
      <c r="AO4" s="732" t="s">
        <v>2696</v>
      </c>
      <c r="AP4" s="81"/>
      <c r="AQ4" s="81"/>
      <c r="AR4" s="81"/>
      <c r="AS4" s="83"/>
      <c r="AT4" s="4252" t="s">
        <v>998</v>
      </c>
      <c r="AU4" s="83"/>
      <c r="AV4" s="4246" t="s">
        <v>213</v>
      </c>
      <c r="AW4" s="83"/>
      <c r="AX4" s="4246" t="s">
        <v>214</v>
      </c>
      <c r="AY4" s="83"/>
      <c r="AZ4" s="4246" t="s">
        <v>788</v>
      </c>
      <c r="BA4" s="83"/>
      <c r="BB4" s="4246" t="s">
        <v>2626</v>
      </c>
      <c r="BC4" s="83"/>
      <c r="BD4" s="4246" t="s">
        <v>2679</v>
      </c>
      <c r="BE4" s="83"/>
      <c r="BF4" s="4246" t="s">
        <v>1457</v>
      </c>
      <c r="BG4" s="83"/>
      <c r="BH4" s="4246" t="s">
        <v>501</v>
      </c>
      <c r="BI4" s="83"/>
      <c r="BJ4" s="4246" t="s">
        <v>1953</v>
      </c>
      <c r="BK4" s="83"/>
      <c r="BL4" s="4246" t="s">
        <v>270</v>
      </c>
      <c r="BM4" s="83"/>
      <c r="BN4" s="4246" t="s">
        <v>5221</v>
      </c>
      <c r="BO4" s="83"/>
      <c r="BP4" s="83"/>
      <c r="BQ4" s="83"/>
      <c r="BR4" s="81"/>
      <c r="BS4" s="4241" t="s">
        <v>998</v>
      </c>
      <c r="BT4" s="81"/>
      <c r="BU4" s="4241" t="s">
        <v>622</v>
      </c>
      <c r="BV4" s="81"/>
      <c r="BW4" s="4241" t="s">
        <v>621</v>
      </c>
      <c r="BX4" s="81"/>
      <c r="BY4" s="4241" t="s">
        <v>623</v>
      </c>
      <c r="BZ4" s="81"/>
      <c r="CA4" s="4241" t="s">
        <v>2282</v>
      </c>
      <c r="CB4" s="81"/>
      <c r="CC4" s="4241" t="s">
        <v>1758</v>
      </c>
      <c r="CD4" s="81"/>
      <c r="CE4" s="81"/>
      <c r="CF4" s="81"/>
      <c r="CG4" s="83"/>
      <c r="CH4" s="4252" t="s">
        <v>998</v>
      </c>
      <c r="CI4" s="83"/>
      <c r="CJ4" s="4246" t="s">
        <v>1781</v>
      </c>
      <c r="CK4" s="83"/>
      <c r="CL4" s="83"/>
      <c r="CM4" s="83"/>
    </row>
    <row r="5" spans="1:91" ht="33" customHeight="1" thickBot="1" x14ac:dyDescent="0.3">
      <c r="A5" s="83"/>
      <c r="B5" s="84" t="s">
        <v>1565</v>
      </c>
      <c r="C5" s="83"/>
      <c r="D5" s="1404" t="s">
        <v>1572</v>
      </c>
      <c r="E5" s="83"/>
      <c r="F5" s="1404" t="s">
        <v>1572</v>
      </c>
      <c r="G5" s="83"/>
      <c r="H5" s="1404" t="s">
        <v>1572</v>
      </c>
      <c r="I5" s="83"/>
      <c r="J5" s="1404" t="s">
        <v>1572</v>
      </c>
      <c r="K5" s="83"/>
      <c r="L5" s="1404" t="s">
        <v>1572</v>
      </c>
      <c r="M5" s="83"/>
      <c r="N5" s="1404" t="s">
        <v>1572</v>
      </c>
      <c r="O5" s="83"/>
      <c r="P5" s="1404" t="s">
        <v>1572</v>
      </c>
      <c r="Q5" s="83"/>
      <c r="R5" s="1404" t="s">
        <v>1572</v>
      </c>
      <c r="S5" s="83"/>
      <c r="T5" s="1404" t="s">
        <v>1572</v>
      </c>
      <c r="U5" s="83"/>
      <c r="V5" s="1404" t="s">
        <v>1572</v>
      </c>
      <c r="W5" s="83"/>
      <c r="X5" s="1404" t="s">
        <v>1572</v>
      </c>
      <c r="Y5" s="83"/>
      <c r="Z5" s="83"/>
      <c r="AA5" s="83"/>
      <c r="AB5" s="81"/>
      <c r="AC5" s="84" t="s">
        <v>5139</v>
      </c>
      <c r="AD5" s="81"/>
      <c r="AE5" s="731"/>
      <c r="AF5" s="81"/>
      <c r="AG5" s="731"/>
      <c r="AH5" s="81"/>
      <c r="AI5" s="729" t="str">
        <f>IF(Cd_Relief=Cd_Rounded,"Rounded Entrance","Square Edged or Short Pipe")</f>
        <v>Square Edged or Short Pipe</v>
      </c>
      <c r="AJ5" s="81"/>
      <c r="AK5" s="731"/>
      <c r="AL5" s="81"/>
      <c r="AM5" s="730">
        <f>Chemical</f>
        <v>0</v>
      </c>
      <c r="AN5" s="81"/>
      <c r="AO5" s="730" t="str">
        <f>Heating_Media_Name&amp;" "&amp;Heating_Media_State</f>
        <v xml:space="preserve"> </v>
      </c>
      <c r="AP5" s="81"/>
      <c r="AQ5" s="81"/>
      <c r="AR5" s="81"/>
      <c r="AS5" s="83"/>
      <c r="AT5" s="4253"/>
      <c r="AU5" s="83"/>
      <c r="AV5" s="4248"/>
      <c r="AW5" s="83"/>
      <c r="AX5" s="4247"/>
      <c r="AY5" s="83"/>
      <c r="AZ5" s="4247"/>
      <c r="BA5" s="83"/>
      <c r="BB5" s="4247"/>
      <c r="BC5" s="83"/>
      <c r="BD5" s="4247"/>
      <c r="BE5" s="83"/>
      <c r="BF5" s="4247"/>
      <c r="BG5" s="83"/>
      <c r="BH5" s="4247"/>
      <c r="BI5" s="83"/>
      <c r="BJ5" s="4247"/>
      <c r="BK5" s="83"/>
      <c r="BL5" s="4247"/>
      <c r="BM5" s="83"/>
      <c r="BN5" s="4247"/>
      <c r="BO5" s="83"/>
      <c r="BP5" s="83"/>
      <c r="BQ5" s="83"/>
      <c r="BR5" s="81"/>
      <c r="BS5" s="4240"/>
      <c r="BT5" s="81"/>
      <c r="BU5" s="4261"/>
      <c r="BV5" s="81"/>
      <c r="BW5" s="4261"/>
      <c r="BX5" s="81"/>
      <c r="BY5" s="4261"/>
      <c r="BZ5" s="81"/>
      <c r="CA5" s="4261"/>
      <c r="CB5" s="81"/>
      <c r="CC5" s="4261"/>
      <c r="CD5" s="81"/>
      <c r="CE5" s="81"/>
      <c r="CF5" s="81"/>
      <c r="CG5" s="83"/>
      <c r="CH5" s="4242"/>
      <c r="CI5" s="83"/>
      <c r="CJ5" s="4242"/>
      <c r="CK5" s="83"/>
      <c r="CL5" s="83"/>
      <c r="CM5" s="83"/>
    </row>
    <row r="6" spans="1:91" ht="15" customHeight="1" thickBot="1" x14ac:dyDescent="0.3">
      <c r="A6" s="83"/>
      <c r="B6" s="23" t="s">
        <v>2202</v>
      </c>
      <c r="C6" s="83"/>
      <c r="D6" s="84">
        <f>Cd</f>
        <v>0.61</v>
      </c>
      <c r="E6" s="83"/>
      <c r="F6" s="84">
        <f>Cd</f>
        <v>0.61</v>
      </c>
      <c r="G6" s="83"/>
      <c r="H6" s="84">
        <f>Cd</f>
        <v>0.61</v>
      </c>
      <c r="I6" s="83"/>
      <c r="J6" s="84">
        <f>Cd</f>
        <v>0.61</v>
      </c>
      <c r="K6" s="83"/>
      <c r="L6" s="84">
        <f>Cd</f>
        <v>0.61</v>
      </c>
      <c r="M6" s="83"/>
      <c r="N6" s="84">
        <f>Cd</f>
        <v>0.61</v>
      </c>
      <c r="O6" s="83"/>
      <c r="P6" s="84">
        <f>Cd</f>
        <v>0.61</v>
      </c>
      <c r="Q6" s="83"/>
      <c r="R6" s="84">
        <f>Cd</f>
        <v>0.61</v>
      </c>
      <c r="S6" s="83"/>
      <c r="T6" s="84">
        <f>Cd</f>
        <v>0.61</v>
      </c>
      <c r="U6" s="83"/>
      <c r="V6" s="84">
        <f>Cd</f>
        <v>0.61</v>
      </c>
      <c r="W6" s="83"/>
      <c r="X6" s="84">
        <f>Cd</f>
        <v>0.61</v>
      </c>
      <c r="Y6" s="83"/>
      <c r="Z6" s="1405"/>
      <c r="AA6" s="83"/>
      <c r="AB6" s="81"/>
      <c r="AC6" s="84" t="s">
        <v>2202</v>
      </c>
      <c r="AD6" s="81"/>
      <c r="AE6" s="81"/>
      <c r="AF6" s="81"/>
      <c r="AG6" s="81"/>
      <c r="AH6" s="81"/>
      <c r="AI6" s="81"/>
      <c r="AJ6" s="81"/>
      <c r="AK6" s="81"/>
      <c r="AL6" s="81"/>
      <c r="AM6" s="828">
        <f>Cd</f>
        <v>0.61</v>
      </c>
      <c r="AN6" s="81"/>
      <c r="AO6" s="84">
        <f>Cd</f>
        <v>0.61</v>
      </c>
      <c r="AP6" s="81"/>
      <c r="AQ6" s="1405"/>
      <c r="AR6" s="81"/>
      <c r="AS6" s="83"/>
      <c r="AT6" s="92" t="s">
        <v>681</v>
      </c>
      <c r="AU6" s="83"/>
      <c r="AV6" s="2129">
        <f>Fire_Heat_Rate</f>
        <v>0</v>
      </c>
      <c r="AW6" s="83"/>
      <c r="AX6" s="20">
        <f>IF(AND(Heating_T_Input&lt;&gt;"",Heating_T&gt;T_atRelief),0.239*HT_Area*U*(Heating_T-T_atRelief),IF(AND(Heating_T_Input&lt;&gt;"",Heating_T&gt;Tsat),0.239*HT_Area*U*(Heating_T-Tsat),IF(Ambient_Temp&gt;T_atRelief,0.239*Sur_Area*Ht_Loss_Coeff*(Ambient_Temp-T_atRelief),IF(Ambient_Temp&gt;Tsat,0.239*Sur_Area*Ht_Loss_Coeff*(Ambient_Temp-Tsat),0))))</f>
        <v>5.9749999999999994E-4</v>
      </c>
      <c r="AY6" s="83"/>
      <c r="AZ6" s="138">
        <f>IF(AND(State="Liquid",Motor&gt;0,Tmax_MechEng&gt;T_atRelief),0.5*0.239*Motor,0)</f>
        <v>0</v>
      </c>
      <c r="BA6" s="83"/>
      <c r="BB6" s="20" t="e">
        <f>IF(Reactive_Potential="Yes",Q_Rx_atRelief*ContainedMass/60+0.5*0.239*Motor,0)</f>
        <v>#DIV/0!</v>
      </c>
      <c r="BC6" s="83"/>
      <c r="BD6" s="20">
        <f>IF(OR(Reactive_Potential_ME="Yes",Reactive_Potential_HT="Yes"),Q_Rx_atRelief_ExtHt*ContainedMass/60,0)</f>
        <v>0</v>
      </c>
      <c r="BE6" s="83"/>
      <c r="BF6" s="20">
        <f>IF(Fire_Potential="Yes",Q_Rx_atRelief_Fire*ContainedMass/60,0)</f>
        <v>0</v>
      </c>
      <c r="BG6" s="83"/>
      <c r="BH6" s="20">
        <f>IF(Catalyzed="Yes",Q_Rx_atRelief_Catalyst*ContainedMass/60,0)</f>
        <v>0</v>
      </c>
      <c r="BI6" s="83"/>
      <c r="BJ6" s="20" t="e">
        <f>IF(AND(Reactive_Potential="Yes",Rx_Pooling="Yes"),Q_Rx_atRelief_Pooling*ContainedMass/60,0)</f>
        <v>#DIV/0!</v>
      </c>
      <c r="BK6" s="83"/>
      <c r="BL6" s="20" t="e">
        <f>IF(AND(Reactive_Potential="Yes",Rx_MisLoading="Yes"),Q_Rx_atRelief_MisLoading*ContainedMass/60,0)</f>
        <v>#DIV/0!</v>
      </c>
      <c r="BM6" s="83"/>
      <c r="BN6" s="516"/>
      <c r="BO6" s="83"/>
      <c r="BP6" s="84" t="s">
        <v>1498</v>
      </c>
      <c r="BQ6" s="83"/>
      <c r="BR6" s="81"/>
      <c r="BS6" s="81"/>
      <c r="BT6" s="81"/>
      <c r="BU6" s="81"/>
      <c r="BV6" s="81"/>
      <c r="BW6" s="81"/>
      <c r="BX6" s="81"/>
      <c r="BY6" s="81"/>
      <c r="BZ6" s="81"/>
      <c r="CA6" s="81"/>
      <c r="CB6" s="81"/>
      <c r="CC6" s="81"/>
      <c r="CD6" s="81"/>
      <c r="CE6" s="81"/>
      <c r="CF6" s="81"/>
      <c r="CG6" s="83"/>
      <c r="CH6" s="83"/>
      <c r="CI6" s="83"/>
      <c r="CJ6" s="83"/>
      <c r="CK6" s="83"/>
      <c r="CL6" s="83"/>
      <c r="CM6" s="83"/>
    </row>
    <row r="7" spans="1:91" ht="15" customHeight="1" thickBot="1" x14ac:dyDescent="0.3">
      <c r="A7" s="83"/>
      <c r="B7" s="85" t="s">
        <v>1522</v>
      </c>
      <c r="C7" s="83"/>
      <c r="D7" s="826">
        <f>Hole_Seal</f>
        <v>1</v>
      </c>
      <c r="E7" s="83"/>
      <c r="F7" s="826">
        <f>Hole_Gasket</f>
        <v>1</v>
      </c>
      <c r="G7" s="83"/>
      <c r="H7" s="826">
        <f>Hole_Gasket</f>
        <v>1</v>
      </c>
      <c r="I7" s="83"/>
      <c r="J7" s="826">
        <f>IF(OR(Drain_Input="",Drain_Units="",Drain_D=0),Hole_Drain,Drain_D)</f>
        <v>1</v>
      </c>
      <c r="K7" s="83"/>
      <c r="L7" s="837">
        <f>User_Defined_D</f>
        <v>0</v>
      </c>
      <c r="M7" s="83"/>
      <c r="N7" s="837">
        <f>D</f>
        <v>0</v>
      </c>
      <c r="O7" s="83"/>
      <c r="P7" s="837">
        <f>Hole_VerySmall</f>
        <v>0.3</v>
      </c>
      <c r="Q7" s="83"/>
      <c r="R7" s="1406">
        <f>Hole_Small</f>
        <v>1</v>
      </c>
      <c r="S7" s="83"/>
      <c r="T7" s="837">
        <f>Hole_Medium</f>
        <v>2.5</v>
      </c>
      <c r="U7" s="83"/>
      <c r="V7" s="837">
        <f>Hole_VeryLarge</f>
        <v>5</v>
      </c>
      <c r="W7" s="83"/>
      <c r="X7" s="837">
        <f>Hole_ExtremelyLarge</f>
        <v>15</v>
      </c>
      <c r="Y7" s="83"/>
      <c r="Z7" s="85" t="s">
        <v>512</v>
      </c>
      <c r="AA7" s="83"/>
      <c r="AB7" s="81"/>
      <c r="AC7" s="85" t="s">
        <v>1522</v>
      </c>
      <c r="AD7" s="81"/>
      <c r="AE7" s="608">
        <f>IF(Relief_Discharge_Size&gt;1,Relief_Discharge_Size,IF(AND(State="Vapor",$N12&gt;0),N7*(AE12/$N12)^0.5,IF($N10&gt;0,N7*(AE10/$N10)^0.5,1.27)))</f>
        <v>1.27</v>
      </c>
      <c r="AF7" s="81"/>
      <c r="AG7" s="608">
        <f>IF(Relief_Discharge_Size&gt;1,Relief_Discharge_Size,IF(AND(State="Vapor",$N12&gt;0),P7*(AG12/$N12)^0.5,IF($N10&gt;0,P7*(AG10/$N10)^0.5,1.27)))</f>
        <v>1.27</v>
      </c>
      <c r="AH7" s="81"/>
      <c r="AI7" s="1406">
        <f>IF(Relief_Size_Input&lt;&gt;"",Relief_Size,1.27)</f>
        <v>1.27</v>
      </c>
      <c r="AJ7" s="81"/>
      <c r="AK7" s="608">
        <f>IF(AND(State="Vapor",$N12&gt;0),V7*(AK12/$N12)^0.5,IF($N10&gt;0,V7*(AK10/$N10)^0.5,1.27))</f>
        <v>1.27</v>
      </c>
      <c r="AL7" s="81"/>
      <c r="AM7" s="837">
        <f>IF(OR(Tube_D_Input="",Tube_D_Units="",Tube_D=0),1.27,Tube_D)</f>
        <v>1.27</v>
      </c>
      <c r="AN7" s="81"/>
      <c r="AO7" s="837">
        <f>IF(OR(Tube_D_Input="",Tube_D_Units="",Tube_D=0),1.27,Tube_D)</f>
        <v>1.27</v>
      </c>
      <c r="AP7" s="81"/>
      <c r="AQ7" s="85" t="s">
        <v>512</v>
      </c>
      <c r="AR7" s="81"/>
      <c r="AS7" s="83"/>
      <c r="AT7" s="85" t="s">
        <v>2269</v>
      </c>
      <c r="AU7" s="83"/>
      <c r="AV7" s="923">
        <f>IF(AND(State="Liquid",Molar_HtVap&gt;0),Fire_Heat_Rate/Molar_HtVap,0)</f>
        <v>0</v>
      </c>
      <c r="AW7" s="924"/>
      <c r="AX7" s="923">
        <f>IF(AND(State="Liquid",Molar_HtVap&gt;0),Ht_Trans_Rate/Molar_HtVap,0)</f>
        <v>0</v>
      </c>
      <c r="AY7" s="924"/>
      <c r="AZ7" s="923">
        <f>IF(AND(State="Liquid",Motor&gt;0,Molar_HtVap&gt;0),ME_Trans_Rate/Molar_HtVap,0)</f>
        <v>0</v>
      </c>
      <c r="BA7" s="924"/>
      <c r="BB7" s="923">
        <f>IF(AND(State="Vapor",ABS(DHR)&gt;12),Feedrate/Mw_Mix,IF(Molar_HtVap&gt;0,Rx_Heat_Rate/Molar_HtVap+Gas_Rx_atRelief*ContainedMass/60,0))</f>
        <v>0</v>
      </c>
      <c r="BC7" s="924"/>
      <c r="BD7" s="923">
        <f>IF(AND(State="Vapor",ABS(DHR)&gt;12),Feedrate/Mw_Mix,IF(Molar_HtVap&gt;0,Rx_Heat_withExtHt/Molar_HtVap+Gas_Rx_atRelief_ExtHt*ContainedMass/60,0))</f>
        <v>0</v>
      </c>
      <c r="BE7" s="924"/>
      <c r="BF7" s="923">
        <f>IF(AND(State="Vapor",ABS(DHR)&gt;12),Feedrate/Mw_Mix,IF(Molar_HtVap&gt;0,Rx_Heat_withFire/Molar_HtVap+Gas_Rx_atRelief_Fire*ContainedMass/60,0))</f>
        <v>0</v>
      </c>
      <c r="BG7" s="924"/>
      <c r="BH7" s="923">
        <f>IF(AND(State="Vapor",ABS(DHR)&gt;12),Feedrate/Mw_Mix,IF(Molar_HtVap&gt;0,Rx_Heat_withCatalyst/Molar_HtVap+Gas_Rx_atRelief_Catalyst*ContainedMass/60,0))</f>
        <v>0</v>
      </c>
      <c r="BI7" s="924"/>
      <c r="BJ7" s="923">
        <f>IF(AND(State="Vapor",ABS(DHR)&gt;12),Feedrate/Mw_Mix,IF(Molar_HtVap&gt;0,Rx_Heat_withPooling/Molar_HtVap+Gas_Rx_atRelief_Pooling*ContainedMass/60,0))</f>
        <v>0</v>
      </c>
      <c r="BK7" s="924"/>
      <c r="BL7" s="923">
        <f>IF(AND(State="Vapor",ABS(DHR)&gt;12),Feedrate/Mw_Mix,IF(AND(Molar_HtVap&gt;0,Rx_MisLoading="Yes"),Rx_Heat_withMisLoading/Molar_HtVap+Gas_Rx_atRelief_MisLoading*ContainedMass/60,0))</f>
        <v>0</v>
      </c>
      <c r="BM7" s="924"/>
      <c r="BN7" s="923">
        <f>IF(User_Defined_VaporRate="",IF(Mw_Feed&gt;0,Relief_Flowrate/Mw_Feed,0),User_Defined_VaporRate/Mw_Feed)</f>
        <v>0</v>
      </c>
      <c r="BO7" s="83"/>
      <c r="BP7" s="23" t="s">
        <v>2903</v>
      </c>
      <c r="BQ7" s="83"/>
      <c r="BR7" s="81"/>
      <c r="BS7" s="81"/>
      <c r="BT7" s="81"/>
      <c r="BU7" s="81"/>
      <c r="BV7" s="81"/>
      <c r="BW7" s="81"/>
      <c r="BX7" s="81"/>
      <c r="BY7" s="81"/>
      <c r="BZ7" s="81"/>
      <c r="CA7" s="81"/>
      <c r="CB7" s="81"/>
      <c r="CC7" s="81"/>
      <c r="CD7" s="81"/>
      <c r="CE7" s="81"/>
      <c r="CF7" s="81"/>
      <c r="CG7" s="83"/>
      <c r="CH7" s="92" t="s">
        <v>179</v>
      </c>
      <c r="CI7" s="83"/>
      <c r="CJ7" s="1548" t="str">
        <f>IF('User Scenario'!S10&lt;&gt;"",'User Scenario'!S10*Small_Leak_Units_Conversion,"")</f>
        <v/>
      </c>
      <c r="CK7" s="83"/>
      <c r="CL7" s="84" t="s">
        <v>1069</v>
      </c>
      <c r="CM7" s="83"/>
    </row>
    <row r="8" spans="1:91" ht="15" customHeight="1" x14ac:dyDescent="0.25">
      <c r="A8" s="83"/>
      <c r="B8" s="85" t="s">
        <v>2547</v>
      </c>
      <c r="C8" s="83"/>
      <c r="D8" s="826">
        <f>P</f>
        <v>1E-3</v>
      </c>
      <c r="E8" s="515"/>
      <c r="F8" s="826">
        <f>P</f>
        <v>1E-3</v>
      </c>
      <c r="G8" s="515"/>
      <c r="H8" s="826">
        <f>Failure_Gasket*MAWP</f>
        <v>0</v>
      </c>
      <c r="I8" s="515"/>
      <c r="J8" s="826">
        <f>P</f>
        <v>1E-3</v>
      </c>
      <c r="K8" s="515"/>
      <c r="L8" s="826">
        <f>User_Defined_P</f>
        <v>0</v>
      </c>
      <c r="M8" s="83"/>
      <c r="N8" s="826">
        <f>P</f>
        <v>1E-3</v>
      </c>
      <c r="O8" s="515"/>
      <c r="P8" s="826">
        <f>P</f>
        <v>1E-3</v>
      </c>
      <c r="Q8" s="515"/>
      <c r="R8" s="838">
        <f>P</f>
        <v>1E-3</v>
      </c>
      <c r="S8" s="515"/>
      <c r="T8" s="826">
        <f>P</f>
        <v>1E-3</v>
      </c>
      <c r="U8" s="515"/>
      <c r="V8" s="826">
        <f>P</f>
        <v>1E-3</v>
      </c>
      <c r="W8" s="515"/>
      <c r="X8" s="826">
        <f>P</f>
        <v>1E-3</v>
      </c>
      <c r="Y8" s="83"/>
      <c r="Z8" s="85" t="s">
        <v>1067</v>
      </c>
      <c r="AA8" s="83"/>
      <c r="AB8" s="81"/>
      <c r="AC8" s="85" t="s">
        <v>2547</v>
      </c>
      <c r="AD8" s="81"/>
      <c r="AE8" s="859">
        <f>IF(Relief_Set_Input="",MAWP,Relief_Set)</f>
        <v>0</v>
      </c>
      <c r="AF8" s="81"/>
      <c r="AG8" s="859">
        <f>P</f>
        <v>1E-3</v>
      </c>
      <c r="AH8" s="81"/>
      <c r="AI8" s="826">
        <f>P</f>
        <v>1E-3</v>
      </c>
      <c r="AJ8" s="81"/>
      <c r="AK8" s="826">
        <f>User_Defined_P</f>
        <v>0</v>
      </c>
      <c r="AL8" s="81"/>
      <c r="AM8" s="826">
        <f>Max_Feed_P</f>
        <v>1E-3</v>
      </c>
      <c r="AN8" s="81"/>
      <c r="AO8" s="733">
        <f>Heating_P</f>
        <v>0</v>
      </c>
      <c r="AP8" s="81"/>
      <c r="AQ8" s="85" t="s">
        <v>1067</v>
      </c>
      <c r="AR8" s="81"/>
      <c r="AS8" s="83"/>
      <c r="AT8" s="85" t="s">
        <v>2268</v>
      </c>
      <c r="AU8" s="83"/>
      <c r="AV8" s="925">
        <f>IF(Relief_Vapor_Capacity&gt;AV7*Mw_Mix,IF(Modulating_Relief="Yes",AV7,Relief_Vapor_Capacity/Mw_Mix),AV7)</f>
        <v>0</v>
      </c>
      <c r="AW8" s="924"/>
      <c r="AX8" s="925">
        <f>IF(Relief_Vapor_Capacity&gt;AX7*Mw_Mix,IF(Modulating_Relief="Yes",AX7,Relief_Vapor_Capacity/Mw_Mix),AX7)</f>
        <v>0</v>
      </c>
      <c r="AY8" s="924"/>
      <c r="AZ8" s="925">
        <f>IF(Relief_Vapor_Capacity&gt;AZ7*Mw_Mix,IF(Modulating_Relief="Yes",AZ7,Relief_Vapor_Capacity/Mw_Mix),AZ7)</f>
        <v>0</v>
      </c>
      <c r="BA8" s="924"/>
      <c r="BB8" s="925">
        <f>IF(Relief_Vapor_Capacity&gt;BB7*Mw_Mix,IF(Modulating_Relief="Yes",BB7,Relief_Vapor_Capacity/Mw_Mix),BB7)</f>
        <v>0</v>
      </c>
      <c r="BC8" s="924"/>
      <c r="BD8" s="925">
        <f>IF(Relief_Vapor_Capacity&gt;BD7*Mw_Mix,IF(Modulating_Relief="Yes",BD7,Relief_Vapor_Capacity/Mw_Mix),BD7)</f>
        <v>0</v>
      </c>
      <c r="BE8" s="924"/>
      <c r="BF8" s="925">
        <f>IF(Relief_Vapor_Capacity&gt;BF7*Mw_Mix,IF(Modulating_Relief="Yes",BF7,Relief_Vapor_Capacity/Mw_Mix),BF7)</f>
        <v>0</v>
      </c>
      <c r="BG8" s="924"/>
      <c r="BH8" s="925">
        <f>IF(Relief_Vapor_Capacity&gt;BH7*Mw_Mix,IF(Modulating_Relief="Yes",BH7,Relief_Vapor_Capacity/Mw_Mix),BH7)</f>
        <v>0</v>
      </c>
      <c r="BI8" s="924"/>
      <c r="BJ8" s="925">
        <f>IF(Relief_Vapor_Capacity&gt;BJ7*Mw_Mix,IF(Modulating_Relief="Yes",BJ7,Relief_Vapor_Capacity/Mw_Mix),BJ7)</f>
        <v>0</v>
      </c>
      <c r="BK8" s="924"/>
      <c r="BL8" s="925">
        <f>IF(Relief_Vapor_Capacity&gt;BL7*Mw_Mix,IF(Modulating_Relief="Yes",BL7,Relief_Vapor_Capacity/Mw_Mix),BL7)</f>
        <v>0</v>
      </c>
      <c r="BM8" s="924"/>
      <c r="BN8" s="925">
        <f>IF(Relief_Vapor_Capacity&gt;BN7*Mw_Feed,IF(Modulating_Relief="Yes",BN7,Relief_Vapor_Capacity/Mw_Feed),BN7)</f>
        <v>0</v>
      </c>
      <c r="BO8" s="83"/>
      <c r="BP8" s="23" t="s">
        <v>2903</v>
      </c>
      <c r="BQ8" s="83"/>
      <c r="BR8" s="81"/>
      <c r="BS8" s="81"/>
      <c r="BT8" s="81"/>
      <c r="BU8" s="81"/>
      <c r="BV8" s="81"/>
      <c r="BW8" s="81"/>
      <c r="BX8" s="81"/>
      <c r="BY8" s="81"/>
      <c r="BZ8" s="81"/>
      <c r="CA8" s="81"/>
      <c r="CB8" s="81"/>
      <c r="CC8" s="4262" t="s">
        <v>2925</v>
      </c>
      <c r="CD8" s="81"/>
      <c r="CE8" s="81"/>
      <c r="CF8" s="81"/>
      <c r="CG8" s="83"/>
      <c r="CH8" s="85" t="s">
        <v>1037</v>
      </c>
      <c r="CI8" s="83"/>
      <c r="CJ8" s="100" t="str">
        <f>IF('User Scenario'!S6&lt;&gt;"",'User Scenario'!S6*Small_Leak_AQ_Units_Conversion,"")</f>
        <v/>
      </c>
      <c r="CK8" s="83"/>
      <c r="CL8" s="23" t="s">
        <v>1497</v>
      </c>
      <c r="CM8" s="83"/>
    </row>
    <row r="9" spans="1:91" ht="15" customHeight="1" thickBot="1" x14ac:dyDescent="0.3">
      <c r="A9" s="83"/>
      <c r="B9" s="85" t="s">
        <v>2548</v>
      </c>
      <c r="C9" s="83"/>
      <c r="D9" s="826">
        <f>T</f>
        <v>0</v>
      </c>
      <c r="E9" s="515"/>
      <c r="F9" s="826">
        <f>T</f>
        <v>0</v>
      </c>
      <c r="G9" s="515"/>
      <c r="H9" s="826">
        <f>T</f>
        <v>0</v>
      </c>
      <c r="I9" s="515"/>
      <c r="J9" s="826">
        <f>T</f>
        <v>0</v>
      </c>
      <c r="K9" s="515"/>
      <c r="L9" s="826">
        <f>User_Defined_T</f>
        <v>0</v>
      </c>
      <c r="M9" s="83"/>
      <c r="N9" s="826">
        <f>T</f>
        <v>0</v>
      </c>
      <c r="O9" s="515"/>
      <c r="P9" s="826">
        <f>T</f>
        <v>0</v>
      </c>
      <c r="Q9" s="515"/>
      <c r="R9" s="838">
        <f>T</f>
        <v>0</v>
      </c>
      <c r="S9" s="515"/>
      <c r="T9" s="826">
        <f>T</f>
        <v>0</v>
      </c>
      <c r="U9" s="515"/>
      <c r="V9" s="826">
        <f>T</f>
        <v>0</v>
      </c>
      <c r="W9" s="515"/>
      <c r="X9" s="826">
        <f>T</f>
        <v>0</v>
      </c>
      <c r="Y9" s="83"/>
      <c r="Z9" s="85" t="s">
        <v>1836</v>
      </c>
      <c r="AA9" s="83"/>
      <c r="AB9" s="81"/>
      <c r="AC9" s="85" t="s">
        <v>2548</v>
      </c>
      <c r="AD9" s="81"/>
      <c r="AE9" s="826">
        <f>T</f>
        <v>0</v>
      </c>
      <c r="AF9" s="81"/>
      <c r="AG9" s="826">
        <f>T</f>
        <v>0</v>
      </c>
      <c r="AH9" s="81"/>
      <c r="AI9" s="826">
        <f>T</f>
        <v>0</v>
      </c>
      <c r="AJ9" s="81"/>
      <c r="AK9" s="826">
        <f>User_Defined_T</f>
        <v>0</v>
      </c>
      <c r="AL9" s="81"/>
      <c r="AM9" s="826">
        <f>T</f>
        <v>0</v>
      </c>
      <c r="AN9" s="81"/>
      <c r="AO9" s="733">
        <f>Heating_T</f>
        <v>0</v>
      </c>
      <c r="AP9" s="81"/>
      <c r="AQ9" s="85" t="s">
        <v>1836</v>
      </c>
      <c r="AR9" s="81"/>
      <c r="AS9" s="83"/>
      <c r="AT9" s="85" t="s">
        <v>3135</v>
      </c>
      <c r="AU9" s="83"/>
      <c r="AV9" s="467">
        <f>T_atRelief</f>
        <v>0</v>
      </c>
      <c r="AW9" s="924"/>
      <c r="AX9" s="467">
        <f>T_atRelief</f>
        <v>0</v>
      </c>
      <c r="AY9" s="924"/>
      <c r="AZ9" s="467">
        <f>T_atRelief</f>
        <v>0</v>
      </c>
      <c r="BA9" s="924"/>
      <c r="BB9" s="467">
        <f>IF(State="Vapor",Tad_max,T_atRelief)</f>
        <v>0</v>
      </c>
      <c r="BC9" s="924"/>
      <c r="BD9" s="467">
        <f>IF(State="Vapor",Tad_max,T_atRelief)</f>
        <v>0</v>
      </c>
      <c r="BE9" s="924"/>
      <c r="BF9" s="467">
        <f>IF(State="Vapor",Tad_max,T_atRelief)</f>
        <v>0</v>
      </c>
      <c r="BG9" s="924"/>
      <c r="BH9" s="467">
        <f>IF(State="Vapor",Tad_max,T_atRelief)</f>
        <v>0</v>
      </c>
      <c r="BI9" s="924"/>
      <c r="BJ9" s="467">
        <f>IF(State="Vapor",Tad_max,T_atRelief)</f>
        <v>0</v>
      </c>
      <c r="BK9" s="924"/>
      <c r="BL9" s="467">
        <f>IF(State="Vapor",Tad_max,T_atRelief)</f>
        <v>0</v>
      </c>
      <c r="BM9" s="924"/>
      <c r="BN9" s="467">
        <f>T_atRelief</f>
        <v>0</v>
      </c>
      <c r="BO9" s="83"/>
      <c r="BP9" s="23" t="s">
        <v>1836</v>
      </c>
      <c r="BQ9" s="83"/>
      <c r="BR9" s="81"/>
      <c r="BS9" s="81"/>
      <c r="BT9" s="81"/>
      <c r="BU9" s="81"/>
      <c r="BV9" s="81"/>
      <c r="BW9" s="81"/>
      <c r="BX9" s="81"/>
      <c r="BY9" s="81"/>
      <c r="BZ9" s="81"/>
      <c r="CA9" s="81"/>
      <c r="CB9" s="81"/>
      <c r="CC9" s="3893"/>
      <c r="CD9" s="81"/>
      <c r="CE9" s="81"/>
      <c r="CF9" s="81"/>
      <c r="CG9" s="83"/>
      <c r="CH9" s="85" t="s">
        <v>2821</v>
      </c>
      <c r="CI9" s="83"/>
      <c r="CJ9" s="1183" t="str">
        <f>IF('User Scenario'!S11&lt;&gt;"",'User Scenario'!S11/60,"")</f>
        <v/>
      </c>
      <c r="CK9" s="83"/>
      <c r="CL9" s="89"/>
      <c r="CM9" s="83"/>
    </row>
    <row r="10" spans="1:91" ht="15" customHeight="1" thickBot="1" x14ac:dyDescent="0.3">
      <c r="A10" s="83"/>
      <c r="B10" s="23" t="s">
        <v>1648</v>
      </c>
      <c r="C10" s="83"/>
      <c r="D10" s="608">
        <f>IF(State&lt;&gt;"Vapor",1.1*D6*(D7^2)*(Liq_rho*(P+Liq_rho*Dh/10.34))^0.5,0)</f>
        <v>6.7100000000000007E-3</v>
      </c>
      <c r="E10" s="83"/>
      <c r="F10" s="835">
        <f>IF(State&lt;&gt;"Vapor",1.1*F6*(F7^2)*(Liq_rho*(P+Liq_rho*Dh/10.34))^0.5,0)</f>
        <v>6.7100000000000007E-3</v>
      </c>
      <c r="G10" s="83"/>
      <c r="H10" s="835">
        <f>IF(State&lt;&gt;"Vapor",1.1*H6*(H7^2)*(Liq_rho*(Failure_Gasket*MAWP+Liq_rho*Dh/10.34))^0.5,0)</f>
        <v>0</v>
      </c>
      <c r="I10" s="83"/>
      <c r="J10" s="835">
        <f>IF(State&lt;&gt;"Vapor",1.1*J6*(J7^2)*(Liq_rho*(P+Liq_rho*Dh/10.34))^0.5,0)</f>
        <v>6.7100000000000007E-3</v>
      </c>
      <c r="K10" s="83"/>
      <c r="L10" s="835">
        <f>IF(User_Defined_D="",0,IF(State&lt;&gt;"Vapor",1.1*Cd*(L7^2)*(Liq_rho*(L8+Liq_rho*Dh/10.34))^0.5,0))</f>
        <v>0</v>
      </c>
      <c r="M10" s="83"/>
      <c r="N10" s="835">
        <f>IF(State&lt;&gt;"Vapor",1.1*Cd*(N7^2)*(Liq_rho*(P+Liq_rho*Dh/10.34))^0.5,0)</f>
        <v>0</v>
      </c>
      <c r="O10" s="83"/>
      <c r="P10" s="835">
        <f>IF(State&lt;&gt;"Vapor",1.1*Cd*(P7^2)*(Liq_rho*(P+Liq_rho*Dh/10.34))^0.5,0)</f>
        <v>6.0389999999999999E-4</v>
      </c>
      <c r="Q10" s="83"/>
      <c r="R10" s="608">
        <f>IF(State&lt;&gt;"Vapor",1.1*Cd*(R7^2)*(Liq_rho*(P+Liq_rho*Dh/10.34))^0.5,0)</f>
        <v>6.7100000000000007E-3</v>
      </c>
      <c r="S10" s="83"/>
      <c r="T10" s="835">
        <f>IF(State&lt;&gt;"Vapor",1.1*Cd*(T7^2)*(Liq_rho*(P+Liq_rho*Dh/10.34))^0.5,0)</f>
        <v>4.1937500000000009E-2</v>
      </c>
      <c r="U10" s="83"/>
      <c r="V10" s="835">
        <f>IF(State&lt;&gt;"Vapor",1.1*Cd*(V7^2)*(Liq_rho*(P+Liq_rho*Dh/10.34))^0.5,0)</f>
        <v>0.16775000000000004</v>
      </c>
      <c r="W10" s="83"/>
      <c r="X10" s="835">
        <f>IF(State&lt;&gt;"Vapor",1.1*Cd*(X7^2)*(Liq_rho*(P+Liq_rho*Dh/10.34))^0.5,0)</f>
        <v>1.5097500000000004</v>
      </c>
      <c r="Y10" s="83"/>
      <c r="Z10" s="85" t="s">
        <v>1069</v>
      </c>
      <c r="AA10" s="83"/>
      <c r="AB10" s="81"/>
      <c r="AC10" s="23" t="s">
        <v>1648</v>
      </c>
      <c r="AD10" s="81"/>
      <c r="AE10" s="835">
        <f>IF(State&lt;&gt;"Vapor",Feedrate,0)</f>
        <v>0</v>
      </c>
      <c r="AF10" s="81"/>
      <c r="AG10" s="835">
        <f>IF(State&lt;&gt;"Vapor",Backflow,0)</f>
        <v>0</v>
      </c>
      <c r="AH10" s="81"/>
      <c r="AI10" s="835">
        <f>IF(State&lt;&gt;"Vapor",1.1*Cd_Relief*(AI7^2)*(Liq_rho*(P+Liq_rho*Dh/10.34))^0.5,0)</f>
        <v>1.0822559000000001E-2</v>
      </c>
      <c r="AJ10" s="81"/>
      <c r="AK10" s="861">
        <f>IF(AND(State&lt;&gt;"Vapor",User_Defined_LeakRate&lt;&gt;""),User_Defined_LeakRate,0)</f>
        <v>0</v>
      </c>
      <c r="AL10" s="81"/>
      <c r="AM10" s="854">
        <f>IF(AND(Max_Feed_P&gt;=MIN(P,Heating_P),State&lt;&gt;"Vapor"),IF(Max_Feed_P-Heating_P+Liq_rho*Dh/10.34&gt;0,2*1.1*Cd*(AM7^2)*(Liq_rho*(Max_Feed_P-Heating_P+Liq_rho*Dh/10.34))^0.5,0),0)</f>
        <v>2.1645118000000001E-2</v>
      </c>
      <c r="AN10" s="3"/>
      <c r="AO10" s="866">
        <f>IF(Heating_Media_State="",0,IF(AND(Heating_P&gt;MIN(P,Max_Feed_P),Heating_Media_State&lt;&gt;"Vapor"),2*1.1*Cd*(AO7^2)*(HT_Liq_rho*(Heating_P-MIN(P,Max_Feed_P)))^0.5,0))</f>
        <v>0</v>
      </c>
      <c r="AP10" s="81"/>
      <c r="AQ10" s="85" t="s">
        <v>1069</v>
      </c>
      <c r="AR10" s="81"/>
      <c r="AS10" s="2"/>
      <c r="AT10" s="85" t="s">
        <v>2263</v>
      </c>
      <c r="AU10" s="83"/>
      <c r="AV10" s="467">
        <f>Relief_Vapor_Velocity</f>
        <v>0</v>
      </c>
      <c r="AW10" s="83"/>
      <c r="AX10" s="467">
        <f>Relief_Vapor_Velocity</f>
        <v>0</v>
      </c>
      <c r="AY10" s="83"/>
      <c r="AZ10" s="467">
        <f>Relief_Vapor_Velocity</f>
        <v>0</v>
      </c>
      <c r="BA10" s="83"/>
      <c r="BB10" s="467">
        <f>Relief_Vapor_Velocity</f>
        <v>0</v>
      </c>
      <c r="BC10" s="83"/>
      <c r="BD10" s="467">
        <f>Relief_Vapor_Velocity</f>
        <v>0</v>
      </c>
      <c r="BE10" s="83"/>
      <c r="BF10" s="467">
        <f>Relief_Vapor_Velocity</f>
        <v>0</v>
      </c>
      <c r="BG10" s="83"/>
      <c r="BH10" s="467">
        <f>Relief_Vapor_Velocity</f>
        <v>0</v>
      </c>
      <c r="BI10" s="83"/>
      <c r="BJ10" s="467">
        <f>Relief_Vapor_Velocity</f>
        <v>0</v>
      </c>
      <c r="BK10" s="83"/>
      <c r="BL10" s="467">
        <f>Relief_Vapor_Velocity</f>
        <v>0</v>
      </c>
      <c r="BM10" s="83"/>
      <c r="BN10" s="467">
        <f>Relief_Vapor_Velocity</f>
        <v>0</v>
      </c>
      <c r="BO10" s="83"/>
      <c r="BP10" s="23" t="s">
        <v>1714</v>
      </c>
      <c r="BQ10" s="83"/>
      <c r="BR10" s="81"/>
      <c r="BS10" s="81"/>
      <c r="BT10" s="81"/>
      <c r="BU10" s="477"/>
      <c r="BV10" s="81"/>
      <c r="BW10" s="81"/>
      <c r="BX10" s="81"/>
      <c r="BY10" s="81"/>
      <c r="BZ10" s="81"/>
      <c r="CA10" s="81"/>
      <c r="CB10" s="81"/>
      <c r="CC10" s="3893"/>
      <c r="CD10" s="81"/>
      <c r="CE10" s="81"/>
      <c r="CF10" s="81"/>
      <c r="CG10" s="83"/>
      <c r="CH10" s="25" t="s">
        <v>2681</v>
      </c>
      <c r="CI10" s="83"/>
      <c r="CJ10" s="98" t="str">
        <f>IF('User Scenario'!S5="","",'User Scenario'!S5)</f>
        <v/>
      </c>
      <c r="CK10" s="83"/>
      <c r="CL10" s="83"/>
      <c r="CM10" s="83"/>
    </row>
    <row r="11" spans="1:91" ht="15" customHeight="1" thickBot="1" x14ac:dyDescent="0.3">
      <c r="A11" s="83"/>
      <c r="B11" s="23" t="s">
        <v>2289</v>
      </c>
      <c r="C11" s="83"/>
      <c r="D11" s="830">
        <f>IF(AND(State="Liquid",Fv&gt;0.001),IF(5.1*(D7^2)*(Lat_Ht/(1/Vap_rho-1/Liq_rho))/(Liq_C*(T+273))^0.5&lt;D10,5.1*(D7^2)*(Lat_Ht/(1/Vap_rho-1/Liq_rho))/(Liq_C*(T+273))^0.5,D10),D10)</f>
        <v>6.7100000000000007E-3</v>
      </c>
      <c r="E11" s="83"/>
      <c r="F11" s="835"/>
      <c r="G11" s="83"/>
      <c r="H11" s="835"/>
      <c r="I11" s="83"/>
      <c r="J11" s="835"/>
      <c r="K11" s="83"/>
      <c r="L11" s="835"/>
      <c r="M11" s="83"/>
      <c r="N11" s="830">
        <f>IF(AND(State="Liquid",Fv&gt;0.001),IF(5.1*(N7^2)*(Lat_Ht/(1/Vap_rho-1/Liq_rho))/(Liq_C*(T+273))^0.5&lt;N10,5.1*(N7^2)*(Lat_Ht/(1/Vap_rho-1/Liq_rho))/(Liq_C*(T+273))^0.5,N10),N10)</f>
        <v>0</v>
      </c>
      <c r="O11" s="83"/>
      <c r="P11" s="835"/>
      <c r="Q11" s="83"/>
      <c r="R11" s="1406"/>
      <c r="S11" s="83"/>
      <c r="T11" s="837"/>
      <c r="U11" s="83"/>
      <c r="V11" s="835"/>
      <c r="W11" s="83"/>
      <c r="X11" s="835"/>
      <c r="Y11" s="83"/>
      <c r="Z11" s="85" t="s">
        <v>1069</v>
      </c>
      <c r="AA11" s="83"/>
      <c r="AB11" s="81"/>
      <c r="AC11" s="23" t="s">
        <v>2289</v>
      </c>
      <c r="AD11" s="81"/>
      <c r="AE11" s="865"/>
      <c r="AF11" s="81"/>
      <c r="AG11" s="865"/>
      <c r="AH11" s="81"/>
      <c r="AI11" s="830">
        <f>IF(AND(State="Liquid",Fv&gt;0.01,OR(Relief_Type="Rupture Disk",Relief_Type="Graphite Disk",Relief_Type="Combination Disks",Relief_Type="Pressure Relief Line")),IF(5.1*(AI7^2)*(Lat_Ht/(1/Vap_rho-1/Liq_rho))/(Liq_C*(T+273))^0.5&lt;AI10,5.1*(AI7^2)*(Lat_Ht/(1/Vap_rho-1/Liq_rho))/(Liq_C*(T+273))^0.5,AI10),AI10)</f>
        <v>1.0822559000000001E-2</v>
      </c>
      <c r="AJ11" s="81"/>
      <c r="AK11" s="862"/>
      <c r="AL11" s="81"/>
      <c r="AM11" s="830" t="e">
        <f>IF(AM10=0,0,IF(AND(Max_Feed_P&gt;=MIN(P,Heating_P),P_atHeatMedia&gt;Relief_Set,2*5.1*(AM7^2)*(Lat_Ht/(1/Vap_rho-1/Liq_rho))/(Liq_C*(T+273))^0.5&lt;AM10),2*5.1*(AM7^2)*(Lat_Ht/(1/Vap_rho-1/Liq_rho))/(Liq_C*(T+273))^0.5,AM10))</f>
        <v>#DIV/0!</v>
      </c>
      <c r="AN11" s="81"/>
      <c r="AO11" s="824">
        <f>IF(AO10=0,0,IF(Heating_Media_State="","",IF(AND(Heating_P&gt;MIN(P,Max_Feed_P),2*5.1*(AO7^2)*(HT_Lat_Ht/(1/HT_Vap_rho-1/HT_Liq_rho))/(HT_Liq_C*(Heating_T+273))^0.5&lt;AO10),2*5.1*(AO7^2)*(HT_Lat_Ht/(1/HT_Vap_rho-1/HT_Liq_rho))/(HT_Liq_C*(Heating_T+273))^0.5,AO10)))</f>
        <v>0</v>
      </c>
      <c r="AP11" s="81"/>
      <c r="AQ11" s="85" t="s">
        <v>1069</v>
      </c>
      <c r="AR11" s="81"/>
      <c r="AS11" s="83"/>
      <c r="AT11" s="23" t="s">
        <v>5287</v>
      </c>
      <c r="AU11" s="83"/>
      <c r="AV11" s="489">
        <f>IF(OR(Feed_Type&lt;&gt;"Continuous",Max_Feed_P&lt;Relief_Set),0,IF(Feedrate&lt;AV7*Mw_Feed,Feedrate/Mw_Feed,AV7))</f>
        <v>0</v>
      </c>
      <c r="AW11" s="83"/>
      <c r="AX11" s="489">
        <f>IF(OR(Feed_Type&lt;&gt;"Continuous",Max_Feed_P&lt;Relief_Set),0,IF(Feedrate&lt;AX7*Mw_Feed,Feedrate/Mw_Feed,AX7))</f>
        <v>0</v>
      </c>
      <c r="AY11" s="83"/>
      <c r="AZ11" s="489">
        <f>IF(OR(Feed_Type&lt;&gt;"Continuous",Max_Feed_P&lt;Relief_Set),0,IF(Feedrate&lt;AZ7*Mw_Feed,Feedrate/Mw_Feed,AZ7))</f>
        <v>0</v>
      </c>
      <c r="BA11" s="83"/>
      <c r="BB11" s="489">
        <f>IF(OR(Feed_Type&lt;&gt;"Continuous",Max_Feed_P&lt;Relief_Set),0,IF(Feedrate&lt;BB7*Mw_Feed,Feedrate/Mw_Feed,BB7))</f>
        <v>0</v>
      </c>
      <c r="BC11" s="83"/>
      <c r="BD11" s="489">
        <f>IF(OR(Feed_Type&lt;&gt;"Continuous",Max_Feed_P&lt;Relief_Set),0,IF(Feedrate&lt;BD7*Mw_Feed,Feedrate/Mw_Feed,BD7))</f>
        <v>0</v>
      </c>
      <c r="BE11" s="83"/>
      <c r="BF11" s="489">
        <f>IF(OR(Feed_Type&lt;&gt;"Continuous",Max_Feed_P&lt;Relief_Set),0,IF(Feedrate&lt;BF7*Mw_Feed,Feedrate/Mw_Feed,BF7))</f>
        <v>0</v>
      </c>
      <c r="BG11" s="83"/>
      <c r="BH11" s="489">
        <f>IF(OR(Feed_Type&lt;&gt;"Continuous",Max_Feed_P&lt;Relief_Set),0,IF(Feedrate&lt;BH7*Mw_Feed,Feedrate/Mw_Feed,BH7))</f>
        <v>0</v>
      </c>
      <c r="BI11" s="83"/>
      <c r="BJ11" s="489">
        <f>IF(OR(Feed_Type&lt;&gt;"Continuous",Max_Feed_P&lt;Relief_Set),0,IF(Feedrate&lt;BJ7*Mw_Feed,Feedrate/Mw_Feed,BJ7))</f>
        <v>0</v>
      </c>
      <c r="BK11" s="83"/>
      <c r="BL11" s="489">
        <f>IF(OR(Feed_Type&lt;&gt;"Continuous",Max_Feed_P&lt;Relief_Set),0,IF(Feedrate&lt;BL7*Mw_Feed,Feedrate/Mw_Feed,BL7))</f>
        <v>0</v>
      </c>
      <c r="BM11" s="83"/>
      <c r="BN11" s="489">
        <f>IF(OR(Feed_Type&lt;&gt;"Continuous",Max_Feed_P&lt;Relief_Set),0,IF(Feedrate&lt;BN7*Mw_Feed,Feedrate/Mw_Feed,BN7))</f>
        <v>0</v>
      </c>
      <c r="BO11" s="83"/>
      <c r="BP11" s="23" t="s">
        <v>1069</v>
      </c>
      <c r="BQ11" s="83"/>
      <c r="BR11" s="81"/>
      <c r="BS11" s="81"/>
      <c r="BT11" s="81"/>
      <c r="BU11" s="477"/>
      <c r="BV11" s="81"/>
      <c r="BW11" s="81"/>
      <c r="BX11" s="81"/>
      <c r="BY11" s="81"/>
      <c r="BZ11" s="81"/>
      <c r="CA11" s="81"/>
      <c r="CB11" s="81"/>
      <c r="CC11" s="3968"/>
      <c r="CD11" s="81"/>
      <c r="CE11" s="81"/>
      <c r="CF11" s="81"/>
      <c r="CG11" s="83"/>
      <c r="CH11" s="83"/>
      <c r="CI11" s="83"/>
      <c r="CJ11" s="83"/>
      <c r="CK11" s="83"/>
      <c r="CL11" s="83"/>
      <c r="CM11" s="83"/>
    </row>
    <row r="12" spans="1:91" ht="15" customHeight="1" thickBot="1" x14ac:dyDescent="0.3">
      <c r="A12" s="83"/>
      <c r="B12" s="23" t="s">
        <v>130</v>
      </c>
      <c r="C12" s="83"/>
      <c r="D12" s="835">
        <f>IF(AND(State="Vapor",1/(1+P)&lt;0.528),0.0595*D6*(D7^2)*(P+1)*(Mw_Mix/(273+T))^0.5,IF(AND(State="Vapor",1/(1+P)&gt;0.528),0.231*D6*(D7^2)*(P+1)*(((1/(1+P))^1.429-(1/(1+P))^1.714)*Mw_Mix/(273+T))^0.5,0))</f>
        <v>0</v>
      </c>
      <c r="E12" s="83"/>
      <c r="F12" s="835">
        <f>IF(AND(State="Vapor",1/(1+P)&lt;0.528),0.0595*F6*(F7^2)*(P+1)*(Mw_Mix/(273+T))^0.5,IF(AND(State="Vapor",1/(1+P)&gt;0.528),0.231*F6*(F7^2)*(P+1)*(((1/(1+P))^1.429-(1/(1+P))^1.714)*Mw_Mix/(273+T))^0.5,0))</f>
        <v>0</v>
      </c>
      <c r="G12" s="83"/>
      <c r="H12" s="835">
        <f>IF(AND(State="Vapor",1/(1+Failure_Gasket*MAWP)&lt;0.528),0.0595*H6*(H7^2)*(Failure_Gasket*MAWP+1)*(Mw_Mix/(273+T))^0.5,IF(AND(State="Vapor",1/(1+Failure_Gasket*MAWP)&gt;0.528),0.231*H6*(H7^2)*(Failure_Gasket*MAWP+1)*(((1/(1+Failure_Gasket*MAWP))^1.429-(1/(1+Failure_Gasket*MAWP))^1.714)*Mw_Mix/(273+T))^0.5,0))</f>
        <v>0</v>
      </c>
      <c r="I12" s="83"/>
      <c r="J12" s="835">
        <f>IF(AND(State="Vapor",1/(1+P)&lt;0.528),0.0595*J6*(J7^2)*(P+1)*(Mw_Mix/(273+T))^0.5,IF(AND(State="Vapor",1/(1+P)&gt;0.528),0.231*J6*(J7^2)*(P+1)*(((1/(1+P))^1.429-(1/(1+P))^1.714)*Mw_Mix/(273+T))^0.5,0))</f>
        <v>0</v>
      </c>
      <c r="K12" s="83"/>
      <c r="L12" s="835">
        <f>IF(L7="",0,IF(AND(State="Vapor",1/(1+L8)&lt;0.528),0.0595*L6*(L7^2)*(L8+1)*(Mw_Mix/(273+L9))^0.5,IF(AND(State="Vapor",1/(1+L8)&gt;0.528),0.231*L6*(L7^2)*(L8+1)*(((1/(1+L8))^1.429-(1/(1+L8))^1.714)*Mw_Mix/(273+L9))^0.5,0)))</f>
        <v>0</v>
      </c>
      <c r="M12" s="83"/>
      <c r="N12" s="835">
        <f>IF(AND(State="Vapor",1/(1+P)&lt;0.528),0.0595*N6*(N7^2)*(P+1)*(Mw_Mix/(273+T))^0.5,IF(AND(State="Vapor",1/(1+P)&gt;0.528),0.231*N6*(N7^2)*(P+1)*(((1/(1+P))^1.429-(1/(1+P))^1.714)*Mw_Mix/(273+T))^0.5,0))</f>
        <v>0</v>
      </c>
      <c r="O12" s="83"/>
      <c r="P12" s="835">
        <f>IF(AND(State="Vapor",1/(1+P)&lt;0.528),0.0595*P6*(P7^2)*(P+1)*(Mw_Mix/(273+T))^0.5,IF(AND(State="Vapor",1/(1+P)&gt;0.528),0.231*P6*(P7^2)*(P+1)*(((1/(1+P))^1.429-(1/(1+P))^1.714)*Mw_Mix/(273+T))^0.5,0))</f>
        <v>0</v>
      </c>
      <c r="Q12" s="83"/>
      <c r="R12" s="608">
        <f>IF(AND(State="Vapor",1/(1+P)&lt;0.528),0.0595*R6*(R7^2)*(P+1)*(Mw_Mix/(273+T))^0.5,IF(AND(State="Vapor",1/(1+P)&gt;0.528),0.231*R6*(R7^2)*(P+1)*(((1/(1+P))^1.429-(1/(1+P))^1.714)*Mw_Mix/(273+T))^0.5,0))</f>
        <v>0</v>
      </c>
      <c r="S12" s="83"/>
      <c r="T12" s="835">
        <f>IF(AND(State="Vapor",1/(1+P)&lt;0.528),0.0595*T6*(T7^2)*(P+1)*(Mw_Mix/(273+T))^0.5,IF(AND(State="Vapor",1/(1+P)&gt;0.528),0.231*T6*(T7^2)*(P+1)*(((1/(1+P))^1.429-(1/(1+P))^1.714)*Mw_Mix/(273+T))^0.5,0))</f>
        <v>0</v>
      </c>
      <c r="U12" s="83"/>
      <c r="V12" s="835">
        <f>IF(AND(State="Vapor",1/(1+P)&lt;0.528),0.0595*V6*(V7^2)*(P+1)*(Mw_Mix/(273+T))^0.5,IF(AND(State="Vapor",1/(1+P)&gt;0.528),0.231*V6*(V7^2)*(P+1)*(((1/(1+P))^1.429-(1/(1+P))^1.714)*Mw_Mix/(273+T))^0.5,0))</f>
        <v>0</v>
      </c>
      <c r="W12" s="83"/>
      <c r="X12" s="835">
        <f>IF(AND(State="Vapor",1/(1+P)&lt;0.528),0.0595*X6*(X7^2)*(P+1)*(Mw_Mix/(273+T))^0.5,IF(AND(State="Vapor",1/(1+P)&gt;0.528),0.231*X6*(X7^2)*(P+1)*((1/(1+P)^1.429-(1/(1+P))^1.714)*Mw_Mix/(273+T))^0.5,0))</f>
        <v>0</v>
      </c>
      <c r="Y12" s="83"/>
      <c r="Z12" s="85" t="s">
        <v>1069</v>
      </c>
      <c r="AA12" s="83"/>
      <c r="AB12" s="81"/>
      <c r="AC12" s="851" t="s">
        <v>130</v>
      </c>
      <c r="AD12" s="81"/>
      <c r="AE12" s="835">
        <f>IF(State="Vapor",Feedrate,0)</f>
        <v>0</v>
      </c>
      <c r="AF12" s="81"/>
      <c r="AG12" s="835">
        <f>IF(State="Vapor",Backflow,0)</f>
        <v>0</v>
      </c>
      <c r="AH12" s="81"/>
      <c r="AI12" s="608">
        <f>IF(AND(State="Vapor",1/(1+P)&lt;0.528),0.0595*Cd_Relief*(AI7^2)*(P+1)*(Mw_Mix/(273+T))^0.5,IF(AND(State="Vapor",1/(1+P)&gt;0.528),0.231*Cd_Relief*(AI7^2)*(P+1)*(((1/(1+P))^1.429-(1/(1+P))^1.714)*Mw_Mix/(273+T))^0.5,0))</f>
        <v>0</v>
      </c>
      <c r="AJ12" s="81"/>
      <c r="AK12" s="861">
        <f>IF(AND(State="Vapor",User_Defined_LeakRate&lt;&gt;""),User_Defined_LeakRate,0)</f>
        <v>0</v>
      </c>
      <c r="AL12" s="81"/>
      <c r="AM12" s="835">
        <f>IF(AND(State="Vapor",Max_Feed_P&gt;Heating_P,(1+Heating_P)/(1+Max_Feed_P)&lt;0.528),2*0.0595*AM6*(AM7^2)*(Max_Feed_P+1)*(Mw_Mix/(273+T))^0.5,IF(AND(State="Vapor",Max_Feed_P&gt;Heating_P,(1+Heating_P)/(1+Max_Feed_P)&gt;0.528),2*0.231*AM6*(AM7^2)*(Max_Feed_P+1)*((((1+Heating_P)/(1+Max_Feed_P))^1.429-((1+Heating_P)/(1+Max_Feed_P))^1.714)*Mw_Mix/(273+T))^0.5,0))</f>
        <v>0</v>
      </c>
      <c r="AN12" s="81"/>
      <c r="AO12" s="835">
        <f>IF(AND(Heating_Media_State="Vapor",Heating_P&gt;P,(1+P)/(1+Heating_P)&lt;0.528),2*0.0595*AO6*(AO7^2)*(Heating_P+1)*(HT_Mw/(273+Heating_T))^0.5,IF(AND(State="Vapor",Heating_P&gt;P,(1+P)/(1+Heating_P)&gt;0.528),2*0.231*AO6*(AO7^2)*(Heating_P+1)*((((1+P)/(1+Heating_P))^1.429-((1+P)/(1+Heating_P))^1.714)*HT_Mw/(273+Heating_T))^0.5,0))</f>
        <v>0</v>
      </c>
      <c r="AP12" s="81"/>
      <c r="AQ12" s="85" t="s">
        <v>1069</v>
      </c>
      <c r="AR12" s="81"/>
      <c r="AS12" s="83"/>
      <c r="AT12" s="85" t="s">
        <v>2258</v>
      </c>
      <c r="AU12" s="83"/>
      <c r="AV12" s="467">
        <f>IF(Feed_Type="Continuous",IF(Inventory-ContainedMass&gt;Max_Duration*AV11*Mw_Feed,ContainedMass+Max_Duration*AV11*Mw_Feed,Inventory),ContainedMass)</f>
        <v>0</v>
      </c>
      <c r="AW12" s="235"/>
      <c r="AX12" s="467">
        <f>IF(Feed_Type="Continuous",IF(Inventory-ContainedMass&gt;Max_Duration*AX11*Mw_Feed,ContainedMass+Max_Duration*AX11*Mw_Feed,Inventory),ContainedMass)</f>
        <v>0</v>
      </c>
      <c r="AY12" s="235"/>
      <c r="AZ12" s="467">
        <f>IF(Feed_Type="Continuous",IF(Inventory-ContainedMass&gt;Max_Duration*AZ11*Mw_Feed,ContainedMass+Max_Duration*AZ11*Mw_Feed,Inventory),ContainedMass)</f>
        <v>0</v>
      </c>
      <c r="BA12" s="235"/>
      <c r="BB12" s="467">
        <f>IF(Feed_Type="Continuous",IF(Inventory-ContainedMass&gt;Max_Duration*BB11*Mw_Feed,ContainedMass+Max_Duration*BB11*Mw_Feed,Inventory),ContainedMass)</f>
        <v>0</v>
      </c>
      <c r="BC12" s="235"/>
      <c r="BD12" s="467">
        <f>IF(Feed_Type="Continuous",IF(Inventory-ContainedMass&gt;Max_Duration*BD11*Mw_Feed,ContainedMass+Max_Duration*BD11*Mw_Feed,Inventory),ContainedMass)</f>
        <v>0</v>
      </c>
      <c r="BE12" s="235"/>
      <c r="BF12" s="467">
        <f>IF(Feed_Type="Continuous",IF(Inventory-ContainedMass&gt;Max_Duration*BF11*Mw_Feed,ContainedMass+Max_Duration*BF11*Mw_Feed,Inventory),ContainedMass)</f>
        <v>0</v>
      </c>
      <c r="BG12" s="235"/>
      <c r="BH12" s="467">
        <f>IF(Feed_Type="Continuous",IF(Inventory-ContainedMass&gt;Max_Duration*BH11*Mw_Feed,ContainedMass+Max_Duration*BH11*Mw_Feed,Inventory),ContainedMass)</f>
        <v>0</v>
      </c>
      <c r="BI12" s="235"/>
      <c r="BJ12" s="467">
        <f>IF(Feed_Type="Continuous",IF(Inventory-ContainedMass&gt;Max_Duration*BJ11*Mw_Feed,ContainedMass+Max_Duration*BJ11*Mw_Feed,Inventory),ContainedMass)</f>
        <v>0</v>
      </c>
      <c r="BK12" s="235"/>
      <c r="BL12" s="467">
        <f>IF(Feed_Type="Continuous",IF(Inventory-ContainedMass&gt;Max_Duration*BL11*Mw_Feed,ContainedMass+Max_Duration*BL11*Mw_Feed,Inventory),ContainedMass)</f>
        <v>0</v>
      </c>
      <c r="BM12" s="235"/>
      <c r="BN12" s="467">
        <f>IF(Feed_Type="Continuous",IF(Inventory-ContainedMass&gt;Max_Duration*BN11*Mw_Feed,ContainedMass+Max_Duration*BN11*Mw_Feed,Inventory),ContainedMass)</f>
        <v>0</v>
      </c>
      <c r="BO12" s="83"/>
      <c r="BP12" s="23" t="s">
        <v>1497</v>
      </c>
      <c r="BQ12" s="83"/>
      <c r="BR12" s="81"/>
      <c r="BS12" s="81"/>
      <c r="BT12" s="81"/>
      <c r="BU12" s="477"/>
      <c r="BV12" s="81"/>
      <c r="BW12" s="81"/>
      <c r="BX12" s="81"/>
      <c r="BY12" s="81"/>
      <c r="BZ12" s="81"/>
      <c r="CA12" s="81"/>
      <c r="CB12" s="81"/>
      <c r="CC12" s="121">
        <f>IF(NFPA_F_Max&gt;0,0.1,1)</f>
        <v>1</v>
      </c>
      <c r="CD12" s="81"/>
      <c r="CE12" s="81"/>
      <c r="CF12" s="81"/>
      <c r="CG12" s="2"/>
      <c r="CH12" s="139" t="s">
        <v>643</v>
      </c>
      <c r="CI12" s="83"/>
      <c r="CJ12" s="83"/>
      <c r="CK12" s="83"/>
      <c r="CL12" s="83"/>
      <c r="CM12" s="83"/>
    </row>
    <row r="13" spans="1:91" ht="15" customHeight="1" x14ac:dyDescent="0.3">
      <c r="A13" s="83"/>
      <c r="B13" s="85" t="s">
        <v>1669</v>
      </c>
      <c r="C13" s="83"/>
      <c r="D13" s="826">
        <f>IF(D23&gt;0,IF(ContainedMass/D23&lt;Max_Duration,ContainedMass/D23,Max_Duration),0)</f>
        <v>0</v>
      </c>
      <c r="E13" s="83"/>
      <c r="F13" s="826">
        <f>IF(F23&gt;0,IF(ContainedMass/F23&lt;Max_Duration,ContainedMass/F23,Max_Duration),0)</f>
        <v>0</v>
      </c>
      <c r="G13" s="83"/>
      <c r="H13" s="826">
        <f>IF(H23&gt;0,IF(ContainedMass/H23&lt;Max_Duration,ContainedMass/H23,Max_Duration),0)</f>
        <v>0</v>
      </c>
      <c r="I13" s="83"/>
      <c r="J13" s="826">
        <f>IF(J23&gt;0,IF(ContainedMass/J23&lt;Max_Duration,ContainedMass/J23,Max_Duration),0)</f>
        <v>0</v>
      </c>
      <c r="K13" s="83"/>
      <c r="L13" s="826">
        <f>IF(L23&gt;0,IF(ContainedMass/L23&lt;Max_Duration,ContainedMass/L23,Max_Duration),0)</f>
        <v>0</v>
      </c>
      <c r="M13" s="83"/>
      <c r="N13" s="826">
        <f>IF(N23&gt;0,IF(ContainedMass/N23&lt;Max_Duration,ContainedMass/N23,Max_Duration),0)</f>
        <v>0</v>
      </c>
      <c r="O13" s="83"/>
      <c r="P13" s="826">
        <f>IF(P23&gt;0,IF(ContainedMass/P23&lt;Max_Duration,ContainedMass/P23,Max_Duration),0)</f>
        <v>0</v>
      </c>
      <c r="Q13" s="83"/>
      <c r="R13" s="838">
        <f>IF(R23&gt;0,IF(ContainedMass/R23&lt;Max_Duration,ContainedMass/R23,Max_Duration),0)</f>
        <v>0</v>
      </c>
      <c r="S13" s="83"/>
      <c r="T13" s="826">
        <f>IF(T23&gt;0,IF(ContainedMass/T23&lt;Max_Duration,ContainedMass/T23,Max_Duration),0)</f>
        <v>0</v>
      </c>
      <c r="U13" s="83"/>
      <c r="V13" s="826">
        <f>IF(V23&gt;0,IF(ContainedMass/V23&lt;Max_Duration,ContainedMass/V23,Max_Duration),0)</f>
        <v>0</v>
      </c>
      <c r="W13" s="83"/>
      <c r="X13" s="826">
        <f>IF(X23&gt;0,IF(ContainedMass/X23&lt;Max_Duration,ContainedMass/X23,Max_Duration),0)</f>
        <v>0</v>
      </c>
      <c r="Y13" s="83"/>
      <c r="Z13" s="85" t="s">
        <v>1760</v>
      </c>
      <c r="AA13" s="83"/>
      <c r="AB13" s="81"/>
      <c r="AC13" s="848" t="s">
        <v>2924</v>
      </c>
      <c r="AD13" s="81"/>
      <c r="AE13" s="826">
        <f>IF(AND(Inventory&gt;Max_ContainedMass,AE23&gt;0),IF(OR(Inventory=0,(Inventory-Max_ContainedMass)/AE23&lt;Max_Duration),(Inventory-Max_ContainedMass)/AE23,Max_Duration),0)</f>
        <v>0</v>
      </c>
      <c r="AF13" s="81"/>
      <c r="AG13" s="826">
        <f>IF(AND(Inventory&gt;Max_ContainedMass,AG23&gt;0),IF(OR(Inventory=0,(Inventory-Max_ContainedMass)/AG23&lt;Max_Duration),(Inventory-Max_ContainedMass)/AG23,Max_Duration),0)</f>
        <v>0</v>
      </c>
      <c r="AH13" s="81"/>
      <c r="AI13" s="838">
        <f>IF(AI23&gt;0,IF(ContainedMass/AI23&lt;Max_Duration,ContainedMass/AI23,Max_Duration),0)</f>
        <v>0</v>
      </c>
      <c r="AJ13" s="81"/>
      <c r="AK13" s="860">
        <f>IF(AK23&gt;0,IF(ContainedMass/AK23&lt;Max_Duration,ContainedMass/AK23,Max_Duration),0)</f>
        <v>0</v>
      </c>
      <c r="AL13" s="81"/>
      <c r="AM13" s="826">
        <f>IF(AM23&gt;0,IF(ContainedMass/AM23&lt;Max_Duration,ContainedMass/AM23,Max_Duration),0)</f>
        <v>0</v>
      </c>
      <c r="AN13" s="81"/>
      <c r="AO13" s="867">
        <v>0</v>
      </c>
      <c r="AP13" s="81"/>
      <c r="AQ13" s="85" t="s">
        <v>1760</v>
      </c>
      <c r="AR13" s="81"/>
      <c r="AS13" s="83"/>
      <c r="AT13" s="1407" t="s">
        <v>5288</v>
      </c>
      <c r="AU13" s="83"/>
      <c r="AV13" s="880">
        <f>IF(Volume=0,0,IF(OR(Relief_Type="Pilot Operated Valve",Relief_Type="ERV",Relief_Type="PVRV",Relief_Type="Pressure Relief Line"),9*AV7*(T_atRelief+273.15)/((1+IF(Relief_Set=0,MAWP,Relief_Set))*Volume^0.667),9*AV8*(T_atRelief+273.15)/((1+IF(Relief_Set=0,MAWP,Relief_Set))*Volume^0.667)))</f>
        <v>0</v>
      </c>
      <c r="AW13" s="235"/>
      <c r="AX13" s="880">
        <f>IF(Volume=0,0,IF(OR(Relief_Type="Pilot Operated Valve",Relief_Type="ERV",Relief_Type="PVRV",Relief_Type="Pressure Relief Line"),9*AX7*(T_atRelief+273.15)/((1+IF(Relief_Set=0,MAWP,Relief_Set))*Volume^0.667),9*AX8*(T_atRelief+273.15)/((1+IF(Relief_Set=0,MAWP,Relief_Set))*Volume^0.667)))</f>
        <v>0</v>
      </c>
      <c r="AY13" s="235"/>
      <c r="AZ13" s="880">
        <f>IF(Volume=0,0,IF(OR(Relief_Type="Pilot Operated Valve",Relief_Type="ERV",Relief_Type="PVRV",Relief_Type="Pressure Relief Line"),9*AZ7*(T_atRelief+273.15)/((1+IF(Relief_Set=0,MAWP,Relief_Set))*Volume^0.667),9*AZ8*(T_atRelief+273.15)/((1+IF(Relief_Set=0,MAWP,Relief_Set))*Volume^0.667)))</f>
        <v>0</v>
      </c>
      <c r="BA13" s="235"/>
      <c r="BB13" s="880">
        <f>IF(Volume=0,0,IF(OR(Relief_Type="Pilot Operated Valve",Relief_Type="ERV",Relief_Type="PVRV",Relief_Type="Pressure Relief Line"),9*BB7*(T_atRelief+273.15)/((1+IF(Relief_Set=0,MAWP,Relief_Set))*Volume^0.667),9*BB8*(T_atRelief+273.15)/((1+IF(Relief_Set=0,MAWP,Relief_Set))*Volume^0.667)))</f>
        <v>0</v>
      </c>
      <c r="BC13" s="235"/>
      <c r="BD13" s="880">
        <f>IF(Volume=0,0,IF(OR(Relief_Type="Pilot Operated Valve",Relief_Type="ERV",Relief_Type="PVRV",Relief_Type="Pressure Relief Line"),9*BD7*(T_atRelief+273.15)/((1+IF(Relief_Set=0,MAWP,Relief_Set))*Volume^0.667),9*BD8*(T_atRelief+273.15)/((1+IF(Relief_Set=0,MAWP,Relief_Set))*Volume^0.667)))</f>
        <v>0</v>
      </c>
      <c r="BE13" s="235"/>
      <c r="BF13" s="880">
        <f>IF(Volume=0,0,IF(OR(Relief_Type="Pilot Operated Valve",Relief_Type="ERV",Relief_Type="PVRV",Relief_Type="Pressure Relief Line"),9*BF7*(T_atRelief+273.15)/((1+IF(Relief_Set=0,MAWP,Relief_Set))*Volume^0.667),9*BF8*(T_atRelief+273.15)/((1+IF(Relief_Set=0,MAWP,Relief_Set))*Volume^0.667)))</f>
        <v>0</v>
      </c>
      <c r="BG13" s="235"/>
      <c r="BH13" s="880">
        <f>IF(Volume=0,0,IF(OR(Relief_Type="Pilot Operated Valve",Relief_Type="ERV",Relief_Type="PVRV",Relief_Type="Pressure Relief Line"),9*BH7*(T_atRelief+273.15)/((1+IF(Relief_Set=0,MAWP,Relief_Set))*Volume^0.667),9*BH8*(T_atRelief+273.15)/((1+IF(Relief_Set=0,MAWP,Relief_Set))*Volume^0.667)))</f>
        <v>0</v>
      </c>
      <c r="BI13" s="235"/>
      <c r="BJ13" s="880">
        <f>IF(Volume=0,0,IF(OR(Relief_Type="Pilot Operated Valve",Relief_Type="ERV",Relief_Type="PVRV",Relief_Type="Pressure Relief Line"),9*BJ7*(T_atRelief+273.15)/((1+IF(Relief_Set=0,MAWP,Relief_Set))*Volume^0.667),9*BJ8*(T_atRelief+273.15)/((1+IF(Relief_Set=0,MAWP,Relief_Set))*Volume^0.667)))</f>
        <v>0</v>
      </c>
      <c r="BK13" s="235"/>
      <c r="BL13" s="880">
        <f>IF(Volume=0,0,IF(OR(Relief_Type="Pilot Operated Valve",Relief_Type="ERV",Relief_Type="PVRV",Relief_Type="Pressure Relief Line"),9*BL7*(T_atRelief+273.15)/((1+IF(Relief_Set=0,MAWP,Relief_Set))*Volume^0.667),9*BL8*(T_atRelief+273.15)/((1+IF(Relief_Set=0,MAWP,Relief_Set))*Volume^0.667)))</f>
        <v>0</v>
      </c>
      <c r="BM13" s="235"/>
      <c r="BN13" s="1572"/>
      <c r="BO13" s="83"/>
      <c r="BP13" s="23" t="s">
        <v>1714</v>
      </c>
      <c r="BQ13" s="83"/>
      <c r="BR13" s="81"/>
      <c r="BS13" s="84" t="s">
        <v>5289</v>
      </c>
      <c r="BT13" s="81"/>
      <c r="BU13" s="111">
        <f>Feedrate</f>
        <v>0</v>
      </c>
      <c r="BV13" s="81"/>
      <c r="BW13" s="81"/>
      <c r="BX13" s="81"/>
      <c r="BY13" s="81"/>
      <c r="BZ13" s="81"/>
      <c r="CA13" s="81"/>
      <c r="CB13" s="81"/>
      <c r="CC13" s="81"/>
      <c r="CD13" s="81"/>
      <c r="CE13" s="81"/>
      <c r="CF13" s="81"/>
      <c r="CG13" s="2"/>
      <c r="CH13" s="85" t="s">
        <v>2790</v>
      </c>
      <c r="CI13" s="83"/>
      <c r="CJ13" s="233" t="str">
        <f>IF('User Scenario'!S22&lt;&gt;"",'User Scenario'!S22*Small_Leak_Units_Conversion,"")</f>
        <v/>
      </c>
      <c r="CK13" s="83"/>
      <c r="CL13" s="84" t="s">
        <v>1069</v>
      </c>
      <c r="CM13" s="83"/>
    </row>
    <row r="14" spans="1:91" ht="15" customHeight="1" thickBot="1" x14ac:dyDescent="0.35">
      <c r="A14" s="83"/>
      <c r="B14" s="85" t="s">
        <v>1668</v>
      </c>
      <c r="C14" s="83"/>
      <c r="D14" s="826">
        <f>IF(AND(Inventory&gt;ContainedMass,D24&gt;0),IF((Inventory-ContainedMass)/D24&lt;Max_Duration-D13,(Inventory-ContainedMass)/D24,Max_Duration-D13),0)</f>
        <v>0</v>
      </c>
      <c r="E14" s="83"/>
      <c r="F14" s="826">
        <f>IF(AND(Inventory&gt;ContainedMass,F24&gt;0),IF((Inventory-ContainedMass)/F24&lt;Max_Duration-F13,(Inventory-ContainedMass)/F24,Max_Duration-F13),0)</f>
        <v>0</v>
      </c>
      <c r="G14" s="83"/>
      <c r="H14" s="826">
        <f>IF(AND(Inventory&gt;ContainedMass,H24&gt;0),IF((Inventory-ContainedMass)/H24&lt;Max_Duration-H13,(Inventory-ContainedMass)/H24,Max_Duration-H13),0)</f>
        <v>0</v>
      </c>
      <c r="I14" s="83"/>
      <c r="J14" s="826">
        <f>IF(AND(Inventory&gt;ContainedMass,J24&gt;0),IF((Inventory-ContainedMass)/J24&lt;Max_Duration-J13,(Inventory-ContainedMass)/J24,Max_Duration-J13),0)</f>
        <v>0</v>
      </c>
      <c r="K14" s="83"/>
      <c r="L14" s="826">
        <f>IF(AND(Inventory&gt;ContainedMass,L24&gt;0),IF((Inventory-ContainedMass)/L24&lt;Max_Duration-L13,(Inventory-ContainedMass)/L24,Max_Duration-L13),0)</f>
        <v>0</v>
      </c>
      <c r="M14" s="83"/>
      <c r="N14" s="826">
        <f>IF(AND(Inventory&gt;ContainedMass,N24&gt;0),IF((Inventory-ContainedMass)/N24&lt;Max_Duration-N13,(Inventory-ContainedMass)/N24,Max_Duration-N13),0)</f>
        <v>0</v>
      </c>
      <c r="O14" s="83"/>
      <c r="P14" s="826">
        <f>IF(AND(Inventory&gt;ContainedMass,P24&gt;0),IF((Inventory-ContainedMass)/P24&lt;Max_Duration-P13,(Inventory-ContainedMass)/P24,Max_Duration-P13),0)</f>
        <v>0</v>
      </c>
      <c r="Q14" s="83"/>
      <c r="R14" s="838">
        <f>IF(AND(Inventory&gt;ContainedMass,R24&gt;0),IF((Inventory-ContainedMass)/R24&lt;Max_Duration-R13,(Inventory-ContainedMass)/R24,Max_Duration-R13),0)</f>
        <v>0</v>
      </c>
      <c r="S14" s="83"/>
      <c r="T14" s="826">
        <f>IF(AND(Inventory&gt;ContainedMass,T24&gt;0),IF((Inventory-ContainedMass)/T24&lt;Max_Duration-T13,(Inventory-ContainedMass)/T24,Max_Duration-T13),0)</f>
        <v>0</v>
      </c>
      <c r="U14" s="83"/>
      <c r="V14" s="826">
        <f>IF(AND(Inventory&gt;ContainedMass,V24&gt;0),IF((Inventory-ContainedMass)/V24&lt;Max_Duration-V13,(Inventory-ContainedMass)/V24,Max_Duration-V13),0)</f>
        <v>0</v>
      </c>
      <c r="W14" s="83"/>
      <c r="X14" s="826">
        <f>IF(AND(Inventory&gt;ContainedMass,X24&gt;0),IF((Inventory-ContainedMass)/X24&lt;Max_Duration-X13,(Inventory-ContainedMass)/X24,Max_Duration-X13),0)</f>
        <v>0</v>
      </c>
      <c r="Y14" s="83"/>
      <c r="Z14" s="85" t="s">
        <v>1760</v>
      </c>
      <c r="AA14" s="83"/>
      <c r="AB14" s="81"/>
      <c r="AC14" s="848" t="s">
        <v>1668</v>
      </c>
      <c r="AD14" s="81"/>
      <c r="AE14" s="826">
        <v>0</v>
      </c>
      <c r="AF14" s="81"/>
      <c r="AG14" s="826">
        <v>0</v>
      </c>
      <c r="AH14" s="81"/>
      <c r="AI14" s="838">
        <f>IF(AND(Inventory&gt;ContainedMass,AI24&gt;0),IF((Inventory-ContainedMass)/AI24&lt;Max_Duration-AI13,(Inventory-ContainedMass)/AI24,Max_Duration-AI13),0)</f>
        <v>0</v>
      </c>
      <c r="AJ14" s="81"/>
      <c r="AK14" s="860">
        <f>IF(AND(Inventory&gt;ContainedMass,AK24&gt;0),IF((Inventory-ContainedMass)/AK24&lt;Max_Duration-AK13,(Inventory-ContainedMass)/AK24,Max_Duration-AK13),0)</f>
        <v>0</v>
      </c>
      <c r="AL14" s="81"/>
      <c r="AM14" s="826">
        <f>IF(AND(Inventory&gt;ContainedMass,AM24&gt;0),IF((Inventory-ContainedMass)/AM24&lt;Max_Duration-AM13,(Inventory-ContainedMass)/AM24,Max_Duration-AM13),0)</f>
        <v>0</v>
      </c>
      <c r="AN14" s="81"/>
      <c r="AO14" s="867">
        <f>Max_Duration</f>
        <v>3600</v>
      </c>
      <c r="AP14" s="81"/>
      <c r="AQ14" s="85" t="s">
        <v>1760</v>
      </c>
      <c r="AR14" s="81"/>
      <c r="AS14" s="83"/>
      <c r="AT14" s="1407" t="s">
        <v>2260</v>
      </c>
      <c r="AU14" s="83"/>
      <c r="AV14" s="1408">
        <f>IF(AV13&gt;Two_Phase_Limit,IF(0.5+0.14*LN(AV13)&lt;0.7,0.5+0.14*LN(AV13),0.7),0)</f>
        <v>0</v>
      </c>
      <c r="AW14" s="235"/>
      <c r="AX14" s="1408">
        <f>IF(AX13&gt;Two_Phase_Limit,IF(0.5+0.14*LN(AX13)&lt;0.7,0.5+0.14*LN(AX13),0.7),0)</f>
        <v>0</v>
      </c>
      <c r="AY14" s="235"/>
      <c r="AZ14" s="1408">
        <f>IF(AZ13&gt;Two_Phase_Limit,IF(0.5+0.14*LN(AZ13)&lt;0.7,0.5+0.14*LN(AZ13),0.7),0)</f>
        <v>0</v>
      </c>
      <c r="BA14" s="235"/>
      <c r="BB14" s="1408">
        <f>IF(BB13&gt;Two_Phase_Limit,IF(0.5+0.14*LN(BB13)&lt;0.7,0.5+0.14*LN(BB13),0.7),0)</f>
        <v>0</v>
      </c>
      <c r="BC14" s="235"/>
      <c r="BD14" s="1408">
        <f>IF(BD13&gt;Two_Phase_Limit,IF(0.5+0.14*LN(BD13)&lt;0.7,0.5+0.14*LN(BD13),0.7),0)</f>
        <v>0</v>
      </c>
      <c r="BE14" s="235"/>
      <c r="BF14" s="1408">
        <f>IF(BF13&gt;Two_Phase_Limit,IF(0.5+0.14*LN(BF13)&lt;0.7,0.5+0.14*LN(BF13),0.7),0)</f>
        <v>0</v>
      </c>
      <c r="BG14" s="235"/>
      <c r="BH14" s="1408">
        <f>IF(BH13&gt;Two_Phase_Limit,IF(0.5+0.14*LN(BH13)&lt;0.7,0.5+0.14*LN(BH13),0.7),0)</f>
        <v>0</v>
      </c>
      <c r="BI14" s="235"/>
      <c r="BJ14" s="1408">
        <f>IF(BJ13&gt;Two_Phase_Limit,IF(0.5+0.14*LN(BJ13)&lt;0.7,0.5+0.14*LN(BJ13),0.7),0)</f>
        <v>0</v>
      </c>
      <c r="BK14" s="235"/>
      <c r="BL14" s="1408">
        <f>IF(BL13&gt;Two_Phase_Limit,IF(0.5+0.14*LN(BL13)&lt;0.7,0.5+0.14*LN(BL13),0.7),0)</f>
        <v>0</v>
      </c>
      <c r="BM14" s="235"/>
      <c r="BN14" s="1573"/>
      <c r="BO14" s="83"/>
      <c r="BP14" s="23"/>
      <c r="BQ14" s="83"/>
      <c r="BR14" s="81"/>
      <c r="BS14" s="85" t="s">
        <v>2739</v>
      </c>
      <c r="BT14" s="81"/>
      <c r="BU14" s="21">
        <f>IF(Feedrate=0,0,IF(Inventory=0,Max_Duration,IF(Inventory&lt;=ContainedMass,0,IF((Inventory-ContainedMass)/Feedrate&gt;Max_Duration,Max_Duration,(Inventory-ContainedMass)/Feedrate))))</f>
        <v>0</v>
      </c>
      <c r="BV14" s="81"/>
      <c r="BW14" s="21">
        <v>0</v>
      </c>
      <c r="BX14" s="81"/>
      <c r="BY14" s="21">
        <v>0</v>
      </c>
      <c r="BZ14" s="236"/>
      <c r="CA14" s="21">
        <v>0</v>
      </c>
      <c r="CB14" s="236"/>
      <c r="CC14" s="21">
        <v>0</v>
      </c>
      <c r="CD14" s="81"/>
      <c r="CE14" s="81"/>
      <c r="CF14" s="81"/>
      <c r="CG14" s="2"/>
      <c r="CH14" s="23" t="s">
        <v>3573</v>
      </c>
      <c r="CI14" s="83"/>
      <c r="CJ14" s="321">
        <f>IF('User Scenario'!S13&lt;&gt;"",('User Scenario'!S13*Public_Units_Conversion/3.14)^0.5,0)</f>
        <v>0</v>
      </c>
      <c r="CK14" s="83"/>
      <c r="CL14" s="23" t="s">
        <v>1068</v>
      </c>
      <c r="CM14" s="83"/>
    </row>
    <row r="15" spans="1:91" ht="15" customHeight="1" thickBot="1" x14ac:dyDescent="0.35">
      <c r="A15" s="83"/>
      <c r="B15" s="85" t="s">
        <v>5290</v>
      </c>
      <c r="C15" s="83"/>
      <c r="D15" s="826">
        <f>Max_Duration-D14-D13</f>
        <v>3600</v>
      </c>
      <c r="E15" s="83"/>
      <c r="F15" s="826">
        <f>Max_Duration-F14-F13</f>
        <v>3600</v>
      </c>
      <c r="G15" s="83"/>
      <c r="H15" s="826">
        <f>Max_Duration-H14-H13</f>
        <v>3600</v>
      </c>
      <c r="I15" s="83"/>
      <c r="J15" s="826">
        <f>Max_Duration-J14-J13</f>
        <v>3600</v>
      </c>
      <c r="K15" s="83"/>
      <c r="L15" s="826">
        <f>Max_Duration-L14-L13</f>
        <v>3600</v>
      </c>
      <c r="M15" s="83"/>
      <c r="N15" s="826">
        <f>Max_Duration-N14-N13</f>
        <v>3600</v>
      </c>
      <c r="O15" s="83"/>
      <c r="P15" s="826">
        <f>Max_Duration-P14-P13</f>
        <v>3600</v>
      </c>
      <c r="Q15" s="83"/>
      <c r="R15" s="838">
        <f>Max_Duration-R14-R13</f>
        <v>3600</v>
      </c>
      <c r="S15" s="83"/>
      <c r="T15" s="826">
        <f>Max_Duration-T14-T13</f>
        <v>3600</v>
      </c>
      <c r="U15" s="83"/>
      <c r="V15" s="826">
        <f>Max_Duration-V14-V13</f>
        <v>3600</v>
      </c>
      <c r="W15" s="83"/>
      <c r="X15" s="826">
        <f>Max_Duration-X14-X13</f>
        <v>3600</v>
      </c>
      <c r="Y15" s="83"/>
      <c r="Z15" s="85" t="s">
        <v>1760</v>
      </c>
      <c r="AA15" s="83"/>
      <c r="AB15" s="81"/>
      <c r="AC15" s="848" t="s">
        <v>4685</v>
      </c>
      <c r="AD15" s="81"/>
      <c r="AE15" s="826">
        <f>Max_Duration-AE14-AE13</f>
        <v>3600</v>
      </c>
      <c r="AF15" s="81"/>
      <c r="AG15" s="826">
        <f>Max_Duration-AG14-AG13</f>
        <v>3600</v>
      </c>
      <c r="AH15" s="81"/>
      <c r="AI15" s="838">
        <f>Max_Duration-AI14-AI13</f>
        <v>3600</v>
      </c>
      <c r="AJ15" s="81"/>
      <c r="AK15" s="860">
        <f>Max_Duration-AK14-AK13</f>
        <v>3600</v>
      </c>
      <c r="AL15" s="81"/>
      <c r="AM15" s="826">
        <f>Max_Duration-AM14-AM13</f>
        <v>3600</v>
      </c>
      <c r="AN15" s="81"/>
      <c r="AO15" s="867">
        <v>0</v>
      </c>
      <c r="AP15" s="81"/>
      <c r="AQ15" s="85" t="s">
        <v>1760</v>
      </c>
      <c r="AR15" s="81"/>
      <c r="AS15" s="83"/>
      <c r="AT15" s="1407" t="s">
        <v>2273</v>
      </c>
      <c r="AU15" s="83"/>
      <c r="AV15" s="880">
        <v>0</v>
      </c>
      <c r="AW15" s="235"/>
      <c r="AX15" s="880">
        <f>IF(AX14&lt;(1-Fill_Max),0,IF(OR(Relief_Type="Pilot Operated Valve",Relief_Type="ERV",Relief_Type="PVRV",Relief_Type="Pressure Relief Line"),AX7*(LV_Ratio^0.5-(1/LV_Ratio)^0.5)/(1+(1/LV_Ratio)^0.5)*Mw_Mix/Mw_Feed,AX8*(LV_Ratio^0.5-(1/LV_Ratio)^0.5)/(1+(1/LV_Ratio)^0.5)*Mw_Mix/Mw_Feed))</f>
        <v>0</v>
      </c>
      <c r="AY15" s="235"/>
      <c r="AZ15" s="880">
        <f>IF(AZ14&lt;(1-Fill_Max),0,IF(OR(Relief_Type="Pilot Operated Valve",Relief_Type="ERV",Relief_Type="PVRV",Relief_Type="Pressure Relief Line"),AZ7*(LV_Ratio^0.5-(1/LV_Ratio)^0.5)/(1+(1/LV_Ratio)^0.5)*Mw_Mix/Mw_Feed,AZ8*(LV_Ratio^0.5-(1/LV_Ratio)^0.5)/(1+(1/LV_Ratio)^0.5)*Mw_Mix/Mw_Feed))</f>
        <v>0</v>
      </c>
      <c r="BA15" s="235"/>
      <c r="BB15" s="880">
        <f>IF(BB14&lt;(1-Fill_Max),0,IF(OR(Relief_Type="Pilot Operated Valve",Relief_Type="ERV",Relief_Type="PVRV",Relief_Type="Pressure Relief Line"),BB7*(LV_Ratio^0.5-(1/LV_Ratio)^0.5)/(1+(1/LV_Ratio)^0.5)*Mw_Mix/Mw_Feed,BB8*(LV_Ratio^0.5-(1/LV_Ratio)^0.5)/(1+(1/LV_Ratio)^0.5)*Mw_Mix/Mw_Feed))</f>
        <v>0</v>
      </c>
      <c r="BC15" s="235"/>
      <c r="BD15" s="880">
        <f>IF(BD14&lt;(1-Fill_Max),0,IF(OR(Relief_Type="Pilot Operated Valve",Relief_Type="ERV",Relief_Type="PVRV",Relief_Type="Pressure Relief Line"),BD7*(LV_Ratio^0.5-(1/LV_Ratio)^0.5)/(1+(1/LV_Ratio)^0.5)*Mw_Mix/Mw_Feed,BD8*(LV_Ratio^0.5-(1/LV_Ratio)^0.5)/(1+(1/LV_Ratio)^0.5)*Mw_Mix/Mw_Feed))</f>
        <v>0</v>
      </c>
      <c r="BE15" s="235"/>
      <c r="BF15" s="880">
        <f>IF(BF14&lt;(1-Fill_Max),0,IF(OR(Relief_Type="Pilot Operated Valve",Relief_Type="ERV",Relief_Type="PVRV",Relief_Type="Pressure Relief Line"),BF7*(LV_Ratio^0.5-(1/LV_Ratio)^0.5)/(1+(1/LV_Ratio)^0.5)*Mw_Mix/Mw_Feed,BF8*(LV_Ratio^0.5-(1/LV_Ratio)^0.5)/(1+(1/LV_Ratio)^0.5)*Mw_Mix/Mw_Feed))</f>
        <v>0</v>
      </c>
      <c r="BG15" s="235"/>
      <c r="BH15" s="880">
        <f>IF(BH14&lt;(1-Fill_Max),0,IF(OR(Relief_Type="Pilot Operated Valve",Relief_Type="ERV",Relief_Type="PVRV",Relief_Type="Pressure Relief Line"),BH7*(LV_Ratio^0.5-(1/LV_Ratio)^0.5)/(1+(1/LV_Ratio)^0.5)*Mw_Mix/Mw_Feed,BH8*(LV_Ratio^0.5-(1/LV_Ratio)^0.5)/(1+(1/LV_Ratio)^0.5)*Mw_Mix/Mw_Feed))</f>
        <v>0</v>
      </c>
      <c r="BI15" s="235"/>
      <c r="BJ15" s="880">
        <f>IF(BJ14&lt;(1-Fill_Max),0,IF(OR(Relief_Type="Pilot Operated Valve",Relief_Type="ERV",Relief_Type="PVRV",Relief_Type="Pressure Relief Line"),BJ7*(LV_Ratio^0.5-(1/LV_Ratio)^0.5)/(1+(1/LV_Ratio)^0.5)*Mw_Mix/Mw_Feed,BJ8*(LV_Ratio^0.5-(1/LV_Ratio)^0.5)/(1+(1/LV_Ratio)^0.5)*Mw_Mix/Mw_Feed))</f>
        <v>0</v>
      </c>
      <c r="BK15" s="235"/>
      <c r="BL15" s="880">
        <f>IF(BL14&lt;(1-Fill_Max),0,IF(OR(Relief_Type="Pilot Operated Valve",Relief_Type="ERV",Relief_Type="PVRV",Relief_Type="Pressure Relief Line"),BL7*(LV_Ratio^0.5-(1/LV_Ratio)^0.5)/(1+(1/LV_Ratio)^0.5)*Mw_Mix/Mw_Feed,BL8*(LV_Ratio^0.5-(1/LV_Ratio)^0.5)/(1+(1/LV_Ratio)^0.5)*Mw_Mix/Mw_Feed))</f>
        <v>0</v>
      </c>
      <c r="BM15" s="235"/>
      <c r="BN15" s="1572"/>
      <c r="BO15" s="83"/>
      <c r="BP15" s="23" t="s">
        <v>2903</v>
      </c>
      <c r="BQ15" s="83"/>
      <c r="BR15" s="81"/>
      <c r="BS15" s="85" t="s">
        <v>3134</v>
      </c>
      <c r="BT15" s="81"/>
      <c r="BU15" s="1290">
        <f>T</f>
        <v>0</v>
      </c>
      <c r="BV15" s="81"/>
      <c r="BW15" s="1290">
        <f>T</f>
        <v>0</v>
      </c>
      <c r="BX15" s="81"/>
      <c r="BY15" s="1290">
        <f>T_atBurst</f>
        <v>0</v>
      </c>
      <c r="BZ15" s="236"/>
      <c r="CA15" s="1290">
        <f>Tpeak_atBurst</f>
        <v>0</v>
      </c>
      <c r="CB15" s="236"/>
      <c r="CC15" s="1290">
        <f>T_atFire_Burst</f>
        <v>0</v>
      </c>
      <c r="CD15" s="81"/>
      <c r="CE15" s="92" t="s">
        <v>1836</v>
      </c>
      <c r="CF15" s="81"/>
      <c r="CG15" s="2"/>
      <c r="CH15" s="25" t="s">
        <v>3650</v>
      </c>
      <c r="CI15" s="83"/>
      <c r="CJ15" s="2649" t="str">
        <f>IF('User Scenario'!S46&lt;&gt;"",'User Scenario'!S46*Small_Leak_Units_Conversion,"")</f>
        <v/>
      </c>
      <c r="CK15" s="83"/>
      <c r="CL15" s="23" t="s">
        <v>1069</v>
      </c>
      <c r="CM15" s="83"/>
    </row>
    <row r="16" spans="1:91" ht="15" customHeight="1" thickBot="1" x14ac:dyDescent="0.35">
      <c r="A16" s="83"/>
      <c r="B16" s="85" t="s">
        <v>1037</v>
      </c>
      <c r="C16" s="83"/>
      <c r="D16" s="831">
        <f>D23*D13+D24*D14</f>
        <v>0</v>
      </c>
      <c r="E16" s="83"/>
      <c r="F16" s="831">
        <f>F23*F13+F24*F14</f>
        <v>0</v>
      </c>
      <c r="G16" s="83"/>
      <c r="H16" s="831">
        <f>H23*H13+H24*H14</f>
        <v>0</v>
      </c>
      <c r="I16" s="83"/>
      <c r="J16" s="831">
        <f>J23*J13+J24*J14</f>
        <v>0</v>
      </c>
      <c r="K16" s="83"/>
      <c r="L16" s="831">
        <f>L23*L13+L24*L14</f>
        <v>0</v>
      </c>
      <c r="M16" s="83"/>
      <c r="N16" s="831">
        <f>N23*N13+N24*N14</f>
        <v>0</v>
      </c>
      <c r="O16" s="83"/>
      <c r="P16" s="831">
        <f>P23*P13+P24*P14</f>
        <v>0</v>
      </c>
      <c r="Q16" s="83"/>
      <c r="R16" s="2082">
        <f>R23*R13+R24*R14</f>
        <v>0</v>
      </c>
      <c r="S16" s="83"/>
      <c r="T16" s="831">
        <f>T23*T13+T24*T14</f>
        <v>0</v>
      </c>
      <c r="U16" s="83"/>
      <c r="V16" s="831">
        <f>V23*V13+V24*V14</f>
        <v>0</v>
      </c>
      <c r="W16" s="83"/>
      <c r="X16" s="831">
        <f>X23*X13+X24*X14</f>
        <v>0</v>
      </c>
      <c r="Y16" s="83"/>
      <c r="Z16" s="85" t="s">
        <v>1497</v>
      </c>
      <c r="AA16" s="83"/>
      <c r="AB16" s="81"/>
      <c r="AC16" s="848" t="s">
        <v>1037</v>
      </c>
      <c r="AD16" s="81"/>
      <c r="AE16" s="844">
        <f>AE23*AE13+AE24*AE14</f>
        <v>0</v>
      </c>
      <c r="AF16" s="81"/>
      <c r="AG16" s="844">
        <f>AG23*AG13+AG24*AG14</f>
        <v>0</v>
      </c>
      <c r="AH16" s="81"/>
      <c r="AI16" s="839">
        <f>AI23*AI13+AI24*AI14</f>
        <v>0</v>
      </c>
      <c r="AJ16" s="81"/>
      <c r="AK16" s="863">
        <f>AK23*AK13+AK24*AK14</f>
        <v>0</v>
      </c>
      <c r="AL16" s="81"/>
      <c r="AM16" s="844">
        <f>IF(AND(OR(Heating_Relief_Input="Yes",Max_Feed_P&gt;Relief_Set),OR(Equipment="Heat Exchanger",Tube_D_Input&lt;&gt;"")),AM23*AM13+AM24*AM14,0)</f>
        <v>0</v>
      </c>
      <c r="AN16" s="81"/>
      <c r="AO16" s="844">
        <f>IF(AND(OR(Heating_Relief_Input="Yes",Heating_P&gt;Relief_Set),OR(Equipment="Heat Exchanger",Tube_D_Input&lt;&gt;"")),AO23*AO13+AO24*AO14,0)</f>
        <v>0</v>
      </c>
      <c r="AP16" s="81"/>
      <c r="AQ16" s="85" t="s">
        <v>1497</v>
      </c>
      <c r="AR16" s="81"/>
      <c r="AS16" s="83"/>
      <c r="AT16" s="1407" t="s">
        <v>2270</v>
      </c>
      <c r="AU16" s="83"/>
      <c r="AV16" s="881">
        <f>Fv_Relief_Depressurize</f>
        <v>0</v>
      </c>
      <c r="AW16" s="235"/>
      <c r="AX16" s="881">
        <f>Fv_Relief_Depressurize</f>
        <v>0</v>
      </c>
      <c r="AY16" s="235"/>
      <c r="AZ16" s="881">
        <f>Fv_Relief_Depressurize</f>
        <v>0</v>
      </c>
      <c r="BA16" s="235"/>
      <c r="BB16" s="881">
        <f>Fv_Relief_Depressurize</f>
        <v>0</v>
      </c>
      <c r="BC16" s="235"/>
      <c r="BD16" s="881">
        <f>Fv_Relief_Depressurize</f>
        <v>0</v>
      </c>
      <c r="BE16" s="235"/>
      <c r="BF16" s="881">
        <f>Fv_Relief_Depressurize</f>
        <v>0</v>
      </c>
      <c r="BG16" s="235"/>
      <c r="BH16" s="881">
        <f>Fv_Relief_Depressurize</f>
        <v>0</v>
      </c>
      <c r="BI16" s="235"/>
      <c r="BJ16" s="881">
        <f>Fv_Relief_Depressurize</f>
        <v>0</v>
      </c>
      <c r="BK16" s="235"/>
      <c r="BL16" s="881">
        <f>Fv_Relief_Depressurize</f>
        <v>0</v>
      </c>
      <c r="BM16" s="235"/>
      <c r="BN16" s="1574"/>
      <c r="BO16" s="83"/>
      <c r="BP16" s="23"/>
      <c r="BQ16" s="83"/>
      <c r="BR16" s="81"/>
      <c r="BS16" s="85" t="s">
        <v>1037</v>
      </c>
      <c r="BT16" s="81"/>
      <c r="BU16" s="484">
        <f>Effective_ContainedMass+$BU14*Feedrate</f>
        <v>0</v>
      </c>
      <c r="BV16" s="81"/>
      <c r="BW16" s="484">
        <f>Effective_ContainedMass</f>
        <v>0</v>
      </c>
      <c r="BX16" s="81"/>
      <c r="BY16" s="484">
        <f>Effective_ContainedMass</f>
        <v>0</v>
      </c>
      <c r="BZ16" s="81"/>
      <c r="CA16" s="484">
        <f>Effective_ContainedMass</f>
        <v>0</v>
      </c>
      <c r="CB16" s="81"/>
      <c r="CC16" s="484">
        <f>Effective_ContainedMass</f>
        <v>0</v>
      </c>
      <c r="CD16" s="81"/>
      <c r="CE16" s="85" t="s">
        <v>1497</v>
      </c>
      <c r="CF16" s="81"/>
      <c r="CG16" s="2"/>
      <c r="CH16" s="92" t="s">
        <v>2789</v>
      </c>
      <c r="CI16" s="83"/>
      <c r="CJ16" s="233" t="str">
        <f>IF('User Scenario'!S21&lt;&gt;"",'User Scenario'!S21*Small_Leak_AQ_Units_Conversion,"")</f>
        <v/>
      </c>
      <c r="CK16" s="83"/>
      <c r="CL16" s="23" t="s">
        <v>1497</v>
      </c>
      <c r="CM16" s="83"/>
    </row>
    <row r="17" spans="1:91" ht="15" customHeight="1" thickBot="1" x14ac:dyDescent="0.35">
      <c r="A17" s="83"/>
      <c r="B17" s="1187" t="str">
        <f>IF(ChemName_1=0,"",ChemName_1)&amp;IF(Pseudo_Chem="Yes"," Pseudo Mix","")</f>
        <v/>
      </c>
      <c r="C17" s="83"/>
      <c r="D17" s="832">
        <f>D$16*WFeed_1</f>
        <v>0</v>
      </c>
      <c r="E17" s="83"/>
      <c r="F17" s="832">
        <f>F$16*WFeed_1</f>
        <v>0</v>
      </c>
      <c r="G17" s="83"/>
      <c r="H17" s="832">
        <f>H$16*WFeed_1</f>
        <v>0</v>
      </c>
      <c r="I17" s="83"/>
      <c r="J17" s="832">
        <f>J$16*WFeed_1</f>
        <v>0</v>
      </c>
      <c r="K17" s="83"/>
      <c r="L17" s="832">
        <f>L$16*WFeed_1</f>
        <v>0</v>
      </c>
      <c r="M17" s="83"/>
      <c r="N17" s="832">
        <f>N$16*WFeed_1</f>
        <v>0</v>
      </c>
      <c r="O17" s="83"/>
      <c r="P17" s="832">
        <f>P$16*WFeed_1</f>
        <v>0</v>
      </c>
      <c r="Q17" s="83"/>
      <c r="R17" s="2083">
        <f>R$16*WFeed_1</f>
        <v>0</v>
      </c>
      <c r="S17" s="83"/>
      <c r="T17" s="832">
        <f>T$16*WFeed_1</f>
        <v>0</v>
      </c>
      <c r="U17" s="83"/>
      <c r="V17" s="832">
        <f>V$16*WFeed_1</f>
        <v>0</v>
      </c>
      <c r="W17" s="83"/>
      <c r="X17" s="832">
        <f>X$16*WFeed_1</f>
        <v>0</v>
      </c>
      <c r="Y17" s="83"/>
      <c r="Z17" s="1828" t="s">
        <v>1497</v>
      </c>
      <c r="AA17" s="83"/>
      <c r="AB17" s="81"/>
      <c r="AC17" s="614" t="str">
        <f>B17</f>
        <v/>
      </c>
      <c r="AD17" s="81"/>
      <c r="AE17" s="832">
        <f>AE$16*WFeed_1</f>
        <v>0</v>
      </c>
      <c r="AF17" s="81"/>
      <c r="AG17" s="832">
        <f>AG$16*WFeed_1</f>
        <v>0</v>
      </c>
      <c r="AH17" s="81"/>
      <c r="AI17" s="832">
        <f>AI$16*WFeed_1</f>
        <v>0</v>
      </c>
      <c r="AJ17" s="81"/>
      <c r="AK17" s="832">
        <f>AK$16*WFeed_1</f>
        <v>0</v>
      </c>
      <c r="AL17" s="81"/>
      <c r="AM17" s="832">
        <f>AM$16*WFeed_1</f>
        <v>0</v>
      </c>
      <c r="AN17" s="81"/>
      <c r="AO17" s="2121">
        <f>AO$16*HT_Fract_1</f>
        <v>0</v>
      </c>
      <c r="AP17" s="81"/>
      <c r="AQ17" s="1828" t="s">
        <v>1497</v>
      </c>
      <c r="AR17" s="81"/>
      <c r="AS17" s="83"/>
      <c r="AT17" s="1407" t="s">
        <v>2271</v>
      </c>
      <c r="AU17" s="83"/>
      <c r="AV17" s="881">
        <f>IF(AV15=0,0,Fv_Relief+Fd_Relief*(1-Fv_Relief))</f>
        <v>0</v>
      </c>
      <c r="AW17" s="235"/>
      <c r="AX17" s="881">
        <f>IF(AX15=0,0,Fv_Relief+Fd_Relief*(1-Fv_Relief))</f>
        <v>0</v>
      </c>
      <c r="AY17" s="235"/>
      <c r="AZ17" s="881">
        <f>IF(AZ15=0,0,Fv_Relief+Fd_Relief*(1-Fv_Relief))</f>
        <v>0</v>
      </c>
      <c r="BA17" s="235"/>
      <c r="BB17" s="881">
        <f>IF(BB15=0,0,Fv_Relief+Fd_Relief*(1-Fv_Relief))</f>
        <v>0</v>
      </c>
      <c r="BC17" s="235"/>
      <c r="BD17" s="881">
        <f>IF(BD15=0,0,Fv_Relief+Fd_Relief*(1-Fv_Relief))</f>
        <v>0</v>
      </c>
      <c r="BE17" s="235"/>
      <c r="BF17" s="881">
        <f>IF(BF15=0,0,Fv_Relief+Fd_Relief*(1-Fv_Relief))</f>
        <v>0</v>
      </c>
      <c r="BG17" s="235"/>
      <c r="BH17" s="881">
        <f>IF(BH15=0,0,Fv_Relief+Fd_Relief*(1-Fv_Relief))</f>
        <v>0</v>
      </c>
      <c r="BI17" s="235"/>
      <c r="BJ17" s="881">
        <f>IF(BJ15=0,0,Fv_Relief+Fd_Relief*(1-Fv_Relief))</f>
        <v>0</v>
      </c>
      <c r="BK17" s="235"/>
      <c r="BL17" s="881">
        <f>IF(BL15=0,0,Fv_Relief+Fd_Relief*(1-Fv_Relief))</f>
        <v>0</v>
      </c>
      <c r="BM17" s="235"/>
      <c r="BN17" s="1574"/>
      <c r="BO17" s="83"/>
      <c r="BP17" s="23"/>
      <c r="BQ17" s="83"/>
      <c r="BR17" s="81"/>
      <c r="BS17" s="845" t="str">
        <f>B17</f>
        <v/>
      </c>
      <c r="BT17" s="81"/>
      <c r="BU17" s="832">
        <f>BU$16*WFeed_1</f>
        <v>0</v>
      </c>
      <c r="BV17" s="81"/>
      <c r="BW17" s="832">
        <f>BW$16*WFeed_1</f>
        <v>0</v>
      </c>
      <c r="BX17" s="81"/>
      <c r="BY17" s="832">
        <f>BY$16*WFeed_1</f>
        <v>0</v>
      </c>
      <c r="BZ17" s="81"/>
      <c r="CA17" s="832">
        <f>CA$16*WFeed_1</f>
        <v>0</v>
      </c>
      <c r="CB17" s="81"/>
      <c r="CC17" s="832">
        <f>CC$16*WFeed_1</f>
        <v>0</v>
      </c>
      <c r="CD17" s="81"/>
      <c r="CE17" s="85" t="s">
        <v>1497</v>
      </c>
      <c r="CF17" s="81"/>
      <c r="CG17" s="2"/>
      <c r="CH17" s="25" t="s">
        <v>3664</v>
      </c>
      <c r="CI17" s="83"/>
      <c r="CJ17" s="2650" t="str">
        <f>IF(AND(CJ15="",CJ16&gt;0),"Instantaneous","Continuous")</f>
        <v>Instantaneous</v>
      </c>
      <c r="CK17" s="83"/>
      <c r="CL17" s="89"/>
      <c r="CM17" s="83"/>
    </row>
    <row r="18" spans="1:91" ht="15" customHeight="1" thickBot="1" x14ac:dyDescent="0.35">
      <c r="A18" s="83"/>
      <c r="B18" s="512" t="str">
        <f>IF(Pseudo_Chem="Yes","",IF(ChemName_2=0,"",ChemName_2))</f>
        <v/>
      </c>
      <c r="C18" s="83"/>
      <c r="D18" s="832">
        <f>D$16*WFeed_2</f>
        <v>0</v>
      </c>
      <c r="E18" s="83"/>
      <c r="F18" s="832">
        <f>F$16*WFeed_2</f>
        <v>0</v>
      </c>
      <c r="G18" s="83"/>
      <c r="H18" s="832">
        <f>H$16*WFeed_2</f>
        <v>0</v>
      </c>
      <c r="I18" s="83"/>
      <c r="J18" s="832">
        <f>J$16*WFeed_2</f>
        <v>0</v>
      </c>
      <c r="K18" s="83"/>
      <c r="L18" s="832">
        <f>L$16*WFeed_2</f>
        <v>0</v>
      </c>
      <c r="M18" s="83"/>
      <c r="N18" s="832">
        <f>N$16*WFeed_2</f>
        <v>0</v>
      </c>
      <c r="O18" s="83"/>
      <c r="P18" s="832">
        <f>P$16*WFeed_2</f>
        <v>0</v>
      </c>
      <c r="Q18" s="83"/>
      <c r="R18" s="2083">
        <f>R$16*WFeed_2</f>
        <v>0</v>
      </c>
      <c r="S18" s="83"/>
      <c r="T18" s="832">
        <f>T$16*WFeed_2</f>
        <v>0</v>
      </c>
      <c r="U18" s="83"/>
      <c r="V18" s="832">
        <f>V$16*WFeed_2</f>
        <v>0</v>
      </c>
      <c r="W18" s="83"/>
      <c r="X18" s="832">
        <f>X$16*WFeed_2</f>
        <v>0</v>
      </c>
      <c r="Y18" s="83"/>
      <c r="Z18" s="85" t="s">
        <v>1497</v>
      </c>
      <c r="AA18" s="83"/>
      <c r="AB18" s="81"/>
      <c r="AC18" s="512" t="str">
        <f t="shared" ref="AC18:AC21" si="0">B18</f>
        <v/>
      </c>
      <c r="AD18" s="81"/>
      <c r="AE18" s="832">
        <f>AE$16*WFeed_2</f>
        <v>0</v>
      </c>
      <c r="AF18" s="81"/>
      <c r="AG18" s="832">
        <f>AG$16*WFeed_2</f>
        <v>0</v>
      </c>
      <c r="AH18" s="81"/>
      <c r="AI18" s="832">
        <f>AI$16*WFeed_2</f>
        <v>0</v>
      </c>
      <c r="AJ18" s="81"/>
      <c r="AK18" s="832">
        <f>AK$16*WFeed_2</f>
        <v>0</v>
      </c>
      <c r="AL18" s="81"/>
      <c r="AM18" s="832">
        <f>AM$16*WFeed_2</f>
        <v>0</v>
      </c>
      <c r="AN18" s="81"/>
      <c r="AO18" s="2121">
        <f>AO$16*HT_Fract_2</f>
        <v>0</v>
      </c>
      <c r="AP18" s="81"/>
      <c r="AQ18" s="85" t="s">
        <v>1497</v>
      </c>
      <c r="AR18" s="81"/>
      <c r="AS18" s="83"/>
      <c r="AT18" s="1407" t="s">
        <v>3043</v>
      </c>
      <c r="AU18" s="83"/>
      <c r="AV18" s="1230">
        <f>IF(AV12&gt;0,Max_Duration*AV6/AV12,0)</f>
        <v>0</v>
      </c>
      <c r="AW18" s="235"/>
      <c r="AX18" s="1230">
        <f>IF(AX12&gt;0,Max_Duration*AX6/AX12,0)</f>
        <v>0</v>
      </c>
      <c r="AY18" s="235"/>
      <c r="AZ18" s="1230">
        <f>IF(AZ12&gt;0,Max_Duration*AZ6/AZ12,0)</f>
        <v>0</v>
      </c>
      <c r="BA18" s="235"/>
      <c r="BB18" s="1230">
        <f>IF(AND(BB12&gt;0,ABS(DHR)&gt;1,DHR&lt;0),-DHR,0)</f>
        <v>0</v>
      </c>
      <c r="BC18" s="235"/>
      <c r="BD18" s="1230">
        <f>IF(AND(BD12&gt;0,ABS(DHR)&gt;1,DHR&lt;0),-DHR+Max_Duration*(Ht_Trans_Rate+0.5*0.239*Motor)/BD12,0)</f>
        <v>0</v>
      </c>
      <c r="BE18" s="235"/>
      <c r="BF18" s="1230" t="e">
        <f>IF(AND(BF12&gt;0,Fire_Potential="Yes",ABS(DHR)&gt;1,DHR&lt;0),-DHR+Max_Duration*Fire_Heat_Rate/BF12,Max_Duration*Fire_Heat_Rate/BF12)</f>
        <v>#DIV/0!</v>
      </c>
      <c r="BG18" s="235"/>
      <c r="BH18" s="1230">
        <f>IF(AND(BH12&gt;0,ABS(DHR)&gt;1,DHR&lt;0),-DHR,0)</f>
        <v>0</v>
      </c>
      <c r="BI18" s="235"/>
      <c r="BJ18" s="1230">
        <f>IF(AND(BJ12&gt;0,Rx_Pooling="Yes",ABS(DHR)&gt;1,DHR&lt;0),-DHR*Rx_Pooling_Factor,0)</f>
        <v>0</v>
      </c>
      <c r="BK18" s="235"/>
      <c r="BL18" s="1230">
        <f>IF(AND(BL12&gt;0,Rx_MisLoading="Yes",ABS(DHR)&gt;1,DHR&lt;0),-DHR*Rx_MisLoading_Factor,0)</f>
        <v>0</v>
      </c>
      <c r="BM18" s="235"/>
      <c r="BN18" s="1575"/>
      <c r="BO18" s="83"/>
      <c r="BP18" s="23" t="s">
        <v>3044</v>
      </c>
      <c r="BQ18" s="83"/>
      <c r="BR18" s="81"/>
      <c r="BS18" s="846" t="str">
        <f t="shared" ref="BS18:BS21" si="1">B18</f>
        <v/>
      </c>
      <c r="BT18" s="81"/>
      <c r="BU18" s="832">
        <f>BU$16*WFeed_2</f>
        <v>0</v>
      </c>
      <c r="BV18" s="81"/>
      <c r="BW18" s="832">
        <f>BW$16*WFeed_2</f>
        <v>0</v>
      </c>
      <c r="BX18" s="81"/>
      <c r="BY18" s="832">
        <f>BY$16*WFeed_2</f>
        <v>0</v>
      </c>
      <c r="BZ18" s="81"/>
      <c r="CA18" s="832">
        <f>CA$16*WFeed_2</f>
        <v>0</v>
      </c>
      <c r="CB18" s="81"/>
      <c r="CC18" s="832">
        <f>CC$16*WFeed_2</f>
        <v>0</v>
      </c>
      <c r="CD18" s="81"/>
      <c r="CE18" s="85" t="s">
        <v>1497</v>
      </c>
      <c r="CF18" s="81"/>
      <c r="CG18" s="2"/>
      <c r="CH18" s="83"/>
      <c r="CI18" s="83"/>
      <c r="CJ18" s="83"/>
      <c r="CK18" s="83"/>
      <c r="CL18" s="83"/>
      <c r="CM18" s="83"/>
    </row>
    <row r="19" spans="1:91" ht="15" customHeight="1" thickBot="1" x14ac:dyDescent="0.3">
      <c r="A19" s="83"/>
      <c r="B19" s="512" t="str">
        <f>IF(Pseudo_Chem="Yes","",IF(ChemName_3=0,"",ChemName_3))</f>
        <v/>
      </c>
      <c r="C19" s="83"/>
      <c r="D19" s="832">
        <f>D$16*WFeed_3</f>
        <v>0</v>
      </c>
      <c r="E19" s="83"/>
      <c r="F19" s="832">
        <f>F$16*WFeed_3</f>
        <v>0</v>
      </c>
      <c r="G19" s="83"/>
      <c r="H19" s="832">
        <f>H$16*WFeed_3</f>
        <v>0</v>
      </c>
      <c r="I19" s="83"/>
      <c r="J19" s="832">
        <f>J$16*WFeed_3</f>
        <v>0</v>
      </c>
      <c r="K19" s="83"/>
      <c r="L19" s="832">
        <f>L$16*WFeed_3</f>
        <v>0</v>
      </c>
      <c r="M19" s="83"/>
      <c r="N19" s="832">
        <f>N$16*WFeed_3</f>
        <v>0</v>
      </c>
      <c r="O19" s="83"/>
      <c r="P19" s="832">
        <f>P$16*WFeed_3</f>
        <v>0</v>
      </c>
      <c r="Q19" s="83"/>
      <c r="R19" s="2083">
        <f>R$16*WFeed_3</f>
        <v>0</v>
      </c>
      <c r="S19" s="83"/>
      <c r="T19" s="832">
        <f>T$16*WFeed_3</f>
        <v>0</v>
      </c>
      <c r="U19" s="83"/>
      <c r="V19" s="832">
        <f>V$16*WFeed_3</f>
        <v>0</v>
      </c>
      <c r="W19" s="83"/>
      <c r="X19" s="832">
        <f>X$16*WFeed_3</f>
        <v>0</v>
      </c>
      <c r="Y19" s="83"/>
      <c r="Z19" s="85" t="s">
        <v>1497</v>
      </c>
      <c r="AA19" s="83"/>
      <c r="AB19" s="81"/>
      <c r="AC19" s="512" t="str">
        <f t="shared" si="0"/>
        <v/>
      </c>
      <c r="AD19" s="81"/>
      <c r="AE19" s="832">
        <f>AE$16*WFeed_3</f>
        <v>0</v>
      </c>
      <c r="AF19" s="81"/>
      <c r="AG19" s="832">
        <f>AG$16*WFeed_3</f>
        <v>0</v>
      </c>
      <c r="AH19" s="81"/>
      <c r="AI19" s="832">
        <f>AI$16*WFeed_3</f>
        <v>0</v>
      </c>
      <c r="AJ19" s="81"/>
      <c r="AK19" s="832">
        <f>AK$16*WFeed_3</f>
        <v>0</v>
      </c>
      <c r="AL19" s="81"/>
      <c r="AM19" s="832">
        <f>AM$16*WFeed_3</f>
        <v>0</v>
      </c>
      <c r="AN19" s="81"/>
      <c r="AO19" s="2121">
        <f>AO$16*HT_Fract_3</f>
        <v>0</v>
      </c>
      <c r="AP19" s="81"/>
      <c r="AQ19" s="85" t="s">
        <v>1497</v>
      </c>
      <c r="AR19" s="81"/>
      <c r="AS19" s="83"/>
      <c r="AT19" s="85" t="s">
        <v>2274</v>
      </c>
      <c r="AU19" s="83"/>
      <c r="AV19" s="882">
        <f>IF(Mw_Feed=0,0,IF(Max_Duration*AV7*Mw_Feed/(AV12-AV22)&lt;0.999,Max_Duration*AV7*Mw_Feed/(AV12-AV22),0.999))</f>
        <v>0</v>
      </c>
      <c r="AW19" s="235"/>
      <c r="AX19" s="882">
        <f>IF(Mw_Feed=0,0,IF(Max_Duration*AX7*Mw_Feed/(AX12-AX22)&lt;0.999,Max_Duration*AX7*Mw_Feed/(AX12-AX22),0.999))</f>
        <v>0</v>
      </c>
      <c r="AY19" s="235"/>
      <c r="AZ19" s="882">
        <f>IF(Mw_Feed=0,0,IF(Max_Duration*AZ7*Mw_Feed/(AZ12-AZ22)&lt;0.999,Max_Duration*AZ7*Mw_Feed/(AZ12-AZ22),0.999))</f>
        <v>0</v>
      </c>
      <c r="BA19" s="235"/>
      <c r="BB19" s="882">
        <f>IF(Mw_Feed=0,0,IF(Max_Duration*BB7*Mw_Feed/(BB12-BB22)&lt;MIN(0.999,BB18/Lat_Ht_atTBp),Max_Duration*BB7*Mw_Feed/(BB12-BB22),MIN(0.999,BB18/Lat_Ht_atTBp)))</f>
        <v>0</v>
      </c>
      <c r="BC19" s="235"/>
      <c r="BD19" s="882">
        <f>IF(Mw_Feed=0,0,IF(Max_Duration*BD7*Mw_Feed/(BD12-BD22)&lt;MIN(0.999,BD18/Lat_Ht_atTBp),Max_Duration*BD7*Mw_Feed/(BD12-BD22),MIN(0.999,BD18/Lat_Ht_atTBp)))</f>
        <v>0</v>
      </c>
      <c r="BE19" s="235"/>
      <c r="BF19" s="882">
        <f>IF(Mw_Feed=0,0,IF(Max_Duration*BF7*Mw_Feed/(BF12-BF22)&lt;MIN(0.999,BF18/Lat_Ht_atTBp),Max_Duration*BF7*Mw_Feed/(BF12-BF22),MIN(0.999,BF18/Lat_Ht_atTBp)))</f>
        <v>0</v>
      </c>
      <c r="BG19" s="235"/>
      <c r="BH19" s="882">
        <f>IF(Mw_Feed=0,0,IF(Max_Duration*BH7*Mw_Feed/(BH12-BH22)&lt;MIN(0.999,BH18/Lat_Ht_atTBp),Max_Duration*BH7*Mw_Feed/(BH12-BH22),MIN(0.999,BH18/Lat_Ht_atTBp)))</f>
        <v>0</v>
      </c>
      <c r="BI19" s="235"/>
      <c r="BJ19" s="882">
        <f>IF(Mw_Feed=0,0,IF(Max_Duration*BJ7*Mw_Feed/(BJ12-BJ22)&lt;MIN(0.999,BJ18/Lat_Ht_atTBp),Max_Duration*BJ7*Mw_Feed/(BJ12-BJ22),MIN(0.999,BJ18/Lat_Ht_atTBp)))</f>
        <v>0</v>
      </c>
      <c r="BK19" s="235"/>
      <c r="BL19" s="882">
        <f>IF(Mw_Feed=0,0,IF(Max_Duration*BL7*Mw_Feed/(BL12-BL22)&lt;MIN(0.999,BL18/Lat_Ht_atTBp),Max_Duration*BL7*Mw_Feed/(BL12-BL22),MIN(0.999,BL18/Lat_Ht_atTBp)))</f>
        <v>0</v>
      </c>
      <c r="BM19" s="235"/>
      <c r="BN19" s="1576"/>
      <c r="BO19" s="83"/>
      <c r="BP19" s="23"/>
      <c r="BQ19" s="83"/>
      <c r="BR19" s="81"/>
      <c r="BS19" s="846" t="str">
        <f t="shared" si="1"/>
        <v/>
      </c>
      <c r="BT19" s="81"/>
      <c r="BU19" s="832">
        <f>BU$16*WFeed_3</f>
        <v>0</v>
      </c>
      <c r="BV19" s="81"/>
      <c r="BW19" s="832">
        <f>BW$16*WFeed_3</f>
        <v>0</v>
      </c>
      <c r="BX19" s="81"/>
      <c r="BY19" s="832">
        <f>BY$16*WFeed_3</f>
        <v>0</v>
      </c>
      <c r="BZ19" s="81"/>
      <c r="CA19" s="832">
        <f>CA$16*WFeed_3</f>
        <v>0</v>
      </c>
      <c r="CB19" s="81"/>
      <c r="CC19" s="832">
        <f>CC$16*WFeed_3</f>
        <v>0</v>
      </c>
      <c r="CD19" s="81"/>
      <c r="CE19" s="85" t="s">
        <v>1497</v>
      </c>
      <c r="CF19" s="81"/>
      <c r="CG19" s="2"/>
      <c r="CH19" s="139" t="s">
        <v>1870</v>
      </c>
      <c r="CI19" s="83"/>
      <c r="CJ19" s="83"/>
      <c r="CK19" s="83"/>
      <c r="CL19" s="83"/>
      <c r="CM19" s="83"/>
    </row>
    <row r="20" spans="1:91" ht="15" customHeight="1" x14ac:dyDescent="0.25">
      <c r="A20" s="83"/>
      <c r="B20" s="512" t="str">
        <f>IF(Pseudo_Chem="Yes","",IF(ChemName_4=0,"",ChemName_4))</f>
        <v/>
      </c>
      <c r="C20" s="83"/>
      <c r="D20" s="832">
        <f>D$16*WFeed_4</f>
        <v>0</v>
      </c>
      <c r="E20" s="83"/>
      <c r="F20" s="832">
        <f>F$16*WFeed_4</f>
        <v>0</v>
      </c>
      <c r="G20" s="83"/>
      <c r="H20" s="832">
        <f>H$16*WFeed_4</f>
        <v>0</v>
      </c>
      <c r="I20" s="83"/>
      <c r="J20" s="832">
        <f>J$16*WFeed_4</f>
        <v>0</v>
      </c>
      <c r="K20" s="83"/>
      <c r="L20" s="832">
        <f>L$16*WFeed_4</f>
        <v>0</v>
      </c>
      <c r="M20" s="83"/>
      <c r="N20" s="832">
        <f>N$16*WFeed_4</f>
        <v>0</v>
      </c>
      <c r="O20" s="83"/>
      <c r="P20" s="832">
        <f>P$16*WFeed_4</f>
        <v>0</v>
      </c>
      <c r="Q20" s="83"/>
      <c r="R20" s="2083">
        <f>R$16*WFeed_4</f>
        <v>0</v>
      </c>
      <c r="S20" s="83"/>
      <c r="T20" s="832">
        <f>T$16*WFeed_4</f>
        <v>0</v>
      </c>
      <c r="U20" s="83"/>
      <c r="V20" s="832">
        <f>V$16*WFeed_4</f>
        <v>0</v>
      </c>
      <c r="W20" s="83"/>
      <c r="X20" s="832">
        <f>X$16*WFeed_4</f>
        <v>0</v>
      </c>
      <c r="Y20" s="83"/>
      <c r="Z20" s="85" t="s">
        <v>1497</v>
      </c>
      <c r="AA20" s="83"/>
      <c r="AB20" s="81"/>
      <c r="AC20" s="512" t="str">
        <f t="shared" si="0"/>
        <v/>
      </c>
      <c r="AD20" s="81"/>
      <c r="AE20" s="832">
        <f>AE$16*WFeed_4</f>
        <v>0</v>
      </c>
      <c r="AF20" s="81"/>
      <c r="AG20" s="832">
        <f>AG$16*WFeed_4</f>
        <v>0</v>
      </c>
      <c r="AH20" s="81"/>
      <c r="AI20" s="832">
        <f>AI$16*WFeed_4</f>
        <v>0</v>
      </c>
      <c r="AJ20" s="81"/>
      <c r="AK20" s="832">
        <f>AK$16*WFeed_4</f>
        <v>0</v>
      </c>
      <c r="AL20" s="81"/>
      <c r="AM20" s="832">
        <f>AM$16*WFeed_4</f>
        <v>0</v>
      </c>
      <c r="AN20" s="81"/>
      <c r="AO20" s="2121">
        <f>AO$16*HT_Fract_4</f>
        <v>0</v>
      </c>
      <c r="AP20" s="81"/>
      <c r="AQ20" s="85" t="s">
        <v>1497</v>
      </c>
      <c r="AR20" s="81"/>
      <c r="AS20" s="83"/>
      <c r="AT20" s="23" t="s">
        <v>1415</v>
      </c>
      <c r="AU20" s="83"/>
      <c r="AV20" s="108">
        <f>IF(AND(AV7&gt;0,AV8&gt;AV7),IF((AV16*AV12/Mw_Feed)/(AV8-AV7)&gt;Max_Duration,Max_Duration,(AV16*AV12/Mw_Feed)/(AV8-AV7)),0)</f>
        <v>0</v>
      </c>
      <c r="AW20" s="83"/>
      <c r="AX20" s="108">
        <f>IF(AND(AX7&gt;0,AX8&gt;AX7),IF((AX16*AX12/Mw_Feed)/(AX8-AX7)&gt;Max_Duration,Max_Duration,(AX16*AX12/Mw_Feed)/(AX8-AX7)),0)</f>
        <v>0</v>
      </c>
      <c r="AY20" s="83"/>
      <c r="AZ20" s="108">
        <f>IF(AND(AZ7&gt;0,AZ8&gt;AZ7),IF((AZ16*AZ12/Mw_Feed)/(AZ8-AZ7)&gt;Max_Duration,Max_Duration,(AZ16*AZ12/Mw_Feed)/(AZ8-AZ7)),0)</f>
        <v>0</v>
      </c>
      <c r="BA20" s="83"/>
      <c r="BB20" s="108">
        <f>IF(AND(BB7&gt;0,BB8&gt;BB7),IF((BB16*BB12/Mw_Feed)/(BB8-BB7)&gt;Max_Duration,Max_Duration,(BB16*BB12/Mw_Feed)/(BB8-BB7)),0)</f>
        <v>0</v>
      </c>
      <c r="BC20" s="83"/>
      <c r="BD20" s="108">
        <f>IF(AND(BD7&gt;0,BD8&gt;BD7),IF((BD16*BD12/Mw_Feed)/(BD8-BD7)&gt;Max_Duration,Max_Duration,(BD16*BD12/Mw_Feed)/(BD8-BD7)),0)</f>
        <v>0</v>
      </c>
      <c r="BE20" s="83"/>
      <c r="BF20" s="108">
        <f>IF(AND(BF7&gt;0,BF8&gt;BF7),IF((BF16*BF12/Mw_Feed)/(BF8-BF7)&gt;Max_Duration,Max_Duration,(BF16*BF12/Mw_Feed)/(BF8-BF7)),0)</f>
        <v>0</v>
      </c>
      <c r="BG20" s="83"/>
      <c r="BH20" s="108">
        <f>IF(AND(BH7&gt;0,BH8&gt;BH7),IF((BH16*BH12/Mw_Feed)/(BH8-BH7)&gt;Max_Duration,Max_Duration,(BH16*BH12/Mw_Feed)/(BH8-BH7)),0)</f>
        <v>0</v>
      </c>
      <c r="BI20" s="83"/>
      <c r="BJ20" s="108">
        <f>IF(AND(BJ7&gt;0,BJ8&gt;BJ7),IF((BJ16*BJ12/Mw_Feed)/(BJ8-BJ7)&gt;Max_Duration,Max_Duration,(BJ16*BJ12/Mw_Feed)/(BJ8-BJ7)),0)</f>
        <v>0</v>
      </c>
      <c r="BK20" s="83"/>
      <c r="BL20" s="108">
        <f>IF(AND(BL7&gt;0,BL8&gt;BL7),IF((BL16*BL12/Mw_Feed)/(BL8-BL7)&gt;Max_Duration,Max_Duration,(BL16*BL12/Mw_Feed)/(BL8-BL7)),0)</f>
        <v>0</v>
      </c>
      <c r="BM20" s="83"/>
      <c r="BN20" s="1577"/>
      <c r="BO20" s="83"/>
      <c r="BP20" s="23" t="s">
        <v>1760</v>
      </c>
      <c r="BQ20" s="83"/>
      <c r="BR20" s="81"/>
      <c r="BS20" s="846" t="str">
        <f t="shared" si="1"/>
        <v/>
      </c>
      <c r="BT20" s="81"/>
      <c r="BU20" s="832">
        <f>BU$16*WFeed_4</f>
        <v>0</v>
      </c>
      <c r="BV20" s="81"/>
      <c r="BW20" s="832">
        <f>BW$16*WFeed_4</f>
        <v>0</v>
      </c>
      <c r="BX20" s="81"/>
      <c r="BY20" s="832">
        <f>BY$16*WFeed_4</f>
        <v>0</v>
      </c>
      <c r="BZ20" s="81"/>
      <c r="CA20" s="832">
        <f>CA$16*WFeed_4</f>
        <v>0</v>
      </c>
      <c r="CB20" s="81"/>
      <c r="CC20" s="832">
        <f>CC$16*WFeed_4</f>
        <v>0</v>
      </c>
      <c r="CD20" s="81"/>
      <c r="CE20" s="85" t="s">
        <v>1497</v>
      </c>
      <c r="CF20" s="81"/>
      <c r="CG20" s="2"/>
      <c r="CH20" s="84" t="s">
        <v>1997</v>
      </c>
      <c r="CI20" s="83"/>
      <c r="CJ20" s="117">
        <f>Mw_Mix</f>
        <v>0</v>
      </c>
      <c r="CK20" s="83"/>
      <c r="CL20" s="84"/>
      <c r="CM20" s="83"/>
    </row>
    <row r="21" spans="1:91" ht="15" customHeight="1" thickBot="1" x14ac:dyDescent="0.3">
      <c r="A21" s="83"/>
      <c r="B21" s="513" t="str">
        <f>IF(Pseudo_Chem="Yes","",IF(ChemName_5=0,"",ChemName_5))</f>
        <v/>
      </c>
      <c r="C21" s="83"/>
      <c r="D21" s="833">
        <f>D$16*WFeed_5</f>
        <v>0</v>
      </c>
      <c r="E21" s="83"/>
      <c r="F21" s="833">
        <f>F$16*WFeed_5</f>
        <v>0</v>
      </c>
      <c r="G21" s="83"/>
      <c r="H21" s="833">
        <f>H$16*WFeed_5</f>
        <v>0</v>
      </c>
      <c r="I21" s="83"/>
      <c r="J21" s="833">
        <f>J$16*WFeed_5</f>
        <v>0</v>
      </c>
      <c r="K21" s="83"/>
      <c r="L21" s="833">
        <f>L$16*WFeed_5</f>
        <v>0</v>
      </c>
      <c r="M21" s="83"/>
      <c r="N21" s="833">
        <f>N$16*WFeed_5</f>
        <v>0</v>
      </c>
      <c r="O21" s="83"/>
      <c r="P21" s="833">
        <f>P$16*WFeed_5</f>
        <v>0</v>
      </c>
      <c r="Q21" s="83"/>
      <c r="R21" s="2084">
        <f>R$16*WFeed_5</f>
        <v>0</v>
      </c>
      <c r="S21" s="83"/>
      <c r="T21" s="833">
        <f>T$16*WFeed_5</f>
        <v>0</v>
      </c>
      <c r="U21" s="83"/>
      <c r="V21" s="833">
        <f>V$16*WFeed_5</f>
        <v>0</v>
      </c>
      <c r="W21" s="83"/>
      <c r="X21" s="833">
        <f>X$16*WFeed_5</f>
        <v>0</v>
      </c>
      <c r="Y21" s="83"/>
      <c r="Z21" s="1030" t="s">
        <v>1497</v>
      </c>
      <c r="AA21" s="83"/>
      <c r="AB21" s="81"/>
      <c r="AC21" s="615" t="str">
        <f t="shared" si="0"/>
        <v/>
      </c>
      <c r="AD21" s="81"/>
      <c r="AE21" s="833">
        <f>AE$16*WFeed_5</f>
        <v>0</v>
      </c>
      <c r="AF21" s="81"/>
      <c r="AG21" s="833">
        <f>AG$16*WFeed_5</f>
        <v>0</v>
      </c>
      <c r="AH21" s="81"/>
      <c r="AI21" s="833">
        <f>AI$16*WFeed_5</f>
        <v>0</v>
      </c>
      <c r="AJ21" s="81"/>
      <c r="AK21" s="833">
        <f>AK$16*WFeed_5</f>
        <v>0</v>
      </c>
      <c r="AL21" s="81"/>
      <c r="AM21" s="833">
        <f>AM$16*WFeed_5</f>
        <v>0</v>
      </c>
      <c r="AN21" s="81"/>
      <c r="AO21" s="2121">
        <f>AO$16*HT_Fract_5</f>
        <v>0</v>
      </c>
      <c r="AP21" s="81"/>
      <c r="AQ21" s="1030" t="s">
        <v>1497</v>
      </c>
      <c r="AR21" s="81"/>
      <c r="AS21" s="83"/>
      <c r="AT21" s="23" t="s">
        <v>2291</v>
      </c>
      <c r="AU21" s="83"/>
      <c r="AV21" s="877">
        <f>IF(AV7&gt;0,IF(((AV12-AV22/IF(Public_Relief_Input="",CC12,1))/Mw_Feed-AV7*AV20)/AV7&gt;Max_Duration,Max_Duration-AV20,((AV12-AV22/IF(Public_Relief_Input="",CC12,1))/Mw_Feed-AV7*AV20)/AV7-AV20),0)</f>
        <v>0</v>
      </c>
      <c r="AW21" s="83"/>
      <c r="AX21" s="877">
        <f>IF(AX7&gt;0,IF(((AX12-AX22)/Mw_Feed-AX7*AX20)/AX7&gt;Max_Duration,Max_Duration-AX20,((AX12-AX22)/Mw_Feed-AX7*AX20)/AX7-AX20),0)</f>
        <v>0</v>
      </c>
      <c r="AY21" s="83"/>
      <c r="AZ21" s="877">
        <f>IF(AZ7&gt;0,IF(((AZ12-AZ22)/Mw_Feed-AZ7*AZ20)/AZ7&gt;Max_Duration,Max_Duration-AZ20,((AZ12-AZ22)/Mw_Feed-AZ7*AZ20)/AZ7-AZ20),0)</f>
        <v>0</v>
      </c>
      <c r="BA21" s="83"/>
      <c r="BB21" s="877">
        <f>IF(BB7&gt;0,IF(((BB12-BB22)/Mw_Feed-BB7*BB20)/BB7&gt;Max_Duration,Max_Duration-BB20,((BB12-BB22)/Mw_Feed-BB7*BB20)/BB7-BB20),0)</f>
        <v>0</v>
      </c>
      <c r="BC21" s="83"/>
      <c r="BD21" s="877">
        <f>IF(BD7&gt;0,IF(((BD12-BD22)/Mw_Feed-BD7*BD20)/BD7&gt;Max_Duration,Max_Duration-BD20,((BD12-BD22)/Mw_Feed-BD7*BD20)/BD7-BD20),0)</f>
        <v>0</v>
      </c>
      <c r="BE21" s="83"/>
      <c r="BF21" s="877">
        <f>IF(BF7&gt;0,IF(((BF12-BF22/IF(Public_Relief_Input="",CC12,1))/Mw_Feed-BF7*BF20)/BF7&gt;Max_Duration,Max_Duration-BF20,((BF12-BF22/IF(Public_Relief_Input="",CC12,1))/Mw_Feed-BF7*BF20)/BF7-BF20),0)</f>
        <v>0</v>
      </c>
      <c r="BG21" s="83"/>
      <c r="BH21" s="877">
        <f>IF(BH7&gt;0,IF(((BH12-BH22)/Mw_Feed-BH7*BH20)/BH7&gt;Max_Duration,Max_Duration-BH20,((BH12-BH22)/Mw_Feed-BH7*BH20)/BH7-BH20),0)</f>
        <v>0</v>
      </c>
      <c r="BI21" s="83"/>
      <c r="BJ21" s="877">
        <f>IF(BJ7&gt;0,IF(((BJ12-BJ22)/Mw_Feed-BJ7*BJ20)/BJ7&gt;Max_Duration,Max_Duration-BJ20,((BJ12-BJ22)/Mw_Feed-BJ7*BJ20)/BJ7-BJ20),0)</f>
        <v>0</v>
      </c>
      <c r="BK21" s="83"/>
      <c r="BL21" s="877">
        <f>IF(BL7&gt;0,IF(((BL12-BL22)/Mw_Feed-BL7*BL20)/BL7&gt;Max_Duration,Max_Duration-BL20,((BL12-BL22)/Mw_Feed-BL7*BL20)/BL7-BL20),0)</f>
        <v>0</v>
      </c>
      <c r="BM21" s="83"/>
      <c r="BN21" s="1577"/>
      <c r="BO21" s="83"/>
      <c r="BP21" s="23" t="s">
        <v>1760</v>
      </c>
      <c r="BQ21" s="83"/>
      <c r="BR21" s="81"/>
      <c r="BS21" s="1037" t="str">
        <f t="shared" si="1"/>
        <v/>
      </c>
      <c r="BT21" s="81"/>
      <c r="BU21" s="833">
        <f>BU$16*WFeed_5</f>
        <v>0</v>
      </c>
      <c r="BV21" s="81"/>
      <c r="BW21" s="833">
        <f>BW$16*WFeed_5</f>
        <v>0</v>
      </c>
      <c r="BX21" s="81"/>
      <c r="BY21" s="833">
        <f>BY$16*WFeed_5</f>
        <v>0</v>
      </c>
      <c r="BZ21" s="81"/>
      <c r="CA21" s="833">
        <f>CA$16*WFeed_5</f>
        <v>0</v>
      </c>
      <c r="CB21" s="81"/>
      <c r="CC21" s="833">
        <f>CC$16*WFeed_5</f>
        <v>0</v>
      </c>
      <c r="CD21" s="81"/>
      <c r="CE21" s="85" t="s">
        <v>1497</v>
      </c>
      <c r="CF21" s="81"/>
      <c r="CG21" s="2"/>
      <c r="CH21" s="23" t="s">
        <v>2791</v>
      </c>
      <c r="CI21" s="83"/>
      <c r="CJ21" s="109" t="str">
        <f>IF('User Scenario'!S15=0,ER2_Mix,'User Scenario'!S15)</f>
        <v/>
      </c>
      <c r="CK21" s="83"/>
      <c r="CL21" s="23" t="s">
        <v>1506</v>
      </c>
      <c r="CM21" s="83"/>
    </row>
    <row r="22" spans="1:91" ht="15" customHeight="1" x14ac:dyDescent="0.25">
      <c r="A22" s="83"/>
      <c r="B22" s="85" t="s">
        <v>2191</v>
      </c>
      <c r="C22" s="83"/>
      <c r="D22" s="827">
        <f>D13+D14</f>
        <v>0</v>
      </c>
      <c r="E22" s="83"/>
      <c r="F22" s="827">
        <f>F13+F14</f>
        <v>0</v>
      </c>
      <c r="G22" s="83"/>
      <c r="H22" s="827">
        <f>H13+H14</f>
        <v>0</v>
      </c>
      <c r="I22" s="83"/>
      <c r="J22" s="827">
        <f>J13+J14</f>
        <v>0</v>
      </c>
      <c r="K22" s="83"/>
      <c r="L22" s="827">
        <f>L13+L14</f>
        <v>0</v>
      </c>
      <c r="M22" s="83"/>
      <c r="N22" s="827">
        <f>N13+N14</f>
        <v>0</v>
      </c>
      <c r="O22" s="83"/>
      <c r="P22" s="827">
        <f>P13+P14</f>
        <v>0</v>
      </c>
      <c r="Q22" s="83"/>
      <c r="R22" s="468">
        <f>R13+R14</f>
        <v>0</v>
      </c>
      <c r="S22" s="83"/>
      <c r="T22" s="827">
        <f>T13+T14</f>
        <v>0</v>
      </c>
      <c r="U22" s="83"/>
      <c r="V22" s="827">
        <f>V13+V14</f>
        <v>0</v>
      </c>
      <c r="W22" s="83"/>
      <c r="X22" s="827">
        <f>X13+X14</f>
        <v>0</v>
      </c>
      <c r="Y22" s="83"/>
      <c r="Z22" s="85" t="s">
        <v>1760</v>
      </c>
      <c r="AA22" s="83"/>
      <c r="AB22" s="81"/>
      <c r="AC22" s="3095" t="s">
        <v>2191</v>
      </c>
      <c r="AD22" s="81"/>
      <c r="AE22" s="827">
        <f>AE13+AE14</f>
        <v>0</v>
      </c>
      <c r="AF22" s="81"/>
      <c r="AG22" s="827">
        <f>AG13+AG14</f>
        <v>0</v>
      </c>
      <c r="AH22" s="81"/>
      <c r="AI22" s="468">
        <f>AI13+AI14</f>
        <v>0</v>
      </c>
      <c r="AJ22" s="81"/>
      <c r="AK22" s="827">
        <f>AK13+AK14</f>
        <v>0</v>
      </c>
      <c r="AL22" s="81"/>
      <c r="AM22" s="827">
        <f>AM13+AM14</f>
        <v>0</v>
      </c>
      <c r="AN22" s="81"/>
      <c r="AO22" s="468">
        <f>AO13+AO14</f>
        <v>3600</v>
      </c>
      <c r="AP22" s="81"/>
      <c r="AQ22" s="85" t="s">
        <v>1760</v>
      </c>
      <c r="AR22" s="81"/>
      <c r="AS22" s="83"/>
      <c r="AT22" s="85" t="s">
        <v>2275</v>
      </c>
      <c r="AU22" s="83"/>
      <c r="AV22" s="879">
        <f>IF(AND(AV7&gt;0,Fill_Max&gt;(1-AV14),Relief_Discharge_Location&lt;&gt;"Vent Header to Blow-down Tank",Relief_Discharge_Location&lt;&gt;"Scrubber or Containment",Relief_Discharge_Location&lt;&gt;"Flare or Incinerator"),IF(Public_Relief_Input="",CC12,1)*ContainedMass*(Fill_Max-1+AV14)*AV15/(AV15+AV8),0)</f>
        <v>0</v>
      </c>
      <c r="AW22" s="515"/>
      <c r="AX22" s="879">
        <f>IF(AND(AX7&gt;0,Fill_Max&gt;(1-AX14),Relief_Discharge_Location&lt;&gt;"Vent Header to Blow-down Tank",Relief_Discharge_Location&lt;&gt;"Scrubber or Containment",Relief_Discharge_Location&lt;&gt;"Flare or Incinerator"),ContainedMass*(Fill_Max-1+AX14)*AX15/(AX15+AX8),0)</f>
        <v>0</v>
      </c>
      <c r="AY22" s="515"/>
      <c r="AZ22" s="879">
        <f>IF(AND(AZ7&gt;0,Fill_Max&gt;(1-AZ14),Relief_Discharge_Location&lt;&gt;"Vent Header to Blow-down Tank",Relief_Discharge_Location&lt;&gt;"Scrubber or Containment",Relief_Discharge_Location&lt;&gt;"Flare or Incinerator"),ContainedMass*(Fill_Max-1+AZ14)*AZ15/(AZ15+AZ8),0)</f>
        <v>0</v>
      </c>
      <c r="BA22" s="515"/>
      <c r="BB22" s="879">
        <f>IF(AND(BB7&gt;0,Fill_Max&gt;(1-BB14),Relief_Discharge_Location&lt;&gt;"Vent Header to Blow-down Tank",Relief_Discharge_Location&lt;&gt;"Scrubber or Containment",Relief_Discharge_Location&lt;&gt;"Flare or Incinerator"),ContainedMass*(Fill_Max-1+BB14)*BB15/(BB15+BB8),0)</f>
        <v>0</v>
      </c>
      <c r="BC22" s="515"/>
      <c r="BD22" s="879">
        <f>IF(AND(BD7&gt;0,Fill_Max&gt;(1-BD14),Relief_Discharge_Location&lt;&gt;"Vent Header to Blow-down Tank",Relief_Discharge_Location&lt;&gt;"Scrubber or Containment",Relief_Discharge_Location&lt;&gt;"Flare or Incinerator"),ContainedMass*(Fill_Max-1+BD14)*BD15/(BD15+BD8),0)</f>
        <v>0</v>
      </c>
      <c r="BE22" s="515"/>
      <c r="BF22" s="879">
        <f>IF(AND(BF7&gt;0,Fill_Max&gt;(1-BF14),Relief_Discharge_Location&lt;&gt;"Vent Header to Blow-down Tank",Relief_Discharge_Location&lt;&gt;"Scrubber or Containment",Relief_Discharge_Location&lt;&gt;"Flare or Incinerator"),IF(Public_Relief_Input="",CC12,1)*ContainedMass*(Fill_Max-1+BF14)*BF15/(BF15+BF8),0)</f>
        <v>0</v>
      </c>
      <c r="BG22" s="515"/>
      <c r="BH22" s="879">
        <f>IF(AND(BH7&gt;0,Fill_Max&gt;(1-BH14),Relief_Discharge_Location&lt;&gt;"Vent Header to Blow-down Tank",Relief_Discharge_Location&lt;&gt;"Scrubber or Containment",Relief_Discharge_Location&lt;&gt;"Flare or Incinerator"),ContainedMass*(Fill_Max-1+BH14)*BH15/(BH15+BH8),0)</f>
        <v>0</v>
      </c>
      <c r="BI22" s="515"/>
      <c r="BJ22" s="879">
        <f>IF(AND(BJ7&gt;0,Fill_Max&gt;(1-BJ14),Relief_Discharge_Location&lt;&gt;"Vent Header to Blow-down Tank",Relief_Discharge_Location&lt;&gt;"Scrubber or Containment",Relief_Discharge_Location&lt;&gt;"Flare or Incinerator"),ContainedMass*(Fill_Max-1+BJ14)*BJ15/(BJ15+BJ8),0)</f>
        <v>0</v>
      </c>
      <c r="BK22" s="515"/>
      <c r="BL22" s="879">
        <f>IF(AND(BL7&gt;0,Fill_Max&gt;(1-BL14),Relief_Discharge_Location&lt;&gt;"Vent Header to Blow-down Tank",Relief_Discharge_Location&lt;&gt;"Scrubber or Containment",Relief_Discharge_Location&lt;&gt;"Flare or Incinerator"),ContainedMass*(Fill_Max-1+BL14)*BL15/(BL15+BL8),0)</f>
        <v>0</v>
      </c>
      <c r="BM22" s="515"/>
      <c r="BN22" s="1578"/>
      <c r="BO22" s="83"/>
      <c r="BP22" s="23" t="s">
        <v>1497</v>
      </c>
      <c r="BQ22" s="83"/>
      <c r="BR22" s="81"/>
      <c r="BS22" s="85" t="s">
        <v>2191</v>
      </c>
      <c r="BT22" s="81"/>
      <c r="BU22" s="485">
        <v>0</v>
      </c>
      <c r="BV22" s="236"/>
      <c r="BW22" s="486">
        <v>0</v>
      </c>
      <c r="BX22" s="483"/>
      <c r="BY22" s="486">
        <v>0</v>
      </c>
      <c r="BZ22" s="483"/>
      <c r="CA22" s="486">
        <v>0</v>
      </c>
      <c r="CB22" s="483"/>
      <c r="CC22" s="486">
        <v>0</v>
      </c>
      <c r="CD22" s="81"/>
      <c r="CE22" s="85" t="s">
        <v>1760</v>
      </c>
      <c r="CF22" s="81"/>
      <c r="CG22" s="2"/>
      <c r="CH22" s="23" t="s">
        <v>1656</v>
      </c>
      <c r="CI22" s="83"/>
      <c r="CJ22" s="109" t="str">
        <f>IF('User Scenario'!S16=0,ER3_Mix,'User Scenario'!S16)</f>
        <v/>
      </c>
      <c r="CK22" s="83"/>
      <c r="CL22" s="23" t="s">
        <v>1506</v>
      </c>
      <c r="CM22" s="83"/>
    </row>
    <row r="23" spans="1:91" ht="15" customHeight="1" x14ac:dyDescent="0.25">
      <c r="A23" s="83"/>
      <c r="B23" s="85" t="s">
        <v>2197</v>
      </c>
      <c r="C23" s="83"/>
      <c r="D23" s="826">
        <f>IF(State="Vapor",D12,IF(Fv&gt;0.01,D11,D10))</f>
        <v>6.7100000000000007E-3</v>
      </c>
      <c r="E23" s="83"/>
      <c r="F23" s="836">
        <f>IF(State="Vapor",F12,F10)</f>
        <v>6.7100000000000007E-3</v>
      </c>
      <c r="G23" s="83"/>
      <c r="H23" s="836">
        <f>IF(State="Vapor",H12,H10)</f>
        <v>0</v>
      </c>
      <c r="I23" s="83"/>
      <c r="J23" s="836">
        <f>IF(State="Vapor",J12,J10)</f>
        <v>6.7100000000000007E-3</v>
      </c>
      <c r="K23" s="83"/>
      <c r="L23" s="836">
        <f>IF(State="Vapor",L12,L10)</f>
        <v>0</v>
      </c>
      <c r="M23" s="83"/>
      <c r="N23" s="826">
        <f>IF(State="Vapor",N12,IF(Fv&gt;0.01,N11,N10))</f>
        <v>0</v>
      </c>
      <c r="O23" s="83"/>
      <c r="P23" s="836">
        <f>IF(State="Vapor",P12,P10)</f>
        <v>6.0389999999999999E-4</v>
      </c>
      <c r="Q23" s="83"/>
      <c r="R23" s="2085">
        <f>IF(State="Vapor",R12,R10)</f>
        <v>6.7100000000000007E-3</v>
      </c>
      <c r="S23" s="83"/>
      <c r="T23" s="836">
        <f>IF(State="Vapor",T12,T10)</f>
        <v>4.1937500000000009E-2</v>
      </c>
      <c r="U23" s="83"/>
      <c r="V23" s="836">
        <f>IF(State="Vapor",V12,V10)</f>
        <v>0.16775000000000004</v>
      </c>
      <c r="W23" s="83"/>
      <c r="X23" s="836">
        <f>IF(State="Vapor",X12,X10)</f>
        <v>1.5097500000000004</v>
      </c>
      <c r="Y23" s="83"/>
      <c r="Z23" s="85" t="s">
        <v>1069</v>
      </c>
      <c r="AA23" s="83"/>
      <c r="AB23" s="81"/>
      <c r="AC23" s="848" t="s">
        <v>2197</v>
      </c>
      <c r="AD23" s="81"/>
      <c r="AE23" s="836">
        <f>IF(State="Vapor",AE12,AE10)</f>
        <v>0</v>
      </c>
      <c r="AF23" s="81"/>
      <c r="AG23" s="836">
        <f>IF(State="Vapor",AG12,AG10)</f>
        <v>0</v>
      </c>
      <c r="AH23" s="81"/>
      <c r="AI23" s="838">
        <f>IF(State="Vapor",AI12,IF(Fv&gt;0.01,AI11*(T-TBp)/(Tsat-TBp)+AI10*(Tsat-T)/(Tsat-TBp),AI10))</f>
        <v>1.0822559000000001E-2</v>
      </c>
      <c r="AJ23" s="81"/>
      <c r="AK23" s="829">
        <f>IF(State="Vapor",AK12,AK10)</f>
        <v>0</v>
      </c>
      <c r="AL23" s="81"/>
      <c r="AM23" s="836">
        <f>IF(AND(OR(Heating_Relief_Input="Yes",Max_Feed_P&gt;Relief_Set),OR(Equipment="Heat Exchanger",Tube_D_Input&lt;&gt;"")),IF(State="Vapor",AM12,AM10),0)</f>
        <v>0</v>
      </c>
      <c r="AN23" s="81"/>
      <c r="AO23" s="838">
        <f>IF(Heating_Media_State="Vapor",AO12,IF(AO27&gt;0.01,AO11,AO10))</f>
        <v>0</v>
      </c>
      <c r="AP23" s="81"/>
      <c r="AQ23" s="85" t="s">
        <v>1069</v>
      </c>
      <c r="AR23" s="81"/>
      <c r="AS23" s="83"/>
      <c r="AT23" s="23" t="s">
        <v>1668</v>
      </c>
      <c r="AU23" s="83"/>
      <c r="AV23" s="877">
        <f>IF(AND(AV11&gt;0,AV20+AV21&lt;Max_Duration),Max_Duration-AV20-AV21,0)</f>
        <v>0</v>
      </c>
      <c r="AW23" s="235"/>
      <c r="AX23" s="877">
        <f>IF(AND(AX11&gt;0,AX20+AX21&lt;Max_Duration),Max_Duration-AX20-AX21,0)</f>
        <v>0</v>
      </c>
      <c r="AY23" s="235"/>
      <c r="AZ23" s="877">
        <f>IF(AND(AZ11&gt;0,AZ20+AZ21&lt;Max_Duration),Max_Duration-AZ20-AZ21,0)</f>
        <v>0</v>
      </c>
      <c r="BA23" s="235"/>
      <c r="BB23" s="877">
        <f>IF(AND(BB11&gt;0,BB20+BB21&lt;Max_Duration),Max_Duration-BB20-BB21,0)</f>
        <v>0</v>
      </c>
      <c r="BC23" s="235"/>
      <c r="BD23" s="877">
        <f>IF(AND(BD11&gt;0,BD20+BD21&lt;Max_Duration),Max_Duration-BD20-BD21,0)</f>
        <v>0</v>
      </c>
      <c r="BE23" s="235"/>
      <c r="BF23" s="877">
        <f>IF(AND(BF11&gt;0,BF20+BF21&lt;Max_Duration),Max_Duration-BF20-BF21,0)</f>
        <v>0</v>
      </c>
      <c r="BG23" s="235"/>
      <c r="BH23" s="877">
        <f>IF(AND(BH11&gt;0,BH20+BH21&lt;Max_Duration),Max_Duration-BH20-BH21,0)</f>
        <v>0</v>
      </c>
      <c r="BI23" s="235"/>
      <c r="BJ23" s="877">
        <f>IF(AND(BJ11&gt;0,BJ20+BJ21&lt;Max_Duration),Max_Duration-BJ20-BJ21,0)</f>
        <v>0</v>
      </c>
      <c r="BK23" s="235"/>
      <c r="BL23" s="877">
        <f>IF(AND(BL11&gt;0,BL20+BL21&lt;Max_Duration),Max_Duration-BL20-BL21,0)</f>
        <v>0</v>
      </c>
      <c r="BM23" s="235"/>
      <c r="BN23" s="1579"/>
      <c r="BO23" s="83"/>
      <c r="BP23" s="23" t="s">
        <v>1760</v>
      </c>
      <c r="BQ23" s="83"/>
      <c r="BR23" s="81"/>
      <c r="BS23" s="1691" t="s">
        <v>3662</v>
      </c>
      <c r="BT23" s="81"/>
      <c r="BU23" s="2134" t="str">
        <f>IF(AND(Rupture_10min="Yes",Rupture_Time&lt;&gt;""),Rupture_Time&amp;" Second Release","Instantaneous")</f>
        <v>Instantaneous</v>
      </c>
      <c r="BV23" s="81"/>
      <c r="BW23" s="2134" t="str">
        <f>IF(AND(Rupture_10min="Yes",Rupture_Time&lt;&gt;""),Rupture_Time&amp;" Second Release","Instantaneous")</f>
        <v>Instantaneous</v>
      </c>
      <c r="BX23" s="81"/>
      <c r="BY23" s="2134" t="str">
        <f>IF(AND(Rupture_10min="Yes",Rupture_Time&lt;&gt;""),Rupture_Time&amp;" Second Release","Instantaneous")</f>
        <v>Instantaneous</v>
      </c>
      <c r="BZ23" s="81"/>
      <c r="CA23" s="2134" t="str">
        <f>IF(AND(Rupture_10min="Yes",Rupture_Time&lt;&gt;""),Rupture_Time&amp;" Second Release","Instantaneous")</f>
        <v>Instantaneous</v>
      </c>
      <c r="CB23" s="483"/>
      <c r="CC23" s="2134" t="str">
        <f>IF(AND(Rupture_10min="Yes",Rupture_Time&lt;&gt;""),Rupture_Time&amp;" Second Release","Instantaneous")</f>
        <v>Instantaneous</v>
      </c>
      <c r="CD23" s="81"/>
      <c r="CE23" s="85"/>
      <c r="CF23" s="81"/>
      <c r="CG23" s="2"/>
      <c r="CH23" s="23" t="s">
        <v>3563</v>
      </c>
      <c r="CI23" s="83"/>
      <c r="CJ23" s="109" t="str">
        <f>IF('User Scenario'!S17="",LC1_Mix,'User Scenario'!S17)</f>
        <v/>
      </c>
      <c r="CK23" s="83"/>
      <c r="CL23" s="23" t="s">
        <v>1506</v>
      </c>
      <c r="CM23" s="83"/>
    </row>
    <row r="24" spans="1:91" ht="15" customHeight="1" thickBot="1" x14ac:dyDescent="0.3">
      <c r="A24" s="83"/>
      <c r="B24" s="25" t="s">
        <v>2198</v>
      </c>
      <c r="C24" s="83"/>
      <c r="D24" s="834">
        <f>IF(Feedrate&lt;D23,Feedrate,D23)</f>
        <v>0</v>
      </c>
      <c r="E24" s="83"/>
      <c r="F24" s="834">
        <f>IF(Feedrate&lt;F23,Feedrate,F23)</f>
        <v>0</v>
      </c>
      <c r="G24" s="83"/>
      <c r="H24" s="834">
        <f>IF(Feedrate&lt;H23,Feedrate,H23)</f>
        <v>0</v>
      </c>
      <c r="I24" s="83"/>
      <c r="J24" s="834">
        <f>IF(Feedrate&lt;J23,Feedrate,J23)</f>
        <v>0</v>
      </c>
      <c r="K24" s="83"/>
      <c r="L24" s="834">
        <f>IF(Feedrate&lt;L23,Feedrate,L23)</f>
        <v>0</v>
      </c>
      <c r="M24" s="83"/>
      <c r="N24" s="834">
        <f>IF(Feedrate&lt;N23,Feedrate,N23)</f>
        <v>0</v>
      </c>
      <c r="O24" s="83"/>
      <c r="P24" s="834">
        <f>IF(Feedrate&lt;P23,Feedrate,P23)</f>
        <v>0</v>
      </c>
      <c r="Q24" s="83"/>
      <c r="R24" s="858">
        <f>IF(Feedrate&lt;R23,Feedrate,R23)</f>
        <v>0</v>
      </c>
      <c r="S24" s="83"/>
      <c r="T24" s="834">
        <f>IF(Feedrate&lt;T23,Feedrate,T23)</f>
        <v>0</v>
      </c>
      <c r="U24" s="83"/>
      <c r="V24" s="834">
        <f>IF(Feedrate&lt;V23,Feedrate,V23)</f>
        <v>0</v>
      </c>
      <c r="W24" s="83"/>
      <c r="X24" s="834">
        <f>IF(Feedrate&lt;X23,Feedrate,X23)</f>
        <v>0</v>
      </c>
      <c r="Y24" s="83"/>
      <c r="Z24" s="25" t="s">
        <v>1069</v>
      </c>
      <c r="AA24" s="83"/>
      <c r="AB24" s="81"/>
      <c r="AC24" s="849" t="s">
        <v>2198</v>
      </c>
      <c r="AD24" s="81"/>
      <c r="AE24" s="834">
        <v>0</v>
      </c>
      <c r="AF24" s="81"/>
      <c r="AG24" s="834">
        <v>0</v>
      </c>
      <c r="AH24" s="81"/>
      <c r="AI24" s="858">
        <f>IF(Feedrate&lt;AI23,Feedrate,AI23)</f>
        <v>0</v>
      </c>
      <c r="AJ24" s="81"/>
      <c r="AK24" s="825">
        <f>IF(Feedrate&lt;AK23,Feedrate,AK23)</f>
        <v>0</v>
      </c>
      <c r="AL24" s="81"/>
      <c r="AM24" s="834">
        <f>IF(Feedrate&lt;AM23,Feedrate,AM23)</f>
        <v>0</v>
      </c>
      <c r="AN24" s="81"/>
      <c r="AO24" s="829">
        <f>AO23</f>
        <v>0</v>
      </c>
      <c r="AP24" s="81"/>
      <c r="AQ24" s="25" t="s">
        <v>1069</v>
      </c>
      <c r="AR24" s="81"/>
      <c r="AS24" s="83"/>
      <c r="AT24" s="85" t="s">
        <v>2272</v>
      </c>
      <c r="AU24" s="83"/>
      <c r="AV24" s="875">
        <f>AV20+AV21+AV23</f>
        <v>0</v>
      </c>
      <c r="AW24" s="83"/>
      <c r="AX24" s="875">
        <f>AX20+AX21+AX23</f>
        <v>0</v>
      </c>
      <c r="AY24" s="83"/>
      <c r="AZ24" s="875">
        <f>AZ20+AZ21+AZ23</f>
        <v>0</v>
      </c>
      <c r="BA24" s="83"/>
      <c r="BB24" s="875">
        <f>BB20+BB21+BB23</f>
        <v>0</v>
      </c>
      <c r="BC24" s="83"/>
      <c r="BD24" s="875">
        <f>BD20+BD21+BD23</f>
        <v>0</v>
      </c>
      <c r="BE24" s="83"/>
      <c r="BF24" s="875">
        <f>BF20+BF21+BF23</f>
        <v>0</v>
      </c>
      <c r="BG24" s="83"/>
      <c r="BH24" s="879">
        <f>BH20+BH21+BH23</f>
        <v>0</v>
      </c>
      <c r="BI24" s="83"/>
      <c r="BJ24" s="875">
        <f>BJ20+BJ21+BJ23</f>
        <v>0</v>
      </c>
      <c r="BK24" s="83"/>
      <c r="BL24" s="875">
        <f>BL20+BL21+BL23</f>
        <v>0</v>
      </c>
      <c r="BM24" s="83"/>
      <c r="BN24" s="875">
        <f>IF(BN$7&gt;0,IF(BN$12/(BN$7*Mw_Feed)&gt;Max_Duration,Max_Duration,BN$12/(BN$7*Mw_Feed)),Max_Duration)</f>
        <v>3600</v>
      </c>
      <c r="BO24" s="83"/>
      <c r="BP24" s="89" t="s">
        <v>1760</v>
      </c>
      <c r="BQ24" s="83"/>
      <c r="BR24" s="81"/>
      <c r="BS24" s="25" t="s">
        <v>2198</v>
      </c>
      <c r="BT24" s="81"/>
      <c r="BU24" s="110">
        <f>IF(Inventory&gt;Effective_ContainedMass,Feedrate,0)</f>
        <v>0</v>
      </c>
      <c r="BV24" s="81"/>
      <c r="BW24" s="21">
        <f>IF(Inventory&gt;Effective_ContainedMass,Feedrate,0)</f>
        <v>0</v>
      </c>
      <c r="BX24" s="81"/>
      <c r="BY24" s="21">
        <f>IF(Inventory&gt;Effective_ContainedMass,Feedrate,0)</f>
        <v>0</v>
      </c>
      <c r="BZ24" s="81"/>
      <c r="CA24" s="21">
        <f>IF(Inventory&gt;Effective_ContainedMass,Feedrate,0)</f>
        <v>0</v>
      </c>
      <c r="CB24" s="81"/>
      <c r="CC24" s="21">
        <f>IF(Inventory&gt;Effective_ContainedMass,Feedrate,0)</f>
        <v>0</v>
      </c>
      <c r="CD24" s="81"/>
      <c r="CE24" s="25" t="s">
        <v>1069</v>
      </c>
      <c r="CF24" s="81"/>
      <c r="CG24" s="2"/>
      <c r="CH24" s="23" t="s">
        <v>3565</v>
      </c>
      <c r="CI24" s="83"/>
      <c r="CJ24" s="109" t="str">
        <f>IF('User Scenario'!S18="",LC50_Mix,'User Scenario'!S18)</f>
        <v/>
      </c>
      <c r="CK24" s="83"/>
      <c r="CL24" s="23" t="s">
        <v>1506</v>
      </c>
      <c r="CM24" s="83"/>
    </row>
    <row r="25" spans="1:91" ht="15" customHeight="1" thickBot="1" x14ac:dyDescent="0.3">
      <c r="A25" s="83"/>
      <c r="B25" s="83"/>
      <c r="C25" s="83"/>
      <c r="D25" s="83"/>
      <c r="E25" s="83"/>
      <c r="F25" s="83"/>
      <c r="G25" s="83"/>
      <c r="H25" s="83"/>
      <c r="I25" s="83"/>
      <c r="J25" s="83"/>
      <c r="K25" s="83"/>
      <c r="L25" s="83"/>
      <c r="M25" s="83"/>
      <c r="N25" s="83"/>
      <c r="O25" s="83"/>
      <c r="P25" s="83"/>
      <c r="Q25" s="83"/>
      <c r="R25" s="83"/>
      <c r="S25" s="83"/>
      <c r="T25" s="83"/>
      <c r="U25" s="83"/>
      <c r="V25" s="83"/>
      <c r="W25" s="83"/>
      <c r="X25" s="83"/>
      <c r="Y25" s="83"/>
      <c r="Z25" s="515"/>
      <c r="AA25" s="83"/>
      <c r="AB25" s="81"/>
      <c r="AC25" s="81"/>
      <c r="AD25" s="81"/>
      <c r="AE25" s="81"/>
      <c r="AF25" s="81"/>
      <c r="AG25" s="81"/>
      <c r="AH25" s="81"/>
      <c r="AI25" s="81"/>
      <c r="AJ25" s="81"/>
      <c r="AK25" s="81"/>
      <c r="AL25" s="81"/>
      <c r="AM25" s="81"/>
      <c r="AN25" s="81"/>
      <c r="AO25" s="81"/>
      <c r="AP25" s="81"/>
      <c r="AQ25" s="81"/>
      <c r="AR25" s="81"/>
      <c r="AS25" s="83"/>
      <c r="AT25" s="92" t="s">
        <v>3128</v>
      </c>
      <c r="AU25" s="83"/>
      <c r="AV25" s="840">
        <f t="array" ref="AV25:AV33">IF(OR(AV9&lt;TBp,Fract_Key_Mix&lt;&gt;"",Fract_Key_Chemical&gt;0),adiabaticFlash(T_atRelief,IF(Fract_Key_Chemical=1,1,Number_Trials),State,TBp,Fract_Key_Chemical,T,Act_rel,Molar_Cs,Molar_HtVap,VP_A,VP_B,VP_C,Rel_1*EXP(dRel_1*(T_atRelief-T)),Rel_2*EXP(dRel_2*(T_atRelief-T)),Rel_3*EXP(dRel_3*(T_atRelief-T)),Rel_4*EXP(dRel_4*(T_atRelief-T)),Rel_5*EXP(dRel_5*(T_atRelief-T)),Feed_1,Feed_2,Feed_3,Feed_4,Feed_5,Alpha_1*EXP(dAlpha_1*(T_atRelief-T)),Alpha_2*EXP(dAlpha_2*(T_atRelief-T)),Alpha_3*EXP(dAlpha_3*(T_atRelief-T)),Alpha_4*EXP(dAlpha_4*(T_atRelief-T)),Alpha_5*EXP(dAlpha_5*(T_atRelief-T)),Mw_1,Mw_2,Mw_3,Mw_4,Mw_5),0)</f>
        <v>0</v>
      </c>
      <c r="AW25" s="83"/>
      <c r="AX25" s="1281">
        <f t="shared" ref="AX25:BL41" si="2">$AV25</f>
        <v>0</v>
      </c>
      <c r="AY25" s="83"/>
      <c r="AZ25" s="1281">
        <f t="shared" ref="AZ25:AZ40" si="3">$AV25</f>
        <v>0</v>
      </c>
      <c r="BA25" s="83"/>
      <c r="BB25" s="1281">
        <f t="shared" ref="BB25:BB40" si="4">$AV25</f>
        <v>0</v>
      </c>
      <c r="BC25" s="83"/>
      <c r="BD25" s="1281">
        <f t="shared" ref="BD25:BD40" si="5">$AV25</f>
        <v>0</v>
      </c>
      <c r="BE25" s="83"/>
      <c r="BF25" s="1281">
        <f t="shared" ref="BF25:BF40" si="6">$AV25</f>
        <v>0</v>
      </c>
      <c r="BG25" s="83"/>
      <c r="BH25" s="1281">
        <f t="shared" ref="BH25:BH40" si="7">$AV25</f>
        <v>0</v>
      </c>
      <c r="BI25" s="83"/>
      <c r="BJ25" s="1281">
        <f t="shared" ref="BJ25:BJ40" si="8">$AV25</f>
        <v>0</v>
      </c>
      <c r="BK25" s="83"/>
      <c r="BL25" s="1281">
        <f t="shared" ref="BL25:BL40" si="9">$AV25</f>
        <v>0</v>
      </c>
      <c r="BM25" s="83"/>
      <c r="BN25" s="1575"/>
      <c r="BO25" s="83"/>
      <c r="BP25" s="92"/>
      <c r="BQ25" s="83"/>
      <c r="BR25" s="81"/>
      <c r="BS25" s="81"/>
      <c r="BT25" s="81"/>
      <c r="BU25" s="81"/>
      <c r="BV25" s="81"/>
      <c r="BW25" s="81"/>
      <c r="BX25" s="81"/>
      <c r="BY25" s="81"/>
      <c r="BZ25" s="81"/>
      <c r="CA25" s="81"/>
      <c r="CB25" s="81"/>
      <c r="CC25" s="81"/>
      <c r="CD25" s="81"/>
      <c r="CE25" s="81"/>
      <c r="CF25" s="81"/>
      <c r="CG25" s="2"/>
      <c r="CH25" s="23" t="s">
        <v>3564</v>
      </c>
      <c r="CI25" s="83"/>
      <c r="CJ25" s="109" t="str">
        <f>IF('User Scenario'!S19="",LC1_Mix,'User Scenario'!S19)</f>
        <v/>
      </c>
      <c r="CK25" s="83"/>
      <c r="CL25" s="23" t="s">
        <v>1506</v>
      </c>
      <c r="CM25" s="83"/>
    </row>
    <row r="26" spans="1:91" ht="15" customHeight="1" thickBot="1" x14ac:dyDescent="0.3">
      <c r="A26" s="83"/>
      <c r="B26" s="139" t="s">
        <v>5045</v>
      </c>
      <c r="C26" s="83"/>
      <c r="D26" s="3254">
        <f>IF(Fv&gt;0.01,Discharge_VelocityTP,Discharge_Velocity)</f>
        <v>1.5300000000000002</v>
      </c>
      <c r="E26" s="83"/>
      <c r="F26" s="3259">
        <f>Discharge_Velocity</f>
        <v>1.5300000000000002</v>
      </c>
      <c r="G26" s="83"/>
      <c r="H26" s="3154">
        <f>IF(AND(State="Vapor",Vap_rho&gt;0),IF(1/(1+H8)&lt;0.528,0.756*(H8+1)*(Mw_Mix/(273+H9))^0.5,2.93*(H8+1)*(((1/(1+H8))^1.429-(1/(1+H8))^1.714)*Mw_Mix/(273+H9))^0.5)*82.06*(273+H9)/Mw_Mix,IF(Liq_rho&gt;0,15.3*(H8/Liq_rho+Dh/10.34)^0.5,0))</f>
        <v>0</v>
      </c>
      <c r="I26" s="83"/>
      <c r="J26" s="83"/>
      <c r="K26" s="83"/>
      <c r="L26" s="3154">
        <f>IF(AND(State="Vapor",Vap_rho&gt;0),IF(1/(1+L8)&lt;0.528,0.756*(L8+1)*(Mw_Mix/(273+L9))^0.5,2.93*(L8+1)*(((1/(1+L8))^1.429-(1/(1+L8))^1.714)*Mw_Mix/(273+L9))^0.5)*82.06*(273+L9)/Mw_Mix,IF(Liq_rho&gt;0,15.3*(L8/Liq_rho+Dh/10.34)^0.5,0))</f>
        <v>0</v>
      </c>
      <c r="M26" s="83" t="s">
        <v>5226</v>
      </c>
      <c r="N26" s="83"/>
      <c r="O26" s="83"/>
      <c r="P26" s="83"/>
      <c r="Q26" s="83"/>
      <c r="R26" s="83"/>
      <c r="S26" s="83"/>
      <c r="T26" s="83"/>
      <c r="U26" s="83"/>
      <c r="V26" s="83"/>
      <c r="W26" s="83"/>
      <c r="X26" s="83"/>
      <c r="Y26" s="83"/>
      <c r="Z26" s="515"/>
      <c r="AA26" s="83"/>
      <c r="AB26" s="81"/>
      <c r="AC26" s="82" t="s">
        <v>643</v>
      </c>
      <c r="AD26" s="81"/>
      <c r="AE26" s="81"/>
      <c r="AF26" s="81"/>
      <c r="AG26" s="81"/>
      <c r="AH26" s="81"/>
      <c r="AI26" s="81"/>
      <c r="AJ26" s="81"/>
      <c r="AK26" s="81"/>
      <c r="AL26" s="81"/>
      <c r="AM26" s="81"/>
      <c r="AN26" s="81"/>
      <c r="AO26" s="81"/>
      <c r="AP26" s="81"/>
      <c r="AQ26" s="81"/>
      <c r="AR26" s="81"/>
      <c r="AS26" s="83"/>
      <c r="AT26" s="85" t="s">
        <v>2192</v>
      </c>
      <c r="AU26" s="83"/>
      <c r="AV26" s="1292">
        <v>0</v>
      </c>
      <c r="AW26" s="1293"/>
      <c r="AX26" s="1295">
        <f t="shared" si="2"/>
        <v>0</v>
      </c>
      <c r="AY26" s="1293"/>
      <c r="AZ26" s="1295">
        <f t="shared" si="3"/>
        <v>0</v>
      </c>
      <c r="BA26" s="1293"/>
      <c r="BB26" s="1295">
        <f t="shared" si="4"/>
        <v>0</v>
      </c>
      <c r="BC26" s="1293"/>
      <c r="BD26" s="1295">
        <f t="shared" si="5"/>
        <v>0</v>
      </c>
      <c r="BE26" s="1293"/>
      <c r="BF26" s="1295">
        <f t="shared" si="6"/>
        <v>0</v>
      </c>
      <c r="BG26" s="1293"/>
      <c r="BH26" s="1295">
        <f t="shared" si="7"/>
        <v>0</v>
      </c>
      <c r="BI26" s="1293"/>
      <c r="BJ26" s="1295">
        <f t="shared" si="8"/>
        <v>0</v>
      </c>
      <c r="BK26" s="1293"/>
      <c r="BL26" s="1295">
        <f t="shared" si="9"/>
        <v>0</v>
      </c>
      <c r="BM26" s="1293"/>
      <c r="BN26" s="1575"/>
      <c r="BO26" s="83"/>
      <c r="BP26" s="85" t="s">
        <v>1836</v>
      </c>
      <c r="BQ26" s="83"/>
      <c r="BR26" s="81"/>
      <c r="BS26" s="82" t="s">
        <v>5045</v>
      </c>
      <c r="BT26" s="81"/>
      <c r="BU26" s="81"/>
      <c r="BV26" s="81"/>
      <c r="BW26" s="1291"/>
      <c r="BX26" s="81"/>
      <c r="BY26" s="81"/>
      <c r="BZ26" s="81"/>
      <c r="CA26" s="81"/>
      <c r="CB26" s="81"/>
      <c r="CC26" s="81"/>
      <c r="CD26" s="81"/>
      <c r="CE26" s="81"/>
      <c r="CF26" s="81"/>
      <c r="CG26" s="2"/>
      <c r="CH26" s="89" t="s">
        <v>1254</v>
      </c>
      <c r="CI26" s="83"/>
      <c r="CJ26" s="109" t="str">
        <f>IF('User Scenario'!S20="",LFL_Mix,'User Scenario'!S20)</f>
        <v/>
      </c>
      <c r="CK26" s="83"/>
      <c r="CL26" s="89" t="s">
        <v>1021</v>
      </c>
      <c r="CM26" s="83"/>
    </row>
    <row r="27" spans="1:91" ht="15" customHeight="1" x14ac:dyDescent="0.25">
      <c r="A27" s="83"/>
      <c r="B27" s="92" t="s">
        <v>2216</v>
      </c>
      <c r="C27" s="83"/>
      <c r="D27" s="840">
        <f t="array" ref="D27:D35">IF(OR(T&lt;TBp,Fract_Key_Mix&lt;&gt;"",Fract_Key_Chemical&gt;0),adiabaticFlash(T,IF(OR(Pseudo_Chem="Yes",Fract_Key_Chemical=1),1,Number_Trials),State,TBp,WFeed_1,T,Act_rel,Molar_Cs,Molar_HtVap,VP_A,VP_B,VP_C,Rel_1,Rel_2,Rel_3,Rel_4,Rel_5,Feed_1,Feed_2,Feed_3,Feed_4,Feed_5,Alpha_1,Alpha_2,Alpha_3,Alpha_4,Alpha_5,Mw_1,Mw_2,Mw_3,Mw_4,Mw_5),0)</f>
        <v>0</v>
      </c>
      <c r="E27" s="83"/>
      <c r="F27" s="840">
        <f t="shared" ref="F27:X42" si="10">$D27</f>
        <v>0</v>
      </c>
      <c r="G27" s="83"/>
      <c r="H27" s="840">
        <f t="shared" si="10"/>
        <v>0</v>
      </c>
      <c r="I27" s="83"/>
      <c r="J27" s="840">
        <f t="shared" si="10"/>
        <v>0</v>
      </c>
      <c r="K27" s="83"/>
      <c r="L27" s="840">
        <f t="array" ref="L27:L35">IF(OR(T&lt;TBp,Fract_Key_Mix&lt;&gt;"",Fract_Key_Chemical&gt;0),adiabaticFlash(L9,IF(Fract_Key_Chemical=1,1,Number_Trials),State,TBp,Fract_Key_Chemical,T,Act_rel,Molar_Cs,Molar_HtVap,VP_A,VP_B,VP_C,Rel_1*EXP(dRel_1*(L9-T)),Rel_2*EXP(dRel_2*(L9-T)),Rel_3*EXP(dRel_3*(L9-T)),Rel_4*EXP(dRel_4*(L9-T)),Rel_5*EXP(dRel_5*(L9-T)),Feed_1,Feed_2,Feed_3,Feed_4,Feed_5,Alpha_1*EXP(dAlpha_1*(L9-T)),Alpha_2*EXP(dAlpha_2*(L9-T)),Alpha_3*EXP(dAlpha_3*(L9-T)),Alpha_4*EXP(dAlpha_4*(L9-T)),Alpha_5*EXP(dAlpha_5*(L9-T)),Mw_1,Mw_2,Mw_3,Mw_4,Mw_5),0)</f>
        <v>0</v>
      </c>
      <c r="M27" s="83"/>
      <c r="N27" s="840">
        <f t="shared" ref="N27:N34" si="11">$D27</f>
        <v>0</v>
      </c>
      <c r="O27" s="83"/>
      <c r="P27" s="840">
        <f t="shared" ref="P27:P34" si="12">$D27</f>
        <v>0</v>
      </c>
      <c r="Q27" s="83"/>
      <c r="R27" s="884">
        <f t="shared" ref="R27:T34" si="13">$D27</f>
        <v>0</v>
      </c>
      <c r="S27" s="83"/>
      <c r="T27" s="840">
        <f t="shared" si="13"/>
        <v>0</v>
      </c>
      <c r="U27" s="83"/>
      <c r="V27" s="840">
        <f t="shared" ref="V27:V34" si="14">$D27</f>
        <v>0</v>
      </c>
      <c r="W27" s="83"/>
      <c r="X27" s="840">
        <f t="shared" ref="X27:X34" si="15">$D27</f>
        <v>0</v>
      </c>
      <c r="Y27" s="83"/>
      <c r="Z27" s="92"/>
      <c r="AA27" s="83"/>
      <c r="AB27" s="81"/>
      <c r="AC27" s="3283" t="s">
        <v>2216</v>
      </c>
      <c r="AD27" s="81"/>
      <c r="AE27" s="840">
        <f t="shared" ref="AE27:AE34" si="16">$D27</f>
        <v>0</v>
      </c>
      <c r="AF27" s="81"/>
      <c r="AG27" s="840">
        <f t="shared" ref="AG27:AG34" si="17">$D27</f>
        <v>0</v>
      </c>
      <c r="AH27" s="81"/>
      <c r="AI27" s="840">
        <f t="shared" ref="AI27:AI34" si="18">$D27</f>
        <v>0</v>
      </c>
      <c r="AJ27" s="81"/>
      <c r="AK27" s="840">
        <f t="array" ref="AK27:AK35">IF(OR(T&lt;TBp,Fract_Key_Mix&lt;&gt;"",Fract_Key_Chemical&gt;0),adiabaticFlash(AK9,IF(Fract_Key_Chemical=1,1,Number_Trials),State,TBp,Fract_Key_Chemical,T,Act_rel,Molar_Cs,Molar_HtVap,VP_A,VP_B,VP_C,Rel_1*EXP(dRel_1*(AK9-T)),Rel_2*EXP(dRel_2*(AK9-T)),Rel_3*EXP(dRel_3*(AK9-T)),Rel_4*EXP(dRel_4*(AK9-T)),Rel_5*EXP(dRel_5*(AK9-T)),Feed_1,Feed_2,Feed_3,Feed_4,Feed_5,Alpha_1*EXP(dAlpha_1*(AK9-T)),Alpha_2*EXP(dAlpha_2*(AK9-T)),Alpha_3*EXP(dAlpha_3*(AK9-T)),Alpha_4*EXP(dAlpha_4*(AK9-T)),Alpha_5*EXP(dAlpha_5*(AK9-T)),Mw_1,Mw_2,Mw_3,Mw_4,Mw_5),0)</f>
        <v>0</v>
      </c>
      <c r="AL27" s="81"/>
      <c r="AM27" s="840">
        <f t="shared" ref="AM27:AM34" si="19">$D27</f>
        <v>0</v>
      </c>
      <c r="AN27" s="81"/>
      <c r="AO27" s="840">
        <f t="array" ref="AO27:AO35">IF(HT_Fract_1&gt;0,adiabaticFlash(Heating_T,IF(HT_Fract_1=1,1,Number_Trials),Heating_Media_State,HT_BP,HT_Fract_1,Heating_T,ActHT_1,HT_Liq_C*MwHT_Feed,HT_Lat_Ht*HT_Mw,VPHT_A,VPHT_B,VPHT_C,RelHT_1,RelHT_2,RelHT_3,RelHT_4,RelHT_5,HTFeed_1,HTFeed_2,HTFeed_3,HTFeed_4,HTFeed_5,AlphaHT_1,AlphaHT_2,AlphaHT_3,AlphaHT_4,AlphaHT_5,MwHT_1,MwHT_2,MwHT_3,MwHT_4,MwHT_5),0)</f>
        <v>0</v>
      </c>
      <c r="AP27" s="81"/>
      <c r="AQ27" s="92"/>
      <c r="AR27" s="81"/>
      <c r="AS27" s="83"/>
      <c r="AT27" s="23" t="str">
        <f>B29</f>
        <v/>
      </c>
      <c r="AU27" s="83"/>
      <c r="AV27" s="1268">
        <v>0</v>
      </c>
      <c r="AW27" s="83"/>
      <c r="AX27" s="1284">
        <f t="shared" si="2"/>
        <v>0</v>
      </c>
      <c r="AY27" s="83"/>
      <c r="AZ27" s="1284">
        <f t="shared" si="3"/>
        <v>0</v>
      </c>
      <c r="BA27" s="83"/>
      <c r="BB27" s="1284">
        <f t="shared" si="4"/>
        <v>0</v>
      </c>
      <c r="BC27" s="83"/>
      <c r="BD27" s="1284">
        <f t="shared" si="5"/>
        <v>0</v>
      </c>
      <c r="BE27" s="83"/>
      <c r="BF27" s="1284">
        <f t="shared" si="6"/>
        <v>0</v>
      </c>
      <c r="BG27" s="83"/>
      <c r="BH27" s="1284">
        <f t="shared" si="7"/>
        <v>0</v>
      </c>
      <c r="BI27" s="83"/>
      <c r="BJ27" s="1284">
        <f t="shared" si="8"/>
        <v>0</v>
      </c>
      <c r="BK27" s="83"/>
      <c r="BL27" s="1284">
        <f t="shared" si="9"/>
        <v>0</v>
      </c>
      <c r="BM27" s="83"/>
      <c r="BN27" s="1575"/>
      <c r="BO27" s="83"/>
      <c r="BP27" s="85"/>
      <c r="BQ27" s="83"/>
      <c r="BR27" s="81"/>
      <c r="BS27" s="3283" t="s">
        <v>2216</v>
      </c>
      <c r="BT27" s="81"/>
      <c r="BU27" s="884">
        <f t="shared" ref="BU27:BW35" si="20">$D27</f>
        <v>0</v>
      </c>
      <c r="BV27" s="237"/>
      <c r="BW27" s="884">
        <f t="shared" ref="BW27:BW34" si="21">$D27</f>
        <v>0</v>
      </c>
      <c r="BX27" s="237"/>
      <c r="BY27" s="840">
        <f t="array" ref="BY27:BY35">IF(OR(BY15&lt;TBp,Fract_Key_Mix&lt;&gt;"",Fract_Key_Chemical&gt;0),adiabaticFlash(BY15,IF(Fract_Key_Chemical=1,1,Number_Trials),State,TBp,Fract_Key_Chemical,T,Act_rel,Molar_Cs,Molar_HtVap,VP_A,VP_B,VP_C,Rel_1*EXP(dRel_1*(BY15-T)),Rel_2*EXP(dRel_2*(BY15-T)),Rel_3*EXP(dRel_3*(BY15-T)),Rel_4*EXP(dRel_4*(BY15-T)),Rel_5*EXP(dRel_5*(BY15-T)),Feed_1,Feed_2,Feed_3,Feed_4,Feed_5,Alpha_1*EXP(dAlpha_1*(BY15-T)),Alpha_2*EXP(dAlpha_2*(BY15-T)),Alpha_3*EXP(dAlpha_3*(BY15-T)),Alpha_4*EXP(dAlpha_4*(BY15-T)),Alpha_5*EXP(dAlpha_5*(BY15-T)),Mw_1,Mw_2,Mw_3,Mw_4,Mw_5),0)</f>
        <v>0</v>
      </c>
      <c r="BZ27" s="237"/>
      <c r="CA27" s="840">
        <f t="array" ref="CA27:CA35">IF(OR(CA15&lt;TBp,Fract_Key_Mix&lt;&gt;"",Fract_Key_Chemical&gt;0),adiabaticFlash(CA15,IF(Fract_Key_Chemical=1,1,Number_Trials),State,TBp,Fract_Key_Chemical,T,Act_rel,Molar_Cs,Molar_HtVap,VP_A,VP_B,VP_C,Rel_1*EXP(dRel_1*(CA15-T)),Rel_2*EXP(dRel_2*(CA15-T)),Rel_3*EXP(dRel_3*(CA15-T)),Rel_4*EXP(dRel_4*(CA15-T)),Rel_5*EXP(dRel_5*(CA15-T)),Feed_1,Feed_2,Feed_3,Feed_4,Feed_5,Alpha_1*EXP(dAlpha_1*(CA15-T)),Alpha_2*EXP(dAlpha_2*(CA15-T)),Alpha_3*EXP(dAlpha_3*(CA15-T)),Alpha_4*EXP(dAlpha_4*(CA15-T)),Alpha_5*EXP(dAlpha_5*(CA15-T)),Mw_1,Mw_2,Mw_3,Mw_4,Mw_5),0)</f>
        <v>0</v>
      </c>
      <c r="CB27" s="237"/>
      <c r="CC27" s="840">
        <f t="array" ref="CC27:CC35">IF(OR(CC15&lt;TBp,Fract_Key_Mix&lt;&gt;"",Fract_Key_Chemical&gt;0),adiabaticFlash(CC15,IF(Fract_Key_Chemical=1,1,Number_Trials),State,TBp,Fract_Key_Chemical,T,Act_rel,Molar_Cs,Molar_HtVap,VP_A,VP_B,VP_C,Rel_1*EXP(dRel_1*(CC15-T)),Rel_2*EXP(dRel_2*(CC15-T)),Rel_3*EXP(dRel_3*(CC15-T)),Rel_4*EXP(dRel_4*(CC15-T)),Rel_5*EXP(dRel_5*(CC15-T)),Feed_1,Feed_2,Feed_3,Feed_4,Feed_5,Alpha_1*EXP(dAlpha_1*(CC15-T)),Alpha_2*EXP(dAlpha_2*(CC15-T)),Alpha_3*EXP(dAlpha_3*(CC15-T)),Alpha_4*EXP(dAlpha_4*(CC15-T)),Alpha_5*EXP(dAlpha_5*(CC15-T)),Mw_1,Mw_2,Mw_3,Mw_4,Mw_5),0)</f>
        <v>0</v>
      </c>
      <c r="CD27" s="81"/>
      <c r="CE27" s="92"/>
      <c r="CF27" s="81"/>
      <c r="CG27" s="2"/>
      <c r="CH27" s="92" t="s">
        <v>5046</v>
      </c>
      <c r="CI27" s="83"/>
      <c r="CJ27" s="2997">
        <v>1</v>
      </c>
      <c r="CK27" s="83"/>
      <c r="CL27" s="23"/>
      <c r="CM27" s="83"/>
    </row>
    <row r="28" spans="1:91" ht="15" customHeight="1" thickBot="1" x14ac:dyDescent="0.3">
      <c r="A28" s="83"/>
      <c r="B28" s="85" t="s">
        <v>2192</v>
      </c>
      <c r="C28" s="83"/>
      <c r="D28" s="1292">
        <v>0</v>
      </c>
      <c r="E28" s="1293"/>
      <c r="F28" s="1292">
        <f t="shared" si="10"/>
        <v>0</v>
      </c>
      <c r="G28" s="1293"/>
      <c r="H28" s="1292">
        <f t="shared" si="10"/>
        <v>0</v>
      </c>
      <c r="I28" s="1293"/>
      <c r="J28" s="1292">
        <f t="shared" si="10"/>
        <v>0</v>
      </c>
      <c r="K28" s="1293"/>
      <c r="L28" s="1292">
        <v>0</v>
      </c>
      <c r="M28" s="1293"/>
      <c r="N28" s="1292">
        <f t="shared" si="11"/>
        <v>0</v>
      </c>
      <c r="O28" s="1293"/>
      <c r="P28" s="1292">
        <f t="shared" si="12"/>
        <v>0</v>
      </c>
      <c r="Q28" s="1293"/>
      <c r="R28" s="2086">
        <f t="shared" si="13"/>
        <v>0</v>
      </c>
      <c r="S28" s="1293"/>
      <c r="T28" s="1292">
        <f t="shared" si="13"/>
        <v>0</v>
      </c>
      <c r="U28" s="1293"/>
      <c r="V28" s="1292">
        <f t="shared" si="14"/>
        <v>0</v>
      </c>
      <c r="W28" s="1293"/>
      <c r="X28" s="1292">
        <f t="shared" si="15"/>
        <v>0</v>
      </c>
      <c r="Y28" s="83"/>
      <c r="Z28" s="85" t="s">
        <v>1412</v>
      </c>
      <c r="AA28" s="83"/>
      <c r="AB28" s="81"/>
      <c r="AC28" s="3284" t="s">
        <v>2192</v>
      </c>
      <c r="AD28" s="81"/>
      <c r="AE28" s="1292">
        <f t="shared" si="16"/>
        <v>0</v>
      </c>
      <c r="AF28" s="868"/>
      <c r="AG28" s="1292">
        <f t="shared" si="17"/>
        <v>0</v>
      </c>
      <c r="AH28" s="868"/>
      <c r="AI28" s="1292">
        <f t="shared" si="18"/>
        <v>0</v>
      </c>
      <c r="AJ28" s="868"/>
      <c r="AK28" s="1292">
        <v>0</v>
      </c>
      <c r="AL28" s="868"/>
      <c r="AM28" s="1292">
        <f t="shared" si="19"/>
        <v>0</v>
      </c>
      <c r="AN28" s="81"/>
      <c r="AO28" s="1292">
        <v>0</v>
      </c>
      <c r="AP28" s="81"/>
      <c r="AQ28" s="85" t="s">
        <v>1412</v>
      </c>
      <c r="AR28" s="81"/>
      <c r="AS28" s="83"/>
      <c r="AT28" s="23" t="str">
        <f t="shared" ref="AT28:AT31" si="22">B30</f>
        <v/>
      </c>
      <c r="AU28" s="83"/>
      <c r="AV28" s="1268">
        <v>0</v>
      </c>
      <c r="AW28" s="83"/>
      <c r="AX28" s="1284">
        <f t="shared" si="2"/>
        <v>0</v>
      </c>
      <c r="AY28" s="83"/>
      <c r="AZ28" s="1284">
        <f t="shared" si="3"/>
        <v>0</v>
      </c>
      <c r="BA28" s="83"/>
      <c r="BB28" s="1284">
        <f t="shared" si="4"/>
        <v>0</v>
      </c>
      <c r="BC28" s="83"/>
      <c r="BD28" s="1284">
        <f t="shared" si="5"/>
        <v>0</v>
      </c>
      <c r="BE28" s="83"/>
      <c r="BF28" s="1284">
        <f t="shared" si="6"/>
        <v>0</v>
      </c>
      <c r="BG28" s="83"/>
      <c r="BH28" s="1284">
        <f t="shared" si="7"/>
        <v>0</v>
      </c>
      <c r="BI28" s="83"/>
      <c r="BJ28" s="1284">
        <f t="shared" si="8"/>
        <v>0</v>
      </c>
      <c r="BK28" s="83"/>
      <c r="BL28" s="1284">
        <f t="shared" si="9"/>
        <v>0</v>
      </c>
      <c r="BM28" s="83"/>
      <c r="BN28" s="1575"/>
      <c r="BO28" s="83"/>
      <c r="BP28" s="85"/>
      <c r="BQ28" s="83"/>
      <c r="BR28" s="81"/>
      <c r="BS28" s="3284" t="s">
        <v>2192</v>
      </c>
      <c r="BT28" s="81"/>
      <c r="BU28" s="467">
        <f t="shared" si="20"/>
        <v>0</v>
      </c>
      <c r="BV28" s="868"/>
      <c r="BW28" s="467">
        <f t="shared" si="21"/>
        <v>0</v>
      </c>
      <c r="BX28" s="868"/>
      <c r="BY28" s="1292">
        <v>0</v>
      </c>
      <c r="BZ28" s="868"/>
      <c r="CA28" s="1292">
        <v>0</v>
      </c>
      <c r="CB28" s="868"/>
      <c r="CC28" s="1292">
        <v>0</v>
      </c>
      <c r="CD28" s="81"/>
      <c r="CE28" s="85" t="s">
        <v>1836</v>
      </c>
      <c r="CF28" s="81"/>
      <c r="CG28" s="2"/>
      <c r="CH28" s="1691" t="s">
        <v>5047</v>
      </c>
      <c r="CI28" s="83"/>
      <c r="CJ28" s="2998">
        <f>12.2*CJ27*CJ20/(T+273)</f>
        <v>0</v>
      </c>
      <c r="CK28" s="83"/>
      <c r="CL28" s="23"/>
      <c r="CM28" s="83"/>
    </row>
    <row r="29" spans="1:91" ht="15" customHeight="1" thickBot="1" x14ac:dyDescent="0.3">
      <c r="A29" s="83"/>
      <c r="B29" s="23" t="str">
        <f>IF(B17="","","Liquid Mol Fraction "&amp;B17)</f>
        <v/>
      </c>
      <c r="C29" s="83"/>
      <c r="D29" s="1268">
        <v>0</v>
      </c>
      <c r="E29" s="83"/>
      <c r="F29" s="1268">
        <f t="shared" si="10"/>
        <v>0</v>
      </c>
      <c r="G29" s="83"/>
      <c r="H29" s="1268">
        <f t="shared" si="10"/>
        <v>0</v>
      </c>
      <c r="I29" s="83"/>
      <c r="J29" s="1268">
        <f t="shared" si="10"/>
        <v>0</v>
      </c>
      <c r="K29" s="83"/>
      <c r="L29" s="1268">
        <v>0</v>
      </c>
      <c r="M29" s="83"/>
      <c r="N29" s="1268">
        <f t="shared" si="11"/>
        <v>0</v>
      </c>
      <c r="O29" s="83"/>
      <c r="P29" s="1268">
        <f t="shared" si="12"/>
        <v>0</v>
      </c>
      <c r="Q29" s="83"/>
      <c r="R29" s="1289">
        <f t="shared" si="13"/>
        <v>0</v>
      </c>
      <c r="S29" s="83"/>
      <c r="T29" s="1268">
        <f t="shared" si="13"/>
        <v>0</v>
      </c>
      <c r="U29" s="83"/>
      <c r="V29" s="1268">
        <f t="shared" si="14"/>
        <v>0</v>
      </c>
      <c r="W29" s="83"/>
      <c r="X29" s="1268">
        <f t="shared" si="15"/>
        <v>0</v>
      </c>
      <c r="Y29" s="83"/>
      <c r="Z29" s="85"/>
      <c r="AA29" s="83"/>
      <c r="AB29" s="81"/>
      <c r="AC29" s="3287" t="str">
        <f>B29</f>
        <v/>
      </c>
      <c r="AD29" s="81"/>
      <c r="AE29" s="1268">
        <f t="shared" si="16"/>
        <v>0</v>
      </c>
      <c r="AF29" s="81"/>
      <c r="AG29" s="1268">
        <f t="shared" si="17"/>
        <v>0</v>
      </c>
      <c r="AH29" s="81"/>
      <c r="AI29" s="1268">
        <f t="shared" si="18"/>
        <v>0</v>
      </c>
      <c r="AJ29" s="81"/>
      <c r="AK29" s="1268">
        <v>0</v>
      </c>
      <c r="AL29" s="81"/>
      <c r="AM29" s="1268">
        <f t="shared" si="19"/>
        <v>0</v>
      </c>
      <c r="AN29" s="81"/>
      <c r="AO29" s="1268">
        <v>0</v>
      </c>
      <c r="AP29" s="81"/>
      <c r="AQ29" s="85"/>
      <c r="AR29" s="81"/>
      <c r="AS29" s="83"/>
      <c r="AT29" s="23" t="str">
        <f t="shared" si="22"/>
        <v/>
      </c>
      <c r="AU29" s="83"/>
      <c r="AV29" s="1268">
        <v>0</v>
      </c>
      <c r="AW29" s="83"/>
      <c r="AX29" s="1284">
        <f t="shared" si="2"/>
        <v>0</v>
      </c>
      <c r="AY29" s="83"/>
      <c r="AZ29" s="1284">
        <f t="shared" si="3"/>
        <v>0</v>
      </c>
      <c r="BA29" s="83"/>
      <c r="BB29" s="1284">
        <f t="shared" si="4"/>
        <v>0</v>
      </c>
      <c r="BC29" s="83"/>
      <c r="BD29" s="1284">
        <f t="shared" si="5"/>
        <v>0</v>
      </c>
      <c r="BE29" s="83"/>
      <c r="BF29" s="1284">
        <f t="shared" si="6"/>
        <v>0</v>
      </c>
      <c r="BG29" s="83"/>
      <c r="BH29" s="1284">
        <f t="shared" si="7"/>
        <v>0</v>
      </c>
      <c r="BI29" s="83"/>
      <c r="BJ29" s="1284">
        <f t="shared" si="8"/>
        <v>0</v>
      </c>
      <c r="BK29" s="83"/>
      <c r="BL29" s="1284">
        <f t="shared" si="9"/>
        <v>0</v>
      </c>
      <c r="BM29" s="83"/>
      <c r="BN29" s="1575"/>
      <c r="BO29" s="83"/>
      <c r="BP29" s="85"/>
      <c r="BQ29" s="83"/>
      <c r="BR29" s="81"/>
      <c r="BS29" s="3223" t="str">
        <f>B29</f>
        <v/>
      </c>
      <c r="BT29" s="81"/>
      <c r="BU29" s="1288">
        <f t="shared" si="20"/>
        <v>0</v>
      </c>
      <c r="BV29" s="236"/>
      <c r="BW29" s="1288">
        <f t="shared" si="21"/>
        <v>0</v>
      </c>
      <c r="BX29" s="236"/>
      <c r="BY29" s="1268">
        <v>0</v>
      </c>
      <c r="BZ29" s="236"/>
      <c r="CA29" s="1268">
        <v>0</v>
      </c>
      <c r="CB29" s="236"/>
      <c r="CC29" s="1268">
        <v>0</v>
      </c>
      <c r="CD29" s="81"/>
      <c r="CE29" s="85"/>
      <c r="CF29" s="81"/>
      <c r="CG29" s="2"/>
      <c r="CH29" s="2993" t="s">
        <v>5048</v>
      </c>
      <c r="CI29" s="83"/>
      <c r="CJ29" s="2999">
        <f>9.8*(CJ28-Air_Dens)/Air_Dens</f>
        <v>-9.8000000000000007</v>
      </c>
      <c r="CK29" s="83"/>
      <c r="CL29" s="23"/>
      <c r="CM29" s="83"/>
    </row>
    <row r="30" spans="1:91" ht="15" customHeight="1" x14ac:dyDescent="0.25">
      <c r="A30" s="83"/>
      <c r="B30" s="23" t="str">
        <f t="shared" ref="B30:B33" si="23">IF(B18="","","Liquid Mol Fraction "&amp;B18)</f>
        <v/>
      </c>
      <c r="C30" s="83"/>
      <c r="D30" s="1268">
        <v>0</v>
      </c>
      <c r="E30" s="83"/>
      <c r="F30" s="1268">
        <f t="shared" si="10"/>
        <v>0</v>
      </c>
      <c r="G30" s="83"/>
      <c r="H30" s="1268">
        <f t="shared" si="10"/>
        <v>0</v>
      </c>
      <c r="I30" s="83"/>
      <c r="J30" s="1268">
        <f t="shared" si="10"/>
        <v>0</v>
      </c>
      <c r="K30" s="83"/>
      <c r="L30" s="1268">
        <v>0</v>
      </c>
      <c r="M30" s="83"/>
      <c r="N30" s="1268">
        <f t="shared" si="11"/>
        <v>0</v>
      </c>
      <c r="O30" s="83"/>
      <c r="P30" s="1268">
        <f t="shared" si="12"/>
        <v>0</v>
      </c>
      <c r="Q30" s="83"/>
      <c r="R30" s="1289">
        <f t="shared" si="13"/>
        <v>0</v>
      </c>
      <c r="S30" s="83"/>
      <c r="T30" s="1268">
        <f t="shared" si="13"/>
        <v>0</v>
      </c>
      <c r="U30" s="83"/>
      <c r="V30" s="1268">
        <f t="shared" si="14"/>
        <v>0</v>
      </c>
      <c r="W30" s="83"/>
      <c r="X30" s="1268">
        <f t="shared" si="15"/>
        <v>0</v>
      </c>
      <c r="Y30" s="83"/>
      <c r="Z30" s="85"/>
      <c r="AA30" s="83"/>
      <c r="AB30" s="81"/>
      <c r="AC30" s="3223" t="str">
        <f t="shared" ref="AC30:AC33" si="24">B30</f>
        <v/>
      </c>
      <c r="AD30" s="81"/>
      <c r="AE30" s="1268">
        <f t="shared" si="16"/>
        <v>0</v>
      </c>
      <c r="AF30" s="81"/>
      <c r="AG30" s="1268">
        <f t="shared" si="17"/>
        <v>0</v>
      </c>
      <c r="AH30" s="81"/>
      <c r="AI30" s="1268">
        <f t="shared" si="18"/>
        <v>0</v>
      </c>
      <c r="AJ30" s="81"/>
      <c r="AK30" s="1268">
        <v>0</v>
      </c>
      <c r="AL30" s="81"/>
      <c r="AM30" s="1268">
        <f t="shared" si="19"/>
        <v>0</v>
      </c>
      <c r="AN30" s="81"/>
      <c r="AO30" s="1268">
        <v>0</v>
      </c>
      <c r="AP30" s="81"/>
      <c r="AQ30" s="85"/>
      <c r="AR30" s="81"/>
      <c r="AS30" s="83"/>
      <c r="AT30" s="23" t="str">
        <f t="shared" si="22"/>
        <v/>
      </c>
      <c r="AU30" s="83"/>
      <c r="AV30" s="1268">
        <v>0</v>
      </c>
      <c r="AW30" s="83"/>
      <c r="AX30" s="1284">
        <f t="shared" si="2"/>
        <v>0</v>
      </c>
      <c r="AY30" s="83"/>
      <c r="AZ30" s="1284">
        <f t="shared" si="3"/>
        <v>0</v>
      </c>
      <c r="BA30" s="83"/>
      <c r="BB30" s="1284">
        <f t="shared" si="4"/>
        <v>0</v>
      </c>
      <c r="BC30" s="83"/>
      <c r="BD30" s="1284">
        <f t="shared" si="5"/>
        <v>0</v>
      </c>
      <c r="BE30" s="83"/>
      <c r="BF30" s="1284">
        <f t="shared" si="6"/>
        <v>0</v>
      </c>
      <c r="BG30" s="83"/>
      <c r="BH30" s="1284">
        <f t="shared" si="7"/>
        <v>0</v>
      </c>
      <c r="BI30" s="83"/>
      <c r="BJ30" s="1284">
        <f t="shared" si="8"/>
        <v>0</v>
      </c>
      <c r="BK30" s="83"/>
      <c r="BL30" s="1284">
        <f t="shared" si="9"/>
        <v>0</v>
      </c>
      <c r="BM30" s="83"/>
      <c r="BN30" s="1575"/>
      <c r="BO30" s="83"/>
      <c r="BP30" s="85"/>
      <c r="BQ30" s="83"/>
      <c r="BR30" s="81"/>
      <c r="BS30" s="3223" t="str">
        <f t="shared" ref="BS30:BS33" si="25">B30</f>
        <v/>
      </c>
      <c r="BT30" s="81"/>
      <c r="BU30" s="1288">
        <f t="shared" si="20"/>
        <v>0</v>
      </c>
      <c r="BV30" s="236"/>
      <c r="BW30" s="1288">
        <f t="shared" si="21"/>
        <v>0</v>
      </c>
      <c r="BX30" s="236"/>
      <c r="BY30" s="1268">
        <v>0</v>
      </c>
      <c r="BZ30" s="236"/>
      <c r="CA30" s="1268">
        <v>0</v>
      </c>
      <c r="CB30" s="236"/>
      <c r="CC30" s="1268">
        <v>0</v>
      </c>
      <c r="CD30" s="81"/>
      <c r="CE30" s="85"/>
      <c r="CF30" s="81"/>
      <c r="CG30" s="2"/>
      <c r="CH30" s="1689" t="s">
        <v>5058</v>
      </c>
      <c r="CI30" s="83"/>
      <c r="CJ30" s="2426">
        <f>IF(AND(CJ13&lt;&gt;"",CJ$29&gt;0),(CJ$29^2*(CJ13/CJ$28)/Wind^5)^0.2,0)</f>
        <v>0</v>
      </c>
      <c r="CK30" s="83"/>
      <c r="CL30" s="23"/>
      <c r="CM30" s="83"/>
    </row>
    <row r="31" spans="1:91" ht="15" customHeight="1" x14ac:dyDescent="0.25">
      <c r="A31" s="83"/>
      <c r="B31" s="23" t="str">
        <f t="shared" si="23"/>
        <v/>
      </c>
      <c r="C31" s="83"/>
      <c r="D31" s="1268">
        <v>0</v>
      </c>
      <c r="E31" s="83"/>
      <c r="F31" s="1268">
        <f t="shared" si="10"/>
        <v>0</v>
      </c>
      <c r="G31" s="83"/>
      <c r="H31" s="1268">
        <f t="shared" si="10"/>
        <v>0</v>
      </c>
      <c r="I31" s="83"/>
      <c r="J31" s="1268">
        <f t="shared" si="10"/>
        <v>0</v>
      </c>
      <c r="K31" s="83"/>
      <c r="L31" s="1268">
        <v>0</v>
      </c>
      <c r="M31" s="83"/>
      <c r="N31" s="1268">
        <f t="shared" si="11"/>
        <v>0</v>
      </c>
      <c r="O31" s="83"/>
      <c r="P31" s="1268">
        <f t="shared" si="12"/>
        <v>0</v>
      </c>
      <c r="Q31" s="83"/>
      <c r="R31" s="1289">
        <f t="shared" si="13"/>
        <v>0</v>
      </c>
      <c r="S31" s="83"/>
      <c r="T31" s="1268">
        <f t="shared" si="13"/>
        <v>0</v>
      </c>
      <c r="U31" s="83"/>
      <c r="V31" s="1268">
        <f t="shared" si="14"/>
        <v>0</v>
      </c>
      <c r="W31" s="83"/>
      <c r="X31" s="1268">
        <f t="shared" si="15"/>
        <v>0</v>
      </c>
      <c r="Y31" s="83"/>
      <c r="Z31" s="85"/>
      <c r="AA31" s="83"/>
      <c r="AB31" s="81"/>
      <c r="AC31" s="3223" t="str">
        <f t="shared" si="24"/>
        <v/>
      </c>
      <c r="AD31" s="81"/>
      <c r="AE31" s="1268">
        <f t="shared" si="16"/>
        <v>0</v>
      </c>
      <c r="AF31" s="81"/>
      <c r="AG31" s="1268">
        <f t="shared" si="17"/>
        <v>0</v>
      </c>
      <c r="AH31" s="81"/>
      <c r="AI31" s="1268">
        <f t="shared" si="18"/>
        <v>0</v>
      </c>
      <c r="AJ31" s="81"/>
      <c r="AK31" s="1268">
        <v>0</v>
      </c>
      <c r="AL31" s="81"/>
      <c r="AM31" s="1268">
        <f t="shared" si="19"/>
        <v>0</v>
      </c>
      <c r="AN31" s="81"/>
      <c r="AO31" s="1268">
        <v>0</v>
      </c>
      <c r="AP31" s="81"/>
      <c r="AQ31" s="85"/>
      <c r="AR31" s="81"/>
      <c r="AS31" s="83"/>
      <c r="AT31" s="23" t="str">
        <f t="shared" si="22"/>
        <v/>
      </c>
      <c r="AU31" s="83"/>
      <c r="AV31" s="1268">
        <v>0</v>
      </c>
      <c r="AW31" s="83"/>
      <c r="AX31" s="1284">
        <f t="shared" si="2"/>
        <v>0</v>
      </c>
      <c r="AY31" s="83"/>
      <c r="AZ31" s="1284">
        <f t="shared" si="3"/>
        <v>0</v>
      </c>
      <c r="BA31" s="83"/>
      <c r="BB31" s="1284">
        <f t="shared" si="4"/>
        <v>0</v>
      </c>
      <c r="BC31" s="83"/>
      <c r="BD31" s="1284">
        <f t="shared" si="5"/>
        <v>0</v>
      </c>
      <c r="BE31" s="83"/>
      <c r="BF31" s="1284">
        <f t="shared" si="6"/>
        <v>0</v>
      </c>
      <c r="BG31" s="83"/>
      <c r="BH31" s="1284">
        <f t="shared" si="7"/>
        <v>0</v>
      </c>
      <c r="BI31" s="83"/>
      <c r="BJ31" s="1284">
        <f t="shared" si="8"/>
        <v>0</v>
      </c>
      <c r="BK31" s="83"/>
      <c r="BL31" s="1284">
        <f t="shared" si="9"/>
        <v>0</v>
      </c>
      <c r="BM31" s="83"/>
      <c r="BN31" s="1575"/>
      <c r="BO31" s="83"/>
      <c r="BP31" s="85"/>
      <c r="BQ31" s="83"/>
      <c r="BR31" s="81"/>
      <c r="BS31" s="3223" t="str">
        <f t="shared" si="25"/>
        <v/>
      </c>
      <c r="BT31" s="81"/>
      <c r="BU31" s="1288">
        <f t="shared" si="20"/>
        <v>0</v>
      </c>
      <c r="BV31" s="236"/>
      <c r="BW31" s="1288">
        <f t="shared" si="21"/>
        <v>0</v>
      </c>
      <c r="BX31" s="236"/>
      <c r="BY31" s="1268">
        <v>0</v>
      </c>
      <c r="BZ31" s="236"/>
      <c r="CA31" s="1268">
        <v>0</v>
      </c>
      <c r="CB31" s="236"/>
      <c r="CC31" s="1268">
        <v>0</v>
      </c>
      <c r="CD31" s="81"/>
      <c r="CE31" s="85"/>
      <c r="CF31" s="81"/>
      <c r="CG31" s="2"/>
      <c r="CH31" s="1691" t="s">
        <v>5059</v>
      </c>
      <c r="CI31" s="83"/>
      <c r="CJ31" s="3000">
        <f>IF(AND(CJ$29&gt;0,CJ$30&gt;0),CJ$27*0.15^6/CJ$30^5,1)</f>
        <v>1</v>
      </c>
      <c r="CK31" s="83"/>
      <c r="CL31" s="23"/>
      <c r="CM31" s="83"/>
    </row>
    <row r="32" spans="1:91" ht="15" customHeight="1" thickBot="1" x14ac:dyDescent="0.3">
      <c r="A32" s="83"/>
      <c r="B32" s="23" t="str">
        <f t="shared" si="23"/>
        <v/>
      </c>
      <c r="C32" s="83"/>
      <c r="D32" s="1268">
        <v>0</v>
      </c>
      <c r="E32" s="83"/>
      <c r="F32" s="1268">
        <f t="shared" si="10"/>
        <v>0</v>
      </c>
      <c r="G32" s="83"/>
      <c r="H32" s="1268">
        <f t="shared" si="10"/>
        <v>0</v>
      </c>
      <c r="I32" s="83"/>
      <c r="J32" s="1268">
        <f t="shared" si="10"/>
        <v>0</v>
      </c>
      <c r="K32" s="83"/>
      <c r="L32" s="1268">
        <v>0</v>
      </c>
      <c r="M32" s="83"/>
      <c r="N32" s="1268">
        <f t="shared" si="11"/>
        <v>0</v>
      </c>
      <c r="O32" s="83"/>
      <c r="P32" s="1268">
        <f t="shared" si="12"/>
        <v>0</v>
      </c>
      <c r="Q32" s="83"/>
      <c r="R32" s="1289">
        <f t="shared" si="13"/>
        <v>0</v>
      </c>
      <c r="S32" s="83"/>
      <c r="T32" s="1268">
        <f t="shared" si="13"/>
        <v>0</v>
      </c>
      <c r="U32" s="83"/>
      <c r="V32" s="1268">
        <f t="shared" si="14"/>
        <v>0</v>
      </c>
      <c r="W32" s="83"/>
      <c r="X32" s="1268">
        <f t="shared" si="15"/>
        <v>0</v>
      </c>
      <c r="Y32" s="83"/>
      <c r="Z32" s="85"/>
      <c r="AA32" s="83"/>
      <c r="AB32" s="81"/>
      <c r="AC32" s="3223" t="str">
        <f t="shared" si="24"/>
        <v/>
      </c>
      <c r="AD32" s="81"/>
      <c r="AE32" s="1268">
        <f t="shared" si="16"/>
        <v>0</v>
      </c>
      <c r="AF32" s="81"/>
      <c r="AG32" s="1268">
        <f t="shared" si="17"/>
        <v>0</v>
      </c>
      <c r="AH32" s="81"/>
      <c r="AI32" s="1268">
        <f t="shared" si="18"/>
        <v>0</v>
      </c>
      <c r="AJ32" s="81"/>
      <c r="AK32" s="1268">
        <v>0</v>
      </c>
      <c r="AL32" s="81"/>
      <c r="AM32" s="1268">
        <f t="shared" si="19"/>
        <v>0</v>
      </c>
      <c r="AN32" s="81"/>
      <c r="AO32" s="1268">
        <v>0</v>
      </c>
      <c r="AP32" s="81"/>
      <c r="AQ32" s="85"/>
      <c r="AR32" s="81"/>
      <c r="AS32" s="83"/>
      <c r="AT32" s="85" t="s">
        <v>3127</v>
      </c>
      <c r="AU32" s="83"/>
      <c r="AV32" s="1269">
        <v>0</v>
      </c>
      <c r="AW32" s="83"/>
      <c r="AX32" s="1282">
        <f t="shared" si="2"/>
        <v>0</v>
      </c>
      <c r="AY32" s="83"/>
      <c r="AZ32" s="1282">
        <f t="shared" si="3"/>
        <v>0</v>
      </c>
      <c r="BA32" s="83"/>
      <c r="BB32" s="1282">
        <f t="shared" si="4"/>
        <v>0</v>
      </c>
      <c r="BC32" s="83"/>
      <c r="BD32" s="1282">
        <f t="shared" si="5"/>
        <v>0</v>
      </c>
      <c r="BE32" s="83"/>
      <c r="BF32" s="1282">
        <f t="shared" si="6"/>
        <v>0</v>
      </c>
      <c r="BG32" s="83"/>
      <c r="BH32" s="1282">
        <f t="shared" si="7"/>
        <v>0</v>
      </c>
      <c r="BI32" s="83"/>
      <c r="BJ32" s="1282">
        <f t="shared" si="8"/>
        <v>0</v>
      </c>
      <c r="BK32" s="83"/>
      <c r="BL32" s="1282">
        <f t="shared" si="9"/>
        <v>0</v>
      </c>
      <c r="BM32" s="83"/>
      <c r="BN32" s="1580"/>
      <c r="BO32" s="83"/>
      <c r="BP32" s="25"/>
      <c r="BQ32" s="83"/>
      <c r="BR32" s="81"/>
      <c r="BS32" s="3223" t="str">
        <f t="shared" si="25"/>
        <v/>
      </c>
      <c r="BT32" s="81"/>
      <c r="BU32" s="1288">
        <f t="shared" si="20"/>
        <v>0</v>
      </c>
      <c r="BV32" s="236"/>
      <c r="BW32" s="1288">
        <f t="shared" si="21"/>
        <v>0</v>
      </c>
      <c r="BX32" s="236"/>
      <c r="BY32" s="1268">
        <v>0</v>
      </c>
      <c r="BZ32" s="236"/>
      <c r="CA32" s="1268">
        <v>0</v>
      </c>
      <c r="CB32" s="236"/>
      <c r="CC32" s="1268">
        <v>0</v>
      </c>
      <c r="CD32" s="81"/>
      <c r="CE32" s="85"/>
      <c r="CF32" s="81"/>
      <c r="CG32" s="2"/>
      <c r="CH32" s="512" t="s">
        <v>5115</v>
      </c>
      <c r="CI32" s="83"/>
      <c r="CJ32" s="3000">
        <f>LN(IF(CJ$31&lt;CJ$27,IF(LOG(CJ$30)&lt;-0.55,56.2,IF(LOG(CJ$30)&lt;-0.14,10^(1.88+0.24*LOG(CJ$30)),10^(1.78-0.5*LOG(CJ$30))))*(CJ13/(CJ$28*Wind))^0.5,1))</f>
        <v>0</v>
      </c>
      <c r="CK32" s="83"/>
      <c r="CL32" s="23"/>
      <c r="CM32" s="83"/>
    </row>
    <row r="33" spans="1:93" ht="15" customHeight="1" thickBot="1" x14ac:dyDescent="0.3">
      <c r="A33" s="83"/>
      <c r="B33" s="23" t="str">
        <f t="shared" si="23"/>
        <v/>
      </c>
      <c r="C33" s="83"/>
      <c r="D33" s="1268">
        <v>0</v>
      </c>
      <c r="E33" s="83"/>
      <c r="F33" s="1268">
        <f t="shared" si="10"/>
        <v>0</v>
      </c>
      <c r="G33" s="83"/>
      <c r="H33" s="1268">
        <f t="shared" si="10"/>
        <v>0</v>
      </c>
      <c r="I33" s="83"/>
      <c r="J33" s="1268">
        <f t="shared" si="10"/>
        <v>0</v>
      </c>
      <c r="K33" s="83"/>
      <c r="L33" s="1268">
        <v>0</v>
      </c>
      <c r="M33" s="83"/>
      <c r="N33" s="1268">
        <f t="shared" si="11"/>
        <v>0</v>
      </c>
      <c r="O33" s="83"/>
      <c r="P33" s="1268">
        <f t="shared" si="12"/>
        <v>0</v>
      </c>
      <c r="Q33" s="83"/>
      <c r="R33" s="1289">
        <f t="shared" si="13"/>
        <v>0</v>
      </c>
      <c r="S33" s="83"/>
      <c r="T33" s="1268">
        <f t="shared" si="13"/>
        <v>0</v>
      </c>
      <c r="U33" s="83"/>
      <c r="V33" s="1268">
        <f t="shared" si="14"/>
        <v>0</v>
      </c>
      <c r="W33" s="83"/>
      <c r="X33" s="1268">
        <f t="shared" si="15"/>
        <v>0</v>
      </c>
      <c r="Y33" s="83"/>
      <c r="Z33" s="85"/>
      <c r="AA33" s="83"/>
      <c r="AB33" s="81"/>
      <c r="AC33" s="3288" t="str">
        <f t="shared" si="24"/>
        <v/>
      </c>
      <c r="AD33" s="81"/>
      <c r="AE33" s="1268">
        <f t="shared" si="16"/>
        <v>0</v>
      </c>
      <c r="AF33" s="81"/>
      <c r="AG33" s="1268">
        <f t="shared" si="17"/>
        <v>0</v>
      </c>
      <c r="AH33" s="81"/>
      <c r="AI33" s="1268">
        <f t="shared" si="18"/>
        <v>0</v>
      </c>
      <c r="AJ33" s="81"/>
      <c r="AK33" s="1268">
        <v>0</v>
      </c>
      <c r="AL33" s="81"/>
      <c r="AM33" s="1268">
        <f t="shared" si="19"/>
        <v>0</v>
      </c>
      <c r="AN33" s="81"/>
      <c r="AO33" s="1268">
        <v>0</v>
      </c>
      <c r="AP33" s="81"/>
      <c r="AQ33" s="85"/>
      <c r="AR33" s="81"/>
      <c r="AS33" s="83"/>
      <c r="AT33" s="3296" t="s">
        <v>4630</v>
      </c>
      <c r="AU33" s="83"/>
      <c r="AV33" s="2411">
        <v>0</v>
      </c>
      <c r="AW33" s="2420"/>
      <c r="AX33" s="2411">
        <f t="shared" si="2"/>
        <v>0</v>
      </c>
      <c r="AY33" s="2420"/>
      <c r="AZ33" s="2411">
        <f t="shared" si="2"/>
        <v>0</v>
      </c>
      <c r="BA33" s="2420"/>
      <c r="BB33" s="2411">
        <f t="shared" si="2"/>
        <v>0</v>
      </c>
      <c r="BC33" s="2420"/>
      <c r="BD33" s="2411">
        <f t="shared" si="2"/>
        <v>0</v>
      </c>
      <c r="BE33" s="2420"/>
      <c r="BF33" s="2411">
        <f t="shared" si="2"/>
        <v>0</v>
      </c>
      <c r="BG33" s="2420"/>
      <c r="BH33" s="2411">
        <f t="shared" si="2"/>
        <v>0</v>
      </c>
      <c r="BI33" s="2420"/>
      <c r="BJ33" s="2411">
        <f t="shared" si="2"/>
        <v>0</v>
      </c>
      <c r="BK33" s="2420"/>
      <c r="BL33" s="2411">
        <f t="shared" si="2"/>
        <v>0</v>
      </c>
      <c r="BM33" s="83"/>
      <c r="BN33" s="2409"/>
      <c r="BO33" s="83"/>
      <c r="BP33" s="85"/>
      <c r="BQ33" s="83"/>
      <c r="BR33" s="81"/>
      <c r="BS33" s="3223" t="str">
        <f t="shared" si="25"/>
        <v/>
      </c>
      <c r="BT33" s="81"/>
      <c r="BU33" s="1288">
        <f t="shared" si="20"/>
        <v>0</v>
      </c>
      <c r="BV33" s="236"/>
      <c r="BW33" s="1288">
        <f t="shared" si="21"/>
        <v>0</v>
      </c>
      <c r="BX33" s="236"/>
      <c r="BY33" s="1268">
        <v>0</v>
      </c>
      <c r="BZ33" s="236"/>
      <c r="CA33" s="1268">
        <v>0</v>
      </c>
      <c r="CB33" s="236"/>
      <c r="CC33" s="1268">
        <v>0</v>
      </c>
      <c r="CD33" s="81"/>
      <c r="CE33" s="85"/>
      <c r="CF33" s="81"/>
      <c r="CG33" s="2"/>
      <c r="CH33" s="512" t="s">
        <v>5116</v>
      </c>
      <c r="CI33" s="83"/>
      <c r="CJ33" s="3000">
        <f>LN(IF(CJ$31&lt;CJ$27,IF(LOG(CJ$30)&lt;-0.68,83.2,IF(LOG(CJ$30)&lt;-0.29,10^(2.16+0.36*LOG(CJ$30)),IF(LOG(CJ$30)&lt;-0.18,114.8,10^(1.96-0.56*LOG(CJ$30)))))*(CJ13/(CJ$28*Wind))^0.5,1))</f>
        <v>0</v>
      </c>
      <c r="CK33" s="83"/>
      <c r="CL33" s="23"/>
      <c r="CM33" s="83"/>
    </row>
    <row r="34" spans="1:93" ht="15" customHeight="1" thickBot="1" x14ac:dyDescent="0.3">
      <c r="A34" s="83"/>
      <c r="B34" s="85" t="s">
        <v>3127</v>
      </c>
      <c r="C34" s="83"/>
      <c r="D34" s="1269">
        <v>0</v>
      </c>
      <c r="E34" s="83"/>
      <c r="F34" s="1269">
        <f t="shared" si="10"/>
        <v>0</v>
      </c>
      <c r="G34" s="83"/>
      <c r="H34" s="1269">
        <f t="shared" si="10"/>
        <v>0</v>
      </c>
      <c r="I34" s="83"/>
      <c r="J34" s="1269">
        <f t="shared" si="10"/>
        <v>0</v>
      </c>
      <c r="K34" s="83"/>
      <c r="L34" s="1269">
        <v>0</v>
      </c>
      <c r="M34" s="83"/>
      <c r="N34" s="1269">
        <f t="shared" si="11"/>
        <v>0</v>
      </c>
      <c r="O34" s="83"/>
      <c r="P34" s="1269">
        <f t="shared" si="12"/>
        <v>0</v>
      </c>
      <c r="Q34" s="83"/>
      <c r="R34" s="2087">
        <f t="shared" si="13"/>
        <v>0</v>
      </c>
      <c r="S34" s="83"/>
      <c r="T34" s="1269">
        <f t="shared" si="13"/>
        <v>0</v>
      </c>
      <c r="U34" s="83"/>
      <c r="V34" s="1269">
        <f t="shared" si="14"/>
        <v>0</v>
      </c>
      <c r="W34" s="83"/>
      <c r="X34" s="1269">
        <f t="shared" si="15"/>
        <v>0</v>
      </c>
      <c r="Y34" s="83"/>
      <c r="Z34" s="85"/>
      <c r="AA34" s="83"/>
      <c r="AB34" s="81"/>
      <c r="AC34" s="3285" t="s">
        <v>3127</v>
      </c>
      <c r="AD34" s="81"/>
      <c r="AE34" s="1269">
        <f t="shared" si="16"/>
        <v>0</v>
      </c>
      <c r="AF34" s="81"/>
      <c r="AG34" s="1269">
        <f t="shared" si="17"/>
        <v>0</v>
      </c>
      <c r="AH34" s="81"/>
      <c r="AI34" s="1269">
        <f t="shared" si="18"/>
        <v>0</v>
      </c>
      <c r="AJ34" s="81"/>
      <c r="AK34" s="1269">
        <v>0</v>
      </c>
      <c r="AL34" s="81"/>
      <c r="AM34" s="1269">
        <f t="shared" si="19"/>
        <v>0</v>
      </c>
      <c r="AN34" s="81"/>
      <c r="AO34" s="1269">
        <v>0</v>
      </c>
      <c r="AP34" s="81"/>
      <c r="AQ34" s="85"/>
      <c r="AR34" s="81"/>
      <c r="AS34" s="83"/>
      <c r="AT34" s="92" t="s">
        <v>3129</v>
      </c>
      <c r="AU34" s="83"/>
      <c r="AV34" s="840">
        <f t="array" ref="AV34:AV41">IF(AND(AV25&lt;1,OR(Fract_Key_Mix&lt;&gt;"",Fract_Key_Chemical&gt;0)),AerosolCalc(Number_Trials,Trial_Gain,AV26,IF(Liq_rho_atTBp&gt;0,15.24*(Relief_Set/Liq_rho_atTBp)^0.5,0),Mw_Feed,U_droplet,1000*Liq_rho_atTBp,Fv_Relief,AV27,AV28,AV29,AV30,AV31,State,IF(Relief_Discharge_Location="Vent Header to Blow-down Tank",1.2,Relief_Elevation),Ambient_Temp,Act_rel,Molar_Cs,Molar_HtVap,VP_A,VP_B,VP_C,Alpha_1*EXP(dAlpha_1*(TBp_ReliefFlash-T)),Alpha_2*EXP(dAlpha_2*(TBp_ReliefFlash-T)),Alpha_3*EXP(dAlpha_3*(TBp_ReliefFlash-T)),Alpha_4*EXP(dAlpha_4*(TBp_ReliefFlash-T)),Alpha_5*EXP(dAlpha_5*(TBp_ReliefFlash-T)),Act_1,Act_2,Act_3,Act_4,Act_5,Rel_1*EXP(dRel_1*(TBp_ReliefFlash-T)),Rel_2*EXP(dRel_2*(TBp_ReliefFlash-T)),Rel_3*EXP(dRel_3*(TBp_ReliefFlash-T)),Rel_4*EXP(dRel_4*(TBp_ReliefFlash-T)),Rel_5*EXP(dRel_5*(TBp_ReliefFlash-T)),Mw_1,Mw_2,Mw_3,Mw_4,Mw_5),0)</f>
        <v>0</v>
      </c>
      <c r="AW34" s="83"/>
      <c r="AX34" s="1281">
        <f t="shared" si="2"/>
        <v>0</v>
      </c>
      <c r="AY34" s="83"/>
      <c r="AZ34" s="1281">
        <f t="shared" si="3"/>
        <v>0</v>
      </c>
      <c r="BA34" s="83"/>
      <c r="BB34" s="1281">
        <f t="shared" si="4"/>
        <v>0</v>
      </c>
      <c r="BC34" s="83"/>
      <c r="BD34" s="1281">
        <f t="shared" si="5"/>
        <v>0</v>
      </c>
      <c r="BE34" s="83"/>
      <c r="BF34" s="1281">
        <f t="shared" si="6"/>
        <v>0</v>
      </c>
      <c r="BG34" s="83"/>
      <c r="BH34" s="1281">
        <f t="shared" si="7"/>
        <v>0</v>
      </c>
      <c r="BI34" s="83"/>
      <c r="BJ34" s="1281">
        <f t="shared" si="8"/>
        <v>0</v>
      </c>
      <c r="BK34" s="83"/>
      <c r="BL34" s="1281">
        <f t="shared" si="9"/>
        <v>0</v>
      </c>
      <c r="BM34" s="83"/>
      <c r="BN34" s="1581"/>
      <c r="BO34" s="83"/>
      <c r="BP34" s="92"/>
      <c r="BQ34" s="83"/>
      <c r="BR34" s="81"/>
      <c r="BS34" s="3284" t="s">
        <v>3127</v>
      </c>
      <c r="BT34" s="81"/>
      <c r="BU34" s="1409">
        <f t="shared" si="20"/>
        <v>0</v>
      </c>
      <c r="BV34" s="236"/>
      <c r="BW34" s="1409">
        <f t="shared" si="21"/>
        <v>0</v>
      </c>
      <c r="BX34" s="236"/>
      <c r="BY34" s="1269">
        <v>0</v>
      </c>
      <c r="BZ34" s="236"/>
      <c r="CA34" s="1269">
        <v>0</v>
      </c>
      <c r="CB34" s="236"/>
      <c r="CC34" s="1269">
        <v>0</v>
      </c>
      <c r="CD34" s="81"/>
      <c r="CE34" s="25"/>
      <c r="CF34" s="81"/>
      <c r="CG34" s="2"/>
      <c r="CH34" s="512" t="s">
        <v>5117</v>
      </c>
      <c r="CI34" s="83"/>
      <c r="CJ34" s="3000">
        <f>LN(IF(CJ$31&lt;CJ$27,IF(LOG(CJ$30)&lt;-0.69,120.2,IF(LOG(CJ$30)&lt;-0.31,10^(2.39+0.45*LOG(CJ$30)),IF(LOG(CJ$30)&lt;-0.16,177.8,10^(2.16-0.54*LOG(CJ$30)))))*(CJ13/(CJ$28*Wind))^0.5,1))</f>
        <v>0</v>
      </c>
      <c r="CK34" s="83"/>
      <c r="CL34" s="23"/>
      <c r="CM34" s="83"/>
    </row>
    <row r="35" spans="1:93" ht="15" customHeight="1" thickBot="1" x14ac:dyDescent="0.3">
      <c r="A35" s="83"/>
      <c r="B35" s="3296" t="s">
        <v>4630</v>
      </c>
      <c r="C35" s="83"/>
      <c r="D35" s="2411">
        <v>0</v>
      </c>
      <c r="E35" s="1690"/>
      <c r="F35" s="2411">
        <f t="shared" si="10"/>
        <v>0</v>
      </c>
      <c r="G35" s="2410"/>
      <c r="H35" s="2411">
        <f t="shared" si="10"/>
        <v>0</v>
      </c>
      <c r="I35" s="2410"/>
      <c r="J35" s="2411">
        <f t="shared" si="10"/>
        <v>0</v>
      </c>
      <c r="K35" s="2410"/>
      <c r="L35" s="2411">
        <v>0</v>
      </c>
      <c r="M35" s="2410"/>
      <c r="N35" s="2411">
        <f t="shared" si="10"/>
        <v>0</v>
      </c>
      <c r="O35" s="2410"/>
      <c r="P35" s="2411">
        <f t="shared" si="10"/>
        <v>0</v>
      </c>
      <c r="Q35" s="2410"/>
      <c r="R35" s="2411">
        <f t="shared" si="10"/>
        <v>0</v>
      </c>
      <c r="S35" s="2410"/>
      <c r="T35" s="2411">
        <f t="shared" si="10"/>
        <v>0</v>
      </c>
      <c r="U35" s="2410"/>
      <c r="V35" s="2411">
        <f t="shared" si="10"/>
        <v>0</v>
      </c>
      <c r="W35" s="2410"/>
      <c r="X35" s="2411">
        <f t="shared" si="10"/>
        <v>0</v>
      </c>
      <c r="Y35" s="83"/>
      <c r="Z35" s="85"/>
      <c r="AA35" s="83"/>
      <c r="AB35" s="81"/>
      <c r="AC35" s="3286" t="s">
        <v>4630</v>
      </c>
      <c r="AD35" s="81"/>
      <c r="AE35" s="2411">
        <f>$D35</f>
        <v>0</v>
      </c>
      <c r="AF35" s="81"/>
      <c r="AG35" s="2411">
        <f>$D35</f>
        <v>0</v>
      </c>
      <c r="AH35" s="81"/>
      <c r="AI35" s="2411">
        <f>$D35</f>
        <v>0</v>
      </c>
      <c r="AJ35" s="81"/>
      <c r="AK35" s="2411">
        <v>0</v>
      </c>
      <c r="AL35" s="81"/>
      <c r="AM35" s="2411">
        <f>$D35</f>
        <v>0</v>
      </c>
      <c r="AN35" s="81"/>
      <c r="AO35" s="2411">
        <v>0</v>
      </c>
      <c r="AP35" s="81"/>
      <c r="AQ35" s="85"/>
      <c r="AR35" s="81"/>
      <c r="AS35" s="83"/>
      <c r="AT35" s="1271" t="s">
        <v>2183</v>
      </c>
      <c r="AU35" s="83"/>
      <c r="AV35" s="1292">
        <v>0</v>
      </c>
      <c r="AW35" s="1293"/>
      <c r="AX35" s="1292">
        <f t="shared" si="2"/>
        <v>0</v>
      </c>
      <c r="AY35" s="1293"/>
      <c r="AZ35" s="1292">
        <f t="shared" si="3"/>
        <v>0</v>
      </c>
      <c r="BA35" s="1293"/>
      <c r="BB35" s="1292">
        <f t="shared" si="4"/>
        <v>0</v>
      </c>
      <c r="BC35" s="1293"/>
      <c r="BD35" s="1292">
        <f t="shared" si="5"/>
        <v>0</v>
      </c>
      <c r="BE35" s="1293"/>
      <c r="BF35" s="1292">
        <f t="shared" si="6"/>
        <v>0</v>
      </c>
      <c r="BG35" s="1293"/>
      <c r="BH35" s="1292">
        <f t="shared" si="7"/>
        <v>0</v>
      </c>
      <c r="BI35" s="1293"/>
      <c r="BJ35" s="1292">
        <f t="shared" si="8"/>
        <v>0</v>
      </c>
      <c r="BK35" s="1293"/>
      <c r="BL35" s="1292">
        <f t="shared" si="9"/>
        <v>0</v>
      </c>
      <c r="BM35" s="1293"/>
      <c r="BN35" s="1575"/>
      <c r="BO35" s="83"/>
      <c r="BP35" s="85" t="s">
        <v>1836</v>
      </c>
      <c r="BQ35" s="83"/>
      <c r="BR35" s="81"/>
      <c r="BS35" s="3286" t="s">
        <v>4630</v>
      </c>
      <c r="BT35" s="81"/>
      <c r="BU35" s="2411">
        <f t="shared" si="20"/>
        <v>0</v>
      </c>
      <c r="BV35" s="2415"/>
      <c r="BW35" s="2411">
        <f t="shared" si="20"/>
        <v>0</v>
      </c>
      <c r="BX35" s="2415"/>
      <c r="BY35" s="2411">
        <v>0</v>
      </c>
      <c r="BZ35" s="2415"/>
      <c r="CA35" s="2411">
        <v>0</v>
      </c>
      <c r="CB35" s="2415"/>
      <c r="CC35" s="2411">
        <v>0</v>
      </c>
      <c r="CD35" s="81"/>
      <c r="CE35" s="85"/>
      <c r="CF35" s="81"/>
      <c r="CG35" s="2"/>
      <c r="CH35" s="512" t="s">
        <v>5118</v>
      </c>
      <c r="CI35" s="83"/>
      <c r="CJ35" s="3000">
        <f>LN(IF(CJ$31&lt;CJ$27,IF(LOG(CJ$30)&lt;-0.7,177.8,IF(LOG(CJ$30)&lt;-0.29,10^(2.59+0.49*LOG(CJ$30)),IF(LOG(CJ$30)&lt;-0.2,281.8,10^(2.35-0.52*LOG(CJ$30)))))*(CJ13/(CJ$28*Wind))^0.5,1))</f>
        <v>0</v>
      </c>
      <c r="CK35" s="83"/>
      <c r="CL35" s="23"/>
      <c r="CM35" s="83"/>
    </row>
    <row r="36" spans="1:93" ht="15" customHeight="1" x14ac:dyDescent="0.25">
      <c r="A36" s="83"/>
      <c r="B36" s="92" t="s">
        <v>2204</v>
      </c>
      <c r="C36" s="83"/>
      <c r="D36" s="840">
        <f t="array" ref="D36:D43">IF(AND(D27&lt;1,OR(Fract_Key_Mix&lt;&gt;"",Fract_Key_Chemical&gt;0)),AerosolCalc(Number_Trials,Trial_Gain,D28,IF(D26&gt;4,D26,4),Mw_Feed,U_droplet,1000*Liq_rho_atTBp,Fv,D29,D30,D31,D32,D33,State,Equipment_Elevation,Ambient_Temp,Act_rel,Molar_Cs,Molar_HtVap,VP_A,VP_B,VP_C,Alpha_1*EXP(dAlpha_1*(TBp_afterFlash-T)),Alpha_2*EXP(dAlpha_2*(TBp_afterFlash-T)),Alpha_3*EXP(dAlpha_3*(TBp_afterFlash-T)),Alpha_4*EXP(dAlpha_4*(TBp_afterFlash-T)),Alpha_5*EXP(dAlpha_5*(TBp_afterFlash-T)),Act_1,Act_2,Act_3,Act_4,Act_5,Rel_1*EXP(dRel_1*(TBp_afterFlash-T)),Rel_2*EXP(dRel_2*(TBp_afterFlash-T)),Rel_3*EXP(dRel_3*(TBp_afterFlash-T)),Rel_4*EXP(dRel_4*(TBp_afterFlash-T)),Rel_5*EXP(dRel_5*(TBp_afterFlash-T)),Mw_1,Mw_2,Mw_3,Mw_4,Mw_5),0)</f>
        <v>0</v>
      </c>
      <c r="E36" s="83"/>
      <c r="F36" s="840">
        <f t="array" ref="F36:F43">IF(AND(F27&lt;1,OR(Fract_Key_Mix&lt;&gt;"",Fract_Key_Chemical&gt;0)),AerosolCalc(Number_Trials,Trial_Gain,F28,IF(Discharge_Velocity&gt;4,Discharge_Velocity,4),Mw_Feed,U_droplet,1000*Liq_rho_atTBp,Fv,F29,F30,F31,F32,F33,State,Equipment_Elevation,Ambient_Temp,Act_rel,Molar_Cs,Molar_HtVap,VP_A,VP_B,VP_C,Alpha_1*EXP(dAlpha_1*(TBp_afterFlash-T)),Alpha_2*EXP(dAlpha_2*(TBp_afterFlash-T)),Alpha_3*EXP(dAlpha_3*(TBp_afterFlash-T)),Alpha_4*EXP(dAlpha_4*(TBp_afterFlash-T)),Alpha_5*EXP(dAlpha_5*(TBp_afterFlash-T)),Act_1,Act_2,Act_3,Act_4,Act_5,Rel_1*EXP(dRel_1*(TBp_afterFlash-T)),Rel_2*EXP(dRel_2*(TBp_afterFlash-T)),Rel_3*EXP(dRel_3*(TBp_afterFlash-T)),Rel_4*EXP(dRel_4*(TBp_afterFlash-T)),Rel_5*EXP(dRel_5*(TBp_afterFlash-T)),Mw_1,Mw_2,Mw_3,Mw_4,Mw_5),0)</f>
        <v>0</v>
      </c>
      <c r="G36" s="83"/>
      <c r="H36" s="840">
        <f t="array" ref="H36:H43">IF(AND(H27&lt;1,OR(Fract_Key_Mix&lt;&gt;"",Fract_Key_Chemical&gt;0)),AerosolCalc(Number_Trials,Trial_Gain,H28,IF(H26&gt;4,H26,4),Mw_Feed,U_droplet,1000*Liq_rho_atTBp,Fv,H29,H30,H31,H32,H33,State,Equipment_Elevation,Ambient_Temp,Act_rel,Molar_Cs,Molar_HtVap,VP_A,VP_B,VP_C,Alpha_1*EXP(dAlpha_1*(TBp_afterFlash-T)),Alpha_2*EXP(dAlpha_2*(TBp_afterFlash-T)),Alpha_3*EXP(dAlpha_3*(TBp_afterFlash-T)),Alpha_4*EXP(dAlpha_4*(TBp_afterFlash-T)),Alpha_5*EXP(dAlpha_5*(TBp_afterFlash-T)),Act_1,Act_2,Act_3,Act_4,Act_5,Rel_1*EXP(dRel_1*(TBp_afterFlash-T)),Rel_2*EXP(dRel_2*(TBp_afterFlash-T)),Rel_3*EXP(dRel_3*(TBp_afterFlash-T)),Rel_4*EXP(dRel_4*(TBp_afterFlash-T)),Rel_5*EXP(dRel_5*(TBp_afterFlash-T)),Mw_1,Mw_2,Mw_3,Mw_4,Mw_5),0)</f>
        <v>0</v>
      </c>
      <c r="I36" s="83"/>
      <c r="J36" s="1281">
        <f>$F36</f>
        <v>0</v>
      </c>
      <c r="K36" s="83"/>
      <c r="L36" s="840">
        <f t="array" ref="L36:L43">IF(AND(L27&lt;1,OR(Fract_Key_Mix&lt;&gt;"",Fract_Key_Chemical&gt;0)),AerosolCalc(Number_Trials,Trial_Gain,L28,IF(L26&gt;4,L26,4),Mw_Feed,U_droplet,1000*Liq_rho_atTBp,L27,L29,L30,L31,L32,L33,State,Equipment_Elevation,Ambient_Temp,Act_rel,Molar_Cs,Molar_HtVap,VP_A,VP_B,VP_C,Alpha_1*EXP(dAlpha_1*(L28-T)),Alpha_2*EXP(dAlpha_2*(L28-T)),Alpha_3*EXP(dAlpha_3*(L28-T)),Alpha_4*EXP(dAlpha_4*(L28-T)),Alpha_5*EXP(dAlpha_5*(L28-T)),Act_1,Act_2,Act_3,Act_4,Act_5,Rel_1*EXP(dRel_1*(L28-T)),Rel_2*EXP(dRel_2*(L28-T)),Rel_3*EXP(dRel_3*(L28-T)),Rel_4*EXP(dRel_4*(L28-T)),Rel_5*EXP(dRel_5*(L28-T)),Mw_1,Mw_2,Mw_3,Mw_4,Mw_5),0)</f>
        <v>0</v>
      </c>
      <c r="M36" s="83"/>
      <c r="N36" s="840">
        <f t="shared" si="10"/>
        <v>0</v>
      </c>
      <c r="O36" s="83"/>
      <c r="P36" s="1281">
        <f>$F36</f>
        <v>0</v>
      </c>
      <c r="Q36" s="83"/>
      <c r="R36" s="1281">
        <f>$F36</f>
        <v>0</v>
      </c>
      <c r="S36" s="83"/>
      <c r="T36" s="1281">
        <f>$F36</f>
        <v>0</v>
      </c>
      <c r="U36" s="83"/>
      <c r="V36" s="1281">
        <f>$F36</f>
        <v>0</v>
      </c>
      <c r="W36" s="83"/>
      <c r="X36" s="1281">
        <f>$F36</f>
        <v>0</v>
      </c>
      <c r="Y36" s="83"/>
      <c r="Z36" s="92"/>
      <c r="AA36" s="83"/>
      <c r="AB36" s="81"/>
      <c r="AC36" s="848" t="s">
        <v>2204</v>
      </c>
      <c r="AD36" s="81"/>
      <c r="AE36" s="840">
        <f t="array" ref="AE36:AE43">IF(AND(AE27&lt;1,OR(Fract_Key_Mix&lt;&gt;"",Fract_Key_Chemical&gt;0)),AerosolCalc(Number_Trials,Trial_Gain,AE28,IF(Relief_Velocity&gt;4,Relief_Velocity,4),Mw_Feed,U_droplet,1000*Liq_rho_atTBp,Fv,AE29,AE30,AE31,AE32,AE33,State,IF(Relief_Discharge_Location="Vent Header to Blow-down Tank",1.2,Relief_Elevation),Ambient_Temp,Act_rel,Molar_Cs,Molar_HtVap,VP_A,VP_B,VP_C,Alpha_1*EXP(dAlpha_1*(TBp_afterFlash-T)),Alpha_2*EXP(dAlpha_2*(TBp_afterFlash-T)),Alpha_3*EXP(dAlpha_3*(TBp_afterFlash-T)),Alpha_4*EXP(dAlpha_4*(TBp_afterFlash-T)),Alpha_5*EXP(dAlpha_5*(TBp_afterFlash-T)),Act_1,Act_2,Act_3,Act_4,Act_5,Rel_1*EXP(dRel_1*(TBp_afterFlash-T)),Rel_2*EXP(dRel_2*(TBp_afterFlash-T)),Rel_3*EXP(dRel_3*(TBp_afterFlash-T)),Rel_4*EXP(dRel_4*(TBp_afterFlash-T)),Rel_5*EXP(dRel_5*(TBp_afterFlash-T)),Mw_1,Mw_2,Mw_3,Mw_4,Mw_5),0)</f>
        <v>0</v>
      </c>
      <c r="AF36" s="81"/>
      <c r="AG36" s="840">
        <f t="array" ref="AG36:AG43">IF(AND(AG27&lt;1,OR(Fract_Key_Mix&lt;&gt;"",Fract_Key_Chemical&gt;0)),AerosolCalc(Number_Trials,Trial_Gain,AG28,IF(Relief_Velocity&gt;4,Relief_Velocity,4),Mw_Feed,U_droplet,1000*Liq_rho_atTBp,Fv,AG29,AG30,AG31,AG32,AG33,State,IF(Relief_Discharge_Location="Vent Header to Blow-down Tank",1.2,Relief_Elevation),Ambient_Temp,Act_rel,Molar_Cs,Molar_HtVap,VP_A,VP_B,VP_C,Alpha_1*EXP(dAlpha_1*(TBp_afterFlash-T)),Alpha_2*EXP(dAlpha_2*(TBp_afterFlash-T)),Alpha_3*EXP(dAlpha_3*(TBp_afterFlash-T)),Alpha_4*EXP(dAlpha_4*(TBp_afterFlash-T)),Alpha_5*EXP(dAlpha_5*(TBp_afterFlash-T)),Act_1,Act_2,Act_3,Act_4,Act_5,Rel_1*EXP(dRel_1*(TBp_afterFlash-T)),Rel_2*EXP(dRel_2*(TBp_afterFlash-T)),Rel_3*EXP(dRel_3*(TBp_afterFlash-T)),Rel_4*EXP(dRel_4*(TBp_afterFlash-T)),Rel_5*EXP(dRel_5*(TBp_afterFlash-T)),Mw_1,Mw_2,Mw_3,Mw_4,Mw_5),0)</f>
        <v>0</v>
      </c>
      <c r="AH36" s="81"/>
      <c r="AI36" s="840">
        <f t="array" ref="AI36:AI43">IF(AND(AI27&lt;1,OR(Fract_Key_Mix&lt;&gt;"",Fract_Key_Chemical&gt;0)),AerosolCalc(Number_Trials,Trial_Gain,AI28,IF(Relief_Velocity&gt;4,Relief_Velocity,4),Mw_Feed,U_droplet,1000*Liq_rho_atTBp,Fv,AI29,AI30,AI31,AI32,AI33,State,IF(Relief_Discharge_Location="Vent Header to Blow-down Tank",1.2,Relief_Elevation),Ambient_Temp,Act_rel,Molar_Cs,Molar_HtVap,VP_A,VP_B,VP_C,Alpha_1*EXP(dAlpha_1*(TBp_afterFlash-T)),Alpha_2*EXP(dAlpha_2*(TBp_afterFlash-T)),Alpha_3*EXP(dAlpha_3*(TBp_afterFlash-T)),Alpha_4*EXP(dAlpha_4*(TBp_afterFlash-T)),Alpha_5*EXP(dAlpha_5*(TBp_afterFlash-T)),Act_1,Act_2,Act_3,Act_4,Act_5,Rel_1*EXP(dRel_1*(TBp_afterFlash-T)),Rel_2*EXP(dRel_2*(TBp_afterFlash-T)),Rel_3*EXP(dRel_3*(TBp_afterFlash-T)),Rel_4*EXP(dRel_4*(TBp_afterFlash-T)),Rel_5*EXP(dRel_5*(TBp_afterFlash-T)),Mw_1,Mw_2,Mw_3,Mw_4,Mw_5),0)</f>
        <v>0</v>
      </c>
      <c r="AJ36" s="81"/>
      <c r="AK36" s="840">
        <f t="array" ref="AK36:AK43">IF(AND(AK27&lt;1,OR(Fract_Key_Mix&lt;&gt;"",Fract_Key_Chemical&gt;0)),AerosolCalc(Number_Trials,Trial_Gain,AK28,IF(Relief_Velocity&gt;4,Relief_Velocity,4),Mw_Feed,U_droplet,1000*Liq_rho_atTBp,Fv,AK29,AK30,AK31,AK32,AK33,State,IF(Relief_Discharge_Location="Vent Header to Blow-down Tank",1.2,Relief_Elevation),Ambient_Temp,Act_rel,Molar_Cs,Molar_HtVap,VP_A,VP_B,VP_C,Alpha_1*EXP(dAlpha_1*(AK28-T)),Alpha_2*EXP(dAlpha_2*(AK28-T)),Alpha_3*EXP(dAlpha_3*(AK28-T)),Alpha_4*EXP(dAlpha_4*(AK28-T)),Alpha_5*EXP(dAlpha_5*(AK28-T)),Act_1,Act_2,Act_3,Act_4,Act_5,Rel_1*EXP(dRel_1*(AK28-T)),Rel_2*EXP(dRel_2*(AK28-T)),Rel_3*EXP(dRel_3*(AK28-T)),Rel_4*EXP(dRel_4*(AK28-T)),Rel_5*EXP(dRel_5*(AK28-T)),Mw_1,Mw_2,Mw_3,Mw_4,Mw_5),0)</f>
        <v>0</v>
      </c>
      <c r="AL36" s="81"/>
      <c r="AM36" s="840">
        <f t="shared" ref="AM36:AM43" si="26">AI36</f>
        <v>0</v>
      </c>
      <c r="AN36" s="81"/>
      <c r="AO36" s="840">
        <f t="array" ref="AO36:AO43">IF(AND(AO27&lt;1,HT_Mw=""),0,AerosolCalc(Number_Trials,Trial_Gain,AO28,IF(Relief_Velocity&gt;4,Relief_Velocity,4),Mw_Feed,U_droplet,1000*HT_Liq_rho,AO27,AO29,AO30,AO31,AO32,AO33,Heating_Media_State,IF(Relief_Discharge_Location="Vent Header to Blow-down Tank",1.2,Relief_Elevation),Ambient_Temp,ActHT_1,HT_Liq_C*MwHT_Feed,HT_Lat_Ht*HT_Mw,VPHT_A,VPHT_B,VPHT_C,AlphaHT_1,AlphaHT_2,AlphaHT_3,AlphaHT_4,AlphaHT_5,ActHT_1,ActHT_2,ActHT_3,ActHT_4,ActHT_5,RelHT_1,RelHT_2,RelHT_3,RelHT_4,RelHT_5,MwHT_1,MwHT_2,MwHT_3,MwHT_4,MwHT_5))</f>
        <v>0</v>
      </c>
      <c r="AP36" s="81"/>
      <c r="AQ36" s="92"/>
      <c r="AR36" s="81"/>
      <c r="AS36" s="83"/>
      <c r="AT36" s="1272" t="str">
        <f>B38</f>
        <v/>
      </c>
      <c r="AU36" s="83"/>
      <c r="AV36" s="1268">
        <v>0</v>
      </c>
      <c r="AW36" s="83"/>
      <c r="AX36" s="1268">
        <f t="shared" si="2"/>
        <v>0</v>
      </c>
      <c r="AY36" s="83"/>
      <c r="AZ36" s="1268">
        <f t="shared" si="3"/>
        <v>0</v>
      </c>
      <c r="BA36" s="83"/>
      <c r="BB36" s="1268">
        <f t="shared" si="4"/>
        <v>0</v>
      </c>
      <c r="BC36" s="83"/>
      <c r="BD36" s="1268">
        <f t="shared" si="5"/>
        <v>0</v>
      </c>
      <c r="BE36" s="83"/>
      <c r="BF36" s="1268">
        <f t="shared" si="6"/>
        <v>0</v>
      </c>
      <c r="BG36" s="83"/>
      <c r="BH36" s="1268">
        <f t="shared" si="7"/>
        <v>0</v>
      </c>
      <c r="BI36" s="83"/>
      <c r="BJ36" s="1268">
        <f t="shared" si="8"/>
        <v>0</v>
      </c>
      <c r="BK36" s="83"/>
      <c r="BL36" s="1268">
        <f t="shared" si="9"/>
        <v>0</v>
      </c>
      <c r="BM36" s="83"/>
      <c r="BN36" s="1575"/>
      <c r="BO36" s="83"/>
      <c r="BP36" s="85"/>
      <c r="BQ36" s="83"/>
      <c r="BR36" s="81"/>
      <c r="BS36" s="92" t="s">
        <v>2204</v>
      </c>
      <c r="BT36" s="81"/>
      <c r="BU36" s="3305">
        <f t="array" ref="BU36:BU43">IF(AND(BU27&lt;1,OR(Fract_Key_Mix&lt;&gt;"",Fract_Key_Chemical&gt;0)),AerosolCalc(Number_Trials,Trial_Gain,BU28,IF(Rupture_Velocity&gt;4,Rupture_Velocity,4),Mw_Feed,U_droplet,1000*Liq_rho_atTBp,BU27,BU29,BU30,BU31,BU32,BU33,State,Equipment_Elevation,Ambient_Temp,Act_rel,Molar_Cs,Molar_HtVap,VP_A,VP_B,VP_C,Alpha_1*EXP(dAlpha_1*(BU28-T)),Alpha_2*EXP(dAlpha_2*(BU28-T)),Alpha_3*EXP(dAlpha_3*(BU28-T)),Alpha_4*EXP(dAlpha_4*(BU28-T)),Alpha_5*EXP(dAlpha_5*(BU28-T)),Act_1,Act_2,Act_3,Act_4,Act_5,Rel_1*EXP(dRel_1*(BU28-T)),Rel_2*EXP(dRel_2*(BU28-T)),Rel_3*EXP(dRel_3*(BU28-T)),Rel_4*EXP(dRel_4*(BU28-T)),Rel_5*EXP(dRel_5*(BU28-T)),Mw_1,Mw_2,Mw_3,Mw_4,Mw_5),0)</f>
        <v>0</v>
      </c>
      <c r="BV36" s="236"/>
      <c r="BW36" s="840">
        <f t="array" ref="BW36:BW43">IF(AND(BW27&lt;1,OR(Fract_Key_Mix&lt;&gt;"",Fract_Key_Chemical&gt;0)),AerosolCalc(Number_Trials,Trial_Gain,BW28,IF(Rupture_Velocity&gt;4,Rupture_Velocity,4),Mw_Feed,U_droplet,1000*Liq_rho_atTBp,BW27,BW29,BW30,BW31,BW32,BW33,State,Equipment_Elevation,Ambient_Temp,Act_rel,Molar_Cs,Molar_HtVap,VP_A,VP_B,VP_C,Alpha_1*EXP(dAlpha_1*(BW28-T)),Alpha_2*EXP(dAlpha_2*(BW28-T)),Alpha_3*EXP(dAlpha_3*(BW28-T)),Alpha_4*EXP(dAlpha_4*(BW28-T)),Alpha_5*EXP(dAlpha_5*(BW28-T)),Act_1,Act_2,Act_3,Act_4,Act_5,Rel_1*EXP(dRel_1*(BW28-T)),Rel_2*EXP(dRel_2*(BW28-T)),Rel_3*EXP(dRel_3*(BW28-T)),Rel_4*EXP(dRel_4*(BW28-T)),Rel_5*EXP(dRel_5*(BW28-T)),Mw_1,Mw_2,Mw_3,Mw_4,Mw_5),0)</f>
        <v>0</v>
      </c>
      <c r="BX36" s="236"/>
      <c r="BY36" s="840">
        <f t="array" ref="BY36:BY43">IF(AND(BY27&lt;1,OR(Fract_Key_Mix&lt;&gt;"",Fract_Key_Chemical&gt;0)),AerosolCalc(Number_Trials,Trial_Gain,BY28,IF(Rupture_Velocity&gt;4,Rupture_Velocity,4),Mw_Feed,U_droplet,1000*Liq_rho_atTBp,BY27,BY29,BY30,BY31,BY32,BY33,State,Equipment_Elevation,Ambient_Temp,Act_rel,Molar_Cs,Molar_HtVap,VP_A,VP_B,VP_C,Alpha_1*EXP(dAlpha_1*(BY28-T)),Alpha_2*EXP(dAlpha_2*(BY28-T)),Alpha_3*EXP(dAlpha_3*(BY28-T)),Alpha_4*EXP(dAlpha_4*(BY28-T)),Alpha_5*EXP(dAlpha_5*(BY28-T)),Act_1,Act_2,Act_3,Act_4,Act_5,Rel_1*EXP(dRel_1*(BY28-T)),Rel_2*EXP(dRel_2*(BY28-T)),Rel_3*EXP(dRel_3*(BY28-T)),Rel_4*EXP(dRel_4*(BY28-T)),Rel_5*EXP(dRel_5*(BY28-T)),Mw_1,Mw_2,Mw_3,Mw_4,Mw_5),0)</f>
        <v>0</v>
      </c>
      <c r="BZ36" s="236"/>
      <c r="CA36" s="840">
        <f t="array" ref="CA36:CA43">IF(AND(CA27&lt;1,OR(Fract_Key_Mix&lt;&gt;"",Fract_Key_Chemical&gt;0)),AerosolCalc(Number_Trials,Trial_Gain,CA28,IF(Rupture_Velocity&gt;4,Rupture_Velocity,4),Mw_Feed,U_droplet,1000*Liq_rho_atTBp,CA27,CA29,CA30,CA31,CA32,CA33,State,Equipment_Elevation,Ambient_Temp,Act_rel,Molar_Cs,Molar_HtVap,VP_A,VP_B,VP_C,Alpha_1*EXP(dAlpha_1*(CA28-T)),Alpha_2*EXP(dAlpha_2*(CA28-T)),Alpha_3*EXP(dAlpha_3*(CA28-T)),Alpha_4*EXP(dAlpha_4*(CA28-T)),Alpha_5*EXP(dAlpha_5*(CA28-T)),Act_1,Act_2,Act_3,Act_4,Act_5,Rel_1*EXP(dRel_1*(CA28-T)),Rel_2*EXP(dRel_2*(CA28-T)),Rel_3*EXP(dRel_3*(CA28-T)),Rel_4*EXP(dRel_4*(CA28-T)),Rel_5*EXP(dRel_5*(CA28-T)),Mw_1,Mw_2,Mw_3,Mw_4,Mw_5),0)</f>
        <v>0</v>
      </c>
      <c r="CB36" s="236"/>
      <c r="CC36" s="840">
        <f t="array" ref="CC36:CC43">IF(AND(CC27&lt;1,OR(Fract_Key_Mix&lt;&gt;"",Fract_Key_Chemical&gt;0)),AerosolCalc(Number_Trials,Trial_Gain,CC28,IF(Rupture_Velocity&gt;4,Rupture_Velocity,4),Mw_Feed,U_droplet,1000*Liq_rho_atTBp,CC27,CC29,CC30,CC31,CC32,CC33,State,Equipment_Elevation,Ambient_Temp,Act_rel,Molar_Cs,Molar_HtVap,VP_A,VP_B,VP_C,Alpha_1*EXP(dAlpha_1*(CC28-T)),Alpha_2*EXP(dAlpha_2*(CC28-T)),Alpha_3*EXP(dAlpha_3*(CC28-T)),Alpha_4*EXP(dAlpha_4*(CC28-T)),Alpha_5*EXP(dAlpha_5*(CC28-T)),Act_1,Act_2,Act_3,Act_4,Act_5,Rel_1*EXP(dRel_1*(CC28-T)),Rel_2*EXP(dRel_2*(CC28-T)),Rel_3*EXP(dRel_3*(CC28-T)),Rel_4*EXP(dRel_4*(CC28-T)),Rel_5*EXP(dRel_5*(CC28-T)),Mw_1,Mw_2,Mw_3,Mw_4,Mw_5),0)</f>
        <v>0</v>
      </c>
      <c r="CD36" s="81"/>
      <c r="CE36" s="85"/>
      <c r="CF36" s="81"/>
      <c r="CG36" s="2"/>
      <c r="CH36" s="512" t="s">
        <v>5119</v>
      </c>
      <c r="CI36" s="83"/>
      <c r="CJ36" s="3000">
        <f>LN(IF(CJ$31&lt;CJ$27,IF(LOG(CJ$30)&lt;-0.67,251.2,IF(LOG(CJ$30)&lt;-0.28,10^(2.8+0.59*LOG(CJ$30)),IF(LOG(CJ$30)&lt;-0.15,426.6,10^(2.56-0.49*LOG(CJ$30)))))*(CJ13/(CJ$28*Wind))^0.5,1))</f>
        <v>0</v>
      </c>
      <c r="CK36" s="83"/>
      <c r="CL36" s="23"/>
      <c r="CM36" s="83"/>
    </row>
    <row r="37" spans="1:93" ht="15" customHeight="1" thickBot="1" x14ac:dyDescent="0.3">
      <c r="A37" s="83"/>
      <c r="B37" s="1271" t="s">
        <v>2183</v>
      </c>
      <c r="C37" s="83"/>
      <c r="D37" s="1292">
        <v>0</v>
      </c>
      <c r="E37" s="1293"/>
      <c r="F37" s="1292">
        <v>0</v>
      </c>
      <c r="G37" s="1293"/>
      <c r="H37" s="1292">
        <v>0</v>
      </c>
      <c r="I37" s="1293"/>
      <c r="J37" s="1273">
        <f t="shared" ref="J37:J43" si="27">$F37</f>
        <v>0</v>
      </c>
      <c r="K37" s="1293"/>
      <c r="L37" s="1292">
        <v>0</v>
      </c>
      <c r="M37" s="1293"/>
      <c r="N37" s="1292">
        <f t="shared" si="10"/>
        <v>0</v>
      </c>
      <c r="O37" s="1293"/>
      <c r="P37" s="1273">
        <f t="shared" ref="P37:P43" si="28">$F37</f>
        <v>0</v>
      </c>
      <c r="Q37" s="1293"/>
      <c r="R37" s="1273">
        <f t="shared" ref="R37:R43" si="29">$F37</f>
        <v>0</v>
      </c>
      <c r="S37" s="1293"/>
      <c r="T37" s="1273">
        <f t="shared" ref="T37:T43" si="30">$F37</f>
        <v>0</v>
      </c>
      <c r="U37" s="1293"/>
      <c r="V37" s="1273">
        <f t="shared" ref="V37:V43" si="31">$F37</f>
        <v>0</v>
      </c>
      <c r="W37" s="1293"/>
      <c r="X37" s="1273">
        <f t="shared" ref="X37:X43" si="32">$F37</f>
        <v>0</v>
      </c>
      <c r="Y37" s="83"/>
      <c r="Z37" s="85" t="s">
        <v>1412</v>
      </c>
      <c r="AA37" s="83"/>
      <c r="AB37" s="81"/>
      <c r="AC37" s="848" t="s">
        <v>2193</v>
      </c>
      <c r="AD37" s="81"/>
      <c r="AE37" s="1292">
        <v>0</v>
      </c>
      <c r="AF37" s="868"/>
      <c r="AG37" s="1292">
        <v>0</v>
      </c>
      <c r="AH37" s="868"/>
      <c r="AI37" s="1292">
        <v>0</v>
      </c>
      <c r="AJ37" s="868"/>
      <c r="AK37" s="1292">
        <v>0</v>
      </c>
      <c r="AL37" s="868"/>
      <c r="AM37" s="1292">
        <f t="shared" si="26"/>
        <v>0</v>
      </c>
      <c r="AN37" s="81"/>
      <c r="AO37" s="1292">
        <v>0</v>
      </c>
      <c r="AP37" s="81"/>
      <c r="AQ37" s="85" t="s">
        <v>1412</v>
      </c>
      <c r="AR37" s="81"/>
      <c r="AS37" s="83"/>
      <c r="AT37" s="1272" t="str">
        <f t="shared" ref="AT37:AT40" si="33">B39</f>
        <v/>
      </c>
      <c r="AU37" s="83"/>
      <c r="AV37" s="1268">
        <v>0</v>
      </c>
      <c r="AW37" s="83"/>
      <c r="AX37" s="1268">
        <f t="shared" si="2"/>
        <v>0</v>
      </c>
      <c r="AY37" s="83"/>
      <c r="AZ37" s="1268">
        <f t="shared" si="3"/>
        <v>0</v>
      </c>
      <c r="BA37" s="83"/>
      <c r="BB37" s="1268">
        <f t="shared" si="4"/>
        <v>0</v>
      </c>
      <c r="BC37" s="83"/>
      <c r="BD37" s="1268">
        <f t="shared" si="5"/>
        <v>0</v>
      </c>
      <c r="BE37" s="83"/>
      <c r="BF37" s="1268">
        <f t="shared" si="6"/>
        <v>0</v>
      </c>
      <c r="BG37" s="83"/>
      <c r="BH37" s="1268">
        <f t="shared" si="7"/>
        <v>0</v>
      </c>
      <c r="BI37" s="83"/>
      <c r="BJ37" s="1268">
        <f t="shared" si="8"/>
        <v>0</v>
      </c>
      <c r="BK37" s="83"/>
      <c r="BL37" s="1268">
        <f t="shared" si="9"/>
        <v>0</v>
      </c>
      <c r="BM37" s="83"/>
      <c r="BN37" s="1575"/>
      <c r="BO37" s="83"/>
      <c r="BP37" s="85"/>
      <c r="BQ37" s="83"/>
      <c r="BR37" s="81"/>
      <c r="BS37" s="85" t="s">
        <v>2193</v>
      </c>
      <c r="BT37" s="81"/>
      <c r="BU37" s="1292">
        <v>0</v>
      </c>
      <c r="BV37" s="868"/>
      <c r="BW37" s="1292">
        <v>0</v>
      </c>
      <c r="BX37" s="868"/>
      <c r="BY37" s="1292">
        <v>0</v>
      </c>
      <c r="BZ37" s="868"/>
      <c r="CA37" s="1292">
        <v>0</v>
      </c>
      <c r="CB37" s="868"/>
      <c r="CC37" s="1292">
        <v>0</v>
      </c>
      <c r="CD37" s="81"/>
      <c r="CE37" s="85" t="s">
        <v>1836</v>
      </c>
      <c r="CF37" s="81"/>
      <c r="CG37" s="2"/>
      <c r="CH37" s="512" t="s">
        <v>5120</v>
      </c>
      <c r="CI37" s="83"/>
      <c r="CJ37" s="3000">
        <f>LN(IF(CJ$31&lt;CJ$27,IF(LOG(CJ$30)&lt;-0.69,398.1,IF(LOG(CJ$30)&lt;-0.25,10^(2.87+0.39*LOG(CJ$30)),IF(LOG(CJ$30)&lt;-0.13,588.8,10^(2.71-0.5*LOG(CJ$30)))))*(CJ13/(CJ$28*Wind))^0.5,1))</f>
        <v>0</v>
      </c>
      <c r="CK37" s="83"/>
      <c r="CL37" s="23"/>
      <c r="CM37" s="83"/>
    </row>
    <row r="38" spans="1:93" ht="15" customHeight="1" x14ac:dyDescent="0.25">
      <c r="A38" s="83"/>
      <c r="B38" s="1272" t="str">
        <f>IF(B17="","","Liquid Mol Fraction "&amp;B17)</f>
        <v/>
      </c>
      <c r="C38" s="83"/>
      <c r="D38" s="1268">
        <v>0</v>
      </c>
      <c r="E38" s="83"/>
      <c r="F38" s="1268">
        <v>0</v>
      </c>
      <c r="G38" s="83"/>
      <c r="H38" s="1268">
        <v>0</v>
      </c>
      <c r="I38" s="83"/>
      <c r="J38" s="3256">
        <f t="shared" si="27"/>
        <v>0</v>
      </c>
      <c r="K38" s="83"/>
      <c r="L38" s="1268">
        <v>0</v>
      </c>
      <c r="M38" s="83"/>
      <c r="N38" s="1268">
        <f t="shared" si="10"/>
        <v>0</v>
      </c>
      <c r="O38" s="83"/>
      <c r="P38" s="3256">
        <f t="shared" si="28"/>
        <v>0</v>
      </c>
      <c r="Q38" s="83"/>
      <c r="R38" s="3256">
        <f t="shared" si="29"/>
        <v>0</v>
      </c>
      <c r="S38" s="83"/>
      <c r="T38" s="3256">
        <f t="shared" si="30"/>
        <v>0</v>
      </c>
      <c r="U38" s="83"/>
      <c r="V38" s="3256">
        <f t="shared" si="31"/>
        <v>0</v>
      </c>
      <c r="W38" s="83"/>
      <c r="X38" s="3256">
        <f t="shared" si="32"/>
        <v>0</v>
      </c>
      <c r="Y38" s="83"/>
      <c r="Z38" s="85"/>
      <c r="AA38" s="83"/>
      <c r="AB38" s="81"/>
      <c r="AC38" s="3096" t="str">
        <f>B38</f>
        <v/>
      </c>
      <c r="AD38" s="81"/>
      <c r="AE38" s="1268">
        <v>0</v>
      </c>
      <c r="AF38" s="81"/>
      <c r="AG38" s="1268">
        <v>0</v>
      </c>
      <c r="AH38" s="81"/>
      <c r="AI38" s="1268">
        <v>0</v>
      </c>
      <c r="AJ38" s="81"/>
      <c r="AK38" s="1268">
        <v>0</v>
      </c>
      <c r="AL38" s="81"/>
      <c r="AM38" s="1268">
        <f t="shared" si="26"/>
        <v>0</v>
      </c>
      <c r="AN38" s="81"/>
      <c r="AO38" s="1268">
        <v>0</v>
      </c>
      <c r="AP38" s="81"/>
      <c r="AQ38" s="85"/>
      <c r="AR38" s="81"/>
      <c r="AS38" s="83"/>
      <c r="AT38" s="1272" t="str">
        <f t="shared" si="33"/>
        <v/>
      </c>
      <c r="AU38" s="83"/>
      <c r="AV38" s="1268">
        <v>0</v>
      </c>
      <c r="AW38" s="83"/>
      <c r="AX38" s="1268">
        <f t="shared" si="2"/>
        <v>0</v>
      </c>
      <c r="AY38" s="83"/>
      <c r="AZ38" s="1268">
        <f t="shared" si="3"/>
        <v>0</v>
      </c>
      <c r="BA38" s="83"/>
      <c r="BB38" s="1268">
        <f t="shared" si="4"/>
        <v>0</v>
      </c>
      <c r="BC38" s="83"/>
      <c r="BD38" s="1268">
        <f t="shared" si="5"/>
        <v>0</v>
      </c>
      <c r="BE38" s="83"/>
      <c r="BF38" s="1268">
        <f t="shared" si="6"/>
        <v>0</v>
      </c>
      <c r="BG38" s="83"/>
      <c r="BH38" s="1268">
        <f t="shared" si="7"/>
        <v>0</v>
      </c>
      <c r="BI38" s="83"/>
      <c r="BJ38" s="1268">
        <f t="shared" si="8"/>
        <v>0</v>
      </c>
      <c r="BK38" s="83"/>
      <c r="BL38" s="1268">
        <f t="shared" si="9"/>
        <v>0</v>
      </c>
      <c r="BM38" s="83"/>
      <c r="BN38" s="1575"/>
      <c r="BO38" s="83"/>
      <c r="BP38" s="85"/>
      <c r="BQ38" s="83"/>
      <c r="BR38" s="81"/>
      <c r="BS38" s="3101" t="str">
        <f>B38</f>
        <v/>
      </c>
      <c r="BT38" s="81"/>
      <c r="BU38" s="1268">
        <v>0</v>
      </c>
      <c r="BV38" s="236"/>
      <c r="BW38" s="1268">
        <v>0</v>
      </c>
      <c r="BX38" s="236"/>
      <c r="BY38" s="1268">
        <v>0</v>
      </c>
      <c r="BZ38" s="236"/>
      <c r="CA38" s="1268">
        <v>0</v>
      </c>
      <c r="CB38" s="236"/>
      <c r="CC38" s="1268">
        <v>0</v>
      </c>
      <c r="CD38" s="81"/>
      <c r="CE38" s="85"/>
      <c r="CF38" s="81"/>
      <c r="CG38" s="2"/>
      <c r="CH38" s="2977" t="s">
        <v>5050</v>
      </c>
      <c r="CI38" s="83"/>
      <c r="CJ38" s="1230">
        <f>EXP(INDEX(LINEST($CJ$277:$CJ$282,CJ32:CJ37),2))*((Ambient_Temp+273)/(T+273))*Roughness_A</f>
        <v>8.0110655998420644E-3</v>
      </c>
      <c r="CK38" s="83"/>
      <c r="CL38" s="23"/>
      <c r="CM38" s="83"/>
    </row>
    <row r="39" spans="1:93" ht="15" customHeight="1" x14ac:dyDescent="0.25">
      <c r="A39" s="83"/>
      <c r="B39" s="1272" t="str">
        <f t="shared" ref="B39:B42" si="34">IF(B18="","","Liquid Mol Fraction "&amp;B18)</f>
        <v/>
      </c>
      <c r="C39" s="83"/>
      <c r="D39" s="1268">
        <v>0</v>
      </c>
      <c r="E39" s="83"/>
      <c r="F39" s="1268">
        <v>0</v>
      </c>
      <c r="G39" s="83"/>
      <c r="H39" s="1268">
        <v>0</v>
      </c>
      <c r="I39" s="83"/>
      <c r="J39" s="3256">
        <f t="shared" si="27"/>
        <v>0</v>
      </c>
      <c r="K39" s="83"/>
      <c r="L39" s="1268">
        <v>0</v>
      </c>
      <c r="M39" s="83"/>
      <c r="N39" s="1268">
        <f t="shared" si="10"/>
        <v>0</v>
      </c>
      <c r="O39" s="83"/>
      <c r="P39" s="3256">
        <f t="shared" si="28"/>
        <v>0</v>
      </c>
      <c r="Q39" s="83"/>
      <c r="R39" s="3256">
        <f t="shared" si="29"/>
        <v>0</v>
      </c>
      <c r="S39" s="83"/>
      <c r="T39" s="3256">
        <f t="shared" si="30"/>
        <v>0</v>
      </c>
      <c r="U39" s="83"/>
      <c r="V39" s="3256">
        <f t="shared" si="31"/>
        <v>0</v>
      </c>
      <c r="W39" s="83"/>
      <c r="X39" s="3256">
        <f t="shared" si="32"/>
        <v>0</v>
      </c>
      <c r="Y39" s="83"/>
      <c r="Z39" s="85"/>
      <c r="AA39" s="83"/>
      <c r="AB39" s="81"/>
      <c r="AC39" s="1272" t="str">
        <f t="shared" ref="AC39:AC42" si="35">B39</f>
        <v/>
      </c>
      <c r="AD39" s="81"/>
      <c r="AE39" s="1268">
        <v>0</v>
      </c>
      <c r="AF39" s="81"/>
      <c r="AG39" s="1268">
        <v>0</v>
      </c>
      <c r="AH39" s="81"/>
      <c r="AI39" s="1268">
        <v>0</v>
      </c>
      <c r="AJ39" s="81"/>
      <c r="AK39" s="1268">
        <v>0</v>
      </c>
      <c r="AL39" s="81"/>
      <c r="AM39" s="1268">
        <f t="shared" si="26"/>
        <v>0</v>
      </c>
      <c r="AN39" s="81"/>
      <c r="AO39" s="1268">
        <v>0</v>
      </c>
      <c r="AP39" s="81"/>
      <c r="AQ39" s="85"/>
      <c r="AR39" s="81"/>
      <c r="AS39" s="83"/>
      <c r="AT39" s="1272" t="str">
        <f t="shared" si="33"/>
        <v/>
      </c>
      <c r="AU39" s="83"/>
      <c r="AV39" s="1268">
        <v>0</v>
      </c>
      <c r="AW39" s="83"/>
      <c r="AX39" s="1268">
        <f t="shared" si="2"/>
        <v>0</v>
      </c>
      <c r="AY39" s="83"/>
      <c r="AZ39" s="1268">
        <f t="shared" si="3"/>
        <v>0</v>
      </c>
      <c r="BA39" s="83"/>
      <c r="BB39" s="1268">
        <f t="shared" si="4"/>
        <v>0</v>
      </c>
      <c r="BC39" s="83"/>
      <c r="BD39" s="1268">
        <f t="shared" si="5"/>
        <v>0</v>
      </c>
      <c r="BE39" s="83"/>
      <c r="BF39" s="1268">
        <f t="shared" si="6"/>
        <v>0</v>
      </c>
      <c r="BG39" s="83"/>
      <c r="BH39" s="1268">
        <f t="shared" si="7"/>
        <v>0</v>
      </c>
      <c r="BI39" s="83"/>
      <c r="BJ39" s="1268">
        <f t="shared" si="8"/>
        <v>0</v>
      </c>
      <c r="BK39" s="83"/>
      <c r="BL39" s="1268">
        <f t="shared" si="9"/>
        <v>0</v>
      </c>
      <c r="BM39" s="83"/>
      <c r="BN39" s="1575"/>
      <c r="BO39" s="83"/>
      <c r="BP39" s="85"/>
      <c r="BQ39" s="83"/>
      <c r="BR39" s="81"/>
      <c r="BS39" s="3101" t="str">
        <f t="shared" ref="BS39:BS42" si="36">B39</f>
        <v/>
      </c>
      <c r="BT39" s="81"/>
      <c r="BU39" s="1268">
        <v>0</v>
      </c>
      <c r="BV39" s="236"/>
      <c r="BW39" s="1268">
        <v>0</v>
      </c>
      <c r="BX39" s="236"/>
      <c r="BY39" s="1268">
        <v>0</v>
      </c>
      <c r="BZ39" s="236"/>
      <c r="CA39" s="1268">
        <v>0</v>
      </c>
      <c r="CB39" s="236"/>
      <c r="CC39" s="1268">
        <v>0</v>
      </c>
      <c r="CD39" s="81"/>
      <c r="CE39" s="85"/>
      <c r="CF39" s="81"/>
      <c r="CG39" s="2"/>
      <c r="CH39" s="2977" t="s">
        <v>5053</v>
      </c>
      <c r="CI39" s="83"/>
      <c r="CJ39" s="1230">
        <f>INDEX(LINEST($CJ$277:$CJ$282,CJ32:CJ37),1)+Roughness_B</f>
        <v>0</v>
      </c>
      <c r="CK39" s="83"/>
      <c r="CL39" s="23"/>
      <c r="CM39" s="83"/>
    </row>
    <row r="40" spans="1:93" ht="15" customHeight="1" thickBot="1" x14ac:dyDescent="0.3">
      <c r="A40" s="83"/>
      <c r="B40" s="1272" t="str">
        <f t="shared" si="34"/>
        <v/>
      </c>
      <c r="C40" s="83"/>
      <c r="D40" s="1268">
        <v>0</v>
      </c>
      <c r="E40" s="83"/>
      <c r="F40" s="1268">
        <v>0</v>
      </c>
      <c r="G40" s="83"/>
      <c r="H40" s="1268">
        <v>0</v>
      </c>
      <c r="I40" s="83"/>
      <c r="J40" s="3256">
        <f t="shared" si="27"/>
        <v>0</v>
      </c>
      <c r="K40" s="83"/>
      <c r="L40" s="1268">
        <v>0</v>
      </c>
      <c r="M40" s="83"/>
      <c r="N40" s="1268">
        <f t="shared" si="10"/>
        <v>0</v>
      </c>
      <c r="O40" s="83"/>
      <c r="P40" s="3256">
        <f t="shared" si="28"/>
        <v>0</v>
      </c>
      <c r="Q40" s="83"/>
      <c r="R40" s="3256">
        <f t="shared" si="29"/>
        <v>0</v>
      </c>
      <c r="S40" s="83"/>
      <c r="T40" s="3256">
        <f t="shared" si="30"/>
        <v>0</v>
      </c>
      <c r="U40" s="83"/>
      <c r="V40" s="3256">
        <f t="shared" si="31"/>
        <v>0</v>
      </c>
      <c r="W40" s="83"/>
      <c r="X40" s="3256">
        <f t="shared" si="32"/>
        <v>0</v>
      </c>
      <c r="Y40" s="83"/>
      <c r="Z40" s="85"/>
      <c r="AA40" s="83"/>
      <c r="AB40" s="81"/>
      <c r="AC40" s="1272" t="str">
        <f t="shared" si="35"/>
        <v/>
      </c>
      <c r="AD40" s="81"/>
      <c r="AE40" s="1268">
        <v>0</v>
      </c>
      <c r="AF40" s="81"/>
      <c r="AG40" s="1268">
        <v>0</v>
      </c>
      <c r="AH40" s="81"/>
      <c r="AI40" s="1268">
        <v>0</v>
      </c>
      <c r="AJ40" s="81"/>
      <c r="AK40" s="1268">
        <v>0</v>
      </c>
      <c r="AL40" s="81"/>
      <c r="AM40" s="1268">
        <f t="shared" si="26"/>
        <v>0</v>
      </c>
      <c r="AN40" s="81"/>
      <c r="AO40" s="1268">
        <v>0</v>
      </c>
      <c r="AP40" s="81"/>
      <c r="AQ40" s="85"/>
      <c r="AR40" s="81"/>
      <c r="AS40" s="83"/>
      <c r="AT40" s="1272" t="str">
        <f t="shared" si="33"/>
        <v/>
      </c>
      <c r="AU40" s="83"/>
      <c r="AV40" s="1270">
        <v>0</v>
      </c>
      <c r="AW40" s="83"/>
      <c r="AX40" s="1283">
        <f t="shared" si="2"/>
        <v>0</v>
      </c>
      <c r="AY40" s="83"/>
      <c r="AZ40" s="1283">
        <f t="shared" si="3"/>
        <v>0</v>
      </c>
      <c r="BA40" s="83"/>
      <c r="BB40" s="1283">
        <f t="shared" si="4"/>
        <v>0</v>
      </c>
      <c r="BC40" s="83"/>
      <c r="BD40" s="1283">
        <f t="shared" si="5"/>
        <v>0</v>
      </c>
      <c r="BE40" s="83"/>
      <c r="BF40" s="1283">
        <f t="shared" si="6"/>
        <v>0</v>
      </c>
      <c r="BG40" s="83"/>
      <c r="BH40" s="1283">
        <f t="shared" si="7"/>
        <v>0</v>
      </c>
      <c r="BI40" s="83"/>
      <c r="BJ40" s="1283">
        <f t="shared" si="8"/>
        <v>0</v>
      </c>
      <c r="BK40" s="83"/>
      <c r="BL40" s="1283">
        <f t="shared" si="9"/>
        <v>0</v>
      </c>
      <c r="BM40" s="83"/>
      <c r="BN40" s="1582"/>
      <c r="BO40" s="83"/>
      <c r="BP40" s="25"/>
      <c r="BQ40" s="83"/>
      <c r="BR40" s="81"/>
      <c r="BS40" s="3101" t="str">
        <f t="shared" si="36"/>
        <v/>
      </c>
      <c r="BT40" s="81"/>
      <c r="BU40" s="1268">
        <v>0</v>
      </c>
      <c r="BV40" s="236"/>
      <c r="BW40" s="1268">
        <v>0</v>
      </c>
      <c r="BX40" s="236"/>
      <c r="BY40" s="1268">
        <v>0</v>
      </c>
      <c r="BZ40" s="236"/>
      <c r="CA40" s="1268">
        <v>0</v>
      </c>
      <c r="CB40" s="236"/>
      <c r="CC40" s="1268">
        <v>0</v>
      </c>
      <c r="CD40" s="81"/>
      <c r="CE40" s="85"/>
      <c r="CF40" s="81"/>
      <c r="CG40" s="2"/>
      <c r="CH40" s="1691" t="s">
        <v>5066</v>
      </c>
      <c r="CI40" s="83"/>
      <c r="CJ40" s="2401">
        <f>IF(CJ31&lt;CJ$27,(CJ38/(CJ31/CJ$27))^(-1/CJ39),0)</f>
        <v>0</v>
      </c>
      <c r="CK40" s="83"/>
      <c r="CL40" s="23"/>
      <c r="CM40" s="83"/>
    </row>
    <row r="41" spans="1:93" ht="15" customHeight="1" thickBot="1" x14ac:dyDescent="0.3">
      <c r="A41" s="83"/>
      <c r="B41" s="1272" t="str">
        <f t="shared" si="34"/>
        <v/>
      </c>
      <c r="C41" s="83"/>
      <c r="D41" s="1268">
        <v>0</v>
      </c>
      <c r="E41" s="83"/>
      <c r="F41" s="1268">
        <v>0</v>
      </c>
      <c r="G41" s="83"/>
      <c r="H41" s="1268">
        <v>0</v>
      </c>
      <c r="I41" s="83"/>
      <c r="J41" s="3256">
        <f t="shared" si="27"/>
        <v>0</v>
      </c>
      <c r="K41" s="83"/>
      <c r="L41" s="1268">
        <v>0</v>
      </c>
      <c r="M41" s="83"/>
      <c r="N41" s="1268">
        <f t="shared" si="10"/>
        <v>0</v>
      </c>
      <c r="O41" s="83"/>
      <c r="P41" s="3256">
        <f t="shared" si="28"/>
        <v>0</v>
      </c>
      <c r="Q41" s="83"/>
      <c r="R41" s="3256">
        <f t="shared" si="29"/>
        <v>0</v>
      </c>
      <c r="S41" s="83"/>
      <c r="T41" s="3256">
        <f t="shared" si="30"/>
        <v>0</v>
      </c>
      <c r="U41" s="83"/>
      <c r="V41" s="3256">
        <f t="shared" si="31"/>
        <v>0</v>
      </c>
      <c r="W41" s="83"/>
      <c r="X41" s="3256">
        <f t="shared" si="32"/>
        <v>0</v>
      </c>
      <c r="Y41" s="83"/>
      <c r="Z41" s="85"/>
      <c r="AA41" s="83"/>
      <c r="AB41" s="81"/>
      <c r="AC41" s="1272" t="str">
        <f t="shared" si="35"/>
        <v/>
      </c>
      <c r="AD41" s="81"/>
      <c r="AE41" s="1268">
        <v>0</v>
      </c>
      <c r="AF41" s="81"/>
      <c r="AG41" s="1268">
        <v>0</v>
      </c>
      <c r="AH41" s="81"/>
      <c r="AI41" s="1268">
        <v>0</v>
      </c>
      <c r="AJ41" s="81"/>
      <c r="AK41" s="1268">
        <v>0</v>
      </c>
      <c r="AL41" s="81"/>
      <c r="AM41" s="1268">
        <f t="shared" si="26"/>
        <v>0</v>
      </c>
      <c r="AN41" s="81"/>
      <c r="AO41" s="1268">
        <v>0</v>
      </c>
      <c r="AP41" s="81"/>
      <c r="AQ41" s="85"/>
      <c r="AR41" s="81"/>
      <c r="AS41" s="83"/>
      <c r="AT41" s="2407" t="s">
        <v>4630</v>
      </c>
      <c r="AU41" s="83"/>
      <c r="AV41" s="2479">
        <v>0</v>
      </c>
      <c r="AW41" s="1690"/>
      <c r="AX41" s="2411">
        <f t="shared" si="2"/>
        <v>0</v>
      </c>
      <c r="AY41" s="1690"/>
      <c r="AZ41" s="2411">
        <f t="shared" si="2"/>
        <v>0</v>
      </c>
      <c r="BA41" s="1690"/>
      <c r="BB41" s="2411">
        <f t="shared" si="2"/>
        <v>0</v>
      </c>
      <c r="BC41" s="1690"/>
      <c r="BD41" s="2411">
        <f t="shared" si="2"/>
        <v>0</v>
      </c>
      <c r="BE41" s="1690"/>
      <c r="BF41" s="2414">
        <f t="shared" si="2"/>
        <v>0</v>
      </c>
      <c r="BG41" s="1690"/>
      <c r="BH41" s="2414">
        <f t="shared" si="2"/>
        <v>0</v>
      </c>
      <c r="BI41" s="1690"/>
      <c r="BJ41" s="2414">
        <f t="shared" si="2"/>
        <v>0</v>
      </c>
      <c r="BK41" s="1690"/>
      <c r="BL41" s="2414">
        <f t="shared" si="2"/>
        <v>0</v>
      </c>
      <c r="BM41" s="83"/>
      <c r="BN41" s="1580"/>
      <c r="BO41" s="83"/>
      <c r="BP41" s="85"/>
      <c r="BQ41" s="83"/>
      <c r="BR41" s="81"/>
      <c r="BS41" s="3101" t="str">
        <f t="shared" si="36"/>
        <v/>
      </c>
      <c r="BT41" s="81"/>
      <c r="BU41" s="1268">
        <v>0</v>
      </c>
      <c r="BV41" s="236"/>
      <c r="BW41" s="1268">
        <v>0</v>
      </c>
      <c r="BX41" s="236"/>
      <c r="BY41" s="1268">
        <v>0</v>
      </c>
      <c r="BZ41" s="236"/>
      <c r="CA41" s="1268">
        <v>0</v>
      </c>
      <c r="CB41" s="236"/>
      <c r="CC41" s="1268">
        <v>0</v>
      </c>
      <c r="CD41" s="81"/>
      <c r="CE41" s="85"/>
      <c r="CF41" s="81"/>
      <c r="CG41" s="2"/>
      <c r="CH41" s="1691" t="s">
        <v>5070</v>
      </c>
      <c r="CI41" s="83"/>
      <c r="CJ41" s="2985">
        <f>IF(AND(CJ13&lt;&gt;"",CJ40&gt;0),NBPlume_A*CJ13/(CJ20*Wind*CJ31),0)^NBPlume_B</f>
        <v>0</v>
      </c>
      <c r="CK41" s="83"/>
      <c r="CL41" s="23"/>
      <c r="CM41" s="83"/>
    </row>
    <row r="42" spans="1:93" ht="15" customHeight="1" thickBot="1" x14ac:dyDescent="0.3">
      <c r="A42" s="83"/>
      <c r="B42" s="1272" t="str">
        <f t="shared" si="34"/>
        <v/>
      </c>
      <c r="C42" s="83"/>
      <c r="D42" s="1270">
        <v>0</v>
      </c>
      <c r="E42" s="83"/>
      <c r="F42" s="1270">
        <v>0</v>
      </c>
      <c r="G42" s="83"/>
      <c r="H42" s="1270">
        <v>0</v>
      </c>
      <c r="I42" s="83"/>
      <c r="J42" s="3257">
        <f t="shared" si="27"/>
        <v>0</v>
      </c>
      <c r="K42" s="83"/>
      <c r="L42" s="1270">
        <v>0</v>
      </c>
      <c r="M42" s="83"/>
      <c r="N42" s="1268">
        <f t="shared" si="10"/>
        <v>0</v>
      </c>
      <c r="O42" s="83"/>
      <c r="P42" s="3257">
        <f t="shared" si="28"/>
        <v>0</v>
      </c>
      <c r="Q42" s="83"/>
      <c r="R42" s="3257">
        <f t="shared" si="29"/>
        <v>0</v>
      </c>
      <c r="S42" s="83"/>
      <c r="T42" s="3257">
        <f t="shared" si="30"/>
        <v>0</v>
      </c>
      <c r="U42" s="83"/>
      <c r="V42" s="3257">
        <f t="shared" si="31"/>
        <v>0</v>
      </c>
      <c r="W42" s="83"/>
      <c r="X42" s="3257">
        <f t="shared" si="32"/>
        <v>0</v>
      </c>
      <c r="Y42" s="83"/>
      <c r="Z42" s="25"/>
      <c r="AA42" s="83"/>
      <c r="AB42" s="81"/>
      <c r="AC42" s="3097" t="str">
        <f t="shared" si="35"/>
        <v/>
      </c>
      <c r="AD42" s="81"/>
      <c r="AE42" s="1270">
        <v>0</v>
      </c>
      <c r="AF42" s="81"/>
      <c r="AG42" s="1270">
        <v>0</v>
      </c>
      <c r="AH42" s="81"/>
      <c r="AI42" s="1270">
        <v>0</v>
      </c>
      <c r="AJ42" s="81"/>
      <c r="AK42" s="1270">
        <v>0</v>
      </c>
      <c r="AL42" s="81"/>
      <c r="AM42" s="1270">
        <f t="shared" si="26"/>
        <v>0</v>
      </c>
      <c r="AN42" s="81"/>
      <c r="AO42" s="1270">
        <v>0</v>
      </c>
      <c r="AP42" s="81"/>
      <c r="AQ42" s="25"/>
      <c r="AR42" s="81"/>
      <c r="AS42" s="83"/>
      <c r="AT42" s="1272" t="str">
        <f>B57</f>
        <v/>
      </c>
      <c r="AU42" s="83"/>
      <c r="AV42" s="2482">
        <f t="array" ref="AV42:AV47">IF(AV19&gt;0,estimateOfMulticomponentDistillation(Number_Trials,AV19,Feed_1,Feed_2,Feed_3,Feed_4,Feed_5,Alpha_1*EXP(dAlpha_1*(T_atRelief-T)),Alpha_2*EXP(dAlpha_2*(T_atRelief-T)),Alpha_3*EXP(dAlpha_3*(T_atRelief-T)),Alpha_4*EXP(dAlpha_4*(T_atRelief-T)),Alpha_5*EXP(dAlpha_5*(T_atRelief-T))),0)</f>
        <v>0</v>
      </c>
      <c r="AW42" s="1690"/>
      <c r="AX42" s="2482">
        <f t="array" ref="AX42:AX47">IF(AX19&gt;0,estimateOfMulticomponentDistillation(Number_Trials,AX19,Feed_1,Feed_2,Feed_3,Feed_4,Feed_5,Alpha_1*EXP(dAlpha_1*(T_atRelief-T)),Alpha_2*EXP(dAlpha_2*(T_atRelief-T)),Alpha_3*EXP(dAlpha_3*(T_atRelief-T)),Alpha_4*EXP(dAlpha_4*(T_atRelief-T)),Alpha_5*EXP(dAlpha_5*(T_atRelief-T))),0)</f>
        <v>0</v>
      </c>
      <c r="AY42" s="1690"/>
      <c r="AZ42" s="2482">
        <f t="array" ref="AZ42:AZ47">IF(AZ19&gt;0,estimateOfMulticomponentDistillation(Number_Trials,AZ19,Feed_1,Feed_2,Feed_3,Feed_4,Feed_5,Alpha_1*EXP(dAlpha_1*(T_atRelief-T)),Alpha_2*EXP(dAlpha_2*(T_atRelief-T)),Alpha_3*EXP(dAlpha_3*(T_atRelief-T)),Alpha_4*EXP(dAlpha_4*(T_atRelief-T)),Alpha_5*EXP(dAlpha_5*(T_atRelief-T))),0)</f>
        <v>0</v>
      </c>
      <c r="BA42" s="1690"/>
      <c r="BB42" s="2482">
        <f t="array" ref="BB42:BB47">IF(BB19&gt;0,estimateOfMulticomponentDistillation(Number_Trials,BB19,Feed_1,Feed_2,Feed_3,Feed_4,Feed_5,Alpha_1*EXP(dAlpha_1*(T_atRelief-T)),Alpha_2*EXP(dAlpha_2*(T_atRelief-T)),Alpha_3*EXP(dAlpha_3*(T_atRelief-T)),Alpha_4*EXP(dAlpha_4*(T_atRelief-T)),Alpha_5*EXP(dAlpha_5*(T_atRelief-T))),0)</f>
        <v>0</v>
      </c>
      <c r="BC42" s="1690"/>
      <c r="BD42" s="2482">
        <f t="array" ref="BD42:BD47">IF(BD19&gt;0,estimateOfMulticomponentDistillation(Number_Trials,BD19,Feed_1,Feed_2,Feed_3,Feed_4,Feed_5,Alpha_1*EXP(dAlpha_1*(T_atRelief-T)),Alpha_2*EXP(dAlpha_2*(T_atRelief-T)),Alpha_3*EXP(dAlpha_3*(T_atRelief-T)),Alpha_4*EXP(dAlpha_4*(T_atRelief-T)),Alpha_5*EXP(dAlpha_5*(T_atRelief-T))),0)</f>
        <v>0</v>
      </c>
      <c r="BE42" s="1690"/>
      <c r="BF42" s="2482">
        <f t="array" ref="BF42:BF47">IF(BF19&gt;0,estimateOfMulticomponentDistillation(Number_Trials,BF19,Feed_1,Feed_2,Feed_3,Feed_4,Feed_5,Alpha_1*EXP(dAlpha_1*(T_atRelief-T)),Alpha_2*EXP(dAlpha_2*(T_atRelief-T)),Alpha_3*EXP(dAlpha_3*(T_atRelief-T)),Alpha_4*EXP(dAlpha_4*(T_atRelief-T)),Alpha_5*EXP(dAlpha_5*(T_atRelief-T))),0)</f>
        <v>0</v>
      </c>
      <c r="BG42" s="1690"/>
      <c r="BH42" s="2482">
        <f t="array" ref="BH42:BH47">IF(BH19&gt;0,estimateOfMulticomponentDistillation(Number_Trials,BH19,Feed_1,Feed_2,Feed_3,Feed_4,Feed_5,Alpha_1*EXP(dAlpha_1*(T_atRelief-T)),Alpha_2*EXP(dAlpha_2*(T_atRelief-T)),Alpha_3*EXP(dAlpha_3*(T_atRelief-T)),Alpha_4*EXP(dAlpha_4*(T_atRelief-T)),Alpha_5*EXP(dAlpha_5*(T_atRelief-T))),0)</f>
        <v>0</v>
      </c>
      <c r="BI42" s="1690"/>
      <c r="BJ42" s="2482">
        <f t="array" ref="BJ42:BJ47">IF(BJ19&gt;0,estimateOfMulticomponentDistillation(Number_Trials,BJ19,Feed_1,Feed_2,Feed_3,Feed_4,Feed_5,Alpha_1*EXP(dAlpha_1*(T_atRelief-T)),Alpha_2*EXP(dAlpha_2*(T_atRelief-T)),Alpha_3*EXP(dAlpha_3*(T_atRelief-T)),Alpha_4*EXP(dAlpha_4*(T_atRelief-T)),Alpha_5*EXP(dAlpha_5*(T_atRelief-T))),0)</f>
        <v>0</v>
      </c>
      <c r="BK42" s="1690"/>
      <c r="BL42" s="2482">
        <f t="array" ref="BL42:BL47">IF(BL19&gt;0,estimateOfMulticomponentDistillation(Number_Trials,BL19,Feed_1,Feed_2,Feed_3,Feed_4,Feed_5,Alpha_1*EXP(dAlpha_1*(T_atRelief-T)),Alpha_2*EXP(dAlpha_2*(T_atRelief-T)),Alpha_3*EXP(dAlpha_3*(T_atRelief-T)),Alpha_4*EXP(dAlpha_4*(T_atRelief-T)),Alpha_5*EXP(dAlpha_5*(T_atRelief-T))),0)</f>
        <v>0</v>
      </c>
      <c r="BM42" s="83"/>
      <c r="BN42" s="2477"/>
      <c r="BO42" s="83"/>
      <c r="BP42" s="85"/>
      <c r="BQ42" s="83"/>
      <c r="BR42" s="81"/>
      <c r="BS42" s="3101" t="str">
        <f t="shared" si="36"/>
        <v/>
      </c>
      <c r="BT42" s="81"/>
      <c r="BU42" s="1270">
        <v>0</v>
      </c>
      <c r="BV42" s="236"/>
      <c r="BW42" s="1270">
        <v>0</v>
      </c>
      <c r="BX42" s="236"/>
      <c r="BY42" s="1270">
        <v>0</v>
      </c>
      <c r="BZ42" s="236"/>
      <c r="CA42" s="1270">
        <v>0</v>
      </c>
      <c r="CB42" s="236"/>
      <c r="CC42" s="1270">
        <v>0</v>
      </c>
      <c r="CD42" s="81"/>
      <c r="CE42" s="85"/>
      <c r="CF42" s="81"/>
      <c r="CG42" s="2"/>
      <c r="CH42" s="512" t="s">
        <v>5099</v>
      </c>
      <c r="CI42" s="83"/>
      <c r="CJ42" s="2981">
        <f>IF(CJ13&lt;&gt;"",LN(IF(CJ$40&gt;=10,CJ$27*CJ$38*10^CJ$39,NBPlume_A*CJ13/(CJ20*Wind)/(10-CJ$40+CJ$41)^(1/NBPlume_B))),0)</f>
        <v>0</v>
      </c>
      <c r="CK42" s="83"/>
      <c r="CL42" s="23"/>
      <c r="CM42" s="83"/>
      <c r="CO42" s="1229"/>
    </row>
    <row r="43" spans="1:93" ht="15" customHeight="1" thickBot="1" x14ac:dyDescent="0.3">
      <c r="A43" s="83"/>
      <c r="B43" s="2407" t="s">
        <v>4630</v>
      </c>
      <c r="C43" s="83"/>
      <c r="D43" s="3153">
        <v>0</v>
      </c>
      <c r="E43" s="2410"/>
      <c r="F43" s="3153">
        <v>0</v>
      </c>
      <c r="G43" s="2410"/>
      <c r="H43" s="3153">
        <v>0</v>
      </c>
      <c r="I43" s="2410"/>
      <c r="J43" s="3255">
        <f t="shared" si="27"/>
        <v>0</v>
      </c>
      <c r="K43" s="2410"/>
      <c r="L43" s="3153">
        <v>0</v>
      </c>
      <c r="M43" s="2410"/>
      <c r="N43" s="1269">
        <f t="shared" ref="N43" si="37">$D43</f>
        <v>0</v>
      </c>
      <c r="O43" s="2410"/>
      <c r="P43" s="3255">
        <f t="shared" si="28"/>
        <v>0</v>
      </c>
      <c r="Q43" s="2410"/>
      <c r="R43" s="3255">
        <f t="shared" si="29"/>
        <v>0</v>
      </c>
      <c r="S43" s="2410"/>
      <c r="T43" s="3255">
        <f t="shared" si="30"/>
        <v>0</v>
      </c>
      <c r="U43" s="2410"/>
      <c r="V43" s="3255">
        <f t="shared" si="31"/>
        <v>0</v>
      </c>
      <c r="W43" s="2410"/>
      <c r="X43" s="3255">
        <f t="shared" si="32"/>
        <v>0</v>
      </c>
      <c r="Y43" s="83"/>
      <c r="Z43" s="85"/>
      <c r="AA43" s="83"/>
      <c r="AB43" s="81"/>
      <c r="AC43" s="2407" t="s">
        <v>4630</v>
      </c>
      <c r="AD43" s="81"/>
      <c r="AE43" s="2411">
        <v>0</v>
      </c>
      <c r="AF43" s="2413"/>
      <c r="AG43" s="2411">
        <v>0</v>
      </c>
      <c r="AH43" s="2413"/>
      <c r="AI43" s="2411">
        <v>0</v>
      </c>
      <c r="AJ43" s="2413"/>
      <c r="AK43" s="2411">
        <v>0</v>
      </c>
      <c r="AL43" s="2413"/>
      <c r="AM43" s="2428">
        <f t="shared" si="26"/>
        <v>0</v>
      </c>
      <c r="AN43" s="2413"/>
      <c r="AO43" s="2428">
        <v>0</v>
      </c>
      <c r="AP43" s="81"/>
      <c r="AQ43" s="85"/>
      <c r="AR43" s="81"/>
      <c r="AS43" s="83"/>
      <c r="AT43" s="1272" t="str">
        <f t="shared" ref="AT43:AT46" si="38">B58</f>
        <v/>
      </c>
      <c r="AU43" s="83"/>
      <c r="AV43" s="1268">
        <v>0</v>
      </c>
      <c r="AW43" s="1690"/>
      <c r="AX43" s="1268">
        <v>0</v>
      </c>
      <c r="AY43" s="1690"/>
      <c r="AZ43" s="1268">
        <v>0</v>
      </c>
      <c r="BA43" s="1690"/>
      <c r="BB43" s="1268">
        <v>0</v>
      </c>
      <c r="BC43" s="1690"/>
      <c r="BD43" s="1268">
        <v>0</v>
      </c>
      <c r="BE43" s="1690"/>
      <c r="BF43" s="1268">
        <v>0</v>
      </c>
      <c r="BG43" s="1690"/>
      <c r="BH43" s="1268">
        <v>0</v>
      </c>
      <c r="BI43" s="1690"/>
      <c r="BJ43" s="1268">
        <v>0</v>
      </c>
      <c r="BK43" s="1690"/>
      <c r="BL43" s="1268">
        <v>0</v>
      </c>
      <c r="BM43" s="83"/>
      <c r="BN43" s="1580"/>
      <c r="BO43" s="83"/>
      <c r="BP43" s="85"/>
      <c r="BQ43" s="83"/>
      <c r="BR43" s="81"/>
      <c r="BS43" s="2407" t="s">
        <v>4630</v>
      </c>
      <c r="BT43" s="81"/>
      <c r="BU43" s="2411">
        <v>0</v>
      </c>
      <c r="BV43" s="2415"/>
      <c r="BW43" s="2411">
        <v>0</v>
      </c>
      <c r="BX43" s="2415"/>
      <c r="BY43" s="2411">
        <v>0</v>
      </c>
      <c r="BZ43" s="2415"/>
      <c r="CA43" s="2411">
        <v>0</v>
      </c>
      <c r="CB43" s="2415"/>
      <c r="CC43" s="2411">
        <v>0</v>
      </c>
      <c r="CD43" s="81"/>
      <c r="CE43" s="85"/>
      <c r="CF43" s="81"/>
      <c r="CG43" s="2"/>
      <c r="CH43" s="512" t="s">
        <v>5100</v>
      </c>
      <c r="CI43" s="83"/>
      <c r="CJ43" s="2981">
        <f>IF(CJ13&lt;&gt;"",LN(IF(CJ$40&gt;=20,CJ$27*CJ$38*20^CJ$39,NBPlume_A*CJ13/(CJ20*Wind)/(20-CJ$40+CJ$41)^(1/NBPlume_B))),0)</f>
        <v>0</v>
      </c>
      <c r="CK43" s="83"/>
      <c r="CL43" s="23"/>
      <c r="CM43" s="83"/>
    </row>
    <row r="44" spans="1:93" ht="15" customHeight="1" x14ac:dyDescent="0.25">
      <c r="A44" s="2"/>
      <c r="B44" s="92" t="s">
        <v>2203</v>
      </c>
      <c r="C44" s="83"/>
      <c r="D44" s="884">
        <f>IF(1-D27-D36*(1-D27)&gt;0,1-D27-D36*(1-D27),0)</f>
        <v>1</v>
      </c>
      <c r="E44" s="83"/>
      <c r="F44" s="840">
        <f>IF(1-Fv-(1-Fv)*Fd&gt;0,1-Fv-(1-Fv)*Fd,0)</f>
        <v>1</v>
      </c>
      <c r="G44" s="83"/>
      <c r="H44" s="884">
        <f>IF(1-H27-H36*(1-H27)&gt;0,1-H27-H36*(1-H27),0)</f>
        <v>1</v>
      </c>
      <c r="I44" s="83"/>
      <c r="J44" s="840">
        <f>Fr</f>
        <v>1</v>
      </c>
      <c r="K44" s="83"/>
      <c r="L44" s="884">
        <f>IF(1-L27-L36*(1-L27)&gt;0,1-L27-L36*(1-L27),0)</f>
        <v>1</v>
      </c>
      <c r="M44" s="83"/>
      <c r="N44" s="840">
        <f>Fr</f>
        <v>1</v>
      </c>
      <c r="O44" s="83"/>
      <c r="P44" s="840">
        <f>Fr</f>
        <v>1</v>
      </c>
      <c r="Q44" s="83"/>
      <c r="R44" s="884">
        <f>Fr</f>
        <v>1</v>
      </c>
      <c r="S44" s="83"/>
      <c r="T44" s="840">
        <f>Fr</f>
        <v>1</v>
      </c>
      <c r="U44" s="83"/>
      <c r="V44" s="840">
        <f>Fr</f>
        <v>1</v>
      </c>
      <c r="W44" s="83"/>
      <c r="X44" s="840">
        <f>Fr</f>
        <v>1</v>
      </c>
      <c r="Y44" s="83"/>
      <c r="Z44" s="92"/>
      <c r="AA44" s="83"/>
      <c r="AB44" s="81"/>
      <c r="AC44" s="850" t="s">
        <v>2203</v>
      </c>
      <c r="AD44" s="81"/>
      <c r="AE44" s="841">
        <f>IF(1-Fv-(1-Fv)*AE36&gt;0,1-Fv-(1-Fv)*AE36,0)</f>
        <v>1</v>
      </c>
      <c r="AF44" s="81"/>
      <c r="AG44" s="841">
        <f>IF(1-Fv-(1-Fv)*AG36&gt;0,1-Fv-(1-Fv)*AG36,0)</f>
        <v>1</v>
      </c>
      <c r="AH44" s="81"/>
      <c r="AI44" s="841">
        <f>IF(1-Fv-(1-Fv)*AI36&gt;0,1-Fv-(1-Fv)*AI36,0)</f>
        <v>1</v>
      </c>
      <c r="AJ44" s="81"/>
      <c r="AK44" s="884">
        <f>1-AK27-AK36*(1-AK27)</f>
        <v>1</v>
      </c>
      <c r="AL44" s="81"/>
      <c r="AM44" s="1273">
        <f>IF(1-Fv-(1-Fv)*AM36&gt;0,1-Fv-(1-Fv)*AM36,0)</f>
        <v>1</v>
      </c>
      <c r="AN44" s="81"/>
      <c r="AO44" s="1273">
        <f>IF(1-AO27-(1-AO27)*AO36&gt;0,1-AO27-(1-AO27)*AO36,0)</f>
        <v>1</v>
      </c>
      <c r="AP44" s="81"/>
      <c r="AQ44" s="92"/>
      <c r="AR44" s="81"/>
      <c r="AS44" s="83"/>
      <c r="AT44" s="1272" t="str">
        <f t="shared" si="38"/>
        <v/>
      </c>
      <c r="AU44" s="83"/>
      <c r="AV44" s="1268">
        <v>0</v>
      </c>
      <c r="AW44" s="1690"/>
      <c r="AX44" s="1268">
        <v>0</v>
      </c>
      <c r="AY44" s="1690"/>
      <c r="AZ44" s="1268">
        <v>0</v>
      </c>
      <c r="BA44" s="1690"/>
      <c r="BB44" s="1268">
        <v>0</v>
      </c>
      <c r="BC44" s="1690"/>
      <c r="BD44" s="1268">
        <v>0</v>
      </c>
      <c r="BE44" s="1690"/>
      <c r="BF44" s="1268">
        <v>0</v>
      </c>
      <c r="BG44" s="1690"/>
      <c r="BH44" s="1268">
        <v>0</v>
      </c>
      <c r="BI44" s="1690"/>
      <c r="BJ44" s="1268">
        <v>0</v>
      </c>
      <c r="BK44" s="1690"/>
      <c r="BL44" s="1268">
        <v>0</v>
      </c>
      <c r="BM44" s="83"/>
      <c r="BN44" s="1580"/>
      <c r="BO44" s="83"/>
      <c r="BP44" s="85"/>
      <c r="BQ44" s="83"/>
      <c r="BR44" s="81"/>
      <c r="BS44" s="92" t="s">
        <v>2203</v>
      </c>
      <c r="BT44" s="237"/>
      <c r="BU44" s="884">
        <f>1-BU27-BU36*(1-BU27)</f>
        <v>1</v>
      </c>
      <c r="BV44" s="237"/>
      <c r="BW44" s="884">
        <f>1-BW27-BW36*(1-BW27)</f>
        <v>1</v>
      </c>
      <c r="BX44" s="237"/>
      <c r="BY44" s="884">
        <f>1-BY27-BY36*(1-BY27)</f>
        <v>1</v>
      </c>
      <c r="BZ44" s="237"/>
      <c r="CA44" s="884">
        <f>1-CA27-CA36*(1-CA27)</f>
        <v>1</v>
      </c>
      <c r="CB44" s="237"/>
      <c r="CC44" s="884">
        <f>1-CC27-CC36*(1-CC27)</f>
        <v>1</v>
      </c>
      <c r="CD44" s="237"/>
      <c r="CE44" s="92"/>
      <c r="CF44" s="81"/>
      <c r="CG44" s="2"/>
      <c r="CH44" s="512" t="s">
        <v>5101</v>
      </c>
      <c r="CI44" s="83"/>
      <c r="CJ44" s="2981">
        <f>IF(CJ13&lt;&gt;"",LN(IF(CJ$40&gt;=50,CJ$27*CJ$38*50^CJ$39,NBPlume_A*CJ13/(CJ20*Wind)/(50-CJ$40+CJ$41)^(1/NBPlume_B))),0)</f>
        <v>0</v>
      </c>
      <c r="CK44" s="83"/>
      <c r="CL44" s="23"/>
      <c r="CM44" s="83"/>
    </row>
    <row r="45" spans="1:93" ht="15" customHeight="1" thickBot="1" x14ac:dyDescent="0.3">
      <c r="A45" s="2"/>
      <c r="B45" s="85" t="s">
        <v>1472</v>
      </c>
      <c r="C45" s="83"/>
      <c r="D45" s="1248">
        <f>SUM(D46:D50)</f>
        <v>0</v>
      </c>
      <c r="E45" s="83"/>
      <c r="F45" s="1248">
        <f>SUM(F46:F50)</f>
        <v>0</v>
      </c>
      <c r="G45" s="83"/>
      <c r="H45" s="1248">
        <f>SUM(H46:H50)</f>
        <v>0</v>
      </c>
      <c r="I45" s="83"/>
      <c r="J45" s="1248">
        <f>SUM(J46:J50)</f>
        <v>0</v>
      </c>
      <c r="K45" s="83"/>
      <c r="L45" s="1248">
        <f>SUM(L46:L50)</f>
        <v>0</v>
      </c>
      <c r="M45" s="83"/>
      <c r="N45" s="1248">
        <f>SUM(N46:N50)</f>
        <v>0</v>
      </c>
      <c r="O45" s="83"/>
      <c r="P45" s="1248">
        <f>SUM(P46:P50)</f>
        <v>0</v>
      </c>
      <c r="Q45" s="83"/>
      <c r="R45" s="1286">
        <f>SUM(R46:R50)</f>
        <v>0</v>
      </c>
      <c r="S45" s="83"/>
      <c r="T45" s="1248">
        <f>SUM(T46:T50)</f>
        <v>0</v>
      </c>
      <c r="U45" s="83"/>
      <c r="V45" s="1248">
        <f>SUM(V46:V50)</f>
        <v>0</v>
      </c>
      <c r="W45" s="83"/>
      <c r="X45" s="1248">
        <f>SUM(X46:X50)</f>
        <v>0</v>
      </c>
      <c r="Y45" s="83"/>
      <c r="Z45" s="85" t="s">
        <v>1497</v>
      </c>
      <c r="AA45" s="83"/>
      <c r="AB45" s="81"/>
      <c r="AC45" s="848" t="s">
        <v>1472</v>
      </c>
      <c r="AD45" s="81"/>
      <c r="AE45" s="842">
        <f>SUM(AE46:AE50)</f>
        <v>0</v>
      </c>
      <c r="AF45" s="81"/>
      <c r="AG45" s="842">
        <f>SUM(AG46:AG50)</f>
        <v>0</v>
      </c>
      <c r="AH45" s="81"/>
      <c r="AI45" s="842">
        <f>SUM(AI46:AI50)</f>
        <v>0</v>
      </c>
      <c r="AJ45" s="81"/>
      <c r="AK45" s="842">
        <f>SUM(AK46:AK50)</f>
        <v>0</v>
      </c>
      <c r="AL45" s="81"/>
      <c r="AM45" s="1248">
        <f>SUM(AM46:AM50)</f>
        <v>0</v>
      </c>
      <c r="AN45" s="81"/>
      <c r="AO45" s="1248">
        <f>SUM(AO46:AO50)</f>
        <v>0</v>
      </c>
      <c r="AP45" s="81"/>
      <c r="AQ45" s="85" t="s">
        <v>1497</v>
      </c>
      <c r="AR45" s="81"/>
      <c r="AS45" s="83"/>
      <c r="AT45" s="1272" t="str">
        <f t="shared" si="38"/>
        <v/>
      </c>
      <c r="AU45" s="83"/>
      <c r="AV45" s="1268">
        <v>0</v>
      </c>
      <c r="AW45" s="1690"/>
      <c r="AX45" s="1268">
        <v>0</v>
      </c>
      <c r="AY45" s="1690"/>
      <c r="AZ45" s="1268">
        <v>0</v>
      </c>
      <c r="BA45" s="1690"/>
      <c r="BB45" s="1268">
        <v>0</v>
      </c>
      <c r="BC45" s="1690"/>
      <c r="BD45" s="1268">
        <v>0</v>
      </c>
      <c r="BE45" s="1690"/>
      <c r="BF45" s="1268">
        <v>0</v>
      </c>
      <c r="BG45" s="1690"/>
      <c r="BH45" s="1268">
        <v>0</v>
      </c>
      <c r="BI45" s="1690"/>
      <c r="BJ45" s="1268">
        <v>0</v>
      </c>
      <c r="BK45" s="1690"/>
      <c r="BL45" s="1268">
        <v>0</v>
      </c>
      <c r="BM45" s="83"/>
      <c r="BN45" s="1580"/>
      <c r="BO45" s="83"/>
      <c r="BP45" s="85"/>
      <c r="BQ45" s="83"/>
      <c r="BR45" s="81"/>
      <c r="BS45" s="85" t="s">
        <v>1472</v>
      </c>
      <c r="BT45" s="237"/>
      <c r="BU45" s="1286">
        <f>IF(State="Vapor",0,SUM(BU46:BU50))</f>
        <v>0</v>
      </c>
      <c r="BV45" s="237"/>
      <c r="BW45" s="1286">
        <f>IF(State="Vapor",0,SUM(BW46:BW50))</f>
        <v>0</v>
      </c>
      <c r="BX45" s="237"/>
      <c r="BY45" s="1286">
        <f>IF(State="Vapor",0,SUM(BY46:BY50))</f>
        <v>0</v>
      </c>
      <c r="BZ45" s="237"/>
      <c r="CA45" s="1286">
        <f>IF(State="Vapor",0,SUM(CA46:CA50))</f>
        <v>0</v>
      </c>
      <c r="CB45" s="237"/>
      <c r="CC45" s="1286">
        <f>IF(State="Vapor",0,SUM(CC46:CC50))</f>
        <v>0</v>
      </c>
      <c r="CD45" s="237"/>
      <c r="CE45" s="85" t="s">
        <v>1497</v>
      </c>
      <c r="CF45" s="81"/>
      <c r="CG45" s="2"/>
      <c r="CH45" s="512" t="s">
        <v>5102</v>
      </c>
      <c r="CI45" s="83"/>
      <c r="CJ45" s="2981">
        <f>IF(CJ13&lt;&gt;"",LN(IF(CJ$40&gt;=100,CJ$27*CJ$38*100^CJ$39,NBPlume_A*CJ13/(CJ20*Wind)/(100-CJ$40+CJ$41)^(1/NBPlume_B))),0)</f>
        <v>0</v>
      </c>
      <c r="CK45" s="83"/>
      <c r="CL45" s="23"/>
      <c r="CM45" s="83"/>
    </row>
    <row r="46" spans="1:93" ht="15" customHeight="1" thickBot="1" x14ac:dyDescent="0.3">
      <c r="A46" s="2"/>
      <c r="B46" s="512" t="str">
        <f>B17</f>
        <v/>
      </c>
      <c r="C46" s="83"/>
      <c r="D46" s="1275">
        <f>IF(Feed_1&gt;0,D38*D17*Fr/Feed_1,0)</f>
        <v>0</v>
      </c>
      <c r="E46" s="83"/>
      <c r="F46" s="1275">
        <f>IF(Feed_1&gt;0,F38*F17*Fr/Feed_1,0)</f>
        <v>0</v>
      </c>
      <c r="G46" s="83"/>
      <c r="H46" s="1275">
        <f>IF(Feed_1&gt;0,H38*H17*Fr/Feed_1,0)</f>
        <v>0</v>
      </c>
      <c r="I46" s="83"/>
      <c r="J46" s="1275">
        <f>IF(Feed_1&gt;0,J38*J17*Fr/Feed_1,0)</f>
        <v>0</v>
      </c>
      <c r="K46" s="83"/>
      <c r="L46" s="1275">
        <f>IF(Feed_1&gt;0,L38*L17*L44/Feed_1,0)</f>
        <v>0</v>
      </c>
      <c r="M46" s="83"/>
      <c r="N46" s="1275">
        <f>IF(Feed_1&gt;0,N38*N17*Fr/Feed_1,0)</f>
        <v>0</v>
      </c>
      <c r="O46" s="83"/>
      <c r="P46" s="1275">
        <f>IF(Feed_1&gt;0,P38*P17*Fr/Feed_1,0)</f>
        <v>0</v>
      </c>
      <c r="Q46" s="83"/>
      <c r="R46" s="1285">
        <f>IF(Feed_1&gt;0,R38*R17*Fr/Feed_1,0)</f>
        <v>0</v>
      </c>
      <c r="S46" s="83"/>
      <c r="T46" s="1275">
        <f>IF(Feed_1&gt;0,T38*T17*Fr/Feed_1,0)</f>
        <v>0</v>
      </c>
      <c r="U46" s="83"/>
      <c r="V46" s="1275">
        <f>IF(Feed_1&gt;0,V38*V17*Fr/Feed_1,0)</f>
        <v>0</v>
      </c>
      <c r="W46" s="83"/>
      <c r="X46" s="1275">
        <f>IF(Feed_1&gt;0,X38*X17*Fr/Feed_1,0)</f>
        <v>0</v>
      </c>
      <c r="Y46" s="83"/>
      <c r="Z46" s="85" t="s">
        <v>1497</v>
      </c>
      <c r="AA46" s="83"/>
      <c r="AB46" s="81"/>
      <c r="AC46" s="614" t="str">
        <f>B46</f>
        <v/>
      </c>
      <c r="AD46" s="81"/>
      <c r="AE46" s="1275">
        <f>IF(Feed_1&gt;0,AE38*AE17*AE$44/Feed_1,0)</f>
        <v>0</v>
      </c>
      <c r="AF46" s="81"/>
      <c r="AG46" s="1275">
        <f>IF(Feed_1&gt;0,AG38*AG17*AG$44/Feed_1,0)</f>
        <v>0</v>
      </c>
      <c r="AH46" s="81"/>
      <c r="AI46" s="1275">
        <f>IF(Feed_1&gt;0,AI38*AI17*AI$44/Feed_1,0)</f>
        <v>0</v>
      </c>
      <c r="AJ46" s="81"/>
      <c r="AK46" s="1275">
        <f>IF(Feed_1&gt;0,AK38*AK17*AK$44/Feed_1,0)</f>
        <v>0</v>
      </c>
      <c r="AL46" s="81"/>
      <c r="AM46" s="1275">
        <f>IF(Feed_1&gt;0,AM38*AM17*AM$44/Feed_1,0)</f>
        <v>0</v>
      </c>
      <c r="AN46" s="81"/>
      <c r="AO46" s="1285">
        <f>IF(HTFeed_1&gt;0,AO38*AO17*AO$44/HTFeed_1,0)</f>
        <v>0</v>
      </c>
      <c r="AP46" s="81"/>
      <c r="AQ46" s="85" t="s">
        <v>1497</v>
      </c>
      <c r="AR46" s="81"/>
      <c r="AS46" s="83"/>
      <c r="AT46" s="1272" t="str">
        <f t="shared" si="38"/>
        <v/>
      </c>
      <c r="AU46" s="83"/>
      <c r="AV46" s="1270">
        <v>0</v>
      </c>
      <c r="AW46" s="1690"/>
      <c r="AX46" s="1270">
        <v>0</v>
      </c>
      <c r="AY46" s="1690"/>
      <c r="AZ46" s="1270">
        <v>0</v>
      </c>
      <c r="BA46" s="1690"/>
      <c r="BB46" s="1270">
        <v>0</v>
      </c>
      <c r="BC46" s="1690"/>
      <c r="BD46" s="1270">
        <v>0</v>
      </c>
      <c r="BE46" s="1690"/>
      <c r="BF46" s="1270">
        <v>0</v>
      </c>
      <c r="BG46" s="1690"/>
      <c r="BH46" s="1270">
        <v>0</v>
      </c>
      <c r="BI46" s="1690"/>
      <c r="BJ46" s="1270">
        <v>0</v>
      </c>
      <c r="BK46" s="1690"/>
      <c r="BL46" s="1270">
        <v>0</v>
      </c>
      <c r="BM46" s="83"/>
      <c r="BN46" s="1582"/>
      <c r="BO46" s="83"/>
      <c r="BP46" s="85"/>
      <c r="BQ46" s="83"/>
      <c r="BR46" s="81"/>
      <c r="BS46" s="846" t="str">
        <f>B46</f>
        <v/>
      </c>
      <c r="BT46" s="237"/>
      <c r="BU46" s="1275">
        <f>IF(Feed_1&gt;0,BU38*BU17*BU$44/Feed_1,0)</f>
        <v>0</v>
      </c>
      <c r="BV46" s="237"/>
      <c r="BW46" s="1275">
        <f>IF(Feed_1&gt;0,BW38*BW17*BW$44/Feed_1,0)</f>
        <v>0</v>
      </c>
      <c r="BX46" s="237"/>
      <c r="BY46" s="1275">
        <f>IF(Feed_1&gt;0,BY38*BY17*BY$44/Feed_1,0)</f>
        <v>0</v>
      </c>
      <c r="BZ46" s="237"/>
      <c r="CA46" s="1275">
        <f>IF(Feed_1&gt;0,CA38*CA17*CA$44/Feed_1,0)</f>
        <v>0</v>
      </c>
      <c r="CB46" s="237"/>
      <c r="CC46" s="1275">
        <f>IF(Feed_1&gt;0,CC38*CC17*CC$44/Feed_1,0)</f>
        <v>0</v>
      </c>
      <c r="CD46" s="237"/>
      <c r="CE46" s="85" t="s">
        <v>1497</v>
      </c>
      <c r="CF46" s="81"/>
      <c r="CG46" s="2"/>
      <c r="CH46" s="512" t="s">
        <v>5103</v>
      </c>
      <c r="CI46" s="83"/>
      <c r="CJ46" s="2981">
        <f>IF(CJ13&lt;&gt;"",LN(IF(CJ$40&gt;=200,CJ$27*CJ$38*200^CJ$39,NBPlume_A*CJ13/(CJ20*Wind)/(200-CJ$40+CJ$41)^(1/NBPlume_B))),0)</f>
        <v>0</v>
      </c>
      <c r="CK46" s="83"/>
      <c r="CL46" s="23"/>
      <c r="CM46" s="83"/>
    </row>
    <row r="47" spans="1:93" ht="15" customHeight="1" thickBot="1" x14ac:dyDescent="0.3">
      <c r="A47" s="2"/>
      <c r="B47" s="512" t="str">
        <f t="shared" ref="B47:B50" si="39">B18</f>
        <v/>
      </c>
      <c r="C47" s="83"/>
      <c r="D47" s="1275">
        <f>IF(Feed_2&gt;0,D39*D18*Fr/Feed_2,0)</f>
        <v>0</v>
      </c>
      <c r="E47" s="83"/>
      <c r="F47" s="1275">
        <f>IF(Feed_2&gt;0,F39*F18*Fr/Feed_2,0)</f>
        <v>0</v>
      </c>
      <c r="G47" s="83"/>
      <c r="H47" s="1275">
        <f>IF(Feed_2&gt;0,H39*H18*Fr/Feed_2,0)</f>
        <v>0</v>
      </c>
      <c r="I47" s="83"/>
      <c r="J47" s="1275">
        <f>IF(Feed_2&gt;0,J39*J18*Fr/Feed_2,0)</f>
        <v>0</v>
      </c>
      <c r="K47" s="83"/>
      <c r="L47" s="1275">
        <f>IF(Feed_2&gt;0,L39*L18*L44/Feed_2,0)</f>
        <v>0</v>
      </c>
      <c r="M47" s="83"/>
      <c r="N47" s="1275">
        <f>IF(Feed_2&gt;0,N39*N18*Fr/Feed_2,0)</f>
        <v>0</v>
      </c>
      <c r="O47" s="83"/>
      <c r="P47" s="1275">
        <f>IF(Feed_2&gt;0,P39*P18*Fr/Feed_2,0)</f>
        <v>0</v>
      </c>
      <c r="Q47" s="83"/>
      <c r="R47" s="1285">
        <f>IF(Feed_2&gt;0,R39*R18*Fr/Feed_2,0)</f>
        <v>0</v>
      </c>
      <c r="S47" s="83"/>
      <c r="T47" s="1275">
        <f>IF(Feed_2&gt;0,T39*T18*Fr/Feed_2,0)</f>
        <v>0</v>
      </c>
      <c r="U47" s="83"/>
      <c r="V47" s="1275">
        <f>IF(Feed_2&gt;0,V39*V18*Fr/Feed_2,0)</f>
        <v>0</v>
      </c>
      <c r="W47" s="83"/>
      <c r="X47" s="1275">
        <f>IF(Feed_2&gt;0,X39*X18*Fr/Feed_2,0)</f>
        <v>0</v>
      </c>
      <c r="Y47" s="83"/>
      <c r="Z47" s="85" t="s">
        <v>1497</v>
      </c>
      <c r="AA47" s="83"/>
      <c r="AB47" s="81"/>
      <c r="AC47" s="512" t="str">
        <f t="shared" ref="AC47:AC50" si="40">B47</f>
        <v/>
      </c>
      <c r="AD47" s="81"/>
      <c r="AE47" s="1275">
        <f>IF(Feed_2&gt;0,AE39*AE18*AE$44/Feed_2,0)</f>
        <v>0</v>
      </c>
      <c r="AF47" s="81"/>
      <c r="AG47" s="1275">
        <f>IF(Feed_2&gt;0,AG39*AG18*AG$44/Feed_2,0)</f>
        <v>0</v>
      </c>
      <c r="AH47" s="81"/>
      <c r="AI47" s="1275">
        <f>IF(Feed_2&gt;0,AI39*AI18*AI$44/Feed_2,0)</f>
        <v>0</v>
      </c>
      <c r="AJ47" s="81"/>
      <c r="AK47" s="1275">
        <f>IF(Feed_2&gt;0,AK39*AK18*AK$44/Feed_2,0)</f>
        <v>0</v>
      </c>
      <c r="AL47" s="81"/>
      <c r="AM47" s="1275">
        <f>IF(Feed_2&gt;0,AM39*AM18*AM$44/Feed_2,0)</f>
        <v>0</v>
      </c>
      <c r="AN47" s="81"/>
      <c r="AO47" s="1285">
        <f>IF(HTFeed_2&gt;0,AO39*AO18*AO$44/HTFeed_2,0)</f>
        <v>0</v>
      </c>
      <c r="AP47" s="81"/>
      <c r="AQ47" s="85" t="s">
        <v>1497</v>
      </c>
      <c r="AR47" s="81"/>
      <c r="AS47" s="83"/>
      <c r="AT47" s="2407" t="s">
        <v>4630</v>
      </c>
      <c r="AU47" s="83"/>
      <c r="AV47" s="2478">
        <v>0</v>
      </c>
      <c r="AW47" s="83"/>
      <c r="AX47" s="2478">
        <v>0</v>
      </c>
      <c r="AY47" s="83"/>
      <c r="AZ47" s="2478">
        <v>0</v>
      </c>
      <c r="BA47" s="83"/>
      <c r="BB47" s="2478">
        <v>0</v>
      </c>
      <c r="BC47" s="83"/>
      <c r="BD47" s="2478">
        <v>0</v>
      </c>
      <c r="BE47" s="83"/>
      <c r="BF47" s="2478">
        <v>0</v>
      </c>
      <c r="BG47" s="83"/>
      <c r="BH47" s="2478">
        <v>0</v>
      </c>
      <c r="BI47" s="83"/>
      <c r="BJ47" s="2478">
        <v>0</v>
      </c>
      <c r="BK47" s="83"/>
      <c r="BL47" s="2478">
        <v>0</v>
      </c>
      <c r="BM47" s="83"/>
      <c r="BN47" s="2481"/>
      <c r="BO47" s="83"/>
      <c r="BP47" s="119"/>
      <c r="BQ47" s="83"/>
      <c r="BR47" s="81"/>
      <c r="BS47" s="846" t="str">
        <f t="shared" ref="BS47:BS50" si="41">B47</f>
        <v/>
      </c>
      <c r="BT47" s="237"/>
      <c r="BU47" s="1275">
        <f>IF(Feed_2&gt;0,BU39*BU18*BU$44/Feed_2,0)</f>
        <v>0</v>
      </c>
      <c r="BV47" s="237"/>
      <c r="BW47" s="1275">
        <f>IF(Feed_2&gt;0,BW39*BW18*BW$44/Feed_2,0)</f>
        <v>0</v>
      </c>
      <c r="BX47" s="237"/>
      <c r="BY47" s="1275">
        <f>IF(Feed_2&gt;0,BY39*BY18*BY$44/Feed_2,0)</f>
        <v>0</v>
      </c>
      <c r="BZ47" s="237"/>
      <c r="CA47" s="1275">
        <f>IF(Feed_2&gt;0,CA39*CA18*CA$44/Feed_2,0)</f>
        <v>0</v>
      </c>
      <c r="CB47" s="237"/>
      <c r="CC47" s="1275">
        <f>IF(Feed_2&gt;0,CC39*CC18*CC$44/Feed_2,0)</f>
        <v>0</v>
      </c>
      <c r="CD47" s="237"/>
      <c r="CE47" s="85" t="s">
        <v>1497</v>
      </c>
      <c r="CF47" s="81"/>
      <c r="CG47" s="2"/>
      <c r="CH47" s="512" t="s">
        <v>5104</v>
      </c>
      <c r="CI47" s="83"/>
      <c r="CJ47" s="2981">
        <f>IF(CJ13&lt;&gt;"",LN(IF(CJ$40&gt;=500,CJ$27*CJ$38*500^CJ$39,NBPlume_A*CJ13/(CJ20*Wind)/(500-CJ$40+CJ$41)^(1/NBPlume_B))),0)</f>
        <v>0</v>
      </c>
      <c r="CK47" s="83"/>
      <c r="CL47" s="23"/>
      <c r="CM47" s="83"/>
    </row>
    <row r="48" spans="1:93" ht="15" customHeight="1" thickBot="1" x14ac:dyDescent="0.3">
      <c r="A48" s="2"/>
      <c r="B48" s="512" t="str">
        <f t="shared" si="39"/>
        <v/>
      </c>
      <c r="C48" s="83"/>
      <c r="D48" s="1275">
        <f>IF(Feed_3&gt;0,D40*D19*Fr/Feed_3,0)</f>
        <v>0</v>
      </c>
      <c r="E48" s="83"/>
      <c r="F48" s="1275">
        <f>IF(Feed_3&gt;0,F40*F19*Fr/Feed_3,0)</f>
        <v>0</v>
      </c>
      <c r="G48" s="83"/>
      <c r="H48" s="1275">
        <f>IF(Feed_3&gt;0,H40*H19*Fr/Feed_3,0)</f>
        <v>0</v>
      </c>
      <c r="I48" s="83"/>
      <c r="J48" s="1275">
        <f>IF(Feed_3&gt;0,J40*J19*Fr/Feed_3,0)</f>
        <v>0</v>
      </c>
      <c r="K48" s="83"/>
      <c r="L48" s="1275">
        <f>IF(Feed_3&gt;0,L40*L19*L44/Feed_3,0)</f>
        <v>0</v>
      </c>
      <c r="M48" s="83"/>
      <c r="N48" s="1275">
        <f>IF(Feed_3&gt;0,N40*N19*Fr/Feed_3,0)</f>
        <v>0</v>
      </c>
      <c r="O48" s="83"/>
      <c r="P48" s="1275">
        <f>IF(Feed_3&gt;0,P40*P19*Fr/Feed_3,0)</f>
        <v>0</v>
      </c>
      <c r="Q48" s="83"/>
      <c r="R48" s="1285">
        <f>IF(Feed_3&gt;0,R40*R19*Fr/Feed_3,0)</f>
        <v>0</v>
      </c>
      <c r="S48" s="83"/>
      <c r="T48" s="1275">
        <f>IF(Feed_3&gt;0,T40*T19*Fr/Feed_3,0)</f>
        <v>0</v>
      </c>
      <c r="U48" s="83"/>
      <c r="V48" s="1275">
        <f>IF(Feed_3&gt;0,V40*V19*Fr/Feed_3,0)</f>
        <v>0</v>
      </c>
      <c r="W48" s="83"/>
      <c r="X48" s="1275">
        <f>IF(Feed_3&gt;0,X40*X19*Fr/Feed_3,0)</f>
        <v>0</v>
      </c>
      <c r="Y48" s="83"/>
      <c r="Z48" s="85" t="s">
        <v>1497</v>
      </c>
      <c r="AA48" s="83"/>
      <c r="AB48" s="81"/>
      <c r="AC48" s="512" t="str">
        <f t="shared" si="40"/>
        <v/>
      </c>
      <c r="AD48" s="81"/>
      <c r="AE48" s="1275">
        <f>IF(Feed_3&gt;0,AE40*AE19*AE$44/Feed_3,0)</f>
        <v>0</v>
      </c>
      <c r="AF48" s="81"/>
      <c r="AG48" s="1275">
        <f>IF(Feed_3&gt;0,AG40*AG19*AG$44/Feed_3,0)</f>
        <v>0</v>
      </c>
      <c r="AH48" s="81"/>
      <c r="AI48" s="1275">
        <f>IF(Feed_3&gt;0,AI40*AI19*AI$44/Feed_3,0)</f>
        <v>0</v>
      </c>
      <c r="AJ48" s="81"/>
      <c r="AK48" s="1275">
        <f>IF(Feed_3&gt;0,AK40*AK19*AK$44/Feed_3,0)</f>
        <v>0</v>
      </c>
      <c r="AL48" s="81"/>
      <c r="AM48" s="1275">
        <f>IF(Feed_3&gt;0,AM40*AM19*AM$44/Feed_3,0)</f>
        <v>0</v>
      </c>
      <c r="AN48" s="81"/>
      <c r="AO48" s="1285">
        <f>IF(HTFeed_3&gt;0,AO40*AO19*AO$44/HTFeed_3,0)</f>
        <v>0</v>
      </c>
      <c r="AP48" s="81"/>
      <c r="AQ48" s="85" t="s">
        <v>1497</v>
      </c>
      <c r="AR48" s="81"/>
      <c r="AS48" s="83"/>
      <c r="AT48" s="119" t="s">
        <v>2277</v>
      </c>
      <c r="AU48" s="83"/>
      <c r="AV48" s="2480">
        <f>SUM(AV49:AV53)</f>
        <v>0</v>
      </c>
      <c r="AW48" s="83"/>
      <c r="AX48" s="2480">
        <f>SUM(AX49:AX53)</f>
        <v>0</v>
      </c>
      <c r="AY48" s="83"/>
      <c r="AZ48" s="2480">
        <f>SUM(AZ49:AZ53)</f>
        <v>0</v>
      </c>
      <c r="BA48" s="83"/>
      <c r="BB48" s="875">
        <f>SUM(BB49:BB53)</f>
        <v>0</v>
      </c>
      <c r="BC48" s="83"/>
      <c r="BD48" s="2480">
        <f>SUM(BD49:BD53)</f>
        <v>0</v>
      </c>
      <c r="BE48" s="83"/>
      <c r="BF48" s="2480">
        <f>SUM(BF49:BF53)</f>
        <v>0</v>
      </c>
      <c r="BG48" s="83"/>
      <c r="BH48" s="2480">
        <f>SUM(BH49:BH53)</f>
        <v>0</v>
      </c>
      <c r="BI48" s="83"/>
      <c r="BJ48" s="2480">
        <f>SUM(BJ49:BJ53)</f>
        <v>0</v>
      </c>
      <c r="BK48" s="83"/>
      <c r="BL48" s="875">
        <f>SUM(BL49:BL53)</f>
        <v>0</v>
      </c>
      <c r="BM48" s="83"/>
      <c r="BN48" s="2480">
        <f>SUM(BN49:BN53)</f>
        <v>0</v>
      </c>
      <c r="BO48" s="83"/>
      <c r="BP48" s="85" t="s">
        <v>1497</v>
      </c>
      <c r="BQ48" s="83"/>
      <c r="BR48" s="81"/>
      <c r="BS48" s="846" t="str">
        <f t="shared" si="41"/>
        <v/>
      </c>
      <c r="BT48" s="237"/>
      <c r="BU48" s="1275">
        <f>IF(Feed_3&gt;0,BU40*BU19*BU$44/Feed_3,0)</f>
        <v>0</v>
      </c>
      <c r="BV48" s="237"/>
      <c r="BW48" s="1275">
        <f>IF(Feed_3&gt;0,BW40*BW19*BW$44/Feed_3,0)</f>
        <v>0</v>
      </c>
      <c r="BX48" s="237"/>
      <c r="BY48" s="1275">
        <f>IF(Feed_3&gt;0,BY40*BY19*BY$44/Feed_3,0)</f>
        <v>0</v>
      </c>
      <c r="BZ48" s="237"/>
      <c r="CA48" s="1275">
        <f>IF(Feed_3&gt;0,CA40*CA19*CA$44/Feed_3,0)</f>
        <v>0</v>
      </c>
      <c r="CB48" s="237"/>
      <c r="CC48" s="1275">
        <f>IF(Feed_3&gt;0,CC40*CC19*CC$44/Feed_3,0)</f>
        <v>0</v>
      </c>
      <c r="CD48" s="237"/>
      <c r="CE48" s="85" t="s">
        <v>1497</v>
      </c>
      <c r="CF48" s="81"/>
      <c r="CG48" s="2"/>
      <c r="CH48" s="512" t="s">
        <v>5105</v>
      </c>
      <c r="CI48" s="83"/>
      <c r="CJ48" s="2981">
        <f>IF(CJ13&lt;&gt;"",LN(IF(CJ$40&gt;=1000,CJ$27*CJ$38*1000^CJ$39,NBPlume_A*CJ13/(CJ20*Wind)/(1000-CJ$40+CJ$41)^(1/NBPlume_B))),0)</f>
        <v>0</v>
      </c>
      <c r="CK48" s="83"/>
      <c r="CL48" s="23"/>
      <c r="CM48" s="83"/>
    </row>
    <row r="49" spans="1:100" ht="15" customHeight="1" x14ac:dyDescent="0.25">
      <c r="A49" s="2"/>
      <c r="B49" s="512" t="str">
        <f t="shared" si="39"/>
        <v/>
      </c>
      <c r="C49" s="83"/>
      <c r="D49" s="1275">
        <f>IF(Feed_4&gt;0,D41*D20*Fr/Feed_4,0)</f>
        <v>0</v>
      </c>
      <c r="E49" s="83"/>
      <c r="F49" s="1275">
        <f>IF(Feed_4&gt;0,F41*F20*Fr/Feed_4,0)</f>
        <v>0</v>
      </c>
      <c r="G49" s="83"/>
      <c r="H49" s="1275">
        <f>IF(Feed_4&gt;0,H41*H20*Fr/Feed_4,0)</f>
        <v>0</v>
      </c>
      <c r="I49" s="83"/>
      <c r="J49" s="1275">
        <f>IF(Feed_4&gt;0,J41*J20*Fr/Feed_4,0)</f>
        <v>0</v>
      </c>
      <c r="K49" s="83"/>
      <c r="L49" s="1275">
        <f>IF(Feed_4&gt;0,L41*L20*L44/Feed_4,0)</f>
        <v>0</v>
      </c>
      <c r="M49" s="83"/>
      <c r="N49" s="1275">
        <f>IF(Feed_4&gt;0,N41*N20*Fr/Feed_4,0)</f>
        <v>0</v>
      </c>
      <c r="O49" s="83"/>
      <c r="P49" s="1275">
        <f>IF(Feed_4&gt;0,P41*P20*Fr/Feed_4,0)</f>
        <v>0</v>
      </c>
      <c r="Q49" s="83"/>
      <c r="R49" s="1285">
        <f>IF(Feed_4&gt;0,R41*R20*Fr/Feed_4,0)</f>
        <v>0</v>
      </c>
      <c r="S49" s="83"/>
      <c r="T49" s="1275">
        <f>IF(Feed_4&gt;0,T41*T20*Fr/Feed_4,0)</f>
        <v>0</v>
      </c>
      <c r="U49" s="83"/>
      <c r="V49" s="1275">
        <f>IF(Feed_4&gt;0,V41*V20*Fr/Feed_4,0)</f>
        <v>0</v>
      </c>
      <c r="W49" s="83"/>
      <c r="X49" s="1275">
        <f>IF(Feed_4&gt;0,X41*X20*Fr/Feed_4,0)</f>
        <v>0</v>
      </c>
      <c r="Y49" s="83"/>
      <c r="Z49" s="85" t="s">
        <v>1497</v>
      </c>
      <c r="AA49" s="83"/>
      <c r="AB49" s="81"/>
      <c r="AC49" s="512" t="str">
        <f t="shared" si="40"/>
        <v/>
      </c>
      <c r="AD49" s="81"/>
      <c r="AE49" s="1275">
        <f>IF(Feed_4&gt;0,AE41*AE20*AE$44/Feed_4,0)</f>
        <v>0</v>
      </c>
      <c r="AF49" s="81"/>
      <c r="AG49" s="1275">
        <f>IF(Feed_4&gt;0,AG41*AG20*AG$44/Feed_4,0)</f>
        <v>0</v>
      </c>
      <c r="AH49" s="81"/>
      <c r="AI49" s="1275">
        <f>IF(Feed_4&gt;0,AI41*AI20*AI$44/Feed_4,0)</f>
        <v>0</v>
      </c>
      <c r="AJ49" s="81"/>
      <c r="AK49" s="1275">
        <f>IF(Feed_4&gt;0,AK41*AK20*AK$44/Feed_4,0)</f>
        <v>0</v>
      </c>
      <c r="AL49" s="81"/>
      <c r="AM49" s="1275">
        <f>IF(Feed_4&gt;0,AM41*AM20*AM$44/Feed_4,0)</f>
        <v>0</v>
      </c>
      <c r="AN49" s="81"/>
      <c r="AO49" s="1285">
        <f>IF(HTFeed_4&gt;0,AO41*AO20*AO$44/HTFeed_4,0)</f>
        <v>0</v>
      </c>
      <c r="AP49" s="81"/>
      <c r="AQ49" s="85" t="s">
        <v>1497</v>
      </c>
      <c r="AR49" s="81"/>
      <c r="AS49" s="83"/>
      <c r="AT49" s="614" t="str">
        <f>B64</f>
        <v/>
      </c>
      <c r="AU49" s="83"/>
      <c r="AV49" s="470">
        <f>IF(AND(AV$7&gt;0,Mw_1&lt;&gt;""),IF(AV$12*Feed_1-AV$22*(1-AV$17)*AV36-(AV$12-AV$22-AV$16*ContainedMass)*(1-AV$19)*AV42&gt;0,(Mw_1/Mw_Feed)*(AV$12*Feed_1-AV$22*(1-AV$17)*AV36-(AV$12-AV$22-AV$16*ContainedMass)*(1-AV$19)*AV42),0),0)</f>
        <v>0</v>
      </c>
      <c r="AW49" s="83"/>
      <c r="AX49" s="470">
        <f>IF(AND(AX$7&gt;0,Mw_1&lt;&gt;""),IF(AX$12*Feed_1-AX$22*(1-AX$17)*AX36-(AX$12-AX$22-AX$16*ContainedMass)*(1-AX$19)*AX42&gt;0,(Mw_1/Mw_Feed)*(AX$12*Feed_1-AX$22*(1-AX$17)*AX36-(AX$12-AX$22-AX$16*ContainedMass)*(1-AX$19)*AX42),0),0)</f>
        <v>0</v>
      </c>
      <c r="AY49" s="83"/>
      <c r="AZ49" s="470">
        <f>IF(AND(AZ$7&gt;0,Mw_1&lt;&gt;""),IF(AZ$12*Feed_1-AZ$22*(1-AZ$17)*AZ36-(AZ$12-AZ$22-AZ$16*ContainedMass)*(1-AZ$19)*AZ42&gt;0,(Mw_1/Mw_Feed)*(AZ$12*Feed_1-AZ$22*(1-AZ$17)*AZ36-(AZ$12-AZ$22-AZ$16*ContainedMass)*(1-AZ$19)*AZ42),0),0)</f>
        <v>0</v>
      </c>
      <c r="BA49" s="83"/>
      <c r="BB49" s="470">
        <f>IF(AND(BB$7&gt;0,Mw_1&lt;&gt;""),IF(BB$12*Feed_1-BB$22*(1-BB$17)*BB36-(BB$12-BB$22-BB$16*ContainedMass)*(1-BB$19)*BB42&gt;0,(Mw_1/Mw_Feed)*(BB$12*Feed_1-BB$22*(1-BB$17)*BB36-(BB$12-BB$22-BB$16*ContainedMass)*(1-BB$19)*BB42),0),0)</f>
        <v>0</v>
      </c>
      <c r="BC49" s="83"/>
      <c r="BD49" s="470">
        <f>IF(AND(BD$7&gt;0,Mw_1&lt;&gt;""),IF(BD$12*Feed_1-BD$22*(1-BD$17)*BD36-(BD$12-BD$22-BD$16*ContainedMass)*(1-BD$19)*BD42&gt;0,(Mw_1/Mw_Feed)*(BD$12*Feed_1-BD$22*(1-BD$17)*BD36-(BD$12-BD$22-BD$16*ContainedMass)*(1-BD$19)*BD42),0),0)</f>
        <v>0</v>
      </c>
      <c r="BE49" s="83"/>
      <c r="BF49" s="470">
        <f>IF(AND(BF$7&gt;0,Mw_1&lt;&gt;""),IF(BF$12*Feed_1-BF$22*(1-BF$17)*BF36-(BF$12-BF$22-BF$16*ContainedMass)*(1-BF$19)*BF42&gt;0,(Mw_1/Mw_Feed)*(BF$12*Feed_1-BF$22*(1-BF$17)*BF36-(BF$12-BF$22-BF$16*ContainedMass)*(1-BF$19)*BF42),0),0)</f>
        <v>0</v>
      </c>
      <c r="BG49" s="83"/>
      <c r="BH49" s="470">
        <f>IF(AND(BH$7&gt;0,Mw_1&lt;&gt;""),IF(BH$12*Feed_1-BH$22*(1-BH$17)*BH36-(BH$12-BH$22-BH$16*ContainedMass)*(1-BH$19)*BH42&gt;0,(Mw_1/Mw_Feed)*(BH$12*Feed_1-BH$22*(1-BH$17)*BH36-(BH$12-BH$22-BH$16*ContainedMass)*(1-BH$19)*BH42),0),0)</f>
        <v>0</v>
      </c>
      <c r="BI49" s="83"/>
      <c r="BJ49" s="470">
        <f>IF(AND(BJ$7&gt;0,Mw_1&lt;&gt;""),IF(BJ$12*Feed_1-BJ$22*(1-BJ$17)*BJ36-(BJ$12-BJ$22-BJ$16*ContainedMass)*(1-BJ$19)*BJ42&gt;0,(Mw_1/Mw_Feed)*(BJ$12*Feed_1-BJ$22*(1-BJ$17)*BJ36-(BJ$12-BJ$22-BJ$16*ContainedMass)*(1-BJ$19)*BJ42),0),0)</f>
        <v>0</v>
      </c>
      <c r="BK49" s="83"/>
      <c r="BL49" s="470">
        <f>IF(AND(BL$7&gt;0,Mw_1&lt;&gt;""),IF(BL$12*Feed_1-BL$22*(1-BL$17)*BL36-(BL$12-BL$22-BL$16*ContainedMass)*(1-BL$19)*BL42&gt;0,(Mw_1/Mw_Feed)*(BL$12*Feed_1-BL$22*(1-BL$17)*BL36-(BL$12-BL$22-BL$16*ContainedMass)*(1-BL$19)*BL42),0),0)</f>
        <v>0</v>
      </c>
      <c r="BM49" s="83"/>
      <c r="BN49" s="470">
        <f>IF(AND(BN$7&gt;0,Mw_1&lt;&gt;""),IF(BN$7*Mw_Feed*BN$24&lt;BN$12,BN$7*Mw_Feed*BN$24*Feed_1,BN$12*Feed_1),0)</f>
        <v>0</v>
      </c>
      <c r="BO49" s="83"/>
      <c r="BP49" s="85" t="s">
        <v>1497</v>
      </c>
      <c r="BQ49" s="83"/>
      <c r="BR49" s="81"/>
      <c r="BS49" s="846" t="str">
        <f t="shared" si="41"/>
        <v/>
      </c>
      <c r="BT49" s="237"/>
      <c r="BU49" s="1275">
        <f>IF(Feed_4&gt;0,BU41*BU20*BU$44/Feed_4,0)</f>
        <v>0</v>
      </c>
      <c r="BV49" s="237"/>
      <c r="BW49" s="1275">
        <f>IF(Feed_4&gt;0,BW41*BW20*BW$44/Feed_4,0)</f>
        <v>0</v>
      </c>
      <c r="BX49" s="237"/>
      <c r="BY49" s="1275">
        <f>IF(Feed_4&gt;0,BY41*BY20*BY$44/Feed_4,0)</f>
        <v>0</v>
      </c>
      <c r="BZ49" s="237"/>
      <c r="CA49" s="1275">
        <f>IF(Feed_4&gt;0,CA41*CA20*CA$44/Feed_4,0)</f>
        <v>0</v>
      </c>
      <c r="CB49" s="237"/>
      <c r="CC49" s="1275">
        <f>IF(Feed_4&gt;0,CC41*CC20*CC$44/Feed_4,0)</f>
        <v>0</v>
      </c>
      <c r="CD49" s="237"/>
      <c r="CE49" s="85" t="s">
        <v>1497</v>
      </c>
      <c r="CF49" s="81"/>
      <c r="CG49" s="2"/>
      <c r="CH49" s="512" t="s">
        <v>5106</v>
      </c>
      <c r="CI49" s="83"/>
      <c r="CJ49" s="2981">
        <f>IF(CJ13&lt;&gt;"",LN(IF(CJ$40&gt;=2000,CJ$27*CJ$38*2000^CJ$39,NBPlume_A*CJ13/(CJ20*Wind)/(2000-CJ$40+CJ$41)^(1/NBPlume_B))),0)</f>
        <v>0</v>
      </c>
      <c r="CK49" s="83"/>
      <c r="CL49" s="23"/>
      <c r="CM49" s="83"/>
    </row>
    <row r="50" spans="1:100" ht="15" customHeight="1" thickBot="1" x14ac:dyDescent="0.3">
      <c r="A50" s="2"/>
      <c r="B50" s="512" t="str">
        <f t="shared" si="39"/>
        <v/>
      </c>
      <c r="C50" s="83"/>
      <c r="D50" s="1276">
        <f>IF(Feed_5&gt;0,D42*D21*Fr/Feed_5,0)</f>
        <v>0</v>
      </c>
      <c r="E50" s="83"/>
      <c r="F50" s="1276">
        <f>IF(Feed_5&gt;0,F42*F21*Fr/Feed_5,0)</f>
        <v>0</v>
      </c>
      <c r="G50" s="83"/>
      <c r="H50" s="1276">
        <f>IF(Feed_5&gt;0,H42*H21*Fr/Feed_5,0)</f>
        <v>0</v>
      </c>
      <c r="I50" s="83"/>
      <c r="J50" s="1276">
        <f>IF(Feed_5&gt;0,J42*J21*Fr/Feed_5,0)</f>
        <v>0</v>
      </c>
      <c r="K50" s="83"/>
      <c r="L50" s="1276">
        <f>IF(Feed_5&gt;0,L42*L21*L44/Feed_5,0)</f>
        <v>0</v>
      </c>
      <c r="M50" s="83"/>
      <c r="N50" s="1276">
        <f>IF(Feed_5&gt;0,N42*N21*Fr/Feed_5,0)</f>
        <v>0</v>
      </c>
      <c r="O50" s="83"/>
      <c r="P50" s="1276">
        <f>IF(Feed_5&gt;0,P42*P21*Fr/Feed_5,0)</f>
        <v>0</v>
      </c>
      <c r="Q50" s="83"/>
      <c r="R50" s="2088">
        <f>IF(Feed_5&gt;0,R42*R21*Fr/Feed_5,0)</f>
        <v>0</v>
      </c>
      <c r="S50" s="83"/>
      <c r="T50" s="1276">
        <f>IF(Feed_5&gt;0,T42*T21*Fr/Feed_5,0)</f>
        <v>0</v>
      </c>
      <c r="U50" s="83"/>
      <c r="V50" s="1276">
        <f>IF(Feed_5&gt;0,V42*V21*Fr/Feed_5,0)</f>
        <v>0</v>
      </c>
      <c r="W50" s="83"/>
      <c r="X50" s="1276">
        <f>IF(Feed_5&gt;0,X42*X21*Fr/Feed_5,0)</f>
        <v>0</v>
      </c>
      <c r="Y50" s="83"/>
      <c r="Z50" s="25" t="s">
        <v>1497</v>
      </c>
      <c r="AA50" s="83"/>
      <c r="AB50" s="81"/>
      <c r="AC50" s="615" t="str">
        <f t="shared" si="40"/>
        <v/>
      </c>
      <c r="AD50" s="81"/>
      <c r="AE50" s="1276">
        <f>IF(Feed_5&gt;0,AE42*AE21*AE$44/Feed_5,0)</f>
        <v>0</v>
      </c>
      <c r="AF50" s="81"/>
      <c r="AG50" s="1276">
        <f>IF(Feed_5&gt;0,AG42*AG21*AG$44/Feed_5,0)</f>
        <v>0</v>
      </c>
      <c r="AH50" s="81"/>
      <c r="AI50" s="1276">
        <f>IF(Feed_5&gt;0,AI42*AI21*AI$44/Feed_5,0)</f>
        <v>0</v>
      </c>
      <c r="AJ50" s="81"/>
      <c r="AK50" s="1276">
        <f>IF(Feed_5&gt;0,AK42*AK21*AK$44/Feed_5,0)</f>
        <v>0</v>
      </c>
      <c r="AL50" s="81"/>
      <c r="AM50" s="1276">
        <f>IF(Feed_5&gt;0,AM42*AM21*AM$44/Feed_5,0)</f>
        <v>0</v>
      </c>
      <c r="AN50" s="81"/>
      <c r="AO50" s="2088">
        <f>IF(HTFeed_5&gt;0,AO42*AO21*AO$44/HTFeed_5,0)</f>
        <v>0</v>
      </c>
      <c r="AP50" s="81"/>
      <c r="AQ50" s="25" t="s">
        <v>1497</v>
      </c>
      <c r="AR50" s="81"/>
      <c r="AS50" s="83"/>
      <c r="AT50" s="512" t="str">
        <f>B65</f>
        <v/>
      </c>
      <c r="AU50" s="83"/>
      <c r="AV50" s="874">
        <f>IF(AND(AV$7&gt;0,Mw_2&lt;&gt;""),IF(AV$12*Feed_2-AV$22*(1-AV$17)*AV37-(AV$12-AV$22-AV$16*ContainedMass)*(1-AV$19)*AV43&gt;0,(Mw_2/Mw_Feed)*(AV$12*Feed_2-AV$22*(1-AV$17)*AV37-(AV$12-AV$22-AV$16*ContainedMass)*(1-AV$19)*AV43),0),0)</f>
        <v>0</v>
      </c>
      <c r="AW50" s="83"/>
      <c r="AX50" s="874">
        <f>IF(AND(AX$7&gt;0,Mw_2&lt;&gt;""),IF(AX$12*Feed_2-AX$22*(1-AX$17)*AX37-(AX$12-AX$22-AX$16*ContainedMass)*(1-AX$19)*AX43&gt;0,(Mw_2/Mw_Feed)*(AX$12*Feed_2-AX$22*(1-AX$17)*AX37-(AX$12-AX$22-AX$16*ContainedMass)*(1-AX$19)*AX43),0),0)</f>
        <v>0</v>
      </c>
      <c r="AY50" s="83"/>
      <c r="AZ50" s="874">
        <f>IF(AND(AZ$7&gt;0,Mw_2&lt;&gt;""),IF(AZ$12*Feed_2-AZ$22*(1-AZ$17)*AZ37-(AZ$12-AZ$22-AZ$16*ContainedMass)*(1-AZ$19)*AZ43&gt;0,(Mw_2/Mw_Feed)*(AZ$12*Feed_2-AZ$22*(1-AZ$17)*AZ37-(AZ$12-AZ$22-AZ$16*ContainedMass)*(1-AZ$19)*AZ43),0),0)</f>
        <v>0</v>
      </c>
      <c r="BA50" s="83"/>
      <c r="BB50" s="874">
        <f>IF(AND(BB$7&gt;0,Mw_2&lt;&gt;""),IF(BB$12*Feed_2-BB$22*(1-BB$17)*BB37-(BB$12-BB$22-BB$16*ContainedMass)*(1-BB$19)*BB43&gt;0,(Mw_2/Mw_Feed)*(BB$12*Feed_2-BB$22*(1-BB$17)*BB37-(BB$12-BB$22-BB$16*ContainedMass)*(1-BB$19)*BB43),0),0)</f>
        <v>0</v>
      </c>
      <c r="BC50" s="83"/>
      <c r="BD50" s="874">
        <f>IF(AND(BD$7&gt;0,Mw_2&lt;&gt;""),IF(BD$12*Feed_2-BD$22*(1-BD$17)*BD37-(BD$12-BD$22-BD$16*ContainedMass)*(1-BD$19)*BD43&gt;0,(Mw_2/Mw_Feed)*(BD$12*Feed_2-BD$22*(1-BD$17)*BD37-(BD$12-BD$22-BD$16*ContainedMass)*(1-BD$19)*BD43),0),0)</f>
        <v>0</v>
      </c>
      <c r="BE50" s="83"/>
      <c r="BF50" s="874">
        <f>IF(AND(BF$7&gt;0,Mw_2&lt;&gt;""),IF(BF$12*Feed_2-BF$22*(1-BF$17)*BF37-(BF$12-BF$22-BF$16*ContainedMass)*(1-BF$19)*BF43&gt;0,(Mw_2/Mw_Feed)*(BF$12*Feed_2-BF$22*(1-BF$17)*BF37-(BF$12-BF$22-BF$16*ContainedMass)*(1-BF$19)*BF43),0),0)</f>
        <v>0</v>
      </c>
      <c r="BG50" s="83"/>
      <c r="BH50" s="874">
        <f>IF(AND(BH$7&gt;0,Mw_2&lt;&gt;""),IF(BH$12*Feed_2-BH$22*(1-BH$17)*BH37-(BH$12-BH$22-BH$16*ContainedMass)*(1-BH$19)*BH43&gt;0,(Mw_2/Mw_Feed)*(BH$12*Feed_2-BH$22*(1-BH$17)*BH37-(BH$12-BH$22-BH$16*ContainedMass)*(1-BH$19)*BH43),0),0)</f>
        <v>0</v>
      </c>
      <c r="BI50" s="83"/>
      <c r="BJ50" s="874">
        <f>IF(AND(BJ$7&gt;0,Mw_2&lt;&gt;""),IF(BJ$12*Feed_2-BJ$22*(1-BJ$17)*BJ37-(BJ$12-BJ$22-BJ$16*ContainedMass)*(1-BJ$19)*BJ43&gt;0,(Mw_2/Mw_Feed)*(BJ$12*Feed_2-BJ$22*(1-BJ$17)*BJ37-(BJ$12-BJ$22-BJ$16*ContainedMass)*(1-BJ$19)*BJ43),0),0)</f>
        <v>0</v>
      </c>
      <c r="BK50" s="83"/>
      <c r="BL50" s="874">
        <f>IF(AND(BL$7&gt;0,Mw_2&lt;&gt;""),IF(BL$12*Feed_2-BL$22*(1-BL$17)*BL37-(BL$12-BL$22-BL$16*ContainedMass)*(1-BL$19)*BL43&gt;0,(Mw_2/Mw_Feed)*(BL$12*Feed_2-BL$22*(1-BL$17)*BL37-(BL$12-BL$22-BL$16*ContainedMass)*(1-BL$19)*BL43),0),0)</f>
        <v>0</v>
      </c>
      <c r="BM50" s="83"/>
      <c r="BN50" s="874">
        <f>IF(AND(BN$7&gt;0,Mw_2&lt;&gt;""),IF(BN$7*Mw_Feed*BN$24&lt;BN$12,BN$7*Mw_Feed*BN$24*Feed_2,BN$12*Feed_2),0)</f>
        <v>0</v>
      </c>
      <c r="BO50" s="83"/>
      <c r="BP50" s="85" t="s">
        <v>1497</v>
      </c>
      <c r="BQ50" s="83"/>
      <c r="BR50" s="81"/>
      <c r="BS50" s="846" t="str">
        <f t="shared" si="41"/>
        <v/>
      </c>
      <c r="BT50" s="237"/>
      <c r="BU50" s="1276">
        <f>IF(Feed_5&gt;0,BU42*BU21*BU$44/Feed_5,0)</f>
        <v>0</v>
      </c>
      <c r="BV50" s="237"/>
      <c r="BW50" s="1276">
        <f>IF(Feed_5&gt;0,BW42*BW21*BW$44/Feed_5,0)</f>
        <v>0</v>
      </c>
      <c r="BX50" s="237"/>
      <c r="BY50" s="1276">
        <f>IF(Feed_5&gt;0,BY42*BY21*BY$44/Feed_5,0)</f>
        <v>0</v>
      </c>
      <c r="BZ50" s="237"/>
      <c r="CA50" s="1276">
        <f>IF(Feed_5&gt;0,CA42*CA21*CA$44/Feed_5,0)</f>
        <v>0</v>
      </c>
      <c r="CB50" s="237"/>
      <c r="CC50" s="1276">
        <f>IF(Feed_5&gt;0,CC42*CC21*CC$44/Feed_5,0)</f>
        <v>0</v>
      </c>
      <c r="CD50" s="237"/>
      <c r="CE50" s="25" t="s">
        <v>1497</v>
      </c>
      <c r="CF50" s="81"/>
      <c r="CG50" s="2"/>
      <c r="CH50" s="512" t="s">
        <v>5107</v>
      </c>
      <c r="CI50" s="83"/>
      <c r="CJ50" s="2981">
        <f>IF(CJ13&lt;&gt;"",LN(IF(CJ$40&gt;=5000,CJ$27*CJ$38*5000^CJ$39,NBPlume_A*CJ13/(CJ20*Wind)/(5000-CJ$40+CJ$41)^(1/NBPlume_B))),0)</f>
        <v>0</v>
      </c>
      <c r="CK50" s="83"/>
      <c r="CL50" s="23"/>
      <c r="CM50" s="83"/>
    </row>
    <row r="51" spans="1:100" ht="15" customHeight="1" thickBot="1" x14ac:dyDescent="0.3">
      <c r="A51" s="2"/>
      <c r="B51" s="85" t="s">
        <v>2195</v>
      </c>
      <c r="C51" s="83"/>
      <c r="D51" s="1294">
        <f t="array" ref="D51:D62">IF(AND(OR(Fract_Key_Mix&lt;&gt;"",Fract_Key_Chemical&gt;0),D16&gt;0,D27&lt;1,State="Liquid"),poolRoutine(Number_Trials,Max_Duration,D22,IF(D22&gt;0,D16/D22/Mw_Feed,0),D44,D37,D38,D39,D40,D41,D42,Ambient_Temp,Wind_Effective,Solar,Gnd_Coeff,Liq_rho_atTBp,Dike_Area,Mw_Feed,Act_rel,Molar_Cs,Molar_HtVap,Act_1,Act_2,Act_3,Act_4,Act_5,Rel_1*EXP(dRel_1*(TBp_Aerosol-T)),Rel_2*EXP(dRel_2*(TBp_Aerosol-T)),Rel_3*EXP(dRel_3*(TBp_Aerosol-T)),Rel_4*EXP(dRel_4*(TBp_Aerosol-T)),Rel_5*EXP(dRel_5*(TBp_Aerosol-T)),VP_A,VP_B,VP_C,Alpha_1*EXP(dAlpha_1*(TBp_Aerosol-T)),Alpha_2*EXP(dAlpha_2*(TBp_Aerosol-T)),Alpha_3*EXP(dAlpha_3*(TBp_Aerosol-T)),Alpha_4*EXP(dAlpha_4*(TBp_Aerosol-T)),Alpha_5*EXP(dAlpha_5*(TBp_Aerosol-T)),Mw_1,Mw_2,Mw_3,Mw_4,Mw_5),0)</f>
        <v>0</v>
      </c>
      <c r="E51" s="1293"/>
      <c r="F51" s="1294">
        <f t="array" ref="F51:F62">IF(AND(OR(Fract_Key_Mix&lt;&gt;"",Fract_Key_Chemical&gt;0),F16&gt;0,F27&lt;1,State="Liquid"),poolRoutine(Number_Trials,Max_Duration,F22,IF(F22&gt;0,F16/F22/Mw_Feed,0),F44,F37,F38,F39,F40,F41,F42,Ambient_Temp,Wind_Effective,Solar,Gnd_Coeff,Liq_rho_atTBp,Dike_Area,Mw_Feed,Act_rel,Molar_Cs,Molar_HtVap,Act_1,Act_2,Act_3,Act_4,Act_5,Rel_1*EXP(dRel_1*(TBp_Aerosol-T)),Rel_2*EXP(dRel_2*(TBp_Aerosol-T)),Rel_3*EXP(dRel_3*(TBp_Aerosol-T)),Rel_4*EXP(dRel_4*(TBp_Aerosol-T)),Rel_5*EXP(dRel_5*(TBp_Aerosol-T)),VP_A,VP_B,VP_C,Alpha_1*EXP(dAlpha_1*(TBp_Aerosol-T)),Alpha_2*EXP(dAlpha_2*(TBp_Aerosol-T)),Alpha_3*EXP(dAlpha_3*(TBp_Aerosol-T)),Alpha_4*EXP(dAlpha_4*(TBp_Aerosol-T)),Alpha_5*EXP(dAlpha_5*(TBp_Aerosol-T)),Mw_1,Mw_2,Mw_3,Mw_4,Mw_5),0)</f>
        <v>0</v>
      </c>
      <c r="G51" s="1293"/>
      <c r="H51" s="1294">
        <f t="array" ref="H51:H62">IF(AND(OR(Fract_Key_Mix&lt;&gt;"",Fract_Key_Chemical&gt;0),H16&gt;0,H27&lt;1,State="Liquid"),poolRoutine(Number_Trials,Max_Duration,H22,IF(H22&gt;0,H16/H22/Mw_Feed,0),H44,H37,H38,H39,H40,H41,H42,Ambient_Temp,Wind_Effective,Solar,Gnd_Coeff,Liq_rho_atTBp,Dike_Area,Mw_Feed,Act_rel,Molar_Cs,Molar_HtVap,Act_1,Act_2,Act_3,Act_4,Act_5,Rel_1*EXP(dRel_1*(TBp_Aerosol-T)),Rel_2*EXP(dRel_2*(TBp_Aerosol-T)),Rel_3*EXP(dRel_3*(TBp_Aerosol-T)),Rel_4*EXP(dRel_4*(TBp_Aerosol-T)),Rel_5*EXP(dRel_5*(TBp_Aerosol-T)),VP_A,VP_B,VP_C,Alpha_1*EXP(dAlpha_1*(TBp_Aerosol-T)),Alpha_2*EXP(dAlpha_2*(TBp_Aerosol-T)),Alpha_3*EXP(dAlpha_3*(TBp_Aerosol-T)),Alpha_4*EXP(dAlpha_4*(TBp_Aerosol-T)),Alpha_5*EXP(dAlpha_5*(TBp_Aerosol-T)),Mw_1,Mw_2,Mw_3,Mw_4,Mw_5),0)</f>
        <v>0</v>
      </c>
      <c r="I51" s="1293"/>
      <c r="J51" s="1294">
        <f t="array" ref="J51:J62">IF(AND(OR(Fract_Key_Mix&lt;&gt;"",Fract_Key_Chemical&gt;0),J16&gt;0,J27&lt;1,State="Liquid"),poolRoutine(Number_Trials,Max_Duration,J22,IF(J22&gt;0,J16/J22/Mw_Feed,0),J44,J37,J38,J39,J40,J41,J42,Ambient_Temp,Wind_Effective,Solar,Gnd_Coeff,Liq_rho_atTBp,Dike_Area,Mw_Feed,Act_rel,Molar_Cs,Molar_HtVap,Act_1,Act_2,Act_3,Act_4,Act_5,Rel_1*EXP(dRel_1*(TBp_Aerosol-T)),Rel_2*EXP(dRel_2*(TBp_Aerosol-T)),Rel_3*EXP(dRel_3*(TBp_Aerosol-T)),Rel_4*EXP(dRel_4*(TBp_Aerosol-T)),Rel_5*EXP(dRel_5*(TBp_Aerosol-T)),VP_A,VP_B,VP_C,Alpha_1*EXP(dAlpha_1*(TBp_Aerosol-T)),Alpha_2*EXP(dAlpha_2*(TBp_Aerosol-T)),Alpha_3*EXP(dAlpha_3*(TBp_Aerosol-T)),Alpha_4*EXP(dAlpha_4*(TBp_Aerosol-T)),Alpha_5*EXP(dAlpha_5*(TBp_Aerosol-T)),Mw_1,Mw_2,Mw_3,Mw_4,Mw_5),0)</f>
        <v>0</v>
      </c>
      <c r="K51" s="1293"/>
      <c r="L51" s="1294">
        <f t="array" ref="L51:L62">IF(AND(OR(Fract_Key_Mix&lt;&gt;"",Fract_Key_Chemical&gt;0),L16&gt;0,L27&lt;1,State="Liquid"),poolRoutine(Number_Trials,Max_Duration,L22,IF(L22&gt;0,L16/L22/Mw_Feed,0),L44,L37,L38,L39,L40,L41,L42,Ambient_Temp,Wind_Effective,Solar,Gnd_Coeff,Liq_rho_atTBp,Dike_Area,Mw_Feed,Act_rel,Molar_Cs,Molar_HtVap,Act_1,Act_2,Act_3,Act_4,Act_5,Rel_1*EXP(dRel_1*(L37-T)),Rel_2*EXP(dRel_2*(L37-T)),Rel_3*EXP(dRel_3*(L37-T)),Rel_4*EXP(dRel_4*(L37-T)),Rel_5*EXP(dRel_5*(L37-T)),VP_A,VP_B,VP_C,Alpha_1*EXP(dAlpha_1*(L37-T)),Alpha_2*EXP(dAlpha_2*(L37-T)),Alpha_3*EXP(dAlpha_3*(L37-T)),Alpha_4*EXP(dAlpha_4*(L37-T)),Alpha_5*EXP(dAlpha_5*(L37-T)),Mw_1,Mw_2,Mw_3,Mw_4,Mw_5),0)</f>
        <v>0</v>
      </c>
      <c r="M51" s="1293"/>
      <c r="N51" s="1294">
        <f t="array" ref="N51:N62">IF(AND(OR(Fract_Key_Mix&lt;&gt;"",Fract_Key_Chemical&gt;0),N16&gt;0,N27&lt;1,State="Liquid"),poolRoutine(Number_Trials,Max_Duration,N22,IF(N22&gt;0,N16/N22/Mw_Feed,0),N44,N37,N38,N39,N40,N41,N42,Ambient_Temp,Wind_Effective,Solar,Gnd_Coeff,Liq_rho_atTBp,Dike_Area,Mw_Feed,Act_rel,Molar_Cs,Molar_HtVap,Act_1,Act_2,Act_3,Act_4,Act_5,Rel_1*EXP(dRel_1*(TBp_Aerosol-T)),Rel_2*EXP(dRel_2*(TBp_Aerosol-T)),Rel_3*EXP(dRel_3*(TBp_Aerosol-T)),Rel_4*EXP(dRel_4*(TBp_Aerosol-T)),Rel_5*EXP(dRel_5*(TBp_Aerosol-T)),VP_A,VP_B,VP_C,Alpha_1*EXP(dAlpha_1*(TBp_Aerosol-T)),Alpha_2*EXP(dAlpha_2*(TBp_Aerosol-T)),Alpha_3*EXP(dAlpha_3*(TBp_Aerosol-T)),Alpha_4*EXP(dAlpha_4*(TBp_Aerosol-T)),Alpha_5*EXP(dAlpha_5*(TBp_Aerosol-T)),Mw_1,Mw_2,Mw_3,Mw_4,Mw_5),0)</f>
        <v>0</v>
      </c>
      <c r="O51" s="1293"/>
      <c r="P51" s="1294">
        <f t="array" ref="P51:P62">IF(AND(OR(Fract_Key_Mix&lt;&gt;"",Fract_Key_Chemical&gt;0),P16&gt;0,P27&lt;1,State="Liquid"),poolRoutine(Number_Trials,Max_Duration,P22,IF(P22&gt;0,P16/P22/Mw_Feed,0),P44,P37,P38,P39,P40,P41,P42,Ambient_Temp,Wind_Effective,Solar,Gnd_Coeff,Liq_rho_atTBp,Dike_Area,Mw_Feed,Act_rel,Molar_Cs,Molar_HtVap,Act_1,Act_2,Act_3,Act_4,Act_5,Rel_1*EXP(dRel_1*(TBp_Aerosol-T)),Rel_2*EXP(dRel_2*(TBp_Aerosol-T)),Rel_3*EXP(dRel_3*(TBp_Aerosol-T)),Rel_4*EXP(dRel_4*(TBp_Aerosol-T)),Rel_5*EXP(dRel_5*(TBp_Aerosol-T)),VP_A,VP_B,VP_C,Alpha_1*EXP(dAlpha_1*(TBp_Aerosol-T)),Alpha_2*EXP(dAlpha_2*(TBp_Aerosol-T)),Alpha_3*EXP(dAlpha_3*(TBp_Aerosol-T)),Alpha_4*EXP(dAlpha_4*(TBp_Aerosol-T)),Alpha_5*EXP(dAlpha_5*(TBp_Aerosol-T)),Mw_1,Mw_2,Mw_3,Mw_4,Mw_5),0)</f>
        <v>0</v>
      </c>
      <c r="Q51" s="1293"/>
      <c r="R51" s="1294">
        <f t="array" ref="R51:R62">IF(AND(OR(Fract_Key_Mix&lt;&gt;"",Fract_Key_Chemical&gt;0),R16&gt;0,R27&lt;1,State="Liquid"),poolRoutine(Number_Trials,Max_Duration,R22,IF(R22&gt;0,R16/R22/Mw_Feed,0),R44,R37,R38,R39,R40,R41,R42,Ambient_Temp,Wind_Effective,Solar,Gnd_Coeff,Liq_rho_atTBp,Dike_Area,Mw_Feed,Act_rel,Molar_Cs,Molar_HtVap,Act_1,Act_2,Act_3,Act_4,Act_5,Rel_1*EXP(dRel_1*(TBp_Aerosol-T)),Rel_2*EXP(dRel_2*(TBp_Aerosol-T)),Rel_3*EXP(dRel_3*(TBp_Aerosol-T)),Rel_4*EXP(dRel_4*(TBp_Aerosol-T)),Rel_5*EXP(dRel_5*(TBp_Aerosol-T)),VP_A,VP_B,VP_C,Alpha_1*EXP(dAlpha_1*(TBp_Aerosol-T)),Alpha_2*EXP(dAlpha_2*(TBp_Aerosol-T)),Alpha_3*EXP(dAlpha_3*(TBp_Aerosol-T)),Alpha_4*EXP(dAlpha_4*(TBp_Aerosol-T)),Alpha_5*EXP(dAlpha_5*(TBp_Aerosol-T)),Mw_1,Mw_2,Mw_3,Mw_4,Mw_5),0)</f>
        <v>0</v>
      </c>
      <c r="S51" s="1293"/>
      <c r="T51" s="1294">
        <f t="array" ref="T51:T62">IF(AND(OR(Fract_Key_Mix&lt;&gt;"",Fract_Key_Chemical&gt;0),T16&gt;0,T27&lt;1,State="Liquid"),poolRoutine(Number_Trials,Max_Duration,T22,IF(T22&gt;0,T16/T22/Mw_Feed,0),T44,T37,T38,T39,T40,T41,T42,Ambient_Temp,Wind_Effective,Solar,Gnd_Coeff,Liq_rho_atTBp,Dike_Area,Mw_Feed,Act_rel,Molar_Cs,Molar_HtVap,Act_1,Act_2,Act_3,Act_4,Act_5,Rel_1*EXP(dRel_1*(TBp_Aerosol-T)),Rel_2*EXP(dRel_2*(TBp_Aerosol-T)),Rel_3*EXP(dRel_3*(TBp_Aerosol-T)),Rel_4*EXP(dRel_4*(TBp_Aerosol-T)),Rel_5*EXP(dRel_5*(TBp_Aerosol-T)),VP_A,VP_B,VP_C,Alpha_1*EXP(dAlpha_1*(TBp_Aerosol-T)),Alpha_2*EXP(dAlpha_2*(TBp_Aerosol-T)),Alpha_3*EXP(dAlpha_3*(TBp_Aerosol-T)),Alpha_4*EXP(dAlpha_4*(TBp_Aerosol-T)),Alpha_5*EXP(dAlpha_5*(TBp_Aerosol-T)),Mw_1,Mw_2,Mw_3,Mw_4,Mw_5),0)</f>
        <v>0</v>
      </c>
      <c r="U51" s="1293"/>
      <c r="V51" s="1294">
        <f t="array" ref="V51:V62">IF(AND(OR(Fract_Key_Mix&lt;&gt;"",Fract_Key_Chemical&gt;0),V16&gt;0,V27&lt;1,State="Liquid"),poolRoutine(Number_Trials,Max_Duration,V22,IF(V22&gt;0,V16/V22/Mw_Feed,0),V44,V37,V38,V39,V40,V41,V42,Ambient_Temp,Wind_Effective,Solar,Gnd_Coeff,Liq_rho_atTBp,Dike_Area,Mw_Feed,Act_rel,Molar_Cs,Molar_HtVap,Act_1,Act_2,Act_3,Act_4,Act_5,Rel_1*EXP(dRel_1*(TBp_Aerosol-T)),Rel_2*EXP(dRel_2*(TBp_Aerosol-T)),Rel_3*EXP(dRel_3*(TBp_Aerosol-T)),Rel_4*EXP(dRel_4*(TBp_Aerosol-T)),Rel_5*EXP(dRel_5*(TBp_Aerosol-T)),VP_A,VP_B,VP_C,Alpha_1*EXP(dAlpha_1*(TBp_Aerosol-T)),Alpha_2*EXP(dAlpha_2*(TBp_Aerosol-T)),Alpha_3*EXP(dAlpha_3*(TBp_Aerosol-T)),Alpha_4*EXP(dAlpha_4*(TBp_Aerosol-T)),Alpha_5*EXP(dAlpha_5*(TBp_Aerosol-T)),Mw_1,Mw_2,Mw_3,Mw_4,Mw_5),0)</f>
        <v>0</v>
      </c>
      <c r="W51" s="1293"/>
      <c r="X51" s="1294">
        <f t="array" ref="X51:X62">IF(AND(OR(Fract_Key_Mix&lt;&gt;"",Fract_Key_Chemical&gt;0),X16&gt;0,X27&lt;1,State="Liquid"),poolRoutine(Number_Trials,Max_Duration,X22,IF(X22&gt;0,X16/X22/Mw_Feed,0),X44,X37,X38,X39,X40,X41,X42,Ambient_Temp,Wind_Effective,Solar,Gnd_Coeff,Liq_rho_atTBp,Dike_Area,Mw_Feed,Act_rel,Molar_Cs,Molar_HtVap,Act_1,Act_2,Act_3,Act_4,Act_5,Rel_1*EXP(dRel_1*(TBp_Aerosol-T)),Rel_2*EXP(dRel_2*(TBp_Aerosol-T)),Rel_3*EXP(dRel_3*(TBp_Aerosol-T)),Rel_4*EXP(dRel_4*(TBp_Aerosol-T)),Rel_5*EXP(dRel_5*(TBp_Aerosol-T)),VP_A,VP_B,VP_C,Alpha_1*EXP(dAlpha_1*(TBp_Aerosol-T)),Alpha_2*EXP(dAlpha_2*(TBp_Aerosol-T)),Alpha_3*EXP(dAlpha_3*(TBp_Aerosol-T)),Alpha_4*EXP(dAlpha_4*(TBp_Aerosol-T)),Alpha_5*EXP(dAlpha_5*(TBp_Aerosol-T)),Mw_1,Mw_2,Mw_3,Mw_4,Mw_5),0)</f>
        <v>0</v>
      </c>
      <c r="Y51" s="83"/>
      <c r="Z51" s="92" t="s">
        <v>1412</v>
      </c>
      <c r="AA51" s="83"/>
      <c r="AB51" s="81"/>
      <c r="AC51" s="850" t="s">
        <v>2195</v>
      </c>
      <c r="AD51" s="81"/>
      <c r="AE51" s="856">
        <f t="array" ref="AE51:AE62">IF(AND(OR(Fract_Key_Mix&lt;&gt;"",Fract_Key_Chemical&gt;0),AE16&gt;0,AE27&lt;1,State="Liquid"),poolRoutine(Number_Trials,Max_Duration,AE22,IF(AE22&gt;0,AE16/AE22/Mw_Feed,0),AE44,AE37,AE38,AE39,AE40,AE41,AE42,Ambient_Temp,Wind_Effective,Solar,Gnd_Coeff,Liq_rho_atTBp,Dike_Area,Mw_Feed,Act_rel,Molar_Cs,Molar_HtVap,Act_1,Act_2,Act_3,Act_4,Act_5,Rel_1*EXP(dRel_1*(AE37-T)),Rel_2*EXP(dRel_2*(AE37-T)),Rel_3*EXP(dRel_3*(AE37-T)),Rel_4*EXP(dRel_4*(AE37-T)),Rel_5*EXP(dRel_5*(AE37-T)),VP_A,VP_B,VP_C,Alpha_1*EXP(dAlpha_1*(AE37-T)),Alpha_2*EXP(dAlpha_2*(AE37-T)),Alpha_3*EXP(dAlpha_3*(AE37-T)),Alpha_4*EXP(dAlpha_4*(AE37-T)),Alpha_5*EXP(dAlpha_5*(AE37-T)),Mw_1,Mw_2,Mw_3,Mw_4,Mw_5),0)</f>
        <v>0</v>
      </c>
      <c r="AF51" s="868"/>
      <c r="AG51" s="856">
        <f t="array" ref="AG51:AG62">IF(AND(OR(Fract_Key_Mix&lt;&gt;"",Fract_Key_Chemical&gt;0),AG16&gt;0,AG27&lt;1,State="Liquid"),poolRoutine(Number_Trials,Max_Duration,AG22,IF(AG22&gt;0,AG16/AG22/Mw_Feed,0),AG44,AG37,AG38,AG39,AG40,AG41,AG42,Ambient_Temp,Wind_Effective,Solar,Gnd_Coeff,Liq_rho_atTBp,Dike_Area,Mw_Feed,Act_rel,Molar_Cs,Molar_HtVap,Act_1,Act_2,Act_3,Act_4,Act_5,Rel_1*EXP(dRel_1*(AG37-T)),Rel_2*EXP(dRel_2*(AG37-T)),Rel_3*EXP(dRel_3*(AG37-T)),Rel_4*EXP(dRel_4*(AG37-T)),Rel_5*EXP(dRel_5*(AG37-T)),VP_A,VP_B,VP_C,Alpha_1*EXP(dAlpha_1*(AG37-T)),Alpha_2*EXP(dAlpha_2*(AG37-T)),Alpha_3*EXP(dAlpha_3*(AG37-T)),Alpha_4*EXP(dAlpha_4*(AG37-T)),Alpha_5*EXP(dAlpha_5*(AG37-T)),Mw_1,Mw_2,Mw_3,Mw_4,Mw_5),0)</f>
        <v>0</v>
      </c>
      <c r="AH51" s="868"/>
      <c r="AI51" s="856">
        <f t="array" ref="AI51:AI62">IF(AND(OR(Fract_Key_Mix&lt;&gt;"",Fract_Key_Chemical&gt;0),AI16&gt;0,AI27&lt;1,State="Liquid"),poolRoutine(Number_Trials,Max_Duration,AI22,IF(AI22&gt;0,AI16/AI22/Mw_Feed,0),AI44,AI37,AI38,AI39,AI40,AI41,AI42,Ambient_Temp,Wind_Effective,Solar,Gnd_Coeff,Liq_rho_atTBp,Dike_Area,Mw_Feed,Act_rel,Molar_Cs,Molar_HtVap,Act_1,Act_2,Act_3,Act_4,Act_5,Rel_1*EXP(dRel_1*(AI37-T)),Rel_2*EXP(dRel_2*(AI37-T)),Rel_3*EXP(dRel_3*(AI37-T)),Rel_4*EXP(dRel_4*(AI37-T)),Rel_5*EXP(dRel_5*(AI37-T)),VP_A,VP_B,VP_C,Alpha_1*EXP(dAlpha_1*(AI37-T)),Alpha_2*EXP(dAlpha_2*(AI37-T)),Alpha_3*EXP(dAlpha_3*(AI37-T)),Alpha_4*EXP(dAlpha_4*(AI37-T)),Alpha_5*EXP(dAlpha_5*(AI37-T)),Mw_1,Mw_2,Mw_3,Mw_4,Mw_5),0)</f>
        <v>0</v>
      </c>
      <c r="AJ51" s="868"/>
      <c r="AK51" s="856">
        <f t="array" ref="AK51:AK62">IF(AND(OR(Fract_Key_Mix&lt;&gt;"",Fract_Key_Chemical&gt;0),AK16&gt;0,AK27&lt;1,State="Liquid"),poolRoutine(Number_Trials,Max_Duration,AK22,IF(AK22&gt;0,AK16/AK22/Mw_Feed,0),AK44,AK37,AK38,AK39,AK40,AK41,AK42,Ambient_Temp,Wind_Effective,Solar,Gnd_Coeff,Liq_rho_atTBp,Dike_Area,Mw_Feed,Act_rel,Molar_Cs,Molar_HtVap,Act_1,Act_2,Act_3,Act_4,Act_5,Rel_1*EXP(dRel_1*(AK37-T)),Rel_2*EXP(dRel_2*(AK37-T)),Rel_3*EXP(dRel_3*(AK37-T)),Rel_4*EXP(dRel_4*(AK37-T)),Rel_5*EXP(dRel_5*(AK37-T)),VP_A,VP_B,VP_C,Alpha_1*EXP(dAlpha_1*(AK37-T)),Alpha_2*EXP(dAlpha_2*(AK37-T)),Alpha_3*EXP(dAlpha_3*(AK37-T)),Alpha_4*EXP(dAlpha_4*(AK37-T)),Alpha_5*EXP(dAlpha_5*(AK37-T)),Mw_1,Mw_2,Mw_3,Mw_4,Mw_5),0)</f>
        <v>0</v>
      </c>
      <c r="AL51" s="868"/>
      <c r="AM51" s="856">
        <f t="array" ref="AM51:AM62">IF(AND(OR(Fract_Key_Mix&lt;&gt;"",Fract_Key_Chemical&gt;0),AM16&gt;0,AM27&lt;1,State="Liquid"),poolRoutine(Number_Trials,Max_Duration,AM22,IF(AM22&gt;0,AM16/AM22/Mw_Feed,0),AM44,AM37,AM38,AM39,AM40,AM41,AM42,Ambient_Temp,Wind_Effective,Solar,Gnd_Coeff,Liq_rho_atTBp,Dike_Area,Mw_Feed,Act_rel,Molar_Cs,Molar_HtVap,Act_1,Act_2,Act_3,Act_4,Act_5,Rel_1*EXP(dRel_1*(AM37-T)),Rel_2*EXP(dRel_2*(AM37-T)),Rel_3*EXP(dRel_3*(AM37-T)),Rel_4*EXP(dRel_4*(AM37-T)),Rel_5*EXP(dRel_5*(AM37-T)),VP_A,VP_B,VP_C,Alpha_1*EXP(dAlpha_1*(AM37-T)),Alpha_2*EXP(dAlpha_2*(AM37-T)),Alpha_3*EXP(dAlpha_3*(AM37-T)),Alpha_4*EXP(dAlpha_4*(AM37-T)),Alpha_5*EXP(dAlpha_5*(AM37-T)),Mw_1,Mw_2,Mw_3,Mw_4,Mw_5),0)</f>
        <v>0</v>
      </c>
      <c r="AN51" s="81"/>
      <c r="AO51" s="856">
        <f t="array" ref="AO51:AO62">IF(AND(HT_Fract_1&gt;0,AO16&gt;0,AO27&lt;1,Heating_Media_State="Liquid"),poolRoutine(Number_Trials,Max_Duration,AO22,IF(AO22&gt;0,AO16/AO22/MwHT_Feed,0),AO44,AO37,AO38,AO39,AO40,AO41,AO42,Ambient_Temp,Wind_Effective,Solar,Gnd_Coeff,HT_Liq_rho,Dike_Area,MwHT_Feed,ActHT_1,HT_Liq_C*MwHT_Feed,HT_Lat_Ht*HT_Mw,ActHT_1,ActHT_2,ActHT_3,ActHT_4,ActHT_5,RelHT_1,RelHT_2,RelHT_3,RelHT_4,RelHT_5,VPHT_A,VPHT_B,VPHT_C,AlphaHT_1,AlphaHT_2,AlphaHT_3,AlphaHT_4,AlphaHT_5,MwHT_1,MwHT_2,MwHT_3,MwHT_4,MwHT_5),0)</f>
        <v>0</v>
      </c>
      <c r="AP51" s="81"/>
      <c r="AQ51" s="92" t="s">
        <v>1412</v>
      </c>
      <c r="AR51" s="81"/>
      <c r="AS51" s="83"/>
      <c r="AT51" s="512" t="str">
        <f t="shared" ref="AT51:AT53" si="42">B66</f>
        <v/>
      </c>
      <c r="AU51" s="83"/>
      <c r="AV51" s="874">
        <f>IF(AND(AV$7&gt;0,Mw_3&lt;&gt;""),IF(AV$12*Feed_3-AV$22*(1-AV$17)*AV38-(AV$12-AV$22-AV$16*ContainedMass)*(1-AV$19)*AV44&gt;0,(Mw_3/Mw_Feed)*(AV$12*Feed_3-AV$22*(1-AV$17)*AV38-(AV$12-AV$22-AV$16*ContainedMass)*(1-AV$19)*AV44),0),0)</f>
        <v>0</v>
      </c>
      <c r="AW51" s="83"/>
      <c r="AX51" s="874">
        <f>IF(AND(AX$7&gt;0,Mw_3&lt;&gt;""),IF(AX$12*Feed_3-AX$22*(1-AX$17)*AX38-(AX$12-AX$22-AX$16*ContainedMass)*(1-AX$19)*AX44&gt;0,(Mw_3/Mw_Feed)*(AX$12*Feed_3-AX$22*(1-AX$17)*AX38-(AX$12-AX$22-AX$16*ContainedMass)*(1-AX$19)*AX44),0),0)</f>
        <v>0</v>
      </c>
      <c r="AY51" s="83"/>
      <c r="AZ51" s="874">
        <f>IF(AND(AZ$7&gt;0,Mw_3&lt;&gt;""),IF(AZ$12*Feed_3-AZ$22*(1-AZ$17)*AZ38-(AZ$12-AZ$22-AZ$16*ContainedMass)*(1-AZ$19)*AZ44&gt;0,(Mw_3/Mw_Feed)*(AZ$12*Feed_3-AZ$22*(1-AZ$17)*AZ38-(AZ$12-AZ$22-AZ$16*ContainedMass)*(1-AZ$19)*AZ44),0),0)</f>
        <v>0</v>
      </c>
      <c r="BA51" s="83"/>
      <c r="BB51" s="874">
        <f>IF(AND(BB$7&gt;0,Mw_3&lt;&gt;""),IF(BB$12*Feed_3-BB$22*(1-BB$17)*BB38-(BB$12-BB$22-BB$16*ContainedMass)*(1-BB$19)*BB44&gt;0,(Mw_3/Mw_Feed)*(BB$12*Feed_3-BB$22*(1-BB$17)*BB38-(BB$12-BB$22-BB$16*ContainedMass)*(1-BB$19)*BB44),0),0)</f>
        <v>0</v>
      </c>
      <c r="BC51" s="83"/>
      <c r="BD51" s="874">
        <f>IF(AND(BD$7&gt;0,Mw_3&lt;&gt;""),IF(BD$12*Feed_3-BD$22*(1-BD$17)*BD38-(BD$12-BD$22-BD$16*ContainedMass)*(1-BD$19)*BD44&gt;0,(Mw_3/Mw_Feed)*(BD$12*Feed_3-BD$22*(1-BD$17)*BD38-(BD$12-BD$22-BD$16*ContainedMass)*(1-BD$19)*BD44),0),0)</f>
        <v>0</v>
      </c>
      <c r="BE51" s="83"/>
      <c r="BF51" s="874">
        <f>IF(AND(BF$7&gt;0,Mw_3&lt;&gt;""),IF(BF$12*Feed_3-BF$22*(1-BF$17)*BF38-(BF$12-BF$22-BF$16*ContainedMass)*(1-BF$19)*BF44&gt;0,(Mw_3/Mw_Feed)*(BF$12*Feed_3-BF$22*(1-BF$17)*BF38-(BF$12-BF$22-BF$16*ContainedMass)*(1-BF$19)*BF44),0),0)</f>
        <v>0</v>
      </c>
      <c r="BG51" s="83"/>
      <c r="BH51" s="874">
        <f>IF(AND(BH$7&gt;0,Mw_3&lt;&gt;""),IF(BH$12*Feed_3-BH$22*(1-BH$17)*BH38-(BH$12-BH$22-BH$16*ContainedMass)*(1-BH$19)*BH44&gt;0,(Mw_3/Mw_Feed)*(BH$12*Feed_3-BH$22*(1-BH$17)*BH38-(BH$12-BH$22-BH$16*ContainedMass)*(1-BH$19)*BH44),0),0)</f>
        <v>0</v>
      </c>
      <c r="BI51" s="83"/>
      <c r="BJ51" s="874">
        <f>IF(AND(BJ$7&gt;0,Mw_3&lt;&gt;""),IF(BJ$12*Feed_3-BJ$22*(1-BJ$17)*BJ38-(BJ$12-BJ$22-BJ$16*ContainedMass)*(1-BJ$19)*BJ44&gt;0,(Mw_3/Mw_Feed)*(BJ$12*Feed_3-BJ$22*(1-BJ$17)*BJ38-(BJ$12-BJ$22-BJ$16*ContainedMass)*(1-BJ$19)*BJ44),0),0)</f>
        <v>0</v>
      </c>
      <c r="BK51" s="83"/>
      <c r="BL51" s="874">
        <f>IF(AND(BL$7&gt;0,Mw_3&lt;&gt;""),IF(BL$12*Feed_3-BL$22*(1-BL$17)*BL38-(BL$12-BL$22-BL$16*ContainedMass)*(1-BL$19)*BL44&gt;0,(Mw_3/Mw_Feed)*(BL$12*Feed_3-BL$22*(1-BL$17)*BL38-(BL$12-BL$22-BL$16*ContainedMass)*(1-BL$19)*BL44),0),0)</f>
        <v>0</v>
      </c>
      <c r="BM51" s="83"/>
      <c r="BN51" s="874">
        <f>IF(AND(BN$7&gt;0,Mw_3&lt;&gt;""),IF(BN$7*Mw_Feed*BN$24&lt;BN$12,BN$7*Mw_Feed*BN$24*Feed_3,BN$12*Feed_3),0)</f>
        <v>0</v>
      </c>
      <c r="BO51" s="83"/>
      <c r="BP51" s="85" t="s">
        <v>1497</v>
      </c>
      <c r="BQ51" s="83"/>
      <c r="BR51" s="81"/>
      <c r="BS51" s="92" t="s">
        <v>2195</v>
      </c>
      <c r="BT51" s="237"/>
      <c r="BU51" s="1294">
        <f t="array" ref="BU51:BU62">IF(AND(OR(Fract_Key_Mix&lt;&gt;"",Fract_Key_Chemical&gt;0),BU16&gt;0,BU45&gt;0,BU27&lt;1),poolRoutine(Number_Trials,Max_Duration,IF(AND(Rupture_10min="Yes",Rupture_Time&lt;&gt;""),Rupture_Time,1),BU16/IF(Rupture_10min="Yes",Rupture_Time,1)/Mw_Feed,BU44,BU37,BU38,BU39,BU40,BU41,BU42,Ambient_Temp,Wind_Effective,Solar,Gnd_Coeff,Liq_rho_atTBp,IF(Dike_Design="Yes",0,Dike_Area),Mw_Feed,Act_rel,Molar_Cs,Molar_HtVap,Act_1,Act_2,Act_3,Act_4,Act_5,Rel_1*EXP(dRel_1*(BU37-T)),Rel_2*EXP(dRel_2*(BU37-T)),Rel_3*EXP(dRel_3*(BU37-T)),Rel_4*EXP(dRel_4*(BU37-T)),Rel_5*EXP(dRel_5*(BU37-T)),VP_A,VP_B,VP_C,Alpha_1*EXP(dAlpha_1*(BU37-T)),Alpha_2*EXP(dAlpha_2*(BU37-T)),Alpha_3*EXP(dAlpha_3*(BU37-T)),Alpha_4*EXP(dAlpha_4*(BU37-T)),Alpha_5*EXP(dAlpha_5*(BU37-T)),Mw_1,Mw_2,Mw_3,Mw_4,Mw_5),0)</f>
        <v>0</v>
      </c>
      <c r="BV51" s="868"/>
      <c r="BW51" s="1294">
        <f t="array" ref="BW51:BW62">IF(AND(OR(Fract_Key_Mix&lt;&gt;"",Fract_Key_Chemical&gt;0),BW16&gt;0,BW45&gt;0,BW27&lt;1),poolRoutine(Number_Trials,Max_Duration,IF(AND(Rupture_10min="Yes",Rupture_Time&lt;&gt;""),Rupture_Time,1),BW16/IF(Rupture_10min="Yes",Rupture_Time,1)/Mw_Feed,BW44,BW37,BW38,BW39,BW40,BW41,BW42,Ambient_Temp,Wind_Effective,Solar,Gnd_Coeff,Liq_rho_atTBp,IF(Dike_Design="Yes",0,Dike_Area),Mw_Feed,Act_rel,Molar_Cs,Molar_HtVap,Act_1,Act_2,Act_3,Act_4,Act_5,Rel_1*EXP(dRel_1*(BW37-T)),Rel_2*EXP(dRel_2*(BW37-T)),Rel_3*EXP(dRel_3*(BW37-T)),Rel_4*EXP(dRel_4*(BW37-T)),Rel_5*EXP(dRel_5*(BW37-T)),VP_A,VP_B,VP_C,Alpha_1*EXP(dAlpha_1*(BW37-T)),Alpha_2*EXP(dAlpha_2*(BW37-T)),Alpha_3*EXP(dAlpha_3*(BW37-T)),Alpha_4*EXP(dAlpha_4*(BW37-T)),Alpha_5*EXP(dAlpha_5*(BW37-T)),Mw_1,Mw_2,Mw_3,Mw_4,Mw_5),0)</f>
        <v>0</v>
      </c>
      <c r="BX51" s="868"/>
      <c r="BY51" s="1294">
        <f t="array" ref="BY51:BY62">IF(AND(OR(Fract_Key_Mix&lt;&gt;"",Fract_Key_Chemical&gt;0),BY16&gt;0,BY45&gt;0,BY27&lt;1),poolRoutine(Number_Trials,Max_Duration,IF(AND(Rupture_10min="Yes",Rupture_Time&lt;&gt;""),Rupture_Time,1),BY16/IF(Rupture_10min="Yes",Rupture_Time,1)/Mw_Feed,BY44,BY37,BY38,BY39,BY40,BY41,BY42,Ambient_Temp,Wind_Effective,Solar,Gnd_Coeff,Liq_rho_atTBp,IF(Dike_Design="Yes",0,Dike_Area),Mw_Feed,Act_rel,Molar_Cs,Molar_HtVap,Act_1,Act_2,Act_3,Act_4,Act_5,Rel_1*EXP(dRel_1*(BY37-T)),Rel_2*EXP(dRel_2*(BY37-T)),Rel_3*EXP(dRel_3*(BY37-T)),Rel_4*EXP(dRel_4*(BY37-T)),Rel_5*EXP(dRel_5*(BY37-T)),VP_A,VP_B,VP_C,Alpha_1*EXP(dAlpha_1*(BY37-T)),Alpha_2*EXP(dAlpha_2*(BY37-T)),Alpha_3*EXP(dAlpha_3*(BY37-T)),Alpha_4*EXP(dAlpha_4*(BY37-T)),Alpha_5*EXP(dAlpha_5*(BY37-T)),Mw_1,Mw_2,Mw_3,Mw_4,Mw_5),0)</f>
        <v>0</v>
      </c>
      <c r="BZ51" s="868"/>
      <c r="CA51" s="1294">
        <f t="array" ref="CA51:CA62">IF(AND(OR(Fract_Key_Mix&lt;&gt;"",Fract_Key_Chemical&gt;0),CA16&gt;0,CA45&gt;0,CA27&lt;1),poolRoutine(Number_Trials,Max_Duration,IF(AND(Rupture_10min="Yes",Rupture_Time&lt;&gt;""),Rupture_Time,1),CA16/IF(Rupture_10min="Yes",Rupture_Time,1)/Mw_Feed,CA44,CA37,CA38,CA39,CA40,CA41,CA42,Ambient_Temp,Wind_Effective,Solar,Gnd_Coeff,Liq_rho_atTBp,IF(Dike_Design="Yes",0,Dike_Area),Mw_Feed,Act_rel,Molar_Cs,Molar_HtVap,Act_1,Act_2,Act_3,Act_4,Act_5,Rel_1*EXP(dRel_1*(CA37-T)),Rel_2*EXP(dRel_2*(CA37-T)),Rel_3*EXP(dRel_3*(CA37-T)),Rel_4*EXP(dRel_4*(CA37-T)),Rel_5*EXP(dRel_5*(CA37-T)),VP_A,VP_B,VP_C,Alpha_1*EXP(dAlpha_1*(CA37-T)),Alpha_2*EXP(dAlpha_2*(CA37-T)),Alpha_3*EXP(dAlpha_3*(CA37-T)),Alpha_4*EXP(dAlpha_4*(CA37-T)),Alpha_5*EXP(dAlpha_5*(CA37-T)),Mw_1,Mw_2,Mw_3,Mw_4,Mw_5),0)</f>
        <v>0</v>
      </c>
      <c r="CB51" s="868"/>
      <c r="CC51" s="1294">
        <f t="array" ref="CC51:CC62">IF(AND(OR(Fract_Key_Mix&lt;&gt;"",Fract_Key_Chemical&gt;0),CC16&gt;0,CC45&gt;0,CC27&lt;1),poolRoutine(Number_Trials,Max_Duration,IF(AND(Rupture_10min="Yes",Rupture_Time&lt;&gt;""),Rupture_Time,1),CC16/IF(Rupture_10min="Yes",Rupture_Time,1)/Mw_Feed,CC44,CC37,CC38,CC39,CC40,CC41,CC42,Ambient_Temp,Wind_Effective,Solar,Gnd_Coeff,Liq_rho_atTBp,IF(Dike_Design="Yes",0,Dike_Area),Mw_Feed,Act_rel,Molar_Cs,Molar_HtVap,Act_1,Act_2,Act_3,Act_4,Act_5,Rel_1*EXP(dRel_1*(CC37-T)),Rel_2*EXP(dRel_2*(CC37-T)),Rel_3*EXP(dRel_3*(CC37-T)),Rel_4*EXP(dRel_4*(CC37-T)),Rel_5*EXP(dRel_5*(CC37-T)),VP_A,VP_B,VP_C,Alpha_1*EXP(dAlpha_1*(CC37-T)),Alpha_2*EXP(dAlpha_2*(CC37-T)),Alpha_3*EXP(dAlpha_3*(CC37-T)),Alpha_4*EXP(dAlpha_4*(CC37-T)),Alpha_5*EXP(dAlpha_5*(CC37-T)),Mw_1,Mw_2,Mw_3,Mw_4,Mw_5),0)</f>
        <v>0</v>
      </c>
      <c r="CD51" s="237"/>
      <c r="CE51" s="85" t="s">
        <v>1836</v>
      </c>
      <c r="CF51" s="81"/>
      <c r="CG51" s="2"/>
      <c r="CH51" s="615" t="s">
        <v>5108</v>
      </c>
      <c r="CI51" s="83"/>
      <c r="CJ51" s="3001">
        <f>IF(CJ13&lt;&gt;"",LN(IF(CJ$40&gt;=10000,CJ$27*CJ$38*10000^CJ$39,NBPlume_A*CJ13/(CJ20*Wind)/(10000-CJ$40+CJ$41)^(1/NBPlume_B))),0)</f>
        <v>0</v>
      </c>
      <c r="CK51" s="83"/>
      <c r="CL51" s="23"/>
      <c r="CM51" s="83"/>
      <c r="CO51" s="2065"/>
      <c r="CP51" s="2065"/>
      <c r="CQ51" s="65"/>
    </row>
    <row r="52" spans="1:100" ht="16.5" customHeight="1" x14ac:dyDescent="0.25">
      <c r="A52" s="2"/>
      <c r="B52" s="85" t="s">
        <v>2220</v>
      </c>
      <c r="C52" s="83"/>
      <c r="D52" s="1274">
        <v>0</v>
      </c>
      <c r="E52" s="83"/>
      <c r="F52" s="1274">
        <v>0</v>
      </c>
      <c r="G52" s="83"/>
      <c r="H52" s="1274">
        <v>0</v>
      </c>
      <c r="I52" s="83"/>
      <c r="J52" s="1274">
        <v>0</v>
      </c>
      <c r="K52" s="83"/>
      <c r="L52" s="1274">
        <v>0</v>
      </c>
      <c r="M52" s="83"/>
      <c r="N52" s="1274">
        <v>0</v>
      </c>
      <c r="O52" s="83"/>
      <c r="P52" s="1274">
        <v>0</v>
      </c>
      <c r="Q52" s="83"/>
      <c r="R52" s="1274">
        <v>0</v>
      </c>
      <c r="S52" s="83"/>
      <c r="T52" s="1274">
        <v>0</v>
      </c>
      <c r="U52" s="83"/>
      <c r="V52" s="1274">
        <v>0</v>
      </c>
      <c r="W52" s="83"/>
      <c r="X52" s="1274">
        <v>0</v>
      </c>
      <c r="Y52" s="83"/>
      <c r="Z52" s="85" t="s">
        <v>3805</v>
      </c>
      <c r="AA52" s="83"/>
      <c r="AB52" s="81"/>
      <c r="AC52" s="848" t="s">
        <v>2220</v>
      </c>
      <c r="AD52" s="81"/>
      <c r="AE52" s="1274">
        <v>0</v>
      </c>
      <c r="AF52" s="81"/>
      <c r="AG52" s="1274">
        <v>0</v>
      </c>
      <c r="AH52" s="81"/>
      <c r="AI52" s="1274">
        <v>0</v>
      </c>
      <c r="AJ52" s="81"/>
      <c r="AK52" s="1274">
        <v>0</v>
      </c>
      <c r="AL52" s="81"/>
      <c r="AM52" s="1274">
        <v>0</v>
      </c>
      <c r="AN52" s="81"/>
      <c r="AO52" s="1274">
        <v>0</v>
      </c>
      <c r="AP52" s="81"/>
      <c r="AQ52" s="85" t="s">
        <v>3805</v>
      </c>
      <c r="AR52" s="81"/>
      <c r="AS52" s="83"/>
      <c r="AT52" s="512" t="str">
        <f t="shared" si="42"/>
        <v/>
      </c>
      <c r="AU52" s="83"/>
      <c r="AV52" s="874">
        <f>IF(AND(AV$7&gt;0,Mw_4&lt;&gt;""),IF(AV$12*Feed_4-AV$22*(1-AV$17)*AV39-(AV$12-AV$22-AV$16*ContainedMass)*(1-AV$19)*AV45&gt;0,(Mw_4/Mw_Feed)*(AV$12*Feed_4-AV$22*(1-AV$17)*AV39-(AV$12-AV$22-AV$16*ContainedMass)*(1-AV$19)*AV45),0),0)</f>
        <v>0</v>
      </c>
      <c r="AW52" s="83"/>
      <c r="AX52" s="874">
        <f>IF(AND(AX$7&gt;0,Mw_4&lt;&gt;""),IF(AX$12*Feed_4-AX$22*(1-AX$17)*AX39-(AX$12-AX$22-AX$16*ContainedMass)*(1-AX$19)*AX45&gt;0,(Mw_4/Mw_Feed)*(AX$12*Feed_4-AX$22*(1-AX$17)*AX39-(AX$12-AX$22-AX$16*ContainedMass)*(1-AX$19)*AX45),0),0)</f>
        <v>0</v>
      </c>
      <c r="AY52" s="83"/>
      <c r="AZ52" s="874">
        <f>IF(AND(AZ$7&gt;0,Mw_4&lt;&gt;""),IF(AZ$12*Feed_4-AZ$22*(1-AZ$17)*AZ39-(AZ$12-AZ$22-AZ$16*ContainedMass)*(1-AZ$19)*AZ45&gt;0,(Mw_4/Mw_Feed)*(AZ$12*Feed_4-AZ$22*(1-AZ$17)*AZ39-(AZ$12-AZ$22-AZ$16*ContainedMass)*(1-AZ$19)*AZ45),0),0)</f>
        <v>0</v>
      </c>
      <c r="BA52" s="83"/>
      <c r="BB52" s="874">
        <f>IF(AND(BB$7&gt;0,Mw_4&lt;&gt;""),IF(BB$12*Feed_4-BB$22*(1-BB$17)*BB39-(BB$12-BB$22-BB$16*ContainedMass)*(1-BB$19)*BB45&gt;0,(Mw_4/Mw_Feed)*(BB$12*Feed_4-BB$22*(1-BB$17)*BB39-(BB$12-BB$22-BB$16*ContainedMass)*(1-BB$19)*BB45),0),0)</f>
        <v>0</v>
      </c>
      <c r="BC52" s="83"/>
      <c r="BD52" s="874">
        <f>IF(AND(BD$7&gt;0,Mw_4&lt;&gt;""),IF(BD$12*Feed_4-BD$22*(1-BD$17)*BD39-(BD$12-BD$22-BD$16*ContainedMass)*(1-BD$19)*BD45&gt;0,(Mw_4/Mw_Feed)*(BD$12*Feed_4-BD$22*(1-BD$17)*BD39-(BD$12-BD$22-BD$16*ContainedMass)*(1-BD$19)*BD45),0),0)</f>
        <v>0</v>
      </c>
      <c r="BE52" s="83"/>
      <c r="BF52" s="874">
        <f>IF(AND(BF$7&gt;0,Mw_4&lt;&gt;""),IF(BF$12*Feed_4-BF$22*(1-BF$17)*BF39-(BF$12-BF$22-BF$16*ContainedMass)*(1-BF$19)*BF45&gt;0,(Mw_4/Mw_Feed)*(BF$12*Feed_4-BF$22*(1-BF$17)*BF39-(BF$12-BF$22-BF$16*ContainedMass)*(1-BF$19)*BF45),0),0)</f>
        <v>0</v>
      </c>
      <c r="BG52" s="83"/>
      <c r="BH52" s="874">
        <f>IF(AND(BH$7&gt;0,Mw_4&lt;&gt;""),IF(BH$12*Feed_4-BH$22*(1-BH$17)*BH39-(BH$12-BH$22-BH$16*ContainedMass)*(1-BH$19)*BH45&gt;0,(Mw_4/Mw_Feed)*(BH$12*Feed_4-BH$22*(1-BH$17)*BH39-(BH$12-BH$22-BH$16*ContainedMass)*(1-BH$19)*BH45),0),0)</f>
        <v>0</v>
      </c>
      <c r="BI52" s="83"/>
      <c r="BJ52" s="874">
        <f>IF(AND(BJ$7&gt;0,Mw_4&lt;&gt;""),IF(BJ$12*Feed_4-BJ$22*(1-BJ$17)*BJ39-(BJ$12-BJ$22-BJ$16*ContainedMass)*(1-BJ$19)*BJ45&gt;0,(Mw_4/Mw_Feed)*(BJ$12*Feed_4-BJ$22*(1-BJ$17)*BJ39-(BJ$12-BJ$22-BJ$16*ContainedMass)*(1-BJ$19)*BJ45),0),0)</f>
        <v>0</v>
      </c>
      <c r="BK52" s="83"/>
      <c r="BL52" s="874">
        <f>IF(AND(BL$7&gt;0,Mw_4&lt;&gt;""),IF(BL$12*Feed_4-BL$22*(1-BL$17)*BL39-(BL$12-BL$22-BL$16*ContainedMass)*(1-BL$19)*BL45&gt;0,(Mw_4/Mw_Feed)*(BL$12*Feed_4-BL$22*(1-BL$17)*BL39-(BL$12-BL$22-BL$16*ContainedMass)*(1-BL$19)*BL45),0),0)</f>
        <v>0</v>
      </c>
      <c r="BM52" s="83"/>
      <c r="BN52" s="874">
        <f>IF(AND(BN$7&gt;0,Mw_4&lt;&gt;""),IF(BN$7*Mw_Feed*BN$24&lt;BN$12,BN$7*Mw_Feed*BN$24*Feed_4,BN$12*Feed_4),0)</f>
        <v>0</v>
      </c>
      <c r="BO52" s="83"/>
      <c r="BP52" s="85" t="s">
        <v>1497</v>
      </c>
      <c r="BQ52" s="83"/>
      <c r="BR52" s="81"/>
      <c r="BS52" s="85" t="s">
        <v>2220</v>
      </c>
      <c r="BT52" s="237"/>
      <c r="BU52" s="1274">
        <v>0</v>
      </c>
      <c r="BV52" s="237"/>
      <c r="BW52" s="1274">
        <v>0</v>
      </c>
      <c r="BX52" s="237"/>
      <c r="BY52" s="1274">
        <v>0</v>
      </c>
      <c r="BZ52" s="237"/>
      <c r="CA52" s="1274">
        <v>0</v>
      </c>
      <c r="CB52" s="237"/>
      <c r="CC52" s="1274">
        <v>0</v>
      </c>
      <c r="CD52" s="237"/>
      <c r="CE52" s="85"/>
      <c r="CF52" s="81"/>
      <c r="CG52" s="2"/>
      <c r="CH52" s="2975" t="s">
        <v>5075</v>
      </c>
      <c r="CI52" s="83"/>
      <c r="CJ52" s="2980">
        <f>IF(CJ13&lt;&gt;"",(EXP(INDEX(LINEST(CJ42:CJ51,$CJ$286:$CJ$295),2))*(CJ20*Wind/CJ13))^CJ53,0)</f>
        <v>0</v>
      </c>
      <c r="CK52" s="83"/>
      <c r="CL52" s="23"/>
      <c r="CM52" s="83"/>
      <c r="CO52" s="2423"/>
      <c r="CP52" s="2423"/>
      <c r="CQ52" s="65"/>
    </row>
    <row r="53" spans="1:100" ht="15.75" customHeight="1" thickBot="1" x14ac:dyDescent="0.3">
      <c r="A53" s="2"/>
      <c r="B53" s="85" t="s">
        <v>2199</v>
      </c>
      <c r="C53" s="83"/>
      <c r="D53" s="1292">
        <v>0</v>
      </c>
      <c r="E53" s="1293"/>
      <c r="F53" s="1292">
        <v>0</v>
      </c>
      <c r="G53" s="1293"/>
      <c r="H53" s="1292">
        <v>0</v>
      </c>
      <c r="I53" s="1293"/>
      <c r="J53" s="1292">
        <v>0</v>
      </c>
      <c r="K53" s="1293"/>
      <c r="L53" s="1292">
        <v>0</v>
      </c>
      <c r="M53" s="1293"/>
      <c r="N53" s="1292">
        <v>0</v>
      </c>
      <c r="O53" s="1293"/>
      <c r="P53" s="1292">
        <v>0</v>
      </c>
      <c r="Q53" s="1293"/>
      <c r="R53" s="1292">
        <v>0</v>
      </c>
      <c r="S53" s="1293"/>
      <c r="T53" s="1292">
        <v>0</v>
      </c>
      <c r="U53" s="1293"/>
      <c r="V53" s="1292">
        <v>0</v>
      </c>
      <c r="W53" s="1293"/>
      <c r="X53" s="1292">
        <v>0</v>
      </c>
      <c r="Y53" s="83"/>
      <c r="Z53" s="85" t="s">
        <v>1412</v>
      </c>
      <c r="AA53" s="83"/>
      <c r="AB53" s="81"/>
      <c r="AC53" s="848" t="s">
        <v>2199</v>
      </c>
      <c r="AD53" s="81"/>
      <c r="AE53" s="1292">
        <v>0</v>
      </c>
      <c r="AF53" s="868"/>
      <c r="AG53" s="1292">
        <v>0</v>
      </c>
      <c r="AH53" s="868"/>
      <c r="AI53" s="1292">
        <v>0</v>
      </c>
      <c r="AJ53" s="868"/>
      <c r="AK53" s="1292">
        <v>0</v>
      </c>
      <c r="AL53" s="868"/>
      <c r="AM53" s="1292">
        <v>0</v>
      </c>
      <c r="AN53" s="81"/>
      <c r="AO53" s="1292">
        <v>0</v>
      </c>
      <c r="AP53" s="81"/>
      <c r="AQ53" s="85" t="s">
        <v>1412</v>
      </c>
      <c r="AR53" s="81"/>
      <c r="AS53" s="83"/>
      <c r="AT53" s="615" t="str">
        <f t="shared" si="42"/>
        <v/>
      </c>
      <c r="AU53" s="83"/>
      <c r="AV53" s="874">
        <f>IF(AND(AV$7&gt;0,Mw_5&lt;&gt;""),IF(AV$12*Feed_5-AV$22*(1-AV$17)*AV40-(AV$12-AV$22-AV$16*ContainedMass)*(1-AV$19)*AV46&gt;0,(Mw_5/Mw_Feed)*(AV$12*Feed_5-AV$22*(1-AV$17)*AV40-(AV$12-AV$22-AV$16*ContainedMass)*(1-AV$19)*AV46),0),0)</f>
        <v>0</v>
      </c>
      <c r="AW53" s="83"/>
      <c r="AX53" s="874">
        <f>IF(AND(AX$7&gt;0,Mw_5&lt;&gt;""),IF(AX$12*Feed_5-AX$22*(1-AX$17)*AX40-(AX$12-AX$22-AX$16*ContainedMass)*(1-AX$19)*AX46&gt;0,(Mw_5/Mw_Feed)*(AX$12*Feed_5-AX$22*(1-AX$17)*AX40-(AX$12-AX$22-AX$16*ContainedMass)*(1-AX$19)*AX46),0),0)</f>
        <v>0</v>
      </c>
      <c r="AY53" s="83"/>
      <c r="AZ53" s="874">
        <f>IF(AND(AZ$7&gt;0,Mw_5&lt;&gt;""),IF(AZ$12*Feed_5-AZ$22*(1-AZ$17)*AZ40-(AZ$12-AZ$22-AZ$16*ContainedMass)*(1-AZ$19)*AZ46&gt;0,(Mw_5/Mw_Feed)*(AZ$12*Feed_5-AZ$22*(1-AZ$17)*AZ40-(AZ$12-AZ$22-AZ$16*ContainedMass)*(1-AZ$19)*AZ46),0),0)</f>
        <v>0</v>
      </c>
      <c r="BA53" s="83"/>
      <c r="BB53" s="874">
        <f>IF(AND(BB$7&gt;0,Mw_5&lt;&gt;""),IF(BB$12*Feed_5-BB$22*(1-BB$17)*BB40-(BB$12-BB$22-BB$16*ContainedMass)*(1-BB$19)*BB46&gt;0,(Mw_5/Mw_Feed)*(BB$12*Feed_5-BB$22*(1-BB$17)*BB40-(BB$12-BB$22-BB$16*ContainedMass)*(1-BB$19)*BB46),0),0)</f>
        <v>0</v>
      </c>
      <c r="BC53" s="83"/>
      <c r="BD53" s="874">
        <f>IF(AND(BD$7&gt;0,Mw_5&lt;&gt;""),IF(BD$12*Feed_5-BD$22*(1-BD$17)*BD40-(BD$12-BD$22-BD$16*ContainedMass)*(1-BD$19)*BD46&gt;0,(Mw_5/Mw_Feed)*(BD$12*Feed_5-BD$22*(1-BD$17)*BD40-(BD$12-BD$22-BD$16*ContainedMass)*(1-BD$19)*BD46),0),0)</f>
        <v>0</v>
      </c>
      <c r="BE53" s="83"/>
      <c r="BF53" s="874">
        <f>IF(AND(BF$7&gt;0,Mw_5&lt;&gt;""),IF(BF$12*Feed_5-BF$22*(1-BF$17)*BF40-(BF$12-BF$22-BF$16*ContainedMass)*(1-BF$19)*BF46&gt;0,(Mw_5/Mw_Feed)*(BF$12*Feed_5-BF$22*(1-BF$17)*BF40-(BF$12-BF$22-BF$16*ContainedMass)*(1-BF$19)*BF46),0),0)</f>
        <v>0</v>
      </c>
      <c r="BG53" s="83"/>
      <c r="BH53" s="874">
        <f>IF(AND(BH$7&gt;0,Mw_5&lt;&gt;""),IF(BH$12*Feed_5-BH$22*(1-BH$17)*BH40-(BH$12-BH$22-BH$16*ContainedMass)*(1-BH$19)*BH46&gt;0,(Mw_5/Mw_Feed)*(BH$12*Feed_5-BH$22*(1-BH$17)*BH40-(BH$12-BH$22-BH$16*ContainedMass)*(1-BH$19)*BH46),0),0)</f>
        <v>0</v>
      </c>
      <c r="BI53" s="83"/>
      <c r="BJ53" s="874">
        <f>IF(AND(BJ$7&gt;0,Mw_5&lt;&gt;""),IF(BJ$12*Feed_5-BJ$22*(1-BJ$17)*BJ40-(BJ$12-BJ$22-BJ$16*ContainedMass)*(1-BJ$19)*BJ46&gt;0,(Mw_5/Mw_Feed)*(BJ$12*Feed_5-BJ$22*(1-BJ$17)*BJ40-(BJ$12-BJ$22-BJ$16*ContainedMass)*(1-BJ$19)*BJ46),0),0)</f>
        <v>0</v>
      </c>
      <c r="BK53" s="83"/>
      <c r="BL53" s="874">
        <f>IF(AND(BL$7&gt;0,Mw_5&lt;&gt;""),IF(BL$12*Feed_5-BL$22*(1-BL$17)*BL40-(BL$12-BL$22-BL$16*ContainedMass)*(1-BL$19)*BL46&gt;0,(Mw_5/Mw_Feed)*(BL$12*Feed_5-BL$22*(1-BL$17)*BL40-(BL$12-BL$22-BL$16*ContainedMass)*(1-BL$19)*BL46),0),0)</f>
        <v>0</v>
      </c>
      <c r="BM53" s="83"/>
      <c r="BN53" s="874">
        <f>IF(AND(BN$7&gt;0,Mw_5&lt;&gt;""),IF(BN$7*Mw_Feed*BN$24&lt;BN$12,BN$7*Mw_Feed*BN$24*Feed_5,BN$12*Feed_5),0)</f>
        <v>0</v>
      </c>
      <c r="BO53" s="83"/>
      <c r="BP53" s="25" t="s">
        <v>1497</v>
      </c>
      <c r="BQ53" s="83"/>
      <c r="BR53" s="81"/>
      <c r="BS53" s="85" t="s">
        <v>2199</v>
      </c>
      <c r="BT53" s="237"/>
      <c r="BU53" s="1292">
        <v>0</v>
      </c>
      <c r="BV53" s="868"/>
      <c r="BW53" s="1292">
        <v>0</v>
      </c>
      <c r="BX53" s="868"/>
      <c r="BY53" s="1292">
        <v>0</v>
      </c>
      <c r="BZ53" s="868"/>
      <c r="CA53" s="1292">
        <v>0</v>
      </c>
      <c r="CB53" s="868"/>
      <c r="CC53" s="1292">
        <v>0</v>
      </c>
      <c r="CD53" s="237"/>
      <c r="CE53" s="85" t="s">
        <v>1836</v>
      </c>
      <c r="CF53" s="81"/>
      <c r="CG53" s="2"/>
      <c r="CH53" s="2977" t="s">
        <v>5076</v>
      </c>
      <c r="CI53" s="83"/>
      <c r="CJ53" s="2089">
        <f>IF(CJ13&lt;&gt;"",-1/INDEX(LINEST(CJ42:CJ51,$CJ$286:$CJ$295),1),0)</f>
        <v>0</v>
      </c>
      <c r="CK53" s="83"/>
      <c r="CL53" s="23"/>
      <c r="CM53" s="83"/>
      <c r="CO53" s="2065"/>
      <c r="CP53" s="2065"/>
      <c r="CQ53" s="65"/>
    </row>
    <row r="54" spans="1:100" ht="15" customHeight="1" thickBot="1" x14ac:dyDescent="0.3">
      <c r="A54" s="2"/>
      <c r="B54" s="85" t="s">
        <v>2200</v>
      </c>
      <c r="C54" s="83"/>
      <c r="D54" s="1274">
        <v>0</v>
      </c>
      <c r="E54" s="83"/>
      <c r="F54" s="1274">
        <v>0</v>
      </c>
      <c r="G54" s="83"/>
      <c r="H54" s="1274">
        <v>0</v>
      </c>
      <c r="I54" s="83"/>
      <c r="J54" s="1274">
        <v>0</v>
      </c>
      <c r="K54" s="83"/>
      <c r="L54" s="1274">
        <v>0</v>
      </c>
      <c r="M54" s="83"/>
      <c r="N54" s="1274">
        <v>0</v>
      </c>
      <c r="O54" s="83"/>
      <c r="P54" s="1274">
        <v>0</v>
      </c>
      <c r="Q54" s="83"/>
      <c r="R54" s="1274">
        <v>0</v>
      </c>
      <c r="S54" s="83"/>
      <c r="T54" s="1274">
        <v>0</v>
      </c>
      <c r="U54" s="83"/>
      <c r="V54" s="1274">
        <v>0</v>
      </c>
      <c r="W54" s="83"/>
      <c r="X54" s="1274">
        <v>0</v>
      </c>
      <c r="Y54" s="83"/>
      <c r="Z54" s="85" t="s">
        <v>3805</v>
      </c>
      <c r="AA54" s="83"/>
      <c r="AB54" s="81"/>
      <c r="AC54" s="848" t="s">
        <v>2200</v>
      </c>
      <c r="AD54" s="81"/>
      <c r="AE54" s="1274">
        <v>0</v>
      </c>
      <c r="AF54" s="81"/>
      <c r="AG54" s="1274">
        <v>0</v>
      </c>
      <c r="AH54" s="81"/>
      <c r="AI54" s="1274">
        <v>0</v>
      </c>
      <c r="AJ54" s="81"/>
      <c r="AK54" s="1274">
        <v>0</v>
      </c>
      <c r="AL54" s="81"/>
      <c r="AM54" s="1274">
        <v>0</v>
      </c>
      <c r="AN54" s="81"/>
      <c r="AO54" s="1274">
        <v>0</v>
      </c>
      <c r="AP54" s="81"/>
      <c r="AQ54" s="85" t="s">
        <v>3805</v>
      </c>
      <c r="AR54" s="81"/>
      <c r="AS54" s="83"/>
      <c r="AT54" s="512" t="str">
        <f>B71</f>
        <v/>
      </c>
      <c r="AU54" s="83"/>
      <c r="AV54" s="2426">
        <f>IF(SUM(AV49:AV53)&gt;0,AV49/MAX(Mw_1,1)/(AV49/MAX(Mw_1,1)+AV50/MAX(Mw_2,1)+AV51/MAX(Mw_3,1)+AV52/MAX(Mw_4,1)+AV53/MAX(Mw_5,1)),0)</f>
        <v>0</v>
      </c>
      <c r="AW54" s="83"/>
      <c r="AX54" s="1289">
        <f>IF(SUM(AX49:AX53)&gt;0,AX49/MAX(Mw_1,1)/(AX49/MAX(Mw_1,1)+AX50/MAX(Mw_2,1)+AX51/MAX(Mw_3,1)+AX52/MAX(Mw_4,1)+AX53/MAX(Mw_5,1)),0)</f>
        <v>0</v>
      </c>
      <c r="AY54" s="83"/>
      <c r="AZ54" s="1289">
        <f>IF(SUM(AZ49:AZ53)&gt;0,AZ49/MAX(Mw_1,1)/(AZ49/MAX(Mw_1,1)+AZ50/MAX(Mw_2,1)+AZ51/MAX(Mw_3,1)+AZ52/MAX(Mw_4,1)+AZ53/MAX(Mw_5,1)),0)</f>
        <v>0</v>
      </c>
      <c r="BA54" s="83"/>
      <c r="BB54" s="1289">
        <f>IF(SUM(BB49:BB53)&gt;0,BB49/MAX(Mw_1,1)/(BB49/MAX(Mw_1,1)+BB50/MAX(Mw_2,1)+BB51/MAX(Mw_3,1)+BB52/MAX(Mw_4,1)+BB53/MAX(Mw_5,1)),0)</f>
        <v>0</v>
      </c>
      <c r="BC54" s="83"/>
      <c r="BD54" s="1289">
        <f>IF(SUM(BD49:BD53)&gt;0,BD49/MAX(Mw_1,1)/(BD49/MAX(Mw_1,1)+BD50/MAX(Mw_2,1)+BD51/MAX(Mw_3,1)+BD52/MAX(Mw_4,1)+BD53/MAX(Mw_5,1)),0)</f>
        <v>0</v>
      </c>
      <c r="BE54" s="83"/>
      <c r="BF54" s="1289">
        <f>IF(SUM(BF49:BF53)&gt;0,BF49/MAX(Mw_1,1)/(BF49/MAX(Mw_1,1)+BF50/MAX(Mw_2,1)+BF51/MAX(Mw_3,1)+BF52/MAX(Mw_4,1)+BF53/MAX(Mw_5,1)),0)</f>
        <v>0</v>
      </c>
      <c r="BG54" s="83"/>
      <c r="BH54" s="1289">
        <f>IF(SUM(BH49:BH53)&gt;0,BH49/MAX(Mw_1,1)/(BH49/MAX(Mw_1,1)+BH50/MAX(Mw_2,1)+BH51/MAX(Mw_3,1)+BH52/MAX(Mw_4,1)+BH53/MAX(Mw_5,1)),0)</f>
        <v>0</v>
      </c>
      <c r="BI54" s="83"/>
      <c r="BJ54" s="1289">
        <f>IF(SUM(BJ49:BJ53)&gt;0,BJ49/MAX(Mw_1,1)/(BJ49/MAX(Mw_1,1)+BJ50/MAX(Mw_2,1)+BJ51/MAX(Mw_3,1)+BJ52/MAX(Mw_4,1)+BJ53/MAX(Mw_5,1)),0)</f>
        <v>0</v>
      </c>
      <c r="BK54" s="83"/>
      <c r="BL54" s="1289">
        <f>IF(SUM(BL49:BL53)&gt;0,BL49/MAX(Mw_1,1)/(BL49/MAX(Mw_1,1)+BL50/MAX(Mw_2,1)+BL51/MAX(Mw_3,1)+BL52/MAX(Mw_4,1)+BL53/MAX(Mw_5,1)),0)</f>
        <v>0</v>
      </c>
      <c r="BM54" s="83"/>
      <c r="BN54" s="1289">
        <f>IF(SUM(BN49:BN53)&gt;0,BN49/MAX(Mw_1,1)/(BN49/MAX(Mw_1,1)+BN50/MAX(Mw_2,1)+BN51/MAX(Mw_3,1)+BN52/MAX(Mw_4,1)+BN53/MAX(Mw_5,1)),0)</f>
        <v>0</v>
      </c>
      <c r="BO54" s="83"/>
      <c r="BP54" s="84"/>
      <c r="BQ54" s="83"/>
      <c r="BR54" s="81"/>
      <c r="BS54" s="85" t="s">
        <v>2200</v>
      </c>
      <c r="BT54" s="237"/>
      <c r="BU54" s="3306">
        <v>0</v>
      </c>
      <c r="BV54" s="237"/>
      <c r="BW54" s="1274">
        <v>0</v>
      </c>
      <c r="BX54" s="237"/>
      <c r="BY54" s="1274">
        <v>0</v>
      </c>
      <c r="BZ54" s="237"/>
      <c r="CA54" s="1274">
        <v>0</v>
      </c>
      <c r="CB54" s="237"/>
      <c r="CC54" s="1274">
        <v>0</v>
      </c>
      <c r="CD54" s="237"/>
      <c r="CE54" s="85" t="s">
        <v>3805</v>
      </c>
      <c r="CF54" s="81"/>
      <c r="CG54" s="2"/>
      <c r="CH54" s="2976" t="s">
        <v>5121</v>
      </c>
      <c r="CI54" s="83"/>
      <c r="CJ54" s="2105">
        <f>IF(CJ13&lt;&gt;"",CJ52*(CJ13/(Wind*CJ20*CJ$27))^CJ53,0)</f>
        <v>0</v>
      </c>
      <c r="CK54" s="83"/>
      <c r="CL54" s="23"/>
      <c r="CM54" s="83"/>
      <c r="CO54" s="2423"/>
      <c r="CP54" s="2423"/>
      <c r="CQ54" s="65"/>
    </row>
    <row r="55" spans="1:100" ht="15" customHeight="1" thickBot="1" x14ac:dyDescent="0.3">
      <c r="A55" s="2"/>
      <c r="B55" s="119" t="s">
        <v>2194</v>
      </c>
      <c r="C55" s="83"/>
      <c r="D55" s="1292">
        <v>0</v>
      </c>
      <c r="E55" s="1293"/>
      <c r="F55" s="1292">
        <v>0</v>
      </c>
      <c r="G55" s="1293"/>
      <c r="H55" s="1292">
        <v>0</v>
      </c>
      <c r="I55" s="1293"/>
      <c r="J55" s="1292">
        <v>0</v>
      </c>
      <c r="K55" s="1293"/>
      <c r="L55" s="1292">
        <v>0</v>
      </c>
      <c r="M55" s="1293"/>
      <c r="N55" s="1292">
        <v>0</v>
      </c>
      <c r="O55" s="1293"/>
      <c r="P55" s="1292">
        <v>0</v>
      </c>
      <c r="Q55" s="1293"/>
      <c r="R55" s="1292">
        <v>0</v>
      </c>
      <c r="S55" s="1293"/>
      <c r="T55" s="1292">
        <v>0</v>
      </c>
      <c r="U55" s="1293"/>
      <c r="V55" s="1292">
        <v>0</v>
      </c>
      <c r="W55" s="1293"/>
      <c r="X55" s="1292">
        <v>0</v>
      </c>
      <c r="Y55" s="83"/>
      <c r="Z55" s="85" t="s">
        <v>3804</v>
      </c>
      <c r="AA55" s="83"/>
      <c r="AB55" s="81"/>
      <c r="AC55" s="1038" t="s">
        <v>2194</v>
      </c>
      <c r="AD55" s="81"/>
      <c r="AE55" s="1292">
        <v>0</v>
      </c>
      <c r="AF55" s="868"/>
      <c r="AG55" s="1292">
        <v>0</v>
      </c>
      <c r="AH55" s="868"/>
      <c r="AI55" s="1292">
        <v>0</v>
      </c>
      <c r="AJ55" s="868"/>
      <c r="AK55" s="1292">
        <v>0</v>
      </c>
      <c r="AL55" s="868"/>
      <c r="AM55" s="1292">
        <v>0</v>
      </c>
      <c r="AN55" s="868"/>
      <c r="AO55" s="1292">
        <v>0</v>
      </c>
      <c r="AP55" s="81"/>
      <c r="AQ55" s="85" t="s">
        <v>3804</v>
      </c>
      <c r="AR55" s="81"/>
      <c r="AS55" s="83"/>
      <c r="AT55" s="512" t="str">
        <f t="shared" ref="AT55:AT58" si="43">B72</f>
        <v/>
      </c>
      <c r="AU55" s="83"/>
      <c r="AV55" s="1289">
        <f>IF(SUM(AV49:AV53)&gt;0,AV50/MAX(Mw_2,1)/(AV49/MAX(Mw_1,1)+AV50/MAX(Mw_2,1)+AV51/MAX(Mw_3,1)+AV52/MAX(Mw_4,1)+AV53/MAX(Mw_5,1)),0)</f>
        <v>0</v>
      </c>
      <c r="AW55" s="83"/>
      <c r="AX55" s="1289">
        <f>IF(SUM(AX49:AX53)&gt;0,AX50/MAX(Mw_2,1)/(AX49/MAX(Mw_1,1)+AX50/MAX(Mw_2,1)+AX51/MAX(Mw_3,1)+AX52/MAX(Mw_4,1)+AX53/MAX(Mw_5,1)),0)</f>
        <v>0</v>
      </c>
      <c r="AY55" s="83"/>
      <c r="AZ55" s="1289">
        <f>IF(SUM(AZ49:AZ53)&gt;0,AZ50/MAX(Mw_2,1)/(AZ49/MAX(Mw_1,1)+AZ50/MAX(Mw_2,1)+AZ51/MAX(Mw_3,1)+AZ52/MAX(Mw_4,1)+AZ53/MAX(Mw_5,1)),0)</f>
        <v>0</v>
      </c>
      <c r="BA55" s="83"/>
      <c r="BB55" s="1289">
        <f>IF(SUM(BB49:BB53)&gt;0,BB50/MAX(Mw_2,1)/(BB49/MAX(Mw_1,1)+BB50/MAX(Mw_2,1)+BB51/MAX(Mw_3,1)+BB52/MAX(Mw_4,1)+BB53/MAX(Mw_5,1)),0)</f>
        <v>0</v>
      </c>
      <c r="BC55" s="83"/>
      <c r="BD55" s="1289">
        <f>IF(SUM(BD49:BD53)&gt;0,BD50/MAX(Mw_2,1)/(BD49/MAX(Mw_1,1)+BD50/MAX(Mw_2,1)+BD51/MAX(Mw_3,1)+BD52/MAX(Mw_4,1)+BD53/MAX(Mw_5,1)),0)</f>
        <v>0</v>
      </c>
      <c r="BE55" s="83"/>
      <c r="BF55" s="1289">
        <f>IF(SUM(BF49:BF53)&gt;0,BF50/MAX(Mw_2,1)/(BF49/MAX(Mw_1,1)+BF50/MAX(Mw_2,1)+BF51/MAX(Mw_3,1)+BF52/MAX(Mw_4,1)+BF53/MAX(Mw_5,1)),0)</f>
        <v>0</v>
      </c>
      <c r="BG55" s="83"/>
      <c r="BH55" s="1289">
        <f>IF(SUM(BH49:BH53)&gt;0,BH50/MAX(Mw_2,1)/(BH49/MAX(Mw_1,1)+BH50/MAX(Mw_2,1)+BH51/MAX(Mw_3,1)+BH52/MAX(Mw_4,1)+BH53/MAX(Mw_5,1)),0)</f>
        <v>0</v>
      </c>
      <c r="BI55" s="83"/>
      <c r="BJ55" s="1289">
        <f>IF(SUM(BJ49:BJ53)&gt;0,BJ50/MAX(Mw_2,1)/(BJ49/MAX(Mw_1,1)+BJ50/MAX(Mw_2,1)+BJ51/MAX(Mw_3,1)+BJ52/MAX(Mw_4,1)+BJ53/MAX(Mw_5,1)),0)</f>
        <v>0</v>
      </c>
      <c r="BK55" s="83"/>
      <c r="BL55" s="1289">
        <f>IF(SUM(BL49:BL53)&gt;0,BL50/MAX(Mw_2,1)/(BL49/MAX(Mw_1,1)+BL50/MAX(Mw_2,1)+BL51/MAX(Mw_3,1)+BL52/MAX(Mw_4,1)+BL53/MAX(Mw_5,1)),0)</f>
        <v>0</v>
      </c>
      <c r="BM55" s="83"/>
      <c r="BN55" s="1289">
        <f>IF(SUM(BN49:BN53)&gt;0,BN50/MAX(Mw_2,1)/(BN49/MAX(Mw_1,1)+BN50/MAX(Mw_2,1)+BN51/MAX(Mw_3,1)+BN52/MAX(Mw_4,1)+BN53/MAX(Mw_5,1)),0)</f>
        <v>0</v>
      </c>
      <c r="BO55" s="83"/>
      <c r="BP55" s="23"/>
      <c r="BQ55" s="83"/>
      <c r="BR55" s="81"/>
      <c r="BS55" s="119" t="s">
        <v>2194</v>
      </c>
      <c r="BT55" s="237"/>
      <c r="BU55" s="1292">
        <v>0</v>
      </c>
      <c r="BV55" s="868"/>
      <c r="BW55" s="1292">
        <v>0</v>
      </c>
      <c r="BX55" s="868"/>
      <c r="BY55" s="1292">
        <v>0</v>
      </c>
      <c r="BZ55" s="868"/>
      <c r="CA55" s="1292">
        <v>0</v>
      </c>
      <c r="CB55" s="868"/>
      <c r="CC55" s="1292">
        <v>0</v>
      </c>
      <c r="CD55" s="237"/>
      <c r="CE55" s="85" t="s">
        <v>3804</v>
      </c>
      <c r="CF55" s="81"/>
      <c r="CG55" s="2"/>
      <c r="CH55" s="1691" t="s">
        <v>5060</v>
      </c>
      <c r="CI55" s="83"/>
      <c r="CJ55" s="1288">
        <f>IF(AND(CJ16&lt;&gt;"",CJ$29&gt;0),(CJ$29*(CJ16/CJ$28)^0.333/Wind^2)^0.5,0)</f>
        <v>0</v>
      </c>
      <c r="CK55" s="83"/>
      <c r="CL55" s="23"/>
      <c r="CM55" s="83"/>
      <c r="CO55" s="2065"/>
      <c r="CP55" s="2065"/>
      <c r="CQ55" s="65"/>
    </row>
    <row r="56" spans="1:100" ht="15" customHeight="1" thickBot="1" x14ac:dyDescent="0.3">
      <c r="A56" s="2"/>
      <c r="B56" s="85" t="s">
        <v>2219</v>
      </c>
      <c r="C56" s="83"/>
      <c r="D56" s="1273">
        <v>0</v>
      </c>
      <c r="E56" s="83"/>
      <c r="F56" s="1273">
        <v>0</v>
      </c>
      <c r="G56" s="83"/>
      <c r="H56" s="1273">
        <v>0</v>
      </c>
      <c r="I56" s="83"/>
      <c r="J56" s="1273">
        <v>0</v>
      </c>
      <c r="K56" s="83"/>
      <c r="L56" s="1273">
        <v>0</v>
      </c>
      <c r="M56" s="83"/>
      <c r="N56" s="1273">
        <v>0</v>
      </c>
      <c r="O56" s="83"/>
      <c r="P56" s="1273">
        <v>0</v>
      </c>
      <c r="Q56" s="83"/>
      <c r="R56" s="1273">
        <v>0</v>
      </c>
      <c r="S56" s="83"/>
      <c r="T56" s="1273">
        <v>0</v>
      </c>
      <c r="U56" s="83"/>
      <c r="V56" s="1273">
        <v>0</v>
      </c>
      <c r="W56" s="83"/>
      <c r="X56" s="1273">
        <v>0</v>
      </c>
      <c r="Y56" s="83"/>
      <c r="Z56" s="85"/>
      <c r="AA56" s="83"/>
      <c r="AB56" s="81"/>
      <c r="AC56" s="848" t="s">
        <v>2219</v>
      </c>
      <c r="AD56" s="81"/>
      <c r="AE56" s="1273">
        <v>0</v>
      </c>
      <c r="AF56" s="81"/>
      <c r="AG56" s="1273">
        <v>0</v>
      </c>
      <c r="AH56" s="81"/>
      <c r="AI56" s="1273">
        <v>0</v>
      </c>
      <c r="AJ56" s="81"/>
      <c r="AK56" s="1273">
        <v>0</v>
      </c>
      <c r="AL56" s="81"/>
      <c r="AM56" s="1273">
        <v>0</v>
      </c>
      <c r="AN56" s="81"/>
      <c r="AO56" s="1273">
        <v>0</v>
      </c>
      <c r="AP56" s="81"/>
      <c r="AQ56" s="85"/>
      <c r="AR56" s="81"/>
      <c r="AS56" s="83"/>
      <c r="AT56" s="512" t="str">
        <f t="shared" si="43"/>
        <v/>
      </c>
      <c r="AU56" s="83"/>
      <c r="AV56" s="1289">
        <f>IF(SUM(AV49:AV53)&gt;0,AV51/MAX(Mw_3,1)/(AV49/MAX(Mw_1,1)+AV50/MAX(Mw_2,1)+AV51/MAX(Mw_3,1)+AV52/MAX(Mw_4,1)+AV53/MAX(Mw_5,1)),0)</f>
        <v>0</v>
      </c>
      <c r="AW56" s="83"/>
      <c r="AX56" s="1289">
        <f>IF(SUM(AX49:AX53)&gt;0,AX51/MAX(Mw_3,1)/(AX49/MAX(Mw_1,1)+AX50/MAX(Mw_2,1)+AX51/MAX(Mw_3,1)+AX52/MAX(Mw_4,1)+AX53/MAX(Mw_5,1)),0)</f>
        <v>0</v>
      </c>
      <c r="AY56" s="83"/>
      <c r="AZ56" s="1289">
        <f>IF(SUM(AZ49:AZ53)&gt;0,AZ51/MAX(Mw_3,1)/(AZ49/MAX(Mw_1,1)+AZ50/MAX(Mw_2,1)+AZ51/MAX(Mw_3,1)+AZ52/MAX(Mw_4,1)+AZ53/MAX(Mw_5,1)),0)</f>
        <v>0</v>
      </c>
      <c r="BA56" s="83"/>
      <c r="BB56" s="1289">
        <f>IF(SUM(BB49:BB53)&gt;0,BB51/MAX(Mw_3,1)/(BB49/MAX(Mw_1,1)+BB50/MAX(Mw_2,1)+BB51/MAX(Mw_3,1)+BB52/MAX(Mw_4,1)+BB53/MAX(Mw_5,1)),0)</f>
        <v>0</v>
      </c>
      <c r="BC56" s="83"/>
      <c r="BD56" s="1289">
        <f>IF(SUM(BD49:BD53)&gt;0,BD51/MAX(Mw_3,1)/(BD49/MAX(Mw_1,1)+BD50/MAX(Mw_2,1)+BD51/MAX(Mw_3,1)+BD52/MAX(Mw_4,1)+BD53/MAX(Mw_5,1)),0)</f>
        <v>0</v>
      </c>
      <c r="BE56" s="83"/>
      <c r="BF56" s="1289">
        <f>IF(SUM(BF49:BF53)&gt;0,BF51/MAX(Mw_3,1)/(BF49/MAX(Mw_1,1)+BF50/MAX(Mw_2,1)+BF51/MAX(Mw_3,1)+BF52/MAX(Mw_4,1)+BF53/MAX(Mw_5,1)),0)</f>
        <v>0</v>
      </c>
      <c r="BG56" s="83"/>
      <c r="BH56" s="1289">
        <f>IF(SUM(BH49:BH53)&gt;0,BH51/MAX(Mw_3,1)/(BH49/MAX(Mw_1,1)+BH50/MAX(Mw_2,1)+BH51/MAX(Mw_3,1)+BH52/MAX(Mw_4,1)+BH53/MAX(Mw_5,1)),0)</f>
        <v>0</v>
      </c>
      <c r="BI56" s="83"/>
      <c r="BJ56" s="1289">
        <f>IF(SUM(BJ49:BJ53)&gt;0,BJ51/MAX(Mw_3,1)/(BJ49/MAX(Mw_1,1)+BJ50/MAX(Mw_2,1)+BJ51/MAX(Mw_3,1)+BJ52/MAX(Mw_4,1)+BJ53/MAX(Mw_5,1)),0)</f>
        <v>0</v>
      </c>
      <c r="BK56" s="83"/>
      <c r="BL56" s="1289">
        <f>IF(SUM(BL49:BL53)&gt;0,BL51/MAX(Mw_3,1)/(BL49/MAX(Mw_1,1)+BL50/MAX(Mw_2,1)+BL51/MAX(Mw_3,1)+BL52/MAX(Mw_4,1)+BL53/MAX(Mw_5,1)),0)</f>
        <v>0</v>
      </c>
      <c r="BM56" s="83"/>
      <c r="BN56" s="1289">
        <f>IF(SUM(BN49:BN53)&gt;0,BN51/MAX(Mw_3,1)/(BN49/MAX(Mw_1,1)+BN50/MAX(Mw_2,1)+BN51/MAX(Mw_3,1)+BN52/MAX(Mw_4,1)+BN53/MAX(Mw_5,1)),0)</f>
        <v>0</v>
      </c>
      <c r="BO56" s="83"/>
      <c r="BP56" s="23"/>
      <c r="BQ56" s="83"/>
      <c r="BR56" s="81"/>
      <c r="BS56" s="85" t="s">
        <v>2219</v>
      </c>
      <c r="BT56" s="237"/>
      <c r="BU56" s="1273">
        <v>0</v>
      </c>
      <c r="BV56" s="237"/>
      <c r="BW56" s="1273">
        <v>0</v>
      </c>
      <c r="BX56" s="237"/>
      <c r="BY56" s="1273">
        <v>0</v>
      </c>
      <c r="BZ56" s="237"/>
      <c r="CA56" s="1273">
        <v>0</v>
      </c>
      <c r="CB56" s="237"/>
      <c r="CC56" s="1273">
        <v>0</v>
      </c>
      <c r="CD56" s="237"/>
      <c r="CE56" s="85"/>
      <c r="CF56" s="81"/>
      <c r="CG56" s="2"/>
      <c r="CH56" s="1691" t="s">
        <v>5061</v>
      </c>
      <c r="CI56" s="83"/>
      <c r="CJ56" s="3000">
        <f>IF(AND(CJ$29&gt;0,CJ55&gt;0),CJ$27*(0.2/CJ$55)^3,1)</f>
        <v>1</v>
      </c>
      <c r="CK56" s="83"/>
      <c r="CL56" s="23"/>
      <c r="CM56" s="83"/>
      <c r="CO56" s="2424"/>
      <c r="CP56" s="2424"/>
      <c r="CQ56" s="65"/>
    </row>
    <row r="57" spans="1:100" ht="15" customHeight="1" x14ac:dyDescent="0.25">
      <c r="A57" s="2"/>
      <c r="B57" s="1272" t="str">
        <f>IF(B17="","","Liquid/Feed Mol Ratio "&amp;B17)</f>
        <v/>
      </c>
      <c r="C57" s="83"/>
      <c r="D57" s="1268">
        <v>0</v>
      </c>
      <c r="E57" s="83"/>
      <c r="F57" s="1268">
        <v>0</v>
      </c>
      <c r="G57" s="83"/>
      <c r="H57" s="1268">
        <v>0</v>
      </c>
      <c r="I57" s="83"/>
      <c r="J57" s="1268">
        <v>0</v>
      </c>
      <c r="K57" s="83"/>
      <c r="L57" s="1268">
        <v>0</v>
      </c>
      <c r="M57" s="83"/>
      <c r="N57" s="1268">
        <v>0</v>
      </c>
      <c r="O57" s="83"/>
      <c r="P57" s="1268">
        <v>0</v>
      </c>
      <c r="Q57" s="83"/>
      <c r="R57" s="1268">
        <v>0</v>
      </c>
      <c r="S57" s="83"/>
      <c r="T57" s="1268">
        <v>0</v>
      </c>
      <c r="U57" s="83"/>
      <c r="V57" s="1268">
        <v>0</v>
      </c>
      <c r="W57" s="83"/>
      <c r="X57" s="1268">
        <v>0</v>
      </c>
      <c r="Y57" s="83"/>
      <c r="Z57" s="85"/>
      <c r="AA57" s="83"/>
      <c r="AB57" s="81"/>
      <c r="AC57" s="3096" t="str">
        <f>B57</f>
        <v/>
      </c>
      <c r="AD57" s="81"/>
      <c r="AE57" s="1268">
        <v>0</v>
      </c>
      <c r="AF57" s="81"/>
      <c r="AG57" s="1268">
        <v>0</v>
      </c>
      <c r="AH57" s="81"/>
      <c r="AI57" s="1268">
        <v>0</v>
      </c>
      <c r="AJ57" s="81"/>
      <c r="AK57" s="1268">
        <v>0</v>
      </c>
      <c r="AL57" s="81"/>
      <c r="AM57" s="1268">
        <v>0</v>
      </c>
      <c r="AN57" s="81"/>
      <c r="AO57" s="1268">
        <v>0</v>
      </c>
      <c r="AP57" s="81"/>
      <c r="AQ57" s="85"/>
      <c r="AR57" s="81"/>
      <c r="AS57" s="83"/>
      <c r="AT57" s="512" t="str">
        <f t="shared" si="43"/>
        <v/>
      </c>
      <c r="AU57" s="83"/>
      <c r="AV57" s="1289">
        <f>IF(SUM(AV49:AV53)&gt;0,AV52/MAX(Mw_4,1)/(AV49/MAX(Mw_1,1)+AV50/MAX(Mw_2,1)+AV51/MAX(Mw_3,1)+AV52/MAX(Mw_4,1)+AV53/MAX(Mw_5,1)),0)</f>
        <v>0</v>
      </c>
      <c r="AW57" s="83"/>
      <c r="AX57" s="1289">
        <f>IF(SUM(AX49:AX53)&gt;0,AX52/MAX(Mw_4,1)/(AX49/MAX(Mw_1,1)+AX50/MAX(Mw_2,1)+AX51/MAX(Mw_3,1)+AX52/MAX(Mw_4,1)+AX53/MAX(Mw_5,1)),0)</f>
        <v>0</v>
      </c>
      <c r="AY57" s="83"/>
      <c r="AZ57" s="1289">
        <f>IF(SUM(AZ49:AZ53)&gt;0,AZ52/MAX(Mw_4,1)/(AZ49/MAX(Mw_1,1)+AZ50/MAX(Mw_2,1)+AZ51/MAX(Mw_3,1)+AZ52/MAX(Mw_4,1)+AZ53/MAX(Mw_5,1)),0)</f>
        <v>0</v>
      </c>
      <c r="BA57" s="83"/>
      <c r="BB57" s="1289">
        <f>IF(SUM(BB49:BB53)&gt;0,BB52/MAX(Mw_4,1)/(BB49/MAX(Mw_1,1)+BB50/MAX(Mw_2,1)+BB51/MAX(Mw_3,1)+BB52/MAX(Mw_4,1)+BB53/MAX(Mw_5,1)),0)</f>
        <v>0</v>
      </c>
      <c r="BC57" s="83"/>
      <c r="BD57" s="1289">
        <f>IF(SUM(BD49:BD53)&gt;0,BD52/MAX(Mw_4,1)/(BD49/MAX(Mw_1,1)+BD50/MAX(Mw_2,1)+BD51/MAX(Mw_3,1)+BD52/MAX(Mw_4,1)+BD53/MAX(Mw_5,1)),0)</f>
        <v>0</v>
      </c>
      <c r="BE57" s="83"/>
      <c r="BF57" s="1289">
        <f>IF(SUM(BF49:BF53)&gt;0,BF52/MAX(Mw_4,1)/(BF49/MAX(Mw_1,1)+BF50/MAX(Mw_2,1)+BF51/MAX(Mw_3,1)+BF52/MAX(Mw_4,1)+BF53/MAX(Mw_5,1)),0)</f>
        <v>0</v>
      </c>
      <c r="BG57" s="83"/>
      <c r="BH57" s="1289">
        <f>IF(SUM(BH49:BH53)&gt;0,BH52/MAX(Mw_4,1)/(BH49/MAX(Mw_1,1)+BH50/MAX(Mw_2,1)+BH51/MAX(Mw_3,1)+BH52/MAX(Mw_4,1)+BH53/MAX(Mw_5,1)),0)</f>
        <v>0</v>
      </c>
      <c r="BI57" s="83"/>
      <c r="BJ57" s="1289">
        <f>IF(SUM(BJ49:BJ53)&gt;0,BJ52/MAX(Mw_4,1)/(BJ49/MAX(Mw_1,1)+BJ50/MAX(Mw_2,1)+BJ51/MAX(Mw_3,1)+BJ52/MAX(Mw_4,1)+BJ53/MAX(Mw_5,1)),0)</f>
        <v>0</v>
      </c>
      <c r="BK57" s="83"/>
      <c r="BL57" s="1289">
        <f>IF(SUM(BL49:BL53)&gt;0,BL52/MAX(Mw_4,1)/(BL49/MAX(Mw_1,1)+BL50/MAX(Mw_2,1)+BL51/MAX(Mw_3,1)+BL52/MAX(Mw_4,1)+BL53/MAX(Mw_5,1)),0)</f>
        <v>0</v>
      </c>
      <c r="BM57" s="83"/>
      <c r="BN57" s="1289">
        <f>IF(SUM(BN49:BN53)&gt;0,BN52/MAX(Mw_4,1)/(BN49/MAX(Mw_1,1)+BN50/MAX(Mw_2,1)+BN51/MAX(Mw_3,1)+BN52/MAX(Mw_4,1)+BN53/MAX(Mw_5,1)),0)</f>
        <v>0</v>
      </c>
      <c r="BO57" s="83"/>
      <c r="BP57" s="23"/>
      <c r="BQ57" s="83"/>
      <c r="BR57" s="81"/>
      <c r="BS57" s="1278" t="str">
        <f>B57</f>
        <v/>
      </c>
      <c r="BT57" s="237"/>
      <c r="BU57" s="1268">
        <v>0</v>
      </c>
      <c r="BV57" s="237"/>
      <c r="BW57" s="1268">
        <v>0</v>
      </c>
      <c r="BX57" s="237"/>
      <c r="BY57" s="1268">
        <v>0</v>
      </c>
      <c r="BZ57" s="237"/>
      <c r="CA57" s="1268">
        <v>0</v>
      </c>
      <c r="CB57" s="237"/>
      <c r="CC57" s="1268">
        <v>0</v>
      </c>
      <c r="CD57" s="237"/>
      <c r="CE57" s="85"/>
      <c r="CF57" s="81"/>
      <c r="CG57" s="2"/>
      <c r="CH57" s="512" t="s">
        <v>5115</v>
      </c>
      <c r="CI57" s="83"/>
      <c r="CJ57" s="3000">
        <f>LN(IF(CJ$56&lt;CJ$27,IF(LOG(CJ$55)&lt;-0.44,5.01,IF(LOG(CJ$55)&lt;0.43,10^(0.81+0.26*LOG(CJ$55)),8.51))*(CJ16/CJ$28)^0.333,1))</f>
        <v>0</v>
      </c>
      <c r="CK57" s="83"/>
      <c r="CL57" s="23"/>
      <c r="CM57" s="83"/>
      <c r="CO57" s="393"/>
      <c r="CP57" s="393"/>
      <c r="CQ57" s="1726"/>
      <c r="CV57" s="2421"/>
    </row>
    <row r="58" spans="1:100" ht="15" customHeight="1" thickBot="1" x14ac:dyDescent="0.3">
      <c r="A58" s="2"/>
      <c r="B58" s="1272" t="str">
        <f t="shared" ref="B58:B61" si="44">IF(B18="","","Liquid/Feed Mol Ratio "&amp;B18)</f>
        <v/>
      </c>
      <c r="C58" s="83"/>
      <c r="D58" s="1268">
        <v>0</v>
      </c>
      <c r="E58" s="83"/>
      <c r="F58" s="1268">
        <v>0</v>
      </c>
      <c r="G58" s="83"/>
      <c r="H58" s="1268">
        <v>0</v>
      </c>
      <c r="I58" s="83"/>
      <c r="J58" s="1268">
        <v>0</v>
      </c>
      <c r="K58" s="83"/>
      <c r="L58" s="1268">
        <v>0</v>
      </c>
      <c r="M58" s="83"/>
      <c r="N58" s="1268">
        <v>0</v>
      </c>
      <c r="O58" s="83"/>
      <c r="P58" s="1268">
        <v>0</v>
      </c>
      <c r="Q58" s="83"/>
      <c r="R58" s="1268">
        <v>0</v>
      </c>
      <c r="S58" s="83"/>
      <c r="T58" s="1268">
        <v>0</v>
      </c>
      <c r="U58" s="83"/>
      <c r="V58" s="1268">
        <v>0</v>
      </c>
      <c r="W58" s="83"/>
      <c r="X58" s="1268">
        <v>0</v>
      </c>
      <c r="Y58" s="83"/>
      <c r="Z58" s="85"/>
      <c r="AA58" s="83"/>
      <c r="AB58" s="81"/>
      <c r="AC58" s="1272" t="str">
        <f t="shared" ref="AC58:AC61" si="45">B58</f>
        <v/>
      </c>
      <c r="AD58" s="81"/>
      <c r="AE58" s="1268">
        <v>0</v>
      </c>
      <c r="AF58" s="81"/>
      <c r="AG58" s="1268">
        <v>0</v>
      </c>
      <c r="AH58" s="81"/>
      <c r="AI58" s="1268">
        <v>0</v>
      </c>
      <c r="AJ58" s="81"/>
      <c r="AK58" s="1268">
        <v>0</v>
      </c>
      <c r="AL58" s="81"/>
      <c r="AM58" s="1268">
        <v>0</v>
      </c>
      <c r="AN58" s="81"/>
      <c r="AO58" s="1268">
        <v>0</v>
      </c>
      <c r="AP58" s="81"/>
      <c r="AQ58" s="85"/>
      <c r="AR58" s="81"/>
      <c r="AS58" s="83"/>
      <c r="AT58" s="512" t="str">
        <f t="shared" si="43"/>
        <v/>
      </c>
      <c r="AU58" s="83"/>
      <c r="AV58" s="1289">
        <f>IF(SUM(AV49:AV53)&gt;0,AV53/MAX(Mw_5,1)/(AV49/MAX(Mw_1,1)+AV50/MAX(Mw_2,1)+AV51/MAX(Mw_3,1)+AV52/MAX(Mw_4,1)+AV53/MAX(Mw_5,1)),0)</f>
        <v>0</v>
      </c>
      <c r="AW58" s="83"/>
      <c r="AX58" s="1289">
        <f>IF(SUM(AX49:AX53)&gt;0,AX53/MAX(Mw_5,1)/(AX49/MAX(Mw_1,1)+AX50/MAX(Mw_2,1)+AX51/MAX(Mw_3,1)+AX52/MAX(Mw_4,1)+AX53/MAX(Mw_5,1)),0)</f>
        <v>0</v>
      </c>
      <c r="AY58" s="83"/>
      <c r="AZ58" s="1289">
        <f>IF(SUM(AZ49:AZ53)&gt;0,AZ53/MAX(Mw_5,1)/(AZ49/MAX(Mw_1,1)+AZ50/MAX(Mw_2,1)+AZ51/MAX(Mw_3,1)+AZ52/MAX(Mw_4,1)+AZ53/MAX(Mw_5,1)),0)</f>
        <v>0</v>
      </c>
      <c r="BA58" s="83"/>
      <c r="BB58" s="1289">
        <f>IF(SUM(BB49:BB53)&gt;0,BB53/MAX(Mw_5,1)/(BB49/MAX(Mw_1,1)+BB50/MAX(Mw_2,1)+BB51/MAX(Mw_3,1)+BB52/MAX(Mw_4,1)+BB53/MAX(Mw_5,1)),0)</f>
        <v>0</v>
      </c>
      <c r="BC58" s="83"/>
      <c r="BD58" s="1289">
        <f>IF(SUM(BD49:BD53)&gt;0,BD53/MAX(Mw_5,1)/(BD49/MAX(Mw_1,1)+BD50/MAX(Mw_2,1)+BD51/MAX(Mw_3,1)+BD52/MAX(Mw_4,1)+BD53/MAX(Mw_5,1)),0)</f>
        <v>0</v>
      </c>
      <c r="BE58" s="83"/>
      <c r="BF58" s="1289">
        <f>IF(SUM(BF49:BF53)&gt;0,BF53/MAX(Mw_5,1)/(BF49/MAX(Mw_1,1)+BF50/MAX(Mw_2,1)+BF51/MAX(Mw_3,1)+BF52/MAX(Mw_4,1)+BF53/MAX(Mw_5,1)),0)</f>
        <v>0</v>
      </c>
      <c r="BG58" s="83"/>
      <c r="BH58" s="1289">
        <f>IF(SUM(BH49:BH53)&gt;0,BH53/MAX(Mw_5,1)/(BH49/MAX(Mw_1,1)+BH50/MAX(Mw_2,1)+BH51/MAX(Mw_3,1)+BH52/MAX(Mw_4,1)+BH53/MAX(Mw_5,1)),0)</f>
        <v>0</v>
      </c>
      <c r="BI58" s="83"/>
      <c r="BJ58" s="1289">
        <f>IF(SUM(BJ49:BJ53)&gt;0,BJ53/MAX(Mw_5,1)/(BJ49/MAX(Mw_1,1)+BJ50/MAX(Mw_2,1)+BJ51/MAX(Mw_3,1)+BJ52/MAX(Mw_4,1)+BJ53/MAX(Mw_5,1)),0)</f>
        <v>0</v>
      </c>
      <c r="BK58" s="83"/>
      <c r="BL58" s="1289">
        <f>IF(SUM(BL49:BL53)&gt;0,BL53/MAX(Mw_5,1)/(BL49/MAX(Mw_1,1)+BL50/MAX(Mw_2,1)+BL51/MAX(Mw_3,1)+BL52/MAX(Mw_4,1)+BL53/MAX(Mw_5,1)),0)</f>
        <v>0</v>
      </c>
      <c r="BM58" s="83"/>
      <c r="BN58" s="1289">
        <f>IF(SUM(BN49:BN53)&gt;0,BN53/MAX(Mw_5,1)/(BN49/MAX(Mw_1,1)+BN50/MAX(Mw_2,1)+BN51/MAX(Mw_3,1)+BN52/MAX(Mw_4,1)+BN53/MAX(Mw_5,1)),0)</f>
        <v>0</v>
      </c>
      <c r="BO58" s="83"/>
      <c r="BP58" s="89"/>
      <c r="BQ58" s="83"/>
      <c r="BR58" s="81"/>
      <c r="BS58" s="1278" t="str">
        <f t="shared" ref="BS58:BS61" si="46">B58</f>
        <v/>
      </c>
      <c r="BT58" s="237"/>
      <c r="BU58" s="1268">
        <v>0</v>
      </c>
      <c r="BV58" s="237"/>
      <c r="BW58" s="1268">
        <v>0</v>
      </c>
      <c r="BX58" s="237"/>
      <c r="BY58" s="1268">
        <v>0</v>
      </c>
      <c r="BZ58" s="237"/>
      <c r="CA58" s="1268">
        <v>0</v>
      </c>
      <c r="CB58" s="237"/>
      <c r="CC58" s="1268">
        <v>0</v>
      </c>
      <c r="CD58" s="237"/>
      <c r="CE58" s="85"/>
      <c r="CF58" s="81"/>
      <c r="CG58" s="2"/>
      <c r="CH58" s="512" t="s">
        <v>5116</v>
      </c>
      <c r="CI58" s="83"/>
      <c r="CJ58" s="3000">
        <f>LN(IF(CJ$56&lt;CJ$27,IF(LOG(CJ$55)&lt;-0.56,7.08,IF(LOG(CJ$55)&lt;0.31,10^(1+0.26*LOG(CJ$55)),10^(1.12-0.12*LOG(CJ$55))))*(CJ16/CJ$28)^0.333,1))</f>
        <v>0</v>
      </c>
      <c r="CK58" s="83"/>
      <c r="CL58" s="23"/>
      <c r="CM58" s="83"/>
      <c r="CO58" s="393"/>
      <c r="CP58" s="393"/>
      <c r="CQ58" s="1726"/>
    </row>
    <row r="59" spans="1:100" ht="15" customHeight="1" thickBot="1" x14ac:dyDescent="0.3">
      <c r="A59" s="2"/>
      <c r="B59" s="1272" t="str">
        <f t="shared" si="44"/>
        <v/>
      </c>
      <c r="C59" s="83"/>
      <c r="D59" s="1268">
        <v>0</v>
      </c>
      <c r="E59" s="83"/>
      <c r="F59" s="1268">
        <v>0</v>
      </c>
      <c r="G59" s="83"/>
      <c r="H59" s="1268">
        <v>0</v>
      </c>
      <c r="I59" s="83"/>
      <c r="J59" s="1268">
        <v>0</v>
      </c>
      <c r="K59" s="83"/>
      <c r="L59" s="1268">
        <v>0</v>
      </c>
      <c r="M59" s="83"/>
      <c r="N59" s="1268">
        <v>0</v>
      </c>
      <c r="O59" s="83"/>
      <c r="P59" s="1268">
        <v>0</v>
      </c>
      <c r="Q59" s="83"/>
      <c r="R59" s="1268">
        <v>0</v>
      </c>
      <c r="S59" s="83"/>
      <c r="T59" s="1268">
        <v>0</v>
      </c>
      <c r="U59" s="83"/>
      <c r="V59" s="1268">
        <v>0</v>
      </c>
      <c r="W59" s="83"/>
      <c r="X59" s="1268">
        <v>0</v>
      </c>
      <c r="Y59" s="83"/>
      <c r="Z59" s="85"/>
      <c r="AA59" s="83"/>
      <c r="AB59" s="81"/>
      <c r="AC59" s="1272" t="str">
        <f t="shared" si="45"/>
        <v/>
      </c>
      <c r="AD59" s="81"/>
      <c r="AE59" s="1268">
        <v>0</v>
      </c>
      <c r="AF59" s="81"/>
      <c r="AG59" s="1268">
        <v>0</v>
      </c>
      <c r="AH59" s="81"/>
      <c r="AI59" s="1268">
        <v>0</v>
      </c>
      <c r="AJ59" s="81"/>
      <c r="AK59" s="1268">
        <v>0</v>
      </c>
      <c r="AL59" s="81"/>
      <c r="AM59" s="1268">
        <v>0</v>
      </c>
      <c r="AN59" s="81"/>
      <c r="AO59" s="1268">
        <v>0</v>
      </c>
      <c r="AP59" s="81"/>
      <c r="AQ59" s="85"/>
      <c r="AR59" s="81"/>
      <c r="AS59" s="83"/>
      <c r="AT59" s="85" t="s">
        <v>2214</v>
      </c>
      <c r="AU59" s="83"/>
      <c r="AV59" s="1273">
        <f t="array" ref="AV59:AV65">IF(AV48&gt;0,MultiCompCndsOp(T_atRelief,Number_Trials,1,Ambient_Temp,Act_rel,Molar_Vapor_Cs,Molar_HtVap,VP_A,VP_B,VP_C,AV54,AV55,AV56,AV57,AV58,Alpha_1*EXP(dAlpha_1*(AV35-T)),Alpha_2*EXP(dAlpha_2*(AV35-T)),Alpha_3*EXP(dAlpha_3*(AV35-T)),Alpha_4*EXP(dAlpha_4*(AV35-T)),Alpha_5*EXP(dAlpha_5*(AV35-T)),Act_1,Act_2,Act_3,Act_4,Act_5,Rel_1*EXP(dRel_1*(AV35-T)),Rel_2*EXP(dRel_2*(AV35-T)),Rel_3*EXP(dRel_3*(AV35-T)),Rel_4*EXP(dRel_4*(AV35-T)),Rel_5*EXP(dRel_5*(AV35-T))),1)</f>
        <v>1</v>
      </c>
      <c r="AW59" s="83"/>
      <c r="AX59" s="1273">
        <f t="array" ref="AX59:AX65">IF(AX48&gt;0,MultiCompCndsOp(T_atRelief,Number_Trials,1,Ambient_Temp,Act_rel,Molar_Vapor_Cs,Molar_HtVap,VP_A,VP_B,VP_C,AX54,AX55,AX56,AX57,AX58,Alpha_1*EXP(dAlpha_1*(AX35-T)),Alpha_2*EXP(dAlpha_2*(AX35-T)),Alpha_3*EXP(dAlpha_3*(AX35-T)),Alpha_4*EXP(dAlpha_4*(AX35-T)),Alpha_5*EXP(dAlpha_5*(AX35-T)),Act_1,Act_2,Act_3,Act_4,Act_5,Rel_1*EXP(dRel_1*(AX35-T)),Rel_2*EXP(dRel_2*(AX35-T)),Rel_3*EXP(dRel_3*(AX35-T)),Rel_4*EXP(dRel_4*(AX35-T)),Rel_5*EXP(dRel_5*(AX35-T))),1)</f>
        <v>1</v>
      </c>
      <c r="AY59" s="83"/>
      <c r="AZ59" s="1273">
        <f t="array" ref="AZ59:AZ65">IF(AZ48&gt;0,MultiCompCndsOp(T_atRelief,Number_Trials,1,Ambient_Temp,Act_rel,Molar_Vapor_Cs,Molar_HtVap,VP_A,VP_B,VP_C,AZ54,AZ55,AZ56,AZ57,AZ58,Alpha_1*EXP(dAlpha_1*(AZ35-T)),Alpha_2*EXP(dAlpha_2*(AZ35-T)),Alpha_3*EXP(dAlpha_3*(AZ35-T)),Alpha_4*EXP(dAlpha_4*(AZ35-T)),Alpha_5*EXP(dAlpha_5*(AZ35-T)),Act_1,Act_2,Act_3,Act_4,Act_5,Rel_1*EXP(dRel_1*(AZ35-T)),Rel_2*EXP(dRel_2*(AZ35-T)),Rel_3*EXP(dRel_3*(AZ35-T)),Rel_4*EXP(dRel_4*(AZ35-T)),Rel_5*EXP(dRel_5*(AZ35-T))),1)</f>
        <v>1</v>
      </c>
      <c r="BA59" s="83"/>
      <c r="BB59" s="1273">
        <f t="array" ref="BB59:BB65">IF(BB48&gt;0,MultiCompCndsOp(T_atRelief,Number_Trials,1,Ambient_Temp,Act_rel,Molar_Vapor_Cs,Molar_HtVap,VP_A,VP_B,VP_C,BB54,BB55,BB56,BB57,BB58,Alpha_1*EXP(dAlpha_1*(BB35-T)),Alpha_2*EXP(dAlpha_2*(BB35-T)),Alpha_3*EXP(dAlpha_3*(BB35-T)),Alpha_4*EXP(dAlpha_4*(BB35-T)),Alpha_5*EXP(dAlpha_5*(BB35-T)),Act_1,Act_2,Act_3,Act_4,Act_5,Rel_1*EXP(dRel_1*(BB35-T)),Rel_2*EXP(dRel_2*(BB35-T)),Rel_3*EXP(dRel_3*(BB35-T)),Rel_4*EXP(dRel_4*(BB35-T)),Rel_5*EXP(dRel_5*(BB35-T))),1)</f>
        <v>1</v>
      </c>
      <c r="BC59" s="83"/>
      <c r="BD59" s="1273">
        <f t="array" ref="BD59:BD65">IF(BD48&gt;0,MultiCompCndsOp(T_atRelief,Number_Trials,1,Ambient_Temp,Act_rel,Molar_Vapor_Cs,Molar_HtVap,VP_A,VP_B,VP_C,BD54,BD55,BD56,BD57,BD58,Alpha_1*EXP(dAlpha_1*(BD35-T)),Alpha_2*EXP(dAlpha_2*(BD35-T)),Alpha_3*EXP(dAlpha_3*(BD35-T)),Alpha_4*EXP(dAlpha_4*(BD35-T)),Alpha_5*EXP(dAlpha_5*(BD35-T)),Act_1,Act_2,Act_3,Act_4,Act_5,Rel_1*EXP(dRel_1*(BD35-T)),Rel_2*EXP(dRel_2*(BD35-T)),Rel_3*EXP(dRel_3*(BD35-T)),Rel_4*EXP(dRel_4*(BD35-T)),Rel_5*EXP(dRel_5*(BD35-T))),1)</f>
        <v>1</v>
      </c>
      <c r="BE59" s="83"/>
      <c r="BF59" s="1273">
        <f t="array" ref="BF59:BF65">IF(BF48&gt;0,MultiCompCndsOp(T_atRelief,Number_Trials,1,Ambient_Temp,Act_rel,Molar_Vapor_Cs,Molar_HtVap,VP_A,VP_B,VP_C,BF54,BF55,BF56,BF57,BF58,Alpha_1*EXP(dAlpha_1*(BF35-T)),Alpha_2*EXP(dAlpha_2*(BF35-T)),Alpha_3*EXP(dAlpha_3*(BF35-T)),Alpha_4*EXP(dAlpha_4*(BF35-T)),Alpha_5*EXP(dAlpha_5*(BF35-T)),Act_1,Act_2,Act_3,Act_4,Act_5,Rel_1*EXP(dRel_1*(BF35-T)),Rel_2*EXP(dRel_2*(BF35-T)),Rel_3*EXP(dRel_3*(BF35-T)),Rel_4*EXP(dRel_4*(BF35-T)),Rel_5*EXP(dRel_5*(BF35-T))),1)</f>
        <v>1</v>
      </c>
      <c r="BG59" s="83"/>
      <c r="BH59" s="1273">
        <f t="array" ref="BH59:BH65">IF(BH48&gt;0,MultiCompCndsOp(T_atRelief,Number_Trials,1,Ambient_Temp,Act_rel,Molar_Vapor_Cs,Molar_HtVap,VP_A,VP_B,VP_C,BH54,BH55,BH56,BH57,BH58,Alpha_1*EXP(dAlpha_1*(BH35-T)),Alpha_2*EXP(dAlpha_2*(BH35-T)),Alpha_3*EXP(dAlpha_3*(BH35-T)),Alpha_4*EXP(dAlpha_4*(BH35-T)),Alpha_5*EXP(dAlpha_5*(BH35-T)),Act_1,Act_2,Act_3,Act_4,Act_5,Rel_1*EXP(dRel_1*(BH35-T)),Rel_2*EXP(dRel_2*(BH35-T)),Rel_3*EXP(dRel_3*(BH35-T)),Rel_4*EXP(dRel_4*(BH35-T)),Rel_5*EXP(dRel_5*(BH35-T))),1)</f>
        <v>1</v>
      </c>
      <c r="BI59" s="83"/>
      <c r="BJ59" s="1273">
        <f t="array" ref="BJ59:BJ65">IF(BJ48&gt;0,MultiCompCndsOp(T_atRelief,Number_Trials,1,Ambient_Temp,Act_rel,Molar_Vapor_Cs,Molar_HtVap,VP_A,VP_B,VP_C,BJ54,BJ55,BJ56,BJ57,BJ58,Alpha_1*EXP(dAlpha_1*(BJ35-T)),Alpha_2*EXP(dAlpha_2*(BJ35-T)),Alpha_3*EXP(dAlpha_3*(BJ35-T)),Alpha_4*EXP(dAlpha_4*(BJ35-T)),Alpha_5*EXP(dAlpha_5*(BJ35-T)),Act_1,Act_2,Act_3,Act_4,Act_5,Rel_1*EXP(dRel_1*(BJ35-T)),Rel_2*EXP(dRel_2*(BJ35-T)),Rel_3*EXP(dRel_3*(BJ35-T)),Rel_4*EXP(dRel_4*(BJ35-T)),Rel_5*EXP(dRel_5*(BJ35-T))),1)</f>
        <v>1</v>
      </c>
      <c r="BK59" s="83"/>
      <c r="BL59" s="1273">
        <f t="array" ref="BL59:BL65">IF(BL48&gt;0,MultiCompCndsOp(T_atRelief,Number_Trials,1,Ambient_Temp,Act_rel,Molar_Vapor_Cs,Molar_HtVap,VP_A,VP_B,VP_C,BL54,BL55,BL56,BL57,BL58,Alpha_1*EXP(dAlpha_1*(BL35-T)),Alpha_2*EXP(dAlpha_2*(BL35-T)),Alpha_3*EXP(dAlpha_3*(BL35-T)),Alpha_4*EXP(dAlpha_4*(BL35-T)),Alpha_5*EXP(dAlpha_5*(BL35-T)),Act_1,Act_2,Act_3,Act_4,Act_5,Rel_1*EXP(dRel_1*(BL35-T)),Rel_2*EXP(dRel_2*(BL35-T)),Rel_3*EXP(dRel_3*(BL35-T)),Rel_4*EXP(dRel_4*(BL35-T)),Rel_5*EXP(dRel_5*(BL35-T))),1)</f>
        <v>1</v>
      </c>
      <c r="BM59" s="83"/>
      <c r="BN59" s="1273">
        <f t="array" ref="BN59:BN65">IF(BN48&gt;0,MultiCompCndsOp(T_atRelief,Number_Trials,1,Ambient_Temp,Act_rel,Molar_Vapor_Cs,Molar_HtVap,VP_A,VP_B,VP_C,BN54,BN55,BN56,BN57,BN58,Alpha_1*EXP(dAlpha_1*(BN35-T)),Alpha_2*EXP(dAlpha_2*(BN35-T)),Alpha_3*EXP(dAlpha_3*(BN35-T)),Alpha_4*EXP(dAlpha_4*(BN35-T)),Alpha_5*EXP(dAlpha_5*(BN35-T)),Act_1,Act_2,Act_3,Act_4,Act_5,Rel_1*EXP(dRel_1*(BN35-T)),Rel_2*EXP(dRel_2*(BN35-T)),Rel_3*EXP(dRel_3*(BN35-T)),Rel_4*EXP(dRel_4*(BN35-T)),Rel_5*EXP(dRel_5*(BN35-T))),1)</f>
        <v>1</v>
      </c>
      <c r="BO59" s="83"/>
      <c r="BP59" s="113"/>
      <c r="BQ59" s="83"/>
      <c r="BR59" s="81"/>
      <c r="BS59" s="1278" t="str">
        <f t="shared" si="46"/>
        <v/>
      </c>
      <c r="BT59" s="237"/>
      <c r="BU59" s="1268">
        <v>0</v>
      </c>
      <c r="BV59" s="237"/>
      <c r="BW59" s="1268">
        <v>0</v>
      </c>
      <c r="BX59" s="237"/>
      <c r="BY59" s="1268">
        <v>0</v>
      </c>
      <c r="BZ59" s="237"/>
      <c r="CA59" s="1268">
        <v>0</v>
      </c>
      <c r="CB59" s="237"/>
      <c r="CC59" s="1268">
        <v>0</v>
      </c>
      <c r="CD59" s="237"/>
      <c r="CE59" s="85"/>
      <c r="CF59" s="81"/>
      <c r="CG59" s="2"/>
      <c r="CH59" s="512" t="s">
        <v>5117</v>
      </c>
      <c r="CI59" s="83"/>
      <c r="CJ59" s="3000">
        <f>LN(IF(CJ$56&lt;CJ$27,IF(LOG(CJ$55)&lt;-0.66,8.91,IF(LOG(CJ$55)&lt;0.32,10^(1.19+0.36*LOG(CJ$55)),10^(1.38-0.26*LOG(CJ$55))))*(CJ16/CJ$28)^0.333,1))</f>
        <v>0</v>
      </c>
      <c r="CK59" s="83"/>
      <c r="CL59" s="23"/>
      <c r="CM59" s="83"/>
      <c r="CO59" s="393"/>
      <c r="CP59" s="393"/>
      <c r="CQ59" s="1726"/>
    </row>
    <row r="60" spans="1:100" ht="15" customHeight="1" x14ac:dyDescent="0.25">
      <c r="A60" s="2"/>
      <c r="B60" s="1272" t="str">
        <f t="shared" si="44"/>
        <v/>
      </c>
      <c r="C60" s="83"/>
      <c r="D60" s="1268">
        <v>0</v>
      </c>
      <c r="E60" s="83"/>
      <c r="F60" s="1268">
        <v>0</v>
      </c>
      <c r="G60" s="83"/>
      <c r="H60" s="1268">
        <v>0</v>
      </c>
      <c r="I60" s="83"/>
      <c r="J60" s="1268">
        <v>0</v>
      </c>
      <c r="K60" s="83"/>
      <c r="L60" s="1268">
        <v>0</v>
      </c>
      <c r="M60" s="83"/>
      <c r="N60" s="1268">
        <v>0</v>
      </c>
      <c r="O60" s="83"/>
      <c r="P60" s="1268">
        <v>0</v>
      </c>
      <c r="Q60" s="83"/>
      <c r="R60" s="1268">
        <v>0</v>
      </c>
      <c r="S60" s="83"/>
      <c r="T60" s="1268">
        <v>0</v>
      </c>
      <c r="U60" s="83"/>
      <c r="V60" s="1268">
        <v>0</v>
      </c>
      <c r="W60" s="83"/>
      <c r="X60" s="1268">
        <v>0</v>
      </c>
      <c r="Y60" s="83"/>
      <c r="Z60" s="85"/>
      <c r="AA60" s="83"/>
      <c r="AB60" s="81"/>
      <c r="AC60" s="1272" t="str">
        <f t="shared" si="45"/>
        <v/>
      </c>
      <c r="AD60" s="81"/>
      <c r="AE60" s="1268">
        <v>0</v>
      </c>
      <c r="AF60" s="81"/>
      <c r="AG60" s="1268">
        <v>0</v>
      </c>
      <c r="AH60" s="81"/>
      <c r="AI60" s="1268">
        <v>0</v>
      </c>
      <c r="AJ60" s="81"/>
      <c r="AK60" s="1268">
        <v>0</v>
      </c>
      <c r="AL60" s="81"/>
      <c r="AM60" s="1268">
        <v>0</v>
      </c>
      <c r="AN60" s="81"/>
      <c r="AO60" s="1268">
        <v>0</v>
      </c>
      <c r="AP60" s="81"/>
      <c r="AQ60" s="85"/>
      <c r="AR60" s="81"/>
      <c r="AS60" s="83"/>
      <c r="AT60" s="3098" t="str">
        <f>B77</f>
        <v/>
      </c>
      <c r="AU60" s="83"/>
      <c r="AV60" s="1279">
        <v>1</v>
      </c>
      <c r="AW60" s="83"/>
      <c r="AX60" s="1279">
        <v>1</v>
      </c>
      <c r="AY60" s="83"/>
      <c r="AZ60" s="1279">
        <v>1</v>
      </c>
      <c r="BA60" s="83"/>
      <c r="BB60" s="1279">
        <v>1</v>
      </c>
      <c r="BC60" s="83"/>
      <c r="BD60" s="1279">
        <v>1</v>
      </c>
      <c r="BE60" s="83"/>
      <c r="BF60" s="1279">
        <v>1</v>
      </c>
      <c r="BG60" s="83"/>
      <c r="BH60" s="1279">
        <v>1</v>
      </c>
      <c r="BI60" s="83"/>
      <c r="BJ60" s="1279">
        <v>1</v>
      </c>
      <c r="BK60" s="83"/>
      <c r="BL60" s="1279">
        <v>1</v>
      </c>
      <c r="BM60" s="83"/>
      <c r="BN60" s="1279">
        <v>1</v>
      </c>
      <c r="BO60" s="83"/>
      <c r="BP60" s="84"/>
      <c r="BQ60" s="83"/>
      <c r="BR60" s="81"/>
      <c r="BS60" s="1278" t="str">
        <f t="shared" si="46"/>
        <v/>
      </c>
      <c r="BT60" s="237"/>
      <c r="BU60" s="1268">
        <v>0</v>
      </c>
      <c r="BV60" s="237"/>
      <c r="BW60" s="1268">
        <v>0</v>
      </c>
      <c r="BX60" s="237"/>
      <c r="BY60" s="1268">
        <v>0</v>
      </c>
      <c r="BZ60" s="237"/>
      <c r="CA60" s="1268">
        <v>0</v>
      </c>
      <c r="CB60" s="237"/>
      <c r="CC60" s="1268">
        <v>0</v>
      </c>
      <c r="CD60" s="237"/>
      <c r="CE60" s="85"/>
      <c r="CF60" s="81"/>
      <c r="CG60" s="2"/>
      <c r="CH60" s="512" t="s">
        <v>5118</v>
      </c>
      <c r="CI60" s="83"/>
      <c r="CJ60" s="3000">
        <f>LN(IF(CJ$56&lt;CJ$27,IF(LOG(CJ$55)&lt;-0.71,14.1,IF(LOG(CJ$55)&lt;0.37,10^(1.39+0.34*LOG(CJ$55)),10^(1.66-0.38*LOG(CJ$55))))*(CJ16/CJ$28)^0.333,1))</f>
        <v>0</v>
      </c>
      <c r="CK60" s="83"/>
      <c r="CL60" s="23"/>
      <c r="CM60" s="83"/>
      <c r="CO60" s="393"/>
      <c r="CP60" s="393"/>
      <c r="CQ60" s="1726"/>
    </row>
    <row r="61" spans="1:100" ht="15" customHeight="1" thickBot="1" x14ac:dyDescent="0.3">
      <c r="A61" s="2"/>
      <c r="B61" s="1272" t="str">
        <f t="shared" si="44"/>
        <v/>
      </c>
      <c r="C61" s="83"/>
      <c r="D61" s="1270">
        <v>0</v>
      </c>
      <c r="E61" s="83"/>
      <c r="F61" s="1270">
        <v>0</v>
      </c>
      <c r="G61" s="83"/>
      <c r="H61" s="1270">
        <v>0</v>
      </c>
      <c r="I61" s="83"/>
      <c r="J61" s="1270">
        <v>0</v>
      </c>
      <c r="K61" s="83"/>
      <c r="L61" s="1270">
        <v>0</v>
      </c>
      <c r="M61" s="83"/>
      <c r="N61" s="1270">
        <v>0</v>
      </c>
      <c r="O61" s="83"/>
      <c r="P61" s="1270">
        <v>0</v>
      </c>
      <c r="Q61" s="83"/>
      <c r="R61" s="1270">
        <v>0</v>
      </c>
      <c r="S61" s="83"/>
      <c r="T61" s="1270">
        <v>0</v>
      </c>
      <c r="U61" s="83"/>
      <c r="V61" s="1270">
        <v>0</v>
      </c>
      <c r="W61" s="83"/>
      <c r="X61" s="1270">
        <v>0</v>
      </c>
      <c r="Y61" s="83"/>
      <c r="Z61" s="85"/>
      <c r="AA61" s="83"/>
      <c r="AB61" s="81"/>
      <c r="AC61" s="3097" t="str">
        <f t="shared" si="45"/>
        <v/>
      </c>
      <c r="AD61" s="81"/>
      <c r="AE61" s="1270">
        <v>0</v>
      </c>
      <c r="AF61" s="81"/>
      <c r="AG61" s="1270">
        <v>0</v>
      </c>
      <c r="AH61" s="81"/>
      <c r="AI61" s="1270">
        <v>0</v>
      </c>
      <c r="AJ61" s="81"/>
      <c r="AK61" s="1270">
        <v>0</v>
      </c>
      <c r="AL61" s="81"/>
      <c r="AM61" s="1270">
        <v>0</v>
      </c>
      <c r="AN61" s="81"/>
      <c r="AO61" s="1270">
        <v>0</v>
      </c>
      <c r="AP61" s="81"/>
      <c r="AQ61" s="25"/>
      <c r="AR61" s="81"/>
      <c r="AS61" s="83"/>
      <c r="AT61" s="3098" t="str">
        <f t="shared" ref="AT61:AT64" si="47">B78</f>
        <v/>
      </c>
      <c r="AU61" s="83"/>
      <c r="AV61" s="1279">
        <v>1</v>
      </c>
      <c r="AW61" s="83"/>
      <c r="AX61" s="1279">
        <v>1</v>
      </c>
      <c r="AY61" s="83"/>
      <c r="AZ61" s="1279">
        <v>1</v>
      </c>
      <c r="BA61" s="83"/>
      <c r="BB61" s="1279">
        <v>1</v>
      </c>
      <c r="BC61" s="83"/>
      <c r="BD61" s="1279">
        <v>1</v>
      </c>
      <c r="BE61" s="83"/>
      <c r="BF61" s="1279">
        <v>1</v>
      </c>
      <c r="BG61" s="83"/>
      <c r="BH61" s="1279">
        <v>1</v>
      </c>
      <c r="BI61" s="83"/>
      <c r="BJ61" s="1279">
        <v>1</v>
      </c>
      <c r="BK61" s="83"/>
      <c r="BL61" s="1279">
        <v>1</v>
      </c>
      <c r="BM61" s="83"/>
      <c r="BN61" s="1279">
        <v>1</v>
      </c>
      <c r="BO61" s="83"/>
      <c r="BP61" s="23"/>
      <c r="BQ61" s="83"/>
      <c r="BR61" s="81"/>
      <c r="BS61" s="1278" t="str">
        <f t="shared" si="46"/>
        <v/>
      </c>
      <c r="BT61" s="237"/>
      <c r="BU61" s="1270">
        <v>0</v>
      </c>
      <c r="BV61" s="237"/>
      <c r="BW61" s="1270">
        <v>0</v>
      </c>
      <c r="BX61" s="237"/>
      <c r="BY61" s="1270">
        <v>0</v>
      </c>
      <c r="BZ61" s="237"/>
      <c r="CA61" s="1270">
        <v>0</v>
      </c>
      <c r="CB61" s="237"/>
      <c r="CC61" s="1270">
        <v>0</v>
      </c>
      <c r="CD61" s="237"/>
      <c r="CE61" s="25"/>
      <c r="CF61" s="81"/>
      <c r="CG61" s="2"/>
      <c r="CH61" s="512" t="s">
        <v>5119</v>
      </c>
      <c r="CI61" s="83"/>
      <c r="CJ61" s="3000">
        <f>LN(IF(CJ$56&lt;CJ$27,IF(LOG(CJ$55)&lt;-0.52,30.2,IF(LOG(CJ$55)&lt;0.24,10^(1.62+0.26*LOG(CJ$55)),10^(1.75-0.3*LOG(CJ$55))))*(CJ16/CJ$28)^0.333,1))</f>
        <v>0</v>
      </c>
      <c r="CK61" s="83"/>
      <c r="CL61" s="23"/>
      <c r="CM61" s="83"/>
      <c r="CO61" s="393"/>
      <c r="CP61" s="393"/>
      <c r="CQ61" s="1726"/>
    </row>
    <row r="62" spans="1:100" ht="15" customHeight="1" thickBot="1" x14ac:dyDescent="0.3">
      <c r="A62" s="2"/>
      <c r="B62" s="2407" t="s">
        <v>4630</v>
      </c>
      <c r="C62" s="83"/>
      <c r="D62" s="2411">
        <v>0</v>
      </c>
      <c r="E62" s="1690"/>
      <c r="F62" s="2411">
        <v>0</v>
      </c>
      <c r="G62" s="1690"/>
      <c r="H62" s="2411">
        <v>0</v>
      </c>
      <c r="I62" s="1690"/>
      <c r="J62" s="2411">
        <v>0</v>
      </c>
      <c r="K62" s="1690"/>
      <c r="L62" s="2411">
        <v>0</v>
      </c>
      <c r="M62" s="1690"/>
      <c r="N62" s="2411">
        <v>0</v>
      </c>
      <c r="O62" s="1690"/>
      <c r="P62" s="2411">
        <v>0</v>
      </c>
      <c r="Q62" s="1690"/>
      <c r="R62" s="2411">
        <v>0</v>
      </c>
      <c r="S62" s="1690"/>
      <c r="T62" s="2411">
        <v>0</v>
      </c>
      <c r="U62" s="1690"/>
      <c r="V62" s="2411">
        <v>0</v>
      </c>
      <c r="W62" s="1690"/>
      <c r="X62" s="2411">
        <v>0</v>
      </c>
      <c r="Y62" s="83"/>
      <c r="Z62" s="85"/>
      <c r="AA62" s="83"/>
      <c r="AB62" s="81"/>
      <c r="AC62" s="2407" t="s">
        <v>4630</v>
      </c>
      <c r="AD62" s="81"/>
      <c r="AE62" s="2411">
        <v>0</v>
      </c>
      <c r="AF62" s="2413"/>
      <c r="AG62" s="2411">
        <v>0</v>
      </c>
      <c r="AH62" s="2413"/>
      <c r="AI62" s="2411">
        <v>0</v>
      </c>
      <c r="AJ62" s="2413"/>
      <c r="AK62" s="2411">
        <v>0</v>
      </c>
      <c r="AL62" s="2413"/>
      <c r="AM62" s="2411">
        <v>0</v>
      </c>
      <c r="AN62" s="2413"/>
      <c r="AO62" s="2411">
        <v>0</v>
      </c>
      <c r="AP62" s="81"/>
      <c r="AQ62" s="85"/>
      <c r="AR62" s="81"/>
      <c r="AS62" s="83"/>
      <c r="AT62" s="3098" t="str">
        <f t="shared" si="47"/>
        <v/>
      </c>
      <c r="AU62" s="83"/>
      <c r="AV62" s="1279">
        <v>1</v>
      </c>
      <c r="AW62" s="83"/>
      <c r="AX62" s="1279">
        <v>1</v>
      </c>
      <c r="AY62" s="83"/>
      <c r="AZ62" s="1279">
        <v>1</v>
      </c>
      <c r="BA62" s="83"/>
      <c r="BB62" s="1279">
        <v>1</v>
      </c>
      <c r="BC62" s="83"/>
      <c r="BD62" s="1279">
        <v>1</v>
      </c>
      <c r="BE62" s="83"/>
      <c r="BF62" s="1279">
        <v>1</v>
      </c>
      <c r="BG62" s="83"/>
      <c r="BH62" s="1279">
        <v>1</v>
      </c>
      <c r="BI62" s="83"/>
      <c r="BJ62" s="1279">
        <v>1</v>
      </c>
      <c r="BK62" s="83"/>
      <c r="BL62" s="1279">
        <v>1</v>
      </c>
      <c r="BM62" s="83"/>
      <c r="BN62" s="1279">
        <v>1</v>
      </c>
      <c r="BO62" s="83"/>
      <c r="BP62" s="23"/>
      <c r="BQ62" s="83"/>
      <c r="BR62" s="81"/>
      <c r="BS62" s="2407" t="s">
        <v>4630</v>
      </c>
      <c r="BT62" s="237"/>
      <c r="BU62" s="2411">
        <v>0</v>
      </c>
      <c r="BV62" s="2416"/>
      <c r="BW62" s="2411">
        <v>0</v>
      </c>
      <c r="BX62" s="2416"/>
      <c r="BY62" s="2411">
        <v>0</v>
      </c>
      <c r="BZ62" s="2416"/>
      <c r="CA62" s="2411">
        <v>0</v>
      </c>
      <c r="CB62" s="2416"/>
      <c r="CC62" s="2411">
        <v>0</v>
      </c>
      <c r="CD62" s="237"/>
      <c r="CE62" s="85"/>
      <c r="CF62" s="81"/>
      <c r="CG62" s="2"/>
      <c r="CH62" s="512" t="s">
        <v>5120</v>
      </c>
      <c r="CI62" s="83"/>
      <c r="CJ62" s="3000">
        <f>LN(IF(CJ$56&lt;CJ$27,IF(LOG(CJ$55)&lt;0.27,67.6,10^(1.92-0.32*LOG(CJ$55)))*(CJ16/CJ$28)^0.333,1))</f>
        <v>0</v>
      </c>
      <c r="CK62" s="83"/>
      <c r="CL62" s="23"/>
      <c r="CM62" s="83"/>
      <c r="CO62" s="2425"/>
      <c r="CP62" s="2425"/>
      <c r="CQ62" s="2422"/>
    </row>
    <row r="63" spans="1:100" ht="15" customHeight="1" thickBot="1" x14ac:dyDescent="0.3">
      <c r="A63" s="2"/>
      <c r="B63" s="92" t="s">
        <v>2201</v>
      </c>
      <c r="C63" s="83"/>
      <c r="D63" s="1277">
        <f>SUM(D64:D68)</f>
        <v>0</v>
      </c>
      <c r="E63" s="83"/>
      <c r="F63" s="1277">
        <f>SUM(F64:F68)</f>
        <v>0</v>
      </c>
      <c r="G63" s="83"/>
      <c r="H63" s="1277">
        <f>SUM(H64:H68)</f>
        <v>0</v>
      </c>
      <c r="I63" s="83"/>
      <c r="J63" s="1277">
        <f>SUM(J64:J68)</f>
        <v>0</v>
      </c>
      <c r="K63" s="83"/>
      <c r="L63" s="1277">
        <f>SUM(L64:L68)</f>
        <v>0</v>
      </c>
      <c r="M63" s="83"/>
      <c r="N63" s="1277">
        <f>SUM(N64:N68)</f>
        <v>0</v>
      </c>
      <c r="O63" s="83"/>
      <c r="P63" s="1277">
        <f>SUM(P64:P68)</f>
        <v>0</v>
      </c>
      <c r="Q63" s="83"/>
      <c r="R63" s="997">
        <f>SUM(R64:R68)</f>
        <v>0</v>
      </c>
      <c r="S63" s="83"/>
      <c r="T63" s="1277">
        <f>SUM(T64:T68)</f>
        <v>0</v>
      </c>
      <c r="U63" s="83"/>
      <c r="V63" s="1277">
        <f>SUM(V64:V68)</f>
        <v>0</v>
      </c>
      <c r="W63" s="83"/>
      <c r="X63" s="1277">
        <f>SUM(X64:X68)</f>
        <v>0</v>
      </c>
      <c r="Y63" s="83"/>
      <c r="Z63" s="85" t="s">
        <v>1497</v>
      </c>
      <c r="AA63" s="83"/>
      <c r="AB63" s="81"/>
      <c r="AC63" s="850" t="s">
        <v>2201</v>
      </c>
      <c r="AD63" s="81"/>
      <c r="AE63" s="1277">
        <f>SUM(AE64:AE68)</f>
        <v>0</v>
      </c>
      <c r="AF63" s="81"/>
      <c r="AG63" s="1277">
        <f>SUM(AG64:AG68)</f>
        <v>0</v>
      </c>
      <c r="AH63" s="81"/>
      <c r="AI63" s="1277">
        <f>SUM(AI64:AI68)</f>
        <v>0</v>
      </c>
      <c r="AJ63" s="81"/>
      <c r="AK63" s="1277">
        <f>SUM(AK64:AK68)</f>
        <v>0</v>
      </c>
      <c r="AL63" s="81"/>
      <c r="AM63" s="1277">
        <f>SUM(AM64:AM68)</f>
        <v>0</v>
      </c>
      <c r="AN63" s="81"/>
      <c r="AO63" s="1277">
        <f>SUM(AO64:AO68)</f>
        <v>0</v>
      </c>
      <c r="AP63" s="81"/>
      <c r="AQ63" s="92" t="s">
        <v>1497</v>
      </c>
      <c r="AR63" s="81"/>
      <c r="AS63" s="83"/>
      <c r="AT63" s="3098" t="str">
        <f t="shared" si="47"/>
        <v/>
      </c>
      <c r="AU63" s="83"/>
      <c r="AV63" s="1279">
        <v>1</v>
      </c>
      <c r="AW63" s="83"/>
      <c r="AX63" s="1279">
        <v>1</v>
      </c>
      <c r="AY63" s="83"/>
      <c r="AZ63" s="1279">
        <v>1</v>
      </c>
      <c r="BA63" s="83"/>
      <c r="BB63" s="1279">
        <v>1</v>
      </c>
      <c r="BC63" s="83"/>
      <c r="BD63" s="1279">
        <v>1</v>
      </c>
      <c r="BE63" s="83"/>
      <c r="BF63" s="1279">
        <v>1</v>
      </c>
      <c r="BG63" s="83"/>
      <c r="BH63" s="1279">
        <v>1</v>
      </c>
      <c r="BI63" s="83"/>
      <c r="BJ63" s="1279">
        <v>1</v>
      </c>
      <c r="BK63" s="83"/>
      <c r="BL63" s="1279">
        <v>1</v>
      </c>
      <c r="BM63" s="83"/>
      <c r="BN63" s="1279">
        <v>1</v>
      </c>
      <c r="BO63" s="83"/>
      <c r="BP63" s="23"/>
      <c r="BQ63" s="83"/>
      <c r="BR63" s="81"/>
      <c r="BS63" s="92" t="s">
        <v>2201</v>
      </c>
      <c r="BT63" s="237"/>
      <c r="BU63" s="997">
        <f>SUM(BU64:BU68)</f>
        <v>0</v>
      </c>
      <c r="BV63" s="237"/>
      <c r="BW63" s="997">
        <f>SUM(BW64:BW68)</f>
        <v>0</v>
      </c>
      <c r="BX63" s="237"/>
      <c r="BY63" s="997">
        <f>SUM(BY64:BY68)</f>
        <v>0</v>
      </c>
      <c r="BZ63" s="237"/>
      <c r="CA63" s="997">
        <f>SUM(CA64:CA68)</f>
        <v>0</v>
      </c>
      <c r="CB63" s="237"/>
      <c r="CC63" s="997">
        <f>SUM(CC64:CC68)</f>
        <v>0</v>
      </c>
      <c r="CD63" s="237"/>
      <c r="CE63" s="92" t="s">
        <v>1497</v>
      </c>
      <c r="CF63" s="81"/>
      <c r="CG63" s="2"/>
      <c r="CH63" s="512" t="s">
        <v>5122</v>
      </c>
      <c r="CI63" s="83"/>
      <c r="CJ63" s="3000">
        <f>LN(IF(CJ$56&lt;CJ$27,IF(LOG(CJ$55)&lt;-0.1,118.9,10^(2.05-0.27*LOG(CJ$55)))*(CJ16/CJ$28)^0.333,1))</f>
        <v>0</v>
      </c>
      <c r="CK63" s="83"/>
      <c r="CL63" s="23"/>
      <c r="CM63" s="83"/>
    </row>
    <row r="64" spans="1:100" ht="15" customHeight="1" thickBot="1" x14ac:dyDescent="0.3">
      <c r="A64" s="2"/>
      <c r="B64" s="512" t="str">
        <f>B17</f>
        <v/>
      </c>
      <c r="C64" s="83"/>
      <c r="D64" s="1275">
        <f>D57*D46</f>
        <v>0</v>
      </c>
      <c r="E64" s="83"/>
      <c r="F64" s="1275">
        <f>F57*F46</f>
        <v>0</v>
      </c>
      <c r="G64" s="83"/>
      <c r="H64" s="1275">
        <f>H57*H46</f>
        <v>0</v>
      </c>
      <c r="I64" s="83"/>
      <c r="J64" s="1275">
        <f>J57*J46</f>
        <v>0</v>
      </c>
      <c r="K64" s="83"/>
      <c r="L64" s="1275">
        <f>L57*L46</f>
        <v>0</v>
      </c>
      <c r="M64" s="83"/>
      <c r="N64" s="1275">
        <f>N57*N46</f>
        <v>0</v>
      </c>
      <c r="O64" s="83"/>
      <c r="P64" s="1275">
        <f>P57*P46</f>
        <v>0</v>
      </c>
      <c r="Q64" s="83"/>
      <c r="R64" s="1285">
        <f>R57*R46</f>
        <v>0</v>
      </c>
      <c r="S64" s="83"/>
      <c r="T64" s="1275">
        <f>T57*T46</f>
        <v>0</v>
      </c>
      <c r="U64" s="83"/>
      <c r="V64" s="1275">
        <f>V57*V46</f>
        <v>0</v>
      </c>
      <c r="W64" s="83"/>
      <c r="X64" s="1275">
        <f>X57*X46</f>
        <v>0</v>
      </c>
      <c r="Y64" s="83"/>
      <c r="Z64" s="85" t="s">
        <v>1497</v>
      </c>
      <c r="AA64" s="83"/>
      <c r="AB64" s="81"/>
      <c r="AC64" s="614" t="str">
        <f>B64</f>
        <v/>
      </c>
      <c r="AD64" s="81"/>
      <c r="AE64" s="1275">
        <f>AE57*AE46</f>
        <v>0</v>
      </c>
      <c r="AF64" s="81"/>
      <c r="AG64" s="1275">
        <f>AG57*AG46</f>
        <v>0</v>
      </c>
      <c r="AH64" s="81"/>
      <c r="AI64" s="1275">
        <f>AI57*AI46</f>
        <v>0</v>
      </c>
      <c r="AJ64" s="81"/>
      <c r="AK64" s="1275">
        <f>AK57*AK46</f>
        <v>0</v>
      </c>
      <c r="AL64" s="81"/>
      <c r="AM64" s="1275">
        <f>AM57*AM46</f>
        <v>0</v>
      </c>
      <c r="AN64" s="81"/>
      <c r="AO64" s="1285">
        <f>AO57*AO46</f>
        <v>0</v>
      </c>
      <c r="AP64" s="81"/>
      <c r="AQ64" s="85" t="s">
        <v>1497</v>
      </c>
      <c r="AR64" s="81"/>
      <c r="AS64" s="83"/>
      <c r="AT64" s="3098" t="str">
        <f t="shared" si="47"/>
        <v/>
      </c>
      <c r="AU64" s="83"/>
      <c r="AV64" s="1280">
        <v>1</v>
      </c>
      <c r="AW64" s="83"/>
      <c r="AX64" s="1280">
        <v>1</v>
      </c>
      <c r="AY64" s="83"/>
      <c r="AZ64" s="1280">
        <v>1</v>
      </c>
      <c r="BA64" s="83"/>
      <c r="BB64" s="1280">
        <v>1</v>
      </c>
      <c r="BC64" s="83"/>
      <c r="BD64" s="1280">
        <v>1</v>
      </c>
      <c r="BE64" s="83"/>
      <c r="BF64" s="1280">
        <v>1</v>
      </c>
      <c r="BG64" s="83"/>
      <c r="BH64" s="1280">
        <v>1</v>
      </c>
      <c r="BI64" s="83"/>
      <c r="BJ64" s="1280">
        <v>1</v>
      </c>
      <c r="BK64" s="83"/>
      <c r="BL64" s="1280">
        <v>1</v>
      </c>
      <c r="BM64" s="83"/>
      <c r="BN64" s="1280">
        <v>1</v>
      </c>
      <c r="BO64" s="83"/>
      <c r="BP64" s="89"/>
      <c r="BQ64" s="83"/>
      <c r="BR64" s="81"/>
      <c r="BS64" s="846" t="str">
        <f>B64</f>
        <v/>
      </c>
      <c r="BT64" s="237"/>
      <c r="BU64" s="1285">
        <f>BU57*BU46</f>
        <v>0</v>
      </c>
      <c r="BV64" s="237"/>
      <c r="BW64" s="1285">
        <f>BW57*BW46</f>
        <v>0</v>
      </c>
      <c r="BX64" s="237"/>
      <c r="BY64" s="1285">
        <f>BY57*BY46</f>
        <v>0</v>
      </c>
      <c r="BZ64" s="237"/>
      <c r="CA64" s="1285">
        <f>CA57*CA46</f>
        <v>0</v>
      </c>
      <c r="CB64" s="237"/>
      <c r="CC64" s="1285">
        <f>CC57*CC46</f>
        <v>0</v>
      </c>
      <c r="CD64" s="237"/>
      <c r="CE64" s="85" t="s">
        <v>1497</v>
      </c>
      <c r="CF64" s="81"/>
      <c r="CG64" s="2"/>
      <c r="CH64" s="2977" t="s">
        <v>5051</v>
      </c>
      <c r="CI64" s="83"/>
      <c r="CJ64" s="1230">
        <f>EXP(INDEX(LINEST($CJ$277:$CJ$283,CJ57:CJ63),2))*((Ambient_Temp+273)/(T+273))*Roughness_A</f>
        <v>5.4578754578754546E-3</v>
      </c>
      <c r="CK64" s="83"/>
      <c r="CL64" s="23"/>
      <c r="CM64" s="83"/>
    </row>
    <row r="65" spans="1:91" ht="15" customHeight="1" thickBot="1" x14ac:dyDescent="0.3">
      <c r="A65" s="2"/>
      <c r="B65" s="512" t="str">
        <f t="shared" ref="B65:B68" si="48">B18</f>
        <v/>
      </c>
      <c r="C65" s="83"/>
      <c r="D65" s="1275">
        <f>D58*D47</f>
        <v>0</v>
      </c>
      <c r="E65" s="83"/>
      <c r="F65" s="1275">
        <f>F58*F47</f>
        <v>0</v>
      </c>
      <c r="G65" s="83"/>
      <c r="H65" s="1275">
        <f>H58*H47</f>
        <v>0</v>
      </c>
      <c r="I65" s="83"/>
      <c r="J65" s="1275">
        <f>J58*J47</f>
        <v>0</v>
      </c>
      <c r="K65" s="83"/>
      <c r="L65" s="1275">
        <f>L58*L47</f>
        <v>0</v>
      </c>
      <c r="M65" s="83"/>
      <c r="N65" s="1275">
        <f>N58*N47</f>
        <v>0</v>
      </c>
      <c r="O65" s="83"/>
      <c r="P65" s="1275">
        <f>P58*P47</f>
        <v>0</v>
      </c>
      <c r="Q65" s="83"/>
      <c r="R65" s="1285">
        <f>R58*R47</f>
        <v>0</v>
      </c>
      <c r="S65" s="83"/>
      <c r="T65" s="1275">
        <f>T58*T47</f>
        <v>0</v>
      </c>
      <c r="U65" s="83"/>
      <c r="V65" s="1275">
        <f>V58*V47</f>
        <v>0</v>
      </c>
      <c r="W65" s="83"/>
      <c r="X65" s="1275">
        <f>X58*X47</f>
        <v>0</v>
      </c>
      <c r="Y65" s="83"/>
      <c r="Z65" s="85" t="s">
        <v>1497</v>
      </c>
      <c r="AA65" s="83"/>
      <c r="AB65" s="81"/>
      <c r="AC65" s="512" t="str">
        <f t="shared" ref="AC65:AC68" si="49">B65</f>
        <v/>
      </c>
      <c r="AD65" s="81"/>
      <c r="AE65" s="1275">
        <f>AE58*AE47</f>
        <v>0</v>
      </c>
      <c r="AF65" s="81"/>
      <c r="AG65" s="1275">
        <f>AG58*AG47</f>
        <v>0</v>
      </c>
      <c r="AH65" s="81"/>
      <c r="AI65" s="1275">
        <f>AI58*AI47</f>
        <v>0</v>
      </c>
      <c r="AJ65" s="81"/>
      <c r="AK65" s="1275">
        <f>AK58*AK47</f>
        <v>0</v>
      </c>
      <c r="AL65" s="81"/>
      <c r="AM65" s="1275">
        <f>AM58*AM47</f>
        <v>0</v>
      </c>
      <c r="AN65" s="81"/>
      <c r="AO65" s="1285">
        <f>AO58*AO47</f>
        <v>0</v>
      </c>
      <c r="AP65" s="81"/>
      <c r="AQ65" s="85" t="s">
        <v>1497</v>
      </c>
      <c r="AR65" s="81"/>
      <c r="AS65" s="83"/>
      <c r="AT65" s="2407" t="s">
        <v>4630</v>
      </c>
      <c r="AU65" s="83"/>
      <c r="AV65" s="2411">
        <v>1</v>
      </c>
      <c r="AW65" s="1690"/>
      <c r="AX65" s="2411">
        <v>1</v>
      </c>
      <c r="AY65" s="1690"/>
      <c r="AZ65" s="2411">
        <v>1</v>
      </c>
      <c r="BA65" s="1690"/>
      <c r="BB65" s="2411">
        <v>1</v>
      </c>
      <c r="BC65" s="1690"/>
      <c r="BD65" s="2411">
        <v>1</v>
      </c>
      <c r="BE65" s="1690"/>
      <c r="BF65" s="2411">
        <v>1</v>
      </c>
      <c r="BG65" s="1690"/>
      <c r="BH65" s="2411">
        <v>1</v>
      </c>
      <c r="BI65" s="1690"/>
      <c r="BJ65" s="2411">
        <v>1</v>
      </c>
      <c r="BK65" s="1690"/>
      <c r="BL65" s="2411">
        <v>1</v>
      </c>
      <c r="BM65" s="1690"/>
      <c r="BN65" s="2411">
        <v>1</v>
      </c>
      <c r="BO65" s="83"/>
      <c r="BP65" s="89"/>
      <c r="BQ65" s="83"/>
      <c r="BR65" s="81"/>
      <c r="BS65" s="846" t="str">
        <f t="shared" ref="BS65:BS68" si="50">B65</f>
        <v/>
      </c>
      <c r="BT65" s="237"/>
      <c r="BU65" s="1285">
        <f>BU58*BU47</f>
        <v>0</v>
      </c>
      <c r="BV65" s="237"/>
      <c r="BW65" s="1285">
        <f>BW58*BW47</f>
        <v>0</v>
      </c>
      <c r="BX65" s="237"/>
      <c r="BY65" s="1285">
        <f>BY58*BY47</f>
        <v>0</v>
      </c>
      <c r="BZ65" s="237"/>
      <c r="CA65" s="1285">
        <f>CA58*CA47</f>
        <v>0</v>
      </c>
      <c r="CB65" s="237"/>
      <c r="CC65" s="1285">
        <f>CC58*CC47</f>
        <v>0</v>
      </c>
      <c r="CD65" s="237"/>
      <c r="CE65" s="85" t="s">
        <v>1497</v>
      </c>
      <c r="CF65" s="81"/>
      <c r="CG65" s="2"/>
      <c r="CH65" s="2977" t="s">
        <v>5052</v>
      </c>
      <c r="CI65" s="83"/>
      <c r="CJ65" s="1230">
        <f>INDEX(LINEST($CJ$277:$CJ$283,CJ57:CJ63),1)+Roughness_B</f>
        <v>0</v>
      </c>
      <c r="CK65" s="83"/>
      <c r="CL65" s="23"/>
      <c r="CM65" s="83"/>
    </row>
    <row r="66" spans="1:91" ht="15" customHeight="1" thickBot="1" x14ac:dyDescent="0.3">
      <c r="A66" s="2"/>
      <c r="B66" s="512" t="str">
        <f t="shared" si="48"/>
        <v/>
      </c>
      <c r="C66" s="83"/>
      <c r="D66" s="1275">
        <f>D59*D48</f>
        <v>0</v>
      </c>
      <c r="E66" s="83"/>
      <c r="F66" s="1275">
        <f>F59*F48</f>
        <v>0</v>
      </c>
      <c r="G66" s="83"/>
      <c r="H66" s="1275">
        <f>H59*H48</f>
        <v>0</v>
      </c>
      <c r="I66" s="83"/>
      <c r="J66" s="1275">
        <f>J59*J48</f>
        <v>0</v>
      </c>
      <c r="K66" s="83"/>
      <c r="L66" s="1275">
        <f>L59*L48</f>
        <v>0</v>
      </c>
      <c r="M66" s="83"/>
      <c r="N66" s="1275">
        <f>N59*N48</f>
        <v>0</v>
      </c>
      <c r="O66" s="83"/>
      <c r="P66" s="1275">
        <f>P59*P48</f>
        <v>0</v>
      </c>
      <c r="Q66" s="83"/>
      <c r="R66" s="1285">
        <f>R59*R48</f>
        <v>0</v>
      </c>
      <c r="S66" s="83"/>
      <c r="T66" s="1275">
        <f>T59*T48</f>
        <v>0</v>
      </c>
      <c r="U66" s="83"/>
      <c r="V66" s="1275">
        <f>V59*V48</f>
        <v>0</v>
      </c>
      <c r="W66" s="83"/>
      <c r="X66" s="1275">
        <f>X59*X48</f>
        <v>0</v>
      </c>
      <c r="Y66" s="83"/>
      <c r="Z66" s="85" t="s">
        <v>1497</v>
      </c>
      <c r="AA66" s="83"/>
      <c r="AB66" s="81"/>
      <c r="AC66" s="512" t="str">
        <f t="shared" si="49"/>
        <v/>
      </c>
      <c r="AD66" s="81"/>
      <c r="AE66" s="1275">
        <f>AE59*AE48</f>
        <v>0</v>
      </c>
      <c r="AF66" s="81"/>
      <c r="AG66" s="1275">
        <f>AG59*AG48</f>
        <v>0</v>
      </c>
      <c r="AH66" s="81"/>
      <c r="AI66" s="1275">
        <f>AI59*AI48</f>
        <v>0</v>
      </c>
      <c r="AJ66" s="81"/>
      <c r="AK66" s="1275">
        <f>AK59*AK48</f>
        <v>0</v>
      </c>
      <c r="AL66" s="81"/>
      <c r="AM66" s="1275">
        <f>AM59*AM48</f>
        <v>0</v>
      </c>
      <c r="AN66" s="81"/>
      <c r="AO66" s="1285">
        <f>AO59*AO48</f>
        <v>0</v>
      </c>
      <c r="AP66" s="81"/>
      <c r="AQ66" s="85" t="s">
        <v>1497</v>
      </c>
      <c r="AR66" s="81"/>
      <c r="AS66" s="83"/>
      <c r="AT66" s="85" t="s">
        <v>2785</v>
      </c>
      <c r="AU66" s="83"/>
      <c r="AV66" s="1703">
        <f>IF(Flam_1&gt;0,AV49,0)+IF(Flam_2&gt;0,AV50,0)+IF(Flam_3&gt;0,AV51,0)+IF(Flam_4&gt;0,AV52,0)+IF(Flam_5&gt;0,AV53,0)</f>
        <v>0</v>
      </c>
      <c r="AW66" s="83"/>
      <c r="AX66" s="1703">
        <f>IF(Flam_1&gt;0,AX49,0)+IF(Flam_2&gt;0,AX50,0)+IF(Flam_3&gt;0,AX51,0)+IF(Flam_4&gt;0,AX52,0)+IF(Flam_5&gt;0,AX53,0)</f>
        <v>0</v>
      </c>
      <c r="AY66" s="83"/>
      <c r="AZ66" s="1703">
        <f>IF(Flam_1&gt;0,AZ49,0)+IF(Flam_2&gt;0,AZ50,0)+IF(Flam_3&gt;0,AZ51,0)+IF(Flam_4&gt;0,AZ52,0)+IF(Flam_5&gt;0,AZ53,0)</f>
        <v>0</v>
      </c>
      <c r="BA66" s="83"/>
      <c r="BB66" s="1703">
        <f>IF(Flam_1&gt;0,BB49,0)+IF(Flam_2&gt;0,BB50,0)+IF(Flam_3&gt;0,BB51,0)+IF(Flam_4&gt;0,BB52,0)+IF(Flam_5&gt;0,BB53,0)</f>
        <v>0</v>
      </c>
      <c r="BC66" s="83"/>
      <c r="BD66" s="1703">
        <f>IF(Flam_1&gt;0,BD49,0)+IF(Flam_2&gt;0,BD50,0)+IF(Flam_3&gt;0,BD51,0)+IF(Flam_4&gt;0,BD52,0)+IF(Flam_5&gt;0,BD53,0)</f>
        <v>0</v>
      </c>
      <c r="BE66" s="83"/>
      <c r="BF66" s="1703">
        <f>IF(Flam_1&gt;0,BF49,0)+IF(Flam_2&gt;0,BF50,0)+IF(Flam_3&gt;0,BF51,0)+IF(Flam_4&gt;0,BF52,0)+IF(Flam_5&gt;0,BF53,0)</f>
        <v>0</v>
      </c>
      <c r="BG66" s="83"/>
      <c r="BH66" s="1703">
        <f>IF(Flam_1&gt;0,BH49,0)+IF(Flam_2&gt;0,BH50,0)+IF(Flam_3&gt;0,BH51,0)+IF(Flam_4&gt;0,BH52,0)+IF(Flam_5&gt;0,BH53,0)</f>
        <v>0</v>
      </c>
      <c r="BI66" s="83"/>
      <c r="BJ66" s="1703">
        <f>IF(Flam_1&gt;0,BJ49,0)+IF(Flam_2&gt;0,BJ50,0)+IF(Flam_3&gt;0,BJ51,0)+IF(Flam_4&gt;0,BJ52,0)+IF(Flam_5&gt;0,BJ53,0)</f>
        <v>0</v>
      </c>
      <c r="BK66" s="83"/>
      <c r="BL66" s="1703">
        <f>IF(Flam_1&gt;0,BL49,0)+IF(Flam_2&gt;0,BL50,0)+IF(Flam_3&gt;0,BL51,0)+IF(Flam_4&gt;0,BL52,0)+IF(Flam_5&gt;0,BL53,0)</f>
        <v>0</v>
      </c>
      <c r="BM66" s="83"/>
      <c r="BN66" s="1703">
        <f>IF(Flam_1&gt;0,BN49,0)+IF(Flam_2&gt;0,BN50,0)+IF(Flam_3&gt;0,BN51,0)+IF(Flam_4&gt;0,BN52,0)+IF(Flam_5&gt;0,BN53,0)</f>
        <v>0</v>
      </c>
      <c r="BO66" s="83"/>
      <c r="BP66" s="113" t="s">
        <v>1497</v>
      </c>
      <c r="BQ66" s="83"/>
      <c r="BR66" s="81"/>
      <c r="BS66" s="846" t="str">
        <f t="shared" si="50"/>
        <v/>
      </c>
      <c r="BT66" s="237"/>
      <c r="BU66" s="1285">
        <f>BU59*BU48</f>
        <v>0</v>
      </c>
      <c r="BV66" s="237"/>
      <c r="BW66" s="1285">
        <f>BW59*BW48</f>
        <v>0</v>
      </c>
      <c r="BX66" s="237"/>
      <c r="BY66" s="1285">
        <f>BY59*BY48</f>
        <v>0</v>
      </c>
      <c r="BZ66" s="237"/>
      <c r="CA66" s="1285">
        <f>CA59*CA48</f>
        <v>0</v>
      </c>
      <c r="CB66" s="237"/>
      <c r="CC66" s="1285">
        <f>CC59*CC48</f>
        <v>0</v>
      </c>
      <c r="CD66" s="237"/>
      <c r="CE66" s="85" t="s">
        <v>1497</v>
      </c>
      <c r="CF66" s="81"/>
      <c r="CG66" s="2"/>
      <c r="CH66" s="1691" t="s">
        <v>5067</v>
      </c>
      <c r="CI66" s="83"/>
      <c r="CJ66" s="2401">
        <f>IF(CJ56&lt;CJ$27,(CJ64/(CJ56/CJ$27))^(-1/CJ65),0)</f>
        <v>0</v>
      </c>
      <c r="CK66" s="83"/>
      <c r="CL66" s="23"/>
      <c r="CM66" s="83"/>
    </row>
    <row r="67" spans="1:91" ht="15" customHeight="1" thickBot="1" x14ac:dyDescent="0.3">
      <c r="A67" s="2"/>
      <c r="B67" s="512" t="str">
        <f t="shared" si="48"/>
        <v/>
      </c>
      <c r="C67" s="83"/>
      <c r="D67" s="1275">
        <f>D60*D49</f>
        <v>0</v>
      </c>
      <c r="E67" s="83"/>
      <c r="F67" s="1275">
        <f>F60*F49</f>
        <v>0</v>
      </c>
      <c r="G67" s="83"/>
      <c r="H67" s="1275">
        <f>H60*H49</f>
        <v>0</v>
      </c>
      <c r="I67" s="83"/>
      <c r="J67" s="1275">
        <f>J60*J49</f>
        <v>0</v>
      </c>
      <c r="K67" s="83"/>
      <c r="L67" s="1275">
        <f>L60*L49</f>
        <v>0</v>
      </c>
      <c r="M67" s="83"/>
      <c r="N67" s="1275">
        <f>N60*N49</f>
        <v>0</v>
      </c>
      <c r="O67" s="83"/>
      <c r="P67" s="1275">
        <f>P60*P49</f>
        <v>0</v>
      </c>
      <c r="Q67" s="83"/>
      <c r="R67" s="1285">
        <f>R60*R49</f>
        <v>0</v>
      </c>
      <c r="S67" s="83"/>
      <c r="T67" s="1275">
        <f>T60*T49</f>
        <v>0</v>
      </c>
      <c r="U67" s="83"/>
      <c r="V67" s="1275">
        <f>V60*V49</f>
        <v>0</v>
      </c>
      <c r="W67" s="83"/>
      <c r="X67" s="1275">
        <f>X60*X49</f>
        <v>0</v>
      </c>
      <c r="Y67" s="83"/>
      <c r="Z67" s="85" t="s">
        <v>1497</v>
      </c>
      <c r="AA67" s="83"/>
      <c r="AB67" s="81"/>
      <c r="AC67" s="512" t="str">
        <f t="shared" si="49"/>
        <v/>
      </c>
      <c r="AD67" s="81"/>
      <c r="AE67" s="1275">
        <f>AE60*AE49</f>
        <v>0</v>
      </c>
      <c r="AF67" s="81"/>
      <c r="AG67" s="1275">
        <f>AG60*AG49</f>
        <v>0</v>
      </c>
      <c r="AH67" s="81"/>
      <c r="AI67" s="1275">
        <f>AI60*AI49</f>
        <v>0</v>
      </c>
      <c r="AJ67" s="81"/>
      <c r="AK67" s="1275">
        <f>AK60*AK49</f>
        <v>0</v>
      </c>
      <c r="AL67" s="81"/>
      <c r="AM67" s="1275">
        <f>AM60*AM49</f>
        <v>0</v>
      </c>
      <c r="AN67" s="81"/>
      <c r="AO67" s="1285">
        <f>AO60*AO49</f>
        <v>0</v>
      </c>
      <c r="AP67" s="81"/>
      <c r="AQ67" s="85" t="s">
        <v>1497</v>
      </c>
      <c r="AR67" s="81"/>
      <c r="AS67" s="83"/>
      <c r="AT67" s="119" t="s">
        <v>2215</v>
      </c>
      <c r="AU67" s="83"/>
      <c r="AV67" s="2646">
        <f>SUM(AV68:AV72)</f>
        <v>0</v>
      </c>
      <c r="AW67" s="83"/>
      <c r="AX67" s="1765">
        <f>SUM(AX68:AX72)</f>
        <v>0</v>
      </c>
      <c r="AY67" s="83"/>
      <c r="AZ67" s="1765">
        <f>SUM(AZ68:AZ72)</f>
        <v>0</v>
      </c>
      <c r="BA67" s="83"/>
      <c r="BB67" s="1765">
        <f>SUM(BB68:BB72)</f>
        <v>0</v>
      </c>
      <c r="BC67" s="83"/>
      <c r="BD67" s="1765">
        <f>SUM(BD68:BD72)</f>
        <v>0</v>
      </c>
      <c r="BE67" s="83"/>
      <c r="BF67" s="1765">
        <f>SUM(BF68:BF72)</f>
        <v>0</v>
      </c>
      <c r="BG67" s="83"/>
      <c r="BH67" s="1765">
        <f>SUM(BH68:BH72)</f>
        <v>0</v>
      </c>
      <c r="BI67" s="83"/>
      <c r="BJ67" s="1765">
        <f>SUM(BJ68:BJ72)</f>
        <v>0</v>
      </c>
      <c r="BK67" s="83"/>
      <c r="BL67" s="1765">
        <f>SUM(BL68:BL72)</f>
        <v>0</v>
      </c>
      <c r="BM67" s="83"/>
      <c r="BN67" s="1765">
        <f>SUM(BN68:BN72)</f>
        <v>0</v>
      </c>
      <c r="BO67" s="83"/>
      <c r="BP67" s="119" t="s">
        <v>1497</v>
      </c>
      <c r="BQ67" s="83"/>
      <c r="BR67" s="81"/>
      <c r="BS67" s="846" t="str">
        <f t="shared" si="50"/>
        <v/>
      </c>
      <c r="BT67" s="237"/>
      <c r="BU67" s="1285">
        <f>BU60*BU49</f>
        <v>0</v>
      </c>
      <c r="BV67" s="237"/>
      <c r="BW67" s="1285">
        <f>BW60*BW49</f>
        <v>0</v>
      </c>
      <c r="BX67" s="237"/>
      <c r="BY67" s="1285">
        <f>BY60*BY49</f>
        <v>0</v>
      </c>
      <c r="BZ67" s="237"/>
      <c r="CA67" s="1285">
        <f>CA60*CA49</f>
        <v>0</v>
      </c>
      <c r="CB67" s="237"/>
      <c r="CC67" s="1285">
        <f>CC60*CC49</f>
        <v>0</v>
      </c>
      <c r="CD67" s="237"/>
      <c r="CE67" s="85" t="s">
        <v>1497</v>
      </c>
      <c r="CF67" s="81"/>
      <c r="CG67" s="2"/>
      <c r="CH67" s="1691" t="s">
        <v>5071</v>
      </c>
      <c r="CI67" s="83"/>
      <c r="CJ67" s="2985">
        <f>IF(AND(CJ16&lt;&gt;"",CJ66&gt;0),NBPuff_A*CJ16/(CJ20*CJ56),0)^NBPuff_B</f>
        <v>0</v>
      </c>
      <c r="CK67" s="83"/>
      <c r="CL67" s="23"/>
      <c r="CM67" s="83"/>
    </row>
    <row r="68" spans="1:91" ht="15" customHeight="1" thickBot="1" x14ac:dyDescent="0.3">
      <c r="A68" s="2"/>
      <c r="B68" s="512" t="str">
        <f t="shared" si="48"/>
        <v/>
      </c>
      <c r="C68" s="83"/>
      <c r="D68" s="1766">
        <f>D61*D50</f>
        <v>0</v>
      </c>
      <c r="E68" s="83"/>
      <c r="F68" s="1766">
        <f>F61*F50</f>
        <v>0</v>
      </c>
      <c r="G68" s="83"/>
      <c r="H68" s="1766">
        <f>H61*H50</f>
        <v>0</v>
      </c>
      <c r="I68" s="83"/>
      <c r="J68" s="1766">
        <f>J61*J50</f>
        <v>0</v>
      </c>
      <c r="K68" s="83"/>
      <c r="L68" s="1766">
        <f>L61*L50</f>
        <v>0</v>
      </c>
      <c r="M68" s="83"/>
      <c r="N68" s="1766">
        <f>N61*N50</f>
        <v>0</v>
      </c>
      <c r="O68" s="83"/>
      <c r="P68" s="1766">
        <f>P61*P50</f>
        <v>0</v>
      </c>
      <c r="Q68" s="83"/>
      <c r="R68" s="1769">
        <f>R61*R50</f>
        <v>0</v>
      </c>
      <c r="S68" s="83"/>
      <c r="T68" s="1766">
        <f>T61*T50</f>
        <v>0</v>
      </c>
      <c r="U68" s="83"/>
      <c r="V68" s="1766">
        <f>V61*V50</f>
        <v>0</v>
      </c>
      <c r="W68" s="83"/>
      <c r="X68" s="1766">
        <f>X61*X50</f>
        <v>0</v>
      </c>
      <c r="Y68" s="83"/>
      <c r="Z68" s="85" t="s">
        <v>1497</v>
      </c>
      <c r="AA68" s="83"/>
      <c r="AB68" s="81"/>
      <c r="AC68" s="615" t="str">
        <f t="shared" si="49"/>
        <v/>
      </c>
      <c r="AD68" s="81"/>
      <c r="AE68" s="1766">
        <f>AE61*AE50</f>
        <v>0</v>
      </c>
      <c r="AF68" s="81"/>
      <c r="AG68" s="1766">
        <f>AG61*AG50</f>
        <v>0</v>
      </c>
      <c r="AH68" s="81"/>
      <c r="AI68" s="1766">
        <f>AI61*AI50</f>
        <v>0</v>
      </c>
      <c r="AJ68" s="81"/>
      <c r="AK68" s="1766">
        <f>AK61*AK50</f>
        <v>0</v>
      </c>
      <c r="AL68" s="81"/>
      <c r="AM68" s="1766">
        <f>AM61*AM50</f>
        <v>0</v>
      </c>
      <c r="AN68" s="81"/>
      <c r="AO68" s="1769">
        <f>AO61*AO50</f>
        <v>0</v>
      </c>
      <c r="AP68" s="81"/>
      <c r="AQ68" s="85" t="s">
        <v>1497</v>
      </c>
      <c r="AR68" s="81"/>
      <c r="AS68" s="83"/>
      <c r="AT68" s="512" t="str">
        <f>B84</f>
        <v/>
      </c>
      <c r="AU68" s="83"/>
      <c r="AV68" s="1764">
        <f>AV49*AV60</f>
        <v>0</v>
      </c>
      <c r="AW68" s="83"/>
      <c r="AX68" s="1764">
        <f>AX49*AX60</f>
        <v>0</v>
      </c>
      <c r="AY68" s="83"/>
      <c r="AZ68" s="1764">
        <f>AZ49*AZ60</f>
        <v>0</v>
      </c>
      <c r="BA68" s="83"/>
      <c r="BB68" s="1764">
        <f>BB49*BB60</f>
        <v>0</v>
      </c>
      <c r="BC68" s="83"/>
      <c r="BD68" s="1764">
        <f>BD49*BD60</f>
        <v>0</v>
      </c>
      <c r="BE68" s="83"/>
      <c r="BF68" s="1764">
        <f>BF49*BF60</f>
        <v>0</v>
      </c>
      <c r="BG68" s="83"/>
      <c r="BH68" s="1764">
        <f>BH49*BH60</f>
        <v>0</v>
      </c>
      <c r="BI68" s="83"/>
      <c r="BJ68" s="1764">
        <f>BJ49*BJ60</f>
        <v>0</v>
      </c>
      <c r="BK68" s="83"/>
      <c r="BL68" s="1764">
        <f>BL49*BL60</f>
        <v>0</v>
      </c>
      <c r="BM68" s="83"/>
      <c r="BN68" s="1764">
        <f>BN49*BN60</f>
        <v>0</v>
      </c>
      <c r="BO68" s="83"/>
      <c r="BP68" s="85" t="s">
        <v>1497</v>
      </c>
      <c r="BQ68" s="83"/>
      <c r="BR68" s="81"/>
      <c r="BS68" s="846" t="str">
        <f t="shared" si="50"/>
        <v/>
      </c>
      <c r="BT68" s="237"/>
      <c r="BU68" s="1769">
        <f>BU61*BU50</f>
        <v>0</v>
      </c>
      <c r="BV68" s="237"/>
      <c r="BW68" s="1769">
        <f>BW61*BW50</f>
        <v>0</v>
      </c>
      <c r="BX68" s="237"/>
      <c r="BY68" s="1769">
        <f>BY61*BY50</f>
        <v>0</v>
      </c>
      <c r="BZ68" s="237"/>
      <c r="CA68" s="1769">
        <f>CA61*CA50</f>
        <v>0</v>
      </c>
      <c r="CB68" s="237"/>
      <c r="CC68" s="1769">
        <f>CC61*CC50</f>
        <v>0</v>
      </c>
      <c r="CD68" s="237"/>
      <c r="CE68" s="85" t="s">
        <v>1497</v>
      </c>
      <c r="CF68" s="81"/>
      <c r="CG68" s="2"/>
      <c r="CH68" s="512" t="s">
        <v>5099</v>
      </c>
      <c r="CI68" s="83"/>
      <c r="CJ68" s="1289">
        <f>IF(CJ16&lt;&gt;"",LN(IF(CJ$66&gt;=10,CJ$27*CJ$64*10^CJ$65,NBPuff_A*CJ16/CJ20/(10-CJ$66+CJ$67)^(1/NBPuff_B))),0)</f>
        <v>0</v>
      </c>
      <c r="CK68" s="83"/>
      <c r="CL68" s="23"/>
      <c r="CM68" s="83"/>
    </row>
    <row r="69" spans="1:91" ht="15" customHeight="1" thickBot="1" x14ac:dyDescent="0.3">
      <c r="A69" s="2"/>
      <c r="B69" s="119" t="s">
        <v>2785</v>
      </c>
      <c r="C69" s="83"/>
      <c r="D69" s="1767">
        <f>IF(Flam_1&gt;0,D17-D64,0)+IF(Flam_2&gt;0,D18-D65,0)+IF(Flam_3&gt;0,D19-D66,0)+IF(Flam_4&gt;0,D20-D67,0)+IF(Flam_5&gt;0,D21-D68,0)</f>
        <v>0</v>
      </c>
      <c r="E69" s="515"/>
      <c r="F69" s="1767">
        <f>IF(Flam_1&gt;0,F17-F64,0)+IF(Flam_2&gt;0,F18-F65,0)+IF(Flam_3&gt;0,F19-F66,0)+IF(Flam_4&gt;0,F20-F67,0)+IF(Flam_5&gt;0,F21-F68,0)</f>
        <v>0</v>
      </c>
      <c r="G69" s="515"/>
      <c r="H69" s="1767">
        <f>IF(Flam_1&gt;0,H17-H64,0)+IF(Flam_2&gt;0,H18-H65,0)+IF(Flam_3&gt;0,H19-H66,0)+IF(Flam_4&gt;0,H20-H67,0)+IF(Flam_5&gt;0,H21-H68,0)</f>
        <v>0</v>
      </c>
      <c r="I69" s="515"/>
      <c r="J69" s="1767">
        <f>IF(Flam_1&gt;0,J17-J64,0)+IF(Flam_2&gt;0,J18-J65,0)+IF(Flam_3&gt;0,J19-J66,0)+IF(Flam_4&gt;0,J20-J67,0)+IF(Flam_5&gt;0,J21-J68,0)</f>
        <v>0</v>
      </c>
      <c r="K69" s="515"/>
      <c r="L69" s="1767">
        <f>IF(Flam_1&gt;0,L17-L64,0)+IF(Flam_2&gt;0,L18-L65,0)+IF(Flam_3&gt;0,L19-L66,0)+IF(Flam_4&gt;0,L20-L67,0)+IF(Flam_5&gt;0,L21-L68,0)</f>
        <v>0</v>
      </c>
      <c r="M69" s="515"/>
      <c r="N69" s="1767">
        <f>IF(Flam_1&gt;0,N17-N64,0)+IF(Flam_2&gt;0,N18-N65,0)+IF(Flam_3&gt;0,N19-N66,0)+IF(Flam_4&gt;0,N20-N67,0)+IF(Flam_5&gt;0,N21-N68,0)</f>
        <v>0</v>
      </c>
      <c r="O69" s="515"/>
      <c r="P69" s="1767">
        <f>IF(Flam_1&gt;0,P17-P64,0)+IF(Flam_2&gt;0,P18-P65,0)+IF(Flam_3&gt;0,P19-P66,0)+IF(Flam_4&gt;0,P20-P67,0)+IF(Flam_5&gt;0,P21-P68,0)</f>
        <v>0</v>
      </c>
      <c r="Q69" s="515"/>
      <c r="R69" s="1765">
        <f>IF(Flam_1&gt;0,R17-R64,0)+IF(Flam_2&gt;0,R18-R65,0)+IF(Flam_3&gt;0,R19-R66,0)+IF(Flam_4&gt;0,R20-R67,0)+IF(Flam_5&gt;0,R21-R68,0)</f>
        <v>0</v>
      </c>
      <c r="S69" s="515"/>
      <c r="T69" s="1767">
        <f>IF(Flam_1&gt;0,T17-T64,0)+IF(Flam_2&gt;0,T18-T65,0)+IF(Flam_3&gt;0,T19-T66,0)+IF(Flam_4&gt;0,T20-T67,0)+IF(Flam_5&gt;0,T21-T68,0)</f>
        <v>0</v>
      </c>
      <c r="U69" s="515"/>
      <c r="V69" s="1767">
        <f>IF(Flam_1&gt;0,V17-V64,0)+IF(Flam_2&gt;0,V18-V65,0)+IF(Flam_3&gt;0,V19-V66,0)+IF(Flam_4&gt;0,V20-V67,0)+IF(Flam_5&gt;0,V21-V68,0)</f>
        <v>0</v>
      </c>
      <c r="W69" s="515"/>
      <c r="X69" s="1767">
        <f>IF(Flam_1&gt;0,X17-X64,0)+IF(Flam_2&gt;0,X18-X65,0)+IF(Flam_3&gt;0,X19-X66,0)+IF(Flam_4&gt;0,X20-X67,0)+IF(Flam_5&gt;0,X21-X68,0)</f>
        <v>0</v>
      </c>
      <c r="Y69" s="83"/>
      <c r="Z69" s="85" t="s">
        <v>1497</v>
      </c>
      <c r="AA69" s="83"/>
      <c r="AB69" s="81"/>
      <c r="AC69" s="119" t="s">
        <v>2785</v>
      </c>
      <c r="AD69" s="81"/>
      <c r="AE69" s="1767">
        <f>IF(Flam_1&gt;0,AE17-AE64,0)+IF(Flam_2&gt;0,AE18-AE65,0)+IF(Flam_3&gt;0,AE19-AE66,0)+IF(Flam_4&gt;0,AE20-AE67,0)+IF(Flam_5&gt;0,AE21-AE68,0)</f>
        <v>0</v>
      </c>
      <c r="AF69" s="81"/>
      <c r="AG69" s="1767">
        <f>IF(Flam_1&gt;0,AG17-AG64,0)+IF(Flam_2&gt;0,AG18-AG65,0)+IF(Flam_3&gt;0,AG19-AG66,0)+IF(Flam_4&gt;0,AG20-AG67,0)+IF(Flam_5&gt;0,AG21-AG68,0)</f>
        <v>0</v>
      </c>
      <c r="AH69" s="81"/>
      <c r="AI69" s="1767">
        <f>IF(Flam_1&gt;0,AI17-AI64,0)+IF(Flam_2&gt;0,AI18-AI65,0)+IF(Flam_3&gt;0,AI19-AI66,0)+IF(Flam_4&gt;0,AI20-AI67,0)+IF(Flam_5&gt;0,AI21-AI68,0)</f>
        <v>0</v>
      </c>
      <c r="AJ69" s="81"/>
      <c r="AK69" s="1767">
        <f>IF(Flam_1&gt;0,AK17-AK64,0)+IF(Flam_2&gt;0,AK18-AK65,0)+IF(Flam_3&gt;0,AK19-AK66,0)+IF(Flam_4&gt;0,AK20-AK67,0)+IF(Flam_5&gt;0,AK21-AK68,0)</f>
        <v>0</v>
      </c>
      <c r="AL69" s="81"/>
      <c r="AM69" s="1767">
        <f>IF(Flam_1&gt;0,AM17-AM64,0)+IF(Flam_2&gt;0,AM18-AM65,0)+IF(Flam_3&gt;0,AM19-AM66,0)+IF(Flam_4&gt;0,AM20-AM67,0)+IF(Flam_5&gt;0,AM21-AM68,0)</f>
        <v>0</v>
      </c>
      <c r="AN69" s="81"/>
      <c r="AO69" s="1767">
        <f>IF(FlamHT_1&gt;0,AO17-AO64,0)+IF(FlamHT_2&gt;0,AO18-AO65,0)+IF(FlamHT_3&gt;0,AO19-AO66,0)+IF(FlamHT_4&gt;0,AO20-AO67,0)+IF(FlamHT_5&gt;0,AO21-AO68,0)</f>
        <v>0</v>
      </c>
      <c r="AP69" s="81"/>
      <c r="AQ69" s="85" t="s">
        <v>1497</v>
      </c>
      <c r="AR69" s="81"/>
      <c r="AS69" s="83"/>
      <c r="AT69" s="512" t="str">
        <f t="shared" ref="AT69:AT72" si="51">B85</f>
        <v/>
      </c>
      <c r="AU69" s="83"/>
      <c r="AV69" s="883">
        <f>AV50*AV61</f>
        <v>0</v>
      </c>
      <c r="AW69" s="83"/>
      <c r="AX69" s="883">
        <f>AX50*AX61</f>
        <v>0</v>
      </c>
      <c r="AY69" s="83"/>
      <c r="AZ69" s="883">
        <f>AZ50*AZ61</f>
        <v>0</v>
      </c>
      <c r="BA69" s="83"/>
      <c r="BB69" s="883">
        <f>BB50*BB61</f>
        <v>0</v>
      </c>
      <c r="BC69" s="83"/>
      <c r="BD69" s="883">
        <f>BD50*BD61</f>
        <v>0</v>
      </c>
      <c r="BE69" s="83"/>
      <c r="BF69" s="883">
        <f>BF50*BF61</f>
        <v>0</v>
      </c>
      <c r="BG69" s="83"/>
      <c r="BH69" s="883">
        <f>BH50*BH61</f>
        <v>0</v>
      </c>
      <c r="BI69" s="83"/>
      <c r="BJ69" s="883">
        <f>BJ50*BJ61</f>
        <v>0</v>
      </c>
      <c r="BK69" s="83"/>
      <c r="BL69" s="883">
        <f>BL50*BL61</f>
        <v>0</v>
      </c>
      <c r="BM69" s="83"/>
      <c r="BN69" s="883">
        <f>BN50*BN61</f>
        <v>0</v>
      </c>
      <c r="BO69" s="83"/>
      <c r="BP69" s="85" t="s">
        <v>1497</v>
      </c>
      <c r="BQ69" s="83"/>
      <c r="BR69" s="81"/>
      <c r="BS69" s="119" t="s">
        <v>2785</v>
      </c>
      <c r="BT69" s="237"/>
      <c r="BU69" s="1767">
        <f>IF(Flam_1&gt;0,BU17-BU64,0)+IF(Flam_2&gt;0,BU18-BU65,0)+IF(Flam_3&gt;0,BU19-BU66,0)+IF(Flam_4&gt;0,BU20-BU67,0)+IF(Flam_5&gt;0,BU21-BU68,0)</f>
        <v>0</v>
      </c>
      <c r="BV69" s="237"/>
      <c r="BW69" s="1767">
        <f>IF(Flam_1&gt;0,BW17-BW64,0)+IF(Flam_2&gt;0,BW18-BW65,0)+IF(Flam_3&gt;0,BW19-BW66,0)+IF(Flam_4&gt;0,BW20-BW67,0)+IF(Flam_5&gt;0,BW21-BW68,0)</f>
        <v>0</v>
      </c>
      <c r="BX69" s="237"/>
      <c r="BY69" s="1767">
        <f>IF(Flam_1&gt;0,BY17-BY64,0)+IF(Flam_2&gt;0,BY18-BY65,0)+IF(Flam_3&gt;0,BY19-BY66,0)+IF(Flam_4&gt;0,BY20-BY67,0)+IF(Flam_5&gt;0,BY21-BY68,0)</f>
        <v>0</v>
      </c>
      <c r="BZ69" s="237"/>
      <c r="CA69" s="1767">
        <f>IF(Flam_1&gt;0,CA17-CA64,0)+IF(Flam_2&gt;0,CA18-CA65,0)+IF(Flam_3&gt;0,CA19-CA66,0)+IF(Flam_4&gt;0,CA20-CA67,0)+IF(Flam_5&gt;0,CA21-CA68,0)</f>
        <v>0</v>
      </c>
      <c r="CB69" s="237"/>
      <c r="CC69" s="1767">
        <f>IF(Flam_1&gt;0,CC17-CC64,0)+IF(Flam_2&gt;0,CC18-CC65,0)+IF(Flam_3&gt;0,CC19-CC66,0)+IF(Flam_4&gt;0,CC20-CC67,0)+IF(Flam_5&gt;0,CC21-CC68,0)</f>
        <v>0</v>
      </c>
      <c r="CD69" s="237"/>
      <c r="CE69" s="25" t="s">
        <v>1497</v>
      </c>
      <c r="CF69" s="81"/>
      <c r="CG69" s="2"/>
      <c r="CH69" s="512" t="s">
        <v>5100</v>
      </c>
      <c r="CI69" s="83"/>
      <c r="CJ69" s="1289">
        <f>IF(CJ16&lt;&gt;"",LN(IF(CJ$66&gt;=20,CJ$27*CJ$64*20^CJ$65,NBPuff_A*CJ16/CJ20/(20-CJ$66+CJ$67)^(1/NBPuff_B))),0)</f>
        <v>0</v>
      </c>
      <c r="CK69" s="83"/>
      <c r="CL69" s="23"/>
      <c r="CM69" s="83"/>
    </row>
    <row r="70" spans="1:91" ht="15" customHeight="1" thickBot="1" x14ac:dyDescent="0.3">
      <c r="A70" s="2"/>
      <c r="B70" s="92" t="s">
        <v>1610</v>
      </c>
      <c r="C70" s="83"/>
      <c r="D70" s="843">
        <f>D16-D63</f>
        <v>0</v>
      </c>
      <c r="E70" s="83"/>
      <c r="F70" s="843">
        <f>F16-F63</f>
        <v>0</v>
      </c>
      <c r="G70" s="83"/>
      <c r="H70" s="855">
        <f>H16-H63</f>
        <v>0</v>
      </c>
      <c r="I70" s="83"/>
      <c r="J70" s="855">
        <f>J16-J63</f>
        <v>0</v>
      </c>
      <c r="K70" s="83"/>
      <c r="L70" s="855">
        <f>L16-L63</f>
        <v>0</v>
      </c>
      <c r="M70" s="83"/>
      <c r="N70" s="855">
        <f>N16-N63</f>
        <v>0</v>
      </c>
      <c r="O70" s="83"/>
      <c r="P70" s="855">
        <f>P16-P63</f>
        <v>0</v>
      </c>
      <c r="Q70" s="83"/>
      <c r="R70" s="98">
        <f>R16-R63</f>
        <v>0</v>
      </c>
      <c r="S70" s="83"/>
      <c r="T70" s="855">
        <f>T16-T63</f>
        <v>0</v>
      </c>
      <c r="U70" s="83"/>
      <c r="V70" s="855">
        <f>V16-V63</f>
        <v>0</v>
      </c>
      <c r="W70" s="83"/>
      <c r="X70" s="855">
        <f>X16-X63</f>
        <v>0</v>
      </c>
      <c r="Y70" s="83"/>
      <c r="Z70" s="25" t="s">
        <v>1497</v>
      </c>
      <c r="AA70" s="83"/>
      <c r="AB70" s="81"/>
      <c r="AC70" s="1038" t="s">
        <v>1610</v>
      </c>
      <c r="AD70" s="81"/>
      <c r="AE70" s="855">
        <f>IF(State="Vapor",AE22*AE12,AE16-AE63)</f>
        <v>0</v>
      </c>
      <c r="AF70" s="81"/>
      <c r="AG70" s="855">
        <f>AG16-AG63</f>
        <v>0</v>
      </c>
      <c r="AH70" s="81"/>
      <c r="AI70" s="855">
        <f>AI16-AI63</f>
        <v>0</v>
      </c>
      <c r="AJ70" s="81"/>
      <c r="AK70" s="855">
        <f>AK16-AK63</f>
        <v>0</v>
      </c>
      <c r="AL70" s="81"/>
      <c r="AM70" s="855">
        <f>AM16-AM63</f>
        <v>0</v>
      </c>
      <c r="AN70" s="81"/>
      <c r="AO70" s="855">
        <f>AO16-AO63</f>
        <v>0</v>
      </c>
      <c r="AP70" s="81"/>
      <c r="AQ70" s="25" t="s">
        <v>1497</v>
      </c>
      <c r="AR70" s="81"/>
      <c r="AS70" s="83"/>
      <c r="AT70" s="512" t="str">
        <f t="shared" si="51"/>
        <v/>
      </c>
      <c r="AU70" s="83"/>
      <c r="AV70" s="883">
        <f>AV51*AV62</f>
        <v>0</v>
      </c>
      <c r="AW70" s="83"/>
      <c r="AX70" s="883">
        <f>AX51*AX62</f>
        <v>0</v>
      </c>
      <c r="AY70" s="83"/>
      <c r="AZ70" s="883">
        <f>AZ51*AZ62</f>
        <v>0</v>
      </c>
      <c r="BA70" s="83"/>
      <c r="BB70" s="883">
        <f>BB51*BB62</f>
        <v>0</v>
      </c>
      <c r="BC70" s="83"/>
      <c r="BD70" s="883">
        <f>BD51*BD62</f>
        <v>0</v>
      </c>
      <c r="BE70" s="83"/>
      <c r="BF70" s="883">
        <f>BF51*BF62</f>
        <v>0</v>
      </c>
      <c r="BG70" s="83"/>
      <c r="BH70" s="883">
        <f>BH51*BH62</f>
        <v>0</v>
      </c>
      <c r="BI70" s="83"/>
      <c r="BJ70" s="883">
        <f>BJ51*BJ62</f>
        <v>0</v>
      </c>
      <c r="BK70" s="83"/>
      <c r="BL70" s="883">
        <f>BL51*BL62</f>
        <v>0</v>
      </c>
      <c r="BM70" s="83"/>
      <c r="BN70" s="883">
        <f>BN51*BN62</f>
        <v>0</v>
      </c>
      <c r="BO70" s="83"/>
      <c r="BP70" s="85" t="s">
        <v>1497</v>
      </c>
      <c r="BQ70" s="83"/>
      <c r="BR70" s="81"/>
      <c r="BS70" s="25" t="s">
        <v>1610</v>
      </c>
      <c r="BT70" s="237"/>
      <c r="BU70" s="100">
        <f>BU16-BU63</f>
        <v>0</v>
      </c>
      <c r="BV70" s="237"/>
      <c r="BW70" s="98">
        <f>BW16-BW63</f>
        <v>0</v>
      </c>
      <c r="BX70" s="237"/>
      <c r="BY70" s="98">
        <f>BY16-BY63</f>
        <v>0</v>
      </c>
      <c r="BZ70" s="237"/>
      <c r="CA70" s="98">
        <f>CA16-CA63</f>
        <v>0</v>
      </c>
      <c r="CB70" s="237"/>
      <c r="CC70" s="98">
        <f>CC16-CC63</f>
        <v>0</v>
      </c>
      <c r="CD70" s="237"/>
      <c r="CE70" s="119" t="s">
        <v>1497</v>
      </c>
      <c r="CF70" s="81"/>
      <c r="CG70" s="2"/>
      <c r="CH70" s="512" t="s">
        <v>5101</v>
      </c>
      <c r="CI70" s="83"/>
      <c r="CJ70" s="1289">
        <f>IF(CJ16&lt;&gt;"",LN(IF(CJ$66&gt;=50,CJ$27*CJ$64*50^CJ$65,NBPuff_A*CJ16/CJ20/(50-CJ$66+CJ$67)^(1/NBPuff_B))),0)</f>
        <v>0</v>
      </c>
      <c r="CK70" s="83"/>
      <c r="CL70" s="23"/>
      <c r="CM70" s="83"/>
    </row>
    <row r="71" spans="1:91" ht="15" customHeight="1" x14ac:dyDescent="0.25">
      <c r="A71" s="2"/>
      <c r="B71" s="512" t="str">
        <f>IF(B17="","","Vapor Mol Fraction "&amp;B17)</f>
        <v/>
      </c>
      <c r="C71" s="83"/>
      <c r="D71" s="2090">
        <f>IF(OR(D63=0,D57=1),Feed_1,IF(D46&gt;0,D38*(1-D57)/(D38*(1-D57)+D39*(1-D58)+D40*(1-D59)+D41*(1-D60)+D42*(1-D61)),0))</f>
        <v>0</v>
      </c>
      <c r="E71" s="83"/>
      <c r="F71" s="2090">
        <f>IF(OR(F63=0,F57=1),Feed_1,IF(F46&gt;0,F38*(1-F57)/(F38*(1-F57)+F39*(1-F58)+F40*(1-F59)+F41*(1-F60)+F42*(1-F61)),0))</f>
        <v>0</v>
      </c>
      <c r="G71" s="83"/>
      <c r="H71" s="2090">
        <f>IF(OR(H63=0,H57=1),Feed_1,IF(H46&gt;0,H38*(1-H57)/(H38*(1-H57)+H39*(1-H58)+H40*(1-H59)+H41*(1-H60)+H42*(1-H61)),0))</f>
        <v>0</v>
      </c>
      <c r="I71" s="83"/>
      <c r="J71" s="2090">
        <f>IF(OR(J63=0,J57=1),Feed_1,IF(J46&gt;0,J38*(1-J57)/(J38*(1-J57)+J39*(1-J58)+J40*(1-J59)+J41*(1-J60)+J42*(1-J61)),0))</f>
        <v>0</v>
      </c>
      <c r="K71" s="83"/>
      <c r="L71" s="2090">
        <f>IF(OR(L63=0,L57=1),Feed_1,IF(L46&gt;0,L38*(1-L57)/(L38*(1-L57)+L39*(1-L58)+L40*(1-L59)+L41*(1-L60)+L42*(1-L61)),0))</f>
        <v>0</v>
      </c>
      <c r="M71" s="83"/>
      <c r="N71" s="2090">
        <f>IF(OR(N63=0,N57=1),Feed_1,IF(N46&gt;0,N38*(1-N57)/(N38*(1-N57)+N39*(1-N58)+N40*(1-N59)+N41*(1-N60)+N42*(1-N61)),0))</f>
        <v>0</v>
      </c>
      <c r="O71" s="83"/>
      <c r="P71" s="2090">
        <f>IF(OR(P63=0,P57=1),Feed_1,IF(P46&gt;0,P38*(1-P57)/(P38*(1-P57)+P39*(1-P58)+P40*(1-P59)+P41*(1-P60)+P42*(1-P61)),0))</f>
        <v>0</v>
      </c>
      <c r="Q71" s="83"/>
      <c r="R71" s="2090">
        <f>IF(OR(R63=0,R57=1),Feed_1,IF(R46&gt;0,R38*(1-R57)/(R38*(1-R57)+R39*(1-R58)+R40*(1-R59)+R41*(1-R60)+R42*(1-R61)),0))</f>
        <v>0</v>
      </c>
      <c r="S71" s="83"/>
      <c r="T71" s="2090">
        <f>IF(OR(T63=0,T57=1),Feed_1,IF(T46&gt;0,T38*(1-T57)/(T38*(1-T57)+T39*(1-T58)+T40*(1-T59)+T41*(1-T60)+T42*(1-T61)),0))</f>
        <v>0</v>
      </c>
      <c r="U71" s="83"/>
      <c r="V71" s="2090">
        <f>IF(OR(V63=0,V57=1),Feed_1,IF(V46&gt;0,V38*(1-V57)/(V38*(1-V57)+V39*(1-V58)+V40*(1-V59)+V41*(1-V60)+V42*(1-V61)),0))</f>
        <v>0</v>
      </c>
      <c r="W71" s="83"/>
      <c r="X71" s="2090">
        <f>IF(OR(X63=0,X57=1),Feed_1,IF(X46&gt;0,X38*(1-X57)/(X38*(1-X57)+X39*(1-X58)+X40*(1-X59)+X41*(1-X60)+X42*(1-X61)),0))</f>
        <v>0</v>
      </c>
      <c r="Y71" s="83"/>
      <c r="Z71" s="85"/>
      <c r="AA71" s="83"/>
      <c r="AB71" s="81"/>
      <c r="AC71" s="614" t="str">
        <f>B71</f>
        <v/>
      </c>
      <c r="AD71" s="81"/>
      <c r="AE71" s="2090">
        <f>IF(OR(AE63=0,AE57=1),Feed_1,IF(AE46&gt;0,AE38*(1-AE57)/(AE38*(1-AE57)+AE39*(1-AE58)+AE40*(1-AE59)+AE41*(1-AE60)+AE42*(1-AE61)),0))</f>
        <v>0</v>
      </c>
      <c r="AF71" s="81"/>
      <c r="AG71" s="2090">
        <f>IF(OR(AG63=0,AG57=1),Feed_1,IF(AG46&gt;0,AG38*(1-AG57)/(AG38*(1-AG57)+AG39*(1-AG58)+AG40*(1-AG59)+AG41*(1-AG60)+AG42*(1-AG61)),0))</f>
        <v>0</v>
      </c>
      <c r="AH71" s="81"/>
      <c r="AI71" s="2090">
        <f>IF(OR(AI63=0,AI57=1),Feed_1,IF(AI46&gt;0,AI38*(1-AI57)/(AI38*(1-AI57)+AI39*(1-AI58)+AI40*(1-AI59)+AI41*(1-AI60)+AI42*(1-AI61)),0))</f>
        <v>0</v>
      </c>
      <c r="AJ71" s="81"/>
      <c r="AK71" s="2090">
        <f>IF(OR(AK63=0,AK57=1),Feed_1,IF(AK46&gt;0,AK38*(1-AK57)/(AK38*(1-AK57)+AK39*(1-AK58)+AK40*(1-AK59)+AK41*(1-AK60)+AK42*(1-AK61)),0))</f>
        <v>0</v>
      </c>
      <c r="AL71" s="81"/>
      <c r="AM71" s="2090">
        <f>IF(OR(AM63=0,AM57=1),Feed_1,IF(AM46&gt;0,AM38*(1-AM57)/(AM38*(1-AM57)+AM39*(1-AM58)+AM40*(1-AM59)+AM41*(1-AM60)+AM42*(1-AM61)),0))</f>
        <v>0</v>
      </c>
      <c r="AN71" s="81"/>
      <c r="AO71" s="2090">
        <f>IF(OR(AO63=0,AO57=1),HTFeed_1,IF(AO46&gt;0,AO38*(1-AO57)/(AO38*(1-AO57)+AO39*(1-AO58)+AO40*(1-AO59)+AO41*(1-AO60)+AO42*(1-AO61)),0))</f>
        <v>0</v>
      </c>
      <c r="AP71" s="81"/>
      <c r="AQ71" s="85"/>
      <c r="AR71" s="81"/>
      <c r="AS71" s="83"/>
      <c r="AT71" s="512" t="str">
        <f t="shared" si="51"/>
        <v/>
      </c>
      <c r="AU71" s="83"/>
      <c r="AV71" s="883">
        <f>AV52*AV63</f>
        <v>0</v>
      </c>
      <c r="AW71" s="83"/>
      <c r="AX71" s="883">
        <f>AX52*AX63</f>
        <v>0</v>
      </c>
      <c r="AY71" s="83"/>
      <c r="AZ71" s="883">
        <f>AZ52*AZ63</f>
        <v>0</v>
      </c>
      <c r="BA71" s="83"/>
      <c r="BB71" s="883">
        <f>BB52*BB63</f>
        <v>0</v>
      </c>
      <c r="BC71" s="83"/>
      <c r="BD71" s="883">
        <f>BD52*BD63</f>
        <v>0</v>
      </c>
      <c r="BE71" s="83"/>
      <c r="BF71" s="883">
        <f>BF52*BF63</f>
        <v>0</v>
      </c>
      <c r="BG71" s="83"/>
      <c r="BH71" s="883">
        <f>BH52*BH63</f>
        <v>0</v>
      </c>
      <c r="BI71" s="83"/>
      <c r="BJ71" s="883">
        <f>BJ52*BJ63</f>
        <v>0</v>
      </c>
      <c r="BK71" s="83"/>
      <c r="BL71" s="883">
        <f>BL52*BL63</f>
        <v>0</v>
      </c>
      <c r="BM71" s="83"/>
      <c r="BN71" s="883">
        <f>BN52*BN63</f>
        <v>0</v>
      </c>
      <c r="BO71" s="83"/>
      <c r="BP71" s="85" t="s">
        <v>1497</v>
      </c>
      <c r="BQ71" s="83"/>
      <c r="BR71" s="81"/>
      <c r="BS71" s="1287" t="str">
        <f>B71</f>
        <v/>
      </c>
      <c r="BT71" s="237"/>
      <c r="BU71" s="2090">
        <f>IF(OR(BU63=0,BU57=1),Feed_1,IF(BU46&gt;0,BU38*(1-BU57)/(BU38*(1-BU57)+BU39*(1-BU58)+BU40*(1-BU59)+BU41*(1-BU60)+BU42*(1-BU61)),0))</f>
        <v>0</v>
      </c>
      <c r="BV71" s="237"/>
      <c r="BW71" s="2090">
        <f>IF(OR(BW63=0,BW57=1),Feed_1,IF(BW46&gt;0,BW38*(1-BW57)/(BW38*(1-BW57)+BW39*(1-BW58)+BW40*(1-BW59)+BW41*(1-BW60)+BW42*(1-BW61)),0))</f>
        <v>0</v>
      </c>
      <c r="BX71" s="237"/>
      <c r="BY71" s="2090">
        <f>IF(OR(BY63=0,BY57=1),Feed_1,IF(BY46&gt;0,BY38*(1-BY57)/(BY38*(1-BY57)+BY39*(1-BY58)+BY40*(1-BY59)+BY41*(1-BY60)+BY42*(1-BY61)),0))</f>
        <v>0</v>
      </c>
      <c r="BZ71" s="237"/>
      <c r="CA71" s="2090">
        <f>IF(OR(CA63=0,CA57=1),Feed_1,IF(CA46&gt;0,CA38*(1-CA57)/(CA38*(1-CA57)+CA39*(1-CA58)+CA40*(1-CA59)+CA41*(1-CA60)+CA42*(1-CA61)),0))</f>
        <v>0</v>
      </c>
      <c r="CB71" s="237"/>
      <c r="CC71" s="2090">
        <f>IF(OR(CC63=0,CC57=1),Feed_1,IF(CC46&gt;0,CC38*(1-CC57)/(CC38*(1-CC57)+CC39*(1-CC58)+CC40*(1-CC59)+CC41*(1-CC60)+CC42*(1-CC61)),0))</f>
        <v>0</v>
      </c>
      <c r="CD71" s="237"/>
      <c r="CE71" s="92"/>
      <c r="CF71" s="81"/>
      <c r="CG71" s="2"/>
      <c r="CH71" s="512" t="s">
        <v>5102</v>
      </c>
      <c r="CI71" s="83"/>
      <c r="CJ71" s="1289">
        <f>IF(CJ16&lt;&gt;"",LN(IF(CJ$66&gt;=100,CJ$27*CJ$64*100^CJ$65,NBPuff_A*CJ16/CJ20/(100-CJ$66+CJ$67)^(1/NBPuff_B))),0)</f>
        <v>0</v>
      </c>
      <c r="CK71" s="83"/>
      <c r="CL71" s="23"/>
      <c r="CM71" s="83"/>
    </row>
    <row r="72" spans="1:91" ht="15" customHeight="1" x14ac:dyDescent="0.25">
      <c r="A72" s="2"/>
      <c r="B72" s="512" t="str">
        <f t="shared" ref="B72:B75" si="52">IF(B18="","","Vapor Mol Fraction "&amp;B18)</f>
        <v/>
      </c>
      <c r="C72" s="83"/>
      <c r="D72" s="2091">
        <f>IF(OR(D63=0,D58=1),Feed_2,IF(D47&gt;0,D39*(1-D58)/(D38*(1-D57)+D39*(1-D58)+D40*(1-D59)+D41*(1-D60)+D42*(1-D61)),0))</f>
        <v>0</v>
      </c>
      <c r="E72" s="83"/>
      <c r="F72" s="2091">
        <f>IF(OR(F63=0,F58=1),Feed_2,IF(F47&gt;0,F39*(1-F58)/(F38*(1-F57)+F39*(1-F58)+F40*(1-F59)+F41*(1-F60)+F42*(1-F61)),0))</f>
        <v>0</v>
      </c>
      <c r="G72" s="83"/>
      <c r="H72" s="2091">
        <f>IF(OR(H63=0,H58=1),Feed_2,IF(H47&gt;0,H39*(1-H58)/(H38*(1-H57)+H39*(1-H58)+H40*(1-H59)+H41*(1-H60)+H42*(1-H61)),0))</f>
        <v>0</v>
      </c>
      <c r="I72" s="83"/>
      <c r="J72" s="2091">
        <f>IF(OR(J63=0,J58=1),Feed_2,IF(J47&gt;0,J39*(1-J58)/(J38*(1-J57)+J39*(1-J58)+J40*(1-J59)+J41*(1-J60)+J42*(1-J61)),0))</f>
        <v>0</v>
      </c>
      <c r="K72" s="83"/>
      <c r="L72" s="2091">
        <f>IF(OR(L63=0,L58=1),Feed_2,IF(L47&gt;0,L39*(1-L58)/(L38*(1-L57)+L39*(1-L58)+L40*(1-L59)+L41*(1-L60)+L42*(1-L61)),0))</f>
        <v>0</v>
      </c>
      <c r="M72" s="83"/>
      <c r="N72" s="2091">
        <f>IF(OR(N63=0,N58=1),Feed_2,IF(N47&gt;0,N39*(1-N58)/(N38*(1-N57)+N39*(1-N58)+N40*(1-N59)+N41*(1-N60)+N42*(1-N61)),0))</f>
        <v>0</v>
      </c>
      <c r="O72" s="83"/>
      <c r="P72" s="2091">
        <f>IF(OR(P63=0,P58=1),Feed_2,IF(P47&gt;0,P39*(1-P58)/(P38*(1-P57)+P39*(1-P58)+P40*(1-P59)+P41*(1-P60)+P42*(1-P61)),0))</f>
        <v>0</v>
      </c>
      <c r="Q72" s="83"/>
      <c r="R72" s="2091">
        <f>IF(OR(R63=0,R58=1),Feed_2,IF(R47&gt;0,R39*(1-R58)/(R38*(1-R57)+R39*(1-R58)+R40*(1-R59)+R41*(1-R60)+R42*(1-R61)),0))</f>
        <v>0</v>
      </c>
      <c r="S72" s="83"/>
      <c r="T72" s="2091">
        <f>IF(OR(T63=0,T58=1),Feed_2,IF(T47&gt;0,T39*(1-T58)/(T38*(1-T57)+T39*(1-T58)+T40*(1-T59)+T41*(1-T60)+T42*(1-T61)),0))</f>
        <v>0</v>
      </c>
      <c r="U72" s="83"/>
      <c r="V72" s="2091">
        <f>IF(OR(V63=0,V58=1),Feed_2,IF(V47&gt;0,V39*(1-V58)/(V38*(1-V57)+V39*(1-V58)+V40*(1-V59)+V41*(1-V60)+V42*(1-V61)),0))</f>
        <v>0</v>
      </c>
      <c r="W72" s="83"/>
      <c r="X72" s="2091">
        <f>IF(OR(X63=0,X58=1),Feed_2,IF(X47&gt;0,X39*(1-X58)/(X38*(1-X57)+X39*(1-X58)+X40*(1-X59)+X41*(1-X60)+X42*(1-X61)),0))</f>
        <v>0</v>
      </c>
      <c r="Y72" s="83"/>
      <c r="Z72" s="85"/>
      <c r="AA72" s="83"/>
      <c r="AB72" s="81"/>
      <c r="AC72" s="512" t="str">
        <f t="shared" ref="AC72:AC75" si="53">B72</f>
        <v/>
      </c>
      <c r="AD72" s="81"/>
      <c r="AE72" s="2091">
        <f>IF(OR(AE63=0,AE58=1),Feed_2,IF(AE47&gt;0,AE39*(1-AE58)/(AE38*(1-AE57)+AE39*(1-AE58)+AE40*(1-AE59)+AE41*(1-AE60)+AE42*(1-AE61)),0))</f>
        <v>0</v>
      </c>
      <c r="AF72" s="81"/>
      <c r="AG72" s="2091">
        <f>IF(OR(AG63=0,AG58=1),Feed_2,IF(AG47&gt;0,AG39*(1-AG58)/(AG38*(1-AG57)+AG39*(1-AG58)+AG40*(1-AG59)+AG41*(1-AG60)+AG42*(1-AG61)),0))</f>
        <v>0</v>
      </c>
      <c r="AH72" s="81"/>
      <c r="AI72" s="2091">
        <f>IF(OR(AI63=0,AI58=1),Feed_2,IF(AI47&gt;0,AI39*(1-AI58)/(AI38*(1-AI57)+AI39*(1-AI58)+AI40*(1-AI59)+AI41*(1-AI60)+AI42*(1-AI61)),0))</f>
        <v>0</v>
      </c>
      <c r="AJ72" s="81"/>
      <c r="AK72" s="2091">
        <f>IF(OR(AK63=0,AK58=1),Feed_2,IF(AK47&gt;0,AK39*(1-AK58)/(AK38*(1-AK57)+AK39*(1-AK58)+AK40*(1-AK59)+AK41*(1-AK60)+AK42*(1-AK61)),0))</f>
        <v>0</v>
      </c>
      <c r="AL72" s="81"/>
      <c r="AM72" s="2091">
        <f>IF(OR(AM63=0,AM58=1),Feed_2,IF(AM47&gt;0,AM39*(1-AM58)/(AM38*(1-AM57)+AM39*(1-AM58)+AM40*(1-AM59)+AM41*(1-AM60)+AM42*(1-AM61)),0))</f>
        <v>0</v>
      </c>
      <c r="AN72" s="81"/>
      <c r="AO72" s="2091">
        <f>IF(OR(AO63=0,AO58=1),HTFeed_2,IF(AO47&gt;0,AO39*(1-AO58)/(AO38*(1-AO57)+AO39*(1-AO58)+AO40*(1-AO59)+AO41*(1-AO60)+AO42*(1-AO61)),0))</f>
        <v>0</v>
      </c>
      <c r="AP72" s="81"/>
      <c r="AQ72" s="85"/>
      <c r="AR72" s="81"/>
      <c r="AS72" s="83"/>
      <c r="AT72" s="512" t="str">
        <f t="shared" si="51"/>
        <v/>
      </c>
      <c r="AU72" s="83"/>
      <c r="AV72" s="883">
        <f>AV53*AV64</f>
        <v>0</v>
      </c>
      <c r="AW72" s="2"/>
      <c r="AX72" s="883">
        <f>AX53*AX64</f>
        <v>0</v>
      </c>
      <c r="AY72" s="2"/>
      <c r="AZ72" s="883">
        <f>AZ53*AZ64</f>
        <v>0</v>
      </c>
      <c r="BA72" s="2"/>
      <c r="BB72" s="883">
        <f>BB53*BB64</f>
        <v>0</v>
      </c>
      <c r="BC72" s="2"/>
      <c r="BD72" s="883">
        <f>BD53*BD64</f>
        <v>0</v>
      </c>
      <c r="BE72" s="2"/>
      <c r="BF72" s="883">
        <f>BF53*BF64</f>
        <v>0</v>
      </c>
      <c r="BG72" s="2"/>
      <c r="BH72" s="883">
        <f>BH53*BH64</f>
        <v>0</v>
      </c>
      <c r="BI72" s="2"/>
      <c r="BJ72" s="883">
        <f>BJ53*BJ64</f>
        <v>0</v>
      </c>
      <c r="BK72" s="2"/>
      <c r="BL72" s="883">
        <f>BL53*BL64</f>
        <v>0</v>
      </c>
      <c r="BM72" s="2"/>
      <c r="BN72" s="883">
        <f>BN53*BN64</f>
        <v>0</v>
      </c>
      <c r="BO72" s="83"/>
      <c r="BP72" s="85" t="s">
        <v>1497</v>
      </c>
      <c r="BQ72" s="83"/>
      <c r="BR72" s="81"/>
      <c r="BS72" s="22" t="str">
        <f t="shared" ref="BS72:BS75" si="54">B72</f>
        <v/>
      </c>
      <c r="BT72" s="237"/>
      <c r="BU72" s="2091">
        <f>IF(OR(BU63=0,BU58=1),Feed_2,IF(BU47&gt;0,BU39*(1-BU58)/(BU38*(1-BU57)+BU39*(1-BU58)+BU40*(1-BU59)+BU41*(1-BU60)+BU42*(1-BU61)),0))</f>
        <v>0</v>
      </c>
      <c r="BV72" s="237"/>
      <c r="BW72" s="2091">
        <f>IF(OR(BW63=0,BW58=1),Feed_2,IF(BW47&gt;0,BW39*(1-BW58)/(BW38*(1-BW57)+BW39*(1-BW58)+BW40*(1-BW59)+BW41*(1-BW60)+BW42*(1-BW61)),0))</f>
        <v>0</v>
      </c>
      <c r="BX72" s="237"/>
      <c r="BY72" s="2091">
        <f>IF(OR(BY63=0,BY58=1),Feed_2,IF(BY47&gt;0,BY39*(1-BY58)/(BY38*(1-BY57)+BY39*(1-BY58)+BY40*(1-BY59)+BY41*(1-BY60)+BY42*(1-BY61)),0))</f>
        <v>0</v>
      </c>
      <c r="BZ72" s="237"/>
      <c r="CA72" s="2091">
        <f>IF(OR(CA63=0,CA58=1),Feed_2,IF(CA47&gt;0,CA39*(1-CA58)/(CA38*(1-CA57)+CA39*(1-CA58)+CA40*(1-CA59)+CA41*(1-CA60)+CA42*(1-CA61)),0))</f>
        <v>0</v>
      </c>
      <c r="CB72" s="237"/>
      <c r="CC72" s="2091">
        <f>IF(OR(CC63=0,CC58=1),Feed_2,IF(CC47&gt;0,CC39*(1-CC58)/(CC38*(1-CC57)+CC39*(1-CC58)+CC40*(1-CC59)+CC41*(1-CC60)+CC42*(1-CC61)),0))</f>
        <v>0</v>
      </c>
      <c r="CD72" s="237"/>
      <c r="CE72" s="85"/>
      <c r="CF72" s="81"/>
      <c r="CG72" s="2"/>
      <c r="CH72" s="512" t="s">
        <v>5103</v>
      </c>
      <c r="CI72" s="83"/>
      <c r="CJ72" s="1289">
        <f>IF(CJ16&lt;&gt;"",LN(IF(CJ$66&gt;=200,CJ$27*CJ$64*200^CJ$65,NBPuff_A*CJ16/CJ20/(200-CJ$66+CJ$67)^(1/NBPuff_B))),0)</f>
        <v>0</v>
      </c>
      <c r="CK72" s="83"/>
      <c r="CL72" s="23"/>
      <c r="CM72" s="83"/>
    </row>
    <row r="73" spans="1:91" ht="15" customHeight="1" thickBot="1" x14ac:dyDescent="0.3">
      <c r="A73" s="2"/>
      <c r="B73" s="512" t="str">
        <f t="shared" si="52"/>
        <v/>
      </c>
      <c r="C73" s="83"/>
      <c r="D73" s="2091">
        <f>IF(OR(D63=0,D59=1),Feed_3,IF(D48&gt;0,D40*(1-D59)/(D38*(1-D57)+D39*(1-D58)+D40*(1-D59)+D41*(1-D60)+D42*(1-D61)),0))</f>
        <v>0</v>
      </c>
      <c r="E73" s="83"/>
      <c r="F73" s="2091">
        <f>IF(OR(F63=0,F59=1),Feed_3,IF(F48&gt;0,F40*(1-F59)/(F38*(1-F57)+F39*(1-F58)+F40*(1-F59)+F41*(1-F60)+F42*(1-F61)),0))</f>
        <v>0</v>
      </c>
      <c r="G73" s="83"/>
      <c r="H73" s="2091">
        <f>IF(OR(H63=0,H59=1),Feed_3,IF(H48&gt;0,H40*(1-H59)/(H38*(1-H57)+H39*(1-H58)+H40*(1-H59)+H41*(1-H60)+H42*(1-H61)),0))</f>
        <v>0</v>
      </c>
      <c r="I73" s="83"/>
      <c r="J73" s="2091">
        <f>IF(OR(J63=0,J59=1),Feed_3,IF(J48&gt;0,J40*(1-J59)/(J38*(1-J57)+J39*(1-J58)+J40*(1-J59)+J41*(1-J60)+J42*(1-J61)),0))</f>
        <v>0</v>
      </c>
      <c r="K73" s="83"/>
      <c r="L73" s="2091">
        <f>IF(OR(L63=0,L59=1),Feed_3,IF(L48&gt;0,L40*(1-L59)/(L38*(1-L57)+L39*(1-L58)+L40*(1-L59)+L41*(1-L60)+L42*(1-L61)),0))</f>
        <v>0</v>
      </c>
      <c r="M73" s="83"/>
      <c r="N73" s="2091">
        <f>IF(OR(N63=0,N59=1),Feed_3,IF(N48&gt;0,N40*(1-N59)/(N38*(1-N57)+N39*(1-N58)+N40*(1-N59)+N41*(1-N60)+N42*(1-N61)),0))</f>
        <v>0</v>
      </c>
      <c r="O73" s="83"/>
      <c r="P73" s="2091">
        <f>IF(OR(P63=0,P59=1),Feed_3,IF(P48&gt;0,P40*(1-P59)/(P38*(1-P57)+P39*(1-P58)+P40*(1-P59)+P41*(1-P60)+P42*(1-P61)),0))</f>
        <v>0</v>
      </c>
      <c r="Q73" s="83"/>
      <c r="R73" s="2091">
        <f>IF(OR(R63=0,R59=1),Feed_3,IF(R48&gt;0,R40*(1-R59)/(R38*(1-R57)+R39*(1-R58)+R40*(1-R59)+R41*(1-R60)+R42*(1-R61)),0))</f>
        <v>0</v>
      </c>
      <c r="S73" s="83"/>
      <c r="T73" s="2091">
        <f>IF(OR(T63=0,T59=1),Feed_3,IF(T48&gt;0,T40*(1-T59)/(T38*(1-T57)+T39*(1-T58)+T40*(1-T59)+T41*(1-T60)+T42*(1-T61)),0))</f>
        <v>0</v>
      </c>
      <c r="U73" s="83"/>
      <c r="V73" s="2091">
        <f>IF(OR(V63=0,V59=1),Feed_3,IF(V48&gt;0,V40*(1-V59)/(V38*(1-V57)+V39*(1-V58)+V40*(1-V59)+V41*(1-V60)+V42*(1-V61)),0))</f>
        <v>0</v>
      </c>
      <c r="W73" s="83"/>
      <c r="X73" s="2091">
        <f>IF(OR(X63=0,X59=1),Feed_3,IF(X48&gt;0,X40*(1-X59)/(X38*(1-X57)+X39*(1-X58)+X40*(1-X59)+X41*(1-X60)+X42*(1-X61)),0))</f>
        <v>0</v>
      </c>
      <c r="Y73" s="83"/>
      <c r="Z73" s="85"/>
      <c r="AA73" s="83"/>
      <c r="AB73" s="81"/>
      <c r="AC73" s="512" t="str">
        <f t="shared" si="53"/>
        <v/>
      </c>
      <c r="AD73" s="81"/>
      <c r="AE73" s="2091">
        <f>IF(OR(AE63=0,AE59=1),Feed_3,IF(AE48&gt;0,AE40*(1-AE59)/(AE38*(1-AE57)+AE39*(1-AE58)+AE40*(1-AE59)+AE41*(1-AE60)+AE42*(1-AE61)),0))</f>
        <v>0</v>
      </c>
      <c r="AF73" s="81"/>
      <c r="AG73" s="2091">
        <f>IF(OR(AG63=0,AG59=1),Feed_3,IF(AG48&gt;0,AG40*(1-AG59)/(AG38*(1-AG57)+AG39*(1-AG58)+AG40*(1-AG59)+AG41*(1-AG60)+AG42*(1-AG61)),0))</f>
        <v>0</v>
      </c>
      <c r="AH73" s="81"/>
      <c r="AI73" s="2091">
        <f>IF(OR(AI63=0,AI59=1),Feed_3,IF(AI48&gt;0,AI40*(1-AI59)/(AI38*(1-AI57)+AI39*(1-AI58)+AI40*(1-AI59)+AI41*(1-AI60)+AI42*(1-AI61)),0))</f>
        <v>0</v>
      </c>
      <c r="AJ73" s="81"/>
      <c r="AK73" s="2091">
        <f>IF(OR(AK63=0,AK59=1),Feed_3,IF(AK48&gt;0,AK40*(1-AK59)/(AK38*(1-AK57)+AK39*(1-AK58)+AK40*(1-AK59)+AK41*(1-AK60)+AK42*(1-AK61)),0))</f>
        <v>0</v>
      </c>
      <c r="AL73" s="81"/>
      <c r="AM73" s="2091">
        <f>IF(OR(AM63=0,AM59=1),Feed_3,IF(AM48&gt;0,AM40*(1-AM59)/(AM38*(1-AM57)+AM39*(1-AM58)+AM40*(1-AM59)+AM41*(1-AM60)+AM42*(1-AM61)),0))</f>
        <v>0</v>
      </c>
      <c r="AN73" s="81"/>
      <c r="AO73" s="2091">
        <f>IF(OR(AO63=0,AO59=1),HTFeed_3,IF(AO48&gt;0,AO40*(1-AO59)/(AO38*(1-AO57)+AO39*(1-AO58)+AO40*(1-AO59)+AO41*(1-AO60)+AO42*(1-AO61)),0))</f>
        <v>0</v>
      </c>
      <c r="AP73" s="81"/>
      <c r="AQ73" s="85"/>
      <c r="AR73" s="81"/>
      <c r="AS73" s="83"/>
      <c r="AT73" s="85" t="s">
        <v>2205</v>
      </c>
      <c r="AU73" s="83"/>
      <c r="AV73" s="2647">
        <f>IF(AV48=0,0,(AV8+AV15*AV17)*AV82*IF(AV48&gt;0,AV67/AV48,1))</f>
        <v>0</v>
      </c>
      <c r="AW73" s="1679"/>
      <c r="AX73" s="2647">
        <f>IF(AX48=0,0,(AX8+AX15*AX17)*AX82*IF(AX48&gt;0,AX67/AX48,1))</f>
        <v>0</v>
      </c>
      <c r="AY73" s="1679"/>
      <c r="AZ73" s="2647">
        <f>IF(AZ48=0,0,(AZ8+AZ15*AZ17)*AZ82*IF(AZ48&gt;0,AZ67/AZ48,1))</f>
        <v>0</v>
      </c>
      <c r="BA73" s="1679"/>
      <c r="BB73" s="2647">
        <f>IF(BB48=0,0,(BB8+BB15*BB17)*BB82*IF(BB48&gt;0,BB67/BB48,1))</f>
        <v>0</v>
      </c>
      <c r="BC73" s="1679"/>
      <c r="BD73" s="2647">
        <f>IF(BD48=0,0,(BD8+BD15*BD17)*BD82*IF(BD48&gt;0,BD67/BD48,1))</f>
        <v>0</v>
      </c>
      <c r="BE73" s="1679"/>
      <c r="BF73" s="2647">
        <f>IF(BF48=0,0,(BF8+BF15*BF17)*BF82*IF(BF48&gt;0,BF67/BF48,1))</f>
        <v>0</v>
      </c>
      <c r="BG73" s="1679"/>
      <c r="BH73" s="2647">
        <f>IF(BH48=0,0,(BH8+BH15*BH17)*BH82*IF(BH48&gt;0,BH67/BH48,1))</f>
        <v>0</v>
      </c>
      <c r="BI73" s="1679"/>
      <c r="BJ73" s="2647">
        <f>IF(BJ48=0,0,(BJ8+BJ15*BJ17)*BJ82*IF(BJ48&gt;0,BJ67/BJ48,1))</f>
        <v>0</v>
      </c>
      <c r="BK73" s="1679"/>
      <c r="BL73" s="2647">
        <f>IF(BL48=0,0,(BL8+BL15*BL17)*BL82*IF(BL48&gt;0,BL67/BL48,1))</f>
        <v>0</v>
      </c>
      <c r="BM73" s="1679"/>
      <c r="BN73" s="2647">
        <f>IF(BN48=0,0,(BN8+BN15*BN17)*BN82*IF(BN48&gt;0,BN67/BN48,1))</f>
        <v>0</v>
      </c>
      <c r="BO73" s="83"/>
      <c r="BP73" s="85" t="s">
        <v>1069</v>
      </c>
      <c r="BQ73" s="83"/>
      <c r="BR73" s="81"/>
      <c r="BS73" s="22" t="str">
        <f t="shared" si="54"/>
        <v/>
      </c>
      <c r="BT73" s="237"/>
      <c r="BU73" s="2091">
        <f>IF(OR(BU63=0,BU59=1),Feed_3,IF(BU48&gt;0,BU40*(1-BU59)/(BU38*(1-BU57)+BU39*(1-BU58)+BU40*(1-BU59)+BU41*(1-BU60)+BU42*(1-BU61)),0))</f>
        <v>0</v>
      </c>
      <c r="BV73" s="237"/>
      <c r="BW73" s="2091">
        <f>IF(OR(BW63=0,BW59=1),Feed_3,IF(BW48&gt;0,BW40*(1-BW59)/(BW38*(1-BW57)+BW39*(1-BW58)+BW40*(1-BW59)+BW41*(1-BW60)+BW42*(1-BW61)),0))</f>
        <v>0</v>
      </c>
      <c r="BX73" s="237"/>
      <c r="BY73" s="2091">
        <f>IF(OR(BY63=0,BY59=1),Feed_3,IF(BY48&gt;0,BY40*(1-BY59)/(BY38*(1-BY57)+BY39*(1-BY58)+BY40*(1-BY59)+BY41*(1-BY60)+BY42*(1-BY61)),0))</f>
        <v>0</v>
      </c>
      <c r="BZ73" s="237"/>
      <c r="CA73" s="2091">
        <f>IF(OR(CA63=0,CA59=1),Feed_3,IF(CA48&gt;0,CA40*(1-CA59)/(CA38*(1-CA57)+CA39*(1-CA58)+CA40*(1-CA59)+CA41*(1-CA60)+CA42*(1-CA61)),0))</f>
        <v>0</v>
      </c>
      <c r="CB73" s="237"/>
      <c r="CC73" s="2091">
        <f>IF(OR(CC63=0,CC59=1),Feed_3,IF(CC48&gt;0,CC40*(1-CC59)/(CC38*(1-CC57)+CC39*(1-CC58)+CC40*(1-CC59)+CC41*(1-CC60)+CC42*(1-CC61)),0))</f>
        <v>0</v>
      </c>
      <c r="CD73" s="237"/>
      <c r="CE73" s="85"/>
      <c r="CF73" s="81"/>
      <c r="CG73" s="2"/>
      <c r="CH73" s="512" t="s">
        <v>5104</v>
      </c>
      <c r="CI73" s="83"/>
      <c r="CJ73" s="1289">
        <f>IF(CJ16&lt;&gt;"",LN(IF(CJ$66&gt;=500,CJ$27*CJ$64*500^CJ$65,NBPuff_A*CJ16/CJ20/(500-CJ$66+CJ$67)^(1/NBPuff_B))),0)</f>
        <v>0</v>
      </c>
      <c r="CK73" s="83"/>
      <c r="CL73" s="23"/>
      <c r="CM73" s="83"/>
    </row>
    <row r="74" spans="1:91" ht="15" customHeight="1" thickBot="1" x14ac:dyDescent="0.3">
      <c r="A74" s="2"/>
      <c r="B74" s="512" t="str">
        <f t="shared" si="52"/>
        <v/>
      </c>
      <c r="C74" s="83"/>
      <c r="D74" s="2091">
        <f>IF(OR(D63=0,D60=1),Feed_4,IF(D49&gt;0,D41*(1-D60)/(D38*(1-D57)+D39*(1-D58)+D40*(1-D59)+D41*(1-D60)+D42*(1-D61)),0))</f>
        <v>0</v>
      </c>
      <c r="E74" s="83"/>
      <c r="F74" s="2091">
        <f>IF(OR(F63=0,F60=1),Feed_4,IF(F49&gt;0,F41*(1-F60)/(F38*(1-F57)+F39*(1-F58)+F40*(1-F59)+F41*(1-F60)+F42*(1-F61)),0))</f>
        <v>0</v>
      </c>
      <c r="G74" s="83"/>
      <c r="H74" s="2091">
        <f>IF(OR(H63=0,H60=1),Feed_4,IF(H49&gt;0,H41*(1-H60)/(H38*(1-H57)+H39*(1-H58)+H40*(1-H59)+H41*(1-H60)+H42*(1-H61)),0))</f>
        <v>0</v>
      </c>
      <c r="I74" s="83"/>
      <c r="J74" s="2091">
        <f>IF(OR(J63=0,J60=1),Feed_4,IF(J49&gt;0,J41*(1-J60)/(J38*(1-J57)+J39*(1-J58)+J40*(1-J59)+J41*(1-J60)+J42*(1-J61)),0))</f>
        <v>0</v>
      </c>
      <c r="K74" s="83"/>
      <c r="L74" s="2091">
        <f>IF(OR(L63=0,L60=1),Feed_4,IF(L49&gt;0,L41*(1-L60)/(L38*(1-L57)+L39*(1-L58)+L40*(1-L59)+L41*(1-L60)+L42*(1-L61)),0))</f>
        <v>0</v>
      </c>
      <c r="M74" s="83"/>
      <c r="N74" s="2091">
        <f>IF(OR(N63=0,N60=1),Feed_4,IF(N49&gt;0,N41*(1-N60)/(N38*(1-N57)+N39*(1-N58)+N40*(1-N59)+N41*(1-N60)+N42*(1-N61)),0))</f>
        <v>0</v>
      </c>
      <c r="O74" s="83"/>
      <c r="P74" s="2091">
        <f>IF(OR(P63=0,P60=1),Feed_4,IF(P49&gt;0,P41*(1-P60)/(P38*(1-P57)+P39*(1-P58)+P40*(1-P59)+P41*(1-P60)+P42*(1-P61)),0))</f>
        <v>0</v>
      </c>
      <c r="Q74" s="83"/>
      <c r="R74" s="2091">
        <f>IF(OR(R63=0,R60=1),Feed_4,IF(R49&gt;0,R41*(1-R60)/(R38*(1-R57)+R39*(1-R58)+R40*(1-R59)+R41*(1-R60)+R42*(1-R61)),0))</f>
        <v>0</v>
      </c>
      <c r="S74" s="83"/>
      <c r="T74" s="2091">
        <f>IF(OR(T63=0,T60=1),Feed_4,IF(T49&gt;0,T41*(1-T60)/(T38*(1-T57)+T39*(1-T58)+T40*(1-T59)+T41*(1-T60)+T42*(1-T61)),0))</f>
        <v>0</v>
      </c>
      <c r="U74" s="83"/>
      <c r="V74" s="2091">
        <f>IF(OR(V63=0,V60=1),Feed_4,IF(V49&gt;0,V41*(1-V60)/(V38*(1-V57)+V39*(1-V58)+V40*(1-V59)+V41*(1-V60)+V42*(1-V61)),0))</f>
        <v>0</v>
      </c>
      <c r="W74" s="83"/>
      <c r="X74" s="2091">
        <f>IF(OR(X63=0,X60=1),Feed_4,IF(X49&gt;0,X41*(1-X60)/(X38*(1-X57)+X39*(1-X58)+X40*(1-X59)+X41*(1-X60)+X42*(1-X61)),0))</f>
        <v>0</v>
      </c>
      <c r="Y74" s="83"/>
      <c r="Z74" s="85"/>
      <c r="AA74" s="83"/>
      <c r="AB74" s="81"/>
      <c r="AC74" s="512" t="str">
        <f t="shared" si="53"/>
        <v/>
      </c>
      <c r="AD74" s="81"/>
      <c r="AE74" s="2091">
        <f>IF(OR(AE63=0,AE60=1),Feed_4,IF(AE49&gt;0,AE41*(1-AE60)/(AE38*(1-AE57)+AE39*(1-AE58)+AE40*(1-AE59)+AE41*(1-AE60)+AE42*(1-AE61)),0))</f>
        <v>0</v>
      </c>
      <c r="AF74" s="81"/>
      <c r="AG74" s="2091">
        <f>IF(OR(AG63=0,AG60=1),Feed_4,IF(AG49&gt;0,AG41*(1-AG60)/(AG38*(1-AG57)+AG39*(1-AG58)+AG40*(1-AG59)+AG41*(1-AG60)+AG42*(1-AG61)),0))</f>
        <v>0</v>
      </c>
      <c r="AH74" s="81"/>
      <c r="AI74" s="2091">
        <f>IF(OR(AI63=0,AI60=1),Feed_4,IF(AI49&gt;0,AI41*(1-AI60)/(AI38*(1-AI57)+AI39*(1-AI58)+AI40*(1-AI59)+AI41*(1-AI60)+AI42*(1-AI61)),0))</f>
        <v>0</v>
      </c>
      <c r="AJ74" s="81"/>
      <c r="AK74" s="2091">
        <f>IF(OR(AK63=0,AK60=1),Feed_4,IF(AK49&gt;0,AK41*(1-AK60)/(AK38*(1-AK57)+AK39*(1-AK58)+AK40*(1-AK59)+AK41*(1-AK60)+AK42*(1-AK61)),0))</f>
        <v>0</v>
      </c>
      <c r="AL74" s="81"/>
      <c r="AM74" s="2091">
        <f>IF(OR(AM63=0,AM60=1),Feed_4,IF(AM49&gt;0,AM41*(1-AM60)/(AM38*(1-AM57)+AM39*(1-AM58)+AM40*(1-AM59)+AM41*(1-AM60)+AM42*(1-AM61)),0))</f>
        <v>0</v>
      </c>
      <c r="AN74" s="81"/>
      <c r="AO74" s="2091">
        <f>IF(OR(AO63=0,AO60=1),HTFeed_4,IF(AO49&gt;0,AO41*(1-AO60)/(AO38*(1-AO57)+AO39*(1-AO58)+AO40*(1-AO59)+AO41*(1-AO60)+AO42*(1-AO61)),0))</f>
        <v>0</v>
      </c>
      <c r="AP74" s="81"/>
      <c r="AQ74" s="85"/>
      <c r="AR74" s="81"/>
      <c r="AS74" s="83"/>
      <c r="AT74" s="25" t="s">
        <v>3650</v>
      </c>
      <c r="AU74" s="83"/>
      <c r="AV74" s="1169">
        <f>IF(AV67&gt;0,AV73*AV66/AV67,0)</f>
        <v>0</v>
      </c>
      <c r="AW74" s="83"/>
      <c r="AX74" s="1169">
        <f>IF(AX67&gt;0,AX73*AX66/AX67,0)</f>
        <v>0</v>
      </c>
      <c r="AY74" s="83"/>
      <c r="AZ74" s="1169">
        <f>IF(AZ67&gt;0,AZ73*AZ66/AZ67,0)</f>
        <v>0</v>
      </c>
      <c r="BA74" s="83"/>
      <c r="BB74" s="1169">
        <f>IF(BB67&gt;0,BB73*BB66/BB67,0)</f>
        <v>0</v>
      </c>
      <c r="BC74" s="83"/>
      <c r="BD74" s="1169">
        <f>IF(BD67&gt;0,BD73*BD66/BD67,0)</f>
        <v>0</v>
      </c>
      <c r="BE74" s="83"/>
      <c r="BF74" s="1169">
        <f>IF(BF67&gt;0,BF73*BF66/BF67,0)</f>
        <v>0</v>
      </c>
      <c r="BG74" s="83"/>
      <c r="BH74" s="1169">
        <f>IF(BH67&gt;0,BH73*BH66/BH67,0)</f>
        <v>0</v>
      </c>
      <c r="BI74" s="83"/>
      <c r="BJ74" s="1169">
        <f>IF(BJ67&gt;0,BJ73*BJ66/BJ67,0)</f>
        <v>0</v>
      </c>
      <c r="BK74" s="83"/>
      <c r="BL74" s="1169">
        <f>IF(BL67&gt;0,BL73*BL66/BL67,0)</f>
        <v>0</v>
      </c>
      <c r="BM74" s="83"/>
      <c r="BN74" s="1169">
        <f>IF(BN67&gt;0,BN73*BN66/BN67,0)</f>
        <v>0</v>
      </c>
      <c r="BO74" s="83"/>
      <c r="BP74" s="25" t="s">
        <v>1069</v>
      </c>
      <c r="BQ74" s="83"/>
      <c r="BR74" s="81"/>
      <c r="BS74" s="22" t="str">
        <f t="shared" si="54"/>
        <v/>
      </c>
      <c r="BT74" s="237"/>
      <c r="BU74" s="2091">
        <f>IF(OR(BU63=0,BU60=1),Feed_4,IF(BU49&gt;0,BU41*(1-BU60)/(BU38*(1-BU57)+BU39*(1-BU58)+BU40*(1-BU59)+BU41*(1-BU60)+BU42*(1-BU61)),0))</f>
        <v>0</v>
      </c>
      <c r="BV74" s="237"/>
      <c r="BW74" s="2091">
        <f>IF(OR(BW63=0,BW60=1),Feed_4,IF(BW49&gt;0,BW41*(1-BW60)/(BW38*(1-BW57)+BW39*(1-BW58)+BW40*(1-BW59)+BW41*(1-BW60)+BW42*(1-BW61)),0))</f>
        <v>0</v>
      </c>
      <c r="BX74" s="237"/>
      <c r="BY74" s="2091">
        <f>IF(OR(BY63=0,BY60=1),Feed_4,IF(BY49&gt;0,BY41*(1-BY60)/(BY38*(1-BY57)+BY39*(1-BY58)+BY40*(1-BY59)+BY41*(1-BY60)+BY42*(1-BY61)),0))</f>
        <v>0</v>
      </c>
      <c r="BZ74" s="237"/>
      <c r="CA74" s="2091">
        <f>IF(OR(CA63=0,CA60=1),Feed_4,IF(CA49&gt;0,CA41*(1-CA60)/(CA38*(1-CA57)+CA39*(1-CA58)+CA40*(1-CA59)+CA41*(1-CA60)+CA42*(1-CA61)),0))</f>
        <v>0</v>
      </c>
      <c r="CB74" s="237"/>
      <c r="CC74" s="2091">
        <f>IF(OR(CC63=0,CC60=1),Feed_4,IF(CC49&gt;0,CC41*(1-CC60)/(CC38*(1-CC57)+CC39*(1-CC58)+CC40*(1-CC59)+CC41*(1-CC60)+CC42*(1-CC61)),0))</f>
        <v>0</v>
      </c>
      <c r="CD74" s="237"/>
      <c r="CE74" s="85"/>
      <c r="CF74" s="81"/>
      <c r="CG74" s="2"/>
      <c r="CH74" s="512" t="s">
        <v>5105</v>
      </c>
      <c r="CI74" s="83"/>
      <c r="CJ74" s="1289">
        <f>IF(CJ16&lt;&gt;"",LN(IF(CJ$66&gt;=1000,CJ$27*CJ$64*1000^CJ$65,NBPuff_A*CJ16/CJ20/(1000-CJ$66+CJ$67)^(1/NBPuff_B))),0)</f>
        <v>0</v>
      </c>
      <c r="CK74" s="83"/>
      <c r="CL74" s="23"/>
      <c r="CM74" s="83"/>
    </row>
    <row r="75" spans="1:91" ht="15" customHeight="1" thickBot="1" x14ac:dyDescent="0.3">
      <c r="A75" s="2"/>
      <c r="B75" s="615" t="str">
        <f t="shared" si="52"/>
        <v/>
      </c>
      <c r="C75" s="83"/>
      <c r="D75" s="2091">
        <f>IF(OR(D63=0,D61=1),Feed_5,IF(D50&gt;0,D42*(1-D61)/(D38*(1-D57)+D39*(1-D58)+D40*(1-D59)+D41*(1-D60)+D42*(1-D61)),0))</f>
        <v>0</v>
      </c>
      <c r="E75" s="83"/>
      <c r="F75" s="2091">
        <f>IF(OR(F63=0,F61=1),Feed_5,IF(F50&gt;0,F42*(1-F61)/(F38*(1-F57)+F39*(1-F58)+F40*(1-F59)+F41*(1-F60)+F42*(1-F61)),0))</f>
        <v>0</v>
      </c>
      <c r="G75" s="83"/>
      <c r="H75" s="2091">
        <f>IF(OR(H63=0,H61=1),Feed_5,IF(H50&gt;0,H42*(1-H61)/(H38*(1-H57)+H39*(1-H58)+H40*(1-H59)+H41*(1-H60)+H42*(1-H61)),0))</f>
        <v>0</v>
      </c>
      <c r="I75" s="83"/>
      <c r="J75" s="2091">
        <f>IF(OR(J63=0,J61=1),Feed_5,IF(J50&gt;0,J42*(1-J61)/(J38*(1-J57)+J39*(1-J58)+J40*(1-J59)+J41*(1-J60)+J42*(1-J61)),0))</f>
        <v>0</v>
      </c>
      <c r="K75" s="83"/>
      <c r="L75" s="2091">
        <f>IF(OR(L63=0,L61=1),Feed_5,IF(L50&gt;0,L42*(1-L61)/(L38*(1-L57)+L39*(1-L58)+L40*(1-L59)+L41*(1-L60)+L42*(1-L61)),0))</f>
        <v>0</v>
      </c>
      <c r="M75" s="83"/>
      <c r="N75" s="2091">
        <f>IF(OR(N63=0,N61=1),Feed_5,IF(N50&gt;0,N42*(1-N61)/(N38*(1-N57)+N39*(1-N58)+N40*(1-N59)+N41*(1-N60)+N42*(1-N61)),0))</f>
        <v>0</v>
      </c>
      <c r="O75" s="83"/>
      <c r="P75" s="2091">
        <f>IF(OR(P63=0,P61=1),Feed_5,IF(P50&gt;0,P42*(1-P61)/(P38*(1-P57)+P39*(1-P58)+P40*(1-P59)+P41*(1-P60)+P42*(1-P61)),0))</f>
        <v>0</v>
      </c>
      <c r="Q75" s="83"/>
      <c r="R75" s="2091">
        <f>IF(OR(R63=0,R61=1),Feed_5,IF(R50&gt;0,R42*(1-R61)/(R38*(1-R57)+R39*(1-R58)+R40*(1-R59)+R41*(1-R60)+R42*(1-R61)),0))</f>
        <v>0</v>
      </c>
      <c r="S75" s="83"/>
      <c r="T75" s="2091">
        <f>IF(OR(T63=0,T61=1),Feed_5,IF(T50&gt;0,T42*(1-T61)/(T38*(1-T57)+T39*(1-T58)+T40*(1-T59)+T41*(1-T60)+T42*(1-T61)),0))</f>
        <v>0</v>
      </c>
      <c r="U75" s="83"/>
      <c r="V75" s="2091">
        <f>IF(OR(V63=0,V61=1),Feed_5,IF(V50&gt;0,V42*(1-V61)/(V38*(1-V57)+V39*(1-V58)+V40*(1-V59)+V41*(1-V60)+V42*(1-V61)),0))</f>
        <v>0</v>
      </c>
      <c r="W75" s="83"/>
      <c r="X75" s="2091">
        <f>IF(OR(X63=0,X61=1),Feed_5,IF(X50&gt;0,X42*(1-X61)/(X38*(1-X57)+X39*(1-X58)+X40*(1-X59)+X41*(1-X60)+X42*(1-X61)),0))</f>
        <v>0</v>
      </c>
      <c r="Y75" s="83"/>
      <c r="Z75" s="85"/>
      <c r="AA75" s="83"/>
      <c r="AB75" s="81"/>
      <c r="AC75" s="615" t="str">
        <f t="shared" si="53"/>
        <v/>
      </c>
      <c r="AD75" s="81"/>
      <c r="AE75" s="2091">
        <f>IF(OR(AE63=0,AE61=1),Feed_5,IF(AE50&gt;0,AE42*(1-AE61)/(AE38*(1-AE57)+AE39*(1-AE58)+AE40*(1-AE59)+AE41*(1-AE60)+AE42*(1-AE61)),0))</f>
        <v>0</v>
      </c>
      <c r="AF75" s="81"/>
      <c r="AG75" s="2091">
        <f>IF(OR(AG63=0,AG61=1),Feed_5,IF(AG50&gt;0,AG42*(1-AG61)/(AG38*(1-AG57)+AG39*(1-AG58)+AG40*(1-AG59)+AG41*(1-AG60)+AG42*(1-AG61)),0))</f>
        <v>0</v>
      </c>
      <c r="AH75" s="81"/>
      <c r="AI75" s="2091">
        <f>IF(OR(AI63=0,AI61=1),Feed_5,IF(AI50&gt;0,AI42*(1-AI61)/(AI38*(1-AI57)+AI39*(1-AI58)+AI40*(1-AI59)+AI41*(1-AI60)+AI42*(1-AI61)),0))</f>
        <v>0</v>
      </c>
      <c r="AJ75" s="81"/>
      <c r="AK75" s="2091">
        <f>IF(OR(AK63=0,AK61=1),Feed_5,IF(AK50&gt;0,AK42*(1-AK61)/(AK38*(1-AK57)+AK39*(1-AK58)+AK40*(1-AK59)+AK41*(1-AK60)+AK42*(1-AK61)),0))</f>
        <v>0</v>
      </c>
      <c r="AL75" s="81"/>
      <c r="AM75" s="2091">
        <f>IF(OR(AM63=0,AM61=1),Feed_5,IF(AM50&gt;0,AM42*(1-AM61)/(AM38*(1-AM57)+AM39*(1-AM58)+AM40*(1-AM59)+AM41*(1-AM60)+AM42*(1-AM61)),0))</f>
        <v>0</v>
      </c>
      <c r="AN75" s="81"/>
      <c r="AO75" s="2091">
        <f>IF(OR(AO63=0,AO61=1),HTFeed_5,IF(AO50&gt;0,AO42*(1-AO61)/(AO38*(1-AO57)+AO39*(1-AO58)+AO40*(1-AO59)+AO41*(1-AO60)+AO42*(1-AO61)),0))</f>
        <v>0</v>
      </c>
      <c r="AP75" s="81"/>
      <c r="AQ75" s="85"/>
      <c r="AR75" s="81"/>
      <c r="AS75" s="83"/>
      <c r="AT75" s="83"/>
      <c r="AU75" s="83"/>
      <c r="AV75" s="2"/>
      <c r="AW75" s="83"/>
      <c r="AX75" s="2"/>
      <c r="AY75" s="83"/>
      <c r="AZ75" s="2"/>
      <c r="BA75" s="83"/>
      <c r="BB75" s="2"/>
      <c r="BC75" s="83"/>
      <c r="BD75" s="2"/>
      <c r="BE75" s="83"/>
      <c r="BF75" s="2"/>
      <c r="BG75" s="83"/>
      <c r="BH75" s="2"/>
      <c r="BI75" s="83"/>
      <c r="BJ75" s="2"/>
      <c r="BK75" s="83"/>
      <c r="BL75" s="2"/>
      <c r="BM75" s="83"/>
      <c r="BN75" s="2"/>
      <c r="BO75" s="83"/>
      <c r="BP75" s="83"/>
      <c r="BQ75" s="83"/>
      <c r="BR75" s="81"/>
      <c r="BS75" s="2120" t="str">
        <f t="shared" si="54"/>
        <v/>
      </c>
      <c r="BT75" s="237"/>
      <c r="BU75" s="2417">
        <f>IF(OR(BU63=0,BU61=1),Feed_5,IF(BU50&gt;0,BU42*(1-BU61)/(BU38*(1-BU57)+BU39*(1-BU58)+BU40*(1-BU59)+BU41*(1-BU60)+BU42*(1-BU61)),0))</f>
        <v>0</v>
      </c>
      <c r="BV75" s="237"/>
      <c r="BW75" s="2417">
        <f>IF(OR(BW63=0,BW61=1),Feed_5,IF(BW50&gt;0,BW42*(1-BW61)/(BW38*(1-BW57)+BW39*(1-BW58)+BW40*(1-BW59)+BW41*(1-BW60)+BW42*(1-BW61)),0))</f>
        <v>0</v>
      </c>
      <c r="BX75" s="237"/>
      <c r="BY75" s="2417">
        <f>IF(OR(BY63=0,BY61=1),Feed_5,IF(BY50&gt;0,BY42*(1-BY61)/(BY38*(1-BY57)+BY39*(1-BY58)+BY40*(1-BY59)+BY41*(1-BY60)+BY42*(1-BY61)),0))</f>
        <v>0</v>
      </c>
      <c r="BZ75" s="237"/>
      <c r="CA75" s="2417">
        <f>IF(OR(CA63=0,CA61=1),Feed_5,IF(CA50&gt;0,CA42*(1-CA61)/(CA38*(1-CA57)+CA39*(1-CA58)+CA40*(1-CA59)+CA41*(1-CA60)+CA42*(1-CA61)),0))</f>
        <v>0</v>
      </c>
      <c r="CB75" s="237"/>
      <c r="CC75" s="2417">
        <f>IF(OR(CC63=0,CC61=1),Feed_5,IF(CC50&gt;0,CC42*(1-CC61)/(CC38*(1-CC57)+CC39*(1-CC58)+CC40*(1-CC59)+CC41*(1-CC60)+CC42*(1-CC61)),0))</f>
        <v>0</v>
      </c>
      <c r="CD75" s="237"/>
      <c r="CE75" s="85"/>
      <c r="CF75" s="81"/>
      <c r="CG75" s="2"/>
      <c r="CH75" s="512" t="s">
        <v>5106</v>
      </c>
      <c r="CI75" s="83"/>
      <c r="CJ75" s="1289">
        <f>IF(CJ16&lt;&gt;"",LN(IF(CJ$66&gt;=2000,CJ$27*CJ$64*2000^CJ$65,NBPuff_A*CJ16/CJ20/(2000-CJ$66+CJ$67)^(1/NBPuff_B))),0)</f>
        <v>0</v>
      </c>
      <c r="CK75" s="83"/>
      <c r="CL75" s="23"/>
      <c r="CM75" s="83"/>
    </row>
    <row r="76" spans="1:91" ht="15" customHeight="1" thickBot="1" x14ac:dyDescent="0.3">
      <c r="A76" s="2"/>
      <c r="B76" s="25" t="s">
        <v>2214</v>
      </c>
      <c r="C76" s="83"/>
      <c r="D76" s="1273">
        <f t="array" ref="D76:D82">IF(AND(OR(Fract_Key_Mix&lt;&gt;"",Fract_Key_Chemical&gt;0),D70&gt;0),MultiCompCndsOp(T,Number_Trials,IF(OR(Psat=0,Psat&lt;1),Psat,1),Ambient_Temp,Act_rel,Molar_Vapor_Cs,Molar_HtVap,VP_A,VP_B,VP_C,D71,D72,D73,D74,D75,Alpha_1*EXP(dAlpha_1*(TBp_Aerosol-T)),Alpha_2*EXP(dAlpha_2*(TBp_Aerosol-T)),Alpha_3*EXP(dAlpha_3*(TBp_Aerosol-T)),Alpha_4*EXP(dAlpha_4*(TBp_Aerosol-T)),Alpha_5*EXP(dAlpha_5*(TBp_Aerosol-T)),Act_1,Act_2,Act_3,Act_4,Act_5,Rel_1*EXP(dRel_1*(TBp_Aerosol-T)),Rel_2*EXP(dRel_2*(TBp_Aerosol-T)),Rel_3*EXP(dRel_3*(TBp_Aerosol-T)),Rel_4*EXP(dRel_4*(TBp_Aerosol-T)),Rel_5*EXP(dRel_5*(TBp_Aerosol-T))),1)</f>
        <v>1</v>
      </c>
      <c r="E76" s="83"/>
      <c r="F76" s="1273">
        <f t="array" ref="F76:F82">IF(AND(OR(Fract_Key_Mix&lt;&gt;"",Fract_Key_Chemical&gt;0),F70&gt;0),MultiCompCndsOp(T,Number_Trials,IF(OR(Psat=0,Psat&lt;1),Psat,1),Ambient_Temp,Act_rel,Molar_Vapor_Cs,Molar_HtVap,VP_A,VP_B,VP_C,F71,F72,F73,F74,F75,Alpha_1*EXP(dAlpha_1*(TBp_Aerosol-T)),Alpha_2*EXP(dAlpha_2*(TBp_Aerosol-T)),Alpha_3*EXP(dAlpha_3*(TBp_Aerosol-T)),Alpha_4*EXP(dAlpha_4*(TBp_Aerosol-T)),Alpha_5*EXP(dAlpha_5*(TBp_Aerosol-T)),Act_1,Act_2,Act_3,Act_4,Act_5,Rel_1*EXP(dRel_1*(TBp_Aerosol-T)),Rel_2*EXP(dRel_2*(TBp_Aerosol-T)),Rel_3*EXP(dRel_3*(TBp_Aerosol-T)),Rel_4*EXP(dRel_4*(TBp_Aerosol-T)),Rel_5*EXP(dRel_5*(TBp_Aerosol-T))),1)</f>
        <v>1</v>
      </c>
      <c r="G76" s="83"/>
      <c r="H76" s="1273">
        <f t="array" ref="H76:H82">IF(AND(OR(Fract_Key_Mix&lt;&gt;"",Fract_Key_Chemical&gt;0),H70&gt;0),MultiCompCndsOp(T,Number_Trials,IF(OR(Psat=0,Psat&lt;1),Psat,1),Ambient_Temp,Act_rel,Molar_Vapor_Cs,Molar_HtVap,VP_A,VP_B,VP_C,H71,H72,H73,H74,H75,Alpha_1*EXP(dAlpha_1*(TBp_Aerosol-T)),Alpha_2*EXP(dAlpha_2*(TBp_Aerosol-T)),Alpha_3*EXP(dAlpha_3*(TBp_Aerosol-T)),Alpha_4*EXP(dAlpha_4*(TBp_Aerosol-T)),Alpha_5*EXP(dAlpha_5*(TBp_Aerosol-T)),Act_1,Act_2,Act_3,Act_4,Act_5,Rel_1*EXP(dRel_1*(TBp_Aerosol-T)),Rel_2*EXP(dRel_2*(TBp_Aerosol-T)),Rel_3*EXP(dRel_3*(TBp_Aerosol-T)),Rel_4*EXP(dRel_4*(TBp_Aerosol-T)),Rel_5*EXP(dRel_5*(TBp_Aerosol-T))),1)</f>
        <v>1</v>
      </c>
      <c r="I76" s="83"/>
      <c r="J76" s="1273">
        <f t="array" ref="J76:J82">IF(AND(OR(Fract_Key_Mix&lt;&gt;"",Fract_Key_Chemical&gt;0),J70&gt;0),MultiCompCndsOp(T,Number_Trials,IF(OR(Psat=0,Psat&lt;1),Psat,1),Ambient_Temp,Act_rel,Molar_Vapor_Cs,Molar_HtVap,VP_A,VP_B,VP_C,J71,J72,J73,J74,J75,Alpha_1*EXP(dAlpha_1*(TBp_Aerosol-T)),Alpha_2*EXP(dAlpha_2*(TBp_Aerosol-T)),Alpha_3*EXP(dAlpha_3*(TBp_Aerosol-T)),Alpha_4*EXP(dAlpha_4*(TBp_Aerosol-T)),Alpha_5*EXP(dAlpha_5*(TBp_Aerosol-T)),Act_1,Act_2,Act_3,Act_4,Act_5,Rel_1*EXP(dRel_1*(TBp_Aerosol-T)),Rel_2*EXP(dRel_2*(TBp_Aerosol-T)),Rel_3*EXP(dRel_3*(TBp_Aerosol-T)),Rel_4*EXP(dRel_4*(TBp_Aerosol-T)),Rel_5*EXP(dRel_5*(TBp_Aerosol-T))),1)</f>
        <v>1</v>
      </c>
      <c r="K76" s="83"/>
      <c r="L76" s="1273">
        <f t="array" ref="L76:L82">IF(AND(OR(Fract_Key_Mix&lt;&gt;"",Fract_Key_Chemical&gt;0),L70&gt;0),MultiCompCndsOp(T,Number_Trials,IF(OR(Psat=0,Psat&lt;1),Psat,1),Ambient_Temp,Act_rel,Molar_Vapor_Cs,Molar_HtVap,VP_A,VP_B,VP_C,L71,L72,L73,L74,L75,Alpha_1*EXP(dAlpha_1*(L37-T)),Alpha_2*EXP(dAlpha_2*(L37-T)),Alpha_3*EXP(dAlpha_3*(L37-T)),Alpha_4*EXP(dAlpha_4*(L37-T)),Alpha_5*EXP(dAlpha_5*(L37-T)),Act_1,Act_2,Act_3,Act_4,Act_5,Rel_1*EXP(dRel_1*(L37-T)),Rel_2*EXP(dRel_2*(L37-T)),Rel_3*EXP(dRel_3*(L37-T)),Rel_4*EXP(dRel_4*(L37-T)),Rel_5*EXP(dRel_5*(L37-T))),1)</f>
        <v>1</v>
      </c>
      <c r="M76" s="83"/>
      <c r="N76" s="1273">
        <f t="array" ref="N76:N82">IF(AND(OR(Fract_Key_Mix&lt;&gt;"",Fract_Key_Chemical&gt;0),N70&gt;0),MultiCompCndsOp(T,Number_Trials,IF(OR(Psat=0,Psat&lt;1),Psat,1),Ambient_Temp,Act_rel,Molar_Vapor_Cs,Molar_HtVap,VP_A,VP_B,VP_C,N71,N72,N73,N74,N75,Alpha_1*EXP(dAlpha_1*(TBp_Aerosol-T)),Alpha_2*EXP(dAlpha_2*(TBp_Aerosol-T)),Alpha_3*EXP(dAlpha_3*(TBp_Aerosol-T)),Alpha_4*EXP(dAlpha_4*(TBp_Aerosol-T)),Alpha_5*EXP(dAlpha_5*(TBp_Aerosol-T)),Act_1,Act_2,Act_3,Act_4,Act_5,Rel_1*EXP(dRel_1*(TBp_Aerosol-T)),Rel_2*EXP(dRel_2*(TBp_Aerosol-T)),Rel_3*EXP(dRel_3*(TBp_Aerosol-T)),Rel_4*EXP(dRel_4*(TBp_Aerosol-T)),Rel_5*EXP(dRel_5*(TBp_Aerosol-T))),1)</f>
        <v>1</v>
      </c>
      <c r="O76" s="83"/>
      <c r="P76" s="1273">
        <f t="array" ref="P76:P82">IF(AND(OR(Fract_Key_Mix&lt;&gt;"",Fract_Key_Chemical&gt;0),P70&gt;0),MultiCompCndsOp(T,Number_Trials,IF(OR(Psat=0,Psat&lt;1),Psat,1),Ambient_Temp,Act_rel,Molar_Vapor_Cs,Molar_HtVap,VP_A,VP_B,VP_C,P71,P72,P73,P74,P75,Alpha_1*EXP(dAlpha_1*(TBp_Aerosol-T)),Alpha_2*EXP(dAlpha_2*(TBp_Aerosol-T)),Alpha_3*EXP(dAlpha_3*(TBp_Aerosol-T)),Alpha_4*EXP(dAlpha_4*(TBp_Aerosol-T)),Alpha_5*EXP(dAlpha_5*(TBp_Aerosol-T)),Act_1,Act_2,Act_3,Act_4,Act_5,Rel_1*EXP(dRel_1*(TBp_Aerosol-T)),Rel_2*EXP(dRel_2*(TBp_Aerosol-T)),Rel_3*EXP(dRel_3*(TBp_Aerosol-T)),Rel_4*EXP(dRel_4*(TBp_Aerosol-T)),Rel_5*EXP(dRel_5*(TBp_Aerosol-T))),1)</f>
        <v>1</v>
      </c>
      <c r="Q76" s="83"/>
      <c r="R76" s="1273">
        <f t="array" ref="R76:R82">IF(AND(OR(Fract_Key_Mix&lt;&gt;"",Fract_Key_Chemical&gt;0),R70&gt;0),MultiCompCndsOp(T,Number_Trials,IF(OR(Psat=0,Psat&lt;1),Psat,1),Ambient_Temp,Act_rel,Molar_Vapor_Cs,Molar_HtVap,VP_A,VP_B,VP_C,R71,R72,R73,R74,R75,Alpha_1*EXP(dAlpha_1*(TBp_Aerosol-T)),Alpha_2*EXP(dAlpha_2*(TBp_Aerosol-T)),Alpha_3*EXP(dAlpha_3*(TBp_Aerosol-T)),Alpha_4*EXP(dAlpha_4*(TBp_Aerosol-T)),Alpha_5*EXP(dAlpha_5*(TBp_Aerosol-T)),Act_1,Act_2,Act_3,Act_4,Act_5,Rel_1*EXP(dRel_1*(TBp_Aerosol-T)),Rel_2*EXP(dRel_2*(TBp_Aerosol-T)),Rel_3*EXP(dRel_3*(TBp_Aerosol-T)),Rel_4*EXP(dRel_4*(TBp_Aerosol-T)),Rel_5*EXP(dRel_5*(TBp_Aerosol-T))),1)</f>
        <v>1</v>
      </c>
      <c r="S76" s="83"/>
      <c r="T76" s="1273">
        <f t="array" ref="T76:T82">IF(AND(OR(Fract_Key_Mix&lt;&gt;"",Fract_Key_Chemical&gt;0),T70&gt;0),MultiCompCndsOp(T,Number_Trials,IF(OR(Psat=0,Psat&lt;1),Psat,1),Ambient_Temp,Act_rel,Molar_Vapor_Cs,Molar_HtVap,VP_A,VP_B,VP_C,T71,T72,T73,T74,T75,Alpha_1*EXP(dAlpha_1*(TBp_Aerosol-T)),Alpha_2*EXP(dAlpha_2*(TBp_Aerosol-T)),Alpha_3*EXP(dAlpha_3*(TBp_Aerosol-T)),Alpha_4*EXP(dAlpha_4*(TBp_Aerosol-T)),Alpha_5*EXP(dAlpha_5*(TBp_Aerosol-T)),Act_1,Act_2,Act_3,Act_4,Act_5,Rel_1*EXP(dRel_1*(TBp_Aerosol-T)),Rel_2*EXP(dRel_2*(TBp_Aerosol-T)),Rel_3*EXP(dRel_3*(TBp_Aerosol-T)),Rel_4*EXP(dRel_4*(TBp_Aerosol-T)),Rel_5*EXP(dRel_5*(TBp_Aerosol-T))),1)</f>
        <v>1</v>
      </c>
      <c r="U76" s="83"/>
      <c r="V76" s="1273">
        <f t="array" ref="V76:V82">IF(AND(OR(Fract_Key_Mix&lt;&gt;"",Fract_Key_Chemical&gt;0),V70&gt;0),MultiCompCndsOp(T,Number_Trials,IF(OR(Psat=0,Psat&lt;1),Psat,1),Ambient_Temp,Act_rel,Molar_Vapor_Cs,Molar_HtVap,VP_A,VP_B,VP_C,V71,V72,V73,V74,V75,Alpha_1*EXP(dAlpha_1*(TBp_Aerosol-T)),Alpha_2*EXP(dAlpha_2*(TBp_Aerosol-T)),Alpha_3*EXP(dAlpha_3*(TBp_Aerosol-T)),Alpha_4*EXP(dAlpha_4*(TBp_Aerosol-T)),Alpha_5*EXP(dAlpha_5*(TBp_Aerosol-T)),Act_1,Act_2,Act_3,Act_4,Act_5,Rel_1*EXP(dRel_1*(TBp_Aerosol-T)),Rel_2*EXP(dRel_2*(TBp_Aerosol-T)),Rel_3*EXP(dRel_3*(TBp_Aerosol-T)),Rel_4*EXP(dRel_4*(TBp_Aerosol-T)),Rel_5*EXP(dRel_5*(TBp_Aerosol-T))),1)</f>
        <v>1</v>
      </c>
      <c r="W76" s="83"/>
      <c r="X76" s="1273">
        <f t="array" ref="X76:X82">IF(AND(OR(Fract_Key_Mix&lt;&gt;"",Fract_Key_Chemical&gt;0),X70&gt;0),MultiCompCndsOp(T,Number_Trials,IF(OR(Psat=0,Psat&lt;1),Psat,1),Ambient_Temp,Act_rel,Molar_Vapor_Cs,Molar_HtVap,VP_A,VP_B,VP_C,X71,X72,X73,X74,X75,Alpha_1*EXP(dAlpha_1*(TBp_Aerosol-T)),Alpha_2*EXP(dAlpha_2*(TBp_Aerosol-T)),Alpha_3*EXP(dAlpha_3*(TBp_Aerosol-T)),Alpha_4*EXP(dAlpha_4*(TBp_Aerosol-T)),Alpha_5*EXP(dAlpha_5*(TBp_Aerosol-T)),Act_1,Act_2,Act_3,Act_4,Act_5,Rel_1*EXP(dRel_1*(TBp_Aerosol-T)),Rel_2*EXP(dRel_2*(TBp_Aerosol-T)),Rel_3*EXP(dRel_3*(TBp_Aerosol-T)),Rel_4*EXP(dRel_4*(TBp_Aerosol-T)),Rel_5*EXP(dRel_5*(TBp_Aerosol-T))),1)</f>
        <v>1</v>
      </c>
      <c r="Y76" s="83"/>
      <c r="Z76" s="85"/>
      <c r="AA76" s="83"/>
      <c r="AB76" s="81"/>
      <c r="AC76" s="119" t="s">
        <v>2214</v>
      </c>
      <c r="AD76" s="81"/>
      <c r="AE76" s="1273">
        <f t="array" ref="AE76:AE82">IF(AND(OR(Fract_Key_Mix&lt;&gt;"",Fract_Key_Chemical&gt;0),AE70&gt;0),MultiCompCndsOp(T,Number_Trials,IF(OR(Psat=0,Psat&lt;1),Psat,1),Ambient_Temp,Act_rel,Molar_Vapor_Cs,Molar_HtVap,VP_A,VP_B,VP_C,AE71,AE72,AE73,AE74,AE75,Alpha_1*EXP(dAlpha_1*(AE37-T)),Alpha_2*EXP(dAlpha_2*(AE37-T)),Alpha_3*EXP(dAlpha_3*(AE37-T)),Alpha_4*EXP(dAlpha_4*(AE37-T)),Alpha_5*EXP(dAlpha_5*(AE37-T)),Act_1,Act_2,Act_3,Act_4,Act_5,Rel_1*EXP(dRel_1*(AE37-T)),Rel_2*EXP(dRel_2*(AE37-T)),Rel_3*EXP(dRel_3*(AE37-T)),Rel_4*EXP(dRel_4*(AE37-T)),Rel_5*EXP(dRel_5*(AE37-T))),1)</f>
        <v>1</v>
      </c>
      <c r="AF76" s="81"/>
      <c r="AG76" s="1273">
        <f t="array" ref="AG76:AG82">IF(AND(OR(Fract_Key_Mix&lt;&gt;"",Fract_Key_Chemical&gt;0),AG70&gt;0),MultiCompCndsOp(T,Number_Trials,IF(OR(Psat=0,Psat&lt;1),Psat,1),Ambient_Temp,Act_rel,Molar_Vapor_Cs,Molar_HtVap,VP_A,VP_B,VP_C,AG71,AG72,AG73,AG74,AG75,Alpha_1*EXP(dAlpha_1*(AG37-T)),Alpha_2*EXP(dAlpha_2*(AG37-T)),Alpha_3*EXP(dAlpha_3*(AG37-T)),Alpha_4*EXP(dAlpha_4*(AG37-T)),Alpha_5*EXP(dAlpha_5*(AG37-T)),Act_1,Act_2,Act_3,Act_4,Act_5,Rel_1*EXP(dRel_1*(AG37-T)),Rel_2*EXP(dRel_2*(AG37-T)),Rel_3*EXP(dRel_3*(AG37-T)),Rel_4*EXP(dRel_4*(AG37-T)),Rel_5*EXP(dRel_5*(AG37-T))),1)</f>
        <v>1</v>
      </c>
      <c r="AH76" s="81"/>
      <c r="AI76" s="1273">
        <f t="array" ref="AI76:AI82">IF(AND(OR(Fract_Key_Mix&lt;&gt;"",Fract_Key_Chemical&gt;0),AI70&gt;0),MultiCompCndsOp(T,Number_Trials,IF(OR(Psat=0,Psat&lt;1),Psat,1),Ambient_Temp,Act_rel,Molar_Vapor_Cs,Molar_HtVap,VP_A,VP_B,VP_C,AI71,AI72,AI73,AI74,AI75,Alpha_1*EXP(dAlpha_1*(AI37-T)),Alpha_2*EXP(dAlpha_2*(AI37-T)),Alpha_3*EXP(dAlpha_3*(AI37-T)),Alpha_4*EXP(dAlpha_4*(AI37-T)),Alpha_5*EXP(dAlpha_5*(AI37-T)),Act_1,Act_2,Act_3,Act_4,Act_5,Rel_1*EXP(dRel_1*(AI37-T)),Rel_2*EXP(dRel_2*(AI37-T)),Rel_3*EXP(dRel_3*(AI37-T)),Rel_4*EXP(dRel_4*(AI37-T)),Rel_5*EXP(dRel_5*(AI37-T))),1)</f>
        <v>1</v>
      </c>
      <c r="AJ76" s="81"/>
      <c r="AK76" s="1273">
        <f t="array" ref="AK76:AK82">IF(AND(OR(Fract_Key_Mix&lt;&gt;"",Fract_Key_Chemical&gt;0),AK70&gt;0),MultiCompCndsOp(T,Number_Trials,IF(OR(Psat=0,Psat&lt;1),Psat,1),Ambient_Temp,Act_rel,Molar_Vapor_Cs,Molar_HtVap,VP_A,VP_B,VP_C,AK71,AK72,AK73,AK74,AK75,Alpha_1*EXP(dAlpha_1*(AK37-T)),Alpha_2*EXP(dAlpha_2*(AK37-T)),Alpha_3*EXP(dAlpha_3*(AK37-T)),Alpha_4*EXP(dAlpha_4*(AK37-T)),Alpha_5*EXP(dAlpha_5*(AK37-T)),Act_1,Act_2,Act_3,Act_4,Act_5,Rel_1*EXP(dRel_1*(AK37-T)),Rel_2*EXP(dRel_2*(AK37-T)),Rel_3*EXP(dRel_3*(AK37-T)),Rel_4*EXP(dRel_4*(AK37-T)),Rel_5*EXP(dRel_5*(AK37-T))),1)</f>
        <v>1</v>
      </c>
      <c r="AL76" s="81"/>
      <c r="AM76" s="1273">
        <f t="array" ref="AM76:AM82">IF(AND(OR(Fract_Key_Mix&lt;&gt;"",Fract_Key_Chemical&gt;0),AM70&gt;0),MultiCompCndsOp(T,Number_Trials,IF(OR(Psat=0,Psat&lt;1),Psat,1),Ambient_Temp,Act_rel,Molar_Vapor_Cs,Molar_HtVap,VP_A,VP_B,VP_C,AM71,AM72,AM73,AM74,AM75,Alpha_1*EXP(dAlpha_1*(AM37-T)),Alpha_2*EXP(dAlpha_2*(AM37-T)),Alpha_3*EXP(dAlpha_3*(AM37-T)),Alpha_4*EXP(dAlpha_4*(AM37-T)),Alpha_5*EXP(dAlpha_5*(AM37-T)),Act_1,Act_2,Act_3,Act_4,Act_5,Rel_1*EXP(dRel_1*(AM37-T)),Rel_2*EXP(dRel_2*(AM37-T)),Rel_3*EXP(dRel_3*(AM37-T)),Rel_4*EXP(dRel_4*(AM37-T)),Rel_5*EXP(dRel_5*(AM37-T))),1)</f>
        <v>1</v>
      </c>
      <c r="AN76" s="81"/>
      <c r="AO76" s="2089">
        <f t="array" ref="AO76:AO82">IF(AND(AO70&gt;0),MultiCompCndsOp(Heating_T,Number_Trials,IF(OR(HT_Psat=0,HT_Psat&lt;1),HT_Psat,1),Ambient_Temp,ActHT_1,HT_Vap_C*HT_Mw,HT_Lat_Ht*HT_Mw,VPHT_A,VPHT_B,VPHT_C,AO71,AO72,AO73,AO74,AO75,AlphaHT_1,AlphaHT_2,AlphaHT_3,AlphaHT_4,AlphaHT_5,ActHT_1,ActHT_2,ActHT_3,ActHT_4,ActHT_5,RelHT_1,RelHT_2,RelHT_3,RelHT_4,RelHT_5),1)</f>
        <v>1</v>
      </c>
      <c r="AP76" s="81"/>
      <c r="AQ76" s="85"/>
      <c r="AR76" s="81"/>
      <c r="AS76" s="83"/>
      <c r="AT76" s="3039" t="s">
        <v>5044</v>
      </c>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1"/>
      <c r="BS76" s="25" t="s">
        <v>2214</v>
      </c>
      <c r="BT76" s="237"/>
      <c r="BU76" s="2419">
        <f t="array" ref="BU76:BU82">IF(AND(OR(Fract_Key_Mix&lt;&gt;"",Fract_Key_Chemical&gt;0),BU70&gt;0),MultiCompCndsOp(BU28,Number_Trials,IF(OR(Psat=0,Psat&lt;1),Psat,1),Ambient_Temp,Act_rel,Molar_Vapor_Cs,Molar_HtVap,VP_A,VP_B,VP_C,BU71,BU72,BU73,BU74,BU75,Alpha_1*EXP(dAlpha_1*(BU37-T)),Alpha_2*EXP(dAlpha_2*(BU37-T)),Alpha_3*EXP(dAlpha_3*(BU37-T)),Alpha_4*EXP(dAlpha_4*(BU37-T)),Alpha_5*EXP(dAlpha_5*(BU37-T)),Act_1,Act_2,Act_3,Act_4,Act_5,Rel_1*EXP(dRel_1*(BU37-T)),Rel_2*EXP(dRel_2*(BU37-T)),Rel_3*EXP(dRel_3*(BU37-T)),Rel_4*EXP(dRel_4*(BU37-T)),Rel_5*EXP(dRel_5*(BU37-T))),1)</f>
        <v>1</v>
      </c>
      <c r="BV76" s="237"/>
      <c r="BW76" s="2419">
        <f t="array" ref="BW76:BW82">IF(AND(OR(Fract_Key_Mix&lt;&gt;"",Fract_Key_Chemical&gt;0),BW70&gt;0),MultiCompCndsOp(BW28,Number_Trials,IF(OR(Psat=0,Psat&lt;1),Psat,1),Ambient_Temp,Act_rel,Molar_Vapor_Cs,Molar_HtVap,VP_A,VP_B,VP_C,BW71,BW72,BW73,BW74,BW75,Alpha_1*EXP(dAlpha_1*(BW37-T)),Alpha_2*EXP(dAlpha_2*(BW37-T)),Alpha_3*EXP(dAlpha_3*(BW37-T)),Alpha_4*EXP(dAlpha_4*(BW37-T)),Alpha_5*EXP(dAlpha_5*(BW37-T)),Act_1,Act_2,Act_3,Act_4,Act_5,Rel_1*EXP(dRel_1*(BW37-T)),Rel_2*EXP(dRel_2*(BW37-T)),Rel_3*EXP(dRel_3*(BW37-T)),Rel_4*EXP(dRel_4*(BW37-T)),Rel_5*EXP(dRel_5*(BW37-T))),1)</f>
        <v>1</v>
      </c>
      <c r="BX76" s="237"/>
      <c r="BY76" s="2419">
        <f t="array" ref="BY76:BY82">IF(AND(OR(Fract_Key_Mix&lt;&gt;"",Fract_Key_Chemical&gt;0),BY70&gt;0),MultiCompCndsOp(BY28,Number_Trials,1,Ambient_Temp,Act_rel,Molar_Vapor_Cs,Molar_HtVap,VP_A,VP_B,VP_C,BY71,BY72,BY73,BY74,BY75,Alpha_1*EXP(dAlpha_1*(BY37-T)),Alpha_2*EXP(dAlpha_2*(BY37-T)),Alpha_3*EXP(dAlpha_3*(BY37-T)),Alpha_4*EXP(dAlpha_4*(BY37-T)),Alpha_5*EXP(dAlpha_5*(BY37-T)),Act_1,Act_2,Act_3,Act_4,Act_5,Rel_1*EXP(dRel_1*(BY37-T)),Rel_2*EXP(dRel_2*(BY37-T)),Rel_3*EXP(dRel_3*(BY37-T)),Rel_4*EXP(dRel_4*(BY37-T)),Rel_5*EXP(dRel_5*(BY37-T))),1)</f>
        <v>1</v>
      </c>
      <c r="BZ76" s="237"/>
      <c r="CA76" s="367">
        <f t="array" ref="CA76:CA82">IF(AND(OR(Fract_Key_Mix&lt;&gt;"",Fract_Key_Chemical&gt;0),CA70&gt;0),MultiCompCndsOp(CA28,Number_Trials,IF(OR(P_atBurst_PeakT=0,P_atBurst_PeakT&lt;1),P_atBurst_PeakT,1),Ambient_Temp,Act_rel,Molar_Vapor_Cs,Molar_HtVap,VP_A,VP_B,VP_C,CA71,CA72,CA73,CA74,CA75,Alpha_1*EXP(dAlpha_1*(CA37-T)),Alpha_2*EXP(dAlpha_2*(CA37-T)),Alpha_3*EXP(dAlpha_3*(CA37-T)),Alpha_4*EXP(dAlpha_4*(CA37-T)),Alpha_5*EXP(dAlpha_5*(CA37-T)),Act_1,Act_2,Act_3,Act_4,Act_5,Rel_1*EXP(dRel_1*(CA37-T)),Rel_2*EXP(dRel_2*(CA37-T)),Rel_3*EXP(dRel_3*(CA37-T)),Rel_4*EXP(dRel_4*(CA37-T)),Rel_5*EXP(dRel_5*(CA37-T))),1)</f>
        <v>1</v>
      </c>
      <c r="CB76" s="237"/>
      <c r="CC76" s="2419">
        <f t="array" ref="CC76:CC82">IF(AND(OR(Fract_Key_Mix&lt;&gt;"",Fract_Key_Chemical&gt;0),CC70&gt;0),MultiCompCndsOp(CC28,Number_Trials,1,Ambient_Temp,Act_rel,Molar_Vapor_Cs,Molar_HtVap,VP_A,VP_B,VP_C,CC71,CC72,CC73,CC74,CC75,Alpha_1*EXP(dAlpha_1*(CC37-T)),Alpha_2*EXP(dAlpha_2*(CC37-T)),Alpha_3*EXP(dAlpha_3*(CC37-T)),Alpha_4*EXP(dAlpha_4*(CC37-T)),Alpha_5*EXP(dAlpha_5*(CC37-T)),Act_1,Act_2,Act_3,Act_4,Act_5,Rel_1*EXP(dRel_1*(CC37-T)),Rel_2*EXP(dRel_2*(CC37-T)),Rel_3*EXP(dRel_3*(CC37-T)),Rel_4*EXP(dRel_4*(CC37-T)),Rel_5*EXP(dRel_5*(CC37-T))),1)</f>
        <v>1</v>
      </c>
      <c r="CD76" s="237"/>
      <c r="CE76" s="119"/>
      <c r="CF76" s="81"/>
      <c r="CG76" s="2"/>
      <c r="CH76" s="512" t="s">
        <v>5107</v>
      </c>
      <c r="CI76" s="83"/>
      <c r="CJ76" s="1289">
        <f>IF(CJ16&lt;&gt;"",LN(IF(CJ$66&gt;=5000,CJ$27*CJ$64*5000^CJ$65,NBPuff_A*CJ16/CJ20/(5000-CJ$66+CJ$67)^(1/NBPuff_B))),0)</f>
        <v>0</v>
      </c>
      <c r="CK76" s="83"/>
      <c r="CL76" s="23"/>
      <c r="CM76" s="83"/>
    </row>
    <row r="77" spans="1:91" ht="15" customHeight="1" thickBot="1" x14ac:dyDescent="0.3">
      <c r="A77" s="2"/>
      <c r="B77" s="1278" t="str">
        <f>IF(B17="","","Vapor/Feed Mol Ratio "&amp;B17)</f>
        <v/>
      </c>
      <c r="C77" s="83"/>
      <c r="D77" s="1279">
        <v>1</v>
      </c>
      <c r="E77" s="83"/>
      <c r="F77" s="1279">
        <v>1</v>
      </c>
      <c r="G77" s="83"/>
      <c r="H77" s="1279">
        <v>1</v>
      </c>
      <c r="I77" s="83"/>
      <c r="J77" s="1279">
        <v>1</v>
      </c>
      <c r="K77" s="83"/>
      <c r="L77" s="1279">
        <v>1</v>
      </c>
      <c r="M77" s="83"/>
      <c r="N77" s="1279">
        <v>1</v>
      </c>
      <c r="O77" s="83"/>
      <c r="P77" s="1279">
        <v>1</v>
      </c>
      <c r="Q77" s="83"/>
      <c r="R77" s="1279">
        <v>1</v>
      </c>
      <c r="S77" s="83"/>
      <c r="T77" s="1279">
        <v>1</v>
      </c>
      <c r="U77" s="83"/>
      <c r="V77" s="1279">
        <v>1</v>
      </c>
      <c r="W77" s="83"/>
      <c r="X77" s="1279">
        <v>1</v>
      </c>
      <c r="Y77" s="83"/>
      <c r="Z77" s="85"/>
      <c r="AA77" s="83"/>
      <c r="AB77" s="81"/>
      <c r="AC77" s="3098" t="str">
        <f>B77</f>
        <v/>
      </c>
      <c r="AD77" s="81"/>
      <c r="AE77" s="1279">
        <v>1</v>
      </c>
      <c r="AF77" s="81"/>
      <c r="AG77" s="1279">
        <v>1</v>
      </c>
      <c r="AH77" s="81"/>
      <c r="AI77" s="1279">
        <v>1</v>
      </c>
      <c r="AJ77" s="81"/>
      <c r="AK77" s="1279">
        <v>1</v>
      </c>
      <c r="AL77" s="81"/>
      <c r="AM77" s="1279">
        <v>1</v>
      </c>
      <c r="AN77" s="81"/>
      <c r="AO77" s="2092">
        <v>1</v>
      </c>
      <c r="AP77" s="81"/>
      <c r="AQ77" s="85"/>
      <c r="AR77" s="81"/>
      <c r="AS77" s="83"/>
      <c r="AT77" s="845" t="str">
        <f>B93</f>
        <v/>
      </c>
      <c r="AU77" s="83"/>
      <c r="AV77" s="878">
        <f>IF(Mw_1&lt;&gt;"",AV68/Mw_1,0)</f>
        <v>0</v>
      </c>
      <c r="AW77" s="83"/>
      <c r="AX77" s="878">
        <f>IF(Mw_1&lt;&gt;"",AX68/Mw_1,0)</f>
        <v>0</v>
      </c>
      <c r="AY77" s="83"/>
      <c r="AZ77" s="878">
        <f>IF(Mw_1&lt;&gt;"",AZ68/Mw_1,0)</f>
        <v>0</v>
      </c>
      <c r="BA77" s="83"/>
      <c r="BB77" s="878">
        <f>IF(Mw_1&lt;&gt;"",BB68/Mw_1,0)</f>
        <v>0</v>
      </c>
      <c r="BC77" s="83"/>
      <c r="BD77" s="878">
        <f>IF(Mw_1&lt;&gt;"",BD68/Mw_1,0)</f>
        <v>0</v>
      </c>
      <c r="BE77" s="83"/>
      <c r="BF77" s="878">
        <f>IF(Mw_1&lt;&gt;"",BF68/Mw_1,0)</f>
        <v>0</v>
      </c>
      <c r="BG77" s="83"/>
      <c r="BH77" s="878">
        <f>IF(Mw_1&lt;&gt;"",BH68/Mw_1,0)</f>
        <v>0</v>
      </c>
      <c r="BI77" s="83"/>
      <c r="BJ77" s="878">
        <f>IF(Mw_1&lt;&gt;"",BJ68/Mw_1,0)</f>
        <v>0</v>
      </c>
      <c r="BK77" s="83"/>
      <c r="BL77" s="878">
        <f>IF(Mw_1&lt;&gt;"",BL68/Mw_1,0)</f>
        <v>0</v>
      </c>
      <c r="BM77" s="83"/>
      <c r="BN77" s="878">
        <f>IF(Mw_1&lt;&gt;"",BN68/Mw_1,0)</f>
        <v>0</v>
      </c>
      <c r="BO77" s="83"/>
      <c r="BP77" s="1831"/>
      <c r="BQ77" s="83"/>
      <c r="BR77" s="81"/>
      <c r="BS77" s="3101" t="str">
        <f>B77</f>
        <v/>
      </c>
      <c r="BT77" s="237"/>
      <c r="BU77" s="2418">
        <v>1</v>
      </c>
      <c r="BV77" s="237"/>
      <c r="BW77" s="2418">
        <v>1</v>
      </c>
      <c r="BX77" s="237"/>
      <c r="BY77" s="2418">
        <v>1</v>
      </c>
      <c r="BZ77" s="237"/>
      <c r="CA77" s="2418">
        <v>1</v>
      </c>
      <c r="CB77" s="237"/>
      <c r="CC77" s="2418">
        <v>1</v>
      </c>
      <c r="CD77" s="237"/>
      <c r="CE77" s="85"/>
      <c r="CF77" s="81"/>
      <c r="CG77" s="2"/>
      <c r="CH77" s="512" t="s">
        <v>5108</v>
      </c>
      <c r="CI77" s="83"/>
      <c r="CJ77" s="3002">
        <f>IF(CJ16&lt;&gt;"",LN(IF(CJ$66&gt;=10000,CJ$27*CJ$64*10000^CJ$65,NBPuff_A*CJ16/CJ20/(10000-CJ$66+CJ$67)^(1/NBPuff_B))),0)</f>
        <v>0</v>
      </c>
      <c r="CK77" s="83"/>
      <c r="CL77" s="23"/>
      <c r="CM77" s="83"/>
    </row>
    <row r="78" spans="1:91" ht="15" customHeight="1" x14ac:dyDescent="0.25">
      <c r="A78" s="2"/>
      <c r="B78" s="1278" t="str">
        <f t="shared" ref="B78:B81" si="55">IF(B18="","","Vapor/Feed Mol Ratio "&amp;B18)</f>
        <v/>
      </c>
      <c r="C78" s="83"/>
      <c r="D78" s="1279">
        <v>1</v>
      </c>
      <c r="E78" s="83"/>
      <c r="F78" s="1279">
        <v>1</v>
      </c>
      <c r="G78" s="83"/>
      <c r="H78" s="1279">
        <v>1</v>
      </c>
      <c r="I78" s="83"/>
      <c r="J78" s="1279">
        <v>1</v>
      </c>
      <c r="K78" s="83"/>
      <c r="L78" s="1279">
        <v>1</v>
      </c>
      <c r="M78" s="83"/>
      <c r="N78" s="1279">
        <v>1</v>
      </c>
      <c r="O78" s="83"/>
      <c r="P78" s="1279">
        <v>1</v>
      </c>
      <c r="Q78" s="83"/>
      <c r="R78" s="1279">
        <v>1</v>
      </c>
      <c r="S78" s="83"/>
      <c r="T78" s="1279">
        <v>1</v>
      </c>
      <c r="U78" s="83"/>
      <c r="V78" s="1279">
        <v>1</v>
      </c>
      <c r="W78" s="83"/>
      <c r="X78" s="1279">
        <v>1</v>
      </c>
      <c r="Y78" s="83"/>
      <c r="Z78" s="85"/>
      <c r="AA78" s="83"/>
      <c r="AB78" s="81"/>
      <c r="AC78" s="3098" t="str">
        <f t="shared" ref="AC78:AC81" si="56">B78</f>
        <v/>
      </c>
      <c r="AD78" s="81"/>
      <c r="AE78" s="1279">
        <v>1</v>
      </c>
      <c r="AF78" s="81"/>
      <c r="AG78" s="1279">
        <v>1</v>
      </c>
      <c r="AH78" s="81"/>
      <c r="AI78" s="1279">
        <v>1</v>
      </c>
      <c r="AJ78" s="81"/>
      <c r="AK78" s="1279">
        <v>1</v>
      </c>
      <c r="AL78" s="81"/>
      <c r="AM78" s="1279">
        <v>1</v>
      </c>
      <c r="AN78" s="81"/>
      <c r="AO78" s="2092">
        <v>1</v>
      </c>
      <c r="AP78" s="81"/>
      <c r="AQ78" s="85"/>
      <c r="AR78" s="81"/>
      <c r="AS78" s="83"/>
      <c r="AT78" s="846" t="str">
        <f t="shared" ref="AT78:AT81" si="57">B94</f>
        <v/>
      </c>
      <c r="AU78" s="83"/>
      <c r="AV78" s="2996">
        <f>IF(Mw_2&lt;&gt;"",AV69/Mw_2,0)</f>
        <v>0</v>
      </c>
      <c r="AW78" s="83"/>
      <c r="AX78" s="2996">
        <f>IF(Mw_2&lt;&gt;"",AX69/Mw_2,0)</f>
        <v>0</v>
      </c>
      <c r="AY78" s="83"/>
      <c r="AZ78" s="2996">
        <f>IF(Mw_2&lt;&gt;"",AZ69/Mw_2,0)</f>
        <v>0</v>
      </c>
      <c r="BA78" s="83"/>
      <c r="BB78" s="2996">
        <f>IF(Mw_2&lt;&gt;"",BB69/Mw_2,0)</f>
        <v>0</v>
      </c>
      <c r="BC78" s="83"/>
      <c r="BD78" s="2996">
        <f>IF(Mw_2&lt;&gt;"",BD69/Mw_2,0)</f>
        <v>0</v>
      </c>
      <c r="BE78" s="83"/>
      <c r="BF78" s="2996">
        <f>IF(Mw_2&lt;&gt;"",BF69/Mw_2,0)</f>
        <v>0</v>
      </c>
      <c r="BG78" s="83"/>
      <c r="BH78" s="2996">
        <f>IF(Mw_2&lt;&gt;"",BH69/Mw_2,0)</f>
        <v>0</v>
      </c>
      <c r="BI78" s="83"/>
      <c r="BJ78" s="2996">
        <f>IF(Mw_2&lt;&gt;"",BJ69/Mw_2,0)</f>
        <v>0</v>
      </c>
      <c r="BK78" s="83"/>
      <c r="BL78" s="2996">
        <f>IF(Mw_2&lt;&gt;"",BL69/Mw_2,0)</f>
        <v>0</v>
      </c>
      <c r="BM78" s="83"/>
      <c r="BN78" s="2996">
        <f>IF(Mw_2&lt;&gt;"",BN69/Mw_2,0)</f>
        <v>0</v>
      </c>
      <c r="BO78" s="83"/>
      <c r="BP78" s="1832"/>
      <c r="BQ78" s="83"/>
      <c r="BR78" s="81"/>
      <c r="BS78" s="3101" t="str">
        <f t="shared" ref="BS78:BS81" si="58">B78</f>
        <v/>
      </c>
      <c r="BT78" s="237"/>
      <c r="BU78" s="1279">
        <v>1</v>
      </c>
      <c r="BV78" s="237"/>
      <c r="BW78" s="1279">
        <v>1</v>
      </c>
      <c r="BX78" s="237"/>
      <c r="BY78" s="1279">
        <v>1</v>
      </c>
      <c r="BZ78" s="237"/>
      <c r="CA78" s="1279">
        <v>1</v>
      </c>
      <c r="CB78" s="237"/>
      <c r="CC78" s="1279">
        <v>1</v>
      </c>
      <c r="CD78" s="237"/>
      <c r="CE78" s="85"/>
      <c r="CF78" s="81"/>
      <c r="CG78" s="2"/>
      <c r="CH78" s="2975" t="s">
        <v>5077</v>
      </c>
      <c r="CI78" s="83"/>
      <c r="CJ78" s="2980">
        <f>IF(CJ16&lt;&gt;"",(EXP(INDEX(LINEST(CJ68:CJ77,$CJ$286:$CJ$295),2))*CJ20/CJ16)^CJ79,0)</f>
        <v>0</v>
      </c>
      <c r="CK78" s="83"/>
      <c r="CL78" s="23"/>
      <c r="CM78" s="83"/>
    </row>
    <row r="79" spans="1:91" ht="15" customHeight="1" x14ac:dyDescent="0.25">
      <c r="A79" s="2"/>
      <c r="B79" s="1278" t="str">
        <f t="shared" si="55"/>
        <v/>
      </c>
      <c r="C79" s="83"/>
      <c r="D79" s="1279">
        <v>1</v>
      </c>
      <c r="E79" s="83"/>
      <c r="F79" s="1279">
        <v>1</v>
      </c>
      <c r="G79" s="83"/>
      <c r="H79" s="1279">
        <v>1</v>
      </c>
      <c r="I79" s="83"/>
      <c r="J79" s="1279">
        <v>1</v>
      </c>
      <c r="K79" s="83"/>
      <c r="L79" s="1279">
        <v>1</v>
      </c>
      <c r="M79" s="83"/>
      <c r="N79" s="1279">
        <v>1</v>
      </c>
      <c r="O79" s="83"/>
      <c r="P79" s="1279">
        <v>1</v>
      </c>
      <c r="Q79" s="83"/>
      <c r="R79" s="1279">
        <v>1</v>
      </c>
      <c r="S79" s="83"/>
      <c r="T79" s="1279">
        <v>1</v>
      </c>
      <c r="U79" s="83"/>
      <c r="V79" s="1279">
        <v>1</v>
      </c>
      <c r="W79" s="83"/>
      <c r="X79" s="1279">
        <v>1</v>
      </c>
      <c r="Y79" s="83"/>
      <c r="Z79" s="85"/>
      <c r="AA79" s="83"/>
      <c r="AB79" s="81"/>
      <c r="AC79" s="3098" t="str">
        <f t="shared" si="56"/>
        <v/>
      </c>
      <c r="AD79" s="81"/>
      <c r="AE79" s="1279">
        <v>1</v>
      </c>
      <c r="AF79" s="81"/>
      <c r="AG79" s="1279">
        <v>1</v>
      </c>
      <c r="AH79" s="81"/>
      <c r="AI79" s="1279">
        <v>1</v>
      </c>
      <c r="AJ79" s="81"/>
      <c r="AK79" s="1279">
        <v>1</v>
      </c>
      <c r="AL79" s="81"/>
      <c r="AM79" s="1279">
        <v>1</v>
      </c>
      <c r="AN79" s="81"/>
      <c r="AO79" s="2092">
        <v>1</v>
      </c>
      <c r="AP79" s="81"/>
      <c r="AQ79" s="85"/>
      <c r="AR79" s="81"/>
      <c r="AS79" s="83"/>
      <c r="AT79" s="846" t="str">
        <f t="shared" si="57"/>
        <v/>
      </c>
      <c r="AU79" s="83"/>
      <c r="AV79" s="2996">
        <f>IF(Mw_3&lt;&gt;"",AV70/Mw_3,0)</f>
        <v>0</v>
      </c>
      <c r="AW79" s="83"/>
      <c r="AX79" s="2996">
        <f>IF(Mw_3&lt;&gt;"",AX70/Mw_3,0)</f>
        <v>0</v>
      </c>
      <c r="AY79" s="83"/>
      <c r="AZ79" s="2996">
        <f>IF(Mw_3&lt;&gt;"",AZ70/Mw_3,0)</f>
        <v>0</v>
      </c>
      <c r="BA79" s="83"/>
      <c r="BB79" s="2996">
        <f>IF(Mw_3&lt;&gt;"",BB70/Mw_3,0)</f>
        <v>0</v>
      </c>
      <c r="BC79" s="83"/>
      <c r="BD79" s="2996">
        <f>IF(Mw_3&lt;&gt;"",BD70/Mw_3,0)</f>
        <v>0</v>
      </c>
      <c r="BE79" s="83"/>
      <c r="BF79" s="2996">
        <f>IF(Mw_3&lt;&gt;"",BF70/Mw_3,0)</f>
        <v>0</v>
      </c>
      <c r="BG79" s="83"/>
      <c r="BH79" s="2996">
        <f>IF(Mw_3&lt;&gt;"",BH70/Mw_3,0)</f>
        <v>0</v>
      </c>
      <c r="BI79" s="83"/>
      <c r="BJ79" s="2996">
        <f>IF(Mw_3&lt;&gt;"",BJ70/Mw_3,0)</f>
        <v>0</v>
      </c>
      <c r="BK79" s="83"/>
      <c r="BL79" s="2996">
        <f>IF(Mw_3&lt;&gt;"",BL70/Mw_3,0)</f>
        <v>0</v>
      </c>
      <c r="BM79" s="83"/>
      <c r="BN79" s="2996">
        <f>IF(Mw_3&lt;&gt;"",BN70/Mw_3,0)</f>
        <v>0</v>
      </c>
      <c r="BO79" s="83"/>
      <c r="BP79" s="1832"/>
      <c r="BQ79" s="83"/>
      <c r="BR79" s="81"/>
      <c r="BS79" s="3101" t="str">
        <f t="shared" si="58"/>
        <v/>
      </c>
      <c r="BT79" s="237"/>
      <c r="BU79" s="1279">
        <v>1</v>
      </c>
      <c r="BV79" s="237"/>
      <c r="BW79" s="1279">
        <v>1</v>
      </c>
      <c r="BX79" s="237"/>
      <c r="BY79" s="1279">
        <v>1</v>
      </c>
      <c r="BZ79" s="237"/>
      <c r="CA79" s="1279">
        <v>1</v>
      </c>
      <c r="CB79" s="237"/>
      <c r="CC79" s="1279">
        <v>1</v>
      </c>
      <c r="CD79" s="237"/>
      <c r="CE79" s="85"/>
      <c r="CF79" s="81"/>
      <c r="CG79" s="2"/>
      <c r="CH79" s="2977" t="s">
        <v>5078</v>
      </c>
      <c r="CI79" s="83"/>
      <c r="CJ79" s="3003">
        <f>IF(CJ16&lt;&gt;"",-1/INDEX(LINEST(CJ68:CJ77,$CJ$286:$CJ$295),1),0)</f>
        <v>0</v>
      </c>
      <c r="CK79" s="83"/>
      <c r="CL79" s="23"/>
      <c r="CM79" s="83"/>
    </row>
    <row r="80" spans="1:91" ht="15" customHeight="1" thickBot="1" x14ac:dyDescent="0.3">
      <c r="A80" s="2"/>
      <c r="B80" s="1278" t="str">
        <f t="shared" si="55"/>
        <v/>
      </c>
      <c r="C80" s="83"/>
      <c r="D80" s="1279">
        <v>1</v>
      </c>
      <c r="E80" s="83"/>
      <c r="F80" s="1279">
        <v>1</v>
      </c>
      <c r="G80" s="83"/>
      <c r="H80" s="1279">
        <v>1</v>
      </c>
      <c r="I80" s="83"/>
      <c r="J80" s="1279">
        <v>1</v>
      </c>
      <c r="K80" s="83"/>
      <c r="L80" s="1279">
        <v>1</v>
      </c>
      <c r="M80" s="83"/>
      <c r="N80" s="1279">
        <v>1</v>
      </c>
      <c r="O80" s="83"/>
      <c r="P80" s="1279">
        <v>1</v>
      </c>
      <c r="Q80" s="83"/>
      <c r="R80" s="1279">
        <v>1</v>
      </c>
      <c r="S80" s="83"/>
      <c r="T80" s="1279">
        <v>1</v>
      </c>
      <c r="U80" s="83"/>
      <c r="V80" s="1279">
        <v>1</v>
      </c>
      <c r="W80" s="83"/>
      <c r="X80" s="1279">
        <v>1</v>
      </c>
      <c r="Y80" s="83"/>
      <c r="Z80" s="85"/>
      <c r="AA80" s="83"/>
      <c r="AB80" s="81"/>
      <c r="AC80" s="3098" t="str">
        <f t="shared" si="56"/>
        <v/>
      </c>
      <c r="AD80" s="81"/>
      <c r="AE80" s="1279">
        <v>1</v>
      </c>
      <c r="AF80" s="81"/>
      <c r="AG80" s="1279">
        <v>1</v>
      </c>
      <c r="AH80" s="81"/>
      <c r="AI80" s="1279">
        <v>1</v>
      </c>
      <c r="AJ80" s="81"/>
      <c r="AK80" s="1279">
        <v>1</v>
      </c>
      <c r="AL80" s="81"/>
      <c r="AM80" s="1279">
        <v>1</v>
      </c>
      <c r="AN80" s="81"/>
      <c r="AO80" s="2092">
        <v>1</v>
      </c>
      <c r="AP80" s="81"/>
      <c r="AQ80" s="3091"/>
      <c r="AR80" s="81"/>
      <c r="AS80" s="83"/>
      <c r="AT80" s="846" t="str">
        <f t="shared" si="57"/>
        <v/>
      </c>
      <c r="AU80" s="83"/>
      <c r="AV80" s="2996">
        <f>IF(Mw_4&lt;&gt;"",AV71/Mw_4,0)</f>
        <v>0</v>
      </c>
      <c r="AW80" s="83"/>
      <c r="AX80" s="2996">
        <f>IF(Mw_4&lt;&gt;"",AX71/Mw_4,0)</f>
        <v>0</v>
      </c>
      <c r="AY80" s="83"/>
      <c r="AZ80" s="2996">
        <f>IF(Mw_4&lt;&gt;"",AZ71/Mw_4,0)</f>
        <v>0</v>
      </c>
      <c r="BA80" s="83"/>
      <c r="BB80" s="2996">
        <f>IF(Mw_4&lt;&gt;"",BB71/Mw_4,0)</f>
        <v>0</v>
      </c>
      <c r="BC80" s="83"/>
      <c r="BD80" s="2996">
        <f>IF(Mw_4&lt;&gt;"",BD71/Mw_4,0)</f>
        <v>0</v>
      </c>
      <c r="BE80" s="83"/>
      <c r="BF80" s="2996">
        <f>IF(Mw_4&lt;&gt;"",BF71/Mw_4,0)</f>
        <v>0</v>
      </c>
      <c r="BG80" s="83"/>
      <c r="BH80" s="2996">
        <f>IF(Mw_4&lt;&gt;"",BH71/Mw_4,0)</f>
        <v>0</v>
      </c>
      <c r="BI80" s="83"/>
      <c r="BJ80" s="2996">
        <f>IF(Mw_4&lt;&gt;"",BJ71/Mw_4,0)</f>
        <v>0</v>
      </c>
      <c r="BK80" s="83"/>
      <c r="BL80" s="2996">
        <f>IF(Mw_4&lt;&gt;"",BL71/Mw_4,0)</f>
        <v>0</v>
      </c>
      <c r="BM80" s="83"/>
      <c r="BN80" s="2996">
        <f>IF(Mw_4&lt;&gt;"",BN71/Mw_4,0)</f>
        <v>0</v>
      </c>
      <c r="BO80" s="83"/>
      <c r="BP80" s="1832"/>
      <c r="BQ80" s="83"/>
      <c r="BR80" s="81"/>
      <c r="BS80" s="3101" t="str">
        <f t="shared" si="58"/>
        <v/>
      </c>
      <c r="BT80" s="237"/>
      <c r="BU80" s="1279">
        <v>1</v>
      </c>
      <c r="BV80" s="237"/>
      <c r="BW80" s="1279">
        <v>1</v>
      </c>
      <c r="BX80" s="237"/>
      <c r="BY80" s="1279">
        <v>1</v>
      </c>
      <c r="BZ80" s="237"/>
      <c r="CA80" s="1279">
        <v>1</v>
      </c>
      <c r="CB80" s="237"/>
      <c r="CC80" s="1279">
        <v>1</v>
      </c>
      <c r="CD80" s="237"/>
      <c r="CE80" s="85"/>
      <c r="CF80" s="81"/>
      <c r="CG80" s="2"/>
      <c r="CH80" s="2976" t="s">
        <v>5123</v>
      </c>
      <c r="CI80" s="83"/>
      <c r="CJ80" s="2105">
        <f>IF(CJ16&lt;&gt;"",CJ78*(CJ16/(CJ20*CJ$27))^CJ79,0)</f>
        <v>0</v>
      </c>
      <c r="CK80" s="83"/>
      <c r="CL80" s="23"/>
      <c r="CM80" s="83"/>
    </row>
    <row r="81" spans="1:91" ht="15" customHeight="1" thickBot="1" x14ac:dyDescent="0.3">
      <c r="A81" s="2"/>
      <c r="B81" s="1278" t="str">
        <f t="shared" si="55"/>
        <v/>
      </c>
      <c r="C81" s="83"/>
      <c r="D81" s="1280">
        <v>1</v>
      </c>
      <c r="E81" s="83"/>
      <c r="F81" s="1280">
        <v>1</v>
      </c>
      <c r="G81" s="83"/>
      <c r="H81" s="1280">
        <v>1</v>
      </c>
      <c r="I81" s="83"/>
      <c r="J81" s="1280">
        <v>1</v>
      </c>
      <c r="K81" s="83"/>
      <c r="L81" s="1280">
        <v>1</v>
      </c>
      <c r="M81" s="83"/>
      <c r="N81" s="1280">
        <v>1</v>
      </c>
      <c r="O81" s="83"/>
      <c r="P81" s="1280">
        <v>1</v>
      </c>
      <c r="Q81" s="83"/>
      <c r="R81" s="1280">
        <v>1</v>
      </c>
      <c r="S81" s="83"/>
      <c r="T81" s="1280">
        <v>1</v>
      </c>
      <c r="U81" s="83"/>
      <c r="V81" s="1280">
        <v>1</v>
      </c>
      <c r="W81" s="83"/>
      <c r="X81" s="1280">
        <v>1</v>
      </c>
      <c r="Y81" s="83"/>
      <c r="Z81" s="85"/>
      <c r="AA81" s="83"/>
      <c r="AB81" s="81"/>
      <c r="AC81" s="3098" t="str">
        <f t="shared" si="56"/>
        <v/>
      </c>
      <c r="AD81" s="81"/>
      <c r="AE81" s="1280">
        <v>1</v>
      </c>
      <c r="AF81" s="81"/>
      <c r="AG81" s="1280">
        <v>1</v>
      </c>
      <c r="AH81" s="81"/>
      <c r="AI81" s="1280">
        <v>1</v>
      </c>
      <c r="AJ81" s="81"/>
      <c r="AK81" s="1280">
        <v>1</v>
      </c>
      <c r="AL81" s="81"/>
      <c r="AM81" s="1280">
        <v>1</v>
      </c>
      <c r="AN81" s="81"/>
      <c r="AO81" s="2408">
        <v>1</v>
      </c>
      <c r="AP81" s="81"/>
      <c r="AQ81" s="85"/>
      <c r="AR81" s="81"/>
      <c r="AS81" s="83"/>
      <c r="AT81" s="1037" t="str">
        <f t="shared" si="57"/>
        <v/>
      </c>
      <c r="AU81" s="83"/>
      <c r="AV81" s="2996">
        <f>IF(Mw_5&lt;&gt;"",AV72/Mw_5,0)</f>
        <v>0</v>
      </c>
      <c r="AW81" s="83"/>
      <c r="AX81" s="2996">
        <f>IF(Mw_5&lt;&gt;"",AX72/Mw_5,0)</f>
        <v>0</v>
      </c>
      <c r="AY81" s="83"/>
      <c r="AZ81" s="2996">
        <f>IF(Mw_5&lt;&gt;"",AZ72/Mw_5,0)</f>
        <v>0</v>
      </c>
      <c r="BA81" s="83"/>
      <c r="BB81" s="2996">
        <f>IF(Mw_5&lt;&gt;"",BB72/Mw_5,0)</f>
        <v>0</v>
      </c>
      <c r="BC81" s="83"/>
      <c r="BD81" s="2996">
        <f>IF(Mw_5&lt;&gt;"",BD72/Mw_5,0)</f>
        <v>0</v>
      </c>
      <c r="BE81" s="83"/>
      <c r="BF81" s="2996">
        <f>IF(Mw_5&lt;&gt;"",BF72/Mw_5,0)</f>
        <v>0</v>
      </c>
      <c r="BG81" s="83"/>
      <c r="BH81" s="2996">
        <f>IF(Mw_5&lt;&gt;"",BH72/Mw_5,0)</f>
        <v>0</v>
      </c>
      <c r="BI81" s="83"/>
      <c r="BJ81" s="2996">
        <f>IF(Mw_5&lt;&gt;"",BJ72/Mw_5,0)</f>
        <v>0</v>
      </c>
      <c r="BK81" s="83"/>
      <c r="BL81" s="2996">
        <f>IF(Mw_5&lt;&gt;"",BL72/Mw_5,0)</f>
        <v>0</v>
      </c>
      <c r="BM81" s="83"/>
      <c r="BN81" s="2996">
        <f>IF(Mw_5&lt;&gt;"",BN72/Mw_5,0)</f>
        <v>0</v>
      </c>
      <c r="BO81" s="83"/>
      <c r="BP81" s="1832"/>
      <c r="BQ81" s="83"/>
      <c r="BR81" s="81"/>
      <c r="BS81" s="3101" t="str">
        <f t="shared" si="58"/>
        <v/>
      </c>
      <c r="BT81" s="237"/>
      <c r="BU81" s="1280">
        <v>1</v>
      </c>
      <c r="BV81" s="237"/>
      <c r="BW81" s="1280">
        <v>1</v>
      </c>
      <c r="BX81" s="237"/>
      <c r="BY81" s="1280">
        <v>1</v>
      </c>
      <c r="BZ81" s="237"/>
      <c r="CA81" s="1280">
        <v>1</v>
      </c>
      <c r="CB81" s="237"/>
      <c r="CC81" s="1280">
        <v>1</v>
      </c>
      <c r="CD81" s="237"/>
      <c r="CE81" s="25"/>
      <c r="CF81" s="81"/>
      <c r="CG81" s="2"/>
      <c r="CH81" s="85" t="s">
        <v>5079</v>
      </c>
      <c r="CI81" s="83"/>
      <c r="CJ81" s="3004" t="str">
        <f>IF(OR(State="Solid",AND(CJ$13="",CJ$17="Instantaneous")),"Instantaneous",IF(AND(CJ$13&lt;&gt;"",CJ$16&lt;&gt;""),IF(CJ$13&gt;CJ$16*(CJ78^(1/CJ79)/CJ52^(1/CJ53))*Wind*(1*Wind*CJ$16/CJ$13)^(1/CJ53-1/CJ79),"Instantaneous","Continuous"),"Instantaneous"))</f>
        <v>Instantaneous</v>
      </c>
      <c r="CK81" s="83"/>
      <c r="CL81" s="23"/>
      <c r="CM81" s="83"/>
    </row>
    <row r="82" spans="1:91" ht="15" customHeight="1" thickBot="1" x14ac:dyDescent="0.3">
      <c r="A82" s="2"/>
      <c r="B82" s="2407" t="s">
        <v>4630</v>
      </c>
      <c r="C82" s="83"/>
      <c r="D82" s="2411">
        <v>1</v>
      </c>
      <c r="E82" s="1690"/>
      <c r="F82" s="2411">
        <v>1</v>
      </c>
      <c r="G82" s="1690"/>
      <c r="H82" s="2411">
        <v>1</v>
      </c>
      <c r="I82" s="1690"/>
      <c r="J82" s="2411">
        <v>1</v>
      </c>
      <c r="K82" s="1690"/>
      <c r="L82" s="2411">
        <v>1</v>
      </c>
      <c r="M82" s="1690"/>
      <c r="N82" s="2411">
        <v>1</v>
      </c>
      <c r="O82" s="1690"/>
      <c r="P82" s="2411">
        <v>1</v>
      </c>
      <c r="Q82" s="1690"/>
      <c r="R82" s="2411">
        <v>1</v>
      </c>
      <c r="S82" s="1690"/>
      <c r="T82" s="2411">
        <v>1</v>
      </c>
      <c r="U82" s="1690"/>
      <c r="V82" s="2411">
        <v>1</v>
      </c>
      <c r="W82" s="1690"/>
      <c r="X82" s="2411">
        <v>1</v>
      </c>
      <c r="Y82" s="83"/>
      <c r="Z82" s="85"/>
      <c r="AA82" s="83"/>
      <c r="AB82" s="81"/>
      <c r="AC82" s="2407" t="s">
        <v>4630</v>
      </c>
      <c r="AD82" s="81"/>
      <c r="AE82" s="2411">
        <v>1</v>
      </c>
      <c r="AF82" s="2413"/>
      <c r="AG82" s="2411">
        <v>1</v>
      </c>
      <c r="AH82" s="2413"/>
      <c r="AI82" s="2411">
        <v>1</v>
      </c>
      <c r="AJ82" s="2413"/>
      <c r="AK82" s="2411">
        <v>1</v>
      </c>
      <c r="AL82" s="2413"/>
      <c r="AM82" s="2411">
        <v>1</v>
      </c>
      <c r="AN82" s="2413"/>
      <c r="AO82" s="2479">
        <v>1</v>
      </c>
      <c r="AP82" s="81"/>
      <c r="AQ82" s="85"/>
      <c r="AR82" s="81"/>
      <c r="AS82" s="83"/>
      <c r="AT82" s="1038" t="s">
        <v>2207</v>
      </c>
      <c r="AU82" s="83"/>
      <c r="AV82" s="2101">
        <f>IF(SUM(AV77:AV81)&gt;0,AV67/SUM(AV77:AV81),Mw_Mix)</f>
        <v>0</v>
      </c>
      <c r="AW82" s="269"/>
      <c r="AX82" s="2101">
        <f>IF(SUM(AX77:AX81)&gt;0,AX67/SUM(AX77:AX81),Mw_Mix)</f>
        <v>0</v>
      </c>
      <c r="AY82" s="269"/>
      <c r="AZ82" s="2101">
        <f>IF(SUM(AZ77:AZ81)&gt;0,AZ67/SUM(AZ77:AZ81),Mw_Mix)</f>
        <v>0</v>
      </c>
      <c r="BA82" s="269"/>
      <c r="BB82" s="2101">
        <f>IF(SUM(BB77:BB81)&gt;0,BB67/SUM(BB77:BB81),Mw_Mix)</f>
        <v>0</v>
      </c>
      <c r="BC82" s="269"/>
      <c r="BD82" s="2101">
        <f>IF(SUM(BD77:BD81)&gt;0,BD67/SUM(BD77:BD81),Mw_Mix)</f>
        <v>0</v>
      </c>
      <c r="BE82" s="269"/>
      <c r="BF82" s="2101">
        <f>IF(SUM(BF77:BF81)&gt;0,BF67/SUM(BF77:BF81),Mw_Mix)</f>
        <v>0</v>
      </c>
      <c r="BG82" s="269"/>
      <c r="BH82" s="2101">
        <f>IF(SUM(BH77:BH81)&gt;0,BH67/SUM(BH77:BH81),Mw_Mix)</f>
        <v>0</v>
      </c>
      <c r="BI82" s="269"/>
      <c r="BJ82" s="2101">
        <f>IF(SUM(BJ77:BJ81)&gt;0,BJ67/SUM(BJ77:BJ81),Mw_Mix)</f>
        <v>0</v>
      </c>
      <c r="BK82" s="269"/>
      <c r="BL82" s="2101">
        <f>IF(SUM(BL77:BL81)&gt;0,BL67/SUM(BL77:BL81),Mw_Mix)</f>
        <v>0</v>
      </c>
      <c r="BM82" s="269"/>
      <c r="BN82" s="2101">
        <f>IF(SUM(BN77:BN81)&gt;0,BN67/SUM(BN77:BN81),Mw_Mix)</f>
        <v>0</v>
      </c>
      <c r="BO82" s="269"/>
      <c r="BP82" s="1833" t="s">
        <v>3806</v>
      </c>
      <c r="BQ82" s="83"/>
      <c r="BR82" s="81"/>
      <c r="BS82" s="2407" t="s">
        <v>4630</v>
      </c>
      <c r="BT82" s="237"/>
      <c r="BU82" s="2411">
        <v>1</v>
      </c>
      <c r="BV82" s="2416"/>
      <c r="BW82" s="2411">
        <v>1</v>
      </c>
      <c r="BX82" s="2416"/>
      <c r="BY82" s="2411">
        <v>1</v>
      </c>
      <c r="BZ82" s="2416"/>
      <c r="CA82" s="2411">
        <v>1</v>
      </c>
      <c r="CB82" s="2416"/>
      <c r="CC82" s="2411">
        <v>1</v>
      </c>
      <c r="CD82" s="237"/>
      <c r="CE82" s="85"/>
      <c r="CF82" s="81"/>
      <c r="CG82" s="2"/>
      <c r="CH82" s="1689" t="s">
        <v>5062</v>
      </c>
      <c r="CI82" s="83"/>
      <c r="CJ82" s="2426">
        <f>IF(AND(CJ13&lt;&gt;"",CJ29&gt;0),(CJ29^2*(CJ13/CJ28)/Wind_Night^5)^0.2,0)</f>
        <v>0</v>
      </c>
      <c r="CK82" s="83"/>
      <c r="CL82" s="23"/>
      <c r="CM82" s="83"/>
    </row>
    <row r="83" spans="1:91" ht="15" customHeight="1" thickBot="1" x14ac:dyDescent="0.3">
      <c r="A83" s="2"/>
      <c r="B83" s="119" t="s">
        <v>2215</v>
      </c>
      <c r="C83" s="83"/>
      <c r="D83" s="853">
        <f>SUM(D84:D88)</f>
        <v>0</v>
      </c>
      <c r="E83" s="83"/>
      <c r="F83" s="853">
        <f>SUM(F84:F88)</f>
        <v>0</v>
      </c>
      <c r="G83" s="83"/>
      <c r="H83" s="853">
        <f>SUM(H84:H88)</f>
        <v>0</v>
      </c>
      <c r="I83" s="83"/>
      <c r="J83" s="853">
        <f>SUM(J84:J88)</f>
        <v>0</v>
      </c>
      <c r="K83" s="83"/>
      <c r="L83" s="853">
        <f>SUM(L84:L88)</f>
        <v>0</v>
      </c>
      <c r="M83" s="83"/>
      <c r="N83" s="853">
        <f>SUM(N84:N88)</f>
        <v>0</v>
      </c>
      <c r="O83" s="83"/>
      <c r="P83" s="853">
        <f>SUM(P84:P88)</f>
        <v>0</v>
      </c>
      <c r="Q83" s="83"/>
      <c r="R83" s="102">
        <f>SUM(R84:R88)</f>
        <v>0</v>
      </c>
      <c r="S83" s="83"/>
      <c r="T83" s="853">
        <f>SUM(T84:T88)</f>
        <v>0</v>
      </c>
      <c r="U83" s="83"/>
      <c r="V83" s="853">
        <f>SUM(V84:V88)</f>
        <v>0</v>
      </c>
      <c r="W83" s="83"/>
      <c r="X83" s="844">
        <f>SUM(X84:X88)</f>
        <v>0</v>
      </c>
      <c r="Y83" s="83"/>
      <c r="Z83" s="92" t="s">
        <v>1497</v>
      </c>
      <c r="AA83" s="83"/>
      <c r="AB83" s="81"/>
      <c r="AC83" s="1038" t="s">
        <v>2215</v>
      </c>
      <c r="AD83" s="81"/>
      <c r="AE83" s="1767">
        <f>SUM(AE84:AE88)</f>
        <v>0</v>
      </c>
      <c r="AF83" s="81"/>
      <c r="AG83" s="1767">
        <f>SUM(AG84:AG88)</f>
        <v>0</v>
      </c>
      <c r="AH83" s="81"/>
      <c r="AI83" s="1767">
        <f>SUM(AI84:AI88)</f>
        <v>0</v>
      </c>
      <c r="AJ83" s="81"/>
      <c r="AK83" s="1767">
        <f>SUM(AK84:AK88)</f>
        <v>0</v>
      </c>
      <c r="AL83" s="81"/>
      <c r="AM83" s="1767">
        <f>SUM(AM84:AM88)</f>
        <v>0</v>
      </c>
      <c r="AN83" s="81"/>
      <c r="AO83" s="855">
        <f>SUM(AO84:AO88)</f>
        <v>0</v>
      </c>
      <c r="AP83" s="81"/>
      <c r="AQ83" s="92" t="s">
        <v>1497</v>
      </c>
      <c r="AR83" s="81"/>
      <c r="AS83" s="83"/>
      <c r="AT83" s="92" t="s">
        <v>5046</v>
      </c>
      <c r="AU83" s="83"/>
      <c r="AV83" s="2997" t="e">
        <f>IF(AV278="Indoors",AV299/1000000,IF(AV91&gt;0,AV91,1))</f>
        <v>#DIV/0!</v>
      </c>
      <c r="AW83" s="269"/>
      <c r="AX83" s="2997" t="e">
        <f>IF(AX278="Indoors",AX299/1000000,IF(AX91&gt;0,AX91,1))</f>
        <v>#DIV/0!</v>
      </c>
      <c r="AY83" s="269"/>
      <c r="AZ83" s="2997" t="e">
        <f>IF(AZ278="Indoors",AZ299/1000000,IF(AZ91&gt;0,AZ91,1))</f>
        <v>#DIV/0!</v>
      </c>
      <c r="BA83" s="269"/>
      <c r="BB83" s="2997" t="e">
        <f>IF(BB278="Indoors",BB299/1000000,IF(BB91&gt;0,BB91,1))</f>
        <v>#DIV/0!</v>
      </c>
      <c r="BC83" s="269"/>
      <c r="BD83" s="2997" t="e">
        <f>IF(BD278="Indoors",BD299/1000000,IF(BD91&gt;0,BD91,1))</f>
        <v>#DIV/0!</v>
      </c>
      <c r="BE83" s="269"/>
      <c r="BF83" s="2997" t="e">
        <f>IF(BF278="Indoors",BF299/1000000,IF(BF91&gt;0,BF91,1))</f>
        <v>#DIV/0!</v>
      </c>
      <c r="BG83" s="269"/>
      <c r="BH83" s="2997" t="e">
        <f>IF(BH278="Indoors",BH299/1000000,IF(BH91&gt;0,BH91,1))</f>
        <v>#DIV/0!</v>
      </c>
      <c r="BI83" s="269"/>
      <c r="BJ83" s="2997" t="e">
        <f>IF(BJ278="Indoors",BJ299/1000000,IF(BJ91&gt;0,BJ91,1))</f>
        <v>#DIV/0!</v>
      </c>
      <c r="BK83" s="269"/>
      <c r="BL83" s="2997" t="e">
        <f>IF(BL278="Indoors",BL299/1000000,IF(BL91&gt;0,BL91,1))</f>
        <v>#DIV/0!</v>
      </c>
      <c r="BM83" s="269"/>
      <c r="BN83" s="2997" t="e">
        <f>IF(BN278="Indoors",BN299/1000000,IF(BN91&gt;0,BN91,1))</f>
        <v>#DIV/0!</v>
      </c>
      <c r="BO83" s="269"/>
      <c r="BP83" s="85" t="s">
        <v>3813</v>
      </c>
      <c r="BQ83" s="83"/>
      <c r="BR83" s="81"/>
      <c r="BS83" s="119" t="s">
        <v>2215</v>
      </c>
      <c r="BT83" s="237"/>
      <c r="BU83" s="1765">
        <f>SUM(BU84:BU88)</f>
        <v>0</v>
      </c>
      <c r="BV83" s="237"/>
      <c r="BW83" s="1765">
        <f>SUM(BW84:BW88)</f>
        <v>0</v>
      </c>
      <c r="BX83" s="237"/>
      <c r="BY83" s="1765">
        <f>SUM(BY84:BY88)</f>
        <v>0</v>
      </c>
      <c r="BZ83" s="237"/>
      <c r="CA83" s="1765">
        <f>SUM(CA84:CA88)</f>
        <v>0</v>
      </c>
      <c r="CB83" s="237"/>
      <c r="CC83" s="1765">
        <f>CC12*SUM(CC84:CC88)</f>
        <v>0</v>
      </c>
      <c r="CD83" s="237"/>
      <c r="CE83" s="1836" t="s">
        <v>1497</v>
      </c>
      <c r="CF83" s="81"/>
      <c r="CG83" s="2"/>
      <c r="CH83" s="1691" t="s">
        <v>5063</v>
      </c>
      <c r="CI83" s="83"/>
      <c r="CJ83" s="3000">
        <f>IF(AND(CJ$29&gt;0,CJ82&gt;0),CJ27*0.15^6/CJ82^5,1)</f>
        <v>1</v>
      </c>
      <c r="CK83" s="83"/>
      <c r="CL83" s="23"/>
      <c r="CM83" s="83"/>
    </row>
    <row r="84" spans="1:91" ht="15" customHeight="1" x14ac:dyDescent="0.25">
      <c r="A84" s="2"/>
      <c r="B84" s="512" t="str">
        <f>B17</f>
        <v/>
      </c>
      <c r="C84" s="83"/>
      <c r="D84" s="1275">
        <f>IF(State="Vapor",D17*D77,IF(D17&gt;D64,D77*(D17-D64),0))</f>
        <v>0</v>
      </c>
      <c r="E84" s="83"/>
      <c r="F84" s="1275">
        <f>IF(State="Vapor",F17*F77,IF(F17&gt;F64,F77*(F17-F64),0))</f>
        <v>0</v>
      </c>
      <c r="G84" s="83"/>
      <c r="H84" s="1275">
        <f>IF(State="Vapor",H17*H77,IF(H17&gt;H64,H77*(H17-H64),0))</f>
        <v>0</v>
      </c>
      <c r="I84" s="83"/>
      <c r="J84" s="1275">
        <f>IF(State="Vapor",J17*J77,IF(J17&gt;J64,J77*(J17-J64),0))</f>
        <v>0</v>
      </c>
      <c r="K84" s="83"/>
      <c r="L84" s="1275">
        <f>IF(State="Vapor",L17*L77,IF(L17&gt;L64,L77*(L17-L64),0))</f>
        <v>0</v>
      </c>
      <c r="M84" s="83"/>
      <c r="N84" s="1275">
        <f>IF(State="Vapor",N17*N77,IF(N17&gt;N64,N77*(N17-N64),0))</f>
        <v>0</v>
      </c>
      <c r="O84" s="83"/>
      <c r="P84" s="1275">
        <f>IF(State="Vapor",P17*P77,IF(P17&gt;P64,P77*(P17-P64),0))</f>
        <v>0</v>
      </c>
      <c r="Q84" s="83"/>
      <c r="R84" s="1285">
        <f>IF(State="Vapor",R17*R77,IF(R17&gt;R64,R77*(R17-R64),0))</f>
        <v>0</v>
      </c>
      <c r="S84" s="83"/>
      <c r="T84" s="1275">
        <f>IF(State="Vapor",T17*T77,IF(T17&gt;T64,T77*(T17-T64),0))</f>
        <v>0</v>
      </c>
      <c r="U84" s="83"/>
      <c r="V84" s="1275">
        <f>IF(State="Vapor",V17*V77,IF(V17&gt;V64,V77*(V17-V64),0))</f>
        <v>0</v>
      </c>
      <c r="W84" s="83"/>
      <c r="X84" s="1275">
        <f>IF(State="Vapor",X17*X77,IF(X17&gt;X64,X77*(X17-X64),0))</f>
        <v>0</v>
      </c>
      <c r="Y84" s="83"/>
      <c r="Z84" s="85" t="s">
        <v>1497</v>
      </c>
      <c r="AA84" s="83"/>
      <c r="AB84" s="81"/>
      <c r="AC84" s="512" t="str">
        <f>B84</f>
        <v/>
      </c>
      <c r="AD84" s="81"/>
      <c r="AE84" s="1768">
        <f>IF(State="Vapor",AE17*AE77,IF(AE17&gt;AE64,AE77*(AE17-AE64),0))</f>
        <v>0</v>
      </c>
      <c r="AF84" s="81"/>
      <c r="AG84" s="1768">
        <f>IF(State="Vapor",AG17*AG77,IF(AG17&gt;AG64,AG77*(AG17-AG64),0))</f>
        <v>0</v>
      </c>
      <c r="AH84" s="81"/>
      <c r="AI84" s="1768">
        <f>IF(State="Vapor",AI17*AI77,IF(AI17&gt;AI64,AI77*(AI17-AI64),0))</f>
        <v>0</v>
      </c>
      <c r="AJ84" s="81"/>
      <c r="AK84" s="1768">
        <f>IF(State="Vapor",AK17*AK77,IF(AK17&gt;AK64,AK77*(AK17-AK64),0))</f>
        <v>0</v>
      </c>
      <c r="AL84" s="81"/>
      <c r="AM84" s="1768">
        <f>IF(State="Vapor",AM17*AM77,IF(AM17&gt;AM64,AM77*(AM17-AM64),0))</f>
        <v>0</v>
      </c>
      <c r="AN84" s="81"/>
      <c r="AO84" s="1764">
        <f>IF(Heating_Media_State="Vapor",AO17*AO77,IF(AO17&gt;AO64,AO77*(AO17-AO64),0))</f>
        <v>0</v>
      </c>
      <c r="AP84" s="81"/>
      <c r="AQ84" s="85" t="s">
        <v>1497</v>
      </c>
      <c r="AR84" s="81"/>
      <c r="AS84" s="83"/>
      <c r="AT84" s="1691" t="s">
        <v>5291</v>
      </c>
      <c r="AU84" s="83"/>
      <c r="AV84" s="3108">
        <f>IF(AV278="Indoors",AV299/1000000,IF(Relief_Discharge_Location="Outdoors-Upwards",AV83,1))</f>
        <v>1</v>
      </c>
      <c r="AW84" s="269"/>
      <c r="AX84" s="3108">
        <f>IF(AX278="Indoors",AX299/1000000,IF(Relief_Discharge_Location="Outdoors-Upwards",AX83,1))</f>
        <v>1</v>
      </c>
      <c r="AY84" s="269"/>
      <c r="AZ84" s="3108">
        <f>IF(AZ278="Indoors",AZ299/1000000,IF(Relief_Discharge_Location="Outdoors-Upwards",AZ83,1))</f>
        <v>1</v>
      </c>
      <c r="BA84" s="269"/>
      <c r="BB84" s="3108">
        <f>IF(BB278="Indoors",BB299/1000000,IF(Relief_Discharge_Location="Outdoors-Upwards",BB83,1))</f>
        <v>1</v>
      </c>
      <c r="BC84" s="269"/>
      <c r="BD84" s="3108">
        <f>IF(BD278="Indoors",BD299/1000000,IF(Relief_Discharge_Location="Outdoors-Upwards",BD83,1))</f>
        <v>1</v>
      </c>
      <c r="BE84" s="269"/>
      <c r="BF84" s="3108">
        <f>IF(BF278="Indoors",BF299/1000000,IF(Relief_Discharge_Location="Outdoors-Upwards",BF83,1))</f>
        <v>1</v>
      </c>
      <c r="BG84" s="269"/>
      <c r="BH84" s="3108">
        <f>IF(BH278="Indoors",BH299/1000000,IF(Relief_Discharge_Location="Outdoors-Upwards",BH83,1))</f>
        <v>1</v>
      </c>
      <c r="BI84" s="269"/>
      <c r="BJ84" s="3108">
        <f>IF(BJ278="Indoors",BJ299/1000000,IF(Relief_Discharge_Location="Outdoors-Upwards",BJ83,1))</f>
        <v>1</v>
      </c>
      <c r="BK84" s="269"/>
      <c r="BL84" s="3108">
        <f>IF(BL278="Indoors",BL299/1000000,IF(Relief_Discharge_Location="Outdoors-Upwards",BL83,1))</f>
        <v>1</v>
      </c>
      <c r="BM84" s="269"/>
      <c r="BN84" s="3108">
        <f>IF(BN278="Indoors",BN299/1000000,IF(Relief_Discharge_Location="Outdoors-Upwards",BN83,1))</f>
        <v>1</v>
      </c>
      <c r="BO84" s="269"/>
      <c r="BP84" s="85" t="s">
        <v>3813</v>
      </c>
      <c r="BQ84" s="83"/>
      <c r="BR84" s="81"/>
      <c r="BS84" s="846" t="str">
        <f>B84</f>
        <v/>
      </c>
      <c r="BT84" s="237"/>
      <c r="BU84" s="1768">
        <f>IF(State="Vapor",BU17*BU77,IF(BU17&gt;BU64,BU77*(BU17-BU64),0))</f>
        <v>0</v>
      </c>
      <c r="BV84" s="237"/>
      <c r="BW84" s="1768">
        <f>IF(State="Vapor",BW17*BW77,IF(BW17&gt;BW64,BW77*(BW17-BW64),0))</f>
        <v>0</v>
      </c>
      <c r="BX84" s="237"/>
      <c r="BY84" s="1768">
        <f>IF(State="Vapor",BY17*BY77,IF(BY17&gt;BY64,BY77*(BY17-BY64),0))</f>
        <v>0</v>
      </c>
      <c r="BZ84" s="237"/>
      <c r="CA84" s="1768">
        <f>IF(State="Vapor",CA17*CA77,IF(CA17&gt;CA64,CA77*(CA17-CA64),0))</f>
        <v>0</v>
      </c>
      <c r="CB84" s="237"/>
      <c r="CC84" s="1768">
        <f>IF(State="Vapor",CC17*CC77,IF(CC17&gt;CC64,CC77*(CC17-CC64),0))</f>
        <v>0</v>
      </c>
      <c r="CD84" s="237"/>
      <c r="CE84" s="1837" t="s">
        <v>1497</v>
      </c>
      <c r="CF84" s="81"/>
      <c r="CG84" s="2"/>
      <c r="CH84" s="512" t="s">
        <v>5115</v>
      </c>
      <c r="CI84" s="83"/>
      <c r="CJ84" s="3000">
        <f>LN(IF(CJ$83&lt;CJ$27,IF(LOG(CJ$82)&lt;-0.55,56.2,IF(LOG(CJ$82)&lt;-0.14,10^(1.88+0.24*LOG(CJ$82)),10^(1.78-0.5*LOG(CJ$82))))*(CJ13/(CJ$28*Wind_Night))^0.5,1))</f>
        <v>0</v>
      </c>
      <c r="CK84" s="83"/>
      <c r="CL84" s="23"/>
      <c r="CM84" s="83"/>
    </row>
    <row r="85" spans="1:91" ht="15" customHeight="1" x14ac:dyDescent="0.25">
      <c r="A85" s="2"/>
      <c r="B85" s="512" t="str">
        <f t="shared" ref="B85:B88" si="59">B18</f>
        <v/>
      </c>
      <c r="C85" s="238"/>
      <c r="D85" s="1275">
        <f>IF(State="Vapor",D18*D78,IF(D18&gt;D65,D78*(D18-D65),0))</f>
        <v>0</v>
      </c>
      <c r="E85" s="238"/>
      <c r="F85" s="1275">
        <f>IF(State="Vapor",F18*F78,IF(F18&gt;F65,F78*(F18-F65),0))</f>
        <v>0</v>
      </c>
      <c r="G85" s="83"/>
      <c r="H85" s="1275">
        <f>IF(State="Vapor",H18*H78,IF(H18&gt;H65,H78*(H18-H65),0))</f>
        <v>0</v>
      </c>
      <c r="I85" s="83"/>
      <c r="J85" s="1275">
        <f>IF(State="Vapor",J18*J78,IF(J18&gt;J65,J78*(J18-J65),0))</f>
        <v>0</v>
      </c>
      <c r="K85" s="83"/>
      <c r="L85" s="1275">
        <f>IF(State="Vapor",L18*L78,IF(L18&gt;L65,L78*(L18-L65),0))</f>
        <v>0</v>
      </c>
      <c r="M85" s="83"/>
      <c r="N85" s="1275">
        <f>IF(State="Vapor",N18*N78,IF(N18&gt;N65,N78*(N18-N65),0))</f>
        <v>0</v>
      </c>
      <c r="O85" s="83"/>
      <c r="P85" s="1275">
        <f>IF(State="Vapor",P18*P78,IF(P18&gt;P65,P78*(P18-P65),0))</f>
        <v>0</v>
      </c>
      <c r="Q85" s="83"/>
      <c r="R85" s="1285">
        <f>IF(State="Vapor",R18*R78,IF(R18&gt;R65,R78*(R18-R65),0))</f>
        <v>0</v>
      </c>
      <c r="S85" s="83"/>
      <c r="T85" s="1275">
        <f>IF(State="Vapor",T18*T78,IF(T18&gt;T65,T78*(T18-T65),0))</f>
        <v>0</v>
      </c>
      <c r="U85" s="83"/>
      <c r="V85" s="1275">
        <f>IF(State="Vapor",V18*V78,IF(V18&gt;V65,V78*(V18-V65),0))</f>
        <v>0</v>
      </c>
      <c r="W85" s="83"/>
      <c r="X85" s="1275">
        <f>IF(State="Vapor",X18*X78,IF(X18&gt;X65,X78*(X18-X65),0))</f>
        <v>0</v>
      </c>
      <c r="Y85" s="83"/>
      <c r="Z85" s="85" t="s">
        <v>1497</v>
      </c>
      <c r="AA85" s="83"/>
      <c r="AB85" s="81"/>
      <c r="AC85" s="512" t="str">
        <f t="shared" ref="AC85:AC88" si="60">B85</f>
        <v/>
      </c>
      <c r="AD85" s="81"/>
      <c r="AE85" s="1275">
        <f>IF(State="Vapor",AE18*AE78,IF(AE18&gt;AE65,AE78*(AE18-AE65),0))</f>
        <v>0</v>
      </c>
      <c r="AF85" s="81"/>
      <c r="AG85" s="1275">
        <f>IF(State="Vapor",AG18*AG78,IF(AG18&gt;AG65,AG78*(AG18-AG65),0))</f>
        <v>0</v>
      </c>
      <c r="AH85" s="81"/>
      <c r="AI85" s="1275">
        <f>IF(State="Vapor",AI18*AI78,IF(AI18&gt;AI65,AI78*(AI18-AI65),0))</f>
        <v>0</v>
      </c>
      <c r="AJ85" s="81"/>
      <c r="AK85" s="1275">
        <f>IF(State="Vapor",AK18*AK78,IF(AK18&gt;AK65,AK78*(AK18-AK65),0))</f>
        <v>0</v>
      </c>
      <c r="AL85" s="81"/>
      <c r="AM85" s="1275">
        <f>IF(State="Vapor",AM18*AM78,IF(AM18&gt;AM65,AM78*(AM18-AM65),0))</f>
        <v>0</v>
      </c>
      <c r="AN85" s="81"/>
      <c r="AO85" s="1285">
        <f>IF(Heating_Media_State="Vapor",AO18*AO78,IF(AO18&gt;AO65,AO78*(AO18-AO65),0))</f>
        <v>0</v>
      </c>
      <c r="AP85" s="81"/>
      <c r="AQ85" s="85" t="s">
        <v>1497</v>
      </c>
      <c r="AR85" s="81"/>
      <c r="AS85" s="83"/>
      <c r="AT85" s="1691" t="s">
        <v>5047</v>
      </c>
      <c r="AU85" s="83"/>
      <c r="AV85" s="2998" t="e">
        <f>12.2*AV83*AV82/(AV9+273)+(1-AV83)*Air_Dens</f>
        <v>#DIV/0!</v>
      </c>
      <c r="AW85" s="83"/>
      <c r="AX85" s="2998" t="e">
        <f>12.2*AX83*AX82/(AX9+273)+(1-AX83)*Air_Dens</f>
        <v>#DIV/0!</v>
      </c>
      <c r="AY85" s="83"/>
      <c r="AZ85" s="2998" t="e">
        <f>12.2*AZ83*AZ82/(AZ9+273)+(1-AZ83)*Air_Dens</f>
        <v>#DIV/0!</v>
      </c>
      <c r="BA85" s="83"/>
      <c r="BB85" s="2998" t="e">
        <f>12.2*BB83*BB82/(BB9+273)+(1-BB83)*Air_Dens</f>
        <v>#DIV/0!</v>
      </c>
      <c r="BC85" s="83"/>
      <c r="BD85" s="2998" t="e">
        <f>12.2*BD83*BD82/(BD9+273)+(1-BD83)*Air_Dens</f>
        <v>#DIV/0!</v>
      </c>
      <c r="BE85" s="83"/>
      <c r="BF85" s="2998" t="e">
        <f>12.2*BF83*BF82/(BF9+273)+(1-BF83)*Air_Dens</f>
        <v>#DIV/0!</v>
      </c>
      <c r="BG85" s="83"/>
      <c r="BH85" s="2998" t="e">
        <f>12.2*BH83*BH82/(BH9+273)+(1-BH83)*Air_Dens</f>
        <v>#DIV/0!</v>
      </c>
      <c r="BI85" s="83"/>
      <c r="BJ85" s="2998" t="e">
        <f>12.2*BJ83*BJ82/(BJ9+273)+(1-BJ83)*Air_Dens</f>
        <v>#DIV/0!</v>
      </c>
      <c r="BK85" s="83"/>
      <c r="BL85" s="2998" t="e">
        <f>12.2*BL83*BL82/(BL9+273)+(1-BL83)*Air_Dens</f>
        <v>#DIV/0!</v>
      </c>
      <c r="BM85" s="83"/>
      <c r="BN85" s="2998" t="e">
        <f>12.2*BN83*BN82/(BN9+273)+(1-BN83)*Air_Dens</f>
        <v>#DIV/0!</v>
      </c>
      <c r="BO85" s="83"/>
      <c r="BP85" s="85" t="s">
        <v>3814</v>
      </c>
      <c r="BQ85" s="83"/>
      <c r="BR85" s="81"/>
      <c r="BS85" s="846" t="str">
        <f t="shared" ref="BS85:BS88" si="61">B85</f>
        <v/>
      </c>
      <c r="BT85" s="237"/>
      <c r="BU85" s="1275">
        <f>IF(State="Vapor",BU18*BU78,IF(BU18&gt;BU65,BU78*(BU18-BU65),0))</f>
        <v>0</v>
      </c>
      <c r="BV85" s="237"/>
      <c r="BW85" s="1275">
        <f>IF(State="Vapor",BW18*BW78,IF(BW18&gt;BW65,BW78*(BW18-BW65),0))</f>
        <v>0</v>
      </c>
      <c r="BX85" s="237"/>
      <c r="BY85" s="1275">
        <f t="array" ref="BY85">IF(State="Vapor",BY18*BY78,IF(BY18&gt;BY65,BY78*(BY18-BY65),0))</f>
        <v>0</v>
      </c>
      <c r="BZ85" s="237"/>
      <c r="CA85" s="1275">
        <f>IF(State="Vapor",CA18*CA78,IF(CA18&gt;CA65,CA78*(CA18-CA65),0))</f>
        <v>0</v>
      </c>
      <c r="CB85" s="237"/>
      <c r="CC85" s="1275">
        <f>IF(State="Vapor",CC18*CC78,IF(CC18&gt;CC65,CC78*(CC18-CC65),0))</f>
        <v>0</v>
      </c>
      <c r="CD85" s="237"/>
      <c r="CE85" s="85" t="s">
        <v>1497</v>
      </c>
      <c r="CF85" s="81"/>
      <c r="CG85" s="2"/>
      <c r="CH85" s="512" t="s">
        <v>5116</v>
      </c>
      <c r="CI85" s="83"/>
      <c r="CJ85" s="3000">
        <f>LN(IF(CJ$83&lt;CJ$27,IF(LOG(CJ$82)&lt;-0.68,83.2,IF(LOG(CJ$82)&lt;-0.29,10^(2.16+0.36*LOG(CJ$82)),IF(LOG(CJ$82)&lt;-0.18,114.8,10^(1.96-0.56*LOG(CJ$82)))))*(CJ13/(CJ$28*Wind_Night))^0.5,1))</f>
        <v>0</v>
      </c>
      <c r="CK85" s="83"/>
      <c r="CL85" s="23"/>
      <c r="CM85" s="83"/>
    </row>
    <row r="86" spans="1:91" ht="15" customHeight="1" x14ac:dyDescent="0.25">
      <c r="A86" s="2"/>
      <c r="B86" s="512" t="str">
        <f t="shared" si="59"/>
        <v/>
      </c>
      <c r="C86" s="83"/>
      <c r="D86" s="1275">
        <f>IF(State="Vapor",D19*D79,IF(D19&gt;D66,D79*(D19-D66),0))</f>
        <v>0</v>
      </c>
      <c r="E86" s="83"/>
      <c r="F86" s="1275">
        <f>IF(State="Vapor",F19*F79,IF(F19&gt;F66,F79*(F19-F66),0))</f>
        <v>0</v>
      </c>
      <c r="G86" s="83"/>
      <c r="H86" s="1275">
        <f>IF(State="Vapor",H19*H79,IF(H19&gt;H66,H79*(H19-H66),0))</f>
        <v>0</v>
      </c>
      <c r="I86" s="83"/>
      <c r="J86" s="1275">
        <f>IF(State="Vapor",J19*J79,IF(J19&gt;J66,J79*(J19-J66),0))</f>
        <v>0</v>
      </c>
      <c r="K86" s="83"/>
      <c r="L86" s="1275">
        <f>IF(State="Vapor",L19*L79,IF(L19&gt;L66,L79*(L19-L66),0))</f>
        <v>0</v>
      </c>
      <c r="M86" s="83"/>
      <c r="N86" s="1275">
        <f>IF(State="Vapor",N19*N79,IF(N19&gt;N66,N79*(N19-N66),0))</f>
        <v>0</v>
      </c>
      <c r="O86" s="83"/>
      <c r="P86" s="1275">
        <f>IF(State="Vapor",P19*P79,IF(P19&gt;P66,P79*(P19-P66),0))</f>
        <v>0</v>
      </c>
      <c r="Q86" s="83"/>
      <c r="R86" s="1285">
        <f>IF(State="Vapor",R19*R79,IF(R19&gt;R66,R79*(R19-R66),0))</f>
        <v>0</v>
      </c>
      <c r="S86" s="83"/>
      <c r="T86" s="1275">
        <f>IF(State="Vapor",T19*T79,IF(T19&gt;T66,T79*(T19-T66),0))</f>
        <v>0</v>
      </c>
      <c r="U86" s="83"/>
      <c r="V86" s="1275">
        <f>IF(State="Vapor",V19*V79,IF(V19&gt;V66,V79*(V19-V66),0))</f>
        <v>0</v>
      </c>
      <c r="W86" s="83"/>
      <c r="X86" s="1275">
        <f>IF(State="Vapor",X19*X79,IF(X19&gt;X66,X79*(X19-X66),0))</f>
        <v>0</v>
      </c>
      <c r="Y86" s="83"/>
      <c r="Z86" s="85" t="s">
        <v>1497</v>
      </c>
      <c r="AA86" s="83"/>
      <c r="AB86" s="81"/>
      <c r="AC86" s="512" t="str">
        <f t="shared" si="60"/>
        <v/>
      </c>
      <c r="AD86" s="81"/>
      <c r="AE86" s="1275">
        <f>IF(State="Vapor",AE19*AE79,IF(AE19&gt;AE66,AE79*(AE19-AE66),0))</f>
        <v>0</v>
      </c>
      <c r="AF86" s="81"/>
      <c r="AG86" s="1275">
        <f>IF(State="Vapor",AG19*AG79,IF(AG19&gt;AG66,AG79*(AG19-AG66),0))</f>
        <v>0</v>
      </c>
      <c r="AH86" s="81"/>
      <c r="AI86" s="1275">
        <f>IF(State="Vapor",AI19*AI79,IF(AI19&gt;AI66,AI79*(AI19-AI66),0))</f>
        <v>0</v>
      </c>
      <c r="AJ86" s="81"/>
      <c r="AK86" s="1275">
        <f>IF(State="Vapor",AK19*AK79,IF(AK19&gt;AK66,AK79*(AK19-AK66),0))</f>
        <v>0</v>
      </c>
      <c r="AL86" s="81"/>
      <c r="AM86" s="1275">
        <f>IF(State="Vapor",AM19*AM79,IF(AM19&gt;AM66,AM79*(AM19-AM66),0))</f>
        <v>0</v>
      </c>
      <c r="AN86" s="81"/>
      <c r="AO86" s="1285">
        <f>IF(Heating_Media_State="Vapor",AO19*AO79,IF(AO19&gt;AO66,AO79*(AO19-AO66),0))</f>
        <v>0</v>
      </c>
      <c r="AP86" s="81"/>
      <c r="AQ86" s="85" t="s">
        <v>1497</v>
      </c>
      <c r="AR86" s="81"/>
      <c r="AS86" s="83"/>
      <c r="AT86" s="1691" t="s">
        <v>5178</v>
      </c>
      <c r="AU86" s="83"/>
      <c r="AV86" s="3133" t="e">
        <f>AV73*(AV9+273)/(12.2*AV82*AV83)</f>
        <v>#DIV/0!</v>
      </c>
      <c r="AW86" s="83"/>
      <c r="AX86" s="3133" t="e">
        <f>AX73*(AX9+273)/(12.2*AX82*AX83)</f>
        <v>#DIV/0!</v>
      </c>
      <c r="AY86" s="83"/>
      <c r="AZ86" s="3133" t="e">
        <f>AZ73*(AZ9+273)/(12.2*AZ82*AZ83)</f>
        <v>#DIV/0!</v>
      </c>
      <c r="BA86" s="83"/>
      <c r="BB86" s="3133" t="e">
        <f>BB73*(BB9+273)/(12.2*BB82*BB83)</f>
        <v>#DIV/0!</v>
      </c>
      <c r="BC86" s="83"/>
      <c r="BD86" s="3133" t="e">
        <f>BD73*(BD9+273)/(12.2*BD82*BD83)</f>
        <v>#DIV/0!</v>
      </c>
      <c r="BE86" s="83"/>
      <c r="BF86" s="3133" t="e">
        <f>BF73*(BF9+273)/(12.2*BF82*BF83)</f>
        <v>#DIV/0!</v>
      </c>
      <c r="BG86" s="83"/>
      <c r="BH86" s="3133" t="e">
        <f>BH73*(BH9+273)/(12.2*BH82*BH83)</f>
        <v>#DIV/0!</v>
      </c>
      <c r="BI86" s="83"/>
      <c r="BJ86" s="3133" t="e">
        <f>BJ73*(BJ9+273)/(12.2*BJ82*BJ83)</f>
        <v>#DIV/0!</v>
      </c>
      <c r="BK86" s="83"/>
      <c r="BL86" s="3133" t="e">
        <f>BL73*(BL9+273)/(12.2*BL82*BL83)</f>
        <v>#DIV/0!</v>
      </c>
      <c r="BM86" s="83"/>
      <c r="BN86" s="3133" t="e">
        <f>BN73*(BN9+273)/(12.2*BN82*BN83)</f>
        <v>#DIV/0!</v>
      </c>
      <c r="BO86" s="83"/>
      <c r="BP86" s="85"/>
      <c r="BQ86" s="83"/>
      <c r="BR86" s="81"/>
      <c r="BS86" s="846" t="str">
        <f t="shared" si="61"/>
        <v/>
      </c>
      <c r="BT86" s="237"/>
      <c r="BU86" s="1275">
        <f>IF(State="Vapor",BU19*BU79,IF(BU19&gt;BU66,BU79*(BU19-BU66),0))</f>
        <v>0</v>
      </c>
      <c r="BV86" s="237"/>
      <c r="BW86" s="1275">
        <f>IF(State="Vapor",BW19*BW79,IF(BW19&gt;BW66,BW79*(BW19-BW66),0))</f>
        <v>0</v>
      </c>
      <c r="BX86" s="237"/>
      <c r="BY86" s="1275">
        <f t="array" ref="BY86">IF(State="Vapor",BY19*BY79,IF(BY19&gt;BY66,BY79*(BY19-BY66),0))</f>
        <v>0</v>
      </c>
      <c r="BZ86" s="237"/>
      <c r="CA86" s="1275">
        <f>IF(State="Vapor",CA19*CA79,IF(CA19&gt;CA66,CA79*(CA19-CA66),0))</f>
        <v>0</v>
      </c>
      <c r="CB86" s="237"/>
      <c r="CC86" s="1275">
        <f>IF(State="Vapor",CC19*CC79,IF(CC19&gt;CC66,CC79*(CC19-CC66),0))</f>
        <v>0</v>
      </c>
      <c r="CD86" s="237"/>
      <c r="CE86" s="85" t="s">
        <v>1497</v>
      </c>
      <c r="CF86" s="81"/>
      <c r="CG86" s="2"/>
      <c r="CH86" s="512" t="s">
        <v>5117</v>
      </c>
      <c r="CI86" s="83"/>
      <c r="CJ86" s="3000">
        <f>LN(IF(CJ$83&lt;CJ$27,IF(LOG(CJ$82)&lt;-0.69,120.2,IF(LOG(CJ$82)&lt;-0.31,10^(2.39+0.45*LOG(CJ$82)),IF(LOG(CJ$82)&lt;-0.16,177.8,10^(2.16-0.54*LOG(CJ$82)))))*(CJ13/(CJ$28*Wind_Night))^0.5,1))</f>
        <v>0</v>
      </c>
      <c r="CK86" s="83"/>
      <c r="CL86" s="23"/>
      <c r="CM86" s="83"/>
    </row>
    <row r="87" spans="1:91" ht="15" customHeight="1" thickBot="1" x14ac:dyDescent="0.3">
      <c r="A87" s="2"/>
      <c r="B87" s="512" t="str">
        <f t="shared" si="59"/>
        <v/>
      </c>
      <c r="C87" s="83"/>
      <c r="D87" s="1275">
        <f>IF(State="Vapor",D20*D80,IF(D20&gt;D67,D80*(D20-D67),0))</f>
        <v>0</v>
      </c>
      <c r="E87" s="83"/>
      <c r="F87" s="1275">
        <f>IF(State="Vapor",F20*F80,IF(F20&gt;F67,F80*(F20-F67),0))</f>
        <v>0</v>
      </c>
      <c r="G87" s="83"/>
      <c r="H87" s="1275">
        <f>IF(State="Vapor",H20*H80,IF(H20&gt;H67,H80*(H20-H67),0))</f>
        <v>0</v>
      </c>
      <c r="I87" s="83"/>
      <c r="J87" s="1275">
        <f>IF(State="Vapor",J20*J80,IF(J20&gt;J67,J80*(J20-J67),0))</f>
        <v>0</v>
      </c>
      <c r="K87" s="83"/>
      <c r="L87" s="1275">
        <f>IF(State="Vapor",L20*L80,IF(L20&gt;L67,L80*(L20-L67),0))</f>
        <v>0</v>
      </c>
      <c r="M87" s="83"/>
      <c r="N87" s="1275">
        <f>IF(State="Vapor",N20*N80,IF(N20&gt;N67,N80*(N20-N67),0))</f>
        <v>0</v>
      </c>
      <c r="O87" s="83"/>
      <c r="P87" s="1275">
        <f>IF(State="Vapor",P20*P80,IF(P20&gt;P67,P80*(P20-P67),0))</f>
        <v>0</v>
      </c>
      <c r="Q87" s="83"/>
      <c r="R87" s="1285">
        <f>IF(State="Vapor",R20*R80,IF(R20&gt;R67,R80*(R20-R67),0))</f>
        <v>0</v>
      </c>
      <c r="S87" s="83"/>
      <c r="T87" s="1275">
        <f>IF(State="Vapor",T20*T80,IF(T20&gt;T67,T80*(T20-T67),0))</f>
        <v>0</v>
      </c>
      <c r="U87" s="83"/>
      <c r="V87" s="1275">
        <f>IF(State="Vapor",V20*V80,IF(V20&gt;V67,V80*(V20-V67),0))</f>
        <v>0</v>
      </c>
      <c r="W87" s="83"/>
      <c r="X87" s="1275">
        <f>IF(State="Vapor",X20*X80,IF(X20&gt;X67,X80*(X20-X67),0))</f>
        <v>0</v>
      </c>
      <c r="Y87" s="83"/>
      <c r="Z87" s="85" t="s">
        <v>1497</v>
      </c>
      <c r="AA87" s="83"/>
      <c r="AB87" s="81"/>
      <c r="AC87" s="512" t="str">
        <f t="shared" si="60"/>
        <v/>
      </c>
      <c r="AD87" s="81"/>
      <c r="AE87" s="1275">
        <f>IF(State="Vapor",AE20*AE80,IF(AE20&gt;AE67,AE80*(AE20-AE67),0))</f>
        <v>0</v>
      </c>
      <c r="AF87" s="81"/>
      <c r="AG87" s="1275">
        <f>IF(State="Vapor",AG20*AG80,IF(AG20&gt;AG67,AG80*(AG20-AG67),0))</f>
        <v>0</v>
      </c>
      <c r="AH87" s="81"/>
      <c r="AI87" s="1275">
        <f>IF(State="Vapor",AI20*AI80,IF(AI20&gt;AI67,AI80*(AI20-AI67),0))</f>
        <v>0</v>
      </c>
      <c r="AJ87" s="81"/>
      <c r="AK87" s="1275">
        <f>IF(State="Vapor",AK20*AK80,IF(AK20&gt;AK67,AK80*(AK20-AK67),0))</f>
        <v>0</v>
      </c>
      <c r="AL87" s="81"/>
      <c r="AM87" s="1275">
        <f>IF(State="Vapor",AM20*AM80,IF(AM20&gt;AM67,AM80*(AM20-AM67),0))</f>
        <v>0</v>
      </c>
      <c r="AN87" s="81"/>
      <c r="AO87" s="1285">
        <f>IF(Heating_Media_State="Vapor",AO20*AO80,IF(AO20&gt;AO67,AO80*(AO20-AO67),0))</f>
        <v>0</v>
      </c>
      <c r="AP87" s="81"/>
      <c r="AQ87" s="85" t="s">
        <v>1497</v>
      </c>
      <c r="AR87" s="81"/>
      <c r="AS87" s="83"/>
      <c r="AT87" s="1691" t="s">
        <v>5179</v>
      </c>
      <c r="AU87" s="83"/>
      <c r="AV87" s="3133" t="e">
        <f>AV67*(AV9+273)/(12.2*AV82*AV83)</f>
        <v>#DIV/0!</v>
      </c>
      <c r="AW87" s="83"/>
      <c r="AX87" s="3133" t="e">
        <f>AX67*(AX9+273)/(12.2*AX82*AX83)</f>
        <v>#DIV/0!</v>
      </c>
      <c r="AY87" s="83"/>
      <c r="AZ87" s="3133" t="e">
        <f>AZ67*(AZ9+273)/(12.2*AZ82*AZ83)</f>
        <v>#DIV/0!</v>
      </c>
      <c r="BA87" s="83"/>
      <c r="BB87" s="3133" t="e">
        <f>BB67*(BB9+273)/(12.2*BB82*BB83)</f>
        <v>#DIV/0!</v>
      </c>
      <c r="BC87" s="83"/>
      <c r="BD87" s="3133" t="e">
        <f>BD67*(BD9+273)/(12.2*BD82*BD83)</f>
        <v>#DIV/0!</v>
      </c>
      <c r="BE87" s="83"/>
      <c r="BF87" s="3133" t="e">
        <f>BF67*(BF9+273)/(12.2*BF82*BF83)</f>
        <v>#DIV/0!</v>
      </c>
      <c r="BG87" s="83"/>
      <c r="BH87" s="3133" t="e">
        <f>BH67*(BH9+273)/(12.2*BH82*BH83)</f>
        <v>#DIV/0!</v>
      </c>
      <c r="BI87" s="83"/>
      <c r="BJ87" s="3133" t="e">
        <f>BJ67*(BJ9+273)/(12.2*BJ82*BJ83)</f>
        <v>#DIV/0!</v>
      </c>
      <c r="BK87" s="83"/>
      <c r="BL87" s="3133" t="e">
        <f>BL67*(BL9+273)/(12.2*BL82*BL83)</f>
        <v>#DIV/0!</v>
      </c>
      <c r="BM87" s="83"/>
      <c r="BN87" s="3133" t="e">
        <f>BN67*(BN9+273)/(12.2*BN82*BN83)</f>
        <v>#DIV/0!</v>
      </c>
      <c r="BO87" s="83"/>
      <c r="BP87" s="85"/>
      <c r="BQ87" s="83"/>
      <c r="BR87" s="81"/>
      <c r="BS87" s="846" t="str">
        <f t="shared" si="61"/>
        <v/>
      </c>
      <c r="BT87" s="81"/>
      <c r="BU87" s="1275">
        <f>IF(State="Vapor",BU20*BU80,IF(BU20&gt;BU67,BU80*(BU20-BU67),0))</f>
        <v>0</v>
      </c>
      <c r="BV87" s="81"/>
      <c r="BW87" s="1275">
        <f>IF(State="Vapor",BW20*BW80,IF(BW20&gt;BW67,BW80*(BW20-BW67),0))</f>
        <v>0</v>
      </c>
      <c r="BX87" s="81"/>
      <c r="BY87" s="1275">
        <f>IF(State="Vapor",BY20*BY80,IF(BY20&gt;BY67,BY80*(BY20-BY67),0))</f>
        <v>0</v>
      </c>
      <c r="BZ87" s="81"/>
      <c r="CA87" s="1275">
        <f>IF(State="Vapor",CA20*CA80,IF(CA20&gt;CA67,CA80*(CA20-CA67),0))</f>
        <v>0</v>
      </c>
      <c r="CB87" s="81"/>
      <c r="CC87" s="1275">
        <f>IF(State="Vapor",CC20*CC80,IF(CC20&gt;CC67,CC80*(CC20-CC67),0))</f>
        <v>0</v>
      </c>
      <c r="CD87" s="237"/>
      <c r="CE87" s="25" t="s">
        <v>1497</v>
      </c>
      <c r="CF87" s="81"/>
      <c r="CG87" s="2"/>
      <c r="CH87" s="512" t="s">
        <v>5118</v>
      </c>
      <c r="CI87" s="83"/>
      <c r="CJ87" s="3000">
        <f>LN(IF(CJ$83&lt;CJ$27,IF(LOG(CJ$82)&lt;-0.7,177.8,IF(LOG(CJ$82)&lt;-0.29,10^(2.59+0.49*LOG(CJ$82)),IF(LOG(CJ$82)&lt;-0.2,281.8,10^(2.35-0.52*LOG(CJ$82)))))*(CJ13/(CJ$28*Wind_Night))^0.5,1))</f>
        <v>0</v>
      </c>
      <c r="CK87" s="83"/>
      <c r="CL87" s="23"/>
      <c r="CM87" s="83"/>
    </row>
    <row r="88" spans="1:91" ht="15" customHeight="1" thickBot="1" x14ac:dyDescent="0.3">
      <c r="A88" s="2"/>
      <c r="B88" s="512" t="str">
        <f t="shared" si="59"/>
        <v/>
      </c>
      <c r="C88" s="83"/>
      <c r="D88" s="1275">
        <f>IF(State="Vapor",D21*D81,IF(D21&gt;D68,D81*(D21-D68),0))</f>
        <v>0</v>
      </c>
      <c r="E88" s="83"/>
      <c r="F88" s="1275">
        <f>IF(State="Vapor",F21*F81,IF(F21&gt;F68,F81*(F21-F68),0))</f>
        <v>0</v>
      </c>
      <c r="G88" s="83"/>
      <c r="H88" s="1275">
        <f>IF(State="Vapor",H21*H81,IF(H21&gt;H68,H81*(H21-H68),0))</f>
        <v>0</v>
      </c>
      <c r="I88" s="83"/>
      <c r="J88" s="1275">
        <f>IF(State="Vapor",J21*J81,IF(J21&gt;J68,J81*(J21-J68),0))</f>
        <v>0</v>
      </c>
      <c r="K88" s="83"/>
      <c r="L88" s="1275">
        <f>IF(State="Vapor",L21*L81,IF(L21&gt;L68,L81*(L21-L68),0))</f>
        <v>0</v>
      </c>
      <c r="M88" s="83"/>
      <c r="N88" s="1275">
        <f>IF(State="Vapor",N21*N81,IF(N21&gt;N68,N81*(N21-N68),0))</f>
        <v>0</v>
      </c>
      <c r="O88" s="83"/>
      <c r="P88" s="1275">
        <f>IF(State="Vapor",P21*P81,IF(P21&gt;P68,P81*(P21-P68),0))</f>
        <v>0</v>
      </c>
      <c r="Q88" s="83"/>
      <c r="R88" s="1285">
        <f>IF(State="Vapor",R21*R81,IF(R21&gt;R68,R81*(R21-R68),0))</f>
        <v>0</v>
      </c>
      <c r="S88" s="83"/>
      <c r="T88" s="1275">
        <f>IF(State="Vapor",T21*T81,IF(T21&gt;T68,T81*(T21-T68),0))</f>
        <v>0</v>
      </c>
      <c r="U88" s="83"/>
      <c r="V88" s="1275">
        <f>IF(State="Vapor",V21*V81,IF(V21&gt;V68,V81*(V21-V68),0))</f>
        <v>0</v>
      </c>
      <c r="W88" s="83"/>
      <c r="X88" s="1275">
        <f>IF(State="Vapor",X21*X81,IF(X21&gt;X68,X81*(X21-X68),0))</f>
        <v>0</v>
      </c>
      <c r="Y88" s="83"/>
      <c r="Z88" s="25" t="s">
        <v>1497</v>
      </c>
      <c r="AA88" s="83"/>
      <c r="AB88" s="81"/>
      <c r="AC88" s="512" t="str">
        <f t="shared" si="60"/>
        <v/>
      </c>
      <c r="AD88" s="81"/>
      <c r="AE88" s="1275">
        <f>IF(State="Vapor",AE21*AE81,IF(AE21&gt;AE68,AE81*(AE21-AE68),0))</f>
        <v>0</v>
      </c>
      <c r="AF88" s="81"/>
      <c r="AG88" s="1275">
        <f>IF(State="Vapor",AG21*AG81,IF(AG21&gt;AG68,AG81*(AG21-AG68),0))</f>
        <v>0</v>
      </c>
      <c r="AH88" s="81"/>
      <c r="AI88" s="1275">
        <f>IF(State="Vapor",AI21*AI81,IF(AI21&gt;AI68,AI81*(AI21-AI68),0))</f>
        <v>0</v>
      </c>
      <c r="AJ88" s="81"/>
      <c r="AK88" s="1275">
        <f>IF(State="Vapor",AK21*AK81,IF(AK21&gt;AK68,AK81*(AK21-AK68),0))</f>
        <v>0</v>
      </c>
      <c r="AL88" s="81"/>
      <c r="AM88" s="1275">
        <f>IF(State="Vapor",AM21*AM81,IF(AM21&gt;AM68,AM81*(AM21-AM68),0))</f>
        <v>0</v>
      </c>
      <c r="AN88" s="81"/>
      <c r="AO88" s="1285">
        <f>IF(Heating_Media_State="Vapor",AO21*AO81,IF(AO21&gt;AO68,AO81*(AO21-AO68),0))</f>
        <v>0</v>
      </c>
      <c r="AP88" s="81"/>
      <c r="AQ88" s="25" t="s">
        <v>1497</v>
      </c>
      <c r="AR88" s="81"/>
      <c r="AS88" s="83"/>
      <c r="AT88" s="2993" t="s">
        <v>5048</v>
      </c>
      <c r="AU88" s="83"/>
      <c r="AV88" s="2999" t="e">
        <f>9.8*(AV85-Air_Dens)/Air_Dens</f>
        <v>#DIV/0!</v>
      </c>
      <c r="AW88" s="269"/>
      <c r="AX88" s="2999" t="e">
        <f>9.8*(AX85-Air_Dens)/Air_Dens</f>
        <v>#DIV/0!</v>
      </c>
      <c r="AY88" s="269"/>
      <c r="AZ88" s="2999" t="e">
        <f>9.8*(AZ85-Air_Dens)/Air_Dens</f>
        <v>#DIV/0!</v>
      </c>
      <c r="BA88" s="269"/>
      <c r="BB88" s="2999" t="e">
        <f>9.8*(BB85-Air_Dens)/Air_Dens</f>
        <v>#DIV/0!</v>
      </c>
      <c r="BC88" s="269"/>
      <c r="BD88" s="2999" t="e">
        <f>9.8*(BD85-Air_Dens)/Air_Dens</f>
        <v>#DIV/0!</v>
      </c>
      <c r="BE88" s="269"/>
      <c r="BF88" s="2999" t="e">
        <f>9.8*(BF85-Air_Dens)/Air_Dens</f>
        <v>#DIV/0!</v>
      </c>
      <c r="BG88" s="269"/>
      <c r="BH88" s="2999" t="e">
        <f>9.8*(BH85-Air_Dens)/Air_Dens</f>
        <v>#DIV/0!</v>
      </c>
      <c r="BI88" s="269"/>
      <c r="BJ88" s="2999" t="e">
        <f>9.8*(BJ85-Air_Dens)/Air_Dens</f>
        <v>#DIV/0!</v>
      </c>
      <c r="BK88" s="269"/>
      <c r="BL88" s="2999" t="e">
        <f>9.8*(BL85-Air_Dens)/Air_Dens</f>
        <v>#DIV/0!</v>
      </c>
      <c r="BM88" s="269"/>
      <c r="BN88" s="2999" t="e">
        <f>9.8*(BN85-Air_Dens)/Air_Dens</f>
        <v>#DIV/0!</v>
      </c>
      <c r="BO88" s="269"/>
      <c r="BP88" s="1835"/>
      <c r="BQ88" s="83"/>
      <c r="BR88" s="81"/>
      <c r="BS88" s="846" t="str">
        <f t="shared" si="61"/>
        <v/>
      </c>
      <c r="BT88" s="81"/>
      <c r="BU88" s="1276">
        <f>IF(State="Vapor",BU21*BU81,IF(BU21&gt;BU68,BU81*(BU21-BU68),0))</f>
        <v>0</v>
      </c>
      <c r="BV88" s="236"/>
      <c r="BW88" s="1276">
        <f>IF(State="Vapor",BW21*BW81,IF(BW21&gt;BW68,BW81*(BW21-BW68),0))</f>
        <v>0</v>
      </c>
      <c r="BX88" s="236"/>
      <c r="BY88" s="1276">
        <f>IF(State="Vapor",BY21*BY81,IF(BY21&gt;BY68,BY81*(BY21-BY68),0))</f>
        <v>0</v>
      </c>
      <c r="BZ88" s="236"/>
      <c r="CA88" s="1276">
        <f>IF(State="Vapor",CA21*CA81,IF(CA21&gt;CA68,CA81*(CA21-CA68),0))</f>
        <v>0</v>
      </c>
      <c r="CB88" s="236"/>
      <c r="CC88" s="1276">
        <f>IF(State="Vapor",CC21*CC81,IF(CC21&gt;CC68,CC81*(CC21-CC68),0))</f>
        <v>0</v>
      </c>
      <c r="CD88" s="81"/>
      <c r="CE88" s="92" t="s">
        <v>1497</v>
      </c>
      <c r="CF88" s="81"/>
      <c r="CG88" s="2"/>
      <c r="CH88" s="512" t="s">
        <v>5119</v>
      </c>
      <c r="CI88" s="83"/>
      <c r="CJ88" s="3000">
        <f>LN(IF(CJ$83&lt;CJ$27,IF(LOG(CJ$82)&lt;-0.67,251.2,IF(LOG(CJ$82)&lt;-0.28,10^(2.8+0.59*LOG(CJ$82)),IF(LOG(CJ$82)&lt;-0.15,426.6,10^(2.56-0.49*LOG(CJ$82)))))*(CJ13/(CJ$28*Wind_Night))^0.5,1))</f>
        <v>0</v>
      </c>
      <c r="CK88" s="83"/>
      <c r="CL88" s="23"/>
      <c r="CM88" s="83"/>
    </row>
    <row r="89" spans="1:91" ht="15" customHeight="1" thickBot="1" x14ac:dyDescent="0.3">
      <c r="A89" s="2"/>
      <c r="B89" s="85" t="s">
        <v>2205</v>
      </c>
      <c r="C89" s="83"/>
      <c r="D89" s="2644">
        <f>MAX(IF(D16&gt;0,D23*(D16-D45)*D83/(D70*D16)+D55*D52*(1-D76),0),1*EXP(-10))</f>
        <v>4.5399929762484854E-5</v>
      </c>
      <c r="E89" s="83"/>
      <c r="F89" s="2644">
        <f>MAX(IF(F16&gt;0,F23*(F16-F45)*F83/(F70*F16)+F55*F52*(1-F76),0),1*EXP(-10))</f>
        <v>4.5399929762484854E-5</v>
      </c>
      <c r="G89" s="83"/>
      <c r="H89" s="2644">
        <f>MAX(IF(H16&gt;0,H23*(H16-H45)*H83/(H70*H16)+H55*H52*(1-H76),0),1*EXP(-10))</f>
        <v>4.5399929762484854E-5</v>
      </c>
      <c r="I89" s="83"/>
      <c r="J89" s="2644">
        <f>MAX(IF(J16&gt;0,J23*(J16-J45)*J83/(J70*J16)+J55*J52*(1-J76),0),1*EXP(-10))</f>
        <v>4.5399929762484854E-5</v>
      </c>
      <c r="K89" s="83"/>
      <c r="L89" s="2644">
        <f>MAX(IF(L16&gt;0,L23*(L16-L45)*L83/(L70*L16)+L55*L52*(1-L76),0),1*EXP(-10))</f>
        <v>4.5399929762484854E-5</v>
      </c>
      <c r="M89" s="83"/>
      <c r="N89" s="2644">
        <f>MAX(IF(N16&gt;0,N23*(N16-N45)*N83/(N70*N16)+N55*N52*(1-N76),0),1*EXP(-10))</f>
        <v>4.5399929762484854E-5</v>
      </c>
      <c r="O89" s="83"/>
      <c r="P89" s="2644">
        <f>MAX(IF(P16&gt;0,P23*(P16-P45)*P83/(P70*P16)+P55*P52*(1-P76),0),1*EXP(-10))</f>
        <v>4.5399929762484854E-5</v>
      </c>
      <c r="Q89" s="83"/>
      <c r="R89" s="2644">
        <f>MAX(IF(R16&gt;0,R23*(R16-R45)*R83/(R70*R16)+R55*R52*(1-R76),0),1*EXP(-10))</f>
        <v>4.5399929762484854E-5</v>
      </c>
      <c r="S89" s="83"/>
      <c r="T89" s="2644">
        <f>MAX(IF(T16&gt;0,T23*(T16-T45)*T83/(T70*T16)+T55*T52*(1-T76),0),1*EXP(-10))</f>
        <v>4.5399929762484854E-5</v>
      </c>
      <c r="U89" s="83"/>
      <c r="V89" s="2644">
        <f>MAX(IF(V16&gt;0,V23*(V16-V45)*V83/(V70*V16)+V55*V52*(1-V76),0),1*EXP(-10))</f>
        <v>4.5399929762484854E-5</v>
      </c>
      <c r="W89" s="83"/>
      <c r="X89" s="2644">
        <f>MAX(IF(X16&gt;0,X23*(X16-X45)*X83/(X70*X16)+X55*X52*(1-X76),0),1*EXP(-10))</f>
        <v>4.5399929762484854E-5</v>
      </c>
      <c r="Y89" s="83"/>
      <c r="Z89" s="85" t="s">
        <v>1069</v>
      </c>
      <c r="AA89" s="83"/>
      <c r="AB89" s="81"/>
      <c r="AC89" s="3026" t="s">
        <v>2205</v>
      </c>
      <c r="AD89" s="81"/>
      <c r="AE89" s="2094">
        <f>IF(AND(State="Vapor",AE12&gt;0,AE83&gt;0),IF(Relief_Vapor_Capacity&gt;Feedrate,IF(OR(Modulating_Relief="Yes",AND(Disk_Relief="Yes",ContainedMass*P/(P+1)&lt;0.1*MIN(Feedrate*Max_Duration,Inventory))),Feedrate,Relief_Vapor_Capacity)*AE83/AE70,Feedrate),IF(AE16&gt;0,AE23*(AE16-AE45)*AE83/(AE70*AE16)+AE55*AE52*(1-AE76),0))</f>
        <v>0</v>
      </c>
      <c r="AF89" s="81"/>
      <c r="AG89" s="2094">
        <f>IF(AND(State="Vapor",AG12&gt;0,AG83&gt;0),IF(Relief_Vapor_Capacity&gt;Feedrate,IF(OR(Modulating_Relief="Yes",AND(Disk_Relief="Yes",ContainedMass*P/(P+1)&lt;0.1*MIN(Feedrate*Max_Duration,Inventory))),Feedrate,Relief_Vapor_Capacity)*AG83/AG70,Feedrate),IF(AG16&gt;0,AG23*(AG16-AG45)*AG83/(AG70*AG16)+AG55*AG52*(1-AG76),0))</f>
        <v>0</v>
      </c>
      <c r="AH89" s="81"/>
      <c r="AI89" s="2094">
        <f>IF(AND(State="Vapor",AI12&gt;0,AI83&gt;0),IF(Relief_Vapor_Capacity&gt;Feedrate,IF(OR(Modulating_Relief="Yes",AND(Disk_Relief="Yes",ContainedMass*P/(P+1)&lt;0.1*MIN(Feedrate*Max_Duration,Inventory))),Feedrate,Relief_Vapor_Capacity)*AI83/AI70,Feedrate),IF(AI16&gt;0,AI23*(AI16-AI45)*AI83/(AI70*AI16)+AI55*AI52*(1-AI76),0))</f>
        <v>0</v>
      </c>
      <c r="AJ89" s="81"/>
      <c r="AK89" s="2094">
        <f>IF(AND(State="Vapor",AK12&gt;0,AK83&gt;0),IF(Relief_Vapor_Capacity&gt;Feedrate,IF(OR(Modulating_Relief="Yes",AND(Disk_Relief="Yes",ContainedMass*P/(P+1)&lt;0.1*MIN(Feedrate*Max_Duration,Inventory))),Feedrate,Relief_Vapor_Capacity)*AK83/AK70,Feedrate),IF(AK16&gt;0,AK23*(AK16-AK45)*AK83/(AK70*AK16)+AK55*AK52*(1-AK76),0))</f>
        <v>0</v>
      </c>
      <c r="AL89" s="81"/>
      <c r="AM89" s="2094">
        <f>IF(AND(State="Vapor",AM12&gt;0,AM83&gt;0),IF(Relief_Vapor_Capacity&gt;Feedrate,IF(OR(Modulating_Relief="Yes",AND(Disk_Relief="Yes",ContainedMass*P/(P+1)&lt;0.1*MIN(Feedrate*Max_Duration,Inventory))),Feedrate,Relief_Vapor_Capacity)*AM83/AM70,Feedrate),IF(AM16&gt;0,AM23*(AM16-AM45)*AM83/(AM70*AM16)+AM55*AM52*(1-AM76),0))</f>
        <v>0</v>
      </c>
      <c r="AN89" s="81"/>
      <c r="AO89" s="2094">
        <f>IF(AND(State="Vapor",AO12&gt;0,AO83&gt;0),AO12,IF(AO16&gt;0,AO23*(AO16-AO45)*AO83/(AO70*AO16)+AO55*AO52*(1-AO76),0))</f>
        <v>0</v>
      </c>
      <c r="AP89" s="81"/>
      <c r="AQ89" s="85" t="s">
        <v>1069</v>
      </c>
      <c r="AR89" s="81"/>
      <c r="AS89" s="83"/>
      <c r="AT89" s="1840" t="s">
        <v>2264</v>
      </c>
      <c r="AU89" s="83"/>
      <c r="AV89" s="3040">
        <f>IF(OR(Relief_Discharge_Size=0,AV22&gt;AV12*$CC12*Two_Phase_Limit),0,MIN(Relief_Vapor_Velocity,12730*IF(Disk_Relief="Yes",AV7*Mw_Mix,AV73)/((12.2*AV82/(AV9+273))*Relief_Discharge_Size^2)))</f>
        <v>0</v>
      </c>
      <c r="AW89" s="83"/>
      <c r="AX89" s="3040">
        <f>IF(OR(Relief_Discharge_Size=0,AX22&gt;AX12*$CC12*Two_Phase_Limit),0,MIN(Relief_Vapor_Velocity,12730*IF(Disk_Relief="Yes",AX7*Mw_Mix,AX73)/((12.2*AX82/(AX9+273))*Relief_Discharge_Size^2)))</f>
        <v>0</v>
      </c>
      <c r="AY89" s="83"/>
      <c r="AZ89" s="3040">
        <f>IF(OR(Relief_Discharge_Size=0,AZ22&gt;AZ12*$CC12*Two_Phase_Limit),0,MIN(Relief_Vapor_Velocity,12730*IF(Disk_Relief="Yes",AZ7*Mw_Mix,AZ73)/((12.2*AZ82/(AZ9+273))*Relief_Discharge_Size^2)))</f>
        <v>0</v>
      </c>
      <c r="BA89" s="83"/>
      <c r="BB89" s="3040">
        <f>IF(OR(Relief_Discharge_Size=0,BB22&gt;BB12*$CC12*Two_Phase_Limit),0,MIN(Relief_Vapor_Velocity,12730*IF(Disk_Relief="Yes",BB7*Mw_Mix,BB73)/((12.2*BB82/(BB9+273))*Relief_Discharge_Size^2)))</f>
        <v>0</v>
      </c>
      <c r="BC89" s="83"/>
      <c r="BD89" s="3040">
        <f>IF(OR(Relief_Discharge_Size=0,BD22&gt;BD12*$CC12*Two_Phase_Limit),0,MIN(Relief_Vapor_Velocity,12730*IF(Disk_Relief="Yes",BD7*Mw_Mix,BD73)/((12.2*BD82/(BD9+273))*Relief_Discharge_Size^2)))</f>
        <v>0</v>
      </c>
      <c r="BE89" s="83"/>
      <c r="BF89" s="3040">
        <f>IF(OR(Relief_Discharge_Size=0,BF22&gt;BF12*$CC12*Two_Phase_Limit),0,MIN(Relief_Vapor_Velocity,12730*IF(Disk_Relief="Yes",BF7*Mw_Mix,BF73)/((12.2*BF82/(BF9+273))*Relief_Discharge_Size^2)))</f>
        <v>0</v>
      </c>
      <c r="BG89" s="83"/>
      <c r="BH89" s="3040">
        <f>IF(OR(Relief_Discharge_Size=0,BH22&gt;BH12*$CC12*Two_Phase_Limit),0,MIN(Relief_Vapor_Velocity,12730*IF(Disk_Relief="Yes",BH7*Mw_Mix,BH73)/((12.2*BH82/(BH9+273))*Relief_Discharge_Size^2)))</f>
        <v>0</v>
      </c>
      <c r="BI89" s="83"/>
      <c r="BJ89" s="3040">
        <f>IF(OR(Relief_Discharge_Size=0,BJ22&gt;BJ12*$CC12*Two_Phase_Limit),0,MIN(Relief_Vapor_Velocity,12730*IF(Disk_Relief="Yes",BJ7*Mw_Mix,BJ73)/((12.2*BJ82/(BJ9+273))*Relief_Discharge_Size^2)))</f>
        <v>0</v>
      </c>
      <c r="BK89" s="83"/>
      <c r="BL89" s="3040">
        <f>IF(OR(Relief_Discharge_Size=0,BL22&gt;BL12*$CC12*Two_Phase_Limit),0,MIN(Relief_Vapor_Velocity,12730*IF(Disk_Relief="Yes",BL7*Mw_Mix,BL73)/((12.2*BL82/(BL9+273))*Relief_Discharge_Size^2)))</f>
        <v>0</v>
      </c>
      <c r="BM89" s="83"/>
      <c r="BN89" s="3040">
        <f>IF(OR(Relief_Discharge_Size=0,BN22&gt;BN12*$CC12*Two_Phase_Limit),0,MIN(Relief_Vapor_Velocity,12730*IF(Disk_Relief="Yes",BN7*Mw_Mix,BN73)/((12.2*BN82/(BN9+273))*Relief_Discharge_Size^2)))</f>
        <v>0</v>
      </c>
      <c r="BO89" s="83"/>
      <c r="BP89" s="85" t="s">
        <v>1714</v>
      </c>
      <c r="BQ89" s="83"/>
      <c r="BR89" s="81"/>
      <c r="BS89" s="25" t="s">
        <v>1642</v>
      </c>
      <c r="BT89" s="81"/>
      <c r="BU89" s="3304" t="str">
        <f>IF(BU16-BU63=0,"",IF(BU23="Instantaneous",IF(ContainedMass/(ContainedMass+BU14*Feedrate)&lt;0.01,Feedrate*(1-BU44),IF((BU16-BU45)/(BU16-BU63)&lt;0.03,(BU16-BU45)/Max_Duration+MAX(BU52,BU54)*BU55,"")),(BU16/Rupture_Time)*(BU16-BU45)*BU83/(BU70*BU16)+BU55*BU52*(1-BU76)))</f>
        <v/>
      </c>
      <c r="BV89" s="81"/>
      <c r="BW89" s="2648" t="str">
        <f>IF(BW16-BW63=0,"",IF(BW23="Instantaneous",IF((BW16-BW45)/(BW16-BW63)&lt;0.03,(BW16-BW45)/Max_Duration+MAX(BW52,BW54)*BW55,""),(BW16/Rupture_Time)*(BW16-BW45)*BW83/(BW70*BW16)+BW55*BW52*(1-BW76)))</f>
        <v/>
      </c>
      <c r="BX89" s="81"/>
      <c r="BY89" s="2648" t="str">
        <f>IF(BY16-BY63=0,"",IF(BY23="Instantaneous",IF((BY16-BY45)/(BY16-BY63)&lt;0.03,(BY16-BY45)/Max_Duration+MAX(BY52,BY54)*BY55,""),(BY16/Rupture_Time)*(BY16-BY45)*BY83/(BY70*BY16)+BY55*BY52*(1-BY76)))</f>
        <v/>
      </c>
      <c r="BZ89" s="81"/>
      <c r="CA89" s="2648" t="str">
        <f>IF(CA16-CA63=0,"",IF(CA23="Instantaneous",IF((CA16-CA45)/(CA16-CA63)&lt;0.03,(CA16-CA45)/Max_Duration+MAX(CA52,CA54)*CA55,""),(CA16/Rupture_Time)*(CA16-CA45)*CA83/(CA70*CA16)+CA55*CA52*(1-CA76)))</f>
        <v/>
      </c>
      <c r="CB89" s="81"/>
      <c r="CC89" s="2648" t="str">
        <f>IF(CC16-CC63=0,"",IF(CC23="Instantaneous",IF((CC16-CC45)/(CC16-CC63)&lt;0.03,(CC16-CC45)/Max_Duration+MAX(CC52,CC54)*CC55,""),(CC16/Rupture_Time)*(CC16-CC45)*CC83/(CC70*CC16)+CC55*CC52*(1-CC76)))</f>
        <v/>
      </c>
      <c r="CD89" s="81"/>
      <c r="CE89" s="85" t="s">
        <v>1069</v>
      </c>
      <c r="CF89" s="81"/>
      <c r="CG89" s="2"/>
      <c r="CH89" s="512" t="s">
        <v>5120</v>
      </c>
      <c r="CI89" s="83"/>
      <c r="CJ89" s="3000">
        <f>LN(IF(CJ$83&lt;CJ$27,IF(LOG(CJ$82)&lt;-0.69,398.1,IF(LOG(CJ$82)&lt;-0.25,10^(2.87+0.39*LOG(CJ$82)),IF(LOG(CJ$82)&lt;-0.13,588.8,10^(2.71-0.5*LOG(CJ$82)))))*(CJ13/(CJ$28*Wind_Night))^0.5,1))</f>
        <v>0</v>
      </c>
      <c r="CK89" s="83"/>
      <c r="CL89" s="23"/>
      <c r="CM89" s="83"/>
    </row>
    <row r="90" spans="1:91" ht="15" customHeight="1" thickBot="1" x14ac:dyDescent="0.3">
      <c r="A90" s="2"/>
      <c r="B90" s="25" t="s">
        <v>3650</v>
      </c>
      <c r="C90" s="83"/>
      <c r="D90" s="3006">
        <f>IF(D83&gt;0,D89*D69/D83,0)</f>
        <v>0</v>
      </c>
      <c r="E90" s="83"/>
      <c r="F90" s="2645">
        <f>IF(F83&gt;0,F89*F69/F83,0)</f>
        <v>0</v>
      </c>
      <c r="G90" s="83"/>
      <c r="H90" s="2645">
        <f>IF(H83&gt;0,H89*H69/H83,0)</f>
        <v>0</v>
      </c>
      <c r="I90" s="83"/>
      <c r="J90" s="2645">
        <f>IF(J83&gt;0,J89*J69/J83,0)</f>
        <v>0</v>
      </c>
      <c r="K90" s="83"/>
      <c r="L90" s="2645">
        <f>IF(L83&gt;0,L89*L69/L83,0)</f>
        <v>0</v>
      </c>
      <c r="M90" s="83"/>
      <c r="N90" s="2645">
        <f>IF(N83&gt;0,N89*N69/N83,0)</f>
        <v>0</v>
      </c>
      <c r="O90" s="83"/>
      <c r="P90" s="2645">
        <f>IF(P83&gt;0,P89*P69/P83,0)</f>
        <v>0</v>
      </c>
      <c r="Q90" s="83"/>
      <c r="R90" s="2645">
        <f>IF(R83&gt;0,R89*R69/R83,0)</f>
        <v>0</v>
      </c>
      <c r="S90" s="83"/>
      <c r="T90" s="2645">
        <f>IF(T83&gt;0,T89*T69/T83,0)</f>
        <v>0</v>
      </c>
      <c r="U90" s="83"/>
      <c r="V90" s="2645">
        <f>IF(V83&gt;0,V89*V69/V83,0)</f>
        <v>0</v>
      </c>
      <c r="W90" s="83"/>
      <c r="X90" s="2645">
        <f>IF(X83&gt;0,X89*X69/X83,0)</f>
        <v>0</v>
      </c>
      <c r="Y90" s="83"/>
      <c r="Z90" s="25" t="s">
        <v>1069</v>
      </c>
      <c r="AA90" s="83"/>
      <c r="AB90" s="81"/>
      <c r="AC90" s="25" t="s">
        <v>3650</v>
      </c>
      <c r="AD90" s="81"/>
      <c r="AE90" s="3301">
        <f>IF(AE83&gt;0,AE89*AE69/AE83,0)</f>
        <v>0</v>
      </c>
      <c r="AF90" s="81"/>
      <c r="AG90" s="1762">
        <f>IF(AG83&gt;0,AG89*AG69/AG83,0)</f>
        <v>0</v>
      </c>
      <c r="AH90" s="81"/>
      <c r="AI90" s="1762">
        <f>IF(AI83&gt;0,AI89*AI69/AI83,0)</f>
        <v>0</v>
      </c>
      <c r="AJ90" s="81"/>
      <c r="AK90" s="1762">
        <f>IF(AK83&gt;0,AK89*AK69/AK83,0)</f>
        <v>0</v>
      </c>
      <c r="AL90" s="81"/>
      <c r="AM90" s="1762">
        <f>IF(AM83&gt;0,AM89*AM69/AM83,0)</f>
        <v>0</v>
      </c>
      <c r="AN90" s="81"/>
      <c r="AO90" s="1762">
        <f>IF(AO83&gt;0,AO89*AO69/AO83,0)</f>
        <v>0</v>
      </c>
      <c r="AP90" s="81"/>
      <c r="AQ90" s="25" t="s">
        <v>1069</v>
      </c>
      <c r="AR90" s="81"/>
      <c r="AS90" s="83"/>
      <c r="AT90" s="23" t="s">
        <v>2680</v>
      </c>
      <c r="AU90" s="83"/>
      <c r="AV90" s="2991" t="e">
        <f>IF(400/(12.2*AV82/(AV9+273))^0.5&lt;AV89,400/(12.2*AV82/(AV9+273))^0.5,AV89)</f>
        <v>#DIV/0!</v>
      </c>
      <c r="AW90" s="83"/>
      <c r="AX90" s="2991" t="e">
        <f>IF(400/(12.2*AX82/(AX9+273))^0.5&lt;AX89,400/(12.2*AX82/(AX9+273))^0.5,AX89)</f>
        <v>#DIV/0!</v>
      </c>
      <c r="AY90" s="83"/>
      <c r="AZ90" s="2991" t="e">
        <f>IF(400/(12.2*AZ82/(AZ9+273))^0.5&lt;AZ89,400/(12.2*AZ82/(AZ9+273))^0.5,AZ89)</f>
        <v>#DIV/0!</v>
      </c>
      <c r="BA90" s="83"/>
      <c r="BB90" s="2991" t="e">
        <f>IF(400/(12.2*BB82/(BB9+273))^0.5&lt;BB89,400/(12.2*BB82/(BB9+273))^0.5,BB89)</f>
        <v>#DIV/0!</v>
      </c>
      <c r="BC90" s="83"/>
      <c r="BD90" s="2991" t="e">
        <f>IF(400/(12.2*BD82/(BD9+273))^0.5&lt;BD89,400/(12.2*BD82/(BD9+273))^0.5,BD89)</f>
        <v>#DIV/0!</v>
      </c>
      <c r="BE90" s="83"/>
      <c r="BF90" s="2991" t="e">
        <f>IF(400/(12.2*BF82/(BF9+273))^0.5&lt;BF89,400/(12.2*BF82/(BF9+273))^0.5,BF89)</f>
        <v>#DIV/0!</v>
      </c>
      <c r="BG90" s="83"/>
      <c r="BH90" s="2991" t="e">
        <f>IF(400/(12.2*BH82/(BH9+273))^0.5&lt;BH89,400/(12.2*BH82/(BH9+273))^0.5,BH89)</f>
        <v>#DIV/0!</v>
      </c>
      <c r="BI90" s="83"/>
      <c r="BJ90" s="2991" t="e">
        <f>IF(400/(12.2*BJ82/(BJ9+273))^0.5&lt;BJ89,400/(12.2*BJ82/(BJ9+273))^0.5,BJ89)</f>
        <v>#DIV/0!</v>
      </c>
      <c r="BK90" s="83"/>
      <c r="BL90" s="2991" t="e">
        <f>IF(400/(12.2*BL82/(BL9+273))^0.5&lt;BL89,400/(12.2*BL82/(BL9+273))^0.5,BL89)</f>
        <v>#DIV/0!</v>
      </c>
      <c r="BM90" s="83"/>
      <c r="BN90" s="2991" t="e">
        <f>IF(400/(12.2*BN82/(BN9+273))^0.5&lt;BN89,400/(12.2*BN82/(BN9+273))^0.5,BN89)</f>
        <v>#DIV/0!</v>
      </c>
      <c r="BO90" s="83"/>
      <c r="BP90" s="85" t="s">
        <v>1714</v>
      </c>
      <c r="BQ90" s="83"/>
      <c r="BR90" s="81"/>
      <c r="BS90" s="25" t="s">
        <v>3650</v>
      </c>
      <c r="BT90" s="81"/>
      <c r="BU90" s="2645" t="str">
        <f>IF(BU89="","",BU89*BU69/BU83)</f>
        <v/>
      </c>
      <c r="BV90" s="81"/>
      <c r="BW90" s="2645" t="str">
        <f>IF(BW89="","",BW89*BW69/BW83)</f>
        <v/>
      </c>
      <c r="BX90" s="81"/>
      <c r="BY90" s="2645" t="str">
        <f>IF(BY89="","",BY89*BY69/BY83)</f>
        <v/>
      </c>
      <c r="BZ90" s="81"/>
      <c r="CA90" s="2645" t="str">
        <f>IF(CA89="","",CA89*CA69/CA83)</f>
        <v/>
      </c>
      <c r="CB90" s="81"/>
      <c r="CC90" s="2645" t="str">
        <f>IF(CC89="","",CC89*CC69/CC83)</f>
        <v/>
      </c>
      <c r="CD90" s="81"/>
      <c r="CE90" s="119" t="s">
        <v>1069</v>
      </c>
      <c r="CF90" s="81"/>
      <c r="CG90" s="2"/>
      <c r="CH90" s="2977" t="s">
        <v>5056</v>
      </c>
      <c r="CI90" s="83"/>
      <c r="CJ90" s="1230">
        <f>EXP(INDEX(LINEST($CJ$277:$CJ$282,CJ84:CJ89),2))*((Ambient_Temp+273)/(T+273))*Roughness_A</f>
        <v>8.0110655998420644E-3</v>
      </c>
      <c r="CK90" s="83"/>
      <c r="CL90" s="23"/>
      <c r="CM90" s="83"/>
    </row>
    <row r="91" spans="1:91" ht="15" customHeight="1" thickBot="1" x14ac:dyDescent="0.3">
      <c r="A91" s="83"/>
      <c r="B91" s="3299" t="s">
        <v>5314</v>
      </c>
      <c r="C91" s="83"/>
      <c r="D91" s="3300">
        <f>MAX(IF(D16&gt;0,D23*(D16-D45)*D83*D13/(D70*D16*Max_Duration)+D55*D52*(1-D76),0),1*EXP(-10))</f>
        <v>4.5399929762484854E-5</v>
      </c>
      <c r="E91" s="83"/>
      <c r="F91" s="3300">
        <f>MAX(IF(F16&gt;0,F23*(F16-F45)*F83*F13/(F70*F16*Max_Duration)+F55*F52*(1-F76),0),1*EXP(-10))</f>
        <v>4.5399929762484854E-5</v>
      </c>
      <c r="G91" s="83"/>
      <c r="H91" s="3300">
        <f>MAX(IF(H16&gt;0,H23*(H16-H45)*H83*H13/(H70*H16*Max_Duration)+H55*H52*(1-H76),0),1*EXP(-10))</f>
        <v>4.5399929762484854E-5</v>
      </c>
      <c r="I91" s="83"/>
      <c r="J91" s="3300">
        <f>MAX(IF(J16&gt;0,J23*(J16-J45)*J83*J13/(J70*J16*Max_Duration)+J55*J52*(1-J76),0),1*EXP(-10))</f>
        <v>4.5399929762484854E-5</v>
      </c>
      <c r="K91" s="83"/>
      <c r="L91" s="3300">
        <f>MAX(IF(L16&gt;0,L23*(L16-L45)*L83*L13/(L70*L16*Max_Duration)+L55*L52*(1-L76),0),1*EXP(-10))</f>
        <v>4.5399929762484854E-5</v>
      </c>
      <c r="M91" s="83"/>
      <c r="N91" s="3300">
        <f>MAX(IF(N16&gt;0,N23*(N16-N45)*N83*N13/(N70*N16*Max_Duration)+N55*N52*(1-N76),0),1*EXP(-10))</f>
        <v>4.5399929762484854E-5</v>
      </c>
      <c r="O91" s="83"/>
      <c r="P91" s="3300">
        <f>MAX(IF(P16&gt;0,P23*(P16-P45)*P83*P13/(P70*P16*Max_Duration)+P55*P52*(1-P76),0),1*EXP(-10))</f>
        <v>4.5399929762484854E-5</v>
      </c>
      <c r="Q91" s="83"/>
      <c r="R91" s="3300">
        <f>MAX(IF(R16&gt;0,R23*(R16-R45)*R83*R13/(R70*R16*Max_Duration)+R55*R52*(1-R76),0),1*EXP(-10))</f>
        <v>4.5399929762484854E-5</v>
      </c>
      <c r="S91" s="83"/>
      <c r="T91" s="3300">
        <f>MAX(IF(T16&gt;0,T23*(T16-T45)*T83*T13/(T70*T16*Max_Duration)+T55*T52*(1-T76),0),1*EXP(-10))</f>
        <v>4.5399929762484854E-5</v>
      </c>
      <c r="U91" s="83"/>
      <c r="V91" s="3300">
        <f>MAX(IF(V16&gt;0,V23*(V16-V45)*V83*V13/(V70*V16*Max_Duration)+V55*V52*(1-V76),0),1*EXP(-10))</f>
        <v>4.5399929762484854E-5</v>
      </c>
      <c r="W91" s="83"/>
      <c r="X91" s="3303">
        <f>MAX(IF(X16&gt;0,X23*(X16-X45)*X83*X13/(X70*X16*Max_Duration)+X55*X52*(1-X76),0),1*EXP(-10))</f>
        <v>4.5399929762484854E-5</v>
      </c>
      <c r="Y91" s="83"/>
      <c r="Z91" s="3298"/>
      <c r="AA91" s="83"/>
      <c r="AB91" s="3079"/>
      <c r="AC91" s="3299" t="s">
        <v>5314</v>
      </c>
      <c r="AD91" s="81"/>
      <c r="AE91" s="3300">
        <f>IF(State="Vapor",AE89,MAX(IF(AE16&gt;0,AE23*(AE16-AE45)*AE83*AE13/(AE70*AE16*Max_Duration)+AE55*AE52*(1-AE76),0),1*EXP(-10)))</f>
        <v>4.5399929762484854E-5</v>
      </c>
      <c r="AF91" s="81"/>
      <c r="AG91" s="3300">
        <f>IF(State="Vapor",AG89,MAX(IF(AG16&gt;0,AG23*(AG16-AG45)*AG83*AG13/(AG70*AG16*Max_Duration)+AG55*AG52*(1-AG76),0),1*EXP(-10)))</f>
        <v>4.5399929762484854E-5</v>
      </c>
      <c r="AH91" s="81"/>
      <c r="AI91" s="3300">
        <f>IF(State="Vapor",AI89,MAX(IF(AI16&gt;0,AI23*(AI16-AI45)*AI83*AI13/(AI70*AI16*Max_Duration)+AI55*AI52*(1-AI76),0),1*EXP(-10)))</f>
        <v>4.5399929762484854E-5</v>
      </c>
      <c r="AJ91" s="81"/>
      <c r="AK91" s="3300">
        <f>IF(State="Vapor",AK89,MAX(IF(AK16&gt;0,AK23*(AK16-AK45)*AK83*AK13/(AK70*AK16*Max_Duration)+AK55*AK52*(1-AK76),0),1*EXP(-10)))</f>
        <v>4.5399929762484854E-5</v>
      </c>
      <c r="AL91" s="81"/>
      <c r="AM91" s="3300">
        <f>IF(State="Vapor",AM89,MAX(IF(AM16&gt;0,AM23*(AM16-AM45)*AM83*AM13/(AM70*AM16*Max_Duration)+AM55*AM52*(1-AM76),0),1*EXP(-10)))</f>
        <v>4.5399929762484854E-5</v>
      </c>
      <c r="AN91" s="81"/>
      <c r="AO91" s="3300">
        <f>IF(State="Vapor",AO89,MAX(IF(AO16&gt;0,AO23*(AO16-AO45)*AO83*AO13/(AO70*AO16*Max_Duration)+AO55*AO52*(1-AO76),0),1*EXP(-10)))</f>
        <v>4.5399929762484854E-5</v>
      </c>
      <c r="AP91" s="81"/>
      <c r="AQ91" s="81"/>
      <c r="AR91" s="81"/>
      <c r="AS91" s="83"/>
      <c r="AT91" s="3297" t="s">
        <v>3812</v>
      </c>
      <c r="AU91" s="83"/>
      <c r="AV91" s="3077" t="e">
        <f>MIN(IF(MIN(AV89,AV90)&gt;Wind,Air_Dens*(Wind/MIN(AV89,AV90))/(12.2*AV82/(AV9+273)),1),0.999)</f>
        <v>#DIV/0!</v>
      </c>
      <c r="AW91" s="83"/>
      <c r="AX91" s="3077" t="e">
        <f>MIN(IF(MIN(AX89,AX90)&gt;Wind,Air_Dens*(Wind/MIN(AX89,AX90))/(12.2*AX82/(AX9+273)),1),0.999)</f>
        <v>#DIV/0!</v>
      </c>
      <c r="AY91" s="3078"/>
      <c r="AZ91" s="3077" t="e">
        <f>MIN(IF(MIN(AZ89,AZ90)&gt;Wind,Air_Dens*(Wind/MIN(AZ89,AZ90))/(12.2*AZ82/(AZ9+273)),1),0.999)</f>
        <v>#DIV/0!</v>
      </c>
      <c r="BA91" s="3078"/>
      <c r="BB91" s="3077" t="e">
        <f>MIN(IF(MIN(BB89,BB90)&gt;Wind,Air_Dens*(Wind/MIN(BB89,BB90))/(12.2*BB82/(BB9+273)),1),0.999)</f>
        <v>#DIV/0!</v>
      </c>
      <c r="BC91" s="3078"/>
      <c r="BD91" s="3077" t="e">
        <f>MIN(IF(MIN(BD89,BD90)&gt;Wind,Air_Dens*(Wind/MIN(BD89,BD90))/(12.2*BD82/(BD9+273)),1),0.999)</f>
        <v>#DIV/0!</v>
      </c>
      <c r="BE91" s="3078"/>
      <c r="BF91" s="3077" t="e">
        <f>MIN(IF(MIN(BF89,BF90)&gt;Wind,Air_Dens*(Wind/MIN(BF89,BF90))/(12.2*BF82/(BF9+273)),1),0.999)</f>
        <v>#DIV/0!</v>
      </c>
      <c r="BG91" s="3078"/>
      <c r="BH91" s="3077" t="e">
        <f>MIN(IF(MIN(BH89,BH90)&gt;Wind,Air_Dens*(Wind/MIN(BH89,BH90))/(12.2*BH82/(BH9+273)),1),0.999)</f>
        <v>#DIV/0!</v>
      </c>
      <c r="BI91" s="3078"/>
      <c r="BJ91" s="3077" t="e">
        <f>MIN(IF(MIN(BJ89,BJ90)&gt;Wind,Air_Dens*(Wind/MIN(BJ89,BJ90))/(12.2*BJ82/(BJ9+273)),1),0.999)</f>
        <v>#DIV/0!</v>
      </c>
      <c r="BK91" s="3078"/>
      <c r="BL91" s="3077" t="e">
        <f>MIN(IF(MIN(BL89,BL90)&gt;Wind,Air_Dens*(Wind/MIN(BL89,BL90))/(12.2*BL82/(BL9+273)),1),0.999)</f>
        <v>#DIV/0!</v>
      </c>
      <c r="BM91" s="3078"/>
      <c r="BN91" s="3077" t="e">
        <f>MIN(IF(MIN(BN89,BN90)&gt;Wind,Air_Dens*(Wind/MIN(BN89,BN90))/(12.2*BN82/(BN9+273)),1),0.999)</f>
        <v>#DIV/0!</v>
      </c>
      <c r="BO91" s="83"/>
      <c r="BP91" s="85" t="s">
        <v>3813</v>
      </c>
      <c r="BQ91" s="83"/>
      <c r="BR91" s="81"/>
      <c r="BS91" s="81"/>
      <c r="BT91" s="81"/>
      <c r="BU91" s="81"/>
      <c r="BV91" s="81"/>
      <c r="BW91" s="81"/>
      <c r="BX91" s="81"/>
      <c r="BY91" s="81"/>
      <c r="BZ91" s="81"/>
      <c r="CA91" s="81"/>
      <c r="CB91" s="81"/>
      <c r="CC91" s="81"/>
      <c r="CD91" s="81"/>
      <c r="CE91" s="81"/>
      <c r="CF91" s="81"/>
      <c r="CG91" s="2"/>
      <c r="CH91" s="2977" t="s">
        <v>5057</v>
      </c>
      <c r="CI91" s="83"/>
      <c r="CJ91" s="1230">
        <f>INDEX(LINEST($CJ$277:$CJ$282,CJ84:CJ89),1)+Roughness_B</f>
        <v>0</v>
      </c>
      <c r="CK91" s="83"/>
      <c r="CL91" s="23"/>
      <c r="CM91" s="83"/>
    </row>
    <row r="92" spans="1:91" ht="15" customHeight="1" thickBot="1" x14ac:dyDescent="0.3">
      <c r="A92" s="2"/>
      <c r="B92" s="139" t="s">
        <v>5044</v>
      </c>
      <c r="C92" s="83"/>
      <c r="D92" s="2"/>
      <c r="E92" s="83"/>
      <c r="F92" s="2"/>
      <c r="G92" s="83"/>
      <c r="H92" s="2"/>
      <c r="I92" s="83"/>
      <c r="J92" s="2"/>
      <c r="K92" s="83"/>
      <c r="L92" s="2"/>
      <c r="M92" s="83"/>
      <c r="N92" s="2"/>
      <c r="O92" s="83"/>
      <c r="P92" s="2"/>
      <c r="Q92" s="83"/>
      <c r="R92" s="2"/>
      <c r="S92" s="83"/>
      <c r="T92" s="2"/>
      <c r="U92" s="83"/>
      <c r="V92" s="2"/>
      <c r="W92" s="83"/>
      <c r="X92" s="2"/>
      <c r="Y92" s="83"/>
      <c r="Z92" s="83"/>
      <c r="AA92" s="83"/>
      <c r="AB92" s="81"/>
      <c r="AC92" s="3027" t="s">
        <v>5044</v>
      </c>
      <c r="AD92" s="81"/>
      <c r="AE92" s="81"/>
      <c r="AF92" s="81"/>
      <c r="AG92" s="81"/>
      <c r="AH92" s="81"/>
      <c r="AI92" s="81"/>
      <c r="AJ92" s="81"/>
      <c r="AK92" s="81"/>
      <c r="AL92" s="81"/>
      <c r="AM92" s="81"/>
      <c r="AN92" s="81"/>
      <c r="AO92" s="81"/>
      <c r="AP92" s="81"/>
      <c r="AQ92" s="81"/>
      <c r="AR92" s="1173"/>
      <c r="AS92" s="83"/>
      <c r="AT92" s="23" t="s">
        <v>5231</v>
      </c>
      <c r="AU92" s="83"/>
      <c r="AV92" s="3029">
        <f>IF(OR(AV82=0,AV89=0),0,IF(OR(Relief_Discharge_Location="Vent Header to Blow-down Tank",Relief_Discharge_Location="Scrubber or Containment",Relief_Discharge_Location="Flare or Incinerator"),1,0.03125*Relief_Discharge_Size*IF(AND(AV89&gt;AV90,AV90&gt;0),(AV89/AV90)^0.5,1)*(AV90/Wind)*(12.2*AV82/(AV9+273)/Air_Dens)^0.5))</f>
        <v>0</v>
      </c>
      <c r="AW92" s="83"/>
      <c r="AX92" s="3029">
        <f>IF(OR(AX82=0,AX89=0),0,IF(OR(Relief_Discharge_Location="Vent Header to Blow-down Tank",Relief_Discharge_Location="Scrubber or Containment",Relief_Discharge_Location="Flare or Incinerator"),1,0.03125*Relief_Discharge_Size*IF(AND(AX89&gt;AX90,AX90&gt;0),(AX89/AX90)^0.5,1)*(AX90/Wind)*(12.2*AX82/(AX9+273)/Air_Dens)^0.5))</f>
        <v>0</v>
      </c>
      <c r="AY92" s="83"/>
      <c r="AZ92" s="3029">
        <f>IF(OR(AZ82=0,AZ89=0),0,IF(OR(Relief_Discharge_Location="Vent Header to Blow-down Tank",Relief_Discharge_Location="Scrubber or Containment",Relief_Discharge_Location="Flare or Incinerator"),1,0.03125*Relief_Discharge_Size*IF(AND(AZ89&gt;AZ90,AZ90&gt;0),(AZ89/AZ90)^0.5,1)*(AZ90/Wind)*(12.2*AZ82/(AZ9+273)/Air_Dens)^0.5))</f>
        <v>0</v>
      </c>
      <c r="BA92" s="83"/>
      <c r="BB92" s="3029">
        <f>IF(OR(BB82=0,BB89=0),0,IF(OR(Relief_Discharge_Location="Vent Header to Blow-down Tank",Relief_Discharge_Location="Scrubber or Containment",Relief_Discharge_Location="Flare or Incinerator"),1,0.03125*Relief_Discharge_Size*IF(AND(BB89&gt;BB90,BB90&gt;0),(BB89/BB90)^0.5,1)*(BB90/Wind)*(12.2*BB82/(BB9+273)/Air_Dens)^0.5))</f>
        <v>0</v>
      </c>
      <c r="BC92" s="83"/>
      <c r="BD92" s="3029">
        <f>IF(OR(BD82=0,BD89=0),0,IF(OR(Relief_Discharge_Location="Vent Header to Blow-down Tank",Relief_Discharge_Location="Scrubber or Containment",Relief_Discharge_Location="Flare or Incinerator"),1,0.03125*Relief_Discharge_Size*IF(AND(BD89&gt;BD90,BD90&gt;0),(BD89/BD90)^0.5,1)*(BD90/Wind)*(12.2*BD82/(BD9+273)/Air_Dens)^0.5))</f>
        <v>0</v>
      </c>
      <c r="BE92" s="83"/>
      <c r="BF92" s="3029">
        <f>IF(OR(BF82=0,BF89=0),0,IF(OR(Relief_Discharge_Location="Vent Header to Blow-down Tank",Relief_Discharge_Location="Scrubber or Containment",Relief_Discharge_Location="Flare or Incinerator"),1,0.03125*Relief_Discharge_Size*IF(AND(BF89&gt;BF90,BF90&gt;0),(BF89/BF90)^0.5,1)*(BF90/Wind)*(12.2*BF82/(BF9+273)/Air_Dens)^0.5))</f>
        <v>0</v>
      </c>
      <c r="BG92" s="83"/>
      <c r="BH92" s="3029">
        <f>IF(OR(BH82=0,BH89=0),0,IF(OR(Relief_Discharge_Location="Vent Header to Blow-down Tank",Relief_Discharge_Location="Scrubber or Containment",Relief_Discharge_Location="Flare or Incinerator"),1,0.03125*Relief_Discharge_Size*IF(AND(BH89&gt;BH90,BH90&gt;0),(BH89/BH90)^0.5,1)*(BH90/Wind)*(12.2*BH82/(BH9+273)/Air_Dens)^0.5))</f>
        <v>0</v>
      </c>
      <c r="BI92" s="83"/>
      <c r="BJ92" s="3029">
        <f>IF(OR(BJ82=0,BJ89=0),0,IF(OR(Relief_Discharge_Location="Vent Header to Blow-down Tank",Relief_Discharge_Location="Scrubber or Containment",Relief_Discharge_Location="Flare or Incinerator"),1,0.03125*Relief_Discharge_Size*IF(AND(BJ89&gt;BJ90,BJ90&gt;0),(BJ89/BJ90)^0.5,1)*(BJ90/Wind)*(12.2*BJ82/(BJ9+273)/Air_Dens)^0.5))</f>
        <v>0</v>
      </c>
      <c r="BK92" s="83"/>
      <c r="BL92" s="3029">
        <f>IF(OR(BL82=0,BL89=0),0,IF(OR(Relief_Discharge_Location="Vent Header to Blow-down Tank",Relief_Discharge_Location="Scrubber or Containment",Relief_Discharge_Location="Flare or Incinerator"),1,0.03125*Relief_Discharge_Size*IF(AND(BL89&gt;BL90,BL90&gt;0),(BL89/BL90)^0.5,1)*(BL90/Wind)*(12.2*BL82/(BL9+273)/Air_Dens)^0.5))</f>
        <v>0</v>
      </c>
      <c r="BM92" s="83"/>
      <c r="BN92" s="3029">
        <f>IF(OR(BN82=0,BN89=0),0,IF(OR(Relief_Discharge_Location="Vent Header to Blow-down Tank",Relief_Discharge_Location="Scrubber or Containment",Relief_Discharge_Location="Flare or Incinerator"),1,0.03125*Relief_Discharge_Size*IF(AND(BN89&gt;BN90,BN90&gt;0),(BN89/BN90)^0.5,1)*(BN90/Wind)*(12.2*BN82/(BN9+273)/Air_Dens)^0.5))</f>
        <v>0</v>
      </c>
      <c r="BO92" s="83"/>
      <c r="BP92" s="85" t="s">
        <v>1068</v>
      </c>
      <c r="BQ92" s="83"/>
      <c r="BR92" s="81"/>
      <c r="BS92" s="82" t="s">
        <v>5044</v>
      </c>
      <c r="BT92" s="81"/>
      <c r="BU92" s="81"/>
      <c r="BV92" s="81"/>
      <c r="BW92" s="81"/>
      <c r="BX92" s="81"/>
      <c r="BY92" s="81"/>
      <c r="BZ92" s="81"/>
      <c r="CA92" s="81"/>
      <c r="CB92" s="81"/>
      <c r="CC92" s="81"/>
      <c r="CD92" s="81"/>
      <c r="CE92" s="81"/>
      <c r="CF92" s="81"/>
      <c r="CG92" s="2"/>
      <c r="CH92" s="1691" t="s">
        <v>5068</v>
      </c>
      <c r="CI92" s="83"/>
      <c r="CJ92" s="2401">
        <f>IF(CJ83&lt;CJ$27,(CJ$90/(CJ83/CJ$27))^(-1/CJ$91),0)</f>
        <v>0</v>
      </c>
      <c r="CK92" s="83"/>
      <c r="CL92" s="23"/>
      <c r="CM92" s="83"/>
    </row>
    <row r="93" spans="1:91" ht="15" customHeight="1" x14ac:dyDescent="0.25">
      <c r="A93" s="2"/>
      <c r="B93" s="845" t="str">
        <f>IF(B17="","","Vapor Moles "&amp;B17)</f>
        <v/>
      </c>
      <c r="C93" s="83"/>
      <c r="D93" s="878">
        <f>IF(Mw_1&lt;&gt;"",D84/Mw_1,0)</f>
        <v>0</v>
      </c>
      <c r="E93" s="83"/>
      <c r="F93" s="878">
        <f>IF(Mw_1&lt;&gt;"",F84/Mw_1,0)</f>
        <v>0</v>
      </c>
      <c r="G93" s="83"/>
      <c r="H93" s="878">
        <f>IF(Mw_1&lt;&gt;"",H84/Mw_1,0)</f>
        <v>0</v>
      </c>
      <c r="I93" s="83"/>
      <c r="J93" s="878">
        <f>IF(Mw_1&lt;&gt;"",J84/Mw_1,0)</f>
        <v>0</v>
      </c>
      <c r="K93" s="83"/>
      <c r="L93" s="878">
        <f>IF(Mw_1&lt;&gt;"",L84/Mw_1,0)</f>
        <v>0</v>
      </c>
      <c r="M93" s="83"/>
      <c r="N93" s="878">
        <f>IF(Mw_1&lt;&gt;"",N84/Mw_1,0)</f>
        <v>0</v>
      </c>
      <c r="O93" s="83"/>
      <c r="P93" s="878">
        <f>IF(Mw_1&lt;&gt;"",P84/Mw_1,0)</f>
        <v>0</v>
      </c>
      <c r="Q93" s="83"/>
      <c r="R93" s="878">
        <f>IF(Mw_1&lt;&gt;"",R84/Mw_1,0)</f>
        <v>0</v>
      </c>
      <c r="S93" s="83"/>
      <c r="T93" s="878">
        <f>IF(Mw_1&lt;&gt;"",T84/Mw_1,0)</f>
        <v>0</v>
      </c>
      <c r="U93" s="83"/>
      <c r="V93" s="878">
        <f>IF(Mw_1&lt;&gt;"",V84/Mw_1,0)</f>
        <v>0</v>
      </c>
      <c r="W93" s="83"/>
      <c r="X93" s="878">
        <f>IF(Mw_1&lt;&gt;"",X84/Mw_1,0)</f>
        <v>0</v>
      </c>
      <c r="Y93" s="83"/>
      <c r="Z93" s="84"/>
      <c r="AA93" s="83"/>
      <c r="AB93" s="81"/>
      <c r="AC93" s="845" t="str">
        <f>B93</f>
        <v/>
      </c>
      <c r="AD93" s="81"/>
      <c r="AE93" s="852">
        <f>IF(Mw_1&lt;&gt;"",AE84/Mw_1,0)</f>
        <v>0</v>
      </c>
      <c r="AF93" s="81"/>
      <c r="AG93" s="852">
        <f>IF(Mw_1&lt;&gt;"",AG84/Mw_1,0)</f>
        <v>0</v>
      </c>
      <c r="AH93" s="81"/>
      <c r="AI93" s="852">
        <f>IF(Mw_1&lt;&gt;"",AI84/Mw_1,0)</f>
        <v>0</v>
      </c>
      <c r="AJ93" s="81"/>
      <c r="AK93" s="852">
        <f>IF(Mw_1&lt;&gt;"",AK84/Mw_1,0)</f>
        <v>0</v>
      </c>
      <c r="AL93" s="81"/>
      <c r="AM93" s="852">
        <f>IF(Mw_1&lt;&gt;"",AM84/Mw_1,0)</f>
        <v>0</v>
      </c>
      <c r="AN93" s="81"/>
      <c r="AO93" s="878">
        <f>IF(MwHT_1&lt;&gt;"",AO84/MwHT_1,0)</f>
        <v>0</v>
      </c>
      <c r="AP93" s="81"/>
      <c r="AQ93" s="84"/>
      <c r="AR93" s="81"/>
      <c r="AS93" s="83"/>
      <c r="AT93" s="1840" t="s">
        <v>2683</v>
      </c>
      <c r="AU93" s="83"/>
      <c r="AV93" s="3030" t="e">
        <f>IF(Relief_Discharge_Location="Outdoors to Ground",1.2,Relief_Elevation+0.015*(Relief_Discharge_Size/Wind)*IF(AV89&lt;AV90,AV89,AV90)*(IF(OR(Relief_Discharge_Location="Outdoors-Upwards",Relief_Discharge_Location="Vent Header to Blow-down Tank",Relief_Discharge_Location="Scrubber or Containment",Relief_Discharge_Location="Flare or Incinerator"),1,0)+0.018*Relief_Discharge_Size*(1-12.2*AV82/(AV9+273)/Air_Dens)))</f>
        <v>#DIV/0!</v>
      </c>
      <c r="AW93" s="83"/>
      <c r="AX93" s="3030" t="e">
        <f>IF(OR(AX39&gt;0,Relief_Discharge_Location="Outdoors to Ground"),1.2,Relief_Elevation+0.015*(Relief_Discharge_Size/Wind)*IF(AX89&lt;AX90,AX89,AX90)*(IF(OR(Relief_Discharge_Location="Outdoors-Upwards",Relief_Discharge_Location="Vent Header to Blow-down Tank",Relief_Discharge_Location="Scrubber or Containment",Relief_Discharge_Location="Flare or Incinerator"),1,0)+0.018*Relief_Discharge_Size*(1-12.2*AX82/(AX9+273)/Air_Dens)))</f>
        <v>#DIV/0!</v>
      </c>
      <c r="AY93" s="83"/>
      <c r="AZ93" s="3030" t="e">
        <f>IF(OR(AZ39&gt;0,Relief_Discharge_Location="Outdoors to Ground"),1.2,Relief_Elevation+0.015*(Relief_Discharge_Size/Wind)*IF(AZ89&lt;AZ90,AZ89,AZ90)*(IF(OR(Relief_Discharge_Location="Outdoors-Upwards",Relief_Discharge_Location="Vent Header to Blow-down Tank",Relief_Discharge_Location="Scrubber or Containment",Relief_Discharge_Location="Flare or Incinerator"),1,0)+0.018*Relief_Discharge_Size*(1-12.2*AZ82/(AZ9+273)/Air_Dens)))</f>
        <v>#DIV/0!</v>
      </c>
      <c r="BA93" s="83"/>
      <c r="BB93" s="3030" t="e">
        <f>IF(OR(BB39&gt;0,Relief_Discharge_Location="Outdoors to Ground"),1.2,Relief_Elevation+0.015*(Relief_Discharge_Size/Wind)*IF(BB89&lt;BB90,BB89,BB90)*(IF(OR(Relief_Discharge_Location="Outdoors-Upwards",Relief_Discharge_Location="Vent Header to Blow-down Tank",Relief_Discharge_Location="Scrubber or Containment",Relief_Discharge_Location="Flare or Incinerator"),1,0)+0.018*Relief_Discharge_Size*(1-12.2*BB82/(BB9+273)/Air_Dens)))</f>
        <v>#DIV/0!</v>
      </c>
      <c r="BC93" s="83"/>
      <c r="BD93" s="3030" t="e">
        <f>IF(OR(BD39&gt;0,Relief_Discharge_Location="Outdoors to Ground"),1.2,Relief_Elevation+0.015*(Relief_Discharge_Size/Wind)*IF(BD89&lt;BD90,BD89,BD90)*(IF(OR(Relief_Discharge_Location="Outdoors-Upwards",Relief_Discharge_Location="Vent Header to Blow-down Tank",Relief_Discharge_Location="Scrubber or Containment",Relief_Discharge_Location="Flare or Incinerator"),1,0)+0.018*Relief_Discharge_Size*(1-12.2*BD82/(BD9+273)/Air_Dens)))</f>
        <v>#DIV/0!</v>
      </c>
      <c r="BE93" s="83"/>
      <c r="BF93" s="3030" t="e">
        <f>IF(OR(BF39&gt;0,Relief_Discharge_Location="Outdoors to Ground"),1.2,Relief_Elevation+0.015*(Relief_Discharge_Size/Wind)*IF(BF89&lt;BF90,BF89,BF90)*(IF(OR(Relief_Discharge_Location="Outdoors-Upwards",Relief_Discharge_Location="Vent Header to Blow-down Tank",Relief_Discharge_Location="Scrubber or Containment",Relief_Discharge_Location="Flare or Incinerator"),1,0)+0.018*Relief_Discharge_Size*(1-12.2*BF82/(BF9+273)/Air_Dens)))</f>
        <v>#DIV/0!</v>
      </c>
      <c r="BG93" s="83"/>
      <c r="BH93" s="3030" t="e">
        <f>IF(OR(BH39&gt;0,Relief_Discharge_Location="Outdoors to Ground"),1.2,Relief_Elevation+0.015*(Relief_Discharge_Size/Wind)*IF(BH89&lt;BH90,BH89,BH90)*(IF(OR(Relief_Discharge_Location="Outdoors-Upwards",Relief_Discharge_Location="Vent Header to Blow-down Tank",Relief_Discharge_Location="Scrubber or Containment",Relief_Discharge_Location="Flare or Incinerator"),1,0)+0.018*Relief_Discharge_Size*(1-12.2*BH82/(BH9+273)/Air_Dens)))</f>
        <v>#DIV/0!</v>
      </c>
      <c r="BI93" s="83"/>
      <c r="BJ93" s="3030" t="e">
        <f>IF(OR(BJ39&gt;0,Relief_Discharge_Location="Outdoors to Ground"),1.2,Relief_Elevation+0.015*(Relief_Discharge_Size/Wind)*IF(BJ89&lt;BJ90,BJ89,BJ90)*(IF(OR(Relief_Discharge_Location="Outdoors-Upwards",Relief_Discharge_Location="Vent Header to Blow-down Tank",Relief_Discharge_Location="Scrubber or Containment",Relief_Discharge_Location="Flare or Incinerator"),1,0)+0.018*Relief_Discharge_Size*(1-12.2*BJ82/(BJ9+273)/Air_Dens)))</f>
        <v>#DIV/0!</v>
      </c>
      <c r="BK93" s="83"/>
      <c r="BL93" s="3030" t="e">
        <f>IF(OR(BL39&gt;0,Relief_Discharge_Location="Outdoors to Ground"),1.2,Relief_Elevation+0.015*(Relief_Discharge_Size/Wind)*IF(BL89&lt;BL90,BL89,BL90)*(IF(OR(Relief_Discharge_Location="Outdoors-Upwards",Relief_Discharge_Location="Vent Header to Blow-down Tank",Relief_Discharge_Location="Scrubber or Containment",Relief_Discharge_Location="Flare or Incinerator"),1,0)+0.018*Relief_Discharge_Size*(1-12.2*BL82/(BL9+273)/Air_Dens)))</f>
        <v>#DIV/0!</v>
      </c>
      <c r="BM93" s="83"/>
      <c r="BN93" s="3030" t="e">
        <f>IF(OR(BN39&gt;0,Relief_Discharge_Location="Outdoors to Ground"),1.2,Relief_Elevation+0.015*(Relief_Discharge_Size/Wind)*IF(BN89&lt;BN90,BN89,BN90)*(IF(OR(Relief_Discharge_Location="Outdoors-Upwards",Relief_Discharge_Location="Vent Header to Blow-down Tank",Relief_Discharge_Location="Scrubber or Containment",Relief_Discharge_Location="Flare or Incinerator"),1,0)+0.018*Relief_Discharge_Size*(1-12.2*BN82/(BN9+273)/Air_Dens)))</f>
        <v>#DIV/0!</v>
      </c>
      <c r="BO93" s="83"/>
      <c r="BP93" s="85" t="s">
        <v>1506</v>
      </c>
      <c r="BQ93" s="83"/>
      <c r="BR93" s="81"/>
      <c r="BS93" s="845" t="str">
        <f>B93</f>
        <v/>
      </c>
      <c r="BT93" s="81"/>
      <c r="BU93" s="878">
        <f>IF(Mw_1&lt;&gt;"",BU84/Mw_1,0)</f>
        <v>0</v>
      </c>
      <c r="BV93" s="81"/>
      <c r="BW93" s="878">
        <f>IF(Mw_1&lt;&gt;"",BW84/Mw_1,0)</f>
        <v>0</v>
      </c>
      <c r="BX93" s="81"/>
      <c r="BY93" s="2996">
        <f>IF(Mw_1&lt;&gt;"",BY84/Mw_1,0)</f>
        <v>0</v>
      </c>
      <c r="BZ93" s="81"/>
      <c r="CA93" s="2996">
        <f>IF(Mw_1&lt;&gt;"",CA84/Mw_1,0)</f>
        <v>0</v>
      </c>
      <c r="CB93" s="81"/>
      <c r="CC93" s="2996">
        <f>IF(Mw_1&lt;&gt;"",CC84/Mw_1,0)</f>
        <v>0</v>
      </c>
      <c r="CD93" s="81"/>
      <c r="CE93" s="84"/>
      <c r="CF93" s="81"/>
      <c r="CG93" s="2"/>
      <c r="CH93" s="1691" t="s">
        <v>5072</v>
      </c>
      <c r="CI93" s="83"/>
      <c r="CJ93" s="2985">
        <f>IF(AND(CJ13&lt;&gt;"",CJ92&gt;0),NBPlume_A_Night*CJ13/(CJ20*Wind_Night*CJ83),0)^NBPlume_B_Night</f>
        <v>0</v>
      </c>
      <c r="CK93" s="83"/>
      <c r="CL93" s="23"/>
      <c r="CM93" s="83"/>
    </row>
    <row r="94" spans="1:91" ht="15" customHeight="1" x14ac:dyDescent="0.25">
      <c r="A94" s="2"/>
      <c r="B94" s="846" t="str">
        <f>IF(B18="","","Vapor Moles "&amp;B18)</f>
        <v/>
      </c>
      <c r="C94" s="83"/>
      <c r="D94" s="2996">
        <f>IF(Mw_2&lt;&gt;"",D85/Mw_2,0)</f>
        <v>0</v>
      </c>
      <c r="E94" s="83"/>
      <c r="F94" s="2996">
        <f>IF(Mw_2&lt;&gt;"",F85/Mw_2,0)</f>
        <v>0</v>
      </c>
      <c r="G94" s="83"/>
      <c r="H94" s="2996">
        <f>IF(Mw_2&lt;&gt;"",H85/Mw_2,0)</f>
        <v>0</v>
      </c>
      <c r="I94" s="83"/>
      <c r="J94" s="2996">
        <f>IF(Mw_2&lt;&gt;"",J85/Mw_2,0)</f>
        <v>0</v>
      </c>
      <c r="K94" s="83"/>
      <c r="L94" s="2996">
        <f>IF(Mw_2&lt;&gt;"",L85/Mw_2,0)</f>
        <v>0</v>
      </c>
      <c r="M94" s="83"/>
      <c r="N94" s="2996">
        <f>IF(Mw_2&lt;&gt;"",N85/Mw_2,0)</f>
        <v>0</v>
      </c>
      <c r="O94" s="83"/>
      <c r="P94" s="2996">
        <f>IF(Mw_2&lt;&gt;"",P85/Mw_2,0)</f>
        <v>0</v>
      </c>
      <c r="Q94" s="83"/>
      <c r="R94" s="2996">
        <f>IF(Mw_2&lt;&gt;"",R85/Mw_2,0)</f>
        <v>0</v>
      </c>
      <c r="S94" s="83"/>
      <c r="T94" s="2996">
        <f>IF(Mw_2&lt;&gt;"",T85/Mw_2,0)</f>
        <v>0</v>
      </c>
      <c r="U94" s="83"/>
      <c r="V94" s="2996">
        <f>IF(Mw_2&lt;&gt;"",V85/Mw_2,0)</f>
        <v>0</v>
      </c>
      <c r="W94" s="83"/>
      <c r="X94" s="2996">
        <f>IF(Mw_2&lt;&gt;"",X85/Mw_2,0)</f>
        <v>0</v>
      </c>
      <c r="Y94" s="83"/>
      <c r="Z94" s="23"/>
      <c r="AA94" s="83"/>
      <c r="AB94" s="81"/>
      <c r="AC94" s="846" t="str">
        <f t="shared" ref="AC94:AC97" si="62">B94</f>
        <v/>
      </c>
      <c r="AD94" s="81"/>
      <c r="AE94" s="2996">
        <f>IF(Mw_2&lt;&gt;"",AE85/Mw_2,0)</f>
        <v>0</v>
      </c>
      <c r="AF94" s="81"/>
      <c r="AG94" s="2996">
        <f>IF(Mw_2&lt;&gt;"",AG85/Mw_2,0)</f>
        <v>0</v>
      </c>
      <c r="AH94" s="81"/>
      <c r="AI94" s="2996">
        <f>IF(Mw_2&lt;&gt;"",AI85/Mw_2,0)</f>
        <v>0</v>
      </c>
      <c r="AJ94" s="81"/>
      <c r="AK94" s="2996">
        <f>IF(Mw_2&lt;&gt;"",AK85/Mw_2,0)</f>
        <v>0</v>
      </c>
      <c r="AL94" s="81"/>
      <c r="AM94" s="2996">
        <f>IF(Mw_2&lt;&gt;"",AM85/Mw_2,0)</f>
        <v>0</v>
      </c>
      <c r="AN94" s="81"/>
      <c r="AO94" s="2996">
        <f>IF(MwHT_2&lt;&gt;"",AO85/MwHT_2,0)</f>
        <v>0</v>
      </c>
      <c r="AP94" s="81"/>
      <c r="AQ94" s="23"/>
      <c r="AR94" s="81"/>
      <c r="AS94" s="83"/>
      <c r="AT94" s="3059" t="s">
        <v>5154</v>
      </c>
      <c r="AU94" s="83"/>
      <c r="AV94" s="3058" t="e">
        <f>IF(AV93&gt;1.2,((AV93-1.2)/(2^0.5*Plume_sZ_A))^(1/Plume_sZ_B),0)</f>
        <v>#DIV/0!</v>
      </c>
      <c r="AW94" s="83"/>
      <c r="AX94" s="3058" t="e">
        <f>IF(AX93&gt;1.2,((AX93-1.2)/(2^0.5*Plume_sZ_A))^(1/Plume_sZ_B),0)</f>
        <v>#DIV/0!</v>
      </c>
      <c r="AY94" s="83"/>
      <c r="AZ94" s="3058" t="e">
        <f>IF(AZ93&gt;1.2,((AZ93-1.2)/(2^0.5*Plume_sZ_A))^(1/Plume_sZ_B),0)</f>
        <v>#DIV/0!</v>
      </c>
      <c r="BA94" s="83"/>
      <c r="BB94" s="3058" t="e">
        <f>IF(BB93&gt;1.2,((BB93-1.2)/(2^0.5*Plume_sZ_A))^(1/Plume_sZ_B),0)</f>
        <v>#DIV/0!</v>
      </c>
      <c r="BC94" s="83"/>
      <c r="BD94" s="3058" t="e">
        <f>IF(BD93&gt;1.2,((BD93-1.2)/(2^0.5*Plume_sZ_A))^(1/Plume_sZ_B),0)</f>
        <v>#DIV/0!</v>
      </c>
      <c r="BE94" s="83"/>
      <c r="BF94" s="3058" t="e">
        <f>IF(BF93&gt;1.2,((BF93-1.2)/(2^0.5*Plume_sZ_A))^(1/Plume_sZ_B),0)</f>
        <v>#DIV/0!</v>
      </c>
      <c r="BG94" s="83"/>
      <c r="BH94" s="3058" t="e">
        <f>IF(BH93&gt;1.2,((BH93-1.2)/(2^0.5*Plume_sZ_A))^(1/Plume_sZ_B),0)</f>
        <v>#DIV/0!</v>
      </c>
      <c r="BI94" s="83"/>
      <c r="BJ94" s="3058" t="e">
        <f>IF(BJ93&gt;1.2,((BJ93-1.2)/(2^0.5*Plume_sZ_A))^(1/Plume_sZ_B),0)</f>
        <v>#DIV/0!</v>
      </c>
      <c r="BK94" s="83"/>
      <c r="BL94" s="3058" t="e">
        <f>IF(BL93&gt;1.2,((BL93-1.2)/(2^0.5*Plume_sZ_A))^(1/Plume_sZ_B),0)</f>
        <v>#DIV/0!</v>
      </c>
      <c r="BM94" s="83"/>
      <c r="BN94" s="3058" t="e">
        <f>IF(BN93&gt;1.2,((BN93-1.2)/(2^0.5*Plume_sZ_A))^(1/Plume_sZ_B),0)</f>
        <v>#DIV/0!</v>
      </c>
      <c r="BO94" s="83"/>
      <c r="BP94" s="85"/>
      <c r="BQ94" s="83"/>
      <c r="BR94" s="81"/>
      <c r="BS94" s="846" t="str">
        <f t="shared" ref="BS94:BS97" si="63">B94</f>
        <v/>
      </c>
      <c r="BT94" s="81"/>
      <c r="BU94" s="2996">
        <f>IF(Mw_2&lt;&gt;"",BU85/Mw_2,0)</f>
        <v>0</v>
      </c>
      <c r="BV94" s="81"/>
      <c r="BW94" s="2996">
        <f>IF(Mw_2&lt;&gt;"",BW85/Mw_2,0)</f>
        <v>0</v>
      </c>
      <c r="BX94" s="81"/>
      <c r="BY94" s="2996">
        <f>IF(Mw_2&lt;&gt;"",BY85/Mw_2,0)</f>
        <v>0</v>
      </c>
      <c r="BZ94" s="81"/>
      <c r="CA94" s="2996">
        <f>IF(Mw_2&lt;&gt;"",CA85/Mw_2,0)</f>
        <v>0</v>
      </c>
      <c r="CB94" s="81"/>
      <c r="CC94" s="2996">
        <f>IF(Mw_2&lt;&gt;"",CC85/Mw_2,0)</f>
        <v>0</v>
      </c>
      <c r="CD94" s="81"/>
      <c r="CE94" s="23"/>
      <c r="CF94" s="81"/>
      <c r="CG94" s="2"/>
      <c r="CH94" s="512" t="s">
        <v>5099</v>
      </c>
      <c r="CI94" s="83"/>
      <c r="CJ94" s="2981">
        <f>IF(CJ13&lt;&gt;"",LN(IF(CJ$92&gt;=10,CJ$27*CJ$90*10^CJ$91,NBPlume_A_Night*CJ13/(CJ20*Wind_Night)/(10-CJ$92+CJ$93)^(1/NBPlume_B_Night))),0)</f>
        <v>0</v>
      </c>
      <c r="CK94" s="83"/>
      <c r="CL94" s="23"/>
      <c r="CM94" s="83"/>
    </row>
    <row r="95" spans="1:91" ht="15" customHeight="1" x14ac:dyDescent="0.25">
      <c r="A95" s="2"/>
      <c r="B95" s="846" t="str">
        <f>IF(B19="","","Vapor Moles "&amp;B19)</f>
        <v/>
      </c>
      <c r="C95" s="83"/>
      <c r="D95" s="2996">
        <f>IF(Mw_3&lt;&gt;"",D86/Mw_3,0)</f>
        <v>0</v>
      </c>
      <c r="E95" s="83"/>
      <c r="F95" s="2996">
        <f>IF(Mw_3&lt;&gt;"",F86/Mw_3,0)</f>
        <v>0</v>
      </c>
      <c r="G95" s="83"/>
      <c r="H95" s="2996">
        <f>IF(Mw_3&lt;&gt;"",H86/Mw_3,0)</f>
        <v>0</v>
      </c>
      <c r="I95" s="83"/>
      <c r="J95" s="2996">
        <f>IF(Mw_3&lt;&gt;"",J86/Mw_3,0)</f>
        <v>0</v>
      </c>
      <c r="K95" s="83"/>
      <c r="L95" s="2996">
        <f>IF(Mw_3&lt;&gt;"",L86/Mw_3,0)</f>
        <v>0</v>
      </c>
      <c r="M95" s="83"/>
      <c r="N95" s="2996">
        <f>IF(Mw_3&lt;&gt;"",N86/Mw_3,0)</f>
        <v>0</v>
      </c>
      <c r="O95" s="83"/>
      <c r="P95" s="2996">
        <f>IF(Mw_3&lt;&gt;"",P86/Mw_3,0)</f>
        <v>0</v>
      </c>
      <c r="Q95" s="83"/>
      <c r="R95" s="2996">
        <f>IF(Mw_3&lt;&gt;"",R86/Mw_3,0)</f>
        <v>0</v>
      </c>
      <c r="S95" s="83"/>
      <c r="T95" s="2996">
        <f>IF(Mw_3&lt;&gt;"",T86/Mw_3,0)</f>
        <v>0</v>
      </c>
      <c r="U95" s="83"/>
      <c r="V95" s="2996">
        <f>IF(Mw_3&lt;&gt;"",V86/Mw_3,0)</f>
        <v>0</v>
      </c>
      <c r="W95" s="83"/>
      <c r="X95" s="2996">
        <f>IF(Mw_3&lt;&gt;"",X86/Mw_3,0)</f>
        <v>0</v>
      </c>
      <c r="Y95" s="83"/>
      <c r="Z95" s="23"/>
      <c r="AA95" s="83"/>
      <c r="AB95" s="81"/>
      <c r="AC95" s="846" t="str">
        <f t="shared" si="62"/>
        <v/>
      </c>
      <c r="AD95" s="81"/>
      <c r="AE95" s="2996">
        <f>IF(Mw_3&lt;&gt;"",AE86/Mw_3,0)</f>
        <v>0</v>
      </c>
      <c r="AF95" s="81"/>
      <c r="AG95" s="2996">
        <f>IF(Mw_3&lt;&gt;"",AG86/Mw_3,0)</f>
        <v>0</v>
      </c>
      <c r="AH95" s="81"/>
      <c r="AI95" s="2996">
        <f>IF(Mw_3&lt;&gt;"",AI86/Mw_3,0)</f>
        <v>0</v>
      </c>
      <c r="AJ95" s="81"/>
      <c r="AK95" s="2996">
        <f>IF(Mw_3&lt;&gt;"",AK86/Mw_3,0)</f>
        <v>0</v>
      </c>
      <c r="AL95" s="81"/>
      <c r="AM95" s="2996">
        <f>IF(Mw_3&lt;&gt;"",AM86/Mw_3,0)</f>
        <v>0</v>
      </c>
      <c r="AN95" s="81"/>
      <c r="AO95" s="2996">
        <f>IF(MwHT_3&lt;&gt;"",AO86/MwHT_3,0)</f>
        <v>0</v>
      </c>
      <c r="AP95" s="81"/>
      <c r="AQ95" s="23"/>
      <c r="AR95" s="81"/>
      <c r="AS95" s="83"/>
      <c r="AT95" s="23" t="s">
        <v>2267</v>
      </c>
      <c r="AU95" s="83"/>
      <c r="AV95" s="1194" t="e">
        <f>IF(AND(OR(AV22&lt;AV12*Two_Phase_Limit,Relief_Discharge_Location="Vent Header to Blow-down Tank",Relief_Discharge_Location="Scrubber or Containment",Relief_Discharge_Location="Flare or Incinerator"),AV73&gt;0,AV93&gt;1.2),AvgTime_Correction*MIN(5.73*1000000*AV73*(Plume_sZ_A*AV94^Plume_sZ_B/(Plume_sY_A*AV94^Plume_sY_B))/(Wind*AV82*(AV93-1.2)^2),AV83*1000000),AV83*1000000)</f>
        <v>#DIV/0!</v>
      </c>
      <c r="AW95" s="83"/>
      <c r="AX95" s="1194" t="e">
        <f>IF(AND(OR(AX22&lt;AX12*Two_Phase_Limit,Relief_Discharge_Location="Vent Header to Blow-down Tank",Relief_Discharge_Location="Scrubber or Containment",Relief_Discharge_Location="Flare or Incinerator"),AX73&gt;0,AX93&gt;1.2),AvgTime_Correction*MIN(5.73*1000000*AX73*(Plume_sZ_A*AX94^Plume_sZ_B/(Plume_sY_A*AX94^Plume_sY_B))/(Wind*AX82*(AX93-1.2)^2),AX83*1000000),AX83*1000000)</f>
        <v>#DIV/0!</v>
      </c>
      <c r="AY95" s="83"/>
      <c r="AZ95" s="1194" t="e">
        <f>IF(AND(OR(AZ22&lt;AZ12*Two_Phase_Limit,Relief_Discharge_Location="Vent Header to Blow-down Tank",Relief_Discharge_Location="Scrubber or Containment",Relief_Discharge_Location="Flare or Incinerator"),AZ73&gt;0,AZ93&gt;1.2),AvgTime_Correction*MIN(5.73*1000000*AZ73*(Plume_sZ_A*AZ94^Plume_sZ_B/(Plume_sY_A*AZ94^Plume_sY_B))/(Wind*AZ82*(AZ93-1.2)^2),AZ83*1000000),AZ83*1000000)</f>
        <v>#DIV/0!</v>
      </c>
      <c r="BA95" s="83"/>
      <c r="BB95" s="1194" t="e">
        <f>IF(AND(OR(BB22&lt;BB12*Two_Phase_Limit,Relief_Discharge_Location="Vent Header to Blow-down Tank",Relief_Discharge_Location="Scrubber or Containment",Relief_Discharge_Location="Flare or Incinerator"),BB73&gt;0,BB93&gt;1.2),AvgTime_Correction*MIN(5.73*1000000*BB73*(Plume_sZ_A*BB94^Plume_sZ_B/(Plume_sY_A*BB94^Plume_sY_B))/(Wind*BB82*(BB93-1.2)^2),BB83*1000000),BB83*1000000)</f>
        <v>#DIV/0!</v>
      </c>
      <c r="BC95" s="83"/>
      <c r="BD95" s="1194" t="e">
        <f>IF(AND(OR(BD22&lt;BD12*Two_Phase_Limit,Relief_Discharge_Location="Vent Header to Blow-down Tank",Relief_Discharge_Location="Scrubber or Containment",Relief_Discharge_Location="Flare or Incinerator"),BD73&gt;0,BD93&gt;1.2),AvgTime_Correction*MIN(5.73*1000000*BD73*(Plume_sZ_A*BD94^Plume_sZ_B/(Plume_sY_A*BD94^Plume_sY_B))/(Wind*BD82*(BD93-1.2)^2),BD83*1000000),BD83*1000000)</f>
        <v>#DIV/0!</v>
      </c>
      <c r="BE95" s="83"/>
      <c r="BF95" s="1194" t="e">
        <f>IF(AND(OR(BF22&lt;BF12*Two_Phase_Limit,Relief_Discharge_Location="Vent Header to Blow-down Tank",Relief_Discharge_Location="Scrubber or Containment",Relief_Discharge_Location="Flare or Incinerator"),BF73&gt;0,BF93&gt;1.2),AvgTime_Correction*MIN(5.73*1000000*BF73*(Plume_sZ_A*BF94^Plume_sZ_B/(Plume_sY_A*BF94^Plume_sY_B))/(Wind*BF82*(BF93-1.2)^2),BF83*1000000),BF83*1000000)</f>
        <v>#DIV/0!</v>
      </c>
      <c r="BG95" s="83"/>
      <c r="BH95" s="1194" t="e">
        <f>IF(AND(OR(BH22&lt;BH12*Two_Phase_Limit,Relief_Discharge_Location="Vent Header to Blow-down Tank",Relief_Discharge_Location="Scrubber or Containment",Relief_Discharge_Location="Flare or Incinerator"),BH73&gt;0,BH93&gt;1.2),AvgTime_Correction*MIN(5.73*1000000*BH73*(Plume_sZ_A*BH94^Plume_sZ_B/(Plume_sY_A*BH94^Plume_sY_B))/(Wind*BH82*(BH93-1.2)^2),BH83*1000000),BH83*1000000)</f>
        <v>#DIV/0!</v>
      </c>
      <c r="BI95" s="83"/>
      <c r="BJ95" s="1194" t="e">
        <f>IF(AND(OR(BJ22&lt;BJ12*Two_Phase_Limit,Relief_Discharge_Location="Vent Header to Blow-down Tank",Relief_Discharge_Location="Scrubber or Containment",Relief_Discharge_Location="Flare or Incinerator"),BJ73&gt;0,BJ93&gt;1.2),AvgTime_Correction*MIN(5.73*1000000*BJ73*(Plume_sZ_A*BJ94^Plume_sZ_B/(Plume_sY_A*BJ94^Plume_sY_B))/(Wind*BJ82*(BJ93-1.2)^2),BJ83*1000000),BJ83*1000000)</f>
        <v>#DIV/0!</v>
      </c>
      <c r="BK95" s="83"/>
      <c r="BL95" s="1194" t="e">
        <f>IF(AND(OR(BL22&lt;BL12*Two_Phase_Limit,Relief_Discharge_Location="Vent Header to Blow-down Tank",Relief_Discharge_Location="Scrubber or Containment",Relief_Discharge_Location="Flare or Incinerator"),BL73&gt;0,BL93&gt;1.2),AvgTime_Correction*MIN(5.73*1000000*BL73*(Plume_sZ_A*BL94^Plume_sZ_B/(Plume_sY_A*BL94^Plume_sY_B))/(Wind*BL82*(BL93-1.2)^2),BL83*1000000),BL83*1000000)</f>
        <v>#DIV/0!</v>
      </c>
      <c r="BM95" s="83"/>
      <c r="BN95" s="1194" t="e">
        <f>IF(AND(OR(BN22&lt;BN12*Two_Phase_Limit,Relief_Discharge_Location="Vent Header to Blow-down Tank",Relief_Discharge_Location="Scrubber or Containment",Relief_Discharge_Location="Flare or Incinerator"),BN73&gt;0,BN93&gt;1.2),AvgTime_Correction*MIN(5.73*1000000*BN73*(Plume_sZ_A*BN94^Plume_sZ_B/(Plume_sY_A*BN94^Plume_sY_B))/(Wind*BN82*(BN93-1.2)^2),BN83*1000000),BN83*1000000)</f>
        <v>#DIV/0!</v>
      </c>
      <c r="BO95" s="83"/>
      <c r="BP95" s="85" t="s">
        <v>1506</v>
      </c>
      <c r="BQ95" s="83"/>
      <c r="BR95" s="81"/>
      <c r="BS95" s="846" t="str">
        <f t="shared" si="63"/>
        <v/>
      </c>
      <c r="BT95" s="81"/>
      <c r="BU95" s="2996">
        <f>IF(Mw_3&lt;&gt;"",BU86/Mw_3,0)</f>
        <v>0</v>
      </c>
      <c r="BV95" s="81"/>
      <c r="BW95" s="2996">
        <f>IF(Mw_3&lt;&gt;"",BW86/Mw_3,0)</f>
        <v>0</v>
      </c>
      <c r="BX95" s="81"/>
      <c r="BY95" s="2996">
        <f>IF(Mw_3&lt;&gt;"",BY86/Mw_3,0)</f>
        <v>0</v>
      </c>
      <c r="BZ95" s="81"/>
      <c r="CA95" s="2996">
        <f>IF(Mw_3&lt;&gt;"",CA86/Mw_3,0)</f>
        <v>0</v>
      </c>
      <c r="CB95" s="81"/>
      <c r="CC95" s="2996">
        <f>IF(Mw_3&lt;&gt;"",CC86/Mw_3,0)</f>
        <v>0</v>
      </c>
      <c r="CD95" s="81"/>
      <c r="CE95" s="23"/>
      <c r="CF95" s="81"/>
      <c r="CG95" s="2"/>
      <c r="CH95" s="512" t="s">
        <v>5100</v>
      </c>
      <c r="CI95" s="83"/>
      <c r="CJ95" s="2981">
        <f>IF(CJ13&lt;&gt;"",LN(IF(CJ$92&gt;=20,CJ$27*CJ$90*20^CJ$91,NBPlume_A_Night*CJ13/(CJ20*Wind_Night)/(20-CJ$92+CJ$93)^(1/NBPlume_B_Night))),0)</f>
        <v>0</v>
      </c>
      <c r="CK95" s="83"/>
      <c r="CL95" s="23"/>
      <c r="CM95" s="83"/>
    </row>
    <row r="96" spans="1:91" ht="15" customHeight="1" thickBot="1" x14ac:dyDescent="0.3">
      <c r="A96" s="2"/>
      <c r="B96" s="846" t="str">
        <f>IF(B20="","","Vapor Moles "&amp;B20)</f>
        <v/>
      </c>
      <c r="C96" s="83"/>
      <c r="D96" s="2996">
        <f>IF(Mw_4&lt;&gt;"",D87/Mw_4,0)</f>
        <v>0</v>
      </c>
      <c r="E96" s="83"/>
      <c r="F96" s="2996">
        <f>IF(Mw_4&lt;&gt;"",F87/Mw_4,0)</f>
        <v>0</v>
      </c>
      <c r="G96" s="83"/>
      <c r="H96" s="2996">
        <f>IF(Mw_4&lt;&gt;"",H87/Mw_4,0)</f>
        <v>0</v>
      </c>
      <c r="I96" s="83"/>
      <c r="J96" s="2996">
        <f>IF(Mw_4&lt;&gt;"",J87/Mw_4,0)</f>
        <v>0</v>
      </c>
      <c r="K96" s="83"/>
      <c r="L96" s="2996">
        <f>IF(Mw_4&lt;&gt;"",L87/Mw_4,0)</f>
        <v>0</v>
      </c>
      <c r="M96" s="83"/>
      <c r="N96" s="2996">
        <f>IF(Mw_4&lt;&gt;"",N87/Mw_4,0)</f>
        <v>0</v>
      </c>
      <c r="O96" s="83"/>
      <c r="P96" s="2996">
        <f>IF(Mw_4&lt;&gt;"",P87/Mw_4,0)</f>
        <v>0</v>
      </c>
      <c r="Q96" s="83"/>
      <c r="R96" s="2996">
        <f>IF(Mw_4&lt;&gt;"",R87/Mw_4,0)</f>
        <v>0</v>
      </c>
      <c r="S96" s="83"/>
      <c r="T96" s="2996">
        <f>IF(Mw_4&lt;&gt;"",T87/Mw_4,0)</f>
        <v>0</v>
      </c>
      <c r="U96" s="83"/>
      <c r="V96" s="2996">
        <f>IF(Mw_4&lt;&gt;"",V87/Mw_4,0)</f>
        <v>0</v>
      </c>
      <c r="W96" s="83"/>
      <c r="X96" s="2996">
        <f>IF(Mw_4&lt;&gt;"",X87/Mw_4,0)</f>
        <v>0</v>
      </c>
      <c r="Y96" s="83"/>
      <c r="Z96" s="23"/>
      <c r="AA96" s="83"/>
      <c r="AB96" s="81"/>
      <c r="AC96" s="846" t="str">
        <f t="shared" si="62"/>
        <v/>
      </c>
      <c r="AD96" s="81"/>
      <c r="AE96" s="2996">
        <f>IF(Mw_4&lt;&gt;"",AE87/Mw_4,0)</f>
        <v>0</v>
      </c>
      <c r="AF96" s="81"/>
      <c r="AG96" s="2996">
        <f>IF(Mw_4&lt;&gt;"",AG87/Mw_4,0)</f>
        <v>0</v>
      </c>
      <c r="AH96" s="81"/>
      <c r="AI96" s="2996">
        <f>IF(Mw_4&lt;&gt;"",AI87/Mw_4,0)</f>
        <v>0</v>
      </c>
      <c r="AJ96" s="81"/>
      <c r="AK96" s="2996">
        <f>IF(Mw_4&lt;&gt;"",AK87/Mw_4,0)</f>
        <v>0</v>
      </c>
      <c r="AL96" s="81"/>
      <c r="AM96" s="2996">
        <f>IF(Mw_4&lt;&gt;"",AM87/Mw_4,0)</f>
        <v>0</v>
      </c>
      <c r="AN96" s="81"/>
      <c r="AO96" s="2996">
        <f>IF(MwHT_4&lt;&gt;"",AO87/MwHT_4,0)</f>
        <v>0</v>
      </c>
      <c r="AP96" s="81"/>
      <c r="AQ96" s="23"/>
      <c r="AR96" s="81"/>
      <c r="AS96" s="83"/>
      <c r="AT96" s="23" t="s">
        <v>3092</v>
      </c>
      <c r="AU96" s="83"/>
      <c r="AV96" s="1194" t="e">
        <f>IF(AND(OR(AV22&lt;AV12*Two_Phase_Limit,Relief_Discharge_Location="Vent Header to Blow-down Tank",Relief_Discharge_Location="Scrubber or Containment",Relief_Discharge_Location="Flare or Incinerator"),AV73&gt;0,AV93-WorkArea_Elevation&gt;0),AvgTime_Correction*MIN(5.73*1000000*AV73*(Plume_sZ_A*AV94^Plume_sZ_B/(Plume_sY_A*AV94^Plume_sY_B))/(Wind*AV82*(AV93-WorkArea_Elevation)^2),AV83*1000000),AV83*1000000)</f>
        <v>#DIV/0!</v>
      </c>
      <c r="AW96" s="83"/>
      <c r="AX96" s="1194" t="e">
        <f>IF(AND(OR(AX22&lt;AX12*Two_Phase_Limit,Relief_Discharge_Location="Vent Header to Blow-down Tank",Relief_Discharge_Location="Scrubber or Containment",Relief_Discharge_Location="Flare or Incinerator"),AX73&gt;0,AX93-WorkArea_Elevation&gt;0),AvgTime_Correction*MIN(5.73*1000000*AX73*(Plume_sZ_A*AX94^Plume_sZ_B/(Plume_sY_A*AX94^Plume_sY_B))/(Wind*AX82*(AX93-WorkArea_Elevation)^2),AX83*1000000),AX83*1000000)</f>
        <v>#DIV/0!</v>
      </c>
      <c r="AY96" s="83"/>
      <c r="AZ96" s="1194" t="e">
        <f>IF(AND(OR(AZ22&lt;AZ12*Two_Phase_Limit,Relief_Discharge_Location="Vent Header to Blow-down Tank",Relief_Discharge_Location="Scrubber or Containment",Relief_Discharge_Location="Flare or Incinerator"),AZ73&gt;0,AZ93-WorkArea_Elevation&gt;0),AvgTime_Correction*MIN(5.73*1000000*AZ73*(Plume_sZ_A*AZ94^Plume_sZ_B/(Plume_sY_A*AZ94^Plume_sY_B))/(Wind*AZ82*(AZ93-WorkArea_Elevation)^2),AZ83*1000000),AZ83*1000000)</f>
        <v>#DIV/0!</v>
      </c>
      <c r="BA96" s="83"/>
      <c r="BB96" s="1194" t="e">
        <f>IF(AND(OR(BB22&lt;BB12*Two_Phase_Limit,Relief_Discharge_Location="Vent Header to Blow-down Tank",Relief_Discharge_Location="Scrubber or Containment",Relief_Discharge_Location="Flare or Incinerator"),BB73&gt;0,BB93-WorkArea_Elevation&gt;0),AvgTime_Correction*MIN(5.73*1000000*BB73*(Plume_sZ_A*BB94^Plume_sZ_B/(Plume_sY_A*BB94^Plume_sY_B))/(Wind*BB82*(BB93-WorkArea_Elevation)^2),BB83*1000000),BB83*1000000)</f>
        <v>#DIV/0!</v>
      </c>
      <c r="BC96" s="83"/>
      <c r="BD96" s="1194" t="e">
        <f>IF(AND(OR(BD22&lt;BD12*Two_Phase_Limit,Relief_Discharge_Location="Vent Header to Blow-down Tank",Relief_Discharge_Location="Scrubber or Containment",Relief_Discharge_Location="Flare or Incinerator"),BD73&gt;0,BD93-WorkArea_Elevation&gt;0),AvgTime_Correction*MIN(5.73*1000000*BD73*(Plume_sZ_A*BD94^Plume_sZ_B/(Plume_sY_A*BD94^Plume_sY_B))/(Wind*BD82*(BD93-WorkArea_Elevation)^2),BD83*1000000),BD83*1000000)</f>
        <v>#DIV/0!</v>
      </c>
      <c r="BE96" s="83"/>
      <c r="BF96" s="1194" t="e">
        <f>IF(AND(OR(BF22&lt;BF12*Two_Phase_Limit,Relief_Discharge_Location="Vent Header to Blow-down Tank",Relief_Discharge_Location="Scrubber or Containment",Relief_Discharge_Location="Flare or Incinerator"),BF73&gt;0,BF93-WorkArea_Elevation&gt;0),AvgTime_Correction*MIN(5.73*1000000*BF73*(Plume_sZ_A*BF94^Plume_sZ_B/(Plume_sY_A*BF94^Plume_sY_B))/(Wind*BF82*(BF93-WorkArea_Elevation)^2),BF83*1000000),BF83*1000000)</f>
        <v>#DIV/0!</v>
      </c>
      <c r="BG96" s="83"/>
      <c r="BH96" s="1194" t="e">
        <f>IF(AND(OR(BH22&lt;BH12*Two_Phase_Limit,Relief_Discharge_Location="Vent Header to Blow-down Tank",Relief_Discharge_Location="Scrubber or Containment",Relief_Discharge_Location="Flare or Incinerator"),BH73&gt;0,BH93-WorkArea_Elevation&gt;0),AvgTime_Correction*MIN(5.73*1000000*BH73*(Plume_sZ_A*BH94^Plume_sZ_B/(Plume_sY_A*BH94^Plume_sY_B))/(Wind*BH82*(BH93-WorkArea_Elevation)^2),BH83*1000000),BH83*1000000)</f>
        <v>#DIV/0!</v>
      </c>
      <c r="BI96" s="83"/>
      <c r="BJ96" s="1194" t="e">
        <f>IF(AND(OR(BJ22&lt;BJ12*Two_Phase_Limit,Relief_Discharge_Location="Vent Header to Blow-down Tank",Relief_Discharge_Location="Scrubber or Containment",Relief_Discharge_Location="Flare or Incinerator"),BJ73&gt;0,BJ93-WorkArea_Elevation&gt;0),AvgTime_Correction*MIN(5.73*1000000*BJ73*(Plume_sZ_A*BJ94^Plume_sZ_B/(Plume_sY_A*BJ94^Plume_sY_B))/(Wind*BJ82*(BJ93-WorkArea_Elevation)^2),BJ83*1000000),BJ83*1000000)</f>
        <v>#DIV/0!</v>
      </c>
      <c r="BK96" s="83"/>
      <c r="BL96" s="1194" t="e">
        <f>IF(AND(OR(BL22&lt;BL12*Two_Phase_Limit,Relief_Discharge_Location="Vent Header to Blow-down Tank",Relief_Discharge_Location="Scrubber or Containment",Relief_Discharge_Location="Flare or Incinerator"),BL73&gt;0,BL93-WorkArea_Elevation&gt;0),AvgTime_Correction*MIN(5.73*1000000*BL73*(Plume_sZ_A*BL94^Plume_sZ_B/(Plume_sY_A*BL94^Plume_sY_B))/(Wind*BL82*(BL93-WorkArea_Elevation)^2),BL83*1000000),BL83*1000000)</f>
        <v>#DIV/0!</v>
      </c>
      <c r="BM96" s="83"/>
      <c r="BN96" s="1194" t="e">
        <f>IF(AND(OR(BN22&lt;BN12*Two_Phase_Limit,Relief_Discharge_Location="Vent Header to Blow-down Tank",Relief_Discharge_Location="Scrubber or Containment",Relief_Discharge_Location="Flare or Incinerator"),BN73&gt;0,BN93-WorkArea_Elevation&gt;0),AvgTime_Correction*MIN(5.73*1000000*BN73*(Plume_sZ_A*BN94^Plume_sZ_B/(Plume_sY_A*BN94^Plume_sY_B))/(Wind*BN82*(BN93-WorkArea_Elevation)^2),BN83*1000000),BN83*1000000)</f>
        <v>#DIV/0!</v>
      </c>
      <c r="BO96" s="83"/>
      <c r="BP96" s="85"/>
      <c r="BQ96" s="83"/>
      <c r="BR96" s="81"/>
      <c r="BS96" s="846" t="str">
        <f t="shared" si="63"/>
        <v/>
      </c>
      <c r="BT96" s="81"/>
      <c r="BU96" s="2996">
        <f>IF(Mw_4&lt;&gt;"",BU87/Mw_4,0)</f>
        <v>0</v>
      </c>
      <c r="BV96" s="81"/>
      <c r="BW96" s="2996">
        <f>IF(Mw_4&lt;&gt;"",BW87/Mw_4,0)</f>
        <v>0</v>
      </c>
      <c r="BX96" s="81"/>
      <c r="BY96" s="2996">
        <f>IF(Mw_4&lt;&gt;"",BY87/Mw_4,0)</f>
        <v>0</v>
      </c>
      <c r="BZ96" s="81"/>
      <c r="CA96" s="2996">
        <f>IF(Mw_4&lt;&gt;"",CA87/Mw_4,0)</f>
        <v>0</v>
      </c>
      <c r="CB96" s="81"/>
      <c r="CC96" s="2996">
        <f>IF(Mw_4&lt;&gt;"",CC87/Mw_4,0)</f>
        <v>0</v>
      </c>
      <c r="CD96" s="81"/>
      <c r="CE96" s="23"/>
      <c r="CF96" s="81"/>
      <c r="CG96" s="2"/>
      <c r="CH96" s="512" t="s">
        <v>5101</v>
      </c>
      <c r="CI96" s="83"/>
      <c r="CJ96" s="2981">
        <f>IF(CJ13&lt;&gt;"",LN(IF(CJ$92&gt;=50,CJ$27*CJ$90*50^CJ$91,NBPlume_A_Night*CJ13/(CJ20*Wind_Night)/(50-CJ$92+CJ$93)^(1/NBPlume_B_Night))),0)</f>
        <v>0</v>
      </c>
      <c r="CK96" s="83"/>
      <c r="CL96" s="23"/>
      <c r="CM96" s="83"/>
    </row>
    <row r="97" spans="1:91" ht="15" customHeight="1" thickBot="1" x14ac:dyDescent="0.3">
      <c r="A97" s="2"/>
      <c r="B97" s="1037" t="str">
        <f>IF(B21="","","Vapor Moles "&amp;B21)</f>
        <v/>
      </c>
      <c r="C97" s="83"/>
      <c r="D97" s="2996">
        <f>IF(Mw_5&lt;&gt;"",D88/Mw_5,0)</f>
        <v>0</v>
      </c>
      <c r="E97" s="83"/>
      <c r="F97" s="2996">
        <f>IF(Mw_5&lt;&gt;"",F88/Mw_5,0)</f>
        <v>0</v>
      </c>
      <c r="G97" s="83"/>
      <c r="H97" s="2996">
        <f>IF(Mw_5&lt;&gt;"",H88/Mw_5,0)</f>
        <v>0</v>
      </c>
      <c r="I97" s="83"/>
      <c r="J97" s="2996">
        <f>IF(Mw_5&lt;&gt;"",J88/Mw_5,0)</f>
        <v>0</v>
      </c>
      <c r="K97" s="83"/>
      <c r="L97" s="2996">
        <f>IF(Mw_5&lt;&gt;"",L88/Mw_5,0)</f>
        <v>0</v>
      </c>
      <c r="M97" s="83"/>
      <c r="N97" s="2996">
        <f>IF(Mw_5&lt;&gt;"",N88/Mw_5,0)</f>
        <v>0</v>
      </c>
      <c r="O97" s="83"/>
      <c r="P97" s="2996">
        <f>IF(Mw_5&lt;&gt;"",P88/Mw_5,0)</f>
        <v>0</v>
      </c>
      <c r="Q97" s="83"/>
      <c r="R97" s="2996">
        <f>IF(Mw_5&lt;&gt;"",R88/Mw_5,0)</f>
        <v>0</v>
      </c>
      <c r="S97" s="83"/>
      <c r="T97" s="2996">
        <f>IF(Mw_5&lt;&gt;"",T88/Mw_5,0)</f>
        <v>0</v>
      </c>
      <c r="U97" s="83"/>
      <c r="V97" s="2996">
        <f>IF(Mw_5&lt;&gt;"",V88/Mw_5,0)</f>
        <v>0</v>
      </c>
      <c r="W97" s="83"/>
      <c r="X97" s="2996">
        <f>IF(Mw_5&lt;&gt;"",X88/Mw_5,0)</f>
        <v>0</v>
      </c>
      <c r="Y97" s="83"/>
      <c r="Z97" s="23"/>
      <c r="AA97" s="83"/>
      <c r="AB97" s="81"/>
      <c r="AC97" s="1037" t="str">
        <f t="shared" si="62"/>
        <v/>
      </c>
      <c r="AD97" s="81"/>
      <c r="AE97" s="2996">
        <f>IF(Mw_5&lt;&gt;"",AE88/Mw_5,0)</f>
        <v>0</v>
      </c>
      <c r="AF97" s="81"/>
      <c r="AG97" s="2996">
        <f>IF(Mw_5&lt;&gt;"",AG88/Mw_5,0)</f>
        <v>0</v>
      </c>
      <c r="AH97" s="81"/>
      <c r="AI97" s="2996">
        <f>IF(Mw_5&lt;&gt;"",AI88/Mw_5,0)</f>
        <v>0</v>
      </c>
      <c r="AJ97" s="81"/>
      <c r="AK97" s="2996">
        <f>IF(Mw_5&lt;&gt;"",AK88/Mw_5,0)</f>
        <v>0</v>
      </c>
      <c r="AL97" s="81"/>
      <c r="AM97" s="2996">
        <f>IF(Mw_5&lt;&gt;"",AM88/Mw_5,0)</f>
        <v>0</v>
      </c>
      <c r="AN97" s="81"/>
      <c r="AO97" s="2996">
        <f>IF(MwHT_5&lt;&gt;"",AO88/MwHT_5,0)</f>
        <v>0</v>
      </c>
      <c r="AP97" s="81"/>
      <c r="AQ97" s="23"/>
      <c r="AR97" s="81"/>
      <c r="AS97" s="83"/>
      <c r="AT97" s="23" t="s">
        <v>2684</v>
      </c>
      <c r="AU97" s="83"/>
      <c r="AV97" s="23" t="e">
        <f>IF(AND(AV93&gt;1.2,IF(Public_Relief&gt;0,Public_Relief,Public)&gt;0),EXP(-0.5*((AV93-1.2)/(Plume_sZ_A*(IF(Public_Relief&gt;0,Public_Relief,Public))^Plume_sZ_B))^2),1)</f>
        <v>#DIV/0!</v>
      </c>
      <c r="AW97" s="83"/>
      <c r="AX97" s="23" t="e">
        <f>IF(AND(AX93&gt;1.2,IF(Public_Relief&gt;0,Public_Relief,Public)+AX92&gt;0),EXP(-0.5*((AX93-1.2)/(Plume_sZ_A*(IF(Public_Relief&gt;0,Public_Relief,Public)+AX92)^Plume_sZ_B))^2),1)</f>
        <v>#DIV/0!</v>
      </c>
      <c r="AY97" s="83"/>
      <c r="AZ97" s="23" t="e">
        <f>IF(AND(AZ93&gt;1.2,IF(Public_Relief&gt;0,Public_Relief,Public)+AZ92&gt;0),EXP(-0.5*((AZ93-1.2)/(Plume_sZ_A*(IF(Public_Relief&gt;0,Public_Relief,Public)+AZ92)^Plume_sZ_B))^2),1)</f>
        <v>#DIV/0!</v>
      </c>
      <c r="BA97" s="83"/>
      <c r="BB97" s="23" t="e">
        <f>IF(AND(BB93&gt;1.2,IF(Public_Relief&gt;0,Public_Relief,Public)+BB92&gt;0),EXP(-0.5*((BB93-1.2)/(Plume_sZ_A*(IF(Public_Relief&gt;0,Public_Relief,Public)+BB92)^Plume_sZ_B))^2),1)</f>
        <v>#DIV/0!</v>
      </c>
      <c r="BC97" s="83"/>
      <c r="BD97" s="23" t="e">
        <f>IF(AND(BD93&gt;1.2,IF(Public_Relief&gt;0,Public_Relief,Public)+BD92&gt;0),EXP(-0.5*((BD93-1.2)/(Plume_sZ_A*(IF(Public_Relief&gt;0,Public_Relief,Public)+BD92)^Plume_sZ_B))^2),1)</f>
        <v>#DIV/0!</v>
      </c>
      <c r="BE97" s="83"/>
      <c r="BF97" s="23" t="e">
        <f>IF(AND(BF93&gt;1.2,IF(Public_Relief&gt;0,Public_Relief,Public)+BF92&gt;0),EXP(-0.5*((BF93-1.2)/(Plume_sZ_A*(IF(Public_Relief&gt;0,Public_Relief,Public)+BF92)^Plume_sZ_B))^2),1)</f>
        <v>#DIV/0!</v>
      </c>
      <c r="BG97" s="83"/>
      <c r="BH97" s="23" t="e">
        <f>IF(AND(BH93&gt;1.2,IF(Public_Relief&gt;0,Public_Relief,Public)+BH92&gt;0),EXP(-0.5*((BH93-1.2)/(Plume_sZ_A*(IF(Public_Relief&gt;0,Public_Relief,Public)+BH92)^Plume_sZ_B))^2),1)</f>
        <v>#DIV/0!</v>
      </c>
      <c r="BI97" s="83"/>
      <c r="BJ97" s="23" t="e">
        <f>IF(AND(BJ93&gt;1.2,IF(Public_Relief&gt;0,Public_Relief,Public)+BJ92&gt;0),EXP(-0.5*((BJ93-1.2)/(Plume_sZ_A*(IF(Public_Relief&gt;0,Public_Relief,Public)+BJ92)^Plume_sZ_B))^2),1)</f>
        <v>#DIV/0!</v>
      </c>
      <c r="BK97" s="83"/>
      <c r="BL97" s="23" t="e">
        <f>IF(AND(BL93&gt;1.2,IF(Public_Relief&gt;0,Public_Relief,Public)+BL92&gt;0),EXP(-0.5*((BL93-1.2)/(Plume_sZ_A*(IF(Public_Relief&gt;0,Public_Relief,Public)+BL92)^Plume_sZ_B))^2),1)</f>
        <v>#DIV/0!</v>
      </c>
      <c r="BM97" s="83"/>
      <c r="BN97" s="23" t="e">
        <f>IF(AND(BN93&gt;1.2,IF(Public_Relief&gt;0,Public_Relief,Public)+BN92&gt;0),EXP(-0.5*((BN93-1.2)/(Plume_sZ_A*(IF(Public_Relief&gt;0,Public_Relief,Public)+BN92)^Plume_sZ_B))^2),1)</f>
        <v>#DIV/0!</v>
      </c>
      <c r="BO97" s="83"/>
      <c r="BP97" s="85"/>
      <c r="BQ97" s="83"/>
      <c r="BR97" s="81"/>
      <c r="BS97" s="1037" t="str">
        <f t="shared" si="63"/>
        <v/>
      </c>
      <c r="BT97" s="81"/>
      <c r="BU97" s="2996">
        <f>IF(Mw_5&lt;&gt;"",BU88/Mw_5,0)</f>
        <v>0</v>
      </c>
      <c r="BV97" s="81"/>
      <c r="BW97" s="2996">
        <f>IF(Mw_5&lt;&gt;"",BW88/Mw_5,0)</f>
        <v>0</v>
      </c>
      <c r="BX97" s="81"/>
      <c r="BY97" s="878">
        <f>IF(Mw_5&lt;&gt;"",BY88/Mw_5,0)</f>
        <v>0</v>
      </c>
      <c r="BZ97" s="81"/>
      <c r="CA97" s="2996">
        <f>IF(Mw_5&lt;&gt;"",CA88/Mw_5,0)</f>
        <v>0</v>
      </c>
      <c r="CB97" s="81"/>
      <c r="CC97" s="2996">
        <f>IF(Mw_5&lt;&gt;"",CC88/Mw_5,0)</f>
        <v>0</v>
      </c>
      <c r="CD97" s="81"/>
      <c r="CE97" s="23"/>
      <c r="CF97" s="81"/>
      <c r="CG97" s="2"/>
      <c r="CH97" s="512" t="s">
        <v>5102</v>
      </c>
      <c r="CI97" s="83"/>
      <c r="CJ97" s="2981">
        <f>IF(CJ13&lt;&gt;"",LN(IF(CJ$92&gt;=100,CJ$27*CJ$90*100^CJ$91,NBPlume_A_Night*CJ13/(CJ20*Wind_Night)/(100-CJ$92+CJ$93)^(1/NBPlume_B_Night))),0)</f>
        <v>0</v>
      </c>
      <c r="CK97" s="83"/>
      <c r="CL97" s="23"/>
      <c r="CM97" s="83"/>
    </row>
    <row r="98" spans="1:91" ht="15" customHeight="1" thickBot="1" x14ac:dyDescent="0.3">
      <c r="A98" s="2"/>
      <c r="B98" s="848" t="s">
        <v>2207</v>
      </c>
      <c r="C98" s="83"/>
      <c r="D98" s="2099">
        <f>IF(SUM(D93:D97)&gt;0,D83/SUM(D93:D97),Mw_Mix)</f>
        <v>0</v>
      </c>
      <c r="E98" s="83"/>
      <c r="F98" s="2099">
        <f>IF(SUM(F93:F97)&gt;0,F83/SUM(F93:F97),Mw_Mix)</f>
        <v>0</v>
      </c>
      <c r="G98" s="83"/>
      <c r="H98" s="2099">
        <f>IF(SUM(H93:H97)&gt;0,H83/SUM(H93:H97),Mw_Mix)</f>
        <v>0</v>
      </c>
      <c r="I98" s="83"/>
      <c r="J98" s="2099">
        <f>IF(SUM(J93:J97)&gt;0,J83/SUM(J93:J97),Mw_Mix)</f>
        <v>0</v>
      </c>
      <c r="K98" s="83"/>
      <c r="L98" s="2099">
        <f>IF(SUM(L93:L97)&gt;0,L83/SUM(L93:L97),Mw_Mix)</f>
        <v>0</v>
      </c>
      <c r="M98" s="83"/>
      <c r="N98" s="2099">
        <f>IF(SUM(N93:N97)&gt;0,N83/SUM(N93:N97),Mw_Mix)</f>
        <v>0</v>
      </c>
      <c r="O98" s="83"/>
      <c r="P98" s="2099">
        <f>IF(SUM(P93:P97)&gt;0,P83/SUM(P93:P97),Mw_Mix)</f>
        <v>0</v>
      </c>
      <c r="Q98" s="83"/>
      <c r="R98" s="2099">
        <f>IF(SUM(R93:R97)&gt;0,R83/SUM(R93:R97),Mw_Mix)</f>
        <v>0</v>
      </c>
      <c r="S98" s="83"/>
      <c r="T98" s="2099">
        <f>IF(SUM(T93:T97)&gt;0,T83/SUM(T93:T97),Mw_Mix)</f>
        <v>0</v>
      </c>
      <c r="U98" s="83"/>
      <c r="V98" s="2099">
        <f>IF(SUM(V93:V97)&gt;0,V83/SUM(V93:V97),Mw_Mix)</f>
        <v>0</v>
      </c>
      <c r="W98" s="83"/>
      <c r="X98" s="2099">
        <f>IF(SUM(X93:X97)&gt;0,X83/SUM(X93:X97),Mw_Mix)</f>
        <v>0</v>
      </c>
      <c r="Y98" s="83"/>
      <c r="Z98" s="85" t="s">
        <v>3806</v>
      </c>
      <c r="AA98" s="83"/>
      <c r="AB98" s="81"/>
      <c r="AC98" s="3095" t="s">
        <v>2207</v>
      </c>
      <c r="AD98" s="81"/>
      <c r="AE98" s="2101">
        <f>IF(SUM(AE93:AE97)&gt;0,AE83/SUM(AE93:AE97),Mw_Mix)</f>
        <v>0</v>
      </c>
      <c r="AF98" s="81"/>
      <c r="AG98" s="2101">
        <f>IF(SUM(AG93:AG97)&gt;0,AG83/SUM(AG93:AG97),Mw_Mix)</f>
        <v>0</v>
      </c>
      <c r="AH98" s="81"/>
      <c r="AI98" s="2101">
        <f>IF(SUM(AI93:AI97)&gt;0,AI83/SUM(AI93:AI97),Mw_Mix)</f>
        <v>0</v>
      </c>
      <c r="AJ98" s="81"/>
      <c r="AK98" s="2101">
        <f>IF(SUM(AK93:AK97)&gt;0,AK83/SUM(AK93:AK97),Mw_Mix)</f>
        <v>0</v>
      </c>
      <c r="AL98" s="81"/>
      <c r="AM98" s="2101">
        <f>IF(SUM(AM93:AM97)&gt;0,AM83/SUM(AM93:AM97),Mw_Mix)</f>
        <v>0</v>
      </c>
      <c r="AN98" s="81"/>
      <c r="AO98" s="2101">
        <f>IF(SUM(AO93:AO97)&gt;0,AO83/SUM(AO93:AO97),IF(HT_Mw="",0,HT_Mw))</f>
        <v>0</v>
      </c>
      <c r="AP98" s="81"/>
      <c r="AQ98" s="85" t="s">
        <v>3806</v>
      </c>
      <c r="AR98" s="81"/>
      <c r="AS98" s="83"/>
      <c r="AT98" s="23" t="s">
        <v>2685</v>
      </c>
      <c r="AU98" s="83"/>
      <c r="AV98" s="2122" t="e">
        <f>IF(AND(AV93&gt;WorkArea_Elevation+1.2,WorkArea_Distance&gt;0,WorkArea_Distance&gt;0),EXP(-0.5*((AV93-WorkArea_Elevation-1.2)/(Plume_sZ_A*(WorkArea_Distance)^Plume_sZ_B))^2),1)</f>
        <v>#DIV/0!</v>
      </c>
      <c r="AW98" s="83"/>
      <c r="AX98" s="2122" t="e">
        <f>IF(AND(AX93&gt;WorkArea_Elevation+1.2,WorkArea_Distance&gt;0,WorkArea_Distance+AX92&gt;0),EXP(-0.5*((AX93-WorkArea_Elevation-1.2)/(Plume_sZ_A*(WorkArea_Distance+AX92)^Plume_sZ_B))^2),1)</f>
        <v>#DIV/0!</v>
      </c>
      <c r="AY98" s="83"/>
      <c r="AZ98" s="2122" t="e">
        <f>IF(AND(AZ93&gt;WorkArea_Elevation+1.2,WorkArea_Distance&gt;0,WorkArea_Distance+AZ92&gt;0),EXP(-0.5*((AZ93-WorkArea_Elevation-1.2)/(Plume_sZ_A*(WorkArea_Distance+AZ92)^Plume_sZ_B))^2),1)</f>
        <v>#DIV/0!</v>
      </c>
      <c r="BA98" s="83"/>
      <c r="BB98" s="2122" t="e">
        <f>IF(AND(BB93&gt;WorkArea_Elevation+1.2,WorkArea_Distance&gt;0,WorkArea_Distance+BB92&gt;0),EXP(-0.5*((BB93-WorkArea_Elevation-1.2)/(Plume_sZ_A*(WorkArea_Distance+BB92)^Plume_sZ_B))^2),1)</f>
        <v>#DIV/0!</v>
      </c>
      <c r="BC98" s="83"/>
      <c r="BD98" s="2122" t="e">
        <f>IF(AND(BD93&gt;WorkArea_Elevation+1.2,WorkArea_Distance&gt;0,WorkArea_Distance+BD92&gt;0),EXP(-0.5*((BD93-WorkArea_Elevation-1.2)/(Plume_sZ_A*(WorkArea_Distance+BD92)^Plume_sZ_B))^2),1)</f>
        <v>#DIV/0!</v>
      </c>
      <c r="BE98" s="83"/>
      <c r="BF98" s="2122" t="e">
        <f>IF(AND(BF93&gt;WorkArea_Elevation+1.2,WorkArea_Distance&gt;0,WorkArea_Distance+BF92&gt;0),EXP(-0.5*((BF93-WorkArea_Elevation-1.2)/(Plume_sZ_A*(WorkArea_Distance+BF92)^Plume_sZ_B))^2),1)</f>
        <v>#DIV/0!</v>
      </c>
      <c r="BG98" s="83"/>
      <c r="BH98" s="2122" t="e">
        <f>IF(AND(BH93&gt;WorkArea_Elevation+1.2,WorkArea_Distance&gt;0,WorkArea_Distance+BH92&gt;0),EXP(-0.5*((BH93-WorkArea_Elevation-1.2)/(Plume_sZ_A*(WorkArea_Distance+BH92)^Plume_sZ_B))^2),1)</f>
        <v>#DIV/0!</v>
      </c>
      <c r="BI98" s="83"/>
      <c r="BJ98" s="2122" t="e">
        <f>IF(AND(BJ93&gt;WorkArea_Elevation+1.2,WorkArea_Distance&gt;0,WorkArea_Distance+BJ92&gt;0),EXP(-0.5*((BJ93-WorkArea_Elevation-1.2)/(Plume_sZ_A*(WorkArea_Distance+BJ92)^Plume_sZ_B))^2),1)</f>
        <v>#DIV/0!</v>
      </c>
      <c r="BK98" s="83"/>
      <c r="BL98" s="2122" t="e">
        <f>IF(AND(BL93&gt;WorkArea_Elevation+1.2,WorkArea_Distance&gt;0,WorkArea_Distance+BL92&gt;0),EXP(-0.5*((BL93-WorkArea_Elevation-1.2)/(Plume_sZ_A*(WorkArea_Distance+BL92)^Plume_sZ_B))^2),1)</f>
        <v>#DIV/0!</v>
      </c>
      <c r="BM98" s="83"/>
      <c r="BN98" s="2122" t="e">
        <f>IF(AND(BN93&gt;WorkArea_Elevation+1.2,WorkArea_Distance&gt;0,WorkArea_Distance+BN92&gt;0),EXP(-0.5*((BN93-WorkArea_Elevation-1.2)/(Plume_sZ_A*(WorkArea_Distance+BN92)^Plume_sZ_B))^2),1)</f>
        <v>#DIV/0!</v>
      </c>
      <c r="BO98" s="83"/>
      <c r="BP98" s="85"/>
      <c r="BQ98" s="83"/>
      <c r="BR98" s="81"/>
      <c r="BS98" s="849" t="s">
        <v>2207</v>
      </c>
      <c r="BT98" s="81"/>
      <c r="BU98" s="3090">
        <f>IF(SUM(BU93:BU97)&gt;0,BU83/SUM(BU93:BU97),Mw_Mix)</f>
        <v>0</v>
      </c>
      <c r="BV98" s="81"/>
      <c r="BW98" s="3090">
        <f>IF(SUM(BW93:BW97)&gt;0,BW83/SUM(BW93:BW97),Mw_Mix)</f>
        <v>0</v>
      </c>
      <c r="BX98" s="81"/>
      <c r="BY98" s="3090">
        <f>IF(SUM(BY93:BY97)&gt;0,BY83/SUM(BY93:BY97),Mw_Mix)</f>
        <v>0</v>
      </c>
      <c r="BZ98" s="81"/>
      <c r="CA98" s="3090">
        <f>IF(SUM(CA93:CA97)&gt;0,CA83/SUM(CA93:CA97),Mw_Mix)</f>
        <v>0</v>
      </c>
      <c r="CB98" s="81"/>
      <c r="CC98" s="3090">
        <f>IF(SUM(CC93:CC97)&gt;0,CC83/(CC12*SUM(CC93:CC97)),Mw_Mix)</f>
        <v>0</v>
      </c>
      <c r="CD98" s="81"/>
      <c r="CE98" s="89" t="s">
        <v>2206</v>
      </c>
      <c r="CF98" s="81"/>
      <c r="CG98" s="2"/>
      <c r="CH98" s="512" t="s">
        <v>5103</v>
      </c>
      <c r="CI98" s="83"/>
      <c r="CJ98" s="2981">
        <f>IF(CJ13&lt;&gt;"",LN(IF(CJ$92&gt;=200,CJ$27*CJ$90*200^CJ$91,NBPlume_A_Night*CJ13/(CJ20*Wind_Night)/(200-CJ$92+CJ$93)^(1/NBPlume_B_Night))),0)</f>
        <v>0</v>
      </c>
      <c r="CK98" s="83"/>
      <c r="CL98" s="23"/>
      <c r="CM98" s="83"/>
    </row>
    <row r="99" spans="1:91" ht="15" customHeight="1" thickBot="1" x14ac:dyDescent="0.3">
      <c r="A99" s="2"/>
      <c r="B99" s="92" t="s">
        <v>5046</v>
      </c>
      <c r="C99" s="83"/>
      <c r="D99" s="2997">
        <f>MAX(IF(Location="Indoors",D301/1000000,IF(OR(State="Vapor",Fv&gt;0),MIN(1,0.097*Wind*(Ambient_Temp+273)/(IF(State="Vapor",1,Fv)*IF(State="Vapor",MIN(D6*Discharge_Velocity,108*((T+273)/Mw_Mix)^0.5),Discharge_Velocity)*Mw_Mix)),IF(D9&lt;TBp,Psat,1))),1*EXP(-10))</f>
        <v>1</v>
      </c>
      <c r="E99" s="83"/>
      <c r="F99" s="2997">
        <f>MAX(IF(Location="Indoors",F301/1000000,IF(OR(State="Vapor",Fv&gt;0),MIN(1,0.097*Wind*(Ambient_Temp+273)/(IF(State="Vapor",1,Fv)*IF(State="Vapor",MIN(F6*Discharge_Velocity,108*((T+273)/Mw_Mix)^0.5),Discharge_Velocity)*Mw_Mix)),IF(F9&lt;TBp,Psat,1))),1*EXP(-10))</f>
        <v>1</v>
      </c>
      <c r="G99" s="83"/>
      <c r="H99" s="2997">
        <f>MAX(IF(Location="Indoors",H301/1000000,IF(OR(State="Vapor",Fv&gt;0),MIN(1,0.097*Wind*(Ambient_Temp+273)/(IF(State="Vapor",1,Fv)*IF(State="Vapor",MIN(H6*Discharge_Velocity,108*((T+273)/Mw_Mix)^0.5),Discharge_Velocity)*Mw_Mix)),IF(H9&lt;TBp,Psat,1))),1*EXP(-10))</f>
        <v>1</v>
      </c>
      <c r="I99" s="83"/>
      <c r="J99" s="2997">
        <f>MAX(IF(Location="Indoors",J301/1000000,IF(OR(State="Vapor",Fv&gt;0),MIN(1,0.097*Wind*(Ambient_Temp+273)/(IF(State="Vapor",1,Fv)*IF(State="Vapor",MIN(J6*Discharge_Velocity,108*((T+273)/Mw_Mix)^0.5),Discharge_Velocity)*Mw_Mix)),IF(J9&lt;TBp,Psat,1))),1*EXP(-10))</f>
        <v>1</v>
      </c>
      <c r="K99" s="83"/>
      <c r="L99" s="2997">
        <f>MAX(IF(Location="Indoors",L301/1000000,IF(OR(State="Vapor",Fv&gt;0),MIN(1,0.097*Wind*(Ambient_Temp+273)/(IF(State="Vapor",1,Fv)*IF(State="Vapor",MIN(L6*Discharge_Velocity,108*((T+273)/Mw_Mix)^0.5),Discharge_Velocity)*Mw_Mix)),IF(L9&lt;TBp,Psat,1))),1*EXP(-10))</f>
        <v>1</v>
      </c>
      <c r="M99" s="83"/>
      <c r="N99" s="2997">
        <f>MAX(IF(Location="Indoors",N301/1000000,IF(OR(State="Vapor",Fv&gt;0),MIN(1,0.097*Wind*(Ambient_Temp+273)/(IF(State="Vapor",1,Fv)*IF(State="Vapor",MIN(N6*Discharge_Velocity,108*((T+273)/Mw_Mix)^0.5),Discharge_Velocity)*Mw_Mix)),IF(N9&lt;TBp,Psat,1))),1*EXP(-10))</f>
        <v>1</v>
      </c>
      <c r="O99" s="83"/>
      <c r="P99" s="2997">
        <f>MAX(IF(Location="Indoors",P301/1000000,IF(OR(State="Vapor",Fv&gt;0),MIN(1,0.097*Wind*(Ambient_Temp+273)/(IF(State="Vapor",1,Fv)*IF(State="Vapor",MIN(P6*Discharge_Velocity,108*((T+273)/Mw_Mix)^0.5),Discharge_Velocity)*Mw_Mix)),IF(P9&lt;TBp,Psat,1))),1*EXP(-10))</f>
        <v>1</v>
      </c>
      <c r="Q99" s="83"/>
      <c r="R99" s="2997">
        <f>MAX(IF(Location="Indoors",R301/1000000,IF(OR(State="Vapor",Fv&gt;0),MIN(1,0.097*Wind*(Ambient_Temp+273)/(IF(State="Vapor",1,Fv)*IF(State="Vapor",MIN(R6*Discharge_Velocity,108*((T+273)/Mw_Mix)^0.5),Discharge_Velocity)*Mw_Mix)),IF(R9&lt;TBp,Psat,1))),1*EXP(-10))</f>
        <v>1</v>
      </c>
      <c r="S99" s="83"/>
      <c r="T99" s="2997">
        <f>MAX(IF(Location="Indoors",T301/1000000,IF(OR(State="Vapor",Fv&gt;0),MIN(1,0.097*Wind*(Ambient_Temp+273)/(IF(State="Vapor",1,Fv)*IF(State="Vapor",MIN(T6*Discharge_Velocity,108*((T+273)/Mw_Mix)^0.5),Discharge_Velocity)*Mw_Mix)),IF(T9&lt;TBp,Psat,1))),1*EXP(-10))</f>
        <v>1</v>
      </c>
      <c r="U99" s="83"/>
      <c r="V99" s="2997">
        <f>MAX(IF(Location="Indoors",V301/1000000,IF(OR(State="Vapor",Fv&gt;0),MIN(1,0.097*Wind*(Ambient_Temp+273)/(IF(State="Vapor",1,Fv)*IF(State="Vapor",MIN(V6*Discharge_Velocity,108*((T+273)/Mw_Mix)^0.5),Discharge_Velocity)*Mw_Mix)),IF(V9&lt;TBp,Psat,1))),1*EXP(-10))</f>
        <v>1</v>
      </c>
      <c r="W99" s="83"/>
      <c r="X99" s="2997">
        <f>MAX(IF(Location="Indoors",X301/1000000,IF(OR(State="Vapor",Fv&gt;0),MIN(1,0.097*Wind*(Ambient_Temp+273)/(IF(State="Vapor",1,Fv)*IF(State="Vapor",MIN(X6*Discharge_Velocity,108*((T+273)/Mw_Mix)^0.5),Discharge_Velocity)*Mw_Mix)),IF(X9&lt;TBp,Psat,1))),1*EXP(-10))</f>
        <v>1</v>
      </c>
      <c r="Y99" s="83"/>
      <c r="Z99" s="92" t="s">
        <v>3543</v>
      </c>
      <c r="AA99" s="83"/>
      <c r="AB99" s="81"/>
      <c r="AC99" s="92" t="s">
        <v>5046</v>
      </c>
      <c r="AD99" s="81"/>
      <c r="AE99" s="2997">
        <f>IF(AE294="Indoors",MAX(0,AE315/1000000),IF(AND(State="Vapor",AE107&gt;0),AE107,IF(AE9&lt;TBp,Psat,1)))</f>
        <v>1</v>
      </c>
      <c r="AF99" s="81"/>
      <c r="AG99" s="2997">
        <f>IF(AG294="Indoors",MAX(0,AG315/1000000),IF(AND(State="Vapor",AG107&gt;0),AG107,IF(AG9&lt;TBp,Psat,1)))</f>
        <v>1</v>
      </c>
      <c r="AH99" s="81"/>
      <c r="AI99" s="2997">
        <f>IF(AI294="Indoors",MAX(0,AI315/1000000),IF(AND(State="Vapor",AI107&gt;0),AI107,IF(AI9&lt;TBp,Psat,1)))</f>
        <v>1</v>
      </c>
      <c r="AJ99" s="81"/>
      <c r="AK99" s="2997">
        <f>IF(AK294="Indoors",MAX(0,AK315/1000000),IF(AND(State="Vapor",AK107&gt;0),AK107,IF(AK9&lt;TBp,Psat,1)))</f>
        <v>1</v>
      </c>
      <c r="AL99" s="81"/>
      <c r="AM99" s="2997">
        <f>IF(AM294="Indoors",MAX(0,AM315/1000000),IF(AND(State="Vapor",AM107&gt;0),AM107,IF(AM9&lt;TBp,Psat,1)))</f>
        <v>1</v>
      </c>
      <c r="AN99" s="81"/>
      <c r="AO99" s="2997">
        <f>IF(AO294="Indoors",MAX(0,AO315/1000000),IF(AND(Heating_Media_State="Vapor",AO107&gt;0),AO107,IF(AO9&lt;HT_BP,HT_Psat,1)))</f>
        <v>1</v>
      </c>
      <c r="AP99" s="81"/>
      <c r="AQ99" s="85" t="s">
        <v>3813</v>
      </c>
      <c r="AR99" s="81"/>
      <c r="AS99" s="83"/>
      <c r="AT99" s="23" t="s">
        <v>3089</v>
      </c>
      <c r="AU99" s="83"/>
      <c r="AV99" s="2122" t="e">
        <f>IF(AND(AV93&gt;WorkArea_Elevation+1.2,WorkArea_Distance2&gt;0,WorkArea_Distance2&gt;0),EXP(-0.5*((AV93-WorkArea_Elevation-1.2)/(Plume_sZ_A*(WorkArea_Distance2)^Plume_sZ_B))^2),1)</f>
        <v>#DIV/0!</v>
      </c>
      <c r="AW99" s="83"/>
      <c r="AX99" s="2122" t="e">
        <f>IF(AND(AX93&gt;WorkArea_Elevation+1.2,WorkArea_Distance2&gt;0,WorkArea_Distance2+AX92&gt;0),EXP(-0.5*((AX93-WorkArea_Elevation-1.2)/(Plume_sZ_A*(WorkArea_Distance2+AX92)^Plume_sZ_B))^2),1)</f>
        <v>#DIV/0!</v>
      </c>
      <c r="AY99" s="83"/>
      <c r="AZ99" s="2122" t="e">
        <f>IF(AND(AZ93&gt;WorkArea_Elevation+1.2,WorkArea_Distance2&gt;0,WorkArea_Distance2+AZ92&gt;0),EXP(-0.5*((AZ93-WorkArea_Elevation-1.2)/(Plume_sZ_A*(WorkArea_Distance2+AZ92)^Plume_sZ_B))^2),1)</f>
        <v>#DIV/0!</v>
      </c>
      <c r="BA99" s="83"/>
      <c r="BB99" s="2122" t="e">
        <f>IF(AND(BB93&gt;WorkArea_Elevation+1.2,WorkArea_Distance2&gt;0,WorkArea_Distance2+BB92&gt;0),EXP(-0.5*((BB93-WorkArea_Elevation-1.2)/(Plume_sZ_A*(WorkArea_Distance2+BB92)^Plume_sZ_B))^2),1)</f>
        <v>#DIV/0!</v>
      </c>
      <c r="BC99" s="83"/>
      <c r="BD99" s="2122" t="e">
        <f>IF(AND(BD93&gt;WorkArea_Elevation+1.2,WorkArea_Distance2&gt;0,WorkArea_Distance2+BD92&gt;0),EXP(-0.5*((BD93-WorkArea_Elevation-1.2)/(Plume_sZ_A*(WorkArea_Distance2+BD92)^Plume_sZ_B))^2),1)</f>
        <v>#DIV/0!</v>
      </c>
      <c r="BE99" s="83"/>
      <c r="BF99" s="2122" t="e">
        <f>IF(AND(BF93&gt;WorkArea_Elevation+1.2,WorkArea_Distance2&gt;0,WorkArea_Distance2+BF92&gt;0),EXP(-0.5*((BF93-WorkArea_Elevation-1.2)/(Plume_sZ_A*(WorkArea_Distance2+BF92)^Plume_sZ_B))^2),1)</f>
        <v>#DIV/0!</v>
      </c>
      <c r="BG99" s="83"/>
      <c r="BH99" s="2122" t="e">
        <f>IF(AND(BH93&gt;WorkArea_Elevation+1.2,WorkArea_Distance2&gt;0,WorkArea_Distance2+BH92&gt;0),EXP(-0.5*((BH93-WorkArea_Elevation-1.2)/(Plume_sZ_A*(WorkArea_Distance2+BH92)^Plume_sZ_B))^2),1)</f>
        <v>#DIV/0!</v>
      </c>
      <c r="BI99" s="83"/>
      <c r="BJ99" s="2122" t="e">
        <f>IF(AND(BJ93&gt;WorkArea_Elevation+1.2,WorkArea_Distance2&gt;0,WorkArea_Distance2+BJ92&gt;0),EXP(-0.5*((BJ93-WorkArea_Elevation-1.2)/(Plume_sZ_A*(WorkArea_Distance2+BJ92)^Plume_sZ_B))^2),1)</f>
        <v>#DIV/0!</v>
      </c>
      <c r="BK99" s="83"/>
      <c r="BL99" s="2122" t="e">
        <f>IF(AND(BL93&gt;WorkArea_Elevation+1.2,WorkArea_Distance2&gt;0,WorkArea_Distance2+BL92&gt;0),EXP(-0.5*((BL93-WorkArea_Elevation-1.2)/(Plume_sZ_A*(WorkArea_Distance2+BL92)^Plume_sZ_B))^2),1)</f>
        <v>#DIV/0!</v>
      </c>
      <c r="BM99" s="83"/>
      <c r="BN99" s="2122" t="e">
        <f>IF(AND(BN93&gt;WorkArea_Elevation+1.2,WorkArea_Distance2&gt;0,WorkArea_Distance2+BN92&gt;0),EXP(-0.5*((BN93-WorkArea_Elevation-1.2)/(Plume_sZ_A*(WorkArea_Distance2+BN92)^Plume_sZ_B))^2),1)</f>
        <v>#DIV/0!</v>
      </c>
      <c r="BO99" s="83"/>
      <c r="BP99" s="85"/>
      <c r="BQ99" s="83"/>
      <c r="BR99" s="81"/>
      <c r="BS99" s="92" t="s">
        <v>5046</v>
      </c>
      <c r="BT99" s="81"/>
      <c r="BU99" s="2997">
        <f>IF(Location="Indoors",BU301/1000000,IF(OR(State="Vapor",BU27&gt;0),MIN(1,0.097*Wind*(Ambient_Temp+273)/(IF(State="Vapor",1,BU27)*IF(State="Vapor",MIN(Rupture_Velocity,108*((T+273)/Mw_Mix)^0.5),Rupture_Velocity)*Mw_Mix)),IF(BU15&lt;TBp,Psat,1)))</f>
        <v>1</v>
      </c>
      <c r="BV99" s="81"/>
      <c r="BW99" s="2997">
        <f>IF(Location="Indoors",BW301/1000000,IF(OR(State="Vapor",BW27&gt;0),MIN(1,0.097*Wind*(Ambient_Temp+273)/(IF(State="Vapor",1,BW27)*IF(State="Vapor",MIN(Rupture_Velocity,108*((T+273)/Mw_Mix)^0.5),Rupture_Velocity)*Mw_Mix)),IF(BW15&lt;TBp,Psat,1)))</f>
        <v>1</v>
      </c>
      <c r="BX99" s="81"/>
      <c r="BY99" s="2997">
        <f>IF(Location="Indoors",BY301/1000000,IF(OR(State="Vapor",BY27&gt;0),MIN(1,0.097*Wind*(Ambient_Temp+273)/(IF(State="Vapor",1,BY27)*IF(State="Vapor",MIN(Rupture_Velocity_Sat,108*((BY15+273)/Mw_Mix)^0.5),Rupture_Velocity_Sat)*Mw_Mix)),1))</f>
        <v>1</v>
      </c>
      <c r="BZ99" s="81"/>
      <c r="CA99" s="2997">
        <f>IF(Location="Indoors",CA301/1000000,IF(OR(State="Vapor",CA27&gt;0),MIN(1,0.097*Wind*(Ambient_Temp+273)/(IF(State="Vapor",1,CA27)*IF(State="Vapor",MIN(Rupture_Velocity_Sat,108*((CA15+273)/Mw_Mix)^0.5),Rupture_Velocity_Sat)*Mw_Mix)),1))</f>
        <v>1</v>
      </c>
      <c r="CB99" s="81"/>
      <c r="CC99" s="2997">
        <f>IF(Location="Indoors",CC301/1000000,IF(OR(State="Vapor",CC27&gt;0),MIN(1,0.097*Wind*(Ambient_Temp+273)/(IF(State="Vapor",1,CC27)*IF(State="Vapor",MIN(Rupture_Velocity_Fire,108*((CC15+273)/Mw_Mix)^0.5),Rupture_Velocity_Fire)*Mw_Mix)),1))</f>
        <v>1</v>
      </c>
      <c r="CD99" s="81"/>
      <c r="CE99" s="23"/>
      <c r="CF99" s="81"/>
      <c r="CG99" s="2"/>
      <c r="CH99" s="512" t="s">
        <v>5104</v>
      </c>
      <c r="CI99" s="83"/>
      <c r="CJ99" s="2981">
        <f>IF(CJ13&lt;&gt;"",LN(IF(CJ$92&gt;=500,CJ$27*CJ$90*500^CJ$91,NBPlume_A_Night*CJ13/(CJ20*Wind_Night)/(500-CJ$92+CJ$93)^(1/NBPlume_B_Night))),0)</f>
        <v>0</v>
      </c>
      <c r="CK99" s="83"/>
      <c r="CL99" s="23"/>
      <c r="CM99" s="83"/>
    </row>
    <row r="100" spans="1:91" ht="15" customHeight="1" x14ac:dyDescent="0.25">
      <c r="A100" s="2"/>
      <c r="B100" s="1691" t="s">
        <v>5291</v>
      </c>
      <c r="C100" s="83"/>
      <c r="D100" s="3108">
        <f>IF(Location="Indoors",D301/1000000,IF(D9&lt;TBp,Psat,1))</f>
        <v>1</v>
      </c>
      <c r="E100" s="83"/>
      <c r="F100" s="3108">
        <f>IF(Location="Indoors",F301/1000000,IF(F9&lt;TBp,Psat,1))</f>
        <v>1</v>
      </c>
      <c r="G100" s="83"/>
      <c r="H100" s="3108">
        <f>IF(Location="Indoors",H301/1000000,IF(H9&lt;TBp,Psat,1))</f>
        <v>1</v>
      </c>
      <c r="I100" s="83"/>
      <c r="J100" s="3108">
        <f>IF(Location="Indoors",J301/1000000,IF(J9&lt;TBp,Psat,1))</f>
        <v>1</v>
      </c>
      <c r="K100" s="83"/>
      <c r="L100" s="3108">
        <f>IF(Location="Indoors",L301/1000000,IF(L9&lt;TBp,Psat,1))</f>
        <v>1</v>
      </c>
      <c r="M100" s="83"/>
      <c r="N100" s="3108">
        <f>IF(Location="Indoors",N301/1000000,IF(N9&lt;TBp,Psat,1))</f>
        <v>1</v>
      </c>
      <c r="O100" s="83"/>
      <c r="P100" s="3108">
        <f>IF(Location="Indoors",P301/1000000,IF(P9&lt;TBp,Psat,1))</f>
        <v>1</v>
      </c>
      <c r="Q100" s="83"/>
      <c r="R100" s="3108">
        <f>IF(Location="Indoors",R301/1000000,IF(R9&lt;TBp,Psat,1))</f>
        <v>1</v>
      </c>
      <c r="S100" s="83"/>
      <c r="T100" s="3108">
        <f>IF(Location="Indoors",T301/1000000,IF(T9&lt;TBp,Psat,1))</f>
        <v>1</v>
      </c>
      <c r="U100" s="83"/>
      <c r="V100" s="3108">
        <f>IF(Location="Indoors",V301/1000000,IF(V9&lt;TBp,Psat,1))</f>
        <v>1</v>
      </c>
      <c r="W100" s="83"/>
      <c r="X100" s="3108">
        <f>IF(Location="Indoors",X301/1000000,IF(X9&lt;TBp,Psat,1))</f>
        <v>1</v>
      </c>
      <c r="Y100" s="83"/>
      <c r="Z100" s="92" t="s">
        <v>3543</v>
      </c>
      <c r="AA100" s="83"/>
      <c r="AB100" s="81"/>
      <c r="AC100" s="1691" t="s">
        <v>5291</v>
      </c>
      <c r="AD100" s="81"/>
      <c r="AE100" s="3108">
        <f>IF(AE294="Indoors",AE315/1000000,IF(AND(State="Vapor",Relief_Discharge_Location="Outdoors-Upwards"),AE107,IF(AE9&lt;TBp,Psat,1)))</f>
        <v>1</v>
      </c>
      <c r="AF100" s="81"/>
      <c r="AG100" s="3108">
        <f>IF(AG294="Indoors",AG315/1000000,IF(AND(State="Vapor",Relief_Discharge_Location="Outdoors-Upwards"),AG107,IF(AG9&lt;TBp,Psat,1)))</f>
        <v>1</v>
      </c>
      <c r="AH100" s="81"/>
      <c r="AI100" s="3108">
        <f>IF(AI294="Indoors",AI315/1000000,IF(AND(State="Vapor",Relief_Discharge_Location="Outdoors-Upwards"),AI107,IF(AI9&lt;TBp,Psat,1)))</f>
        <v>1</v>
      </c>
      <c r="AJ100" s="81"/>
      <c r="AK100" s="3108">
        <f>IF(AK294="Indoors",AK315/1000000,IF(AND(State="Vapor",Relief_Discharge_Location="Outdoors-Upwards"),AK107,IF(AK9&lt;TBp,Psat,1)))</f>
        <v>1</v>
      </c>
      <c r="AL100" s="81"/>
      <c r="AM100" s="3108">
        <f>IF(AM294="Indoors",AM315/1000000,IF(AND(State="Vapor",Relief_Discharge_Location="Outdoors-Upwards"),AM107,IF(AM9&lt;TBp,Psat,1)))</f>
        <v>1</v>
      </c>
      <c r="AN100" s="81"/>
      <c r="AO100" s="3108">
        <f>IF(AO294="Indoors",AO315/1000000,IF(HT_Psat=0,1,IF(AND(HT_Psat&gt;1,AO107&gt;0,Relief_Discharge_Location="Outdoors-Upwards"),AO107,IF(HT_Psat&lt;1,HT_Psat,1))))</f>
        <v>1</v>
      </c>
      <c r="AP100" s="81"/>
      <c r="AQ100" s="85" t="s">
        <v>3813</v>
      </c>
      <c r="AR100" s="81"/>
      <c r="AS100" s="83"/>
      <c r="AT100" s="23" t="s">
        <v>2686</v>
      </c>
      <c r="AU100" s="83"/>
      <c r="AV100" s="3031" t="e">
        <f>IF(AND(OccBldg_Elevation&gt;0,AV93&gt;OccBldg_Elevation,IF(Occ_Bldg_Relief&gt;0,Occ_Bldg_Relief,Occ_Bldg)&gt;0),EXP(-0.5*((AX93-OccBldg_Elevation)/(Plume_sZ_A*(IF(Occ_Bldg_Relief&gt;0,Occ_Bldg_Relief,Occ_Bldg))^Plume_sZ_B))^2),1)</f>
        <v>#DIV/0!</v>
      </c>
      <c r="AW100" s="83"/>
      <c r="AX100" s="3031" t="e">
        <f>IF(AND(OccBldg_Elevation&gt;0,AX93&gt;OccBldg_Elevation,IF(Occ_Bldg_Relief&gt;0,Occ_Bldg_Relief,Occ_Bldg)+AX92&gt;0),EXP(-0.5*((AZ93-OccBldg_Elevation)/(Plume_sZ_A*(IF(Occ_Bldg_Relief&gt;0,Occ_Bldg_Relief,Occ_Bldg)+AX92)^Plume_sZ_B))^2),1)</f>
        <v>#DIV/0!</v>
      </c>
      <c r="AY100" s="83"/>
      <c r="AZ100" s="3031" t="e">
        <f>IF(AND(OccBldg_Elevation&gt;0,AZ93&gt;OccBldg_Elevation,IF(Occ_Bldg_Relief&gt;0,Occ_Bldg_Relief,Occ_Bldg)+AZ92&gt;0),EXP(-0.5*((BB93-OccBldg_Elevation)/(Plume_sZ_A*(IF(Occ_Bldg_Relief&gt;0,Occ_Bldg_Relief,Occ_Bldg)+AZ92)^Plume_sZ_B))^2),1)</f>
        <v>#DIV/0!</v>
      </c>
      <c r="BA100" s="83"/>
      <c r="BB100" s="3031" t="e">
        <f>IF(AND(OccBldg_Elevation&gt;0,BB93&gt;OccBldg_Elevation,IF(Occ_Bldg_Relief&gt;0,Occ_Bldg_Relief,Occ_Bldg)+BB92&gt;0),EXP(-0.5*((BD93-OccBldg_Elevation)/(Plume_sZ_A*(IF(Occ_Bldg_Relief&gt;0,Occ_Bldg_Relief,Occ_Bldg)+BB92)^Plume_sZ_B))^2),1)</f>
        <v>#DIV/0!</v>
      </c>
      <c r="BC100" s="83"/>
      <c r="BD100" s="3031" t="e">
        <f>IF(AND(OccBldg_Elevation&gt;0,BD93&gt;OccBldg_Elevation,IF(Occ_Bldg_Relief&gt;0,Occ_Bldg_Relief,Occ_Bldg)+BD92&gt;0),EXP(-0.5*((BF93-OccBldg_Elevation)/(Plume_sZ_A*(IF(Occ_Bldg_Relief&gt;0,Occ_Bldg_Relief,Occ_Bldg)+BD92)^Plume_sZ_B))^2),1)</f>
        <v>#DIV/0!</v>
      </c>
      <c r="BE100" s="83"/>
      <c r="BF100" s="3031" t="e">
        <f>IF(AND(OccBldg_Elevation&gt;0,BF93&gt;OccBldg_Elevation,IF(Occ_Bldg_Relief&gt;0,Occ_Bldg_Relief,Occ_Bldg)+BF92&gt;0),EXP(-0.5*((BH93-OccBldg_Elevation)/(Plume_sZ_A*(IF(Occ_Bldg_Relief&gt;0,Occ_Bldg_Relief,Occ_Bldg)+BF92)^Plume_sZ_B))^2),1)</f>
        <v>#DIV/0!</v>
      </c>
      <c r="BG100" s="83"/>
      <c r="BH100" s="3031" t="e">
        <f>IF(AND(OccBldg_Elevation&gt;0,BH93&gt;OccBldg_Elevation,IF(Occ_Bldg_Relief&gt;0,Occ_Bldg_Relief,Occ_Bldg)+BH92&gt;0),EXP(-0.5*((BJ93-OccBldg_Elevation)/(Plume_sZ_A*(IF(Occ_Bldg_Relief&gt;0,Occ_Bldg_Relief,Occ_Bldg)+BH92)^Plume_sZ_B))^2),1)</f>
        <v>#DIV/0!</v>
      </c>
      <c r="BI100" s="83"/>
      <c r="BJ100" s="3031" t="e">
        <f>IF(AND(OccBldg_Elevation&gt;0,BJ93&gt;OccBldg_Elevation,IF(Occ_Bldg_Relief&gt;0,Occ_Bldg_Relief,Occ_Bldg)+BJ92&gt;0),EXP(-0.5*((BL93-OccBldg_Elevation)/(Plume_sZ_A*(IF(Occ_Bldg_Relief&gt;0,Occ_Bldg_Relief,Occ_Bldg)+BJ92)^Plume_sZ_B))^2),1)</f>
        <v>#DIV/0!</v>
      </c>
      <c r="BK100" s="83"/>
      <c r="BL100" s="3031" t="e">
        <f>IF(AND(OccBldg_Elevation&gt;0,BL93&gt;OccBldg_Elevation,IF(Occ_Bldg_Relief&gt;0,Occ_Bldg_Relief,Occ_Bldg)+BL92&gt;0),EXP(-0.5*((BN93-OccBldg_Elevation)/(Plume_sZ_A*(IF(Occ_Bldg_Relief&gt;0,Occ_Bldg_Relief,Occ_Bldg)+BL92)^Plume_sZ_B))^2),1)</f>
        <v>#DIV/0!</v>
      </c>
      <c r="BM100" s="83"/>
      <c r="BN100" s="3031" t="e">
        <f>IF(AND(OccBldg_Elevation&gt;0,BN93&gt;OccBldg_Elevation,IF(Occ_Bldg_Relief&gt;0,Occ_Bldg_Relief,Occ_Bldg)+BN92&gt;0),EXP(-0.5*((BP93-OccBldg_Elevation)/(Plume_sZ_A*(IF(Occ_Bldg_Relief&gt;0,Occ_Bldg_Relief,Occ_Bldg)+BN92)^Plume_sZ_B))^2),1)</f>
        <v>#DIV/0!</v>
      </c>
      <c r="BO100" s="83"/>
      <c r="BP100" s="85"/>
      <c r="BQ100" s="83"/>
      <c r="BR100" s="81"/>
      <c r="BS100" s="1691" t="s">
        <v>5291</v>
      </c>
      <c r="BT100" s="81"/>
      <c r="BU100" s="3108">
        <f>IF(BU281="Indoors",BU300/1000000,IF(BU15&lt;TBp,Psat,1))</f>
        <v>1</v>
      </c>
      <c r="BV100" s="81"/>
      <c r="BW100" s="3108">
        <f>IF(BW281="Indoors",BW300/1000000,IF(BW15&lt;TBp,Psat,1))</f>
        <v>1</v>
      </c>
      <c r="BX100" s="81"/>
      <c r="BY100" s="3108">
        <f>IF(BY281="Indoors",BY300/1000000,1)</f>
        <v>1</v>
      </c>
      <c r="BZ100" s="81"/>
      <c r="CA100" s="3108">
        <f>IF(CA281="Indoors",CA300/1000000,1)</f>
        <v>1</v>
      </c>
      <c r="CB100" s="81"/>
      <c r="CC100" s="3108">
        <f>IF(CC281="Indoors",CC300/1000000,1)</f>
        <v>1</v>
      </c>
      <c r="CD100" s="81"/>
      <c r="CE100" s="23"/>
      <c r="CF100" s="81"/>
      <c r="CG100" s="2"/>
      <c r="CH100" s="512" t="s">
        <v>5105</v>
      </c>
      <c r="CI100" s="83"/>
      <c r="CJ100" s="2981">
        <f>IF(CJ13&lt;&gt;"",LN(IF(CJ$92&gt;=1000,CJ$27*CJ$90*1000^CJ$91,NBPlume_A_Night*CJ13/(CJ20*Wind_Night)/(1000-CJ$92+CJ$93)^(1/NBPlume_B_Night))),0)</f>
        <v>0</v>
      </c>
      <c r="CK100" s="83"/>
      <c r="CL100" s="23"/>
      <c r="CM100" s="83"/>
    </row>
    <row r="101" spans="1:91" ht="15" customHeight="1" thickBot="1" x14ac:dyDescent="0.3">
      <c r="A101" s="2"/>
      <c r="B101" s="1691" t="s">
        <v>5047</v>
      </c>
      <c r="C101" s="83"/>
      <c r="D101" s="2998">
        <f>12.2*D99*D98/(D9+273)+(1-D99)*Air_Dens</f>
        <v>0</v>
      </c>
      <c r="E101" s="83"/>
      <c r="F101" s="2998">
        <f>12.2*F99*F98/(F9+273)+(1-F99)*Air_Dens</f>
        <v>0</v>
      </c>
      <c r="G101" s="83"/>
      <c r="H101" s="2998">
        <f>12.2*H99*H98/(H9+273)+(1-H99)*Air_Dens</f>
        <v>0</v>
      </c>
      <c r="I101" s="83"/>
      <c r="J101" s="2998">
        <f>12.2*J99*J98/(J9+273)+(1-J99)*Air_Dens</f>
        <v>0</v>
      </c>
      <c r="K101" s="83"/>
      <c r="L101" s="2998">
        <f>12.2*L99*L98/(L9+273)+(1-L99)*Air_Dens</f>
        <v>0</v>
      </c>
      <c r="M101" s="83"/>
      <c r="N101" s="2998">
        <f>12.2*N99*N98/(N9+273)+(1-N99)*Air_Dens</f>
        <v>0</v>
      </c>
      <c r="O101" s="83"/>
      <c r="P101" s="2998">
        <f>12.2*P99*P98/(P9+273)+(1-P99)*Air_Dens</f>
        <v>0</v>
      </c>
      <c r="Q101" s="83"/>
      <c r="R101" s="2998">
        <f>12.2*R99*R98/(R9+273)+(1-R99)*Air_Dens</f>
        <v>0</v>
      </c>
      <c r="S101" s="83"/>
      <c r="T101" s="2998">
        <f>12.2*T99*T98/(T9+273)+(1-T99)*Air_Dens</f>
        <v>0</v>
      </c>
      <c r="U101" s="83"/>
      <c r="V101" s="2998">
        <f>12.2*V99*V98/(V9+273)+(1-V99)*Air_Dens</f>
        <v>0</v>
      </c>
      <c r="W101" s="83"/>
      <c r="X101" s="2998">
        <f>12.2*X99*X98/(X9+273)+(1-X99)*Air_Dens</f>
        <v>0</v>
      </c>
      <c r="Y101" s="83"/>
      <c r="Z101" s="85" t="s">
        <v>5109</v>
      </c>
      <c r="AA101" s="83"/>
      <c r="AB101" s="81"/>
      <c r="AC101" s="1691" t="s">
        <v>5047</v>
      </c>
      <c r="AD101" s="81"/>
      <c r="AE101" s="2998">
        <f>12.2*AE99*AE98/(AE9+273)+(1-AE99)*Air_Dens</f>
        <v>0</v>
      </c>
      <c r="AF101" s="81"/>
      <c r="AG101" s="2998">
        <f>12.2*AG99*AG98/(AG9+273)+(1-AG99)*Air_Dens</f>
        <v>0</v>
      </c>
      <c r="AH101" s="81"/>
      <c r="AI101" s="2998">
        <f>12.2*AI99*AI98/(AI9+273)+(1-AI99)*Air_Dens</f>
        <v>0</v>
      </c>
      <c r="AJ101" s="81"/>
      <c r="AK101" s="2998">
        <f>12.2*AK99*AK98/(AK9+273)+(1-AK99)*Air_Dens</f>
        <v>0</v>
      </c>
      <c r="AL101" s="81"/>
      <c r="AM101" s="2998">
        <f>12.2*AM99*AM98/(AM9+273)+(1-AM99)*Air_Dens</f>
        <v>0</v>
      </c>
      <c r="AN101" s="81"/>
      <c r="AO101" s="2998">
        <f>12.2*AO99*AO98/(AO9+273)+(1-AO99)*Air_Dens</f>
        <v>0</v>
      </c>
      <c r="AP101" s="81"/>
      <c r="AQ101" s="85" t="s">
        <v>3814</v>
      </c>
      <c r="AR101" s="81"/>
      <c r="AS101" s="83"/>
      <c r="AT101" s="23" t="s">
        <v>2932</v>
      </c>
      <c r="AU101" s="83"/>
      <c r="AV101" s="2122" t="e">
        <f>IF(AND(State="Vapor",OccBldg2_Elevation&gt;0,AV93&gt;OccBldg2_Elevation,IF(Occ_Bldg2_Relief&gt;0,Occ_Bldg2_Relief,Occ_Bldg2)&gt;0),EXP(-0.5*((AX93-OccBldg2_Elevation)/(Plume_sZ_A*(IF(Occ_Bldg2_Relief&gt;0,Occ_Bldg2_Relief,Occ_Bldg2))^Plume_sZ_B))^2),1)</f>
        <v>#DIV/0!</v>
      </c>
      <c r="AW101" s="83"/>
      <c r="AX101" s="2122" t="e">
        <f>IF(AND(State="Vapor",OccBldg2_Elevation&gt;0,AX93&gt;OccBldg2_Elevation,IF(Occ_Bldg2_Relief&gt;0,Occ_Bldg2_Relief,Occ_Bldg2)+AX92&gt;0),EXP(-0.5*((AZ93-OccBldg2_Elevation)/(Plume_sZ_A*(IF(Occ_Bldg2_Relief&gt;0,Occ_Bldg2_Relief,Occ_Bldg2)+AX92)^Plume_sZ_B))^2),1)</f>
        <v>#DIV/0!</v>
      </c>
      <c r="AY101" s="83"/>
      <c r="AZ101" s="2122" t="e">
        <f>IF(AND(State="Vapor",OccBldg2_Elevation&gt;0,AZ93&gt;OccBldg2_Elevation,IF(Occ_Bldg2_Relief&gt;0,Occ_Bldg2_Relief,Occ_Bldg2)+AZ92&gt;0),EXP(-0.5*((BB93-OccBldg2_Elevation)/(Plume_sZ_A*(IF(Occ_Bldg2_Relief&gt;0,Occ_Bldg2_Relief,Occ_Bldg2)+AZ92)^Plume_sZ_B))^2),1)</f>
        <v>#DIV/0!</v>
      </c>
      <c r="BA101" s="83"/>
      <c r="BB101" s="2122" t="e">
        <f>IF(AND(State="Vapor",OccBldg2_Elevation&gt;0,BB93&gt;OccBldg2_Elevation,IF(Occ_Bldg2_Relief&gt;0,Occ_Bldg2_Relief,Occ_Bldg2)+BB92&gt;0),EXP(-0.5*((BD93-OccBldg2_Elevation)/(Plume_sZ_A*(IF(Occ_Bldg2_Relief&gt;0,Occ_Bldg2_Relief,Occ_Bldg2)+BB92)^Plume_sZ_B))^2),1)</f>
        <v>#DIV/0!</v>
      </c>
      <c r="BC101" s="83"/>
      <c r="BD101" s="2122" t="e">
        <f>IF(AND(State="Vapor",OccBldg2_Elevation&gt;0,BD93&gt;OccBldg2_Elevation,IF(Occ_Bldg2_Relief&gt;0,Occ_Bldg2_Relief,Occ_Bldg2)+BD92&gt;0),EXP(-0.5*((BF93-OccBldg2_Elevation)/(Plume_sZ_A*(IF(Occ_Bldg2_Relief&gt;0,Occ_Bldg2_Relief,Occ_Bldg2)+BD92)^Plume_sZ_B))^2),1)</f>
        <v>#DIV/0!</v>
      </c>
      <c r="BE101" s="83"/>
      <c r="BF101" s="2122" t="e">
        <f>IF(AND(State="Vapor",OccBldg2_Elevation&gt;0,BF93&gt;OccBldg2_Elevation,IF(Occ_Bldg2_Relief&gt;0,Occ_Bldg2_Relief,Occ_Bldg2)+BF92&gt;0),EXP(-0.5*((BH93-OccBldg2_Elevation)/(Plume_sZ_A*(IF(Occ_Bldg2_Relief&gt;0,Occ_Bldg2_Relief,Occ_Bldg2)+BF92)^Plume_sZ_B))^2),1)</f>
        <v>#DIV/0!</v>
      </c>
      <c r="BG101" s="83"/>
      <c r="BH101" s="2122" t="e">
        <f>IF(AND(State="Vapor",OccBldg2_Elevation&gt;0,BH93&gt;OccBldg2_Elevation,IF(Occ_Bldg2_Relief&gt;0,Occ_Bldg2_Relief,Occ_Bldg2)+BH92&gt;0),EXP(-0.5*((BJ93-OccBldg2_Elevation)/(Plume_sZ_A*(IF(Occ_Bldg2_Relief&gt;0,Occ_Bldg2_Relief,Occ_Bldg2)+BH92)^Plume_sZ_B))^2),1)</f>
        <v>#DIV/0!</v>
      </c>
      <c r="BI101" s="83"/>
      <c r="BJ101" s="2122" t="e">
        <f>IF(AND(State="Vapor",OccBldg2_Elevation&gt;0,BJ93&gt;OccBldg2_Elevation,IF(Occ_Bldg2_Relief&gt;0,Occ_Bldg2_Relief,Occ_Bldg2)+BJ92&gt;0),EXP(-0.5*((BL93-OccBldg2_Elevation)/(Plume_sZ_A*(IF(Occ_Bldg2_Relief&gt;0,Occ_Bldg2_Relief,Occ_Bldg2)+BJ92)^Plume_sZ_B))^2),1)</f>
        <v>#DIV/0!</v>
      </c>
      <c r="BK101" s="83"/>
      <c r="BL101" s="2122" t="e">
        <f>IF(AND(State="Vapor",OccBldg2_Elevation&gt;0,BL93&gt;OccBldg2_Elevation,IF(Occ_Bldg2_Relief&gt;0,Occ_Bldg2_Relief,Occ_Bldg2)+BL92&gt;0),EXP(-0.5*((BN93-OccBldg2_Elevation)/(Plume_sZ_A*(IF(Occ_Bldg2_Relief&gt;0,Occ_Bldg2_Relief,Occ_Bldg2)+BL92)^Plume_sZ_B))^2),1)</f>
        <v>#DIV/0!</v>
      </c>
      <c r="BM101" s="83"/>
      <c r="BN101" s="2122" t="e">
        <f>IF(AND(State="Vapor",OccBldg2_Elevation&gt;0,BN93&gt;OccBldg2_Elevation,IF(Occ_Bldg2_Relief&gt;0,Occ_Bldg2_Relief,Occ_Bldg2)+BN92&gt;0),EXP(-0.5*((BP93-OccBldg2_Elevation)/(Plume_sZ_A*(IF(Occ_Bldg2_Relief&gt;0,Occ_Bldg2_Relief,Occ_Bldg2)+BN92)^Plume_sZ_B))^2),1)</f>
        <v>#DIV/0!</v>
      </c>
      <c r="BO101" s="83"/>
      <c r="BP101" s="25"/>
      <c r="BQ101" s="83"/>
      <c r="BR101" s="81"/>
      <c r="BS101" s="1691" t="s">
        <v>5047</v>
      </c>
      <c r="BT101" s="81"/>
      <c r="BU101" s="2998">
        <f>12.2*BU99*BU98/(BU15+273)+(1-BU99)*Air_Dens</f>
        <v>0</v>
      </c>
      <c r="BV101" s="81"/>
      <c r="BW101" s="2998">
        <f>12.2*BW99*BW98/(BW15+273)+(1-BW99)*Air_Dens</f>
        <v>0</v>
      </c>
      <c r="BX101" s="81"/>
      <c r="BY101" s="2998">
        <f>12.2*BY99*BY98/(BY15+273)+(1-BY99)*Air_Dens</f>
        <v>0</v>
      </c>
      <c r="BZ101" s="81"/>
      <c r="CA101" s="2998">
        <f>12.2*CA99*CA98/(CA15+273)+(1-CA99)*Air_Dens</f>
        <v>0</v>
      </c>
      <c r="CB101" s="81"/>
      <c r="CC101" s="2998">
        <f>12.2*CC99*CC98/(CC15+273)+(1-CC99)*Air_Dens</f>
        <v>0</v>
      </c>
      <c r="CD101" s="81"/>
      <c r="CE101" s="23"/>
      <c r="CF101" s="81"/>
      <c r="CG101" s="2"/>
      <c r="CH101" s="512" t="s">
        <v>5106</v>
      </c>
      <c r="CI101" s="83"/>
      <c r="CJ101" s="2981">
        <f>IF(CJ13&lt;&gt;"",LN(IF(CJ$92&gt;=2000,CJ$27*CJ$90*2000^CJ$91,NBPlume_A_Night*CJ13/(CJ20*Wind_Night)/(2000-CJ$92+CJ$93)^(1/NBPlume_B_Night))),0)</f>
        <v>0</v>
      </c>
      <c r="CK101" s="83"/>
      <c r="CL101" s="23"/>
      <c r="CM101" s="83"/>
    </row>
    <row r="102" spans="1:91" ht="15" customHeight="1" x14ac:dyDescent="0.25">
      <c r="A102" s="2"/>
      <c r="B102" s="1691" t="s">
        <v>5178</v>
      </c>
      <c r="C102" s="83"/>
      <c r="D102" s="3133" t="e">
        <f>D$89*(D9+273)/(12.2*D98*D99)</f>
        <v>#DIV/0!</v>
      </c>
      <c r="E102" s="83"/>
      <c r="F102" s="3133" t="e">
        <f>F$89*(F9+273)/(12.2*F98*F99)</f>
        <v>#DIV/0!</v>
      </c>
      <c r="G102" s="83"/>
      <c r="H102" s="3133" t="e">
        <f>H$89*(H9+273)/(12.2*H98*H99)</f>
        <v>#DIV/0!</v>
      </c>
      <c r="I102" s="83"/>
      <c r="J102" s="3133" t="e">
        <f>J$89*(J9+273)/(12.2*J98*J99)</f>
        <v>#DIV/0!</v>
      </c>
      <c r="K102" s="83"/>
      <c r="L102" s="3133" t="e">
        <f>L$89*(L9+273)/(12.2*L98*L99)</f>
        <v>#DIV/0!</v>
      </c>
      <c r="M102" s="83"/>
      <c r="N102" s="3133" t="e">
        <f>N$89*(N9+273)/(12.2*N98*N99)</f>
        <v>#DIV/0!</v>
      </c>
      <c r="O102" s="83"/>
      <c r="P102" s="3133" t="e">
        <f>P$89*(P9+273)/(12.2*P98*P99)</f>
        <v>#DIV/0!</v>
      </c>
      <c r="Q102" s="83"/>
      <c r="R102" s="3133" t="e">
        <f>R$89*(R9+273)/(12.2*R98*R99)</f>
        <v>#DIV/0!</v>
      </c>
      <c r="S102" s="83"/>
      <c r="T102" s="3133" t="e">
        <f>T$89*(T9+273)/(12.2*T98*T99)</f>
        <v>#DIV/0!</v>
      </c>
      <c r="U102" s="83"/>
      <c r="V102" s="3133" t="e">
        <f>V$89*(V9+273)/(12.2*V98*V99)</f>
        <v>#DIV/0!</v>
      </c>
      <c r="W102" s="83"/>
      <c r="X102" s="3133" t="e">
        <f>X$89*(X9+273)/(12.2*X98*X99)</f>
        <v>#DIV/0!</v>
      </c>
      <c r="Y102" s="83"/>
      <c r="Z102" s="85" t="s">
        <v>5180</v>
      </c>
      <c r="AA102" s="83"/>
      <c r="AB102" s="81"/>
      <c r="AC102" s="1691" t="s">
        <v>5178</v>
      </c>
      <c r="AD102" s="81"/>
      <c r="AE102" s="3133" t="e">
        <f>AE$89*(AE9+273)/(12.2*AE98*AE99)</f>
        <v>#DIV/0!</v>
      </c>
      <c r="AF102" s="81"/>
      <c r="AG102" s="3133" t="e">
        <f>AG$89*(AG9+273)/(12.2*AG98*AG99)</f>
        <v>#DIV/0!</v>
      </c>
      <c r="AH102" s="81"/>
      <c r="AI102" s="3133" t="e">
        <f>AI$89*(AI9+273)/(12.2*AI98*AI99)</f>
        <v>#DIV/0!</v>
      </c>
      <c r="AJ102" s="81"/>
      <c r="AK102" s="3133" t="e">
        <f>AK$89*(AK9+273)/(12.2*AK98*AK99)</f>
        <v>#DIV/0!</v>
      </c>
      <c r="AL102" s="81"/>
      <c r="AM102" s="3133" t="e">
        <f>AM$89*(AM9+273)/(12.2*AM98*AM99)</f>
        <v>#DIV/0!</v>
      </c>
      <c r="AN102" s="81"/>
      <c r="AO102" s="3133">
        <f>IF(AO98=0,0,AO$89*(AO9+273)/(12.2*AO98*AO99))</f>
        <v>0</v>
      </c>
      <c r="AP102" s="81"/>
      <c r="AQ102" s="85"/>
      <c r="AR102" s="81"/>
      <c r="AS102" s="83"/>
      <c r="AT102" s="1689" t="s">
        <v>5058</v>
      </c>
      <c r="AU102" s="83"/>
      <c r="AV102" s="2426" t="e">
        <f>IF(AV$88&gt;0,(AV$88^2*AV86/Wind^5)^0.2,0)</f>
        <v>#DIV/0!</v>
      </c>
      <c r="AW102" s="269"/>
      <c r="AX102" s="2426" t="e">
        <f>IF(AX$88&gt;0,(AX$88^2*AX86/Wind^5)^0.2,0)</f>
        <v>#DIV/0!</v>
      </c>
      <c r="AY102" s="269"/>
      <c r="AZ102" s="2426" t="e">
        <f>IF(AZ$88&gt;0,(AZ$88^2*AZ86/Wind^5)^0.2,0)</f>
        <v>#DIV/0!</v>
      </c>
      <c r="BA102" s="269"/>
      <c r="BB102" s="2426" t="e">
        <f>IF(BB$88&gt;0,(BB$88^2*BB86/Wind^5)^0.2,0)</f>
        <v>#DIV/0!</v>
      </c>
      <c r="BC102" s="269"/>
      <c r="BD102" s="2426" t="e">
        <f>IF(BD$88&gt;0,(BD$88^2*BD86/Wind^5)^0.2,0)</f>
        <v>#DIV/0!</v>
      </c>
      <c r="BE102" s="269"/>
      <c r="BF102" s="2426" t="e">
        <f>IF(BF$88&gt;0,(BF$88^2*BF86/Wind^5)^0.2,0)</f>
        <v>#DIV/0!</v>
      </c>
      <c r="BG102" s="269"/>
      <c r="BH102" s="2426" t="e">
        <f>IF(BH$88&gt;0,(BH$88^2*BH86/Wind^5)^0.2,0)</f>
        <v>#DIV/0!</v>
      </c>
      <c r="BI102" s="269"/>
      <c r="BJ102" s="2426" t="e">
        <f>IF(BJ$88&gt;0,(BJ$88^2*BJ86/Wind^5)^0.2,0)</f>
        <v>#DIV/0!</v>
      </c>
      <c r="BK102" s="269"/>
      <c r="BL102" s="2426" t="e">
        <f>IF(BL$88&gt;0,(BL$88^2*BL86/Wind^5)^0.2,0)</f>
        <v>#DIV/0!</v>
      </c>
      <c r="BM102" s="269"/>
      <c r="BN102" s="2426" t="e">
        <f>IF(BN$88&gt;0,(BN$88^2*BN86/Wind^5)^0.2,0)</f>
        <v>#DIV/0!</v>
      </c>
      <c r="BO102" s="269"/>
      <c r="BP102" s="1835"/>
      <c r="BQ102" s="83"/>
      <c r="BR102" s="81"/>
      <c r="BS102" s="1691" t="s">
        <v>5178</v>
      </c>
      <c r="BT102" s="81"/>
      <c r="BU102" s="3133" t="e">
        <f>IF(BU$89="",BU$83/3600,BU$89)*(BU15+273)/(12.2*BU98*BU99)</f>
        <v>#DIV/0!</v>
      </c>
      <c r="BV102" s="81"/>
      <c r="BW102" s="3133" t="e">
        <f>IF(BW$89="",BW$83/3600,BW$89)*(BW15+273)/(12.2*BW98*BW99)</f>
        <v>#DIV/0!</v>
      </c>
      <c r="BX102" s="81"/>
      <c r="BY102" s="3133" t="e">
        <f>IF(BY$89="",BY$83/3600,BY$89)*(BY15+273)/(12.2*BY98*BY99)</f>
        <v>#DIV/0!</v>
      </c>
      <c r="BZ102" s="81"/>
      <c r="CA102" s="3133" t="e">
        <f>IF(CA$89="",CA$83/3600,CA$89)*(CA15+273)/(12.2*CA98*CA99)</f>
        <v>#DIV/0!</v>
      </c>
      <c r="CB102" s="81"/>
      <c r="CC102" s="3133" t="e">
        <f>IF(CC$89="",CC$83/3600,CC$89)*(CC15+273)/(12.2*CC98*CC99)</f>
        <v>#DIV/0!</v>
      </c>
      <c r="CD102" s="81"/>
      <c r="CE102" s="23"/>
      <c r="CF102" s="81"/>
      <c r="CG102" s="2"/>
      <c r="CH102" s="512" t="s">
        <v>5107</v>
      </c>
      <c r="CI102" s="83"/>
      <c r="CJ102" s="2981">
        <f>IF(CJ13&lt;&gt;"",LN(IF(CJ$92&gt;=5000,CJ$27*CJ$90*5000^CJ$91,NBPlume_A_Night*CJ13/(CJ20*Wind_Night)/(5000-CJ$92+CJ$93)^(1/NBPlume_B_Night))),0)</f>
        <v>0</v>
      </c>
      <c r="CK102" s="83"/>
      <c r="CL102" s="23"/>
      <c r="CM102" s="83"/>
    </row>
    <row r="103" spans="1:91" ht="15" customHeight="1" thickBot="1" x14ac:dyDescent="0.3">
      <c r="A103" s="2"/>
      <c r="B103" s="1691" t="s">
        <v>5179</v>
      </c>
      <c r="C103" s="83"/>
      <c r="D103" s="3133" t="e">
        <f>D$83*(D9+273)/(12.2*D98*D99)</f>
        <v>#DIV/0!</v>
      </c>
      <c r="E103" s="83"/>
      <c r="F103" s="3133" t="e">
        <f>F$83*(F9+273)/(12.2*F98*F99)</f>
        <v>#DIV/0!</v>
      </c>
      <c r="G103" s="83"/>
      <c r="H103" s="3133" t="e">
        <f>H$83*(H9+273)/(12.2*H98*H99)</f>
        <v>#DIV/0!</v>
      </c>
      <c r="I103" s="83"/>
      <c r="J103" s="3133" t="e">
        <f>J$83*(J9+273)/(12.2*J98*J99)</f>
        <v>#DIV/0!</v>
      </c>
      <c r="K103" s="83"/>
      <c r="L103" s="3133" t="e">
        <f>L$83*(L9+273)/(12.2*L98*L99)</f>
        <v>#DIV/0!</v>
      </c>
      <c r="M103" s="83"/>
      <c r="N103" s="3133" t="e">
        <f>N$83*(N9+273)/(12.2*N98*N99)</f>
        <v>#DIV/0!</v>
      </c>
      <c r="O103" s="83"/>
      <c r="P103" s="3133" t="e">
        <f>P$83*(P9+273)/(12.2*P98*P99)</f>
        <v>#DIV/0!</v>
      </c>
      <c r="Q103" s="83"/>
      <c r="R103" s="3133" t="e">
        <f>R$83*(R9+273)/(12.2*R98*R99)</f>
        <v>#DIV/0!</v>
      </c>
      <c r="S103" s="83"/>
      <c r="T103" s="3133" t="e">
        <f>T$83*(T9+273)/(12.2*T98*T99)</f>
        <v>#DIV/0!</v>
      </c>
      <c r="U103" s="83"/>
      <c r="V103" s="3133" t="e">
        <f>V$83*(V9+273)/(12.2*V98*V99)</f>
        <v>#DIV/0!</v>
      </c>
      <c r="W103" s="83"/>
      <c r="X103" s="3133" t="e">
        <f>X$83*(X9+273)/(12.2*X98*X99)</f>
        <v>#DIV/0!</v>
      </c>
      <c r="Y103" s="83"/>
      <c r="Z103" s="85" t="s">
        <v>3803</v>
      </c>
      <c r="AA103" s="83"/>
      <c r="AB103" s="81"/>
      <c r="AC103" s="1691" t="s">
        <v>5179</v>
      </c>
      <c r="AD103" s="81"/>
      <c r="AE103" s="3133" t="e">
        <f>AE$83*(AE9+273)/(12.2*AE98*AE99)</f>
        <v>#DIV/0!</v>
      </c>
      <c r="AF103" s="81"/>
      <c r="AG103" s="3133" t="e">
        <f>AG$83*(AG9+273)/(12.2*AG98*AG99)</f>
        <v>#DIV/0!</v>
      </c>
      <c r="AH103" s="81"/>
      <c r="AI103" s="3133" t="e">
        <f>AI$83*(AI9+273)/(12.2*AI98*AI99)</f>
        <v>#DIV/0!</v>
      </c>
      <c r="AJ103" s="81"/>
      <c r="AK103" s="3133" t="e">
        <f>AK$83*(AK9+273)/(12.2*AK98*AK99)</f>
        <v>#DIV/0!</v>
      </c>
      <c r="AL103" s="81"/>
      <c r="AM103" s="3133" t="e">
        <f>AM$83*(AM9+273)/(12.2*AM98*AM99)</f>
        <v>#DIV/0!</v>
      </c>
      <c r="AN103" s="81"/>
      <c r="AO103" s="3133">
        <f>IF(AO98=0,0,AO$83*(AO9+273)/(12.2*AO98*AO99))</f>
        <v>0</v>
      </c>
      <c r="AP103" s="81"/>
      <c r="AQ103" s="85"/>
      <c r="AR103" s="81"/>
      <c r="AS103" s="83"/>
      <c r="AT103" s="1691" t="s">
        <v>5059</v>
      </c>
      <c r="AU103" s="83"/>
      <c r="AV103" s="3000" t="e">
        <f>IF(AND(AV$88&gt;0,AV$102&gt;0),AV$83*0.15^6/AV$102^5,1)</f>
        <v>#DIV/0!</v>
      </c>
      <c r="AW103" s="269"/>
      <c r="AX103" s="3000" t="e">
        <f>IF(AND(AX$88&gt;0,AX$102&gt;0),AX$83*0.15^6/AX$102^5,1)</f>
        <v>#DIV/0!</v>
      </c>
      <c r="AY103" s="269"/>
      <c r="AZ103" s="3000" t="e">
        <f>IF(AND(AZ$88&gt;0,AZ$102&gt;0),AZ$83*0.15^6/AZ$102^5,1)</f>
        <v>#DIV/0!</v>
      </c>
      <c r="BA103" s="269"/>
      <c r="BB103" s="3000" t="e">
        <f>IF(AND(BB$88&gt;0,BB$102&gt;0),BB$83*0.15^6/BB$102^5,1)</f>
        <v>#DIV/0!</v>
      </c>
      <c r="BC103" s="269"/>
      <c r="BD103" s="3000" t="e">
        <f>IF(AND(BD$88&gt;0,BD$102&gt;0),BD$83*0.15^6/BD$102^5,1)</f>
        <v>#DIV/0!</v>
      </c>
      <c r="BE103" s="269"/>
      <c r="BF103" s="3000" t="e">
        <f>IF(AND(BF$88&gt;0,BF$102&gt;0),BF$83*0.15^6/BF$102^5,1)</f>
        <v>#DIV/0!</v>
      </c>
      <c r="BG103" s="269"/>
      <c r="BH103" s="3000" t="e">
        <f>IF(AND(BH$88&gt;0,BH$102&gt;0),BH$83*0.15^6/BH$102^5,1)</f>
        <v>#DIV/0!</v>
      </c>
      <c r="BI103" s="269"/>
      <c r="BJ103" s="3000" t="e">
        <f>IF(AND(BJ$88&gt;0,BJ$102&gt;0),BJ$83*0.15^6/BJ$102^5,1)</f>
        <v>#DIV/0!</v>
      </c>
      <c r="BK103" s="269"/>
      <c r="BL103" s="3000" t="e">
        <f>IF(AND(BL$88&gt;0,BL$102&gt;0),BL$83*0.15^6/BL$102^5,1)</f>
        <v>#DIV/0!</v>
      </c>
      <c r="BM103" s="269"/>
      <c r="BN103" s="3000" t="e">
        <f>IF(AND(BN$88&gt;0,BN$102&gt;0),BN$83*0.15^6/BN$102^5,1)</f>
        <v>#DIV/0!</v>
      </c>
      <c r="BO103" s="269"/>
      <c r="BP103" s="1835"/>
      <c r="BQ103" s="83"/>
      <c r="BR103" s="81"/>
      <c r="BS103" s="1691" t="s">
        <v>5179</v>
      </c>
      <c r="BT103" s="81"/>
      <c r="BU103" s="3133" t="e">
        <f>BU$83*(BU15+273)/(12.2*BU98*BU99)</f>
        <v>#DIV/0!</v>
      </c>
      <c r="BV103" s="81"/>
      <c r="BW103" s="3133" t="e">
        <f>BW$83*(BW15+273)/(12.2*BW98*BW99)</f>
        <v>#DIV/0!</v>
      </c>
      <c r="BX103" s="81"/>
      <c r="BY103" s="3133" t="e">
        <f>BY$83*(BY15+273)/(12.2*BY98*BY99)</f>
        <v>#DIV/0!</v>
      </c>
      <c r="BZ103" s="81"/>
      <c r="CA103" s="3133" t="e">
        <f>CA$83*(CA15+273)/(12.2*CA98*CA99)</f>
        <v>#DIV/0!</v>
      </c>
      <c r="CB103" s="81"/>
      <c r="CC103" s="3133" t="e">
        <f>CC$83*(CC15+273)/(12.2*CC98*CC99)</f>
        <v>#DIV/0!</v>
      </c>
      <c r="CD103" s="81"/>
      <c r="CE103" s="23"/>
      <c r="CF103" s="81"/>
      <c r="CG103" s="2"/>
      <c r="CH103" s="512" t="s">
        <v>5108</v>
      </c>
      <c r="CI103" s="83"/>
      <c r="CJ103" s="3001">
        <f>IF(CJ13&lt;&gt;"",LN(IF(CJ$92&gt;=10000,CJ$27*CJ$90*10000^CJ$91,NBPlume_A_Night*CJ13/(CJ20*Wind_Night)/(10000-CJ$92+CJ$93)^(1/NBPlume_B_Night))),0)</f>
        <v>0</v>
      </c>
      <c r="CK103" s="83"/>
      <c r="CL103" s="23"/>
      <c r="CM103" s="83"/>
    </row>
    <row r="104" spans="1:91" ht="15" customHeight="1" thickBot="1" x14ac:dyDescent="0.3">
      <c r="A104" s="2"/>
      <c r="B104" s="2993" t="s">
        <v>5048</v>
      </c>
      <c r="C104" s="83"/>
      <c r="D104" s="2999">
        <f>9.8*(D101-Air_Dens)/Air_Dens</f>
        <v>-9.8000000000000007</v>
      </c>
      <c r="E104" s="83"/>
      <c r="F104" s="2999">
        <f>9.8*(F101-Air_Dens)/Air_Dens</f>
        <v>-9.8000000000000007</v>
      </c>
      <c r="G104" s="83"/>
      <c r="H104" s="2999">
        <f>9.8*(H101-Air_Dens)/Air_Dens</f>
        <v>-9.8000000000000007</v>
      </c>
      <c r="I104" s="83"/>
      <c r="J104" s="2999">
        <f>9.8*(J101-Air_Dens)/Air_Dens</f>
        <v>-9.8000000000000007</v>
      </c>
      <c r="K104" s="83"/>
      <c r="L104" s="2999">
        <f>9.8*(L101-Air_Dens)/Air_Dens</f>
        <v>-9.8000000000000007</v>
      </c>
      <c r="M104" s="83"/>
      <c r="N104" s="2999">
        <f>9.8*(N101-Air_Dens)/Air_Dens</f>
        <v>-9.8000000000000007</v>
      </c>
      <c r="O104" s="83"/>
      <c r="P104" s="2999">
        <f>9.8*(P101-Air_Dens)/Air_Dens</f>
        <v>-9.8000000000000007</v>
      </c>
      <c r="Q104" s="83"/>
      <c r="R104" s="2999">
        <f>9.8*(R101-Air_Dens)/Air_Dens</f>
        <v>-9.8000000000000007</v>
      </c>
      <c r="S104" s="83"/>
      <c r="T104" s="2999">
        <f>9.8*(T101-Air_Dens)/Air_Dens</f>
        <v>-9.8000000000000007</v>
      </c>
      <c r="U104" s="83"/>
      <c r="V104" s="2999">
        <f>9.8*(V101-Air_Dens)/Air_Dens</f>
        <v>-9.8000000000000007</v>
      </c>
      <c r="W104" s="83"/>
      <c r="X104" s="2999">
        <f>9.8*(X101-Air_Dens)/Air_Dens</f>
        <v>-9.8000000000000007</v>
      </c>
      <c r="Y104" s="83"/>
      <c r="Z104" s="85" t="s">
        <v>5110</v>
      </c>
      <c r="AA104" s="83"/>
      <c r="AB104" s="81"/>
      <c r="AC104" s="2993" t="s">
        <v>5048</v>
      </c>
      <c r="AD104" s="81"/>
      <c r="AE104" s="2999">
        <f>9.8*(AE101-Air_Dens)/Air_Dens</f>
        <v>-9.8000000000000007</v>
      </c>
      <c r="AF104" s="81"/>
      <c r="AG104" s="2999">
        <f>9.8*(AG101-Air_Dens)/Air_Dens</f>
        <v>-9.8000000000000007</v>
      </c>
      <c r="AH104" s="81"/>
      <c r="AI104" s="2999">
        <f>9.8*(AI101-Air_Dens)/Air_Dens</f>
        <v>-9.8000000000000007</v>
      </c>
      <c r="AJ104" s="81"/>
      <c r="AK104" s="2999">
        <f>9.8*(AK101-Air_Dens)/Air_Dens</f>
        <v>-9.8000000000000007</v>
      </c>
      <c r="AL104" s="81"/>
      <c r="AM104" s="2999">
        <f>9.8*(AM101-Air_Dens)/Air_Dens</f>
        <v>-9.8000000000000007</v>
      </c>
      <c r="AN104" s="81"/>
      <c r="AO104" s="2999">
        <f>9.8*(AO101-Air_Dens)/Air_Dens</f>
        <v>-9.8000000000000007</v>
      </c>
      <c r="AP104" s="81"/>
      <c r="AQ104" s="85"/>
      <c r="AR104" s="81"/>
      <c r="AS104" s="83"/>
      <c r="AT104" s="512" t="s">
        <v>5115</v>
      </c>
      <c r="AU104" s="83"/>
      <c r="AV104" s="3000" t="e">
        <f>LN(IF(AV$103&lt;AV$83,IF(LOG(AV$102)&lt;-0.55,56.2,IF(LOG(AV$102)&lt;-0.14,10^(1.88+0.24*LOG(AV$102)),10^(1.78-0.5*LOG(AV$102))))*(AV86/Wind)^0.5,1))</f>
        <v>#DIV/0!</v>
      </c>
      <c r="AW104" s="269"/>
      <c r="AX104" s="3000" t="e">
        <f>LN(IF(AX$103&lt;AX$83,IF(LOG(AX$102)&lt;-0.55,56.2,IF(LOG(AX$102)&lt;-0.14,10^(1.88+0.24*LOG(AX$102)),10^(1.78-0.5*LOG(AX$102))))*(AX86/Wind)^0.5,1))</f>
        <v>#DIV/0!</v>
      </c>
      <c r="AY104" s="269"/>
      <c r="AZ104" s="3000" t="e">
        <f>LN(IF(AZ$103&lt;AZ$83,IF(LOG(AZ$102)&lt;-0.55,56.2,IF(LOG(AZ$102)&lt;-0.14,10^(1.88+0.24*LOG(AZ$102)),10^(1.78-0.5*LOG(AZ$102))))*(AZ86/Wind)^0.5,1))</f>
        <v>#DIV/0!</v>
      </c>
      <c r="BA104" s="269"/>
      <c r="BB104" s="3000" t="e">
        <f>LN(IF(BB$103&lt;BB$83,IF(LOG(BB$102)&lt;-0.55,56.2,IF(LOG(BB$102)&lt;-0.14,10^(1.88+0.24*LOG(BB$102)),10^(1.78-0.5*LOG(BB$102))))*(BB86/Wind)^0.5,1))</f>
        <v>#DIV/0!</v>
      </c>
      <c r="BC104" s="269"/>
      <c r="BD104" s="3000" t="e">
        <f>LN(IF(BD$103&lt;BD$83,IF(LOG(BD$102)&lt;-0.55,56.2,IF(LOG(BD$102)&lt;-0.14,10^(1.88+0.24*LOG(BD$102)),10^(1.78-0.5*LOG(BD$102))))*(BD86/Wind)^0.5,1))</f>
        <v>#DIV/0!</v>
      </c>
      <c r="BE104" s="269"/>
      <c r="BF104" s="3000" t="e">
        <f>LN(IF(BF$103&lt;BF$83,IF(LOG(BF$102)&lt;-0.55,56.2,IF(LOG(BF$102)&lt;-0.14,10^(1.88+0.24*LOG(BF$102)),10^(1.78-0.5*LOG(BF$102))))*(BF86/Wind)^0.5,1))</f>
        <v>#DIV/0!</v>
      </c>
      <c r="BG104" s="269"/>
      <c r="BH104" s="3000" t="e">
        <f>LN(IF(BH$103&lt;BH$83,IF(LOG(BH$102)&lt;-0.55,56.2,IF(LOG(BH$102)&lt;-0.14,10^(1.88+0.24*LOG(BH$102)),10^(1.78-0.5*LOG(BH$102))))*(BH86/Wind)^0.5,1))</f>
        <v>#DIV/0!</v>
      </c>
      <c r="BI104" s="269"/>
      <c r="BJ104" s="3000" t="e">
        <f>LN(IF(BJ$103&lt;BJ$83,IF(LOG(BJ$102)&lt;-0.55,56.2,IF(LOG(BJ$102)&lt;-0.14,10^(1.88+0.24*LOG(BJ$102)),10^(1.78-0.5*LOG(BJ$102))))*(BJ86/Wind)^0.5,1))</f>
        <v>#DIV/0!</v>
      </c>
      <c r="BK104" s="269"/>
      <c r="BL104" s="3000" t="e">
        <f>LN(IF(BL$103&lt;BL$83,IF(LOG(BL$102)&lt;-0.55,56.2,IF(LOG(BL$102)&lt;-0.14,10^(1.88+0.24*LOG(BL$102)),10^(1.78-0.5*LOG(BL$102))))*(BL86/Wind)^0.5,1))</f>
        <v>#DIV/0!</v>
      </c>
      <c r="BM104" s="269"/>
      <c r="BN104" s="3000" t="e">
        <f>LN(IF(BN$103&lt;BN$83,IF(LOG(BN$102)&lt;-0.55,56.2,IF(LOG(BN$102)&lt;-0.14,10^(1.88+0.24*LOG(BN$102)),10^(1.78-0.5*LOG(BN$102))))*(BN86/Wind)^0.5,1))</f>
        <v>#DIV/0!</v>
      </c>
      <c r="BO104" s="269"/>
      <c r="BP104" s="1835"/>
      <c r="BQ104" s="83"/>
      <c r="BR104" s="81"/>
      <c r="BS104" s="2993" t="s">
        <v>5048</v>
      </c>
      <c r="BT104" s="81"/>
      <c r="BU104" s="2999">
        <f>9.8*(BU101-Air_Dens)/Air_Dens</f>
        <v>-9.8000000000000007</v>
      </c>
      <c r="BV104" s="81"/>
      <c r="BW104" s="2999">
        <f>9.8*(BW101-Air_Dens)/Air_Dens</f>
        <v>-9.8000000000000007</v>
      </c>
      <c r="BX104" s="81"/>
      <c r="BY104" s="2999">
        <f>9.8*(BY101-Air_Dens)/Air_Dens</f>
        <v>-9.8000000000000007</v>
      </c>
      <c r="BZ104" s="81"/>
      <c r="CA104" s="2999">
        <f>9.8*(CA101-Air_Dens)/Air_Dens</f>
        <v>-9.8000000000000007</v>
      </c>
      <c r="CB104" s="81"/>
      <c r="CC104" s="2999">
        <f>9.8*(CC101-Air_Dens)/Air_Dens</f>
        <v>-9.8000000000000007</v>
      </c>
      <c r="CD104" s="81"/>
      <c r="CE104" s="23"/>
      <c r="CF104" s="81"/>
      <c r="CG104" s="2"/>
      <c r="CH104" s="2975" t="s">
        <v>5111</v>
      </c>
      <c r="CI104" s="83"/>
      <c r="CJ104" s="3005">
        <f>IF(CJ13&lt;&gt;"",(EXP(INDEX(LINEST(CJ94:CJ103,$CJ$286:$CJ$295),2))*(CJ20*Wind_Night/CJ13))^CJ105,0)</f>
        <v>0</v>
      </c>
      <c r="CK104" s="83"/>
      <c r="CL104" s="23"/>
      <c r="CM104" s="83"/>
    </row>
    <row r="105" spans="1:91" ht="15" customHeight="1" x14ac:dyDescent="0.25">
      <c r="A105" s="2"/>
      <c r="B105" s="1689" t="s">
        <v>5058</v>
      </c>
      <c r="C105" s="83"/>
      <c r="D105" s="2426">
        <f>IF(D$104&gt;0,(D$104^2*D102/Wind^5)^0.2,0)</f>
        <v>0</v>
      </c>
      <c r="E105" s="83"/>
      <c r="F105" s="2426">
        <f>IF(F$104&gt;0,(F$104^2*F102/Wind^5)^0.2,0)</f>
        <v>0</v>
      </c>
      <c r="G105" s="83"/>
      <c r="H105" s="2426">
        <f>IF(H$104&gt;0,(H$104^2*H102/Wind^5)^0.2,0)</f>
        <v>0</v>
      </c>
      <c r="I105" s="83"/>
      <c r="J105" s="2426">
        <f>IF(J$104&gt;0,(J$104^2*J102/Wind^5)^0.2,0)</f>
        <v>0</v>
      </c>
      <c r="K105" s="83"/>
      <c r="L105" s="2426">
        <f>IF(L$104&gt;0,(L$104^2*L102/Wind^5)^0.2,0)</f>
        <v>0</v>
      </c>
      <c r="M105" s="83"/>
      <c r="N105" s="2426">
        <f>IF(N$104&gt;0,(N$104^2*N102/Wind^5)^0.2,0)</f>
        <v>0</v>
      </c>
      <c r="O105" s="83"/>
      <c r="P105" s="2426">
        <f>IF(P$104&gt;0,(P$104^2*P102/Wind^5)^0.2,0)</f>
        <v>0</v>
      </c>
      <c r="Q105" s="83"/>
      <c r="R105" s="2426">
        <f>IF(R$104&gt;0,(R$104^2*R102/Wind^5)^0.2,0)</f>
        <v>0</v>
      </c>
      <c r="S105" s="83"/>
      <c r="T105" s="2426">
        <f>IF(T$104&gt;0,(T$104^2*T102/Wind^5)^0.2,0)</f>
        <v>0</v>
      </c>
      <c r="U105" s="83"/>
      <c r="V105" s="2426">
        <f>IF(V$104&gt;0,(V$104^2*V102/Wind^5)^0.2,0)</f>
        <v>0</v>
      </c>
      <c r="W105" s="83"/>
      <c r="X105" s="2426">
        <f>IF(X$104&gt;0,(X$104^2*X102/Wind^5)^0.2,0)</f>
        <v>0</v>
      </c>
      <c r="Y105" s="83"/>
      <c r="Z105" s="2986"/>
      <c r="AA105" s="83"/>
      <c r="AB105" s="81"/>
      <c r="AC105" s="1842" t="s">
        <v>2264</v>
      </c>
      <c r="AD105" s="81"/>
      <c r="AE105" s="1194">
        <f>IF(OR(Relief_Discharge_Size=0,AE44&gt;0.01,State&lt;&gt;"Vapor"),0,12730*IF(Disk_Relief="Yes",MIN(AE12,AE89),AE89)/(12.2*AE98/(AE9+273)*Relief_Discharge_Size^2))</f>
        <v>0</v>
      </c>
      <c r="AF105" s="81"/>
      <c r="AG105" s="1194">
        <f>IF(OR(Relief_Discharge_Size=0,AG44&gt;0.01,State&lt;&gt;"Vapor"),0,12730*IF(Disk_Relief="Yes",MIN(AG12,AG89),AG89)/(12.2*AG98/(AG9+273)*Relief_Discharge_Size^2))</f>
        <v>0</v>
      </c>
      <c r="AH105" s="81"/>
      <c r="AI105" s="1194">
        <f>IF(OR(Relief_Discharge_Size=0,AI44&gt;0.01,State&lt;&gt;"Vapor"),0,12730*IF(Disk_Relief="Yes",MIN(AI12,AI89),AI89)/(12.2*AI98/(AI9+273)*Relief_Discharge_Size^2))</f>
        <v>0</v>
      </c>
      <c r="AJ105" s="81"/>
      <c r="AK105" s="1194">
        <f>IF(OR(Relief_Discharge_Size=0,AK44&gt;0.01,State&lt;&gt;"Vapor"),0,12730*IF(Disk_Relief="Yes",MIN(AK12,AK89),AK89)/(12.2*AK98/(AK9+273)*Relief_Discharge_Size^2))</f>
        <v>0</v>
      </c>
      <c r="AL105" s="81"/>
      <c r="AM105" s="1194">
        <f>IF(OR(Relief_Discharge_Size=0,AM44&gt;0.01,State&lt;&gt;"Vapor"),0,12730*IF(Disk_Relief="Yes",MIN(AM12,AM89),AM89)/(12.2*AM98/(AM9+273)*Relief_Discharge_Size^2))</f>
        <v>0</v>
      </c>
      <c r="AN105" s="81"/>
      <c r="AO105" s="1194">
        <f>IF(OR(Relief_Discharge_Size=0,AO44&gt;0.01,State&lt;&gt;"Vapor"),0,12730*IF(Disk_Relief="Yes",MIN(AO12,AO89),AO89)/(12.2*AO98/(AO9+273)*Relief_Discharge_Size^2))</f>
        <v>0</v>
      </c>
      <c r="AP105" s="81"/>
      <c r="AQ105" s="85" t="s">
        <v>1714</v>
      </c>
      <c r="AR105" s="81"/>
      <c r="AS105" s="83"/>
      <c r="AT105" s="512" t="s">
        <v>5116</v>
      </c>
      <c r="AU105" s="83"/>
      <c r="AV105" s="3000" t="e">
        <f>LN(IF(AV$103&lt;AV$83,IF(LOG(AV$102)&lt;-0.68,83.2,IF(LOG(AV$102)&lt;-0.29,10^(2.16+0.36*LOG(AV$102)),IF(LOG(AV$102)&lt;-0.18,114.8,10^(1.96-0.56*LOG(AV$102)))))*(AV86/Wind)^0.5,1))</f>
        <v>#DIV/0!</v>
      </c>
      <c r="AW105" s="269"/>
      <c r="AX105" s="3000" t="e">
        <f>LN(IF(AX$103&lt;AX$83,IF(LOG(AX$102)&lt;-0.68,83.2,IF(LOG(AX$102)&lt;-0.29,10^(2.16+0.36*LOG(AX$102)),IF(LOG(AX$102)&lt;-0.18,114.8,10^(1.96-0.56*LOG(AX$102)))))*(AX86/Wind)^0.5,1))</f>
        <v>#DIV/0!</v>
      </c>
      <c r="AY105" s="269"/>
      <c r="AZ105" s="3000" t="e">
        <f>LN(IF(AZ$103&lt;AZ$83,IF(LOG(AZ$102)&lt;-0.68,83.2,IF(LOG(AZ$102)&lt;-0.29,10^(2.16+0.36*LOG(AZ$102)),IF(LOG(AZ$102)&lt;-0.18,114.8,10^(1.96-0.56*LOG(AZ$102)))))*(AZ86/Wind)^0.5,1))</f>
        <v>#DIV/0!</v>
      </c>
      <c r="BA105" s="269"/>
      <c r="BB105" s="3000" t="e">
        <f>LN(IF(BB$103&lt;BB$83,IF(LOG(BB$102)&lt;-0.68,83.2,IF(LOG(BB$102)&lt;-0.29,10^(2.16+0.36*LOG(BB$102)),IF(LOG(BB$102)&lt;-0.18,114.8,10^(1.96-0.56*LOG(BB$102)))))*(BB86/Wind)^0.5,1))</f>
        <v>#DIV/0!</v>
      </c>
      <c r="BC105" s="269"/>
      <c r="BD105" s="3000" t="e">
        <f>LN(IF(BD$103&lt;BD$83,IF(LOG(BD$102)&lt;-0.68,83.2,IF(LOG(BD$102)&lt;-0.29,10^(2.16+0.36*LOG(BD$102)),IF(LOG(BD$102)&lt;-0.18,114.8,10^(1.96-0.56*LOG(BD$102)))))*(BD86/Wind)^0.5,1))</f>
        <v>#DIV/0!</v>
      </c>
      <c r="BE105" s="269"/>
      <c r="BF105" s="3000" t="e">
        <f>LN(IF(BF$103&lt;BF$83,IF(LOG(BF$102)&lt;-0.68,83.2,IF(LOG(BF$102)&lt;-0.29,10^(2.16+0.36*LOG(BF$102)),IF(LOG(BF$102)&lt;-0.18,114.8,10^(1.96-0.56*LOG(BF$102)))))*(BF86/Wind)^0.5,1))</f>
        <v>#DIV/0!</v>
      </c>
      <c r="BG105" s="269"/>
      <c r="BH105" s="3000" t="e">
        <f>LN(IF(BH$103&lt;BH$83,IF(LOG(BH$102)&lt;-0.68,83.2,IF(LOG(BH$102)&lt;-0.29,10^(2.16+0.36*LOG(BH$102)),IF(LOG(BH$102)&lt;-0.18,114.8,10^(1.96-0.56*LOG(BH$102)))))*(BH86/Wind)^0.5,1))</f>
        <v>#DIV/0!</v>
      </c>
      <c r="BI105" s="269"/>
      <c r="BJ105" s="3000" t="e">
        <f>LN(IF(BJ$103&lt;BJ$83,IF(LOG(BJ$102)&lt;-0.68,83.2,IF(LOG(BJ$102)&lt;-0.29,10^(2.16+0.36*LOG(BJ$102)),IF(LOG(BJ$102)&lt;-0.18,114.8,10^(1.96-0.56*LOG(BJ$102)))))*(BJ86/Wind)^0.5,1))</f>
        <v>#DIV/0!</v>
      </c>
      <c r="BK105" s="269"/>
      <c r="BL105" s="3000" t="e">
        <f>LN(IF(BL$103&lt;BL$83,IF(LOG(BL$102)&lt;-0.68,83.2,IF(LOG(BL$102)&lt;-0.29,10^(2.16+0.36*LOG(BL$102)),IF(LOG(BL$102)&lt;-0.18,114.8,10^(1.96-0.56*LOG(BL$102)))))*(BL86/Wind)^0.5,1))</f>
        <v>#DIV/0!</v>
      </c>
      <c r="BM105" s="269"/>
      <c r="BN105" s="3000" t="e">
        <f>LN(IF(BN$103&lt;BN$83,IF(LOG(BN$102)&lt;-0.68,83.2,IF(LOG(BN$102)&lt;-0.29,10^(2.16+0.36*LOG(BN$102)),IF(LOG(BN$102)&lt;-0.18,114.8,10^(1.96-0.56*LOG(BN$102)))))*(BN86/Wind)^0.5,1))</f>
        <v>#DIV/0!</v>
      </c>
      <c r="BO105" s="269"/>
      <c r="BP105" s="1835"/>
      <c r="BQ105" s="83"/>
      <c r="BR105" s="81"/>
      <c r="BS105" s="1689" t="s">
        <v>5058</v>
      </c>
      <c r="BT105" s="81"/>
      <c r="BU105" s="2426">
        <f>IF(BU$104&gt;0,(BU$104^2*BU102/Wind^5)^0.2,0)</f>
        <v>0</v>
      </c>
      <c r="BV105" s="81"/>
      <c r="BW105" s="2426">
        <f>IF(BW$104&gt;0,(BW$104^2*BW102/Wind^5)^0.2,0)</f>
        <v>0</v>
      </c>
      <c r="BX105" s="81"/>
      <c r="BY105" s="2426">
        <f>IF(BY$104&gt;0,(BY$104^2*BY102/Wind^5)^0.2,0)</f>
        <v>0</v>
      </c>
      <c r="BZ105" s="81"/>
      <c r="CA105" s="2426">
        <f>IF(CA$104&gt;0,(CA$104^2*CA102/Wind^5)^0.2,0)</f>
        <v>0</v>
      </c>
      <c r="CB105" s="81"/>
      <c r="CC105" s="2426">
        <f>IF(CC$104&gt;0,(CC$104^2*CC102/Wind^5)^0.2,0)</f>
        <v>0</v>
      </c>
      <c r="CD105" s="81"/>
      <c r="CE105" s="23">
        <f>Rupture_Velocity</f>
        <v>0</v>
      </c>
      <c r="CF105" s="81"/>
      <c r="CG105" s="2"/>
      <c r="CH105" s="2977" t="s">
        <v>5112</v>
      </c>
      <c r="CI105" s="83"/>
      <c r="CJ105" s="2089">
        <f>IF(CJ13&lt;&gt;"",-1/INDEX(LINEST(CJ94:CJ103,$CJ$286:$CJ$295),1),0)</f>
        <v>0</v>
      </c>
      <c r="CK105" s="83"/>
      <c r="CL105" s="23"/>
      <c r="CM105" s="83"/>
    </row>
    <row r="106" spans="1:91" ht="15" customHeight="1" thickBot="1" x14ac:dyDescent="0.3">
      <c r="A106" s="2"/>
      <c r="B106" s="1691" t="s">
        <v>5059</v>
      </c>
      <c r="C106" s="83"/>
      <c r="D106" s="3000">
        <f>IF(AND(D$104&gt;0,D$105&gt;0),D$99*0.15^6/D$105^5,1)</f>
        <v>1</v>
      </c>
      <c r="E106" s="83"/>
      <c r="F106" s="3000">
        <f>IF(AND(F$104&gt;0,F$105&gt;0),F$99*0.15^6/F$105^5,1)</f>
        <v>1</v>
      </c>
      <c r="G106" s="83"/>
      <c r="H106" s="3000">
        <f>IF(AND(H$104&gt;0,H$105&gt;0),H$99*0.15^6/H$105^5,1)</f>
        <v>1</v>
      </c>
      <c r="I106" s="83"/>
      <c r="J106" s="3000">
        <f>IF(AND(J$104&gt;0,J$105&gt;0),J$99*0.15^6/J$105^5,1)</f>
        <v>1</v>
      </c>
      <c r="K106" s="83"/>
      <c r="L106" s="3000">
        <f>IF(AND(L$104&gt;0,L$105&gt;0),L$99*0.15^6/L$105^5,1)</f>
        <v>1</v>
      </c>
      <c r="M106" s="83"/>
      <c r="N106" s="3000">
        <f>IF(AND(N$104&gt;0,N$105&gt;0),N$99*0.15^6/N$105^5,1)</f>
        <v>1</v>
      </c>
      <c r="O106" s="83"/>
      <c r="P106" s="3000">
        <f>IF(AND(P$104&gt;0,P$105&gt;0),P$99*0.15^6/P$105^5,1)</f>
        <v>1</v>
      </c>
      <c r="Q106" s="83"/>
      <c r="R106" s="3000">
        <f>IF(AND(R$104&gt;0,R$105&gt;0),R$99*0.15^6/R$105^5,1)</f>
        <v>1</v>
      </c>
      <c r="S106" s="83"/>
      <c r="T106" s="3000">
        <f>IF(AND(T$104&gt;0,T$105&gt;0),T$99*0.15^6/T$105^5,1)</f>
        <v>1</v>
      </c>
      <c r="U106" s="83"/>
      <c r="V106" s="3000">
        <f>IF(AND(V$104&gt;0,V$105&gt;0),V$99*0.15^6/V$105^5,1)</f>
        <v>1</v>
      </c>
      <c r="W106" s="83"/>
      <c r="X106" s="3000">
        <f>IF(AND(X$104&gt;0,X$105&gt;0),X$99*0.15^6/X$105^5,1)</f>
        <v>1</v>
      </c>
      <c r="Y106" s="83"/>
      <c r="Z106" s="85" t="s">
        <v>3543</v>
      </c>
      <c r="AA106" s="83"/>
      <c r="AB106" s="81"/>
      <c r="AC106" s="851" t="s">
        <v>2680</v>
      </c>
      <c r="AD106" s="81"/>
      <c r="AE106" s="2991">
        <f>IF(State="Vapor",IF(400/(12.2*AE98/(AE9+273))^0.5&lt;AE105,400/(12.2*AE98/(AE9+273))^0.5,AE105),0)</f>
        <v>0</v>
      </c>
      <c r="AF106" s="81"/>
      <c r="AG106" s="2991">
        <f>IF(State="Vapor",IF(400/(12.2*AG98/(AG9+273))^0.5&lt;AG105,400/(12.2*AG98/(AG9+273))^0.5,AG105),0)</f>
        <v>0</v>
      </c>
      <c r="AH106" s="81"/>
      <c r="AI106" s="2991">
        <f>IF(State="Vapor",IF(400/(12.2*AI98/(AI9+273))^0.5&lt;AI105,400/(12.2*AI98/(AI9+273))^0.5,AI105),0)</f>
        <v>0</v>
      </c>
      <c r="AJ106" s="81"/>
      <c r="AK106" s="2991">
        <f>IF(State="Vapor",IF(400/(12.2*AK98/(AK9+273))^0.5&lt;AK105,400/(12.2*AK98/(AK9+273))^0.5,AK105),0)</f>
        <v>0</v>
      </c>
      <c r="AL106" s="81"/>
      <c r="AM106" s="2991">
        <f>IF(State="Vapor",IF(400/(12.2*AM98/(AM9+273))^0.5&lt;AM105,400/(12.2*AM98/(AM9+273))^0.5,AM105),0)</f>
        <v>0</v>
      </c>
      <c r="AN106" s="81"/>
      <c r="AO106" s="2991">
        <f>IF(State="Vapor",IF(400/(12.2*AO98/(AO9+273))^0.5&lt;AO105,400/(12.2*AO98/(AO9+273))^0.5,AO105),0)</f>
        <v>0</v>
      </c>
      <c r="AP106" s="81"/>
      <c r="AQ106" s="85" t="s">
        <v>1714</v>
      </c>
      <c r="AR106" s="81"/>
      <c r="AS106" s="83"/>
      <c r="AT106" s="512" t="s">
        <v>5117</v>
      </c>
      <c r="AU106" s="83"/>
      <c r="AV106" s="3000" t="e">
        <f>LN(IF(AV$103&lt;AV$83,IF(LOG(AV$102)&lt;-0.69,120.2,IF(LOG(AV$102)&lt;-0.31,10^(2.39+0.45*LOG(AV$102)),IF(LOG(AV$102)&lt;-0.16,177.8,10^(2.16-0.54*LOG(AV$102)))))*(AV86/Wind)^0.5,1))</f>
        <v>#DIV/0!</v>
      </c>
      <c r="AW106" s="269"/>
      <c r="AX106" s="3000" t="e">
        <f>LN(IF(AX$103&lt;AX$83,IF(LOG(AX$102)&lt;-0.69,120.2,IF(LOG(AX$102)&lt;-0.31,10^(2.39+0.45*LOG(AX$102)),IF(LOG(AX$102)&lt;-0.16,177.8,10^(2.16-0.54*LOG(AX$102)))))*(AX86/Wind)^0.5,1))</f>
        <v>#DIV/0!</v>
      </c>
      <c r="AY106" s="269"/>
      <c r="AZ106" s="3000" t="e">
        <f>LN(IF(AZ$103&lt;AZ$83,IF(LOG(AZ$102)&lt;-0.69,120.2,IF(LOG(AZ$102)&lt;-0.31,10^(2.39+0.45*LOG(AZ$102)),IF(LOG(AZ$102)&lt;-0.16,177.8,10^(2.16-0.54*LOG(AZ$102)))))*(AZ86/Wind)^0.5,1))</f>
        <v>#DIV/0!</v>
      </c>
      <c r="BA106" s="269"/>
      <c r="BB106" s="3000" t="e">
        <f>LN(IF(BB$103&lt;BB$83,IF(LOG(BB$102)&lt;-0.69,120.2,IF(LOG(BB$102)&lt;-0.31,10^(2.39+0.45*LOG(BB$102)),IF(LOG(BB$102)&lt;-0.16,177.8,10^(2.16-0.54*LOG(BB$102)))))*(BB86/Wind)^0.5,1))</f>
        <v>#DIV/0!</v>
      </c>
      <c r="BC106" s="269"/>
      <c r="BD106" s="3000" t="e">
        <f>LN(IF(BD$103&lt;BD$83,IF(LOG(BD$102)&lt;-0.69,120.2,IF(LOG(BD$102)&lt;-0.31,10^(2.39+0.45*LOG(BD$102)),IF(LOG(BD$102)&lt;-0.16,177.8,10^(2.16-0.54*LOG(BD$102)))))*(BD86/Wind)^0.5,1))</f>
        <v>#DIV/0!</v>
      </c>
      <c r="BE106" s="269"/>
      <c r="BF106" s="3000" t="e">
        <f>LN(IF(BF$103&lt;BF$83,IF(LOG(BF$102)&lt;-0.69,120.2,IF(LOG(BF$102)&lt;-0.31,10^(2.39+0.45*LOG(BF$102)),IF(LOG(BF$102)&lt;-0.16,177.8,10^(2.16-0.54*LOG(BF$102)))))*(BF86/Wind)^0.5,1))</f>
        <v>#DIV/0!</v>
      </c>
      <c r="BG106" s="269"/>
      <c r="BH106" s="3000" t="e">
        <f>LN(IF(BH$103&lt;BH$83,IF(LOG(BH$102)&lt;-0.69,120.2,IF(LOG(BH$102)&lt;-0.31,10^(2.39+0.45*LOG(BH$102)),IF(LOG(BH$102)&lt;-0.16,177.8,10^(2.16-0.54*LOG(BH$102)))))*(BH86/Wind)^0.5,1))</f>
        <v>#DIV/0!</v>
      </c>
      <c r="BI106" s="269"/>
      <c r="BJ106" s="3000" t="e">
        <f>LN(IF(BJ$103&lt;BJ$83,IF(LOG(BJ$102)&lt;-0.69,120.2,IF(LOG(BJ$102)&lt;-0.31,10^(2.39+0.45*LOG(BJ$102)),IF(LOG(BJ$102)&lt;-0.16,177.8,10^(2.16-0.54*LOG(BJ$102)))))*(BJ86/Wind)^0.5,1))</f>
        <v>#DIV/0!</v>
      </c>
      <c r="BK106" s="269"/>
      <c r="BL106" s="3000" t="e">
        <f>LN(IF(BL$103&lt;BL$83,IF(LOG(BL$102)&lt;-0.69,120.2,IF(LOG(BL$102)&lt;-0.31,10^(2.39+0.45*LOG(BL$102)),IF(LOG(BL$102)&lt;-0.16,177.8,10^(2.16-0.54*LOG(BL$102)))))*(BL86/Wind)^0.5,1))</f>
        <v>#DIV/0!</v>
      </c>
      <c r="BM106" s="269"/>
      <c r="BN106" s="3000" t="e">
        <f>LN(IF(BN$103&lt;BN$83,IF(LOG(BN$102)&lt;-0.69,120.2,IF(LOG(BN$102)&lt;-0.31,10^(2.39+0.45*LOG(BN$102)),IF(LOG(BN$102)&lt;-0.16,177.8,10^(2.16-0.54*LOG(BN$102)))))*(BN86/Wind)^0.5,1))</f>
        <v>#DIV/0!</v>
      </c>
      <c r="BO106" s="269"/>
      <c r="BP106" s="1835"/>
      <c r="BQ106" s="83"/>
      <c r="BR106" s="81"/>
      <c r="BS106" s="1691" t="s">
        <v>5059</v>
      </c>
      <c r="BT106" s="81"/>
      <c r="BU106" s="3000">
        <f>IF(AND(BU$104&gt;0,BU$105&gt;0),BU$99*0.15^6/BU$105^5,1)</f>
        <v>1</v>
      </c>
      <c r="BV106" s="81"/>
      <c r="BW106" s="3000">
        <f>IF(AND(BW$104&gt;0,BW$105&gt;0),BW$99*0.15^6/BW$105^5,1)</f>
        <v>1</v>
      </c>
      <c r="BX106" s="81"/>
      <c r="BY106" s="3000">
        <f>IF(AND(BY$104&gt;0,BY$105&gt;0),BY$99*0.15^6/BY$105^5,1)</f>
        <v>1</v>
      </c>
      <c r="BZ106" s="81"/>
      <c r="CA106" s="3000">
        <f>IF(AND(CA$104&gt;0,CA$105&gt;0),CA$99*0.15^6/CA$105^5,1)</f>
        <v>1</v>
      </c>
      <c r="CB106" s="81"/>
      <c r="CC106" s="3000">
        <f>IF(AND(CC$104&gt;0,CC$105&gt;0),CC$99*0.15^6/CC$105^5,1)</f>
        <v>1</v>
      </c>
      <c r="CD106" s="81"/>
      <c r="CE106" s="23"/>
      <c r="CF106" s="81"/>
      <c r="CG106" s="2"/>
      <c r="CH106" s="2976" t="s">
        <v>5124</v>
      </c>
      <c r="CI106" s="83"/>
      <c r="CJ106" s="2105">
        <f>IF(CJ13&lt;&gt;"",CJ104*(CJ13/(Wind_Night*CJ20*CJ$27))^CJ105,0)</f>
        <v>0</v>
      </c>
      <c r="CK106" s="83"/>
      <c r="CL106" s="23"/>
      <c r="CM106" s="83"/>
    </row>
    <row r="107" spans="1:91" ht="15" customHeight="1" x14ac:dyDescent="0.25">
      <c r="A107" s="2"/>
      <c r="B107" s="512" t="s">
        <v>5115</v>
      </c>
      <c r="C107" s="83"/>
      <c r="D107" s="3000">
        <f>LN(IF(D$106&lt;D$99,IF(LOG(D$105)&lt;-0.55,56.2,IF(LOG(D$105)&lt;-0.14,10^(1.88+0.24*LOG(D$105)),10^(1.78-0.5*LOG(D$105))))*(D102/Wind)^0.5,1))</f>
        <v>0</v>
      </c>
      <c r="E107" s="83"/>
      <c r="F107" s="3000">
        <f>LN(IF(F$106&lt;F$99,IF(LOG(F$105)&lt;-0.55,56.2,IF(LOG(F$105)&lt;-0.14,10^(1.88+0.24*LOG(F$105)),10^(1.78-0.5*LOG(F$105))))*(F102/Wind)^0.5,1))</f>
        <v>0</v>
      </c>
      <c r="G107" s="83"/>
      <c r="H107" s="3000">
        <f>LN(IF(H$106&lt;H$99,IF(LOG(H$105)&lt;-0.55,56.2,IF(LOG(H$105)&lt;-0.14,10^(1.88+0.24*LOG(H$105)),10^(1.78-0.5*LOG(H$105))))*(H102/Wind)^0.5,1))</f>
        <v>0</v>
      </c>
      <c r="I107" s="83"/>
      <c r="J107" s="3000">
        <f>LN(IF(J$106&lt;J$99,IF(LOG(J$105)&lt;-0.55,56.2,IF(LOG(J$105)&lt;-0.14,10^(1.88+0.24*LOG(J$105)),10^(1.78-0.5*LOG(J$105))))*(J102/Wind)^0.5,1))</f>
        <v>0</v>
      </c>
      <c r="K107" s="83"/>
      <c r="L107" s="3000">
        <f>LN(IF(L$106&lt;L$99,IF(LOG(L$105)&lt;-0.55,56.2,IF(LOG(L$105)&lt;-0.14,10^(1.88+0.24*LOG(L$105)),10^(1.78-0.5*LOG(L$105))))*(L102/Wind)^0.5,1))</f>
        <v>0</v>
      </c>
      <c r="M107" s="83"/>
      <c r="N107" s="3000">
        <f>LN(IF(N$106&lt;N$99,IF(LOG(N$105)&lt;-0.55,56.2,IF(LOG(N$105)&lt;-0.14,10^(1.88+0.24*LOG(N$105)),10^(1.78-0.5*LOG(N$105))))*(N102/Wind)^0.5,1))</f>
        <v>0</v>
      </c>
      <c r="O107" s="83"/>
      <c r="P107" s="3000">
        <f>LN(IF(P$106&lt;P$99,IF(LOG(P$105)&lt;-0.55,56.2,IF(LOG(P$105)&lt;-0.14,10^(1.88+0.24*LOG(P$105)),10^(1.78-0.5*LOG(P$105))))*(P102/Wind)^0.5,1))</f>
        <v>0</v>
      </c>
      <c r="Q107" s="83"/>
      <c r="R107" s="3000">
        <f>LN(IF(R$106&lt;R$99,IF(LOG(R$105)&lt;-0.55,56.2,IF(LOG(R$105)&lt;-0.14,10^(1.88+0.24*LOG(R$105)),10^(1.78-0.5*LOG(R$105))))*(R102/Wind)^0.5,1))</f>
        <v>0</v>
      </c>
      <c r="S107" s="83"/>
      <c r="T107" s="3000">
        <f>LN(IF(T$106&lt;T$99,IF(LOG(T$105)&lt;-0.55,56.2,IF(LOG(T$105)&lt;-0.14,10^(1.88+0.24*LOG(T$105)),10^(1.78-0.5*LOG(T$105))))*(T102/Wind)^0.5,1))</f>
        <v>0</v>
      </c>
      <c r="U107" s="83"/>
      <c r="V107" s="3000">
        <f>LN(IF(V$106&lt;V$99,IF(LOG(V$105)&lt;-0.55,56.2,IF(LOG(V$105)&lt;-0.14,10^(1.88+0.24*LOG(V$105)),10^(1.78-0.5*LOG(V$105))))*(V102/Wind)^0.5,1))</f>
        <v>0</v>
      </c>
      <c r="W107" s="83"/>
      <c r="X107" s="3000">
        <f>LN(IF(X$106&lt;X$99,IF(LOG(X$105)&lt;-0.55,56.2,IF(LOG(X$105)&lt;-0.14,10^(1.88+0.24*LOG(X$105)),10^(1.78-0.5*LOG(X$105))))*(X102/Wind)^0.5,1))</f>
        <v>0</v>
      </c>
      <c r="Y107" s="83"/>
      <c r="Z107" s="2987"/>
      <c r="AA107" s="83"/>
      <c r="AB107" s="81"/>
      <c r="AC107" s="3297" t="s">
        <v>3812</v>
      </c>
      <c r="AD107" s="81"/>
      <c r="AE107" s="2123">
        <f>MIN(IF(MIN(AE105,AE106)&gt;Wind,Air_Dens*(Wind/MIN(AE105,AE106))/(12.2*AE98/(AE9+273)),1),0.999)</f>
        <v>0.999</v>
      </c>
      <c r="AF107" s="81"/>
      <c r="AG107" s="2123">
        <f>MIN(IF(MIN(AG105,AG106)&gt;Wind,Air_Dens*(Wind/MIN(AG105,AG106))/(12.2*AG98/(AG9+273)),1),0.999)</f>
        <v>0.999</v>
      </c>
      <c r="AH107" s="81"/>
      <c r="AI107" s="2123">
        <f>MIN(IF(MIN(AI105,AI106)&gt;Wind,Air_Dens*(Wind/MIN(AI105,AI106))/(12.2*AI98/(AI9+273)),1),0.999)</f>
        <v>0.999</v>
      </c>
      <c r="AJ107" s="81"/>
      <c r="AK107" s="2123">
        <f>MIN(IF(MIN(AK105,AK106)&gt;Wind,Air_Dens*(Wind/MIN(AK105,AK106))/(12.2*AK98/(AK9+273)),1),0.999)</f>
        <v>0.999</v>
      </c>
      <c r="AL107" s="81"/>
      <c r="AM107" s="2123">
        <f>MIN(IF(MIN(AM105,AM106)&gt;Wind,Air_Dens*(Wind/MIN(AM105,AM106))/(12.2*AM98/(AM9+273)),1),0.999)</f>
        <v>0.999</v>
      </c>
      <c r="AN107" s="81"/>
      <c r="AO107" s="2123">
        <f>MIN(IF(MIN(AO105,AO106)&gt;Wind,Air_Dens*(Wind/MIN(AO105,AO106))/(12.2*AO98/(AO9+273)),1),0.999)</f>
        <v>0.999</v>
      </c>
      <c r="AP107" s="81"/>
      <c r="AQ107" s="85" t="s">
        <v>3813</v>
      </c>
      <c r="AR107" s="81"/>
      <c r="AS107" s="83"/>
      <c r="AT107" s="512" t="s">
        <v>5118</v>
      </c>
      <c r="AU107" s="83"/>
      <c r="AV107" s="3000" t="e">
        <f>LN(IF(AV$103&lt;AV$83,IF(LOG(AV$102)&lt;-0.7,177.8,IF(LOG(AV$102)&lt;-0.29,10^(2.59+0.49*LOG(AV$102)),IF(LOG(AV$102)&lt;-0.2,281.8,10^(2.35-0.52*LOG(AV$102)))))*(AV86/Wind)^0.5,1))</f>
        <v>#DIV/0!</v>
      </c>
      <c r="AW107" s="269"/>
      <c r="AX107" s="3000" t="e">
        <f>LN(IF(AX$103&lt;AX$83,IF(LOG(AX$102)&lt;-0.7,177.8,IF(LOG(AX$102)&lt;-0.29,10^(2.59+0.49*LOG(AX$102)),IF(LOG(AX$102)&lt;-0.2,281.8,10^(2.35-0.52*LOG(AX$102)))))*(AX86/Wind)^0.5,1))</f>
        <v>#DIV/0!</v>
      </c>
      <c r="AY107" s="269"/>
      <c r="AZ107" s="3000" t="e">
        <f>LN(IF(AZ$103&lt;AZ$83,IF(LOG(AZ$102)&lt;-0.7,177.8,IF(LOG(AZ$102)&lt;-0.29,10^(2.59+0.49*LOG(AZ$102)),IF(LOG(AZ$102)&lt;-0.2,281.8,10^(2.35-0.52*LOG(AZ$102)))))*(AZ86/Wind)^0.5,1))</f>
        <v>#DIV/0!</v>
      </c>
      <c r="BA107" s="269"/>
      <c r="BB107" s="3000" t="e">
        <f>LN(IF(BB$103&lt;BB$83,IF(LOG(BB$102)&lt;-0.7,177.8,IF(LOG(BB$102)&lt;-0.29,10^(2.59+0.49*LOG(BB$102)),IF(LOG(BB$102)&lt;-0.2,281.8,10^(2.35-0.52*LOG(BB$102)))))*(BB86/Wind)^0.5,1))</f>
        <v>#DIV/0!</v>
      </c>
      <c r="BC107" s="269"/>
      <c r="BD107" s="3000" t="e">
        <f>LN(IF(BD$103&lt;BD$83,IF(LOG(BD$102)&lt;-0.7,177.8,IF(LOG(BD$102)&lt;-0.29,10^(2.59+0.49*LOG(BD$102)),IF(LOG(BD$102)&lt;-0.2,281.8,10^(2.35-0.52*LOG(BD$102)))))*(BD86/Wind)^0.5,1))</f>
        <v>#DIV/0!</v>
      </c>
      <c r="BE107" s="269"/>
      <c r="BF107" s="3000" t="e">
        <f>LN(IF(BF$103&lt;BF$83,IF(LOG(BF$102)&lt;-0.7,177.8,IF(LOG(BF$102)&lt;-0.29,10^(2.59+0.49*LOG(BF$102)),IF(LOG(BF$102)&lt;-0.2,281.8,10^(2.35-0.52*LOG(BF$102)))))*(BF86/Wind)^0.5,1))</f>
        <v>#DIV/0!</v>
      </c>
      <c r="BG107" s="269"/>
      <c r="BH107" s="3000" t="e">
        <f>LN(IF(BH$103&lt;BH$83,IF(LOG(BH$102)&lt;-0.7,177.8,IF(LOG(BH$102)&lt;-0.29,10^(2.59+0.49*LOG(BH$102)),IF(LOG(BH$102)&lt;-0.2,281.8,10^(2.35-0.52*LOG(BH$102)))))*(BH86/Wind)^0.5,1))</f>
        <v>#DIV/0!</v>
      </c>
      <c r="BI107" s="269"/>
      <c r="BJ107" s="3000" t="e">
        <f>LN(IF(BJ$103&lt;BJ$83,IF(LOG(BJ$102)&lt;-0.7,177.8,IF(LOG(BJ$102)&lt;-0.29,10^(2.59+0.49*LOG(BJ$102)),IF(LOG(BJ$102)&lt;-0.2,281.8,10^(2.35-0.52*LOG(BJ$102)))))*(BJ86/Wind)^0.5,1))</f>
        <v>#DIV/0!</v>
      </c>
      <c r="BK107" s="269"/>
      <c r="BL107" s="3000" t="e">
        <f>LN(IF(BL$103&lt;BL$83,IF(LOG(BL$102)&lt;-0.7,177.8,IF(LOG(BL$102)&lt;-0.29,10^(2.59+0.49*LOG(BL$102)),IF(LOG(BL$102)&lt;-0.2,281.8,10^(2.35-0.52*LOG(BL$102)))))*(BL86/Wind)^0.5,1))</f>
        <v>#DIV/0!</v>
      </c>
      <c r="BM107" s="269"/>
      <c r="BN107" s="3000" t="e">
        <f>LN(IF(BN$103&lt;BN$83,IF(LOG(BN$102)&lt;-0.7,177.8,IF(LOG(BN$102)&lt;-0.29,10^(2.59+0.49*LOG(BN$102)),IF(LOG(BN$102)&lt;-0.2,281.8,10^(2.35-0.52*LOG(BN$102)))))*(BN86/Wind)^0.5,1))</f>
        <v>#DIV/0!</v>
      </c>
      <c r="BO107" s="269"/>
      <c r="BP107" s="1835"/>
      <c r="BQ107" s="83"/>
      <c r="BR107" s="81"/>
      <c r="BS107" s="512" t="s">
        <v>5115</v>
      </c>
      <c r="BT107" s="81"/>
      <c r="BU107" s="3000">
        <f>LN(IF(BU$106&lt;BU$99,IF(LOG(BU$105)&lt;-0.55,56.2,IF(LOG(BU$105)&lt;-0.14,10^(1.88+0.24*LOG(BU$105)),10^(1.78-0.5*LOG(BU$105))))*(BU102/Wind)^0.5,1))</f>
        <v>0</v>
      </c>
      <c r="BV107" s="81"/>
      <c r="BW107" s="3000">
        <f>LN(IF(BW$106&lt;BW$99,IF(LOG(BW$105)&lt;-0.55,56.2,IF(LOG(BW$105)&lt;-0.14,10^(1.88+0.24*LOG(BW$105)),10^(1.78-0.5*LOG(BW$105))))*(BW102/Wind)^0.5,1))</f>
        <v>0</v>
      </c>
      <c r="BX107" s="81"/>
      <c r="BY107" s="3000">
        <f>LN(IF(BY$106&lt;BY$99,IF(LOG(BY$105)&lt;-0.55,56.2,IF(LOG(BY$105)&lt;-0.14,10^(1.88+0.24*LOG(BY$105)),10^(1.78-0.5*LOG(BY$105))))*(BY102/Wind)^0.5,1))</f>
        <v>0</v>
      </c>
      <c r="BZ107" s="81"/>
      <c r="CA107" s="3000">
        <f>LN(IF(CA$106&lt;CA$99,IF(LOG(CA$105)&lt;-0.55,56.2,IF(LOG(CA$105)&lt;-0.14,10^(1.88+0.24*LOG(CA$105)),10^(1.78-0.5*LOG(CA$105))))*(CA102/Wind)^0.5,1))</f>
        <v>0</v>
      </c>
      <c r="CB107" s="81"/>
      <c r="CC107" s="3000">
        <f>LN(IF(CC$106&lt;CC$99,IF(LOG(CC$105)&lt;-0.55,56.2,IF(LOG(CC$105)&lt;-0.14,10^(1.88+0.24*LOG(CC$105)),10^(1.78-0.5*LOG(CC$105))))*(CC102/Wind)^0.5,1))</f>
        <v>0</v>
      </c>
      <c r="CD107" s="81"/>
      <c r="CE107" s="23"/>
      <c r="CF107" s="81"/>
      <c r="CG107" s="2"/>
      <c r="CH107" s="1691" t="s">
        <v>5064</v>
      </c>
      <c r="CI107" s="83"/>
      <c r="CJ107" s="1288">
        <f>IF(AND(CJ16&lt;&gt;"",CJ29&gt;0),(CJ29*(CJ16/CJ28)^0.333/Wind_Night^2)^0.5,0)</f>
        <v>0</v>
      </c>
      <c r="CK107" s="83"/>
      <c r="CL107" s="23"/>
      <c r="CM107" s="83"/>
    </row>
    <row r="108" spans="1:91" ht="15" customHeight="1" x14ac:dyDescent="0.25">
      <c r="A108" s="2"/>
      <c r="B108" s="512" t="s">
        <v>5116</v>
      </c>
      <c r="C108" s="83"/>
      <c r="D108" s="3000">
        <f>LN(IF(D$106&lt;D$99,IF(LOG(D$105)&lt;-0.68,83.2,IF(LOG(D$105)&lt;-0.29,10^(2.16+0.36*LOG(D$105)),IF(LOG(D$105)&lt;-0.18,114.8,10^(1.96-0.56*LOG(D$105)))))*(D102/Wind)^0.5,1))</f>
        <v>0</v>
      </c>
      <c r="E108" s="83"/>
      <c r="F108" s="3000">
        <f>LN(IF(F$106&lt;F$99,IF(LOG(F$105)&lt;-0.68,83.2,IF(LOG(F$105)&lt;-0.29,10^(2.16+0.36*LOG(F$105)),IF(LOG(F$105)&lt;-0.18,114.8,10^(1.96-0.56*LOG(F$105)))))*(F102/Wind)^0.5,1))</f>
        <v>0</v>
      </c>
      <c r="G108" s="83"/>
      <c r="H108" s="3000">
        <f>LN(IF(H$106&lt;H$99,IF(LOG(H$105)&lt;-0.68,83.2,IF(LOG(H$105)&lt;-0.29,10^(2.16+0.36*LOG(H$105)),IF(LOG(H$105)&lt;-0.18,114.8,10^(1.96-0.56*LOG(H$105)))))*(H102/Wind)^0.5,1))</f>
        <v>0</v>
      </c>
      <c r="I108" s="83"/>
      <c r="J108" s="3000">
        <f>LN(IF(J$106&lt;J$99,IF(LOG(J$105)&lt;-0.68,83.2,IF(LOG(J$105)&lt;-0.29,10^(2.16+0.36*LOG(J$105)),IF(LOG(J$105)&lt;-0.18,114.8,10^(1.96-0.56*LOG(J$105)))))*(J102/Wind)^0.5,1))</f>
        <v>0</v>
      </c>
      <c r="K108" s="83"/>
      <c r="L108" s="3000">
        <f>LN(IF(L$106&lt;L$99,IF(LOG(L$105)&lt;-0.68,83.2,IF(LOG(L$105)&lt;-0.29,10^(2.16+0.36*LOG(L$105)),IF(LOG(L$105)&lt;-0.18,114.8,10^(1.96-0.56*LOG(L$105)))))*(L102/Wind)^0.5,1))</f>
        <v>0</v>
      </c>
      <c r="M108" s="83"/>
      <c r="N108" s="3000">
        <f>LN(IF(N$106&lt;N$99,IF(LOG(N$105)&lt;-0.68,83.2,IF(LOG(N$105)&lt;-0.29,10^(2.16+0.36*LOG(N$105)),IF(LOG(N$105)&lt;-0.18,114.8,10^(1.96-0.56*LOG(N$105)))))*(N102/Wind)^0.5,1))</f>
        <v>0</v>
      </c>
      <c r="O108" s="83"/>
      <c r="P108" s="3000">
        <f>LN(IF(P$106&lt;P$99,IF(LOG(P$105)&lt;-0.68,83.2,IF(LOG(P$105)&lt;-0.29,10^(2.16+0.36*LOG(P$105)),IF(LOG(P$105)&lt;-0.18,114.8,10^(1.96-0.56*LOG(P$105)))))*(P102/Wind)^0.5,1))</f>
        <v>0</v>
      </c>
      <c r="Q108" s="83"/>
      <c r="R108" s="3000">
        <f>LN(IF(R$106&lt;R$99,IF(LOG(R$105)&lt;-0.68,83.2,IF(LOG(R$105)&lt;-0.29,10^(2.16+0.36*LOG(R$105)),IF(LOG(R$105)&lt;-0.18,114.8,10^(1.96-0.56*LOG(R$105)))))*(R102/Wind)^0.5,1))</f>
        <v>0</v>
      </c>
      <c r="S108" s="83"/>
      <c r="T108" s="3000">
        <f>LN(IF(T$106&lt;T$99,IF(LOG(T$105)&lt;-0.68,83.2,IF(LOG(T$105)&lt;-0.29,10^(2.16+0.36*LOG(T$105)),IF(LOG(T$105)&lt;-0.18,114.8,10^(1.96-0.56*LOG(T$105)))))*(T102/Wind)^0.5,1))</f>
        <v>0</v>
      </c>
      <c r="U108" s="83"/>
      <c r="V108" s="3000">
        <f>LN(IF(V$106&lt;V$99,IF(LOG(V$105)&lt;-0.68,83.2,IF(LOG(V$105)&lt;-0.29,10^(2.16+0.36*LOG(V$105)),IF(LOG(V$105)&lt;-0.18,114.8,10^(1.96-0.56*LOG(V$105)))))*(V102/Wind)^0.5,1))</f>
        <v>0</v>
      </c>
      <c r="W108" s="83"/>
      <c r="X108" s="3000">
        <f>LN(IF(X$106&lt;X$99,IF(LOG(X$105)&lt;-0.68,83.2,IF(LOG(X$105)&lt;-0.29,10^(2.16+0.36*LOG(X$105)),IF(LOG(X$105)&lt;-0.18,114.8,10^(1.96-0.56*LOG(X$105)))))*(X102/Wind)^0.5,1))</f>
        <v>0</v>
      </c>
      <c r="Y108" s="83"/>
      <c r="Z108" s="2987"/>
      <c r="AA108" s="83"/>
      <c r="AB108" s="81"/>
      <c r="AC108" s="851" t="s">
        <v>5230</v>
      </c>
      <c r="AD108" s="81"/>
      <c r="AE108" s="3029">
        <f>IF(OR(AE98=0,AE105=0),0,IF(OR(Relief_Discharge_Location="Vent Header to Blow-down Tank",Relief_Discharge_Location="Scrubber or Containment",Relief_Discharge_Location="Flare or Incinerator"),1,0.03125*Relief_Discharge_Size*IF(AND(AE105&gt;AE106,AE106&gt;0),(AE105/AE106)^0.5,1)*(AE106/Wind)*(12.2*AE98/(AE9+273)/Air_Dens)^0.5))</f>
        <v>0</v>
      </c>
      <c r="AF108" s="81"/>
      <c r="AG108" s="3029">
        <f>IF(OR(AG98=0,AG105=0),0,IF(OR(Relief_Discharge_Location="Vent Header to Blow-down Tank",Relief_Discharge_Location="Scrubber or Containment",Relief_Discharge_Location="Flare or Incinerator"),1,0.03125*Relief_Discharge_Size*IF(AND(AG105&gt;AG106,AG106&gt;0),(AG105/AG106)^0.5,1)*(AG106/Wind)*(12.2*AG98/(AG9+273)/Air_Dens)^0.5))</f>
        <v>0</v>
      </c>
      <c r="AH108" s="81"/>
      <c r="AI108" s="3029">
        <f>IF(OR(AI98=0,AI105=0),0,IF(OR(Relief_Discharge_Location="Vent Header to Blow-down Tank",Relief_Discharge_Location="Scrubber or Containment",Relief_Discharge_Location="Flare or Incinerator"),1,0.03125*Relief_Discharge_Size*IF(AND(AI105&gt;AI106,AI106&gt;0),(AI105/AI106)^0.5,1)*(AI106/Wind)*(12.2*AI98/(AI9+273)/Air_Dens)^0.5))</f>
        <v>0</v>
      </c>
      <c r="AJ108" s="81"/>
      <c r="AK108" s="3029">
        <f>IF(OR(AK98=0,AK105=0),0,IF(OR(Relief_Discharge_Location="Vent Header to Blow-down Tank",Relief_Discharge_Location="Scrubber or Containment",Relief_Discharge_Location="Flare or Incinerator"),1,0.03125*Relief_Discharge_Size*IF(AND(AK105&gt;AK106,AK106&gt;0),(AK105/AK106)^0.5,1)*(AK106/Wind)*(12.2*AK98/(AK9+273)/Air_Dens)^0.5))</f>
        <v>0</v>
      </c>
      <c r="AL108" s="81"/>
      <c r="AM108" s="3029">
        <f>IF(OR(AM98=0,AM105=0),0,IF(OR(Relief_Discharge_Location="Vent Header to Blow-down Tank",Relief_Discharge_Location="Scrubber or Containment",Relief_Discharge_Location="Flare or Incinerator"),1,0.03125*Relief_Discharge_Size*IF(AND(AM105&gt;AM106,AM106&gt;0),(AM105/AM106)^0.5,1)*(AM106/Wind)*(12.2*AM98/(AM9+273)/Air_Dens)^0.5))</f>
        <v>0</v>
      </c>
      <c r="AN108" s="81"/>
      <c r="AO108" s="3029">
        <f>IF(OR(AO98=0,AO105=0),0,IF(OR(Relief_Discharge_Location="Vent Header to Blow-down Tank",Relief_Discharge_Location="Scrubber or Containment",Relief_Discharge_Location="Flare or Incinerator"),1,0.03125*Relief_Discharge_Size*IF(AND(AO105&gt;AO106,AO106&gt;0),(AO105/AO106)^0.5,1)*(AO106/Wind)*(12.2*AO98/(AO9+273)/Air_Dens)^0.5))</f>
        <v>0</v>
      </c>
      <c r="AP108" s="81"/>
      <c r="AQ108" s="85" t="s">
        <v>1068</v>
      </c>
      <c r="AR108" s="81"/>
      <c r="AS108" s="83"/>
      <c r="AT108" s="512" t="s">
        <v>5119</v>
      </c>
      <c r="AU108" s="83"/>
      <c r="AV108" s="3000" t="e">
        <f>LN(IF(AV$103&lt;AV$83,IF(LOG(AV$102)&lt;-0.67,251.2,IF(LOG(AV$102)&lt;-0.28,10^(2.8+0.59*LOG(AV$102)),IF(LOG(AV$102)&lt;-0.15,426.6,10^(2.56-0.49*LOG(AV$102)))))*(AV86/Wind)^0.5,1))</f>
        <v>#DIV/0!</v>
      </c>
      <c r="AW108" s="269"/>
      <c r="AX108" s="3000" t="e">
        <f>LN(IF(AX$103&lt;AX$83,IF(LOG(AX$102)&lt;-0.67,251.2,IF(LOG(AX$102)&lt;-0.28,10^(2.8+0.59*LOG(AX$102)),IF(LOG(AX$102)&lt;-0.15,426.6,10^(2.56-0.49*LOG(AX$102)))))*(AX86/Wind)^0.5,1))</f>
        <v>#DIV/0!</v>
      </c>
      <c r="AY108" s="269"/>
      <c r="AZ108" s="3000" t="e">
        <f>LN(IF(AZ$103&lt;AZ$83,IF(LOG(AZ$102)&lt;-0.67,251.2,IF(LOG(AZ$102)&lt;-0.28,10^(2.8+0.59*LOG(AZ$102)),IF(LOG(AZ$102)&lt;-0.15,426.6,10^(2.56-0.49*LOG(AZ$102)))))*(AZ86/Wind)^0.5,1))</f>
        <v>#DIV/0!</v>
      </c>
      <c r="BA108" s="269"/>
      <c r="BB108" s="3000" t="e">
        <f>LN(IF(BB$103&lt;BB$83,IF(LOG(BB$102)&lt;-0.67,251.2,IF(LOG(BB$102)&lt;-0.28,10^(2.8+0.59*LOG(BB$102)),IF(LOG(BB$102)&lt;-0.15,426.6,10^(2.56-0.49*LOG(BB$102)))))*(BB86/Wind)^0.5,1))</f>
        <v>#DIV/0!</v>
      </c>
      <c r="BC108" s="269"/>
      <c r="BD108" s="3000" t="e">
        <f>LN(IF(BD$103&lt;BD$83,IF(LOG(BD$102)&lt;-0.67,251.2,IF(LOG(BD$102)&lt;-0.28,10^(2.8+0.59*LOG(BD$102)),IF(LOG(BD$102)&lt;-0.15,426.6,10^(2.56-0.49*LOG(BD$102)))))*(BD86/Wind)^0.5,1))</f>
        <v>#DIV/0!</v>
      </c>
      <c r="BE108" s="269"/>
      <c r="BF108" s="3000" t="e">
        <f>LN(IF(BF$103&lt;BF$83,IF(LOG(BF$102)&lt;-0.67,251.2,IF(LOG(BF$102)&lt;-0.28,10^(2.8+0.59*LOG(BF$102)),IF(LOG(BF$102)&lt;-0.15,426.6,10^(2.56-0.49*LOG(BF$102)))))*(BF86/Wind)^0.5,1))</f>
        <v>#DIV/0!</v>
      </c>
      <c r="BG108" s="269"/>
      <c r="BH108" s="3000" t="e">
        <f>LN(IF(BH$103&lt;BH$83,IF(LOG(BH$102)&lt;-0.67,251.2,IF(LOG(BH$102)&lt;-0.28,10^(2.8+0.59*LOG(BH$102)),IF(LOG(BH$102)&lt;-0.15,426.6,10^(2.56-0.49*LOG(BH$102)))))*(BH86/Wind)^0.5,1))</f>
        <v>#DIV/0!</v>
      </c>
      <c r="BI108" s="269"/>
      <c r="BJ108" s="3000" t="e">
        <f>LN(IF(BJ$103&lt;BJ$83,IF(LOG(BJ$102)&lt;-0.67,251.2,IF(LOG(BJ$102)&lt;-0.28,10^(2.8+0.59*LOG(BJ$102)),IF(LOG(BJ$102)&lt;-0.15,426.6,10^(2.56-0.49*LOG(BJ$102)))))*(BJ86/Wind)^0.5,1))</f>
        <v>#DIV/0!</v>
      </c>
      <c r="BK108" s="269"/>
      <c r="BL108" s="3000" t="e">
        <f>LN(IF(BL$103&lt;BL$83,IF(LOG(BL$102)&lt;-0.67,251.2,IF(LOG(BL$102)&lt;-0.28,10^(2.8+0.59*LOG(BL$102)),IF(LOG(BL$102)&lt;-0.15,426.6,10^(2.56-0.49*LOG(BL$102)))))*(BL86/Wind)^0.5,1))</f>
        <v>#DIV/0!</v>
      </c>
      <c r="BM108" s="269"/>
      <c r="BN108" s="3000" t="e">
        <f>LN(IF(BN$103&lt;BN$83,IF(LOG(BN$102)&lt;-0.67,251.2,IF(LOG(BN$102)&lt;-0.28,10^(2.8+0.59*LOG(BN$102)),IF(LOG(BN$102)&lt;-0.15,426.6,10^(2.56-0.49*LOG(BN$102)))))*(BN86/Wind)^0.5,1))</f>
        <v>#DIV/0!</v>
      </c>
      <c r="BO108" s="269"/>
      <c r="BP108" s="1835"/>
      <c r="BQ108" s="83"/>
      <c r="BR108" s="81"/>
      <c r="BS108" s="512" t="s">
        <v>5116</v>
      </c>
      <c r="BT108" s="81"/>
      <c r="BU108" s="3000">
        <f>LN(IF(BU$106&lt;BU$99,IF(LOG(BU$105)&lt;-0.68,83.2,IF(LOG(BU$105)&lt;-0.29,10^(2.16+0.36*LOG(BU$105)),IF(LOG(BU$105)&lt;-0.18,114.8,10^(1.96-0.56*LOG(BU$105)))))*(BU102/Wind)^0.5,1))</f>
        <v>0</v>
      </c>
      <c r="BV108" s="81"/>
      <c r="BW108" s="3000">
        <f>LN(IF(BW$106&lt;BW$99,IF(LOG(BW$105)&lt;-0.68,83.2,IF(LOG(BW$105)&lt;-0.29,10^(2.16+0.36*LOG(BW$105)),IF(LOG(BW$105)&lt;-0.18,114.8,10^(1.96-0.56*LOG(BW$105)))))*(BW102/Wind)^0.5,1))</f>
        <v>0</v>
      </c>
      <c r="BX108" s="81"/>
      <c r="BY108" s="3000">
        <f>LN(IF(BY$106&lt;BY$99,IF(LOG(BY$105)&lt;-0.68,83.2,IF(LOG(BY$105)&lt;-0.29,10^(2.16+0.36*LOG(BY$105)),IF(LOG(BY$105)&lt;-0.18,114.8,10^(1.96-0.56*LOG(BY$105)))))*(BY102/Wind)^0.5,1))</f>
        <v>0</v>
      </c>
      <c r="BZ108" s="81"/>
      <c r="CA108" s="3000">
        <f>LN(IF(CA$106&lt;CA$99,IF(LOG(CA$105)&lt;-0.68,83.2,IF(LOG(CA$105)&lt;-0.29,10^(2.16+0.36*LOG(CA$105)),IF(LOG(CA$105)&lt;-0.18,114.8,10^(1.96-0.56*LOG(CA$105)))))*(CA102/Wind)^0.5,1))</f>
        <v>0</v>
      </c>
      <c r="CB108" s="81"/>
      <c r="CC108" s="3000">
        <f>LN(IF(CC$106&lt;CC$99,IF(LOG(CC$105)&lt;-0.68,83.2,IF(LOG(CC$105)&lt;-0.29,10^(2.16+0.36*LOG(CC$105)),IF(LOG(CC$105)&lt;-0.18,114.8,10^(1.96-0.56*LOG(CC$105)))))*(CC102/Wind)^0.5,1))</f>
        <v>0</v>
      </c>
      <c r="CD108" s="81"/>
      <c r="CE108" s="23"/>
      <c r="CF108" s="81"/>
      <c r="CG108" s="2"/>
      <c r="CH108" s="1691" t="s">
        <v>5065</v>
      </c>
      <c r="CI108" s="83"/>
      <c r="CJ108" s="3000">
        <f>IF(AND(CJ$29&gt;0,CJ107&gt;0),CJ27*(0.2/CJ107)^3,1)</f>
        <v>1</v>
      </c>
      <c r="CK108" s="83"/>
      <c r="CL108" s="23"/>
      <c r="CM108" s="83"/>
    </row>
    <row r="109" spans="1:91" ht="15" customHeight="1" x14ac:dyDescent="0.25">
      <c r="A109" s="2"/>
      <c r="B109" s="512" t="s">
        <v>5117</v>
      </c>
      <c r="C109" s="83"/>
      <c r="D109" s="3000">
        <f>LN(IF(D$106&lt;D$99,IF(LOG(D$105)&lt;-0.69,120.2,IF(LOG(D$105)&lt;-0.31,10^(2.39+0.45*LOG(D$105)),IF(LOG(D$105)&lt;-0.16,177.8,10^(2.16-0.54*LOG(D$105)))))*(D102/Wind)^0.5,1))</f>
        <v>0</v>
      </c>
      <c r="E109" s="83"/>
      <c r="F109" s="3000">
        <f>LN(IF(F$106&lt;F$99,IF(LOG(F$105)&lt;-0.69,120.2,IF(LOG(F$105)&lt;-0.31,10^(2.39+0.45*LOG(F$105)),IF(LOG(F$105)&lt;-0.16,177.8,10^(2.16-0.54*LOG(F$105)))))*(F102/Wind)^0.5,1))</f>
        <v>0</v>
      </c>
      <c r="G109" s="83"/>
      <c r="H109" s="3000">
        <f>LN(IF(H$106&lt;H$99,IF(LOG(H$105)&lt;-0.69,120.2,IF(LOG(H$105)&lt;-0.31,10^(2.39+0.45*LOG(H$105)),IF(LOG(H$105)&lt;-0.16,177.8,10^(2.16-0.54*LOG(H$105)))))*(H102/Wind)^0.5,1))</f>
        <v>0</v>
      </c>
      <c r="I109" s="83"/>
      <c r="J109" s="3000">
        <f>LN(IF(J$106&lt;J$99,IF(LOG(J$105)&lt;-0.69,120.2,IF(LOG(J$105)&lt;-0.31,10^(2.39+0.45*LOG(J$105)),IF(LOG(J$105)&lt;-0.16,177.8,10^(2.16-0.54*LOG(J$105)))))*(J102/Wind)^0.5,1))</f>
        <v>0</v>
      </c>
      <c r="K109" s="83"/>
      <c r="L109" s="3000">
        <f>LN(IF(L$106&lt;L$99,IF(LOG(L$105)&lt;-0.69,120.2,IF(LOG(L$105)&lt;-0.31,10^(2.39+0.45*LOG(L$105)),IF(LOG(L$105)&lt;-0.16,177.8,10^(2.16-0.54*LOG(L$105)))))*(L102/Wind)^0.5,1))</f>
        <v>0</v>
      </c>
      <c r="M109" s="83"/>
      <c r="N109" s="3000">
        <f>LN(IF(N$106&lt;N$99,IF(LOG(N$105)&lt;-0.69,120.2,IF(LOG(N$105)&lt;-0.31,10^(2.39+0.45*LOG(N$105)),IF(LOG(N$105)&lt;-0.16,177.8,10^(2.16-0.54*LOG(N$105)))))*(N102/Wind)^0.5,1))</f>
        <v>0</v>
      </c>
      <c r="O109" s="83"/>
      <c r="P109" s="3000">
        <f>LN(IF(P$106&lt;P$99,IF(LOG(P$105)&lt;-0.69,120.2,IF(LOG(P$105)&lt;-0.31,10^(2.39+0.45*LOG(P$105)),IF(LOG(P$105)&lt;-0.16,177.8,10^(2.16-0.54*LOG(P$105)))))*(P102/Wind)^0.5,1))</f>
        <v>0</v>
      </c>
      <c r="Q109" s="83"/>
      <c r="R109" s="3000">
        <f>LN(IF(R$106&lt;R$99,IF(LOG(R$105)&lt;-0.69,120.2,IF(LOG(R$105)&lt;-0.31,10^(2.39+0.45*LOG(R$105)),IF(LOG(R$105)&lt;-0.16,177.8,10^(2.16-0.54*LOG(R$105)))))*(R102/Wind)^0.5,1))</f>
        <v>0</v>
      </c>
      <c r="S109" s="83"/>
      <c r="T109" s="3000">
        <f>LN(IF(T$106&lt;T$99,IF(LOG(T$105)&lt;-0.69,120.2,IF(LOG(T$105)&lt;-0.31,10^(2.39+0.45*LOG(T$105)),IF(LOG(T$105)&lt;-0.16,177.8,10^(2.16-0.54*LOG(T$105)))))*(T102/Wind)^0.5,1))</f>
        <v>0</v>
      </c>
      <c r="U109" s="83"/>
      <c r="V109" s="3000">
        <f>LN(IF(V$106&lt;V$99,IF(LOG(V$105)&lt;-0.69,120.2,IF(LOG(V$105)&lt;-0.31,10^(2.39+0.45*LOG(V$105)),IF(LOG(V$105)&lt;-0.16,177.8,10^(2.16-0.54*LOG(V$105)))))*(V102/Wind)^0.5,1))</f>
        <v>0</v>
      </c>
      <c r="W109" s="83"/>
      <c r="X109" s="3000">
        <f>LN(IF(X$106&lt;X$99,IF(LOG(X$105)&lt;-0.69,120.2,IF(LOG(X$105)&lt;-0.31,10^(2.39+0.45*LOG(X$105)),IF(LOG(X$105)&lt;-0.16,177.8,10^(2.16-0.54*LOG(X$105)))))*(X102/Wind)^0.5,1))</f>
        <v>0</v>
      </c>
      <c r="Y109" s="83"/>
      <c r="Z109" s="2987"/>
      <c r="AA109" s="83"/>
      <c r="AB109" s="81"/>
      <c r="AC109" s="1841" t="s">
        <v>2683</v>
      </c>
      <c r="AD109" s="81"/>
      <c r="AE109" s="3030">
        <f>IF(OR(AE55&gt;0,Relief_Discharge_Location="Outdoors to Ground"),1.2,Relief_Elevation+0.015*(Relief_Discharge_Size/Wind)*IF(AE105&lt;AE106,AE105,AE106)*(IF(OR(Relief_Discharge_Location="Outdoors-Upwards",Relief_Discharge_Location="Vent Header to Blow-down Tank",Relief_Discharge_Location="Scrubber or Containment",Relief_Discharge_Location="Flare or Incinerator"),1,0)+0.018*Relief_Discharge_Size*(1-12.2*AV82/(AE9+273)/Air_Dens)))</f>
        <v>1.2</v>
      </c>
      <c r="AF109" s="81"/>
      <c r="AG109" s="3030">
        <f>IF(OR(AG55&gt;0,Relief_Discharge_Location="Outdoors to Ground"),1.2,Relief_Elevation+0.015*(Relief_Discharge_Size/Wind)*IF(AG105&lt;AG106,AG105,AG106)*(IF(OR(Relief_Discharge_Location="Outdoors-Upwards",Relief_Discharge_Location="Vent Header to Blow-down Tank",Relief_Discharge_Location="Scrubber or Containment",Relief_Discharge_Location="Flare or Incinerator"),1,0)+0.018*Relief_Discharge_Size*(1-12.2*AX82/(AG9+273)/Air_Dens)))</f>
        <v>1.2</v>
      </c>
      <c r="AH109" s="81"/>
      <c r="AI109" s="3030">
        <f>IF(OR(AI55&gt;0,Relief_Discharge_Location="Outdoors to Ground"),1.2,Relief_Elevation+0.015*(Relief_Discharge_Size/Wind)*IF(AI105&lt;AI106,AI105,AI106)*(IF(OR(Relief_Discharge_Location="Outdoors-Upwards",Relief_Discharge_Location="Vent Header to Blow-down Tank",Relief_Discharge_Location="Scrubber or Containment",Relief_Discharge_Location="Flare or Incinerator"),1,0)+0.018*Relief_Discharge_Size*(1-12.2*AZ82/(AI9+273)/Air_Dens)))</f>
        <v>1.2</v>
      </c>
      <c r="AJ109" s="81"/>
      <c r="AK109" s="3030">
        <f>IF(OR(AK55&gt;0,Relief_Discharge_Location="Outdoors to Ground"),1.2,Relief_Elevation+0.015*(Relief_Discharge_Size/Wind)*IF(AK105&lt;AK106,AK105,AK106)*(IF(OR(Relief_Discharge_Location="Outdoors-Upwards",Relief_Discharge_Location="Vent Header to Blow-down Tank",Relief_Discharge_Location="Scrubber or Containment",Relief_Discharge_Location="Flare or Incinerator"),1,0)+0.018*Relief_Discharge_Size*(1-12.2*BB82/(AK9+273)/Air_Dens)))</f>
        <v>1.2</v>
      </c>
      <c r="AL109" s="81"/>
      <c r="AM109" s="3030">
        <f>IF(OR(AM55&gt;0,Relief_Discharge_Location="Outdoors to Ground"),1.2,Relief_Elevation+0.015*(Relief_Discharge_Size/Wind)*IF(AM105&lt;AM106,AM105,AM106)*(IF(OR(Relief_Discharge_Location="Outdoors-Upwards",Relief_Discharge_Location="Vent Header to Blow-down Tank",Relief_Discharge_Location="Scrubber or Containment",Relief_Discharge_Location="Flare or Incinerator"),1,0)+0.018*Relief_Discharge_Size*(1-12.2*BD82/(AM9+273)/Air_Dens)))</f>
        <v>1.2</v>
      </c>
      <c r="AN109" s="81"/>
      <c r="AO109" s="3030">
        <f>IF(OR(AO55&gt;0,Relief_Discharge_Location="Outdoors to Ground"),1.2,Relief_Elevation+0.015*(Relief_Discharge_Size/Wind)*IF(AO105&lt;AO106,AO105,AO106)*(IF(OR(Relief_Discharge_Location="Outdoors-Upwards",Relief_Discharge_Location="Vent Header to Blow-down Tank",Relief_Discharge_Location="Scrubber or Containment",Relief_Discharge_Location="Flare or Incinerator"),1,0)+0.018*Relief_Discharge_Size*(1-12.2*BF82/(AO9+273)/Air_Dens)))</f>
        <v>1.2</v>
      </c>
      <c r="AP109" s="81"/>
      <c r="AQ109" s="85" t="s">
        <v>1068</v>
      </c>
      <c r="AR109" s="81"/>
      <c r="AS109" s="83"/>
      <c r="AT109" s="512" t="s">
        <v>5120</v>
      </c>
      <c r="AU109" s="83"/>
      <c r="AV109" s="3000" t="e">
        <f>LN(IF(AV$103&lt;AV$83,IF(LOG(AV$102)&lt;-0.69,398.1,IF(LOG(AV$102)&lt;-0.25,10^(2.87+0.39*LOG(AV$102)),IF(LOG(AV$102)&lt;-0.13,588.8,10^(2.71-0.5*LOG(AV$102)))))*(AV86/Wind)^0.5,1))</f>
        <v>#DIV/0!</v>
      </c>
      <c r="AW109" s="269"/>
      <c r="AX109" s="3000" t="e">
        <f>LN(IF(AX$103&lt;AX$83,IF(LOG(AX$102)&lt;-0.69,398.1,IF(LOG(AX$102)&lt;-0.25,10^(2.87+0.39*LOG(AX$102)),IF(LOG(AX$102)&lt;-0.13,588.8,10^(2.71-0.5*LOG(AX$102)))))*(AX86/Wind)^0.5,1))</f>
        <v>#DIV/0!</v>
      </c>
      <c r="AY109" s="269"/>
      <c r="AZ109" s="3000" t="e">
        <f>LN(IF(AZ$103&lt;AZ$83,IF(LOG(AZ$102)&lt;-0.69,398.1,IF(LOG(AZ$102)&lt;-0.25,10^(2.87+0.39*LOG(AZ$102)),IF(LOG(AZ$102)&lt;-0.13,588.8,10^(2.71-0.5*LOG(AZ$102)))))*(AZ86/Wind)^0.5,1))</f>
        <v>#DIV/0!</v>
      </c>
      <c r="BA109" s="269"/>
      <c r="BB109" s="3000" t="e">
        <f>LN(IF(BB$103&lt;BB$83,IF(LOG(BB$102)&lt;-0.69,398.1,IF(LOG(BB$102)&lt;-0.25,10^(2.87+0.39*LOG(BB$102)),IF(LOG(BB$102)&lt;-0.13,588.8,10^(2.71-0.5*LOG(BB$102)))))*(BB86/Wind)^0.5,1))</f>
        <v>#DIV/0!</v>
      </c>
      <c r="BC109" s="269"/>
      <c r="BD109" s="3000" t="e">
        <f>LN(IF(BD$103&lt;BD$83,IF(LOG(BD$102)&lt;-0.69,398.1,IF(LOG(BD$102)&lt;-0.25,10^(2.87+0.39*LOG(BD$102)),IF(LOG(BD$102)&lt;-0.13,588.8,10^(2.71-0.5*LOG(BD$102)))))*(BD86/Wind)^0.5,1))</f>
        <v>#DIV/0!</v>
      </c>
      <c r="BE109" s="269"/>
      <c r="BF109" s="3000" t="e">
        <f>LN(IF(BF$103&lt;BF$83,IF(LOG(BF$102)&lt;-0.69,398.1,IF(LOG(BF$102)&lt;-0.25,10^(2.87+0.39*LOG(BF$102)),IF(LOG(BF$102)&lt;-0.13,588.8,10^(2.71-0.5*LOG(BF$102)))))*(BF86/Wind)^0.5,1))</f>
        <v>#DIV/0!</v>
      </c>
      <c r="BG109" s="269"/>
      <c r="BH109" s="3000" t="e">
        <f>LN(IF(BH$103&lt;BH$83,IF(LOG(BH$102)&lt;-0.69,398.1,IF(LOG(BH$102)&lt;-0.25,10^(2.87+0.39*LOG(BH$102)),IF(LOG(BH$102)&lt;-0.13,588.8,10^(2.71-0.5*LOG(BH$102)))))*(BH86/Wind)^0.5,1))</f>
        <v>#DIV/0!</v>
      </c>
      <c r="BI109" s="269"/>
      <c r="BJ109" s="3000" t="e">
        <f>LN(IF(BJ$103&lt;BJ$83,IF(LOG(BJ$102)&lt;-0.69,398.1,IF(LOG(BJ$102)&lt;-0.25,10^(2.87+0.39*LOG(BJ$102)),IF(LOG(BJ$102)&lt;-0.13,588.8,10^(2.71-0.5*LOG(BJ$102)))))*(BJ86/Wind)^0.5,1))</f>
        <v>#DIV/0!</v>
      </c>
      <c r="BK109" s="269"/>
      <c r="BL109" s="3000" t="e">
        <f>LN(IF(BL$103&lt;BL$83,IF(LOG(BL$102)&lt;-0.69,398.1,IF(LOG(BL$102)&lt;-0.25,10^(2.87+0.39*LOG(BL$102)),IF(LOG(BL$102)&lt;-0.13,588.8,10^(2.71-0.5*LOG(BL$102)))))*(BL86/Wind)^0.5,1))</f>
        <v>#DIV/0!</v>
      </c>
      <c r="BM109" s="269"/>
      <c r="BN109" s="3000" t="e">
        <f>LN(IF(BN$103&lt;BN$83,IF(LOG(BN$102)&lt;-0.69,398.1,IF(LOG(BN$102)&lt;-0.25,10^(2.87+0.39*LOG(BN$102)),IF(LOG(BN$102)&lt;-0.13,588.8,10^(2.71-0.5*LOG(BN$102)))))*(BN86/Wind)^0.5,1))</f>
        <v>#DIV/0!</v>
      </c>
      <c r="BO109" s="269"/>
      <c r="BP109" s="1835"/>
      <c r="BQ109" s="83"/>
      <c r="BR109" s="81"/>
      <c r="BS109" s="512" t="s">
        <v>5117</v>
      </c>
      <c r="BT109" s="81"/>
      <c r="BU109" s="3000">
        <f>LN(IF(BU$106&lt;BU$99,IF(LOG(BU$105)&lt;-0.69,120.2,IF(LOG(BU$105)&lt;-0.31,10^(2.39+0.45*LOG(BU$105)),IF(LOG(BU$105)&lt;-0.16,177.8,10^(2.16-0.54*LOG(BU$105)))))*(BU102/Wind)^0.5,1))</f>
        <v>0</v>
      </c>
      <c r="BV109" s="81"/>
      <c r="BW109" s="3000">
        <f>LN(IF(BW$106&lt;BW$99,IF(LOG(BW$105)&lt;-0.69,120.2,IF(LOG(BW$105)&lt;-0.31,10^(2.39+0.45*LOG(BW$105)),IF(LOG(BW$105)&lt;-0.16,177.8,10^(2.16-0.54*LOG(BW$105)))))*(BW102/Wind)^0.5,1))</f>
        <v>0</v>
      </c>
      <c r="BX109" s="81"/>
      <c r="BY109" s="3000">
        <f>LN(IF(BY$106&lt;BY$99,IF(LOG(BY$105)&lt;-0.69,120.2,IF(LOG(BY$105)&lt;-0.31,10^(2.39+0.45*LOG(BY$105)),IF(LOG(BY$105)&lt;-0.16,177.8,10^(2.16-0.54*LOG(BY$105)))))*(BY102/Wind)^0.5,1))</f>
        <v>0</v>
      </c>
      <c r="BZ109" s="81"/>
      <c r="CA109" s="3000">
        <f>LN(IF(CA$106&lt;CA$99,IF(LOG(CA$105)&lt;-0.69,120.2,IF(LOG(CA$105)&lt;-0.31,10^(2.39+0.45*LOG(CA$105)),IF(LOG(CA$105)&lt;-0.16,177.8,10^(2.16-0.54*LOG(CA$105)))))*(CA102/Wind)^0.5,1))</f>
        <v>0</v>
      </c>
      <c r="CB109" s="81"/>
      <c r="CC109" s="3000">
        <f>LN(IF(CC$106&lt;CC$99,IF(LOG(CC$105)&lt;-0.69,120.2,IF(LOG(CC$105)&lt;-0.31,10^(2.39+0.45*LOG(CC$105)),IF(LOG(CC$105)&lt;-0.16,177.8,10^(2.16-0.54*LOG(CC$105)))))*(CC102/Wind)^0.5,1))</f>
        <v>0</v>
      </c>
      <c r="CD109" s="81"/>
      <c r="CE109" s="23"/>
      <c r="CF109" s="81"/>
      <c r="CG109" s="2"/>
      <c r="CH109" s="512" t="s">
        <v>5115</v>
      </c>
      <c r="CI109" s="83"/>
      <c r="CJ109" s="3000">
        <f>LN(IF(CJ$108&lt;CJ$27,IF(LOG(CJ$107)&lt;-0.44,5.01,IF(LOG(CJ$107)&lt;0.43,10^(0.81+0.26*LOG(CJ$107)),8.51))*(CJ16/CJ$28)^0.333,1))</f>
        <v>0</v>
      </c>
      <c r="CK109" s="83"/>
      <c r="CL109" s="23"/>
      <c r="CM109" s="83"/>
    </row>
    <row r="110" spans="1:91" ht="15" customHeight="1" x14ac:dyDescent="0.25">
      <c r="A110" s="2"/>
      <c r="B110" s="512" t="s">
        <v>5118</v>
      </c>
      <c r="C110" s="83"/>
      <c r="D110" s="3000">
        <f>LN(IF(D$106&lt;D$99,IF(LOG(D$105)&lt;-0.7,177.8,IF(LOG(D$105)&lt;-0.29,10^(2.59+0.49*LOG(D$105)),IF(LOG(D$105)&lt;-0.2,281.8,10^(2.35-0.52*LOG(D$105)))))*(D102/Wind)^0.5,1))</f>
        <v>0</v>
      </c>
      <c r="E110" s="83"/>
      <c r="F110" s="3000">
        <f>LN(IF(F$106&lt;F$99,IF(LOG(F$105)&lt;-0.7,177.8,IF(LOG(F$105)&lt;-0.29,10^(2.59+0.49*LOG(F$105)),IF(LOG(F$105)&lt;-0.2,281.8,10^(2.35-0.52*LOG(F$105)))))*(F102/Wind)^0.5,1))</f>
        <v>0</v>
      </c>
      <c r="G110" s="83"/>
      <c r="H110" s="3000">
        <f>LN(IF(H$106&lt;H$99,IF(LOG(H$105)&lt;-0.7,177.8,IF(LOG(H$105)&lt;-0.29,10^(2.59+0.49*LOG(H$105)),IF(LOG(H$105)&lt;-0.2,281.8,10^(2.35-0.52*LOG(H$105)))))*(H102/Wind)^0.5,1))</f>
        <v>0</v>
      </c>
      <c r="I110" s="83"/>
      <c r="J110" s="3000">
        <f>LN(IF(J$106&lt;J$99,IF(LOG(J$105)&lt;-0.7,177.8,IF(LOG(J$105)&lt;-0.29,10^(2.59+0.49*LOG(J$105)),IF(LOG(J$105)&lt;-0.2,281.8,10^(2.35-0.52*LOG(J$105)))))*(J102/Wind)^0.5,1))</f>
        <v>0</v>
      </c>
      <c r="K110" s="83"/>
      <c r="L110" s="3000">
        <f>LN(IF(L$106&lt;L$99,IF(LOG(L$105)&lt;-0.7,177.8,IF(LOG(L$105)&lt;-0.29,10^(2.59+0.49*LOG(L$105)),IF(LOG(L$105)&lt;-0.2,281.8,10^(2.35-0.52*LOG(L$105)))))*(L102/Wind)^0.5,1))</f>
        <v>0</v>
      </c>
      <c r="M110" s="83"/>
      <c r="N110" s="3000">
        <f>LN(IF(N$106&lt;N$99,IF(LOG(N$105)&lt;-0.7,177.8,IF(LOG(N$105)&lt;-0.29,10^(2.59+0.49*LOG(N$105)),IF(LOG(N$105)&lt;-0.2,281.8,10^(2.35-0.52*LOG(N$105)))))*(N102/Wind)^0.5,1))</f>
        <v>0</v>
      </c>
      <c r="O110" s="83"/>
      <c r="P110" s="3000">
        <f>LN(IF(P$106&lt;P$99,IF(LOG(P$105)&lt;-0.7,177.8,IF(LOG(P$105)&lt;-0.29,10^(2.59+0.49*LOG(P$105)),IF(LOG(P$105)&lt;-0.2,281.8,10^(2.35-0.52*LOG(P$105)))))*(P102/Wind)^0.5,1))</f>
        <v>0</v>
      </c>
      <c r="Q110" s="83"/>
      <c r="R110" s="3000">
        <f>LN(IF(R$106&lt;R$99,IF(LOG(R$105)&lt;-0.7,177.8,IF(LOG(R$105)&lt;-0.29,10^(2.59+0.49*LOG(R$105)),IF(LOG(R$105)&lt;-0.2,281.8,10^(2.35-0.52*LOG(R$105)))))*(R102/Wind)^0.5,1))</f>
        <v>0</v>
      </c>
      <c r="S110" s="83"/>
      <c r="T110" s="3000">
        <f>LN(IF(T$106&lt;T$99,IF(LOG(T$105)&lt;-0.7,177.8,IF(LOG(T$105)&lt;-0.29,10^(2.59+0.49*LOG(T$105)),IF(LOG(T$105)&lt;-0.2,281.8,10^(2.35-0.52*LOG(T$105)))))*(T102/Wind)^0.5,1))</f>
        <v>0</v>
      </c>
      <c r="U110" s="83"/>
      <c r="V110" s="3000">
        <f>LN(IF(V$106&lt;V$99,IF(LOG(V$105)&lt;-0.7,177.8,IF(LOG(V$105)&lt;-0.29,10^(2.59+0.49*LOG(V$105)),IF(LOG(V$105)&lt;-0.2,281.8,10^(2.35-0.52*LOG(V$105)))))*(V102/Wind)^0.5,1))</f>
        <v>0</v>
      </c>
      <c r="W110" s="83"/>
      <c r="X110" s="3000">
        <f>LN(IF(X$106&lt;X$99,IF(LOG(X$105)&lt;-0.7,177.8,IF(LOG(X$105)&lt;-0.29,10^(2.59+0.49*LOG(X$105)),IF(LOG(X$105)&lt;-0.2,281.8,10^(2.35-0.52*LOG(X$105)))))*(X102/Wind)^0.5,1))</f>
        <v>0</v>
      </c>
      <c r="Y110" s="83"/>
      <c r="Z110" s="2987"/>
      <c r="AA110" s="83"/>
      <c r="AB110" s="81"/>
      <c r="AC110" s="3057" t="s">
        <v>5292</v>
      </c>
      <c r="AD110" s="81"/>
      <c r="AE110" s="3058">
        <f>IF(AE109&gt;1.2,((AE109-1.2)/(2^0.5*Plume_sZ_A))^(1/Plume_sZ_B),0)</f>
        <v>0</v>
      </c>
      <c r="AF110" s="81"/>
      <c r="AG110" s="3058">
        <f>IF(AG109&gt;1.2,((AG109-1.2)/(2^0.5*Plume_sZ_A))^(1/Plume_sZ_B),0)</f>
        <v>0</v>
      </c>
      <c r="AH110" s="81"/>
      <c r="AI110" s="3058">
        <f>IF(AI109&gt;1.2,((AI109-1.2)/(2^0.5*Plume_sZ_A))^(1/Plume_sZ_B),0)</f>
        <v>0</v>
      </c>
      <c r="AJ110" s="81"/>
      <c r="AK110" s="3058">
        <f>IF(AK109&gt;1.2,((AK109-1.2)/(2^0.5*Plume_sZ_A))^(1/Plume_sZ_B),0)</f>
        <v>0</v>
      </c>
      <c r="AL110" s="81"/>
      <c r="AM110" s="3058">
        <f>IF(AM109&gt;1.2,((AM109-1.2)/(2^0.5*Plume_sZ_A))^(1/Plume_sZ_B),0)</f>
        <v>0</v>
      </c>
      <c r="AN110" s="81"/>
      <c r="AO110" s="3058">
        <f>IF(AO109&gt;1.2,((AO109-1.2)/(2^0.5*Plume_sZ_A))^(1/Plume_sZ_B),0)</f>
        <v>0</v>
      </c>
      <c r="AP110" s="81"/>
      <c r="AQ110" s="85"/>
      <c r="AR110" s="81"/>
      <c r="AS110" s="83"/>
      <c r="AT110" s="2977" t="s">
        <v>5050</v>
      </c>
      <c r="AU110" s="83"/>
      <c r="AV110" s="1230" t="e">
        <f>EXP(INDEX(LINEST($CJ$277:$CJ$282,AV104:AV109),2))*((Ambient_Temp+273)/(AV9+273))*Roughness_A</f>
        <v>#VALUE!</v>
      </c>
      <c r="AW110" s="269"/>
      <c r="AX110" s="1230" t="e">
        <f>EXP(INDEX(LINEST($CJ$277:$CJ$282,AX104:AX109),2))*((Ambient_Temp+273)/(AX9+273))*Roughness_A</f>
        <v>#VALUE!</v>
      </c>
      <c r="AY110" s="269"/>
      <c r="AZ110" s="1230" t="e">
        <f>EXP(INDEX(LINEST($CJ$277:$CJ$282,AZ104:AZ109),2))*((Ambient_Temp+273)/(AZ9+273))*Roughness_A</f>
        <v>#VALUE!</v>
      </c>
      <c r="BA110" s="269"/>
      <c r="BB110" s="1230" t="e">
        <f>EXP(INDEX(LINEST($CJ$277:$CJ$282,BB104:BB109),2))*((Ambient_Temp+273)/(BB9+273))*Roughness_A</f>
        <v>#VALUE!</v>
      </c>
      <c r="BC110" s="269"/>
      <c r="BD110" s="1230" t="e">
        <f>EXP(INDEX(LINEST($CJ$277:$CJ$282,BD104:BD109),2))*((Ambient_Temp+273)/(BD9+273))*Roughness_A</f>
        <v>#VALUE!</v>
      </c>
      <c r="BE110" s="269"/>
      <c r="BF110" s="1230" t="e">
        <f>EXP(INDEX(LINEST($CJ$277:$CJ$282,BF104:BF109),2))*((Ambient_Temp+273)/(BF9+273))*Roughness_A</f>
        <v>#VALUE!</v>
      </c>
      <c r="BG110" s="269"/>
      <c r="BH110" s="1230" t="e">
        <f>EXP(INDEX(LINEST($CJ$277:$CJ$282,BH104:BH109),2))*((Ambient_Temp+273)/(BH9+273))*Roughness_A</f>
        <v>#VALUE!</v>
      </c>
      <c r="BI110" s="269"/>
      <c r="BJ110" s="1230" t="e">
        <f>EXP(INDEX(LINEST($CJ$277:$CJ$282,BJ104:BJ109),2))*((Ambient_Temp+273)/(BJ9+273))*Roughness_A</f>
        <v>#VALUE!</v>
      </c>
      <c r="BK110" s="269"/>
      <c r="BL110" s="1230" t="e">
        <f>EXP(INDEX(LINEST($CJ$277:$CJ$282,BL104:BL109),2))*((Ambient_Temp+273)/(BL9+273))*Roughness_A</f>
        <v>#VALUE!</v>
      </c>
      <c r="BM110" s="269"/>
      <c r="BN110" s="1230" t="e">
        <f>EXP(INDEX(LINEST($CJ$277:$CJ$282,BN104:BN109),2))*((Ambient_Temp+273)/(BN9+273))*Roughness_A</f>
        <v>#VALUE!</v>
      </c>
      <c r="BO110" s="269"/>
      <c r="BP110" s="1835"/>
      <c r="BQ110" s="83"/>
      <c r="BR110" s="81"/>
      <c r="BS110" s="512" t="s">
        <v>5118</v>
      </c>
      <c r="BT110" s="81"/>
      <c r="BU110" s="3000">
        <f>LN(IF(BU$106&lt;BU$99,IF(LOG(BU$105)&lt;-0.7,177.8,IF(LOG(BU$105)&lt;-0.29,10^(2.59+0.49*LOG(BU$105)),IF(LOG(BU$105)&lt;-0.2,281.8,10^(2.35-0.52*LOG(BU$105)))))*(BU102/Wind)^0.5,1))</f>
        <v>0</v>
      </c>
      <c r="BV110" s="81"/>
      <c r="BW110" s="3000">
        <f>LN(IF(BW$106&lt;BW$99,IF(LOG(BW$105)&lt;-0.7,177.8,IF(LOG(BW$105)&lt;-0.29,10^(2.59+0.49*LOG(BW$105)),IF(LOG(BW$105)&lt;-0.2,281.8,10^(2.35-0.52*LOG(BW$105)))))*(BW102/Wind)^0.5,1))</f>
        <v>0</v>
      </c>
      <c r="BX110" s="81"/>
      <c r="BY110" s="3000">
        <f>LN(IF(BY$106&lt;BY$99,IF(LOG(BY$105)&lt;-0.7,177.8,IF(LOG(BY$105)&lt;-0.29,10^(2.59+0.49*LOG(BY$105)),IF(LOG(BY$105)&lt;-0.2,281.8,10^(2.35-0.52*LOG(BY$105)))))*(BY102/Wind)^0.5,1))</f>
        <v>0</v>
      </c>
      <c r="BZ110" s="81"/>
      <c r="CA110" s="3000">
        <f>LN(IF(CA$106&lt;CA$99,IF(LOG(CA$105)&lt;-0.7,177.8,IF(LOG(CA$105)&lt;-0.29,10^(2.59+0.49*LOG(CA$105)),IF(LOG(CA$105)&lt;-0.2,281.8,10^(2.35-0.52*LOG(CA$105)))))*(CA102/Wind)^0.5,1))</f>
        <v>0</v>
      </c>
      <c r="CB110" s="81"/>
      <c r="CC110" s="3000">
        <f>LN(IF(CC$106&lt;CC$99,IF(LOG(CC$105)&lt;-0.7,177.8,IF(LOG(CC$105)&lt;-0.29,10^(2.59+0.49*LOG(CC$105)),IF(LOG(CC$105)&lt;-0.2,281.8,10^(2.35-0.52*LOG(CC$105)))))*(CC102/Wind)^0.5,1))</f>
        <v>0</v>
      </c>
      <c r="CD110" s="81"/>
      <c r="CE110" s="23"/>
      <c r="CF110" s="81"/>
      <c r="CG110" s="2"/>
      <c r="CH110" s="512" t="s">
        <v>5116</v>
      </c>
      <c r="CI110" s="83"/>
      <c r="CJ110" s="3000">
        <f>LN(IF(CJ$108&lt;CJ$27,IF(LOG(CJ$107)&lt;-0.56,7.08,IF(LOG(CJ$107)&lt;0.31,10^(1+0.26*LOG(CJ$107)),10^(1.12-0.12*LOG(CJ$107))))*(CJ16/CJ$28)^0.333,1))</f>
        <v>0</v>
      </c>
      <c r="CK110" s="83"/>
      <c r="CL110" s="23"/>
      <c r="CM110" s="83"/>
    </row>
    <row r="111" spans="1:91" ht="15" customHeight="1" x14ac:dyDescent="0.25">
      <c r="A111" s="2"/>
      <c r="B111" s="512" t="s">
        <v>5119</v>
      </c>
      <c r="C111" s="83"/>
      <c r="D111" s="3000">
        <f>LN(IF(D$106&lt;D$99,IF(LOG(D$105)&lt;-0.67,251.2,IF(LOG(D$105)&lt;-0.28,10^(2.8+0.59*LOG(D$105)),IF(LOG(D$105)&lt;-0.15,426.6,10^(2.56-0.49*LOG(D$105)))))*(D102/Wind)^0.5,1))</f>
        <v>0</v>
      </c>
      <c r="E111" s="83"/>
      <c r="F111" s="3000">
        <f>LN(IF(F$106&lt;F$99,IF(LOG(F$105)&lt;-0.67,251.2,IF(LOG(F$105)&lt;-0.28,10^(2.8+0.59*LOG(F$105)),IF(LOG(F$105)&lt;-0.15,426.6,10^(2.56-0.49*LOG(F$105)))))*(F102/Wind)^0.5,1))</f>
        <v>0</v>
      </c>
      <c r="G111" s="83"/>
      <c r="H111" s="3000">
        <f>LN(IF(H$106&lt;H$99,IF(LOG(H$105)&lt;-0.67,251.2,IF(LOG(H$105)&lt;-0.28,10^(2.8+0.59*LOG(H$105)),IF(LOG(H$105)&lt;-0.15,426.6,10^(2.56-0.49*LOG(H$105)))))*(H102/Wind)^0.5,1))</f>
        <v>0</v>
      </c>
      <c r="I111" s="83"/>
      <c r="J111" s="3000">
        <f>LN(IF(J$106&lt;J$99,IF(LOG(J$105)&lt;-0.67,251.2,IF(LOG(J$105)&lt;-0.28,10^(2.8+0.59*LOG(J$105)),IF(LOG(J$105)&lt;-0.15,426.6,10^(2.56-0.49*LOG(J$105)))))*(J102/Wind)^0.5,1))</f>
        <v>0</v>
      </c>
      <c r="K111" s="83"/>
      <c r="L111" s="3000">
        <f>LN(IF(L$106&lt;L$99,IF(LOG(L$105)&lt;-0.67,251.2,IF(LOG(L$105)&lt;-0.28,10^(2.8+0.59*LOG(L$105)),IF(LOG(L$105)&lt;-0.15,426.6,10^(2.56-0.49*LOG(L$105)))))*(L102/Wind)^0.5,1))</f>
        <v>0</v>
      </c>
      <c r="M111" s="83"/>
      <c r="N111" s="3000">
        <f>LN(IF(N$106&lt;N$99,IF(LOG(N$105)&lt;-0.67,251.2,IF(LOG(N$105)&lt;-0.28,10^(2.8+0.59*LOG(N$105)),IF(LOG(N$105)&lt;-0.15,426.6,10^(2.56-0.49*LOG(N$105)))))*(N102/Wind)^0.5,1))</f>
        <v>0</v>
      </c>
      <c r="O111" s="83"/>
      <c r="P111" s="3000">
        <f>LN(IF(P$106&lt;P$99,IF(LOG(P$105)&lt;-0.67,251.2,IF(LOG(P$105)&lt;-0.28,10^(2.8+0.59*LOG(P$105)),IF(LOG(P$105)&lt;-0.15,426.6,10^(2.56-0.49*LOG(P$105)))))*(P102/Wind)^0.5,1))</f>
        <v>0</v>
      </c>
      <c r="Q111" s="83"/>
      <c r="R111" s="3000">
        <f>LN(IF(R$106&lt;R$99,IF(LOG(R$105)&lt;-0.67,251.2,IF(LOG(R$105)&lt;-0.28,10^(2.8+0.59*LOG(R$105)),IF(LOG(R$105)&lt;-0.15,426.6,10^(2.56-0.49*LOG(R$105)))))*(R102/Wind)^0.5,1))</f>
        <v>0</v>
      </c>
      <c r="S111" s="83"/>
      <c r="T111" s="3000">
        <f>LN(IF(T$106&lt;T$99,IF(LOG(T$105)&lt;-0.67,251.2,IF(LOG(T$105)&lt;-0.28,10^(2.8+0.59*LOG(T$105)),IF(LOG(T$105)&lt;-0.15,426.6,10^(2.56-0.49*LOG(T$105)))))*(T102/Wind)^0.5,1))</f>
        <v>0</v>
      </c>
      <c r="U111" s="83"/>
      <c r="V111" s="3000">
        <f>LN(IF(V$106&lt;V$99,IF(LOG(V$105)&lt;-0.67,251.2,IF(LOG(V$105)&lt;-0.28,10^(2.8+0.59*LOG(V$105)),IF(LOG(V$105)&lt;-0.15,426.6,10^(2.56-0.49*LOG(V$105)))))*(V102/Wind)^0.5,1))</f>
        <v>0</v>
      </c>
      <c r="W111" s="83"/>
      <c r="X111" s="3000">
        <f>LN(IF(X$106&lt;X$99,IF(LOG(X$105)&lt;-0.67,251.2,IF(LOG(X$105)&lt;-0.28,10^(2.8+0.59*LOG(X$105)),IF(LOG(X$105)&lt;-0.15,426.6,10^(2.56-0.49*LOG(X$105)))))*(X102/Wind)^0.5,1))</f>
        <v>0</v>
      </c>
      <c r="Y111" s="83"/>
      <c r="Z111" s="2987"/>
      <c r="AA111" s="83"/>
      <c r="AB111" s="81"/>
      <c r="AC111" s="851" t="s">
        <v>2267</v>
      </c>
      <c r="AD111" s="81"/>
      <c r="AE111" s="1194">
        <f>IF(AND(State="Vapor",AE98&gt;0,AE109-1.2&gt;0),AvgTime_Correction*MIN(5.73*1000000*AE89*(Plume_sZ_A*AE110^Plume_sZ_B/(Plume_sY_A*AE110^Plume_sY_B))/(Wind*AE98*(AE109-1.2)^2),AE99*1000000),AE99*1000000)</f>
        <v>1000000</v>
      </c>
      <c r="AF111" s="81"/>
      <c r="AG111" s="1194">
        <f>IF(AND(State="Vapor",AG98&gt;0,AG109-1.2&gt;0),AvgTime_Correction*MIN(5.73*1000000*AG89*(Plume_sZ_A*AG110^Plume_sZ_B/(Plume_sY_A*AG110^Plume_sY_B))/(Wind*AG98*(AG109-1.2)^2),AG99*1000000),AG99*1000000)</f>
        <v>1000000</v>
      </c>
      <c r="AH111" s="81"/>
      <c r="AI111" s="1194">
        <f>IF(AND(State="Vapor",AI98&gt;0,AI109-1.2&gt;0),AvgTime_Correction*MIN(5.73*1000000*AI89*(Plume_sZ_A*AI110^Plume_sZ_B/(Plume_sY_A*AI110^Plume_sY_B))/(Wind*AI98*(AI109-1.2)^2),AI99*1000000),AI99*1000000)</f>
        <v>1000000</v>
      </c>
      <c r="AJ111" s="81"/>
      <c r="AK111" s="1194">
        <f>IF(AND(State="Vapor",AK98&gt;0,AK109-1.2&gt;0),AvgTime_Correction*MIN(5.73*1000000*AK89*(Plume_sZ_A*AK110^Plume_sZ_B/(Plume_sY_A*AK110^Plume_sY_B))/(Wind*AK98*(AK109-1.2)^2),AK99*1000000),AK99*1000000)</f>
        <v>1000000</v>
      </c>
      <c r="AL111" s="81"/>
      <c r="AM111" s="1194">
        <f>IF(AND(State="Vapor",AM98&gt;0,AM109-1.2&gt;0),AvgTime_Correction*MIN(5.73*1000000*AM89*(Plume_sZ_A*AM110^Plume_sZ_B/(Plume_sY_A*AM110^Plume_sY_B))/(Wind*AM98*(AM109-1.2)^2),AM99*1000000),AM99*1000000)</f>
        <v>1000000</v>
      </c>
      <c r="AN111" s="81"/>
      <c r="AO111" s="1194">
        <f>IF(AND(State="Vapor",AO98&gt;0,AO109-1.2&gt;0),AvgTime_Correction*MIN(5.73*1000000*AO89*(Plume_sZ_A*AO110^Plume_sZ_B/(Plume_sY_A*AO110^Plume_sY_B))/(Wind*AO98*(AO109-1.2)^2),AO99*1000000),AO99*1000000)</f>
        <v>1000000</v>
      </c>
      <c r="AP111" s="81"/>
      <c r="AQ111" s="85" t="s">
        <v>1506</v>
      </c>
      <c r="AR111" s="81"/>
      <c r="AS111" s="83"/>
      <c r="AT111" s="2977" t="s">
        <v>5053</v>
      </c>
      <c r="AU111" s="83"/>
      <c r="AV111" s="1230" t="e">
        <f>INDEX(LINEST($CJ$277:$CJ$282,AV104:AV109),1)+Roughness_B</f>
        <v>#VALUE!</v>
      </c>
      <c r="AW111" s="269"/>
      <c r="AX111" s="1230" t="e">
        <f>INDEX(LINEST($CJ$277:$CJ$282,AX104:AX109),1)+Roughness_B</f>
        <v>#VALUE!</v>
      </c>
      <c r="AY111" s="269"/>
      <c r="AZ111" s="1230" t="e">
        <f>INDEX(LINEST($CJ$277:$CJ$282,AZ104:AZ109),1)+Roughness_B</f>
        <v>#VALUE!</v>
      </c>
      <c r="BA111" s="269"/>
      <c r="BB111" s="1230" t="e">
        <f>INDEX(LINEST($CJ$277:$CJ$282,BB104:BB109),1)+Roughness_B</f>
        <v>#VALUE!</v>
      </c>
      <c r="BC111" s="269"/>
      <c r="BD111" s="1230" t="e">
        <f>INDEX(LINEST($CJ$277:$CJ$282,BD104:BD109),1)+Roughness_B</f>
        <v>#VALUE!</v>
      </c>
      <c r="BE111" s="269"/>
      <c r="BF111" s="1230" t="e">
        <f>INDEX(LINEST($CJ$277:$CJ$282,BF104:BF109),1)+Roughness_B</f>
        <v>#VALUE!</v>
      </c>
      <c r="BG111" s="269"/>
      <c r="BH111" s="1230" t="e">
        <f>INDEX(LINEST($CJ$277:$CJ$282,BH104:BH109),1)+Roughness_B</f>
        <v>#VALUE!</v>
      </c>
      <c r="BI111" s="269"/>
      <c r="BJ111" s="1230" t="e">
        <f>INDEX(LINEST($CJ$277:$CJ$282,BJ104:BJ109),1)+Roughness_B</f>
        <v>#VALUE!</v>
      </c>
      <c r="BK111" s="269"/>
      <c r="BL111" s="1230" t="e">
        <f>INDEX(LINEST($CJ$277:$CJ$282,BL104:BL109),1)+Roughness_B</f>
        <v>#VALUE!</v>
      </c>
      <c r="BM111" s="269"/>
      <c r="BN111" s="1230" t="e">
        <f>INDEX(LINEST($CJ$277:$CJ$282,BN104:BN109),1)+Roughness_B</f>
        <v>#VALUE!</v>
      </c>
      <c r="BO111" s="269"/>
      <c r="BP111" s="1835"/>
      <c r="BQ111" s="83"/>
      <c r="BR111" s="81"/>
      <c r="BS111" s="512" t="s">
        <v>5119</v>
      </c>
      <c r="BT111" s="81"/>
      <c r="BU111" s="3000">
        <f>LN(IF(BU$106&lt;BU$99,IF(LOG(BU$105)&lt;-0.67,251.2,IF(LOG(BU$105)&lt;-0.28,10^(2.8+0.59*LOG(BU$105)),IF(LOG(BU$105)&lt;-0.15,426.6,10^(2.56-0.49*LOG(BU$105)))))*(BU102/Wind)^0.5,1))</f>
        <v>0</v>
      </c>
      <c r="BV111" s="81"/>
      <c r="BW111" s="3000">
        <f>LN(IF(BW$106&lt;BW$99,IF(LOG(BW$105)&lt;-0.67,251.2,IF(LOG(BW$105)&lt;-0.28,10^(2.8+0.59*LOG(BW$105)),IF(LOG(BW$105)&lt;-0.15,426.6,10^(2.56-0.49*LOG(BW$105)))))*(BW102/Wind)^0.5,1))</f>
        <v>0</v>
      </c>
      <c r="BX111" s="81"/>
      <c r="BY111" s="3000">
        <f>LN(IF(BY$106&lt;BY$99,IF(LOG(BY$105)&lt;-0.67,251.2,IF(LOG(BY$105)&lt;-0.28,10^(2.8+0.59*LOG(BY$105)),IF(LOG(BY$105)&lt;-0.15,426.6,10^(2.56-0.49*LOG(BY$105)))))*(BY102/Wind)^0.5,1))</f>
        <v>0</v>
      </c>
      <c r="BZ111" s="81"/>
      <c r="CA111" s="3000">
        <f>LN(IF(CA$106&lt;CA$99,IF(LOG(CA$105)&lt;-0.67,251.2,IF(LOG(CA$105)&lt;-0.28,10^(2.8+0.59*LOG(CA$105)),IF(LOG(CA$105)&lt;-0.15,426.6,10^(2.56-0.49*LOG(CA$105)))))*(CA102/Wind)^0.5,1))</f>
        <v>0</v>
      </c>
      <c r="CB111" s="81"/>
      <c r="CC111" s="3000">
        <f>LN(IF(CC$106&lt;CC$99,IF(LOG(CC$105)&lt;-0.67,251.2,IF(LOG(CC$105)&lt;-0.28,10^(2.8+0.59*LOG(CC$105)),IF(LOG(CC$105)&lt;-0.15,426.6,10^(2.56-0.49*LOG(CC$105)))))*(CC102/Wind)^0.5,1))</f>
        <v>0</v>
      </c>
      <c r="CD111" s="81"/>
      <c r="CE111" s="23"/>
      <c r="CF111" s="81"/>
      <c r="CG111" s="2"/>
      <c r="CH111" s="512" t="s">
        <v>5117</v>
      </c>
      <c r="CI111" s="83"/>
      <c r="CJ111" s="3000">
        <f>LN(IF(CJ$108&lt;CJ$27,IF(LOG(CJ$107)&lt;-0.66,8.91,IF(LOG(CJ$107)&lt;0.32,10^(1.19+0.36*LOG(CJ$107)),10^(1.38-0.26*LOG(CJ$107))))*(CJ16/CJ$28)^0.333,1))</f>
        <v>0</v>
      </c>
      <c r="CK111" s="83"/>
      <c r="CL111" s="23"/>
      <c r="CM111" s="83"/>
    </row>
    <row r="112" spans="1:91" ht="15" customHeight="1" x14ac:dyDescent="0.25">
      <c r="A112" s="2"/>
      <c r="B112" s="512" t="s">
        <v>5120</v>
      </c>
      <c r="C112" s="83"/>
      <c r="D112" s="3000">
        <f>LN(IF(D$106&lt;D$99,IF(LOG(D$105)&lt;-0.69,398.1,IF(LOG(D$105)&lt;-0.25,10^(2.87+0.39*LOG(D$105)),IF(LOG(D$105)&lt;-0.13,588.8,10^(2.71-0.5*LOG(D$105)))))*(D102/Wind)^0.5,1))</f>
        <v>0</v>
      </c>
      <c r="E112" s="83"/>
      <c r="F112" s="3000">
        <f>LN(IF(F$106&lt;F$99,IF(LOG(F$105)&lt;-0.69,398.1,IF(LOG(F$105)&lt;-0.25,10^(2.87+0.39*LOG(F$105)),IF(LOG(F$105)&lt;-0.13,588.8,10^(2.71-0.5*LOG(F$105)))))*(F102/Wind)^0.5,1))</f>
        <v>0</v>
      </c>
      <c r="G112" s="83"/>
      <c r="H112" s="3000">
        <f>LN(IF(H$106&lt;H$99,IF(LOG(H$105)&lt;-0.69,398.1,IF(LOG(H$105)&lt;-0.25,10^(2.87+0.39*LOG(H$105)),IF(LOG(H$105)&lt;-0.13,588.8,10^(2.71-0.5*LOG(H$105)))))*(H102/Wind)^0.5,1))</f>
        <v>0</v>
      </c>
      <c r="I112" s="83"/>
      <c r="J112" s="3000">
        <f>LN(IF(J$106&lt;J$99,IF(LOG(J$105)&lt;-0.69,398.1,IF(LOG(J$105)&lt;-0.25,10^(2.87+0.39*LOG(J$105)),IF(LOG(J$105)&lt;-0.13,588.8,10^(2.71-0.5*LOG(J$105)))))*(J102/Wind)^0.5,1))</f>
        <v>0</v>
      </c>
      <c r="K112" s="83"/>
      <c r="L112" s="3000">
        <f>LN(IF(L$106&lt;L$99,IF(LOG(L$105)&lt;-0.69,398.1,IF(LOG(L$105)&lt;-0.25,10^(2.87+0.39*LOG(L$105)),IF(LOG(L$105)&lt;-0.13,588.8,10^(2.71-0.5*LOG(L$105)))))*(L102/Wind)^0.5,1))</f>
        <v>0</v>
      </c>
      <c r="M112" s="83"/>
      <c r="N112" s="3000">
        <f>LN(IF(N$106&lt;N$99,IF(LOG(N$105)&lt;-0.69,398.1,IF(LOG(N$105)&lt;-0.25,10^(2.87+0.39*LOG(N$105)),IF(LOG(N$105)&lt;-0.13,588.8,10^(2.71-0.5*LOG(N$105)))))*(N102/Wind)^0.5,1))</f>
        <v>0</v>
      </c>
      <c r="O112" s="83"/>
      <c r="P112" s="3000">
        <f>LN(IF(P$106&lt;P$99,IF(LOG(P$105)&lt;-0.69,398.1,IF(LOG(P$105)&lt;-0.25,10^(2.87+0.39*LOG(P$105)),IF(LOG(P$105)&lt;-0.13,588.8,10^(2.71-0.5*LOG(P$105)))))*(P102/Wind)^0.5,1))</f>
        <v>0</v>
      </c>
      <c r="Q112" s="83"/>
      <c r="R112" s="3000">
        <f>LN(IF(R$106&lt;R$99,IF(LOG(R$105)&lt;-0.69,398.1,IF(LOG(R$105)&lt;-0.25,10^(2.87+0.39*LOG(R$105)),IF(LOG(R$105)&lt;-0.13,588.8,10^(2.71-0.5*LOG(R$105)))))*(R102/Wind)^0.5,1))</f>
        <v>0</v>
      </c>
      <c r="S112" s="83"/>
      <c r="T112" s="3000">
        <f>LN(IF(T$106&lt;T$99,IF(LOG(T$105)&lt;-0.69,398.1,IF(LOG(T$105)&lt;-0.25,10^(2.87+0.39*LOG(T$105)),IF(LOG(T$105)&lt;-0.13,588.8,10^(2.71-0.5*LOG(T$105)))))*(T102/Wind)^0.5,1))</f>
        <v>0</v>
      </c>
      <c r="U112" s="83"/>
      <c r="V112" s="3000">
        <f>LN(IF(V$106&lt;V$99,IF(LOG(V$105)&lt;-0.69,398.1,IF(LOG(V$105)&lt;-0.25,10^(2.87+0.39*LOG(V$105)),IF(LOG(V$105)&lt;-0.13,588.8,10^(2.71-0.5*LOG(V$105)))))*(V102/Wind)^0.5,1))</f>
        <v>0</v>
      </c>
      <c r="W112" s="83"/>
      <c r="X112" s="3000">
        <f>LN(IF(X$106&lt;X$99,IF(LOG(X$105)&lt;-0.69,398.1,IF(LOG(X$105)&lt;-0.25,10^(2.87+0.39*LOG(X$105)),IF(LOG(X$105)&lt;-0.13,588.8,10^(2.71-0.5*LOG(X$105)))))*(X102/Wind)^0.5,1))</f>
        <v>0</v>
      </c>
      <c r="Y112" s="83"/>
      <c r="Z112" s="2987"/>
      <c r="AA112" s="83"/>
      <c r="AB112" s="81"/>
      <c r="AC112" s="23" t="s">
        <v>3092</v>
      </c>
      <c r="AD112" s="81"/>
      <c r="AE112" s="1194">
        <f>IF(AND(State="Vapor",AE98&gt;0,AE109&gt;WorkArea_Elevation),AvgTime_Correction*MIN(5.73*1000000*AE89*(Plume_sZ_A*AE110^Plume_sZ_B/(Plume_sY_A*AE110^Plume_sY_B))/(Wind*AE98*(AE109-WorkArea_Elevation)^2),AE99*1000000),AE99*1000000)</f>
        <v>1000000</v>
      </c>
      <c r="AF112" s="81"/>
      <c r="AG112" s="1194">
        <f>IF(AND(State="Vapor",AG98&gt;0,AG109&gt;WorkArea_Elevation),AvgTime_Correction*MIN(5.73*1000000*AG89*(Plume_sZ_A*AG110^Plume_sZ_B/(Plume_sY_A*AG110^Plume_sY_B))/(Wind*AG98*(AG109-WorkArea_Elevation)^2),AG99*1000000),AG99*1000000)</f>
        <v>1000000</v>
      </c>
      <c r="AH112" s="81"/>
      <c r="AI112" s="1194">
        <f>IF(AND(State="Vapor",AI98&gt;0,AI109&gt;WorkArea_Elevation),AvgTime_Correction*MIN(5.73*1000000*AI89*(Plume_sZ_A*AI110^Plume_sZ_B/(Plume_sY_A*AI110^Plume_sY_B))/(Wind*AI98*(AI109-WorkArea_Elevation)^2),AI99*1000000),AI99*1000000)</f>
        <v>1000000</v>
      </c>
      <c r="AJ112" s="81"/>
      <c r="AK112" s="1194">
        <f>IF(AND(State="Vapor",AK98&gt;0,AK109&gt;WorkArea_Elevation),AvgTime_Correction*MIN(5.73*1000000*AK89*(Plume_sZ_A*AK110^Plume_sZ_B/(Plume_sY_A*AK110^Plume_sY_B))/(Wind*AK98*(AK109-WorkArea_Elevation)^2),AK99*1000000),AK99*1000000)</f>
        <v>1000000</v>
      </c>
      <c r="AL112" s="81"/>
      <c r="AM112" s="1194">
        <f>IF(AND(State="Vapor",AM98&gt;0,AM109&gt;WorkArea_Elevation),AvgTime_Correction*MIN(5.73*1000000*AM89*(Plume_sZ_A*AM110^Plume_sZ_B/(Plume_sY_A*AM110^Plume_sY_B))/(Wind*AM98*(AM109-WorkArea_Elevation)^2),AM99*1000000),AM99*1000000)</f>
        <v>1000000</v>
      </c>
      <c r="AN112" s="81"/>
      <c r="AO112" s="1194">
        <f>IF(AND(State="Vapor",AO98&gt;0,AO109&gt;WorkArea_Elevation),AvgTime_Correction*MIN(5.73*1000000*AO89*(Plume_sZ_A*AO110^Plume_sZ_B/(Plume_sY_A*AO110^Plume_sY_B))/(Wind*AO98*(AO109-WorkArea_Elevation)^2),AO99*1000000),AO99*1000000)</f>
        <v>1000000</v>
      </c>
      <c r="AP112" s="81"/>
      <c r="AQ112" s="85" t="s">
        <v>1506</v>
      </c>
      <c r="AR112" s="81"/>
      <c r="AS112" s="83"/>
      <c r="AT112" s="1691" t="s">
        <v>5066</v>
      </c>
      <c r="AU112" s="83"/>
      <c r="AV112" s="2401" t="e">
        <f>IF(AV103&lt;AV$83,(AV110/(AV103/AV$83))^(-1/AV111),0)</f>
        <v>#DIV/0!</v>
      </c>
      <c r="AW112" s="269"/>
      <c r="AX112" s="2401" t="e">
        <f>IF(AX103&lt;AX$83,(AX110/(AX103/AX$83))^(-1/AX111),0)</f>
        <v>#DIV/0!</v>
      </c>
      <c r="AY112" s="269"/>
      <c r="AZ112" s="2401" t="e">
        <f>IF(AZ103&lt;AZ$83,(AZ110/(AZ103/AZ$83))^(-1/AZ111),0)</f>
        <v>#DIV/0!</v>
      </c>
      <c r="BA112" s="269"/>
      <c r="BB112" s="2401" t="e">
        <f>IF(BB103&lt;BB$83,(BB110/(BB103/BB$83))^(-1/BB111),0)</f>
        <v>#DIV/0!</v>
      </c>
      <c r="BC112" s="269"/>
      <c r="BD112" s="2401" t="e">
        <f>IF(BD103&lt;BD$83,(BD110/(BD103/BD$83))^(-1/BD111),0)</f>
        <v>#DIV/0!</v>
      </c>
      <c r="BE112" s="269"/>
      <c r="BF112" s="2401" t="e">
        <f>IF(BF103&lt;BF$83,(BF110/(BF103/BF$83))^(-1/BF111),0)</f>
        <v>#DIV/0!</v>
      </c>
      <c r="BG112" s="269"/>
      <c r="BH112" s="2401" t="e">
        <f>IF(BH103&lt;BH$83,(BH110/(BH103/BH$83))^(-1/BH111),0)</f>
        <v>#DIV/0!</v>
      </c>
      <c r="BI112" s="269"/>
      <c r="BJ112" s="2401" t="e">
        <f>IF(BJ103&lt;BJ$83,(BJ110/(BJ103/BJ$83))^(-1/BJ111),0)</f>
        <v>#DIV/0!</v>
      </c>
      <c r="BK112" s="269"/>
      <c r="BL112" s="2401" t="e">
        <f>IF(BL103&lt;BL$83,(BL110/(BL103/BL$83))^(-1/BL111),0)</f>
        <v>#DIV/0!</v>
      </c>
      <c r="BM112" s="269"/>
      <c r="BN112" s="2401" t="e">
        <f>IF(BN103&lt;BN$83,(BN110/(BN103/BN$83))^(-1/BN111),0)</f>
        <v>#DIV/0!</v>
      </c>
      <c r="BO112" s="269"/>
      <c r="BP112" s="1835"/>
      <c r="BQ112" s="83"/>
      <c r="BR112" s="81"/>
      <c r="BS112" s="512" t="s">
        <v>5120</v>
      </c>
      <c r="BT112" s="81"/>
      <c r="BU112" s="3000">
        <f>LN(IF(BU$106&lt;BU$99,IF(LOG(BU$105)&lt;-0.69,398.1,IF(LOG(BU$105)&lt;-0.25,10^(2.87+0.39*LOG(BU$105)),IF(LOG(BU$105)&lt;-0.13,588.8,10^(2.71-0.5*LOG(BU$105)))))*(BU102/Wind)^0.5,1))</f>
        <v>0</v>
      </c>
      <c r="BV112" s="81"/>
      <c r="BW112" s="3000">
        <f>LN(IF(BW$106&lt;BW$99,IF(LOG(BW$105)&lt;-0.69,398.1,IF(LOG(BW$105)&lt;-0.25,10^(2.87+0.39*LOG(BW$105)),IF(LOG(BW$105)&lt;-0.13,588.8,10^(2.71-0.5*LOG(BW$105)))))*(BW102/Wind)^0.5,1))</f>
        <v>0</v>
      </c>
      <c r="BX112" s="81"/>
      <c r="BY112" s="3000">
        <f>LN(IF(BY$106&lt;BY$99,IF(LOG(BY$105)&lt;-0.69,398.1,IF(LOG(BY$105)&lt;-0.25,10^(2.87+0.39*LOG(BY$105)),IF(LOG(BY$105)&lt;-0.13,588.8,10^(2.71-0.5*LOG(BY$105)))))*(BY102/Wind)^0.5,1))</f>
        <v>0</v>
      </c>
      <c r="BZ112" s="81"/>
      <c r="CA112" s="3000">
        <f>LN(IF(CA$106&lt;CA$99,IF(LOG(CA$105)&lt;-0.69,398.1,IF(LOG(CA$105)&lt;-0.25,10^(2.87+0.39*LOG(CA$105)),IF(LOG(CA$105)&lt;-0.13,588.8,10^(2.71-0.5*LOG(CA$105)))))*(CA102/Wind)^0.5,1))</f>
        <v>0</v>
      </c>
      <c r="CB112" s="81"/>
      <c r="CC112" s="3000">
        <f>LN(IF(CC$106&lt;CC$99,IF(LOG(CC$105)&lt;-0.69,398.1,IF(LOG(CC$105)&lt;-0.25,10^(2.87+0.39*LOG(CC$105)),IF(LOG(CC$105)&lt;-0.13,588.8,10^(2.71-0.5*LOG(CC$105)))))*(CC102/Wind)^0.5,1))</f>
        <v>0</v>
      </c>
      <c r="CD112" s="81"/>
      <c r="CE112" s="23"/>
      <c r="CF112" s="81"/>
      <c r="CG112" s="2"/>
      <c r="CH112" s="512" t="s">
        <v>5118</v>
      </c>
      <c r="CI112" s="83"/>
      <c r="CJ112" s="3000">
        <f>LN(IF(CJ$108&lt;CJ$27,IF(LOG(CJ$107)&lt;-0.71,14.1,IF(LOG(CJ$107)&lt;0.37,10^(1.39+0.34*LOG(CJ$107)),10^(1.66-0.38*LOG(CJ$107))))*(CJ16/CJ$28)^0.333,1))</f>
        <v>0</v>
      </c>
      <c r="CK112" s="83"/>
      <c r="CL112" s="23"/>
      <c r="CM112" s="83"/>
    </row>
    <row r="113" spans="1:91" ht="15" customHeight="1" x14ac:dyDescent="0.25">
      <c r="A113" s="2"/>
      <c r="B113" s="2977" t="s">
        <v>5050</v>
      </c>
      <c r="C113" s="83"/>
      <c r="D113" s="1230">
        <f>EXP(INDEX(LINEST($CJ$277:$CJ$282,D107:D112),2))*((Ambient_Temp+273)/(D9+273))*Roughness_A</f>
        <v>8.0110655998420644E-3</v>
      </c>
      <c r="E113" s="83"/>
      <c r="F113" s="1230">
        <f>EXP(INDEX(LINEST($CJ$277:$CJ$282,F107:F112),2))*((Ambient_Temp+273)/(F9+273))*Roughness_A</f>
        <v>8.0110655998420644E-3</v>
      </c>
      <c r="G113" s="83"/>
      <c r="H113" s="1230">
        <f>EXP(INDEX(LINEST($CJ$277:$CJ$282,H107:H112),2))*((Ambient_Temp+273)/(H9+273))*Roughness_A</f>
        <v>8.0110655998420644E-3</v>
      </c>
      <c r="I113" s="83"/>
      <c r="J113" s="1230">
        <f>EXP(INDEX(LINEST($CJ$277:$CJ$282,J107:J112),2))*((Ambient_Temp+273)/(J9+273))*Roughness_A</f>
        <v>8.0110655998420644E-3</v>
      </c>
      <c r="K113" s="83"/>
      <c r="L113" s="1230">
        <f>EXP(INDEX(LINEST($CJ$277:$CJ$282,L107:L112),2))*((Ambient_Temp+273)/(L9+273))*Roughness_A</f>
        <v>8.0110655998420644E-3</v>
      </c>
      <c r="M113" s="83"/>
      <c r="N113" s="1230">
        <f>EXP(INDEX(LINEST($CJ$277:$CJ$282,N107:N112),2))*((Ambient_Temp+273)/(N9+273))*Roughness_A</f>
        <v>8.0110655998420644E-3</v>
      </c>
      <c r="O113" s="83"/>
      <c r="P113" s="1230">
        <f>EXP(INDEX(LINEST($CJ$277:$CJ$282,P107:P112),2))*((Ambient_Temp+273)/(P9+273))*Roughness_A</f>
        <v>8.0110655998420644E-3</v>
      </c>
      <c r="Q113" s="83"/>
      <c r="R113" s="1230">
        <f>EXP(INDEX(LINEST($CJ$277:$CJ$282,R107:R112),2))*((Ambient_Temp+273)/(R9+273))*Roughness_A</f>
        <v>8.0110655998420644E-3</v>
      </c>
      <c r="S113" s="83"/>
      <c r="T113" s="1230">
        <f>EXP(INDEX(LINEST($CJ$277:$CJ$282,T107:T112),2))*((Ambient_Temp+273)/(T9+273))*Roughness_A</f>
        <v>8.0110655998420644E-3</v>
      </c>
      <c r="U113" s="83"/>
      <c r="V113" s="1230">
        <f>EXP(INDEX(LINEST($CJ$277:$CJ$282,V107:V112),2))*((Ambient_Temp+273)/(V9+273))*Roughness_A</f>
        <v>8.0110655998420644E-3</v>
      </c>
      <c r="W113" s="83"/>
      <c r="X113" s="1230">
        <f>EXP(INDEX(LINEST($CJ$277:$CJ$282,X107:X112),2))*((Ambient_Temp+273)/(X9+273))*Roughness_A</f>
        <v>8.0110655998420644E-3</v>
      </c>
      <c r="Y113" s="83"/>
      <c r="Z113" s="2987"/>
      <c r="AA113" s="83"/>
      <c r="AB113" s="81"/>
      <c r="AC113" s="851" t="s">
        <v>2684</v>
      </c>
      <c r="AD113" s="81"/>
      <c r="AE113" s="23">
        <f>IF(AND(State="Vapor",AE109&gt;1.2,IF(Public_Relief&gt;0,Public_Relief,Public)&gt;0),EXP(-0.5*((AE109-1.2)/(Plume_sZ_A*(IF(Public_Relief&gt;0,Public_Relief,Public))^Plume_sZ_B))^2),1)</f>
        <v>1</v>
      </c>
      <c r="AF113" s="81"/>
      <c r="AG113" s="23">
        <f>IF(AND(State="Vapor",AG109&gt;1.2,IF(Public_Relief&gt;0,Public_Relief,Public)+AG108&gt;0),EXP(-0.5*((AG109-1.2)/(Plume_sZ_A*(IF(Public_Relief&gt;0,Public_Relief,Public)+AG108)^Plume_sZ_B))^2),1)</f>
        <v>1</v>
      </c>
      <c r="AH113" s="81"/>
      <c r="AI113" s="23">
        <f>IF(AND(State="Vapor",AI109&gt;1.2,IF(Public_Relief&gt;0,Public_Relief,Public)+AI108&gt;0),EXP(-0.5*((AI109-1.2)/(Plume_sZ_A*(IF(Public_Relief&gt;0,Public_Relief,Public)+AI108)^Plume_sZ_B))^2),1)</f>
        <v>1</v>
      </c>
      <c r="AJ113" s="81"/>
      <c r="AK113" s="23">
        <f>IF(AND(State="Vapor",AK109&gt;1.2,IF(Public_Relief&gt;0,Public_Relief,Public)+AK108&gt;0),EXP(-0.5*((AK109-1.2)/(Plume_sZ_A*(IF(Public_Relief&gt;0,Public_Relief,Public)+AK108)^Plume_sZ_B))^2),1)</f>
        <v>1</v>
      </c>
      <c r="AL113" s="81"/>
      <c r="AM113" s="23">
        <f>IF(AND(State="Vapor",AM109&gt;1.2,IF(Public_Relief&gt;0,Public_Relief,Public)+AM108&gt;0),EXP(-0.5*((AM109-1.2)/(Plume_sZ_A*(IF(Public_Relief&gt;0,Public_Relief,Public)+AM108)^Plume_sZ_B))^2),1)</f>
        <v>1</v>
      </c>
      <c r="AN113" s="81"/>
      <c r="AO113" s="23">
        <f>IF(AND(State="Vapor",AO109&gt;1.2,IF(Public_Relief&gt;0,Public_Relief,Public)+AO108&gt;0),EXP(-0.5*((AO109-1.2)/(Plume_sZ_A*(IF(Public_Relief&gt;0,Public_Relief,Public)+AO108)^Plume_sZ_B))^2),1)</f>
        <v>1</v>
      </c>
      <c r="AP113" s="81"/>
      <c r="AQ113" s="85"/>
      <c r="AR113" s="81"/>
      <c r="AS113" s="83"/>
      <c r="AT113" s="1691" t="s">
        <v>5070</v>
      </c>
      <c r="AU113" s="83"/>
      <c r="AV113" s="2985" t="e">
        <f>IF(AV112&gt;0,NBPlume_A*AV$73/(AV$82*Wind*AV103),0)^NBPlume_B</f>
        <v>#DIV/0!</v>
      </c>
      <c r="AW113" s="269"/>
      <c r="AX113" s="2985" t="e">
        <f>IF(AX112&gt;0,NBPlume_A*AX$73/(AX$82*Wind*AX103),0)^NBPlume_B</f>
        <v>#DIV/0!</v>
      </c>
      <c r="AY113" s="269"/>
      <c r="AZ113" s="2985" t="e">
        <f>IF(AZ112&gt;0,NBPlume_A*AZ$73/(AZ$82*Wind*AZ103),0)^NBPlume_B</f>
        <v>#DIV/0!</v>
      </c>
      <c r="BA113" s="269"/>
      <c r="BB113" s="2985" t="e">
        <f>IF(BB112&gt;0,NBPlume_A*BB$73/(BB$82*Wind*BB103),0)^NBPlume_B</f>
        <v>#DIV/0!</v>
      </c>
      <c r="BC113" s="269"/>
      <c r="BD113" s="2985" t="e">
        <f>IF(BD112&gt;0,NBPlume_A*BD$73/(BD$82*Wind*BD103),0)^NBPlume_B</f>
        <v>#DIV/0!</v>
      </c>
      <c r="BE113" s="269"/>
      <c r="BF113" s="2985" t="e">
        <f>IF(BF112&gt;0,NBPlume_A*BF$73/(BF$82*Wind*BF103),0)^NBPlume_B</f>
        <v>#DIV/0!</v>
      </c>
      <c r="BG113" s="269"/>
      <c r="BH113" s="2985" t="e">
        <f>IF(BH112&gt;0,NBPlume_A*BH$73/(BH$82*Wind*BH103),0)^NBPlume_B</f>
        <v>#DIV/0!</v>
      </c>
      <c r="BI113" s="269"/>
      <c r="BJ113" s="2985" t="e">
        <f>IF(BJ112&gt;0,NBPlume_A*BJ$73/(BJ$82*Wind*BJ103),0)^NBPlume_B</f>
        <v>#DIV/0!</v>
      </c>
      <c r="BK113" s="269"/>
      <c r="BL113" s="2985" t="e">
        <f>IF(BL112&gt;0,NBPlume_A*BL$73/(BL$82*Wind*BL103),0)^NBPlume_B</f>
        <v>#DIV/0!</v>
      </c>
      <c r="BM113" s="269"/>
      <c r="BN113" s="2985" t="e">
        <f>IF(BN112&gt;0,NBPlume_A*BN$73/(BN$82*Wind*BN103),0)^NBPlume_B</f>
        <v>#DIV/0!</v>
      </c>
      <c r="BO113" s="269"/>
      <c r="BP113" s="1835"/>
      <c r="BQ113" s="83"/>
      <c r="BR113" s="81"/>
      <c r="BS113" s="2977" t="s">
        <v>5050</v>
      </c>
      <c r="BT113" s="81"/>
      <c r="BU113" s="1230">
        <f>EXP(INDEX(LINEST($CJ$277:$CJ$282,BU107:BU112),2))*((Ambient_Temp+273)/(BU15+273))*Roughness_A</f>
        <v>8.0110655998420644E-3</v>
      </c>
      <c r="BV113" s="81"/>
      <c r="BW113" s="1230">
        <f>EXP(INDEX(LINEST($CJ$277:$CJ$282,BW107:BW112),2))*((Ambient_Temp+273)/(BW15+273))*Roughness_A</f>
        <v>8.0110655998420644E-3</v>
      </c>
      <c r="BX113" s="81"/>
      <c r="BY113" s="1230">
        <f>EXP(INDEX(LINEST($CJ$277:$CJ$282,BY107:BY112),2))*((Ambient_Temp+273)/(BY15+273))*Roughness_A</f>
        <v>8.0110655998420644E-3</v>
      </c>
      <c r="BZ113" s="81"/>
      <c r="CA113" s="1230">
        <f>EXP(INDEX(LINEST($CJ$277:$CJ$282,CA107:CA112),2))*((Ambient_Temp+273)/(CA15+273))*Roughness_A</f>
        <v>8.0110655998420644E-3</v>
      </c>
      <c r="CB113" s="81"/>
      <c r="CC113" s="1230">
        <f>EXP(INDEX(LINEST($CJ$277:$CJ$282,CC107:CC112),2))*((Ambient_Temp+273)/(CC15+273))*Roughness_A</f>
        <v>8.0110655998420644E-3</v>
      </c>
      <c r="CD113" s="81"/>
      <c r="CE113" s="23"/>
      <c r="CF113" s="81"/>
      <c r="CG113" s="2"/>
      <c r="CH113" s="512" t="s">
        <v>5119</v>
      </c>
      <c r="CI113" s="83"/>
      <c r="CJ113" s="3000">
        <f>LN(IF(CJ$108&lt;CJ$27,IF(LOG(CJ$107)&lt;-0.52,30.2,IF(LOG(CJ$107)&lt;0.24,10^(1.62+0.26*LOG(CJ$107)),10^(1.75-0.3*LOG(CJ$107))))*(CJ16/CJ$28)^0.333,1))</f>
        <v>0</v>
      </c>
      <c r="CK113" s="83"/>
      <c r="CL113" s="23"/>
      <c r="CM113" s="83"/>
    </row>
    <row r="114" spans="1:91" ht="15" customHeight="1" x14ac:dyDescent="0.25">
      <c r="A114" s="2"/>
      <c r="B114" s="2977" t="s">
        <v>5053</v>
      </c>
      <c r="C114" s="83"/>
      <c r="D114" s="1230">
        <f>INDEX(LINEST($CJ$277:$CJ$282,D107:D112),1)+Roughness_B</f>
        <v>0</v>
      </c>
      <c r="E114" s="83"/>
      <c r="F114" s="1230">
        <f>INDEX(LINEST($CJ$277:$CJ$282,F107:F112),1)+Roughness_B</f>
        <v>0</v>
      </c>
      <c r="G114" s="83"/>
      <c r="H114" s="1230">
        <f>INDEX(LINEST($CJ$277:$CJ$282,H107:H112),1)+Roughness_B</f>
        <v>0</v>
      </c>
      <c r="I114" s="83"/>
      <c r="J114" s="1230">
        <f>INDEX(LINEST($CJ$277:$CJ$282,J107:J112),1)+Roughness_B</f>
        <v>0</v>
      </c>
      <c r="K114" s="83"/>
      <c r="L114" s="1230">
        <f>INDEX(LINEST($CJ$277:$CJ$282,L107:L112),1)+Roughness_B</f>
        <v>0</v>
      </c>
      <c r="M114" s="83"/>
      <c r="N114" s="1230">
        <f>INDEX(LINEST($CJ$277:$CJ$282,N107:N112),1)+Roughness_B</f>
        <v>0</v>
      </c>
      <c r="O114" s="83"/>
      <c r="P114" s="1230">
        <f>INDEX(LINEST($CJ$277:$CJ$282,P107:P112),1)+Roughness_B</f>
        <v>0</v>
      </c>
      <c r="Q114" s="83"/>
      <c r="R114" s="1230">
        <f>INDEX(LINEST($CJ$277:$CJ$282,R107:R112),1)+Roughness_B</f>
        <v>0</v>
      </c>
      <c r="S114" s="83"/>
      <c r="T114" s="1230">
        <f>INDEX(LINEST($CJ$277:$CJ$282,T107:T112),1)+Roughness_B</f>
        <v>0</v>
      </c>
      <c r="U114" s="83"/>
      <c r="V114" s="1230">
        <f>INDEX(LINEST($CJ$277:$CJ$282,V107:V112),1)+Roughness_B</f>
        <v>0</v>
      </c>
      <c r="W114" s="83"/>
      <c r="X114" s="1230">
        <f>INDEX(LINEST($CJ$277:$CJ$282,X107:X112),1)+Roughness_B</f>
        <v>0</v>
      </c>
      <c r="Y114" s="83"/>
      <c r="Z114" s="2987"/>
      <c r="AA114" s="83"/>
      <c r="AB114" s="81"/>
      <c r="AC114" s="851" t="s">
        <v>2685</v>
      </c>
      <c r="AD114" s="81"/>
      <c r="AE114" s="2122">
        <f>IF(AND(State="Vapor",AE109&gt;WorkArea_Elevation+1.2,WorkArea_Distance&gt;0,WorkArea_Distance&gt;0),EXP(-0.5*((AE109-WorkArea_Elevation-1.2)/(Plume_sZ_A*(WorkArea_Distance)^Plume_sZ_B))^2),1)</f>
        <v>1</v>
      </c>
      <c r="AF114" s="81"/>
      <c r="AG114" s="2122">
        <f>IF(AND(State="Vapor",AG109&gt;WorkArea_Elevation+1.2,WorkArea_Distance&gt;0,WorkArea_Distance+AG108&gt;0),EXP(-0.5*((AG109-WorkArea_Elevation-1.2)/(Plume_sZ_A*(WorkArea_Distance+AG108)^Plume_sZ_B))^2),1)</f>
        <v>1</v>
      </c>
      <c r="AH114" s="81"/>
      <c r="AI114" s="2122">
        <f>IF(AND(State="Vapor",AI109&gt;WorkArea_Elevation+1.2,WorkArea_Distance&gt;0,WorkArea_Distance+AI108&gt;0),EXP(-0.5*((AI109-WorkArea_Elevation-1.2)/(Plume_sZ_A*(WorkArea_Distance+AI108)^Plume_sZ_B))^2),1)</f>
        <v>1</v>
      </c>
      <c r="AJ114" s="81"/>
      <c r="AK114" s="2122">
        <f>IF(AND(State="Vapor",AK109&gt;WorkArea_Elevation+1.2,WorkArea_Distance&gt;0,WorkArea_Distance+AK108&gt;0),EXP(-0.5*((AK109-WorkArea_Elevation-1.2)/(Plume_sZ_A*(WorkArea_Distance+AK108)^Plume_sZ_B))^2),1)</f>
        <v>1</v>
      </c>
      <c r="AL114" s="81"/>
      <c r="AM114" s="2122">
        <f>IF(AND(State="Vapor",AM109&gt;WorkArea_Elevation+1.2,WorkArea_Distance&gt;0,WorkArea_Distance+AM108&gt;0),EXP(-0.5*((AM109-WorkArea_Elevation-1.2)/(Plume_sZ_A*(WorkArea_Distance+AM108)^Plume_sZ_B))^2),1)</f>
        <v>1</v>
      </c>
      <c r="AN114" s="81"/>
      <c r="AO114" s="2122">
        <f>IF(AND(State="Vapor",AO109&gt;WorkArea_Elevation+1.2,WorkArea_Distance&gt;0,WorkArea_Distance+AO108&gt;0),EXP(-0.5*((AO109-WorkArea_Elevation-1.2)/(Plume_sZ_A*(WorkArea_Distance+AO108)^Plume_sZ_B))^2),1)</f>
        <v>1</v>
      </c>
      <c r="AP114" s="81"/>
      <c r="AQ114" s="85"/>
      <c r="AR114" s="81"/>
      <c r="AS114" s="83"/>
      <c r="AT114" s="512" t="s">
        <v>5099</v>
      </c>
      <c r="AU114" s="83"/>
      <c r="AV114" s="2981">
        <f>IF(AV$73&gt;0,LN(IF(AV$112&gt;=10,AV$83*AV$110*10^AV$111,NBPlume_A*AV$73/(AV$82*Wind)/(10-AV$112+AV$113)^(1/NBPlume_B))),0)</f>
        <v>0</v>
      </c>
      <c r="AW114" s="269"/>
      <c r="AX114" s="2981">
        <f>IF(AX$73&gt;0,LN(IF(AX$112&gt;=10,AX$83*AX$110*10^AX$111,NBPlume_A*AX$73/(AX$82*Wind)/(10-AX$112+AX$113)^(1/NBPlume_B))),0)</f>
        <v>0</v>
      </c>
      <c r="AY114" s="269"/>
      <c r="AZ114" s="2981">
        <f>IF(AZ$73&gt;0,LN(IF(AZ$112&gt;=10,AZ$83*AZ$110*10^AZ$111,NBPlume_A*AZ$73/(AZ$82*Wind)/(10-AZ$112+AZ$113)^(1/NBPlume_B))),0)</f>
        <v>0</v>
      </c>
      <c r="BA114" s="269"/>
      <c r="BB114" s="2981">
        <f>IF(BB$73&gt;0,LN(IF(BB$112&gt;=10,BB$83*BB$110*10^BB$111,NBPlume_A*BB$73/(BB$82*Wind)/(10-BB$112+BB$113)^(1/NBPlume_B))),0)</f>
        <v>0</v>
      </c>
      <c r="BC114" s="269"/>
      <c r="BD114" s="2981">
        <f>IF(BD$73&gt;0,LN(IF(BD$112&gt;=10,BD$83*BD$110*10^BD$111,NBPlume_A*BD$73/(BD$82*Wind)/(10-BD$112+BD$113)^(1/NBPlume_B))),0)</f>
        <v>0</v>
      </c>
      <c r="BE114" s="269"/>
      <c r="BF114" s="2981">
        <f>IF(BF$73&gt;0,LN(IF(BF$112&gt;=10,BF$83*BF$110*10^BF$111,NBPlume_A*BF$73/(BF$82*Wind)/(10-BF$112+BF$113)^(1/NBPlume_B))),0)</f>
        <v>0</v>
      </c>
      <c r="BG114" s="269"/>
      <c r="BH114" s="2981">
        <f>IF(BH$73&gt;0,LN(IF(BH$112&gt;=10,BH$83*BH$110*10^BH$111,NBPlume_A*BH$73/(BH$82*Wind)/(10-BH$112+BH$113)^(1/NBPlume_B))),0)</f>
        <v>0</v>
      </c>
      <c r="BI114" s="269"/>
      <c r="BJ114" s="2981">
        <f>IF(BJ$73&gt;0,LN(IF(BJ$112&gt;=10,BJ$83*BJ$110*10^BJ$111,NBPlume_A*BJ$73/(BJ$82*Wind)/(10-BJ$112+BJ$113)^(1/NBPlume_B))),0)</f>
        <v>0</v>
      </c>
      <c r="BK114" s="269"/>
      <c r="BL114" s="2981">
        <f>IF(BL$73&gt;0,LN(IF(BL$112&gt;=10,BL$83*BL$110*10^BL$111,NBPlume_A*BL$73/(BL$82*Wind)/(10-BL$112+BL$113)^(1/NBPlume_B))),0)</f>
        <v>0</v>
      </c>
      <c r="BM114" s="269"/>
      <c r="BN114" s="2981">
        <f>IF(BN$73&gt;0,LN(IF(BN$112&gt;=10,BN$83*BN$110*10^BN$111,NBPlume_A*BN$73/(BN$82*Wind)/(10-BN$112+BN$113)^(1/NBPlume_B))),0)</f>
        <v>0</v>
      </c>
      <c r="BO114" s="269"/>
      <c r="BP114" s="1835"/>
      <c r="BQ114" s="83"/>
      <c r="BR114" s="81"/>
      <c r="BS114" s="2977" t="s">
        <v>5053</v>
      </c>
      <c r="BT114" s="81"/>
      <c r="BU114" s="1230">
        <f>INDEX(LINEST($CJ$277:$CJ$282,BU107:BU112),1)+Roughness_B</f>
        <v>0</v>
      </c>
      <c r="BV114" s="81"/>
      <c r="BW114" s="1230">
        <f>INDEX(LINEST($CJ$277:$CJ$282,BW107:BW112),1)+Roughness_B</f>
        <v>0</v>
      </c>
      <c r="BX114" s="81"/>
      <c r="BY114" s="1230">
        <f>INDEX(LINEST($CJ$277:$CJ$282,BY107:BY112),1)+Roughness_B</f>
        <v>0</v>
      </c>
      <c r="BZ114" s="81"/>
      <c r="CA114" s="1230">
        <f>INDEX(LINEST($CJ$277:$CJ$282,CA107:CA112),1)+Roughness_B</f>
        <v>0</v>
      </c>
      <c r="CB114" s="81"/>
      <c r="CC114" s="1230">
        <f>INDEX(LINEST($CJ$277:$CJ$282,CC107:CC112),1)+Roughness_B</f>
        <v>0</v>
      </c>
      <c r="CD114" s="81"/>
      <c r="CE114" s="23"/>
      <c r="CF114" s="81"/>
      <c r="CG114" s="2"/>
      <c r="CH114" s="512" t="s">
        <v>5120</v>
      </c>
      <c r="CI114" s="83"/>
      <c r="CJ114" s="3000">
        <f>LN(IF(CJ$108&lt;CJ$27,IF(LOG(CJ$107)&lt;0.27,67.6,10^(1.92-0.32*LOG(CJ$107)))*(CJ16/CJ$28)^0.333,1))</f>
        <v>0</v>
      </c>
      <c r="CK114" s="83"/>
      <c r="CL114" s="23"/>
      <c r="CM114" s="83"/>
    </row>
    <row r="115" spans="1:91" ht="15" customHeight="1" x14ac:dyDescent="0.25">
      <c r="A115" s="2"/>
      <c r="B115" s="1691" t="s">
        <v>5066</v>
      </c>
      <c r="C115" s="83"/>
      <c r="D115" s="2401">
        <f>IF(D106&lt;D$99,(D113/(D106/D$99))^(-1/D114),0)</f>
        <v>0</v>
      </c>
      <c r="E115" s="83"/>
      <c r="F115" s="2401">
        <f>IF(F106&lt;F$99,(F113/(F106/F$99))^(-1/F114),0)</f>
        <v>0</v>
      </c>
      <c r="G115" s="83"/>
      <c r="H115" s="2401">
        <f>IF(H106&lt;H$99,(H113/(H106/H$99))^(-1/H114),0)</f>
        <v>0</v>
      </c>
      <c r="I115" s="83"/>
      <c r="J115" s="2401">
        <f>IF(J106&lt;J$99,(J113/(J106/J$99))^(-1/J114),0)</f>
        <v>0</v>
      </c>
      <c r="K115" s="83"/>
      <c r="L115" s="2401">
        <f>IF(L106&lt;L$99,(L113/(L106/L$99))^(-1/L114),0)</f>
        <v>0</v>
      </c>
      <c r="M115" s="83"/>
      <c r="N115" s="2401">
        <f>IF(N106&lt;N$99,(N113/(N106/N$99))^(-1/N114),0)</f>
        <v>0</v>
      </c>
      <c r="O115" s="83"/>
      <c r="P115" s="2401">
        <f>IF(P106&lt;P$99,(P113/(P106/P$99))^(-1/P114),0)</f>
        <v>0</v>
      </c>
      <c r="Q115" s="83"/>
      <c r="R115" s="2401">
        <f>IF(R106&lt;R$99,(R113/(R106/R$99))^(-1/R114),0)</f>
        <v>0</v>
      </c>
      <c r="S115" s="83"/>
      <c r="T115" s="2401">
        <f>IF(T106&lt;T$99,(T113/(T106/T$99))^(-1/T114),0)</f>
        <v>0</v>
      </c>
      <c r="U115" s="83"/>
      <c r="V115" s="2401">
        <f>IF(V106&lt;V$99,(V113/(V106/V$99))^(-1/V114),0)</f>
        <v>0</v>
      </c>
      <c r="W115" s="83"/>
      <c r="X115" s="2401">
        <f>IF(X106&lt;X$99,(X113/(X106/X$99))^(-1/X114),0)</f>
        <v>0</v>
      </c>
      <c r="Y115" s="83"/>
      <c r="Z115" s="85" t="s">
        <v>1068</v>
      </c>
      <c r="AA115" s="83"/>
      <c r="AB115" s="81"/>
      <c r="AC115" s="851" t="s">
        <v>3089</v>
      </c>
      <c r="AD115" s="81"/>
      <c r="AE115" s="2122">
        <f>IF(AND(State="Vapor",AE109&gt;WorkArea_Elevation+1.2,WorkArea_Distance2&gt;0,WorkArea_Distance2&gt;0),EXP(-0.5*((AE109-WorkArea_Elevation-1.2)/(Plume_sZ_A*(WorkArea_Distance2)^Plume_sZ_B))^2),1)</f>
        <v>1</v>
      </c>
      <c r="AF115" s="81"/>
      <c r="AG115" s="2122">
        <f>IF(AND(State="Vapor",AG109&gt;WorkArea_Elevation+1.2,WorkArea_Distance2&gt;0,WorkArea_Distance2+AG108&gt;0),EXP(-0.5*((AG109-WorkArea_Elevation-1.2)/(Plume_sZ_A*(WorkArea_Distance2+AG108)^Plume_sZ_B))^2),1)</f>
        <v>1</v>
      </c>
      <c r="AH115" s="81"/>
      <c r="AI115" s="2122">
        <f>IF(AND(State="Vapor",AI109&gt;WorkArea_Elevation+1.2,WorkArea_Distance2&gt;0,WorkArea_Distance2+AI108&gt;0),EXP(-0.5*((AI109-WorkArea_Elevation-1.2)/(Plume_sZ_A*(WorkArea_Distance2+AI108)^Plume_sZ_B))^2),1)</f>
        <v>1</v>
      </c>
      <c r="AJ115" s="81"/>
      <c r="AK115" s="2122">
        <f>IF(AND(State="Vapor",AK109&gt;WorkArea_Elevation+1.2,WorkArea_Distance2&gt;0,WorkArea_Distance2+AK108&gt;0),EXP(-0.5*((AK109-WorkArea_Elevation-1.2)/(Plume_sZ_A*(WorkArea_Distance2+AK108)^Plume_sZ_B))^2),1)</f>
        <v>1</v>
      </c>
      <c r="AL115" s="81"/>
      <c r="AM115" s="2122">
        <f>IF(AND(State="Vapor",AM109&gt;WorkArea_Elevation+1.2,WorkArea_Distance2&gt;0,WorkArea_Distance2+AM108&gt;0),EXP(-0.5*((AM109-WorkArea_Elevation-1.2)/(Plume_sZ_A*(WorkArea_Distance2+AM108)^Plume_sZ_B))^2),1)</f>
        <v>1</v>
      </c>
      <c r="AN115" s="81"/>
      <c r="AO115" s="2122">
        <f>IF(AND(State="Vapor",AO109&gt;WorkArea_Elevation+1.2,WorkArea_Distance2&gt;0,WorkArea_Distance2+AO108&gt;0),EXP(-0.5*((AO109-WorkArea_Elevation-1.2)/(Plume_sZ_A*(WorkArea_Distance2+AO108)^Plume_sZ_B))^2),1)</f>
        <v>1</v>
      </c>
      <c r="AP115" s="81"/>
      <c r="AQ115" s="85"/>
      <c r="AR115" s="81"/>
      <c r="AS115" s="83"/>
      <c r="AT115" s="512" t="s">
        <v>5100</v>
      </c>
      <c r="AU115" s="83"/>
      <c r="AV115" s="2981">
        <f>IF(AV$73&gt;0,LN(IF(AV$112&gt;=20,AV$83*AV$110*20^AV$111,NBPlume_A*AV$73/(AV$82*Wind)/(20-AV$112+AV$113)^(1/NBPlume_B))),0)</f>
        <v>0</v>
      </c>
      <c r="AW115" s="269"/>
      <c r="AX115" s="2981">
        <f>IF(AX$73&gt;0,LN(IF(AX$112&gt;=20,AX$83*AX$110*20^AX$111,NBPlume_A*AX$73/(AX$82*Wind)/(20-AX$112+AX$113)^(1/NBPlume_B))),0)</f>
        <v>0</v>
      </c>
      <c r="AY115" s="269"/>
      <c r="AZ115" s="2981">
        <f>IF(AZ$73&gt;0,LN(IF(AZ$112&gt;=20,AZ$83*AZ$110*20^AZ$111,NBPlume_A*AZ$73/(AZ$82*Wind)/(20-AZ$112+AZ$113)^(1/NBPlume_B))),0)</f>
        <v>0</v>
      </c>
      <c r="BA115" s="269"/>
      <c r="BB115" s="2981">
        <f>IF(BB$73&gt;0,LN(IF(BB$112&gt;=20,BB$83*BB$110*20^BB$111,NBPlume_A*BB$73/(BB$82*Wind)/(20-BB$112+BB$113)^(1/NBPlume_B))),0)</f>
        <v>0</v>
      </c>
      <c r="BC115" s="269"/>
      <c r="BD115" s="2981">
        <f>IF(BD$73&gt;0,LN(IF(BD$112&gt;=20,BD$83*BD$110*20^BD$111,NBPlume_A*BD$73/(BD$82*Wind)/(20-BD$112+BD$113)^(1/NBPlume_B))),0)</f>
        <v>0</v>
      </c>
      <c r="BE115" s="269"/>
      <c r="BF115" s="2981">
        <f>IF(BF$73&gt;0,LN(IF(BF$112&gt;=20,BF$83*BF$110*20^BF$111,NBPlume_A*BF$73/(BF$82*Wind)/(20-BF$112+BF$113)^(1/NBPlume_B))),0)</f>
        <v>0</v>
      </c>
      <c r="BG115" s="269"/>
      <c r="BH115" s="2981">
        <f>IF(BH$73&gt;0,LN(IF(BH$112&gt;=20,BH$83*BH$110*20^BH$111,NBPlume_A*BH$73/(BH$82*Wind)/(20-BH$112+BH$113)^(1/NBPlume_B))),0)</f>
        <v>0</v>
      </c>
      <c r="BI115" s="269"/>
      <c r="BJ115" s="2981">
        <f>IF(BJ$73&gt;0,LN(IF(BJ$112&gt;=20,BJ$83*BJ$110*20^BJ$111,NBPlume_A*BJ$73/(BJ$82*Wind)/(20-BJ$112+BJ$113)^(1/NBPlume_B))),0)</f>
        <v>0</v>
      </c>
      <c r="BK115" s="269"/>
      <c r="BL115" s="2981">
        <f>IF(BL$73&gt;0,LN(IF(BL$112&gt;=20,BL$83*BL$110*20^BL$111,NBPlume_A*BL$73/(BL$82*Wind)/(20-BL$112+BL$113)^(1/NBPlume_B))),0)</f>
        <v>0</v>
      </c>
      <c r="BM115" s="269"/>
      <c r="BN115" s="2981">
        <f>IF(BN$73&gt;0,LN(IF(BN$112&gt;=20,BN$83*BN$110*20^BN$111,NBPlume_A*BN$73/(BN$82*Wind)/(20-BN$112+BN$113)^(1/NBPlume_B))),0)</f>
        <v>0</v>
      </c>
      <c r="BO115" s="269"/>
      <c r="BP115" s="1835"/>
      <c r="BQ115" s="83"/>
      <c r="BR115" s="81"/>
      <c r="BS115" s="1691" t="s">
        <v>5066</v>
      </c>
      <c r="BT115" s="81"/>
      <c r="BU115" s="2401">
        <f>IF(BU106&lt;BU$99,(BU113/(BU106/BU$99))^(-1/BU114),0)</f>
        <v>0</v>
      </c>
      <c r="BV115" s="81"/>
      <c r="BW115" s="2401">
        <f>IF(BW106&lt;BW$99,(BW113/(BW106/BW$99))^(-1/BW114),0)</f>
        <v>0</v>
      </c>
      <c r="BX115" s="81"/>
      <c r="BY115" s="2401">
        <f>IF(BY106&lt;BY$99,(BY113/(BY106/BY$99))^(-1/BY114),0)</f>
        <v>0</v>
      </c>
      <c r="BZ115" s="81"/>
      <c r="CA115" s="2401">
        <f>IF(CA106&lt;CA$99,(CA113/(CA106/CA$99))^(-1/CA114),0)</f>
        <v>0</v>
      </c>
      <c r="CB115" s="81"/>
      <c r="CC115" s="2401">
        <f>IF(CC106&lt;CC$99,(CC113/(CC106/CC$99))^(-1/CC114),0)</f>
        <v>0</v>
      </c>
      <c r="CD115" s="81"/>
      <c r="CE115" s="23"/>
      <c r="CF115" s="81"/>
      <c r="CG115" s="2"/>
      <c r="CH115" s="512" t="s">
        <v>5122</v>
      </c>
      <c r="CI115" s="83"/>
      <c r="CJ115" s="3000">
        <f>LN(IF(CJ$108&lt;CJ$27,IF(LOG(CJ$107)&lt;-0.1,118.9,10^(2.05-0.27*LOG(CJ$107)))*(CJ16/CJ$28)^0.333,1))</f>
        <v>0</v>
      </c>
      <c r="CK115" s="83"/>
      <c r="CL115" s="23"/>
      <c r="CM115" s="83"/>
    </row>
    <row r="116" spans="1:91" ht="15" customHeight="1" x14ac:dyDescent="0.25">
      <c r="A116" s="2"/>
      <c r="B116" s="1691" t="s">
        <v>5070</v>
      </c>
      <c r="C116" s="83"/>
      <c r="D116" s="2985">
        <f>IF(D115&gt;0,NBPlume_A*D$89/(D$98*Wind*D106),0)^NBPlume_B</f>
        <v>0</v>
      </c>
      <c r="E116" s="83"/>
      <c r="F116" s="2985">
        <f>IF(F115&gt;0,NBPlume_A*F$89/(F$98*Wind*F106),0)^NBPlume_B</f>
        <v>0</v>
      </c>
      <c r="G116" s="83"/>
      <c r="H116" s="2985">
        <f>IF(H115&gt;0,NBPlume_A*H$89/(H$98*Wind*H106),0)^NBPlume_B</f>
        <v>0</v>
      </c>
      <c r="I116" s="83"/>
      <c r="J116" s="2985">
        <f>IF(J115&gt;0,NBPlume_A*J$89/(J$98*Wind*J106),0)^NBPlume_B</f>
        <v>0</v>
      </c>
      <c r="K116" s="83"/>
      <c r="L116" s="2985">
        <f>IF(L115&gt;0,NBPlume_A*L$89/(L$98*Wind*L106),0)^NBPlume_B</f>
        <v>0</v>
      </c>
      <c r="M116" s="83"/>
      <c r="N116" s="2985">
        <f>IF(N115&gt;0,NBPlume_A*N$89/(N$98*Wind*N106),0)^NBPlume_B</f>
        <v>0</v>
      </c>
      <c r="O116" s="83"/>
      <c r="P116" s="2985">
        <f>IF(P115&gt;0,NBPlume_A*P$89/(P$98*Wind*P106),0)^NBPlume_B</f>
        <v>0</v>
      </c>
      <c r="Q116" s="83"/>
      <c r="R116" s="2985">
        <f>IF(R115&gt;0,NBPlume_A*R$89/(R$98*Wind*R106),0)^NBPlume_B</f>
        <v>0</v>
      </c>
      <c r="S116" s="83"/>
      <c r="T116" s="2985">
        <f>IF(T115&gt;0,NBPlume_A*T$89/(T$98*Wind*T106),0)^NBPlume_B</f>
        <v>0</v>
      </c>
      <c r="U116" s="83"/>
      <c r="V116" s="2985">
        <f>IF(V115&gt;0,NBPlume_A*V$89/(V$98*Wind*V106),0)^NBPlume_B</f>
        <v>0</v>
      </c>
      <c r="W116" s="83"/>
      <c r="X116" s="2985">
        <f>IF(X115&gt;0,NBPlume_A*X$89/(X$98*Wind*X106),0)^NBPlume_B</f>
        <v>0</v>
      </c>
      <c r="Y116" s="83"/>
      <c r="Z116" s="85" t="s">
        <v>1068</v>
      </c>
      <c r="AA116" s="83"/>
      <c r="AB116" s="81"/>
      <c r="AC116" s="851" t="s">
        <v>2686</v>
      </c>
      <c r="AD116" s="81"/>
      <c r="AE116" s="3031">
        <f>IF(AND(State="Vapor",OccBldg_Elevation&gt;0,AE109&gt;OccBldg_Elevation,IF(Occ_Bldg_Relief&gt;0,Occ_Bldg_Relief,Occ_Bldg)&gt;0),EXP(-0.5*((AG109-OccBldg_Elevation)/(Plume_sZ_A*(IF(Occ_Bldg_Relief&gt;0,Occ_Bldg_Relief,Occ_Bldg))^Plume_sZ_B))^2),1)</f>
        <v>1</v>
      </c>
      <c r="AF116" s="81"/>
      <c r="AG116" s="3031">
        <f>IF(AND(State="Vapor",OccBldg_Elevation&gt;0,AG109&gt;OccBldg_Elevation,IF(Occ_Bldg_Relief&gt;0,Occ_Bldg_Relief,Occ_Bldg)+AG108&gt;0),EXP(-0.5*((AI109-OccBldg_Elevation)/(Plume_sZ_A*(IF(Occ_Bldg_Relief&gt;0,Occ_Bldg_Relief,Occ_Bldg)+AG108)^Plume_sZ_B))^2),1)</f>
        <v>1</v>
      </c>
      <c r="AH116" s="81"/>
      <c r="AI116" s="3031">
        <f>IF(AND(State="Vapor",OccBldg_Elevation&gt;0,AI109&gt;OccBldg_Elevation,IF(Occ_Bldg_Relief&gt;0,Occ_Bldg_Relief,Occ_Bldg)+AI108&gt;0),EXP(-0.5*((AK109-OccBldg_Elevation)/(Plume_sZ_A*(IF(Occ_Bldg_Relief&gt;0,Occ_Bldg_Relief,Occ_Bldg)+AI108)^Plume_sZ_B))^2),1)</f>
        <v>1</v>
      </c>
      <c r="AJ116" s="81"/>
      <c r="AK116" s="3031">
        <f>IF(AND(State="Vapor",OccBldg_Elevation&gt;0,AK109&gt;OccBldg_Elevation,IF(Occ_Bldg_Relief&gt;0,Occ_Bldg_Relief,Occ_Bldg)+AK108&gt;0),EXP(-0.5*((AM109-OccBldg_Elevation)/(Plume_sZ_A*(IF(Occ_Bldg_Relief&gt;0,Occ_Bldg_Relief,Occ_Bldg)+AK108)^Plume_sZ_B))^2),1)</f>
        <v>1</v>
      </c>
      <c r="AL116" s="81"/>
      <c r="AM116" s="3031">
        <f>IF(AND(State="Vapor",OccBldg_Elevation&gt;0,AM109&gt;OccBldg_Elevation,IF(Occ_Bldg_Relief&gt;0,Occ_Bldg_Relief,Occ_Bldg)+AM108&gt;0),EXP(-0.5*((AO109-OccBldg_Elevation)/(Plume_sZ_A*(IF(Occ_Bldg_Relief&gt;0,Occ_Bldg_Relief,Occ_Bldg)+AM108)^Plume_sZ_B))^2),1)</f>
        <v>1</v>
      </c>
      <c r="AN116" s="81"/>
      <c r="AO116" s="3031">
        <f>IF(AND(State="Vapor",OccBldg_Elevation&gt;0,AO109&gt;OccBldg_Elevation,IF(Occ_Bldg_Relief&gt;0,Occ_Bldg_Relief,Occ_Bldg)+AO108&gt;0),EXP(-0.5*((AQ109-OccBldg_Elevation)/(Plume_sZ_A*(IF(Occ_Bldg_Relief&gt;0,Occ_Bldg_Relief,Occ_Bldg)+AO108)^Plume_sZ_B))^2),1)</f>
        <v>1</v>
      </c>
      <c r="AP116" s="81"/>
      <c r="AQ116" s="85"/>
      <c r="AR116" s="81"/>
      <c r="AS116" s="83"/>
      <c r="AT116" s="512" t="s">
        <v>5101</v>
      </c>
      <c r="AU116" s="83"/>
      <c r="AV116" s="2981">
        <f>IF(AV$73&gt;0,LN(IF(AV$112&gt;=50,AV$83*AV$110*50^AV$111,NBPlume_A*AV$73/(AV$82*Wind)/(50-AV$112+AV$113)^(1/NBPlume_B))),0)</f>
        <v>0</v>
      </c>
      <c r="AW116" s="269"/>
      <c r="AX116" s="2981">
        <f>IF(AX$73&gt;0,LN(IF(AX$112&gt;=50,AX$83*AX$110*50^AX$111,NBPlume_A*AX$73/(AX$82*Wind)/(50-AX$112+AX$113)^(1/NBPlume_B))),0)</f>
        <v>0</v>
      </c>
      <c r="AY116" s="269"/>
      <c r="AZ116" s="2981">
        <f>IF(AZ$73&gt;0,LN(IF(AZ$112&gt;=50,AZ$83*AZ$110*50^AZ$111,NBPlume_A*AZ$73/(AZ$82*Wind)/(50-AZ$112+AZ$113)^(1/NBPlume_B))),0)</f>
        <v>0</v>
      </c>
      <c r="BA116" s="269"/>
      <c r="BB116" s="2981">
        <f>IF(BB$73&gt;0,LN(IF(BB$112&gt;=50,BB$83*BB$110*50^BB$111,NBPlume_A*BB$73/(BB$82*Wind)/(50-BB$112+BB$113)^(1/NBPlume_B))),0)</f>
        <v>0</v>
      </c>
      <c r="BC116" s="269"/>
      <c r="BD116" s="2981">
        <f>IF(BD$73&gt;0,LN(IF(BD$112&gt;=50,BD$83*BD$110*50^BD$111,NBPlume_A*BD$73/(BD$82*Wind)/(50-BD$112+BD$113)^(1/NBPlume_B))),0)</f>
        <v>0</v>
      </c>
      <c r="BE116" s="269"/>
      <c r="BF116" s="2981">
        <f>IF(BF$73&gt;0,LN(IF(BF$112&gt;=50,BF$83*BF$110*50^BF$111,NBPlume_A*BF$73/(BF$82*Wind)/(50-BF$112+BF$113)^(1/NBPlume_B))),0)</f>
        <v>0</v>
      </c>
      <c r="BG116" s="269"/>
      <c r="BH116" s="2981">
        <f>IF(BH$73&gt;0,LN(IF(BH$112&gt;=50,BH$83*BH$110*50^BH$111,NBPlume_A*BH$73/(BH$82*Wind)/(50-BH$112+BH$113)^(1/NBPlume_B))),0)</f>
        <v>0</v>
      </c>
      <c r="BI116" s="269"/>
      <c r="BJ116" s="2981">
        <f>IF(BJ$73&gt;0,LN(IF(BJ$112&gt;=50,BJ$83*BJ$110*50^BJ$111,NBPlume_A*BJ$73/(BJ$82*Wind)/(50-BJ$112+BJ$113)^(1/NBPlume_B))),0)</f>
        <v>0</v>
      </c>
      <c r="BK116" s="269"/>
      <c r="BL116" s="2981">
        <f>IF(BL$73&gt;0,LN(IF(BL$112&gt;=50,BL$83*BL$110*50^BL$111,NBPlume_A*BL$73/(BL$82*Wind)/(50-BL$112+BL$113)^(1/NBPlume_B))),0)</f>
        <v>0</v>
      </c>
      <c r="BM116" s="269"/>
      <c r="BN116" s="2981">
        <f>IF(BN$73&gt;0,LN(IF(BN$112&gt;=50,BN$83*BN$110*50^BN$111,NBPlume_A*BN$73/(BN$82*Wind)/(50-BN$112+BN$113)^(1/NBPlume_B))),0)</f>
        <v>0</v>
      </c>
      <c r="BO116" s="269"/>
      <c r="BP116" s="1835"/>
      <c r="BQ116" s="83"/>
      <c r="BR116" s="81"/>
      <c r="BS116" s="1691" t="s">
        <v>5070</v>
      </c>
      <c r="BT116" s="81"/>
      <c r="BU116" s="2985">
        <f>IF(BU115&gt;0,NBPlume_A*IF(BU$89="",BU$83/3600,BU$89)/(BU$98*Wind*BU106),0)^NBPlume_B</f>
        <v>0</v>
      </c>
      <c r="BV116" s="81"/>
      <c r="BW116" s="2985">
        <f>IF(BW115&gt;0,NBPlume_A*IF(BW$89="",BW$83/3600,BW$89)/(BW$98*Wind*BW106),0)^NBPlume_B</f>
        <v>0</v>
      </c>
      <c r="BX116" s="81"/>
      <c r="BY116" s="2985">
        <f>IF(BY115&gt;0,NBPlume_A*IF(BY$89="",BY$83/3600,BY$89)/(BY$98*Wind*BY106),0)^NBPlume_B</f>
        <v>0</v>
      </c>
      <c r="BZ116" s="81"/>
      <c r="CA116" s="2985">
        <f>IF(CA115&gt;0,NBPlume_A*IF(CA$89="",CA$83/3600,CA$89)/(CA$98*Wind*CA106),0)^NBPlume_B</f>
        <v>0</v>
      </c>
      <c r="CB116" s="81"/>
      <c r="CC116" s="2985">
        <f>IF(CC115&gt;0,NBPlume_A*IF(CC$89="",CC$83/3600,CC$89)/(CC$98*Wind*CC106),0)^NBPlume_B</f>
        <v>0</v>
      </c>
      <c r="CD116" s="81"/>
      <c r="CE116" s="23"/>
      <c r="CF116" s="81"/>
      <c r="CG116" s="2"/>
      <c r="CH116" s="2977" t="s">
        <v>5054</v>
      </c>
      <c r="CI116" s="83"/>
      <c r="CJ116" s="1230">
        <f>EXP(INDEX(LINEST($CJ$277:$CJ$283,CJ109:CJ115),2))*((Ambient_Temp+273)/(T+273))*Roughness_A</f>
        <v>5.4578754578754546E-3</v>
      </c>
      <c r="CK116" s="83"/>
      <c r="CL116" s="23"/>
      <c r="CM116" s="83"/>
    </row>
    <row r="117" spans="1:91" ht="15" customHeight="1" thickBot="1" x14ac:dyDescent="0.3">
      <c r="A117" s="2"/>
      <c r="B117" s="512" t="s">
        <v>5099</v>
      </c>
      <c r="C117" s="83"/>
      <c r="D117" s="2981" t="e">
        <f>IF(D$89&gt;0,LN(IF(D$115&gt;=10,D$99*D$113*10^D$114,NBPlume_A*D$89/(D$98*Wind)/(10-D$115+D$116)^(1/NBPlume_B))),0)</f>
        <v>#DIV/0!</v>
      </c>
      <c r="E117" s="83"/>
      <c r="F117" s="2981" t="e">
        <f>IF(F$89&gt;0,LN(IF(F$115&gt;=10,F$99*F$113*10^F$114,NBPlume_A*F$89/(F$98*Wind)/(10-F$115+F$116)^(1/NBPlume_B))),0)</f>
        <v>#DIV/0!</v>
      </c>
      <c r="G117" s="83"/>
      <c r="H117" s="2981" t="e">
        <f>IF(H$89&gt;0,LN(IF(H$115&gt;=10,H$99*H$113*10^H$114,NBPlume_A*H$89/(H$98*Wind)/(10-H$115+H$116)^(1/NBPlume_B))),0)</f>
        <v>#DIV/0!</v>
      </c>
      <c r="I117" s="83"/>
      <c r="J117" s="2981" t="e">
        <f>IF(J$89&gt;0,LN(IF(J$115&gt;=10,J$99*J$113*10^J$114,NBPlume_A*J$89/(J$98*Wind)/(10-J$115+J$116)^(1/NBPlume_B))),0)</f>
        <v>#DIV/0!</v>
      </c>
      <c r="K117" s="83"/>
      <c r="L117" s="2981" t="e">
        <f>IF(L$89&gt;0,LN(IF(L$115&gt;=10,L$99*L$113*10^L$114,NBPlume_A*L$89/(L$98*Wind)/(10-L$115+L$116)^(1/NBPlume_B))),0)</f>
        <v>#DIV/0!</v>
      </c>
      <c r="M117" s="83"/>
      <c r="N117" s="2981" t="e">
        <f>IF(N$89&gt;0,LN(IF(N$115&gt;=10,N$99*N$113*10^N$114,NBPlume_A*N$89/(N$98*Wind)/(10-N$115+N$116)^(1/NBPlume_B))),0)</f>
        <v>#DIV/0!</v>
      </c>
      <c r="O117" s="83"/>
      <c r="P117" s="2981" t="e">
        <f>IF(P$89&gt;0,LN(IF(P$115&gt;=10,P$99*P$113*10^P$114,NBPlume_A*P$89/(P$98*Wind)/(10-P$115+P$116)^(1/NBPlume_B))),0)</f>
        <v>#DIV/0!</v>
      </c>
      <c r="Q117" s="83"/>
      <c r="R117" s="2981" t="e">
        <f>IF(R$89&gt;0,LN(IF(R$115&gt;=10,R$99*R$113*10^R$114,NBPlume_A*R$89/(R$98*Wind)/(10-R$115+R$116)^(1/NBPlume_B))),0)</f>
        <v>#DIV/0!</v>
      </c>
      <c r="S117" s="83"/>
      <c r="T117" s="2981" t="e">
        <f>IF(T$89&gt;0,LN(IF(T$115&gt;=10,T$99*T$113*10^T$114,NBPlume_A*T$89/(T$98*Wind)/(10-T$115+T$116)^(1/NBPlume_B))),0)</f>
        <v>#DIV/0!</v>
      </c>
      <c r="U117" s="83"/>
      <c r="V117" s="2981" t="e">
        <f>IF(V$89&gt;0,LN(IF(V$115&gt;=10,V$99*V$113*10^V$114,NBPlume_A*V$89/(V$98*Wind)/(10-V$115+V$116)^(1/NBPlume_B))),0)</f>
        <v>#DIV/0!</v>
      </c>
      <c r="W117" s="83"/>
      <c r="X117" s="2981" t="e">
        <f>IF(X$89&gt;0,LN(IF(X$115&gt;=10,X$99*X$113*10^X$114,NBPlume_A*X$89/(X$98*Wind)/(10-X$115+X$116)^(1/NBPlume_B))),0)</f>
        <v>#DIV/0!</v>
      </c>
      <c r="Y117" s="83"/>
      <c r="Z117" s="2987"/>
      <c r="AA117" s="83"/>
      <c r="AB117" s="81"/>
      <c r="AC117" s="851" t="s">
        <v>2932</v>
      </c>
      <c r="AD117" s="81"/>
      <c r="AE117" s="2122">
        <f>IF(AND(State="Vapor",OccBldg2_Elevation&gt;0,AE109&gt;OccBldg2_Elevation,IF(Occ_Bldg2_Relief&gt;0,Occ_Bldg2_Relief,Occ_Bldg2)&gt;0),EXP(-0.5*((AG109-OccBldg2_Elevation)/(Plume_sZ_A*(IF(Occ_Bldg2_Relief&gt;0,Occ_Bldg2_Relief,Occ_Bldg2))^Plume_sZ_B))^2),1)</f>
        <v>1</v>
      </c>
      <c r="AF117" s="81"/>
      <c r="AG117" s="2122">
        <f>IF(AND(State="Vapor",OccBldg2_Elevation&gt;0,AG109&gt;OccBldg2_Elevation,IF(Occ_Bldg2_Relief&gt;0,Occ_Bldg2_Relief,Occ_Bldg2)+AG108&gt;0),EXP(-0.5*((AI109-OccBldg2_Elevation)/(Plume_sZ_A*(IF(Occ_Bldg2_Relief&gt;0,Occ_Bldg2_Relief,Occ_Bldg2)+AG108)^Plume_sZ_B))^2),1)</f>
        <v>1</v>
      </c>
      <c r="AH117" s="81"/>
      <c r="AI117" s="2122">
        <f>IF(AND(State="Vapor",OccBldg2_Elevation&gt;0,AI109&gt;OccBldg2_Elevation,IF(Occ_Bldg2_Relief&gt;0,Occ_Bldg2_Relief,Occ_Bldg2)+AI108&gt;0),EXP(-0.5*((AK109-OccBldg2_Elevation)/(Plume_sZ_A*(IF(Occ_Bldg2_Relief&gt;0,Occ_Bldg2_Relief,Occ_Bldg2)+AI108)^Plume_sZ_B))^2),1)</f>
        <v>1</v>
      </c>
      <c r="AJ117" s="81"/>
      <c r="AK117" s="2122">
        <f>IF(AND(State="Vapor",OccBldg2_Elevation&gt;0,AK109&gt;OccBldg2_Elevation,IF(Occ_Bldg2_Relief&gt;0,Occ_Bldg2_Relief,Occ_Bldg2)+AK108&gt;0),EXP(-0.5*((AM109-OccBldg2_Elevation)/(Plume_sZ_A*(IF(Occ_Bldg2_Relief&gt;0,Occ_Bldg2_Relief,Occ_Bldg2)+AK108)^Plume_sZ_B))^2),1)</f>
        <v>1</v>
      </c>
      <c r="AL117" s="81"/>
      <c r="AM117" s="2122">
        <f>IF(AND(State="Vapor",OccBldg2_Elevation&gt;0,AM109&gt;OccBldg2_Elevation,IF(Occ_Bldg2_Relief&gt;0,Occ_Bldg2_Relief,Occ_Bldg2)+AM108&gt;0),EXP(-0.5*((AO109-OccBldg2_Elevation)/(Plume_sZ_A*(IF(Occ_Bldg2_Relief&gt;0,Occ_Bldg2_Relief,Occ_Bldg2)+AM108)^Plume_sZ_B))^2),1)</f>
        <v>1</v>
      </c>
      <c r="AN117" s="81"/>
      <c r="AO117" s="2122">
        <f>IF(AND(State="Vapor",OccBldg2_Elevation&gt;0,AO109&gt;OccBldg2_Elevation,IF(Occ_Bldg2_Relief&gt;0,Occ_Bldg2_Relief,Occ_Bldg2)+AO108&gt;0),EXP(-0.5*((AQ109-OccBldg2_Elevation)/(Plume_sZ_A*(IF(Occ_Bldg2_Relief&gt;0,Occ_Bldg2_Relief,Occ_Bldg2)+AO108)^Plume_sZ_B))^2),1)</f>
        <v>1</v>
      </c>
      <c r="AP117" s="81"/>
      <c r="AQ117" s="23"/>
      <c r="AR117" s="81"/>
      <c r="AS117" s="83"/>
      <c r="AT117" s="512" t="s">
        <v>5102</v>
      </c>
      <c r="AU117" s="83"/>
      <c r="AV117" s="2981">
        <f>IF(AV$73&gt;0,LN(IF(AV$112&gt;=100,AV$83*AV$110*100^AV$111,NBPlume_A*AV$73/(AV$82*Wind)/(100-AV$112+AV$113)^(1/NBPlume_B))),0)</f>
        <v>0</v>
      </c>
      <c r="AW117" s="269"/>
      <c r="AX117" s="2981">
        <f>IF(AX$73&gt;0,LN(IF(AX$112&gt;=100,AX$83*AX$110*100^AX$111,NBPlume_A*AX$73/(AX$82*Wind)/(100-AX$112+AX$113)^(1/NBPlume_B))),0)</f>
        <v>0</v>
      </c>
      <c r="AY117" s="269"/>
      <c r="AZ117" s="2981">
        <f>IF(AZ$73&gt;0,LN(IF(AZ$112&gt;=100,AZ$83*AZ$110*100^AZ$111,NBPlume_A*AZ$73/(AZ$82*Wind)/(100-AZ$112+AZ$113)^(1/NBPlume_B))),0)</f>
        <v>0</v>
      </c>
      <c r="BA117" s="269"/>
      <c r="BB117" s="2981">
        <f>IF(BB$73&gt;0,LN(IF(BB$112&gt;=100,BB$83*BB$110*100^BB$111,NBPlume_A*BB$73/(BB$82*Wind)/(100-BB$112+BB$113)^(1/NBPlume_B))),0)</f>
        <v>0</v>
      </c>
      <c r="BC117" s="269"/>
      <c r="BD117" s="2981">
        <f>IF(BD$73&gt;0,LN(IF(BD$112&gt;=100,BD$83*BD$110*100^BD$111,NBPlume_A*BD$73/(BD$82*Wind)/(100-BD$112+BD$113)^(1/NBPlume_B))),0)</f>
        <v>0</v>
      </c>
      <c r="BE117" s="269"/>
      <c r="BF117" s="2981">
        <f>IF(BF$73&gt;0,LN(IF(BF$112&gt;=100,BF$83*BF$110*100^BF$111,NBPlume_A*BF$73/(BF$82*Wind)/(100-BF$112+BF$113)^(1/NBPlume_B))),0)</f>
        <v>0</v>
      </c>
      <c r="BG117" s="269"/>
      <c r="BH117" s="2981">
        <f>IF(BH$73&gt;0,LN(IF(BH$112&gt;=100,BH$83*BH$110*100^BH$111,NBPlume_A*BH$73/(BH$82*Wind)/(100-BH$112+BH$113)^(1/NBPlume_B))),0)</f>
        <v>0</v>
      </c>
      <c r="BI117" s="269"/>
      <c r="BJ117" s="2981">
        <f>IF(BJ$73&gt;0,LN(IF(BJ$112&gt;=100,BJ$83*BJ$110*100^BJ$111,NBPlume_A*BJ$73/(BJ$82*Wind)/(100-BJ$112+BJ$113)^(1/NBPlume_B))),0)</f>
        <v>0</v>
      </c>
      <c r="BK117" s="269"/>
      <c r="BL117" s="2981">
        <f>IF(BL$73&gt;0,LN(IF(BL$112&gt;=100,BL$83*BL$110*100^BL$111,NBPlume_A*BL$73/(BL$82*Wind)/(100-BL$112+BL$113)^(1/NBPlume_B))),0)</f>
        <v>0</v>
      </c>
      <c r="BM117" s="269"/>
      <c r="BN117" s="2981">
        <f>IF(BN$73&gt;0,LN(IF(BN$112&gt;=100,BN$83*BN$110*100^BN$111,NBPlume_A*BN$73/(BN$82*Wind)/(100-BN$112+BN$113)^(1/NBPlume_B))),0)</f>
        <v>0</v>
      </c>
      <c r="BO117" s="269"/>
      <c r="BP117" s="1835"/>
      <c r="BQ117" s="83"/>
      <c r="BR117" s="81"/>
      <c r="BS117" s="512" t="s">
        <v>5099</v>
      </c>
      <c r="BT117" s="81"/>
      <c r="BU117" s="2981">
        <f>IF(BU$98&gt;0,LN(IF(BU$115&gt;=10,BU$99*BU$113*10^BU$114,NBPlume_A*IF(BU$89="",BU$83/3600,BU$89)/(BU$98*Wind)/(10-BU$115+BU$116)^(1/NBPlume_B))),0)</f>
        <v>0</v>
      </c>
      <c r="BV117" s="81"/>
      <c r="BW117" s="2981">
        <f>IF(BW$98&gt;0,LN(IF(BW$115&gt;=10,BW$99*BW$113*10^BW$114,NBPlume_A*IF(BW$89="",BW$83/3600,BW$89)/(BW$98*Wind)/(10-BW$115+BW$116)^(1/NBPlume_B))),0)</f>
        <v>0</v>
      </c>
      <c r="BX117" s="81"/>
      <c r="BY117" s="2981">
        <f>IF(BY$98&gt;0,LN(IF(BY$115&gt;=10,BY$99*BY$113*10^BY$114,NBPlume_A*IF(BY$89="",BY$83/3600,BY$89)/(BY$98*Wind)/(10-BY$115+BY$116)^(1/NBPlume_B))),0)</f>
        <v>0</v>
      </c>
      <c r="BZ117" s="81"/>
      <c r="CA117" s="2981">
        <f>IF(CA$98&gt;0,LN(IF(CA$115&gt;=10,CA$99*CA$113*10^CA$114,NBPlume_A*IF(CA$89="",CA$83/3600,CA$89)/(CA$98*Wind)/(10-CA$115+CA$116)^(1/NBPlume_B))),0)</f>
        <v>0</v>
      </c>
      <c r="CB117" s="81"/>
      <c r="CC117" s="2981">
        <f>IF(CC$98&gt;0,LN(IF(CC$115&gt;=10,CC$99*CC$113*10^CC$114,NBPlume_A*IF(CC$89="",CC$83/3600,CC$89)/(CC$98*Wind)/(10-CC$115+CC$116)^(1/NBPlume_B))),0)</f>
        <v>0</v>
      </c>
      <c r="CD117" s="81"/>
      <c r="CE117" s="23"/>
      <c r="CF117" s="81"/>
      <c r="CG117" s="2"/>
      <c r="CH117" s="2977" t="s">
        <v>5055</v>
      </c>
      <c r="CI117" s="83"/>
      <c r="CJ117" s="1230">
        <f>INDEX(LINEST($CJ$277:$CJ$283,CJ109:CJ115),1)+Roughness_B</f>
        <v>0</v>
      </c>
      <c r="CK117" s="83"/>
      <c r="CL117" s="23"/>
      <c r="CM117" s="83"/>
    </row>
    <row r="118" spans="1:91" ht="15" customHeight="1" x14ac:dyDescent="0.25">
      <c r="A118" s="2"/>
      <c r="B118" s="512" t="s">
        <v>5100</v>
      </c>
      <c r="C118" s="83"/>
      <c r="D118" s="2981" t="e">
        <f>IF(D$89&gt;0,LN(IF(D$115&gt;=20,D$99*D$113*20^D$114,NBPlume_A*D$89/(D$98*Wind)/(20-D$115+D$116)^(1/NBPlume_B))),0)</f>
        <v>#DIV/0!</v>
      </c>
      <c r="E118" s="83"/>
      <c r="F118" s="2981" t="e">
        <f>IF(F$89&gt;0,LN(IF(F$115&gt;=20,F$99*F$113*20^F$114,NBPlume_A*F$89/(F$98*Wind)/(20-F$115+F$116)^(1/NBPlume_B))),0)</f>
        <v>#DIV/0!</v>
      </c>
      <c r="G118" s="83"/>
      <c r="H118" s="2981" t="e">
        <f>IF(H$89&gt;0,LN(IF(H$115&gt;=20,H$99*H$113*20^H$114,NBPlume_A*H$89/(H$98*Wind)/(20-H$115+H$116)^(1/NBPlume_B))),0)</f>
        <v>#DIV/0!</v>
      </c>
      <c r="I118" s="83"/>
      <c r="J118" s="2981" t="e">
        <f>IF(J$89&gt;0,LN(IF(J$115&gt;=20,J$99*J$113*20^J$114,NBPlume_A*J$89/(J$98*Wind)/(20-J$115+J$116)^(1/NBPlume_B))),0)</f>
        <v>#DIV/0!</v>
      </c>
      <c r="K118" s="83"/>
      <c r="L118" s="2981" t="e">
        <f>IF(L$89&gt;0,LN(IF(L$115&gt;=20,L$99*L$113*20^L$114,NBPlume_A*L$89/(L$98*Wind)/(20-L$115+L$116)^(1/NBPlume_B))),0)</f>
        <v>#DIV/0!</v>
      </c>
      <c r="M118" s="83"/>
      <c r="N118" s="2981" t="e">
        <f>IF(N$89&gt;0,LN(IF(N$115&gt;=20,N$99*N$113*20^N$114,NBPlume_A*N$89/(N$98*Wind)/(20-N$115+N$116)^(1/NBPlume_B))),0)</f>
        <v>#DIV/0!</v>
      </c>
      <c r="O118" s="83"/>
      <c r="P118" s="2981" t="e">
        <f>IF(P$89&gt;0,LN(IF(P$115&gt;=20,P$99*P$113*20^P$114,NBPlume_A*P$89/(P$98*Wind)/(20-P$115+P$116)^(1/NBPlume_B))),0)</f>
        <v>#DIV/0!</v>
      </c>
      <c r="Q118" s="83"/>
      <c r="R118" s="2981" t="e">
        <f>IF(R$89&gt;0,LN(IF(R$115&gt;=20,R$99*R$113*20^R$114,NBPlume_A*R$89/(R$98*Wind)/(20-R$115+R$116)^(1/NBPlume_B))),0)</f>
        <v>#DIV/0!</v>
      </c>
      <c r="S118" s="83"/>
      <c r="T118" s="2981" t="e">
        <f>IF(T$89&gt;0,LN(IF(T$115&gt;=20,T$99*T$113*20^T$114,NBPlume_A*T$89/(T$98*Wind)/(20-T$115+T$116)^(1/NBPlume_B))),0)</f>
        <v>#DIV/0!</v>
      </c>
      <c r="U118" s="83"/>
      <c r="V118" s="2981" t="e">
        <f>IF(V$89&gt;0,LN(IF(V$115&gt;=20,V$99*V$113*20^V$114,NBPlume_A*V$89/(V$98*Wind)/(20-V$115+V$116)^(1/NBPlume_B))),0)</f>
        <v>#DIV/0!</v>
      </c>
      <c r="W118" s="83"/>
      <c r="X118" s="2981" t="e">
        <f>IF(X$89&gt;0,LN(IF(X$115&gt;=20,X$99*X$113*20^X$114,NBPlume_A*X$89/(X$98*Wind)/(20-X$115+X$116)^(1/NBPlume_B))),0)</f>
        <v>#DIV/0!</v>
      </c>
      <c r="Y118" s="83"/>
      <c r="Z118" s="2987"/>
      <c r="AA118" s="83"/>
      <c r="AB118" s="81"/>
      <c r="AC118" s="1689" t="s">
        <v>5058</v>
      </c>
      <c r="AD118" s="81"/>
      <c r="AE118" s="2426">
        <f>IF(AE$104&gt;0,(AE$104^2*AE102/Wind^5)^0.2,0)</f>
        <v>0</v>
      </c>
      <c r="AF118" s="81"/>
      <c r="AG118" s="2426">
        <f>IF(AG$104&gt;0,(AG$104^2*AG102/Wind^5)^0.2,0)</f>
        <v>0</v>
      </c>
      <c r="AH118" s="81"/>
      <c r="AI118" s="2426">
        <f>IF(AI$104&gt;0,(AI$104^2*AI102/Wind^5)^0.2,0)</f>
        <v>0</v>
      </c>
      <c r="AJ118" s="81"/>
      <c r="AK118" s="2426">
        <f>IF(AK$104&gt;0,(AK$104^2*AK102/Wind^5)^0.2,0)</f>
        <v>0</v>
      </c>
      <c r="AL118" s="81"/>
      <c r="AM118" s="2426">
        <f>IF(AM$104&gt;0,(AM$104^2*AM102/Wind^5)^0.2,0)</f>
        <v>0</v>
      </c>
      <c r="AN118" s="81"/>
      <c r="AO118" s="2426">
        <f>IF(AO$104&gt;0,(AO$104^2*AO102/Wind^5)^0.2,0)</f>
        <v>0</v>
      </c>
      <c r="AP118" s="81"/>
      <c r="AQ118" s="85"/>
      <c r="AR118" s="81"/>
      <c r="AS118" s="83"/>
      <c r="AT118" s="512" t="s">
        <v>5103</v>
      </c>
      <c r="AU118" s="83"/>
      <c r="AV118" s="2981">
        <f>IF(AV$73&gt;0,LN(IF(AV$112&gt;=200,AV$83*AV$110*200^AV$111,NBPlume_A*AV$73/(AV$82*Wind)/(200-AV$112+AV$113)^(1/NBPlume_B))),0)</f>
        <v>0</v>
      </c>
      <c r="AW118" s="269"/>
      <c r="AX118" s="2981">
        <f>IF(AX$73&gt;0,LN(IF(AX$112&gt;=200,AX$83*AX$110*200^AX$111,NBPlume_A*AX$73/(AX$82*Wind)/(200-AX$112+AX$113)^(1/NBPlume_B))),0)</f>
        <v>0</v>
      </c>
      <c r="AY118" s="269"/>
      <c r="AZ118" s="2981">
        <f>IF(AZ$73&gt;0,LN(IF(AZ$112&gt;=200,AZ$83*AZ$110*200^AZ$111,NBPlume_A*AZ$73/(AZ$82*Wind)/(200-AZ$112+AZ$113)^(1/NBPlume_B))),0)</f>
        <v>0</v>
      </c>
      <c r="BA118" s="269"/>
      <c r="BB118" s="2981">
        <f>IF(BB$73&gt;0,LN(IF(BB$112&gt;=200,BB$83*BB$110*200^BB$111,NBPlume_A*BB$73/(BB$82*Wind)/(200-BB$112+BB$113)^(1/NBPlume_B))),0)</f>
        <v>0</v>
      </c>
      <c r="BC118" s="269"/>
      <c r="BD118" s="2981">
        <f>IF(BD$73&gt;0,LN(IF(BD$112&gt;=200,BD$83*BD$110*200^BD$111,NBPlume_A*BD$73/(BD$82*Wind)/(200-BD$112+BD$113)^(1/NBPlume_B))),0)</f>
        <v>0</v>
      </c>
      <c r="BE118" s="269"/>
      <c r="BF118" s="2981">
        <f>IF(BF$73&gt;0,LN(IF(BF$112&gt;=200,BF$83*BF$110*200^BF$111,NBPlume_A*BF$73/(BF$82*Wind)/(200-BF$112+BF$113)^(1/NBPlume_B))),0)</f>
        <v>0</v>
      </c>
      <c r="BG118" s="269"/>
      <c r="BH118" s="2981">
        <f>IF(BH$73&gt;0,LN(IF(BH$112&gt;=200,BH$83*BH$110*200^BH$111,NBPlume_A*BH$73/(BH$82*Wind)/(200-BH$112+BH$113)^(1/NBPlume_B))),0)</f>
        <v>0</v>
      </c>
      <c r="BI118" s="269"/>
      <c r="BJ118" s="2981">
        <f>IF(BJ$73&gt;0,LN(IF(BJ$112&gt;=200,BJ$83*BJ$110*200^BJ$111,NBPlume_A*BJ$73/(BJ$82*Wind)/(200-BJ$112+BJ$113)^(1/NBPlume_B))),0)</f>
        <v>0</v>
      </c>
      <c r="BK118" s="269"/>
      <c r="BL118" s="2981">
        <f>IF(BL$73&gt;0,LN(IF(BL$112&gt;=200,BL$83*BL$110*200^BL$111,NBPlume_A*BL$73/(BL$82*Wind)/(200-BL$112+BL$113)^(1/NBPlume_B))),0)</f>
        <v>0</v>
      </c>
      <c r="BM118" s="269"/>
      <c r="BN118" s="2981">
        <f>IF(BN$73&gt;0,LN(IF(BN$112&gt;=200,BN$83*BN$110*200^BN$111,NBPlume_A*BN$73/(BN$82*Wind)/(200-BN$112+BN$113)^(1/NBPlume_B))),0)</f>
        <v>0</v>
      </c>
      <c r="BO118" s="269"/>
      <c r="BP118" s="1835"/>
      <c r="BQ118" s="83"/>
      <c r="BR118" s="81"/>
      <c r="BS118" s="512" t="s">
        <v>5100</v>
      </c>
      <c r="BT118" s="81"/>
      <c r="BU118" s="2981">
        <f>IF(BU$98&gt;0,LN(IF(BU$115&gt;=20,BU$99*BU$113*20^BU$114,NBPlume_A*IF(BU$89="",BU$83/3600,BU$89)/(BU$98*Wind)/(20-BU$115+BU$116)^(1/NBPlume_B))),0)</f>
        <v>0</v>
      </c>
      <c r="BV118" s="81"/>
      <c r="BW118" s="2981">
        <f>IF(BW$98&gt;0,LN(IF(BW$115&gt;=20,BW$99*BW$113*20^BW$114,NBPlume_A*IF(BW$89="",BW$83/3600,BW$89)/(BW$98*Wind)/(20-BW$115+BW$116)^(1/NBPlume_B))),0)</f>
        <v>0</v>
      </c>
      <c r="BX118" s="81"/>
      <c r="BY118" s="2981">
        <f>IF(BY$98&gt;0,LN(IF(BY$115&gt;=20,BY$99*BY$113*20^BY$114,NBPlume_A*IF(BY$89="",BY$83/3600,BY$89)/(BY$98*Wind)/(20-BY$115+BY$116)^(1/NBPlume_B))),0)</f>
        <v>0</v>
      </c>
      <c r="BZ118" s="81"/>
      <c r="CA118" s="2981">
        <f>IF(CA$98&gt;0,LN(IF(CA$115&gt;=20,CA$99*CA$113*20^CA$114,NBPlume_A*IF(CA$89="",CA$83/3600,CA$89)/(CA$98*Wind)/(20-CA$115+CA$116)^(1/NBPlume_B))),0)</f>
        <v>0</v>
      </c>
      <c r="CB118" s="81"/>
      <c r="CC118" s="2981">
        <f>IF(CC$98&gt;0,LN(IF(CC$115&gt;=20,CC$99*CC$113*20^CC$114,NBPlume_A*IF(CC$89="",CC$83/3600,CC$89)/(CC$98*Wind)/(20-CC$115+CC$116)^(1/NBPlume_B))),0)</f>
        <v>0</v>
      </c>
      <c r="CD118" s="81"/>
      <c r="CE118" s="23"/>
      <c r="CF118" s="81"/>
      <c r="CG118" s="2"/>
      <c r="CH118" s="1691" t="s">
        <v>5069</v>
      </c>
      <c r="CI118" s="83"/>
      <c r="CJ118" s="2401">
        <f>IF(CJ108&lt;CJ$27,(CJ116/(CJ108/CJ$27))^(-1/CJ117),0)</f>
        <v>0</v>
      </c>
      <c r="CK118" s="83"/>
      <c r="CL118" s="23"/>
      <c r="CM118" s="83"/>
    </row>
    <row r="119" spans="1:91" ht="15" customHeight="1" x14ac:dyDescent="0.25">
      <c r="A119" s="2"/>
      <c r="B119" s="512" t="s">
        <v>5101</v>
      </c>
      <c r="C119" s="83"/>
      <c r="D119" s="2981" t="e">
        <f>IF(D$89&gt;0,LN(IF(D$115&gt;=50,D$99*D$113*50^D$114,NBPlume_A*D$89/(D$98*Wind)/(50-D$115+D$116)^(1/NBPlume_B))),0)</f>
        <v>#DIV/0!</v>
      </c>
      <c r="E119" s="83"/>
      <c r="F119" s="2981" t="e">
        <f>IF(F$89&gt;0,LN(IF(F$115&gt;=50,F$99*F$113*50^F$114,NBPlume_A*F$89/(F$98*Wind)/(50-F$115+F$116)^(1/NBPlume_B))),0)</f>
        <v>#DIV/0!</v>
      </c>
      <c r="G119" s="83"/>
      <c r="H119" s="2981" t="e">
        <f>IF(H$89&gt;0,LN(IF(H$115&gt;=50,H$99*H$113*50^H$114,NBPlume_A*H$89/(H$98*Wind)/(50-H$115+H$116)^(1/NBPlume_B))),0)</f>
        <v>#DIV/0!</v>
      </c>
      <c r="I119" s="83"/>
      <c r="J119" s="2981" t="e">
        <f>IF(J$89&gt;0,LN(IF(J$115&gt;=50,J$99*J$113*50^J$114,NBPlume_A*J$89/(J$98*Wind)/(50-J$115+J$116)^(1/NBPlume_B))),0)</f>
        <v>#DIV/0!</v>
      </c>
      <c r="K119" s="83"/>
      <c r="L119" s="2981" t="e">
        <f>IF(L$89&gt;0,LN(IF(L$115&gt;=50,L$99*L$113*50^L$114,NBPlume_A*L$89/(L$98*Wind)/(50-L$115+L$116)^(1/NBPlume_B))),0)</f>
        <v>#DIV/0!</v>
      </c>
      <c r="M119" s="83"/>
      <c r="N119" s="2981" t="e">
        <f>IF(N$89&gt;0,LN(IF(N$115&gt;=50,N$99*N$113*50^N$114,NBPlume_A*N$89/(N$98*Wind)/(50-N$115+N$116)^(1/NBPlume_B))),0)</f>
        <v>#DIV/0!</v>
      </c>
      <c r="O119" s="83"/>
      <c r="P119" s="2981" t="e">
        <f>IF(P$89&gt;0,LN(IF(P$115&gt;=50,P$99*P$113*50^P$114,NBPlume_A*P$89/(P$98*Wind)/(50-P$115+P$116)^(1/NBPlume_B))),0)</f>
        <v>#DIV/0!</v>
      </c>
      <c r="Q119" s="83"/>
      <c r="R119" s="2981" t="e">
        <f>IF(R$89&gt;0,LN(IF(R$115&gt;=50,R$99*R$113*50^R$114,NBPlume_A*R$89/(R$98*Wind)/(50-R$115+R$116)^(1/NBPlume_B))),0)</f>
        <v>#DIV/0!</v>
      </c>
      <c r="S119" s="83"/>
      <c r="T119" s="2981" t="e">
        <f>IF(T$89&gt;0,LN(IF(T$115&gt;=50,T$99*T$113*50^T$114,NBPlume_A*T$89/(T$98*Wind)/(50-T$115+T$116)^(1/NBPlume_B))),0)</f>
        <v>#DIV/0!</v>
      </c>
      <c r="U119" s="83"/>
      <c r="V119" s="2981" t="e">
        <f>IF(V$89&gt;0,LN(IF(V$115&gt;=50,V$99*V$113*50^V$114,NBPlume_A*V$89/(V$98*Wind)/(50-V$115+V$116)^(1/NBPlume_B))),0)</f>
        <v>#DIV/0!</v>
      </c>
      <c r="W119" s="83"/>
      <c r="X119" s="2981" t="e">
        <f>IF(X$89&gt;0,LN(IF(X$115&gt;=50,X$99*X$113*50^X$114,NBPlume_A*X$89/(X$98*Wind)/(50-X$115+X$116)^(1/NBPlume_B))),0)</f>
        <v>#DIV/0!</v>
      </c>
      <c r="Y119" s="83"/>
      <c r="Z119" s="2987"/>
      <c r="AA119" s="83"/>
      <c r="AB119" s="81"/>
      <c r="AC119" s="1691" t="s">
        <v>5059</v>
      </c>
      <c r="AD119" s="81"/>
      <c r="AE119" s="3000">
        <f>IF(AND(AE$104&gt;0,AE$118&gt;0),AE$99*0.15^6/AE$118^5,1)</f>
        <v>1</v>
      </c>
      <c r="AF119" s="81"/>
      <c r="AG119" s="3000">
        <f>IF(AND(AG$104&gt;0,AG$118&gt;0),AG$99*0.15^6/AG$118^5,1)</f>
        <v>1</v>
      </c>
      <c r="AH119" s="81"/>
      <c r="AI119" s="3000">
        <f>IF(AND(AI$104&gt;0,AI$118&gt;0),AI$99*0.15^6/AI$118^5,1)</f>
        <v>1</v>
      </c>
      <c r="AJ119" s="81"/>
      <c r="AK119" s="3000">
        <f>IF(AND(AK$104&gt;0,AK$118&gt;0),AK$99*0.15^6/AK$118^5,1)</f>
        <v>1</v>
      </c>
      <c r="AL119" s="81"/>
      <c r="AM119" s="3000">
        <f>IF(AND(AM$104&gt;0,AM$118&gt;0),AM$99*0.15^6/AM$118^5,1)</f>
        <v>1</v>
      </c>
      <c r="AN119" s="81"/>
      <c r="AO119" s="3000">
        <f>IF(AND(AO$104&gt;0,AO$118&gt;0),AO$99*0.15^6/AO$118^5,1)</f>
        <v>1</v>
      </c>
      <c r="AP119" s="81"/>
      <c r="AQ119" s="85"/>
      <c r="AR119" s="81"/>
      <c r="AS119" s="83"/>
      <c r="AT119" s="512" t="s">
        <v>5104</v>
      </c>
      <c r="AU119" s="83"/>
      <c r="AV119" s="2981">
        <f>IF(AV$73&gt;0,LN(IF(AV$112&gt;=500,AV$83*AV$110*500^AV$111,NBPlume_A*AV$73/(AV$82*Wind)/(500-AV$112+AV$113)^(1/NBPlume_B))),0)</f>
        <v>0</v>
      </c>
      <c r="AW119" s="269"/>
      <c r="AX119" s="2981">
        <f>IF(AX$73&gt;0,LN(IF(AX$112&gt;=500,AX$83*AX$110*500^AX$111,NBPlume_A*AX$73/(AX$82*Wind)/(500-AX$112+AX$113)^(1/NBPlume_B))),0)</f>
        <v>0</v>
      </c>
      <c r="AY119" s="269"/>
      <c r="AZ119" s="2981">
        <f>IF(AZ$73&gt;0,LN(IF(AZ$112&gt;=500,AZ$83*AZ$110*500^AZ$111,NBPlume_A*AZ$73/(AZ$82*Wind)/(500-AZ$112+AZ$113)^(1/NBPlume_B))),0)</f>
        <v>0</v>
      </c>
      <c r="BA119" s="269"/>
      <c r="BB119" s="2981">
        <f>IF(BB$73&gt;0,LN(IF(BB$112&gt;=500,BB$83*BB$110*500^BB$111,NBPlume_A*BB$73/(BB$82*Wind)/(500-BB$112+BB$113)^(1/NBPlume_B))),0)</f>
        <v>0</v>
      </c>
      <c r="BC119" s="269"/>
      <c r="BD119" s="2981">
        <f>IF(BD$73&gt;0,LN(IF(BD$112&gt;=500,BD$83*BD$110*500^BD$111,NBPlume_A*BD$73/(BD$82*Wind)/(500-BD$112+BD$113)^(1/NBPlume_B))),0)</f>
        <v>0</v>
      </c>
      <c r="BE119" s="269"/>
      <c r="BF119" s="2981">
        <f>IF(BF$73&gt;0,LN(IF(BF$112&gt;=500,BF$83*BF$110*500^BF$111,NBPlume_A*BF$73/(BF$82*Wind)/(500-BF$112+BF$113)^(1/NBPlume_B))),0)</f>
        <v>0</v>
      </c>
      <c r="BG119" s="269"/>
      <c r="BH119" s="2981">
        <f>IF(BH$73&gt;0,LN(IF(BH$112&gt;=500,BH$83*BH$110*500^BH$111,NBPlume_A*BH$73/(BH$82*Wind)/(500-BH$112+BH$113)^(1/NBPlume_B))),0)</f>
        <v>0</v>
      </c>
      <c r="BI119" s="269"/>
      <c r="BJ119" s="2981">
        <f>IF(BJ$73&gt;0,LN(IF(BJ$112&gt;=500,BJ$83*BJ$110*500^BJ$111,NBPlume_A*BJ$73/(BJ$82*Wind)/(500-BJ$112+BJ$113)^(1/NBPlume_B))),0)</f>
        <v>0</v>
      </c>
      <c r="BK119" s="269"/>
      <c r="BL119" s="2981">
        <f>IF(BL$73&gt;0,LN(IF(BL$112&gt;=500,BL$83*BL$110*500^BL$111,NBPlume_A*BL$73/(BL$82*Wind)/(500-BL$112+BL$113)^(1/NBPlume_B))),0)</f>
        <v>0</v>
      </c>
      <c r="BM119" s="269"/>
      <c r="BN119" s="2981">
        <f>IF(BN$73&gt;0,LN(IF(BN$112&gt;=500,BN$83*BN$110*500^BN$111,NBPlume_A*BN$73/(BN$82*Wind)/(500-BN$112+BN$113)^(1/NBPlume_B))),0)</f>
        <v>0</v>
      </c>
      <c r="BO119" s="269"/>
      <c r="BP119" s="1835"/>
      <c r="BQ119" s="83"/>
      <c r="BR119" s="81"/>
      <c r="BS119" s="512" t="s">
        <v>5101</v>
      </c>
      <c r="BT119" s="81"/>
      <c r="BU119" s="2981">
        <f>IF(BU$98&gt;0,LN(IF(BU$115&gt;=50,BU$99*BU$113*50^BU$114,NBPlume_A*IF(BU$89="",BU$83/3600,BU$89)/(BU$98*Wind)/(50-BU$115+BU$116)^(1/NBPlume_B))),0)</f>
        <v>0</v>
      </c>
      <c r="BV119" s="81"/>
      <c r="BW119" s="2981">
        <f>IF(BW$98&gt;0,LN(IF(BW$115&gt;=50,BW$99*BW$113*50^BW$114,NBPlume_A*IF(BW$89="",BW$83/3600,BW$89)/(BW$98*Wind)/(50-BW$115+BW$116)^(1/NBPlume_B))),0)</f>
        <v>0</v>
      </c>
      <c r="BX119" s="81"/>
      <c r="BY119" s="2981">
        <f>IF(BY$98&gt;0,LN(IF(BY$115&gt;=50,BY$99*BY$113*50^BY$114,NBPlume_A*IF(BY$89="",BY$83/3600,BY$89)/(BY$98*Wind)/(50-BY$115+BY$116)^(1/NBPlume_B))),0)</f>
        <v>0</v>
      </c>
      <c r="BZ119" s="81"/>
      <c r="CA119" s="2981">
        <f>IF(CA$98&gt;0,LN(IF(CA$115&gt;=50,CA$99*CA$113*50^CA$114,NBPlume_A*IF(CA$89="",CA$83/3600,CA$89)/(CA$98*Wind)/(50-CA$115+CA$116)^(1/NBPlume_B))),0)</f>
        <v>0</v>
      </c>
      <c r="CB119" s="81"/>
      <c r="CC119" s="2981">
        <f>IF(CC$98&gt;0,LN(IF(CC$115&gt;=50,CC$99*CC$113*50^CC$114,NBPlume_A*IF(CC$89="",CC$83/3600,CC$89)/(CC$98*Wind)/(50-CC$115+CC$116)^(1/NBPlume_B))),0)</f>
        <v>0</v>
      </c>
      <c r="CD119" s="81"/>
      <c r="CE119" s="23"/>
      <c r="CF119" s="81"/>
      <c r="CG119" s="2"/>
      <c r="CH119" s="1691" t="s">
        <v>5073</v>
      </c>
      <c r="CI119" s="83"/>
      <c r="CJ119" s="2985">
        <f>IF(AND(CJ16&lt;&gt;"",CJ118&gt;0),NBPuff_A_Night*CJ16/(CJ20*CJ108),0)^NBPuff_B_Night</f>
        <v>0</v>
      </c>
      <c r="CK119" s="83"/>
      <c r="CL119" s="23"/>
      <c r="CM119" s="83"/>
    </row>
    <row r="120" spans="1:91" ht="15" customHeight="1" x14ac:dyDescent="0.25">
      <c r="A120" s="2"/>
      <c r="B120" s="512" t="s">
        <v>5102</v>
      </c>
      <c r="C120" s="83"/>
      <c r="D120" s="2981" t="e">
        <f>IF(D$89&gt;0,LN(IF(D$115&gt;=100,D$99*D$113*100^D$114,NBPlume_A*D$89/(D$98*Wind)/(100-D$115+D$116)^(1/NBPlume_B))),0)</f>
        <v>#DIV/0!</v>
      </c>
      <c r="E120" s="83"/>
      <c r="F120" s="2981" t="e">
        <f>IF(F$89&gt;0,LN(IF(F$115&gt;=100,F$99*F$113*100^F$114,NBPlume_A*F$89/(F$98*Wind)/(100-F$115+F$116)^(1/NBPlume_B))),0)</f>
        <v>#DIV/0!</v>
      </c>
      <c r="G120" s="83"/>
      <c r="H120" s="2981" t="e">
        <f>IF(H$89&gt;0,LN(IF(H$115&gt;=100,H$99*H$113*100^H$114,NBPlume_A*H$89/(H$98*Wind)/(100-H$115+H$116)^(1/NBPlume_B))),0)</f>
        <v>#DIV/0!</v>
      </c>
      <c r="I120" s="83"/>
      <c r="J120" s="2981" t="e">
        <f>IF(J$89&gt;0,LN(IF(J$115&gt;=100,J$99*J$113*100^J$114,NBPlume_A*J$89/(J$98*Wind)/(100-J$115+J$116)^(1/NBPlume_B))),0)</f>
        <v>#DIV/0!</v>
      </c>
      <c r="K120" s="83"/>
      <c r="L120" s="2981" t="e">
        <f>IF(L$89&gt;0,LN(IF(L$115&gt;=100,L$99*L$113*100^L$114,NBPlume_A*L$89/(L$98*Wind)/(100-L$115+L$116)^(1/NBPlume_B))),0)</f>
        <v>#DIV/0!</v>
      </c>
      <c r="M120" s="83"/>
      <c r="N120" s="2981" t="e">
        <f>IF(N$89&gt;0,LN(IF(N$115&gt;=100,N$99*N$113*100^N$114,NBPlume_A*N$89/(N$98*Wind)/(100-N$115+N$116)^(1/NBPlume_B))),0)</f>
        <v>#DIV/0!</v>
      </c>
      <c r="O120" s="83"/>
      <c r="P120" s="2981" t="e">
        <f>IF(P$89&gt;0,LN(IF(P$115&gt;=100,P$99*P$113*100^P$114,NBPlume_A*P$89/(P$98*Wind)/(100-P$115+P$116)^(1/NBPlume_B))),0)</f>
        <v>#DIV/0!</v>
      </c>
      <c r="Q120" s="83"/>
      <c r="R120" s="2981" t="e">
        <f>IF(R$89&gt;0,LN(IF(R$115&gt;=100,R$99*R$113*100^R$114,NBPlume_A*R$89/(R$98*Wind)/(100-R$115+R$116)^(1/NBPlume_B))),0)</f>
        <v>#DIV/0!</v>
      </c>
      <c r="S120" s="83"/>
      <c r="T120" s="2981" t="e">
        <f>IF(T$89&gt;0,LN(IF(T$115&gt;=100,T$99*T$113*100^T$114,NBPlume_A*T$89/(T$98*Wind)/(100-T$115+T$116)^(1/NBPlume_B))),0)</f>
        <v>#DIV/0!</v>
      </c>
      <c r="U120" s="83"/>
      <c r="V120" s="2981" t="e">
        <f>IF(V$89&gt;0,LN(IF(V$115&gt;=100,V$99*V$113*100^V$114,NBPlume_A*V$89/(V$98*Wind)/(100-V$115+V$116)^(1/NBPlume_B))),0)</f>
        <v>#DIV/0!</v>
      </c>
      <c r="W120" s="83"/>
      <c r="X120" s="2981" t="e">
        <f>IF(X$89&gt;0,LN(IF(X$115&gt;=100,X$99*X$113*100^X$114,NBPlume_A*X$89/(X$98*Wind)/(100-X$115+X$116)^(1/NBPlume_B))),0)</f>
        <v>#DIV/0!</v>
      </c>
      <c r="Y120" s="83"/>
      <c r="Z120" s="2987"/>
      <c r="AA120" s="83"/>
      <c r="AB120" s="81"/>
      <c r="AC120" s="512" t="s">
        <v>5115</v>
      </c>
      <c r="AD120" s="81"/>
      <c r="AE120" s="3000">
        <f>LN(IF(AE$119&lt;AE$99,IF(LOG(AE$118)&lt;-0.55,56.2,IF(LOG(AE$118)&lt;-0.14,10^(1.88+0.24*LOG(AE$118)),10^(1.78-0.5*LOG(AE$118))))*(AE102/Wind)^0.5,1))</f>
        <v>0</v>
      </c>
      <c r="AF120" s="81"/>
      <c r="AG120" s="3000">
        <f>LN(IF(AG$119&lt;AG$99,IF(LOG(AG$118)&lt;-0.55,56.2,IF(LOG(AG$118)&lt;-0.14,10^(1.88+0.24*LOG(AG$118)),10^(1.78-0.5*LOG(AG$118))))*(AG102/Wind)^0.5,1))</f>
        <v>0</v>
      </c>
      <c r="AH120" s="81"/>
      <c r="AI120" s="3000">
        <f>LN(IF(AI$119&lt;AI$99,IF(LOG(AI$118)&lt;-0.55,56.2,IF(LOG(AI$118)&lt;-0.14,10^(1.88+0.24*LOG(AI$118)),10^(1.78-0.5*LOG(AI$118))))*(AI102/Wind)^0.5,1))</f>
        <v>0</v>
      </c>
      <c r="AJ120" s="81"/>
      <c r="AK120" s="3000">
        <f>LN(IF(AK$119&lt;AK$99,IF(LOG(AK$118)&lt;-0.55,56.2,IF(LOG(AK$118)&lt;-0.14,10^(1.88+0.24*LOG(AK$118)),10^(1.78-0.5*LOG(AK$118))))*(AK102/Wind)^0.5,1))</f>
        <v>0</v>
      </c>
      <c r="AL120" s="81"/>
      <c r="AM120" s="3000">
        <f>LN(IF(AM$119&lt;AM$99,IF(LOG(AM$118)&lt;-0.55,56.2,IF(LOG(AM$118)&lt;-0.14,10^(1.88+0.24*LOG(AM$118)),10^(1.78-0.5*LOG(AM$118))))*(AM102/Wind)^0.5,1))</f>
        <v>0</v>
      </c>
      <c r="AN120" s="81"/>
      <c r="AO120" s="3000">
        <f>LN(IF(AO$119&lt;AO$99,IF(LOG(AO$118)&lt;-0.55,56.2,IF(LOG(AO$118)&lt;-0.14,10^(1.88+0.24*LOG(AO$118)),10^(1.78-0.5*LOG(AO$118))))*(AO102/Wind)^0.5,1))</f>
        <v>0</v>
      </c>
      <c r="AP120" s="81"/>
      <c r="AQ120" s="85"/>
      <c r="AR120" s="81"/>
      <c r="AS120" s="83"/>
      <c r="AT120" s="512" t="s">
        <v>5105</v>
      </c>
      <c r="AU120" s="83"/>
      <c r="AV120" s="2981">
        <f>IF(AV$73&gt;0,LN(IF(AV$112&gt;=1000,AV$83*AV$110*1000^AV$111,NBPlume_A*AV$73/(AV$82*Wind)/(1000-AV$112+AV$113)^(1/NBPlume_B))),0)</f>
        <v>0</v>
      </c>
      <c r="AW120" s="269"/>
      <c r="AX120" s="2981">
        <f>IF(AX$73&gt;0,LN(IF(AX$112&gt;=1000,AX$83*AX$110*1000^AX$111,NBPlume_A*AX$73/(AX$82*Wind)/(1000-AX$112+AX$113)^(1/NBPlume_B))),0)</f>
        <v>0</v>
      </c>
      <c r="AY120" s="269"/>
      <c r="AZ120" s="2981">
        <f>IF(AZ$73&gt;0,LN(IF(AZ$112&gt;=1000,AZ$83*AZ$110*1000^AZ$111,NBPlume_A*AZ$73/(AZ$82*Wind)/(1000-AZ$112+AZ$113)^(1/NBPlume_B))),0)</f>
        <v>0</v>
      </c>
      <c r="BA120" s="269"/>
      <c r="BB120" s="2981">
        <f>IF(BB$73&gt;0,LN(IF(BB$112&gt;=1000,BB$83*BB$110*1000^BB$111,NBPlume_A*BB$73/(BB$82*Wind)/(1000-BB$112+BB$113)^(1/NBPlume_B))),0)</f>
        <v>0</v>
      </c>
      <c r="BC120" s="269"/>
      <c r="BD120" s="2981">
        <f>IF(BD$73&gt;0,LN(IF(BD$112&gt;=1000,BD$83*BD$110*1000^BD$111,NBPlume_A*BD$73/(BD$82*Wind)/(1000-BD$112+BD$113)^(1/NBPlume_B))),0)</f>
        <v>0</v>
      </c>
      <c r="BE120" s="269"/>
      <c r="BF120" s="2981">
        <f>IF(BF$73&gt;0,LN(IF(BF$112&gt;=1000,BF$83*BF$110*1000^BF$111,NBPlume_A*BF$73/(BF$82*Wind)/(1000-BF$112+BF$113)^(1/NBPlume_B))),0)</f>
        <v>0</v>
      </c>
      <c r="BG120" s="269"/>
      <c r="BH120" s="2981">
        <f>IF(BH$73&gt;0,LN(IF(BH$112&gt;=1000,BH$83*BH$110*1000^BH$111,NBPlume_A*BH$73/(BH$82*Wind)/(1000-BH$112+BH$113)^(1/NBPlume_B))),0)</f>
        <v>0</v>
      </c>
      <c r="BI120" s="269"/>
      <c r="BJ120" s="2981">
        <f>IF(BJ$73&gt;0,LN(IF(BJ$112&gt;=1000,BJ$83*BJ$110*1000^BJ$111,NBPlume_A*BJ$73/(BJ$82*Wind)/(1000-BJ$112+BJ$113)^(1/NBPlume_B))),0)</f>
        <v>0</v>
      </c>
      <c r="BK120" s="269"/>
      <c r="BL120" s="2981">
        <f>IF(BL$73&gt;0,LN(IF(BL$112&gt;=1000,BL$83*BL$110*1000^BL$111,NBPlume_A*BL$73/(BL$82*Wind)/(1000-BL$112+BL$113)^(1/NBPlume_B))),0)</f>
        <v>0</v>
      </c>
      <c r="BM120" s="269"/>
      <c r="BN120" s="2981">
        <f>IF(BN$73&gt;0,LN(IF(BN$112&gt;=1000,BN$83*BN$110*1000^BN$111,NBPlume_A*BN$73/(BN$82*Wind)/(1000-BN$112+BN$113)^(1/NBPlume_B))),0)</f>
        <v>0</v>
      </c>
      <c r="BO120" s="269"/>
      <c r="BP120" s="1835"/>
      <c r="BQ120" s="83"/>
      <c r="BR120" s="81"/>
      <c r="BS120" s="512" t="s">
        <v>5102</v>
      </c>
      <c r="BT120" s="81"/>
      <c r="BU120" s="2981">
        <f>IF(BU$98&gt;0,LN(IF(BU$115&gt;=100,BU$99*BU$113*100^BU$114,NBPlume_A*IF(BU$89="",BU$83/3600,BU$89)/(BU$98*Wind)/(100-BU$115+BU$116)^(1/NBPlume_B))),0)</f>
        <v>0</v>
      </c>
      <c r="BV120" s="81"/>
      <c r="BW120" s="2981">
        <f>IF(BW$98&gt;0,LN(IF(BW$115&gt;=100,BW$99*BW$113*100^BW$114,NBPlume_A*IF(BW$89="",BW$83/3600,BW$89)/(BW$98*Wind)/(100-BW$115+BW$116)^(1/NBPlume_B))),0)</f>
        <v>0</v>
      </c>
      <c r="BX120" s="81"/>
      <c r="BY120" s="2981">
        <f>IF(BY$98&gt;0,LN(IF(BY$115&gt;=100,BY$99*BY$113*100^BY$114,NBPlume_A*IF(BY$89="",BY$83/3600,BY$89)/(BY$98*Wind)/(100-BY$115+BY$116)^(1/NBPlume_B))),0)</f>
        <v>0</v>
      </c>
      <c r="BZ120" s="81"/>
      <c r="CA120" s="2981">
        <f>IF(CA$98&gt;0,LN(IF(CA$115&gt;=100,CA$99*CA$113*100^CA$114,NBPlume_A*IF(CA$89="",CA$83/3600,CA$89)/(CA$98*Wind)/(100-CA$115+CA$116)^(1/NBPlume_B))),0)</f>
        <v>0</v>
      </c>
      <c r="CB120" s="81"/>
      <c r="CC120" s="2981">
        <f>IF(CC$98&gt;0,LN(IF(CC$115&gt;=100,CC$99*CC$113*100^CC$114,NBPlume_A*IF(CC$89="",CC$83/3600,CC$89)/(CC$98*Wind)/(100-CC$115+CC$116)^(1/NBPlume_B))),0)</f>
        <v>0</v>
      </c>
      <c r="CD120" s="81"/>
      <c r="CE120" s="23"/>
      <c r="CF120" s="81"/>
      <c r="CG120" s="2"/>
      <c r="CH120" s="512" t="s">
        <v>5099</v>
      </c>
      <c r="CI120" s="83"/>
      <c r="CJ120" s="2981">
        <f>IF(CJ16&lt;&gt;"",LN(IF(CJ$118&gt;=10,CJ$27*CJ$116*10^CJ$117,NBPuff_A_Night*CJ16/CJ20/(10-CJ$118+CJ$119)^(1/NBPuff_B_Night))),0)</f>
        <v>0</v>
      </c>
      <c r="CK120" s="83"/>
      <c r="CL120" s="23"/>
      <c r="CM120" s="83"/>
    </row>
    <row r="121" spans="1:91" ht="15" customHeight="1" x14ac:dyDescent="0.25">
      <c r="A121" s="2"/>
      <c r="B121" s="512" t="s">
        <v>5103</v>
      </c>
      <c r="C121" s="83"/>
      <c r="D121" s="2981" t="e">
        <f>IF(D$89&gt;0,LN(IF(D$115&gt;=200,D$99*D$113*200^D$114,NBPlume_A*D$89/(D$98*Wind)/(200-D$115+D$116)^(1/NBPlume_B))),0)</f>
        <v>#DIV/0!</v>
      </c>
      <c r="E121" s="83"/>
      <c r="F121" s="2981" t="e">
        <f>IF(F$89&gt;0,LN(IF(F$115&gt;=200,F$99*F$113*200^F$114,NBPlume_A*F$89/(F$98*Wind)/(200-F$115+F$116)^(1/NBPlume_B))),0)</f>
        <v>#DIV/0!</v>
      </c>
      <c r="G121" s="83"/>
      <c r="H121" s="2981" t="e">
        <f>IF(H$89&gt;0,LN(IF(H$115&gt;=200,H$99*H$113*200^H$114,NBPlume_A*H$89/(H$98*Wind)/(200-H$115+H$116)^(1/NBPlume_B))),0)</f>
        <v>#DIV/0!</v>
      </c>
      <c r="I121" s="83"/>
      <c r="J121" s="2981" t="e">
        <f>IF(J$89&gt;0,LN(IF(J$115&gt;=200,J$99*J$113*200^J$114,NBPlume_A*J$89/(J$98*Wind)/(200-J$115+J$116)^(1/NBPlume_B))),0)</f>
        <v>#DIV/0!</v>
      </c>
      <c r="K121" s="83"/>
      <c r="L121" s="2981" t="e">
        <f>IF(L$89&gt;0,LN(IF(L$115&gt;=200,L$99*L$113*200^L$114,NBPlume_A*L$89/(L$98*Wind)/(200-L$115+L$116)^(1/NBPlume_B))),0)</f>
        <v>#DIV/0!</v>
      </c>
      <c r="M121" s="83"/>
      <c r="N121" s="2981" t="e">
        <f>IF(N$89&gt;0,LN(IF(N$115&gt;=200,N$99*N$113*200^N$114,NBPlume_A*N$89/(N$98*Wind)/(200-N$115+N$116)^(1/NBPlume_B))),0)</f>
        <v>#DIV/0!</v>
      </c>
      <c r="O121" s="83"/>
      <c r="P121" s="2981" t="e">
        <f>IF(P$89&gt;0,LN(IF(P$115&gt;=200,P$99*P$113*200^P$114,NBPlume_A*P$89/(P$98*Wind)/(200-P$115+P$116)^(1/NBPlume_B))),0)</f>
        <v>#DIV/0!</v>
      </c>
      <c r="Q121" s="83"/>
      <c r="R121" s="2981" t="e">
        <f>IF(R$89&gt;0,LN(IF(R$115&gt;=200,R$99*R$113*200^R$114,NBPlume_A*R$89/(R$98*Wind)/(200-R$115+R$116)^(1/NBPlume_B))),0)</f>
        <v>#DIV/0!</v>
      </c>
      <c r="S121" s="83"/>
      <c r="T121" s="2981" t="e">
        <f>IF(T$89&gt;0,LN(IF(T$115&gt;=200,T$99*T$113*200^T$114,NBPlume_A*T$89/(T$98*Wind)/(200-T$115+T$116)^(1/NBPlume_B))),0)</f>
        <v>#DIV/0!</v>
      </c>
      <c r="U121" s="83"/>
      <c r="V121" s="2981" t="e">
        <f>IF(V$89&gt;0,LN(IF(V$115&gt;=200,V$99*V$113*200^V$114,NBPlume_A*V$89/(V$98*Wind)/(200-V$115+V$116)^(1/NBPlume_B))),0)</f>
        <v>#DIV/0!</v>
      </c>
      <c r="W121" s="83"/>
      <c r="X121" s="2981" t="e">
        <f>IF(X$89&gt;0,LN(IF(X$115&gt;=200,X$99*X$113*200^X$114,NBPlume_A*X$89/(X$98*Wind)/(200-X$115+X$116)^(1/NBPlume_B))),0)</f>
        <v>#DIV/0!</v>
      </c>
      <c r="Y121" s="83"/>
      <c r="Z121" s="2987"/>
      <c r="AA121" s="83"/>
      <c r="AB121" s="81"/>
      <c r="AC121" s="512" t="s">
        <v>5116</v>
      </c>
      <c r="AD121" s="81"/>
      <c r="AE121" s="3000">
        <f>LN(IF(AE$119&lt;AE$99,IF(LOG(AE$118)&lt;-0.68,83.2,IF(LOG(AE$118)&lt;-0.29,10^(2.16+0.36*LOG(AE$118)),IF(LOG(AE$118)&lt;-0.18,114.8,10^(1.96-0.56*LOG(AE$118)))))*(AE102/Wind)^0.5,1))</f>
        <v>0</v>
      </c>
      <c r="AF121" s="81"/>
      <c r="AG121" s="3000">
        <f>LN(IF(AG$119&lt;AG$99,IF(LOG(AG$118)&lt;-0.68,83.2,IF(LOG(AG$118)&lt;-0.29,10^(2.16+0.36*LOG(AG$118)),IF(LOG(AG$118)&lt;-0.18,114.8,10^(1.96-0.56*LOG(AG$118)))))*(AG102/Wind)^0.5,1))</f>
        <v>0</v>
      </c>
      <c r="AH121" s="81"/>
      <c r="AI121" s="3000">
        <f>LN(IF(AI$119&lt;AI$99,IF(LOG(AI$118)&lt;-0.68,83.2,IF(LOG(AI$118)&lt;-0.29,10^(2.16+0.36*LOG(AI$118)),IF(LOG(AI$118)&lt;-0.18,114.8,10^(1.96-0.56*LOG(AI$118)))))*(AI102/Wind)^0.5,1))</f>
        <v>0</v>
      </c>
      <c r="AJ121" s="81"/>
      <c r="AK121" s="3000">
        <f>LN(IF(AK$119&lt;AK$99,IF(LOG(AK$118)&lt;-0.68,83.2,IF(LOG(AK$118)&lt;-0.29,10^(2.16+0.36*LOG(AK$118)),IF(LOG(AK$118)&lt;-0.18,114.8,10^(1.96-0.56*LOG(AK$118)))))*(AK102/Wind)^0.5,1))</f>
        <v>0</v>
      </c>
      <c r="AL121" s="81"/>
      <c r="AM121" s="3000">
        <f>LN(IF(AM$119&lt;AM$99,IF(LOG(AM$118)&lt;-0.68,83.2,IF(LOG(AM$118)&lt;-0.29,10^(2.16+0.36*LOG(AM$118)),IF(LOG(AM$118)&lt;-0.18,114.8,10^(1.96-0.56*LOG(AM$118)))))*(AM102/Wind)^0.5,1))</f>
        <v>0</v>
      </c>
      <c r="AN121" s="81"/>
      <c r="AO121" s="3000">
        <f>LN(IF(AO$119&lt;AO$99,IF(LOG(AO$118)&lt;-0.68,83.2,IF(LOG(AO$118)&lt;-0.29,10^(2.16+0.36*LOG(AO$118)),IF(LOG(AO$118)&lt;-0.18,114.8,10^(1.96-0.56*LOG(AO$118)))))*(AO102/Wind)^0.5,1))</f>
        <v>0</v>
      </c>
      <c r="AP121" s="81"/>
      <c r="AQ121" s="85"/>
      <c r="AR121" s="81"/>
      <c r="AS121" s="83"/>
      <c r="AT121" s="512" t="s">
        <v>5106</v>
      </c>
      <c r="AU121" s="83"/>
      <c r="AV121" s="2981">
        <f>IF(AV$73&gt;0,LN(IF(AV$112&gt;=2000,AV$83*AV$110*2000^AV$111,NBPlume_A*AV$73/(AV$82*Wind)/(2000-AV$112+AV$113)^(1/NBPlume_B))),0)</f>
        <v>0</v>
      </c>
      <c r="AW121" s="269"/>
      <c r="AX121" s="2981">
        <f>IF(AX$73&gt;0,LN(IF(AX$112&gt;=2000,AX$83*AX$110*2000^AX$111,NBPlume_A*AX$73/(AX$82*Wind)/(2000-AX$112+AX$113)^(1/NBPlume_B))),0)</f>
        <v>0</v>
      </c>
      <c r="AY121" s="269"/>
      <c r="AZ121" s="2981">
        <f>IF(AZ$73&gt;0,LN(IF(AZ$112&gt;=2000,AZ$83*AZ$110*2000^AZ$111,NBPlume_A*AZ$73/(AZ$82*Wind)/(2000-AZ$112+AZ$113)^(1/NBPlume_B))),0)</f>
        <v>0</v>
      </c>
      <c r="BA121" s="269"/>
      <c r="BB121" s="2981">
        <f>IF(BB$73&gt;0,LN(IF(BB$112&gt;=2000,BB$83*BB$110*2000^BB$111,NBPlume_A*BB$73/(BB$82*Wind)/(2000-BB$112+BB$113)^(1/NBPlume_B))),0)</f>
        <v>0</v>
      </c>
      <c r="BC121" s="269"/>
      <c r="BD121" s="2981">
        <f>IF(BD$73&gt;0,LN(IF(BD$112&gt;=2000,BD$83*BD$110*2000^BD$111,NBPlume_A*BD$73/(BD$82*Wind)/(2000-BD$112+BD$113)^(1/NBPlume_B))),0)</f>
        <v>0</v>
      </c>
      <c r="BE121" s="269"/>
      <c r="BF121" s="2981">
        <f>IF(BF$73&gt;0,LN(IF(BF$112&gt;=2000,BF$83*BF$110*2000^BF$111,NBPlume_A*BF$73/(BF$82*Wind)/(2000-BF$112+BF$113)^(1/NBPlume_B))),0)</f>
        <v>0</v>
      </c>
      <c r="BG121" s="269"/>
      <c r="BH121" s="2981">
        <f>IF(BH$73&gt;0,LN(IF(BH$112&gt;=2000,BH$83*BH$110*2000^BH$111,NBPlume_A*BH$73/(BH$82*Wind)/(2000-BH$112+BH$113)^(1/NBPlume_B))),0)</f>
        <v>0</v>
      </c>
      <c r="BI121" s="269"/>
      <c r="BJ121" s="2981">
        <f>IF(BJ$73&gt;0,LN(IF(BJ$112&gt;=2000,BJ$83*BJ$110*2000^BJ$111,NBPlume_A*BJ$73/(BJ$82*Wind)/(2000-BJ$112+BJ$113)^(1/NBPlume_B))),0)</f>
        <v>0</v>
      </c>
      <c r="BK121" s="269"/>
      <c r="BL121" s="2981">
        <f>IF(BL$73&gt;0,LN(IF(BL$112&gt;=2000,BL$83*BL$110*2000^BL$111,NBPlume_A*BL$73/(BL$82*Wind)/(2000-BL$112+BL$113)^(1/NBPlume_B))),0)</f>
        <v>0</v>
      </c>
      <c r="BM121" s="269"/>
      <c r="BN121" s="2981">
        <f>IF(BN$73&gt;0,LN(IF(BN$112&gt;=2000,BN$83*BN$110*2000^BN$111,NBPlume_A*BN$73/(BN$82*Wind)/(2000-BN$112+BN$113)^(1/NBPlume_B))),0)</f>
        <v>0</v>
      </c>
      <c r="BO121" s="269"/>
      <c r="BP121" s="1835"/>
      <c r="BQ121" s="83"/>
      <c r="BR121" s="81"/>
      <c r="BS121" s="512" t="s">
        <v>5103</v>
      </c>
      <c r="BT121" s="81"/>
      <c r="BU121" s="2981">
        <f>IF(BU$98&gt;0,LN(IF(BU$115&gt;=200,BU$99*BU$113*200^BU$114,NBPlume_A*IF(BU$89="",BU$83/3600,BU$89)/(BU$98*Wind)/(200-BU$115+BU$116)^(1/NBPlume_B))),0)</f>
        <v>0</v>
      </c>
      <c r="BV121" s="81"/>
      <c r="BW121" s="2981">
        <f>IF(BW$98&gt;0,LN(IF(BW$115&gt;=200,BW$99*BW$113*200^BW$114,NBPlume_A*IF(BW$89="",BW$83/3600,BW$89)/(BW$98*Wind)/(200-BW$115+BW$116)^(1/NBPlume_B))),0)</f>
        <v>0</v>
      </c>
      <c r="BX121" s="81"/>
      <c r="BY121" s="2981">
        <f>IF(BY$98&gt;0,LN(IF(BY$115&gt;=200,BY$99*BY$113*200^BY$114,NBPlume_A*IF(BY$89="",BY$83/3600,BY$89)/(BY$98*Wind)/(200-BY$115+BY$116)^(1/NBPlume_B))),0)</f>
        <v>0</v>
      </c>
      <c r="BZ121" s="81"/>
      <c r="CA121" s="2981">
        <f>IF(CA$98&gt;0,LN(IF(CA$115&gt;=200,CA$99*CA$113*200^CA$114,NBPlume_A*IF(CA$89="",CA$83/3600,CA$89)/(CA$98*Wind)/(200-CA$115+CA$116)^(1/NBPlume_B))),0)</f>
        <v>0</v>
      </c>
      <c r="CB121" s="81"/>
      <c r="CC121" s="2981">
        <f>IF(CC$98&gt;0,LN(IF(CC$115&gt;=200,CC$99*CC$113*200^CC$114,NBPlume_A*IF(CC$89="",CC$83/3600,CC$89)/(CC$98*Wind)/(200-CC$115+CC$116)^(1/NBPlume_B))),0)</f>
        <v>0</v>
      </c>
      <c r="CD121" s="81"/>
      <c r="CE121" s="23"/>
      <c r="CF121" s="81"/>
      <c r="CG121" s="2"/>
      <c r="CH121" s="512" t="s">
        <v>5100</v>
      </c>
      <c r="CI121" s="83"/>
      <c r="CJ121" s="2981">
        <f>IF(CJ16&lt;&gt;"",LN(IF(CJ$118&gt;=20,CJ$27*CJ$116*20^CJ$117,NBPuff_A_Night*CJ16/CJ20/(20-CJ$118+CJ$119)^(1/NBPuff_B_Night))),0)</f>
        <v>0</v>
      </c>
      <c r="CK121" s="83"/>
      <c r="CL121" s="23"/>
      <c r="CM121" s="83"/>
    </row>
    <row r="122" spans="1:91" ht="15" customHeight="1" x14ac:dyDescent="0.25">
      <c r="A122" s="2"/>
      <c r="B122" s="512" t="s">
        <v>5104</v>
      </c>
      <c r="C122" s="83"/>
      <c r="D122" s="2981" t="e">
        <f>IF(D$89&gt;0,LN(IF(D$115&gt;=500,D$99*D$113*500^D$114,NBPlume_A*D$89/(D$98*Wind)/(500-D$115+D$116)^(1/NBPlume_B))),0)</f>
        <v>#DIV/0!</v>
      </c>
      <c r="E122" s="83"/>
      <c r="F122" s="2981" t="e">
        <f>IF(F$89&gt;0,LN(IF(F$115&gt;=500,F$99*F$113*500^F$114,NBPlume_A*F$89/(F$98*Wind)/(500-F$115+F$116)^(1/NBPlume_B))),0)</f>
        <v>#DIV/0!</v>
      </c>
      <c r="G122" s="83"/>
      <c r="H122" s="2981" t="e">
        <f>IF(H$89&gt;0,LN(IF(H$115&gt;=500,H$99*H$113*500^H$114,NBPlume_A*H$89/(H$98*Wind)/(500-H$115+H$116)^(1/NBPlume_B))),0)</f>
        <v>#DIV/0!</v>
      </c>
      <c r="I122" s="83"/>
      <c r="J122" s="2981" t="e">
        <f>IF(J$89&gt;0,LN(IF(J$115&gt;=500,J$99*J$113*500^J$114,NBPlume_A*J$89/(J$98*Wind)/(500-J$115+J$116)^(1/NBPlume_B))),0)</f>
        <v>#DIV/0!</v>
      </c>
      <c r="K122" s="83"/>
      <c r="L122" s="2981" t="e">
        <f>IF(L$89&gt;0,LN(IF(L$115&gt;=500,L$99*L$113*500^L$114,NBPlume_A*L$89/(L$98*Wind)/(500-L$115+L$116)^(1/NBPlume_B))),0)</f>
        <v>#DIV/0!</v>
      </c>
      <c r="M122" s="83"/>
      <c r="N122" s="2981" t="e">
        <f>IF(N$89&gt;0,LN(IF(N$115&gt;=500,N$99*N$113*500^N$114,NBPlume_A*N$89/(N$98*Wind)/(500-N$115+N$116)^(1/NBPlume_B))),0)</f>
        <v>#DIV/0!</v>
      </c>
      <c r="O122" s="83"/>
      <c r="P122" s="2981" t="e">
        <f>IF(P$89&gt;0,LN(IF(P$115&gt;=500,P$99*P$113*500^P$114,NBPlume_A*P$89/(P$98*Wind)/(500-P$115+P$116)^(1/NBPlume_B))),0)</f>
        <v>#DIV/0!</v>
      </c>
      <c r="Q122" s="83"/>
      <c r="R122" s="2981" t="e">
        <f>IF(R$89&gt;0,LN(IF(R$115&gt;=500,R$99*R$113*500^R$114,NBPlume_A*R$89/(R$98*Wind)/(500-R$115+R$116)^(1/NBPlume_B))),0)</f>
        <v>#DIV/0!</v>
      </c>
      <c r="S122" s="83"/>
      <c r="T122" s="2981" t="e">
        <f>IF(T$89&gt;0,LN(IF(T$115&gt;=500,T$99*T$113*500^T$114,NBPlume_A*T$89/(T$98*Wind)/(500-T$115+T$116)^(1/NBPlume_B))),0)</f>
        <v>#DIV/0!</v>
      </c>
      <c r="U122" s="83"/>
      <c r="V122" s="2981" t="e">
        <f>IF(V$89&gt;0,LN(IF(V$115&gt;=500,V$99*V$113*500^V$114,NBPlume_A*V$89/(V$98*Wind)/(500-V$115+V$116)^(1/NBPlume_B))),0)</f>
        <v>#DIV/0!</v>
      </c>
      <c r="W122" s="83"/>
      <c r="X122" s="2981" t="e">
        <f>IF(X$89&gt;0,LN(IF(X$115&gt;=500,X$99*X$113*500^X$114,NBPlume_A*X$89/(X$98*Wind)/(500-X$115+X$116)^(1/NBPlume_B))),0)</f>
        <v>#DIV/0!</v>
      </c>
      <c r="Y122" s="83"/>
      <c r="Z122" s="2987"/>
      <c r="AA122" s="83"/>
      <c r="AB122" s="81"/>
      <c r="AC122" s="512" t="s">
        <v>5117</v>
      </c>
      <c r="AD122" s="81"/>
      <c r="AE122" s="3000">
        <f>LN(IF(AE$119&lt;AE$99,IF(LOG(AE$118)&lt;-0.69,120.2,IF(LOG(AE$118)&lt;-0.31,10^(2.39+0.45*LOG(AE$118)),IF(LOG(AE$118)&lt;-0.16,177.8,10^(2.16-0.54*LOG(AE$118)))))*(AE102/Wind)^0.5,1))</f>
        <v>0</v>
      </c>
      <c r="AF122" s="81"/>
      <c r="AG122" s="3000">
        <f>LN(IF(AG$119&lt;AG$99,IF(LOG(AG$118)&lt;-0.69,120.2,IF(LOG(AG$118)&lt;-0.31,10^(2.39+0.45*LOG(AG$118)),IF(LOG(AG$118)&lt;-0.16,177.8,10^(2.16-0.54*LOG(AG$118)))))*(AG102/Wind)^0.5,1))</f>
        <v>0</v>
      </c>
      <c r="AH122" s="81"/>
      <c r="AI122" s="3000">
        <f>LN(IF(AI$119&lt;AI$99,IF(LOG(AI$118)&lt;-0.69,120.2,IF(LOG(AI$118)&lt;-0.31,10^(2.39+0.45*LOG(AI$118)),IF(LOG(AI$118)&lt;-0.16,177.8,10^(2.16-0.54*LOG(AI$118)))))*(AI102/Wind)^0.5,1))</f>
        <v>0</v>
      </c>
      <c r="AJ122" s="81"/>
      <c r="AK122" s="3000">
        <f>LN(IF(AK$119&lt;AK$99,IF(LOG(AK$118)&lt;-0.69,120.2,IF(LOG(AK$118)&lt;-0.31,10^(2.39+0.45*LOG(AK$118)),IF(LOG(AK$118)&lt;-0.16,177.8,10^(2.16-0.54*LOG(AK$118)))))*(AK102/Wind)^0.5,1))</f>
        <v>0</v>
      </c>
      <c r="AL122" s="81"/>
      <c r="AM122" s="3000">
        <f>LN(IF(AM$119&lt;AM$99,IF(LOG(AM$118)&lt;-0.69,120.2,IF(LOG(AM$118)&lt;-0.31,10^(2.39+0.45*LOG(AM$118)),IF(LOG(AM$118)&lt;-0.16,177.8,10^(2.16-0.54*LOG(AM$118)))))*(AM102/Wind)^0.5,1))</f>
        <v>0</v>
      </c>
      <c r="AN122" s="81"/>
      <c r="AO122" s="3000">
        <f>LN(IF(AO$119&lt;AO$99,IF(LOG(AO$118)&lt;-0.69,120.2,IF(LOG(AO$118)&lt;-0.31,10^(2.39+0.45*LOG(AO$118)),IF(LOG(AO$118)&lt;-0.16,177.8,10^(2.16-0.54*LOG(AO$118)))))*(AO102/Wind)^0.5,1))</f>
        <v>0</v>
      </c>
      <c r="AP122" s="81"/>
      <c r="AQ122" s="85"/>
      <c r="AR122" s="81"/>
      <c r="AS122" s="83"/>
      <c r="AT122" s="512" t="s">
        <v>5107</v>
      </c>
      <c r="AU122" s="83"/>
      <c r="AV122" s="2981">
        <f>IF(AV$73&gt;0,LN(IF(AV$112&gt;=5000,AV$83*AV$110*5000^AV$111,NBPlume_A*AV$73/(AV$82*Wind)/(5000-AV$112+AV$113)^(1/NBPlume_B))),0)</f>
        <v>0</v>
      </c>
      <c r="AW122" s="269"/>
      <c r="AX122" s="2981">
        <f>IF(AX$73&gt;0,LN(IF(AX$112&gt;=5000,AX$83*AX$110*5000^AX$111,NBPlume_A*AX$73/(AX$82*Wind)/(5000-AX$112+AX$113)^(1/NBPlume_B))),0)</f>
        <v>0</v>
      </c>
      <c r="AY122" s="269"/>
      <c r="AZ122" s="2981">
        <f>IF(AZ$73&gt;0,LN(IF(AZ$112&gt;=5000,AZ$83*AZ$110*5000^AZ$111,NBPlume_A*AZ$73/(AZ$82*Wind)/(5000-AZ$112+AZ$113)^(1/NBPlume_B))),0)</f>
        <v>0</v>
      </c>
      <c r="BA122" s="269"/>
      <c r="BB122" s="2981">
        <f>IF(BB$73&gt;0,LN(IF(BB$112&gt;=5000,BB$83*BB$110*5000^BB$111,NBPlume_A*BB$73/(BB$82*Wind)/(5000-BB$112+BB$113)^(1/NBPlume_B))),0)</f>
        <v>0</v>
      </c>
      <c r="BC122" s="269"/>
      <c r="BD122" s="2981">
        <f>IF(BD$73&gt;0,LN(IF(BD$112&gt;=5000,BD$83*BD$110*5000^BD$111,NBPlume_A*BD$73/(BD$82*Wind)/(5000-BD$112+BD$113)^(1/NBPlume_B))),0)</f>
        <v>0</v>
      </c>
      <c r="BE122" s="269"/>
      <c r="BF122" s="2981">
        <f>IF(BF$73&gt;0,LN(IF(BF$112&gt;=5000,BF$83*BF$110*5000^BF$111,NBPlume_A*BF$73/(BF$82*Wind)/(5000-BF$112+BF$113)^(1/NBPlume_B))),0)</f>
        <v>0</v>
      </c>
      <c r="BG122" s="269"/>
      <c r="BH122" s="2981">
        <f>IF(BH$73&gt;0,LN(IF(BH$112&gt;=5000,BH$83*BH$110*5000^BH$111,NBPlume_A*BH$73/(BH$82*Wind)/(5000-BH$112+BH$113)^(1/NBPlume_B))),0)</f>
        <v>0</v>
      </c>
      <c r="BI122" s="269"/>
      <c r="BJ122" s="2981">
        <f>IF(BJ$73&gt;0,LN(IF(BJ$112&gt;=5000,BJ$83*BJ$110*5000^BJ$111,NBPlume_A*BJ$73/(BJ$82*Wind)/(5000-BJ$112+BJ$113)^(1/NBPlume_B))),0)</f>
        <v>0</v>
      </c>
      <c r="BK122" s="269"/>
      <c r="BL122" s="2981">
        <f>IF(BL$73&gt;0,LN(IF(BL$112&gt;=5000,BL$83*BL$110*5000^BL$111,NBPlume_A*BL$73/(BL$82*Wind)/(5000-BL$112+BL$113)^(1/NBPlume_B))),0)</f>
        <v>0</v>
      </c>
      <c r="BM122" s="269"/>
      <c r="BN122" s="2981">
        <f>IF(BN$73&gt;0,LN(IF(BN$112&gt;=5000,BN$83*BN$110*5000^BN$111,NBPlume_A*BN$73/(BN$82*Wind)/(5000-BN$112+BN$113)^(1/NBPlume_B))),0)</f>
        <v>0</v>
      </c>
      <c r="BO122" s="269"/>
      <c r="BP122" s="1835"/>
      <c r="BQ122" s="83"/>
      <c r="BR122" s="81"/>
      <c r="BS122" s="512" t="s">
        <v>5104</v>
      </c>
      <c r="BT122" s="81"/>
      <c r="BU122" s="2981">
        <f>IF(BU$98&gt;0,LN(IF(BU$115&gt;=500,BU$99*BU$113*500^BU$114,NBPlume_A*IF(BU$89="",BU$83/3600,BU$89)/(BU$98*Wind)/(500-BU$115+BU$116)^(1/NBPlume_B))),0)</f>
        <v>0</v>
      </c>
      <c r="BV122" s="81"/>
      <c r="BW122" s="2981">
        <f>IF(BW$98&gt;0,LN(IF(BW$115&gt;=500,BW$99*BW$113*500^BW$114,NBPlume_A*IF(BW$89="",BW$83/3600,BW$89)/(BW$98*Wind)/(500-BW$115+BW$116)^(1/NBPlume_B))),0)</f>
        <v>0</v>
      </c>
      <c r="BX122" s="81"/>
      <c r="BY122" s="2981">
        <f>IF(BY$98&gt;0,LN(IF(BY$115&gt;=500,BY$99*BY$113*500^BY$114,NBPlume_A*IF(BY$89="",BY$83/3600,BY$89)/(BY$98*Wind)/(500-BY$115+BY$116)^(1/NBPlume_B))),0)</f>
        <v>0</v>
      </c>
      <c r="BZ122" s="81"/>
      <c r="CA122" s="2981">
        <f>IF(CA$98&gt;0,LN(IF(CA$115&gt;=500,CA$99*CA$113*500^CA$114,NBPlume_A*IF(CA$89="",CA$83/3600,CA$89)/(CA$98*Wind)/(500-CA$115+CA$116)^(1/NBPlume_B))),0)</f>
        <v>0</v>
      </c>
      <c r="CB122" s="81"/>
      <c r="CC122" s="2981">
        <f>IF(CC$98&gt;0,LN(IF(CC$115&gt;=500,CC$99*CC$113*500^CC$114,NBPlume_A*IF(CC$89="",CC$83/3600,CC$89)/(CC$98*Wind)/(500-CC$115+CC$116)^(1/NBPlume_B))),0)</f>
        <v>0</v>
      </c>
      <c r="CD122" s="81"/>
      <c r="CE122" s="23"/>
      <c r="CF122" s="81"/>
      <c r="CG122" s="2"/>
      <c r="CH122" s="512" t="s">
        <v>5101</v>
      </c>
      <c r="CI122" s="83"/>
      <c r="CJ122" s="2981">
        <f>IF(CJ16&lt;&gt;"",LN(IF(CJ$118&gt;=50,CJ$27*CJ$116*50^CJ$117,NBPuff_A_Night*CJ16/CJ20/(50-CJ$118+CJ$119)^(1/NBPuff_B_Night))),0)</f>
        <v>0</v>
      </c>
      <c r="CK122" s="83"/>
      <c r="CL122" s="23"/>
      <c r="CM122" s="83"/>
    </row>
    <row r="123" spans="1:91" ht="15" customHeight="1" thickBot="1" x14ac:dyDescent="0.3">
      <c r="A123" s="2"/>
      <c r="B123" s="512" t="s">
        <v>5105</v>
      </c>
      <c r="C123" s="83"/>
      <c r="D123" s="2981" t="e">
        <f>IF(D$89&gt;0,LN(IF(D$115&gt;=1000,D$99*D$113*1000^D$114,NBPlume_A*D$89/(D$98*Wind)/(1000-D$115+D$116)^(1/NBPlume_B))),0)</f>
        <v>#DIV/0!</v>
      </c>
      <c r="E123" s="83"/>
      <c r="F123" s="2981" t="e">
        <f>IF(F$89&gt;0,LN(IF(F$115&gt;=1000,F$99*F$113*1000^F$114,NBPlume_A*F$89/(F$98*Wind)/(1000-F$115+F$116)^(1/NBPlume_B))),0)</f>
        <v>#DIV/0!</v>
      </c>
      <c r="G123" s="83"/>
      <c r="H123" s="2981" t="e">
        <f>IF(H$89&gt;0,LN(IF(H$115&gt;=1000,H$99*H$113*1000^H$114,NBPlume_A*H$89/(H$98*Wind)/(1000-H$115+H$116)^(1/NBPlume_B))),0)</f>
        <v>#DIV/0!</v>
      </c>
      <c r="I123" s="83"/>
      <c r="J123" s="2981" t="e">
        <f>IF(J$89&gt;0,LN(IF(J$115&gt;=1000,J$99*J$113*1000^J$114,NBPlume_A*J$89/(J$98*Wind)/(1000-J$115+J$116)^(1/NBPlume_B))),0)</f>
        <v>#DIV/0!</v>
      </c>
      <c r="K123" s="83"/>
      <c r="L123" s="2981" t="e">
        <f>IF(L$89&gt;0,LN(IF(L$115&gt;=1000,L$99*L$113*1000^L$114,NBPlume_A*L$89/(L$98*Wind)/(1000-L$115+L$116)^(1/NBPlume_B))),0)</f>
        <v>#DIV/0!</v>
      </c>
      <c r="M123" s="83"/>
      <c r="N123" s="2981" t="e">
        <f>IF(N$89&gt;0,LN(IF(N$115&gt;=1000,N$99*N$113*1000^N$114,NBPlume_A*N$89/(N$98*Wind)/(1000-N$115+N$116)^(1/NBPlume_B))),0)</f>
        <v>#DIV/0!</v>
      </c>
      <c r="O123" s="83"/>
      <c r="P123" s="2981" t="e">
        <f>IF(P$89&gt;0,LN(IF(P$115&gt;=1000,P$99*P$113*1000^P$114,NBPlume_A*P$89/(P$98*Wind)/(1000-P$115+P$116)^(1/NBPlume_B))),0)</f>
        <v>#DIV/0!</v>
      </c>
      <c r="Q123" s="83"/>
      <c r="R123" s="2981" t="e">
        <f>IF(R$89&gt;0,LN(IF(R$115&gt;=1000,R$99*R$113*1000^R$114,NBPlume_A*R$89/(R$98*Wind)/(1000-R$115+R$116)^(1/NBPlume_B))),0)</f>
        <v>#DIV/0!</v>
      </c>
      <c r="S123" s="83"/>
      <c r="T123" s="2981" t="e">
        <f>IF(T$89&gt;0,LN(IF(T$115&gt;=1000,T$99*T$113*1000^T$114,NBPlume_A*T$89/(T$98*Wind)/(1000-T$115+T$116)^(1/NBPlume_B))),0)</f>
        <v>#DIV/0!</v>
      </c>
      <c r="U123" s="83"/>
      <c r="V123" s="2981" t="e">
        <f>IF(V$89&gt;0,LN(IF(V$115&gt;=1000,V$99*V$113*1000^V$114,NBPlume_A*V$89/(V$98*Wind)/(1000-V$115+V$116)^(1/NBPlume_B))),0)</f>
        <v>#DIV/0!</v>
      </c>
      <c r="W123" s="83"/>
      <c r="X123" s="2981" t="e">
        <f>IF(X$89&gt;0,LN(IF(X$115&gt;=1000,X$99*X$113*1000^X$114,NBPlume_A*X$89/(X$98*Wind)/(1000-X$115+X$116)^(1/NBPlume_B))),0)</f>
        <v>#DIV/0!</v>
      </c>
      <c r="Y123" s="83"/>
      <c r="Z123" s="2987"/>
      <c r="AA123" s="83"/>
      <c r="AB123" s="81"/>
      <c r="AC123" s="512" t="s">
        <v>5118</v>
      </c>
      <c r="AD123" s="81"/>
      <c r="AE123" s="3000">
        <f>LN(IF(AE$119&lt;AE$99,IF(LOG(AE$118)&lt;-0.7,177.8,IF(LOG(AE$118)&lt;-0.29,10^(2.59+0.49*LOG(AE$118)),IF(LOG(AE$118)&lt;-0.2,281.8,10^(2.35-0.52*LOG(AE$118)))))*(AE102/Wind)^0.5,1))</f>
        <v>0</v>
      </c>
      <c r="AF123" s="81"/>
      <c r="AG123" s="3000">
        <f>LN(IF(AG$119&lt;AG$99,IF(LOG(AG$118)&lt;-0.7,177.8,IF(LOG(AG$118)&lt;-0.29,10^(2.59+0.49*LOG(AG$118)),IF(LOG(AG$118)&lt;-0.2,281.8,10^(2.35-0.52*LOG(AG$118)))))*(AG102/Wind)^0.5,1))</f>
        <v>0</v>
      </c>
      <c r="AH123" s="81"/>
      <c r="AI123" s="3000">
        <f>LN(IF(AI$119&lt;AI$99,IF(LOG(AI$118)&lt;-0.7,177.8,IF(LOG(AI$118)&lt;-0.29,10^(2.59+0.49*LOG(AI$118)),IF(LOG(AI$118)&lt;-0.2,281.8,10^(2.35-0.52*LOG(AI$118)))))*(AI102/Wind)^0.5,1))</f>
        <v>0</v>
      </c>
      <c r="AJ123" s="81"/>
      <c r="AK123" s="3000">
        <f>LN(IF(AK$119&lt;AK$99,IF(LOG(AK$118)&lt;-0.7,177.8,IF(LOG(AK$118)&lt;-0.29,10^(2.59+0.49*LOG(AK$118)),IF(LOG(AK$118)&lt;-0.2,281.8,10^(2.35-0.52*LOG(AK$118)))))*(AK102/Wind)^0.5,1))</f>
        <v>0</v>
      </c>
      <c r="AL123" s="81"/>
      <c r="AM123" s="3000">
        <f>LN(IF(AM$119&lt;AM$99,IF(LOG(AM$118)&lt;-0.7,177.8,IF(LOG(AM$118)&lt;-0.29,10^(2.59+0.49*LOG(AM$118)),IF(LOG(AM$118)&lt;-0.2,281.8,10^(2.35-0.52*LOG(AM$118)))))*(AM102/Wind)^0.5,1))</f>
        <v>0</v>
      </c>
      <c r="AN123" s="81"/>
      <c r="AO123" s="3000">
        <f>LN(IF(AO$119&lt;AO$99,IF(LOG(AO$118)&lt;-0.7,177.8,IF(LOG(AO$118)&lt;-0.29,10^(2.59+0.49*LOG(AO$118)),IF(LOG(AO$118)&lt;-0.2,281.8,10^(2.35-0.52*LOG(AO$118)))))*(AO102/Wind)^0.5,1))</f>
        <v>0</v>
      </c>
      <c r="AP123" s="81"/>
      <c r="AQ123" s="85"/>
      <c r="AR123" s="81"/>
      <c r="AS123" s="83"/>
      <c r="AT123" s="615" t="s">
        <v>5108</v>
      </c>
      <c r="AU123" s="83"/>
      <c r="AV123" s="3001">
        <f>IF(AV$73&gt;0,LN(IF(AV$112&gt;=10000,AV$83*AV$110*10000^AV$111,NBPlume_A*AV$73/(AV$82*Wind)/(10000-AV$112+AV$113)^(1/NBPlume_B))),0)</f>
        <v>0</v>
      </c>
      <c r="AW123" s="269"/>
      <c r="AX123" s="3001">
        <f>IF(AX$73&gt;0,LN(IF(AX$112&gt;=10000,AX$83*AX$110*10000^AX$111,NBPlume_A*AX$73/(AX$82*Wind)/(10000-AX$112+AX$113)^(1/NBPlume_B))),0)</f>
        <v>0</v>
      </c>
      <c r="AY123" s="269"/>
      <c r="AZ123" s="3001">
        <f>IF(AZ$73&gt;0,LN(IF(AZ$112&gt;=10000,AZ$83*AZ$110*10000^AZ$111,NBPlume_A*AZ$73/(AZ$82*Wind)/(10000-AZ$112+AZ$113)^(1/NBPlume_B))),0)</f>
        <v>0</v>
      </c>
      <c r="BA123" s="269"/>
      <c r="BB123" s="3001">
        <f>IF(BB$73&gt;0,LN(IF(BB$112&gt;=10000,BB$83*BB$110*10000^BB$111,NBPlume_A*BB$73/(BB$82*Wind)/(10000-BB$112+BB$113)^(1/NBPlume_B))),0)</f>
        <v>0</v>
      </c>
      <c r="BC123" s="269"/>
      <c r="BD123" s="3001">
        <f>IF(BD$73&gt;0,LN(IF(BD$112&gt;=10000,BD$83*BD$110*10000^BD$111,NBPlume_A*BD$73/(BD$82*Wind)/(10000-BD$112+BD$113)^(1/NBPlume_B))),0)</f>
        <v>0</v>
      </c>
      <c r="BE123" s="269"/>
      <c r="BF123" s="3001">
        <f>IF(BF$73&gt;0,LN(IF(BF$112&gt;=10000,BF$83*BF$110*10000^BF$111,NBPlume_A*BF$73/(BF$82*Wind)/(10000-BF$112+BF$113)^(1/NBPlume_B))),0)</f>
        <v>0</v>
      </c>
      <c r="BG123" s="269"/>
      <c r="BH123" s="3001">
        <f>IF(BH$73&gt;0,LN(IF(BH$112&gt;=10000,BH$83*BH$110*10000^BH$111,NBPlume_A*BH$73/(BH$82*Wind)/(10000-BH$112+BH$113)^(1/NBPlume_B))),0)</f>
        <v>0</v>
      </c>
      <c r="BI123" s="269"/>
      <c r="BJ123" s="3001">
        <f>IF(BJ$73&gt;0,LN(IF(BJ$112&gt;=10000,BJ$83*BJ$110*10000^BJ$111,NBPlume_A*BJ$73/(BJ$82*Wind)/(10000-BJ$112+BJ$113)^(1/NBPlume_B))),0)</f>
        <v>0</v>
      </c>
      <c r="BK123" s="269"/>
      <c r="BL123" s="3001">
        <f>IF(BL$73&gt;0,LN(IF(BL$112&gt;=10000,BL$83*BL$110*10000^BL$111,NBPlume_A*BL$73/(BL$82*Wind)/(10000-BL$112+BL$113)^(1/NBPlume_B))),0)</f>
        <v>0</v>
      </c>
      <c r="BM123" s="269"/>
      <c r="BN123" s="3001">
        <f>IF(BN$73&gt;0,LN(IF(BN$112&gt;=10000,BN$83*BN$110*10000^BN$111,NBPlume_A*BN$73/(BN$82*Wind)/(10000-BN$112+BN$113)^(1/NBPlume_B))),0)</f>
        <v>0</v>
      </c>
      <c r="BO123" s="269"/>
      <c r="BP123" s="1835"/>
      <c r="BQ123" s="83"/>
      <c r="BR123" s="81"/>
      <c r="BS123" s="512" t="s">
        <v>5105</v>
      </c>
      <c r="BT123" s="81"/>
      <c r="BU123" s="2981">
        <f>IF(BU$98&gt;0,LN(IF(BU$115&gt;=1000,BU$99*BU$113*1000^BU$114,NBPlume_A*IF(BU$89="",BU$83/3600,BU$89)/(BU$98*Wind)/(1000-BU$115+BU$116)^(1/NBPlume_B))),0)</f>
        <v>0</v>
      </c>
      <c r="BV123" s="81"/>
      <c r="BW123" s="2981">
        <f>IF(BW$98&gt;0,LN(IF(BW$115&gt;=1000,BW$99*BW$113*1000^BW$114,NBPlume_A*IF(BW$89="",BW$83/3600,BW$89)/(BW$98*Wind)/(1000-BW$115+BW$116)^(1/NBPlume_B))),0)</f>
        <v>0</v>
      </c>
      <c r="BX123" s="81"/>
      <c r="BY123" s="2981">
        <f>IF(BY$98&gt;0,LN(IF(BY$115&gt;=1000,BY$99*BY$113*1000^BY$114,NBPlume_A*IF(BY$89="",BY$83/3600,BY$89)/(BY$98*Wind)/(1000-BY$115+BY$116)^(1/NBPlume_B))),0)</f>
        <v>0</v>
      </c>
      <c r="BZ123" s="81"/>
      <c r="CA123" s="2981">
        <f>IF(CA$98&gt;0,LN(IF(CA$115&gt;=1000,CA$99*CA$113*1000^CA$114,NBPlume_A*IF(CA$89="",CA$83/3600,CA$89)/(CA$98*Wind)/(1000-CA$115+CA$116)^(1/NBPlume_B))),0)</f>
        <v>0</v>
      </c>
      <c r="CB123" s="81"/>
      <c r="CC123" s="2981">
        <f>IF(CC$98&gt;0,LN(IF(CC$115&gt;=1000,CC$99*CC$113*1000^CC$114,NBPlume_A*IF(CC$89="",CC$83/3600,CC$89)/(CC$98*Wind)/(1000-CC$115+CC$116)^(1/NBPlume_B))),0)</f>
        <v>0</v>
      </c>
      <c r="CD123" s="81"/>
      <c r="CE123" s="23"/>
      <c r="CF123" s="81"/>
      <c r="CG123" s="2"/>
      <c r="CH123" s="512" t="s">
        <v>5102</v>
      </c>
      <c r="CI123" s="83"/>
      <c r="CJ123" s="2981">
        <f>IF(CJ16&lt;&gt;"",LN(IF(CJ$118&gt;=100,CJ$27*CJ$116*100^CJ$117,NBPuff_A_Night*CJ16/CJ20/(100-CJ$118+CJ$119)^(1/NBPuff_B_Night))),0)</f>
        <v>0</v>
      </c>
      <c r="CK123" s="83"/>
      <c r="CL123" s="23"/>
      <c r="CM123" s="83"/>
    </row>
    <row r="124" spans="1:91" ht="15" customHeight="1" x14ac:dyDescent="0.25">
      <c r="A124" s="2"/>
      <c r="B124" s="512" t="s">
        <v>5106</v>
      </c>
      <c r="C124" s="83"/>
      <c r="D124" s="2981" t="e">
        <f>IF(D$89&gt;0,LN(IF(D$115&gt;=2000,D$99*D$113*2000^D$114,NBPlume_A*D$89/(D$98*Wind)/(2000-D$115+D$116)^(1/NBPlume_B))),0)</f>
        <v>#DIV/0!</v>
      </c>
      <c r="E124" s="83"/>
      <c r="F124" s="2981" t="e">
        <f>IF(F$89&gt;0,LN(IF(F$115&gt;=2000,F$99*F$113*2000^F$114,NBPlume_A*F$89/(F$98*Wind)/(2000-F$115+F$116)^(1/NBPlume_B))),0)</f>
        <v>#DIV/0!</v>
      </c>
      <c r="G124" s="83"/>
      <c r="H124" s="2981" t="e">
        <f>IF(H$89&gt;0,LN(IF(H$115&gt;=2000,H$99*H$113*2000^H$114,NBPlume_A*H$89/(H$98*Wind)/(2000-H$115+H$116)^(1/NBPlume_B))),0)</f>
        <v>#DIV/0!</v>
      </c>
      <c r="I124" s="83"/>
      <c r="J124" s="2981" t="e">
        <f>IF(J$89&gt;0,LN(IF(J$115&gt;=2000,J$99*J$113*2000^J$114,NBPlume_A*J$89/(J$98*Wind)/(2000-J$115+J$116)^(1/NBPlume_B))),0)</f>
        <v>#DIV/0!</v>
      </c>
      <c r="K124" s="83"/>
      <c r="L124" s="2981" t="e">
        <f>IF(L$89&gt;0,LN(IF(L$115&gt;=2000,L$99*L$113*2000^L$114,NBPlume_A*L$89/(L$98*Wind)/(2000-L$115+L$116)^(1/NBPlume_B))),0)</f>
        <v>#DIV/0!</v>
      </c>
      <c r="M124" s="83"/>
      <c r="N124" s="2981" t="e">
        <f>IF(N$89&gt;0,LN(IF(N$115&gt;=2000,N$99*N$113*2000^N$114,NBPlume_A*N$89/(N$98*Wind)/(2000-N$115+N$116)^(1/NBPlume_B))),0)</f>
        <v>#DIV/0!</v>
      </c>
      <c r="O124" s="83"/>
      <c r="P124" s="2981" t="e">
        <f>IF(P$89&gt;0,LN(IF(P$115&gt;=2000,P$99*P$113*2000^P$114,NBPlume_A*P$89/(P$98*Wind)/(2000-P$115+P$116)^(1/NBPlume_B))),0)</f>
        <v>#DIV/0!</v>
      </c>
      <c r="Q124" s="83"/>
      <c r="R124" s="2981" t="e">
        <f>IF(R$89&gt;0,LN(IF(R$115&gt;=2000,R$99*R$113*2000^R$114,NBPlume_A*R$89/(R$98*Wind)/(2000-R$115+R$116)^(1/NBPlume_B))),0)</f>
        <v>#DIV/0!</v>
      </c>
      <c r="S124" s="83"/>
      <c r="T124" s="2981" t="e">
        <f>IF(T$89&gt;0,LN(IF(T$115&gt;=2000,T$99*T$113*2000^T$114,NBPlume_A*T$89/(T$98*Wind)/(2000-T$115+T$116)^(1/NBPlume_B))),0)</f>
        <v>#DIV/0!</v>
      </c>
      <c r="U124" s="83"/>
      <c r="V124" s="2981" t="e">
        <f>IF(V$89&gt;0,LN(IF(V$115&gt;=2000,V$99*V$113*2000^V$114,NBPlume_A*V$89/(V$98*Wind)/(2000-V$115+V$116)^(1/NBPlume_B))),0)</f>
        <v>#DIV/0!</v>
      </c>
      <c r="W124" s="83"/>
      <c r="X124" s="2981" t="e">
        <f>IF(X$89&gt;0,LN(IF(X$115&gt;=2000,X$99*X$113*2000^X$114,NBPlume_A*X$89/(X$98*Wind)/(2000-X$115+X$116)^(1/NBPlume_B))),0)</f>
        <v>#DIV/0!</v>
      </c>
      <c r="Y124" s="83"/>
      <c r="Z124" s="2987"/>
      <c r="AA124" s="83"/>
      <c r="AB124" s="81"/>
      <c r="AC124" s="512" t="s">
        <v>5119</v>
      </c>
      <c r="AD124" s="81"/>
      <c r="AE124" s="3000">
        <f>LN(IF(AE$119&lt;AE$99,IF(LOG(AE$118)&lt;-0.67,251.2,IF(LOG(AE$118)&lt;-0.28,10^(2.8+0.59*LOG(AE$118)),IF(LOG(AE$118)&lt;-0.15,426.6,10^(2.56-0.49*LOG(AE$118)))))*(AE102/Wind)^0.5,1))</f>
        <v>0</v>
      </c>
      <c r="AF124" s="81"/>
      <c r="AG124" s="3000">
        <f>LN(IF(AG$119&lt;AG$99,IF(LOG(AG$118)&lt;-0.67,251.2,IF(LOG(AG$118)&lt;-0.28,10^(2.8+0.59*LOG(AG$118)),IF(LOG(AG$118)&lt;-0.15,426.6,10^(2.56-0.49*LOG(AG$118)))))*(AG102/Wind)^0.5,1))</f>
        <v>0</v>
      </c>
      <c r="AH124" s="81"/>
      <c r="AI124" s="3000">
        <f>LN(IF(AI$119&lt;AI$99,IF(LOG(AI$118)&lt;-0.67,251.2,IF(LOG(AI$118)&lt;-0.28,10^(2.8+0.59*LOG(AI$118)),IF(LOG(AI$118)&lt;-0.15,426.6,10^(2.56-0.49*LOG(AI$118)))))*(AI102/Wind)^0.5,1))</f>
        <v>0</v>
      </c>
      <c r="AJ124" s="81"/>
      <c r="AK124" s="3000">
        <f>LN(IF(AK$119&lt;AK$99,IF(LOG(AK$118)&lt;-0.67,251.2,IF(LOG(AK$118)&lt;-0.28,10^(2.8+0.59*LOG(AK$118)),IF(LOG(AK$118)&lt;-0.15,426.6,10^(2.56-0.49*LOG(AK$118)))))*(AK102/Wind)^0.5,1))</f>
        <v>0</v>
      </c>
      <c r="AL124" s="81"/>
      <c r="AM124" s="3000">
        <f>LN(IF(AM$119&lt;AM$99,IF(LOG(AM$118)&lt;-0.67,251.2,IF(LOG(AM$118)&lt;-0.28,10^(2.8+0.59*LOG(AM$118)),IF(LOG(AM$118)&lt;-0.15,426.6,10^(2.56-0.49*LOG(AM$118)))))*(AM102/Wind)^0.5,1))</f>
        <v>0</v>
      </c>
      <c r="AN124" s="81"/>
      <c r="AO124" s="3000">
        <f>LN(IF(AO$119&lt;AO$99,IF(LOG(AO$118)&lt;-0.67,251.2,IF(LOG(AO$118)&lt;-0.28,10^(2.8+0.59*LOG(AO$118)),IF(LOG(AO$118)&lt;-0.15,426.6,10^(2.56-0.49*LOG(AO$118)))))*(AO102/Wind)^0.5,1))</f>
        <v>0</v>
      </c>
      <c r="AP124" s="81"/>
      <c r="AQ124" s="85"/>
      <c r="AR124" s="81"/>
      <c r="AS124" s="83"/>
      <c r="AT124" s="2975" t="s">
        <v>5075</v>
      </c>
      <c r="AU124" s="83"/>
      <c r="AV124" s="2980">
        <f>IF(AV$73&gt;0,(EXP(INDEX(LINEST(AV114:AV123,$CJ$286:$CJ$295),2))*(AV$82*Wind/AV$73))^AV125,0)</f>
        <v>0</v>
      </c>
      <c r="AW124" s="269"/>
      <c r="AX124" s="2980">
        <f>IF(AX$73&gt;0,(EXP(INDEX(LINEST(AX114:AX123,$CJ$286:$CJ$295),2))*(AX$82*Wind/AX$73))^AX125,0)</f>
        <v>0</v>
      </c>
      <c r="AY124" s="269"/>
      <c r="AZ124" s="2980">
        <f>IF(AZ$73&gt;0,(EXP(INDEX(LINEST(AZ114:AZ123,$CJ$286:$CJ$295),2))*(AZ$82*Wind/AZ$73))^AZ125,0)</f>
        <v>0</v>
      </c>
      <c r="BA124" s="269"/>
      <c r="BB124" s="2980">
        <f>IF(BB$73&gt;0,(EXP(INDEX(LINEST(BB114:BB123,$CJ$286:$CJ$295),2))*(BB$82*Wind/BB$73))^BB125,0)</f>
        <v>0</v>
      </c>
      <c r="BC124" s="269"/>
      <c r="BD124" s="2980">
        <f>IF(BD$73&gt;0,(EXP(INDEX(LINEST(BD114:BD123,$CJ$286:$CJ$295),2))*(BD$82*Wind/BD$73))^BD125,0)</f>
        <v>0</v>
      </c>
      <c r="BE124" s="269"/>
      <c r="BF124" s="2980">
        <f>IF(BF$73&gt;0,(EXP(INDEX(LINEST(BF114:BF123,$CJ$286:$CJ$295),2))*(BF$82*Wind/BF$73))^BF125,0)</f>
        <v>0</v>
      </c>
      <c r="BG124" s="269"/>
      <c r="BH124" s="2980">
        <f>IF(BH$73&gt;0,(EXP(INDEX(LINEST(BH114:BH123,$CJ$286:$CJ$295),2))*(BH$82*Wind/BH$73))^BH125,0)</f>
        <v>0</v>
      </c>
      <c r="BI124" s="269"/>
      <c r="BJ124" s="2980">
        <f>IF(BJ$73&gt;0,(EXP(INDEX(LINEST(BJ114:BJ123,$CJ$286:$CJ$295),2))*(BJ$82*Wind/BJ$73))^BJ125,0)</f>
        <v>0</v>
      </c>
      <c r="BK124" s="269"/>
      <c r="BL124" s="2980">
        <f>IF(BL$73&gt;0,(EXP(INDEX(LINEST(BL114:BL123,$CJ$286:$CJ$295),2))*(BL$82*Wind/BL$73))^BL125,0)</f>
        <v>0</v>
      </c>
      <c r="BM124" s="269"/>
      <c r="BN124" s="2980">
        <f>IF(BN$73&gt;0,(EXP(INDEX(LINEST(BN114:BN123,$CJ$286:$CJ$295),2))*(BN$82*Wind/BN$73))^BN125,0)</f>
        <v>0</v>
      </c>
      <c r="BO124" s="269"/>
      <c r="BP124" s="1834"/>
      <c r="BQ124" s="83"/>
      <c r="BR124" s="81"/>
      <c r="BS124" s="512" t="s">
        <v>5106</v>
      </c>
      <c r="BT124" s="81"/>
      <c r="BU124" s="2981">
        <f>IF(BU$98&gt;0,LN(IF(BU$115&gt;=2000,BU$99*BU$113*2000^BU$114,NBPlume_A*IF(BU$89="",BU$83/3600,BU$89)/(BU$98*Wind)/(2000-BU$115+BU$116)^(1/NBPlume_B))),0)</f>
        <v>0</v>
      </c>
      <c r="BV124" s="81"/>
      <c r="BW124" s="2981">
        <f>IF(BW$98&gt;0,LN(IF(BW$115&gt;=2000,BW$99*BW$113*2000^BW$114,NBPlume_A*IF(BW$89="",BW$83/3600,BW$89)/(BW$98*Wind)/(2000-BW$115+BW$116)^(1/NBPlume_B))),0)</f>
        <v>0</v>
      </c>
      <c r="BX124" s="81"/>
      <c r="BY124" s="2981">
        <f>IF(BY$98&gt;0,LN(IF(BY$115&gt;=2000,BY$99*BY$113*2000^BY$114,NBPlume_A*IF(BY$89="",BY$83/3600,BY$89)/(BY$98*Wind)/(2000-BY$115+BY$116)^(1/NBPlume_B))),0)</f>
        <v>0</v>
      </c>
      <c r="BZ124" s="81"/>
      <c r="CA124" s="2981">
        <f>IF(CA$98&gt;0,LN(IF(CA$115&gt;=2000,CA$99*CA$113*2000^CA$114,NBPlume_A*IF(CA$89="",CA$83/3600,CA$89)/(CA$98*Wind)/(2000-CA$115+CA$116)^(1/NBPlume_B))),0)</f>
        <v>0</v>
      </c>
      <c r="CB124" s="81"/>
      <c r="CC124" s="2981">
        <f>IF(CC$98&gt;0,LN(IF(CC$115&gt;=2000,CC$99*CC$113*2000^CC$114,NBPlume_A*IF(CC$89="",CC$83/3600,CC$89)/(CC$98*Wind)/(2000-CC$115+CC$116)^(1/NBPlume_B))),0)</f>
        <v>0</v>
      </c>
      <c r="CD124" s="81"/>
      <c r="CE124" s="23"/>
      <c r="CF124" s="81"/>
      <c r="CG124" s="2"/>
      <c r="CH124" s="512" t="s">
        <v>5103</v>
      </c>
      <c r="CI124" s="83"/>
      <c r="CJ124" s="2981">
        <f>IF(CJ16&lt;&gt;"",LN(IF(CJ$118&gt;=200,CJ$27*CJ$116*200^CJ$117,NBPuff_A_Night*CJ16/CJ20/(200-CJ$118+CJ$119)^(1/NBPuff_B_Night))),0)</f>
        <v>0</v>
      </c>
      <c r="CK124" s="83"/>
      <c r="CL124" s="23"/>
      <c r="CM124" s="83"/>
    </row>
    <row r="125" spans="1:91" ht="15" customHeight="1" x14ac:dyDescent="0.25">
      <c r="A125" s="2"/>
      <c r="B125" s="512" t="s">
        <v>5107</v>
      </c>
      <c r="C125" s="83"/>
      <c r="D125" s="2981" t="e">
        <f>IF(D$89&gt;0,LN(IF(D$115&gt;=5000,D$99*D$113*5000^D$114,NBPlume_A*D$89/(D$98*Wind)/(5000-D$115+D$116)^(1/NBPlume_B))),0)</f>
        <v>#DIV/0!</v>
      </c>
      <c r="E125" s="83"/>
      <c r="F125" s="2981" t="e">
        <f>IF(F$89&gt;0,LN(IF(F$115&gt;=5000,F$99*F$113*5000^F$114,NBPlume_A*F$89/(F$98*Wind)/(5000-F$115+F$116)^(1/NBPlume_B))),0)</f>
        <v>#DIV/0!</v>
      </c>
      <c r="G125" s="83"/>
      <c r="H125" s="2981" t="e">
        <f>IF(H$89&gt;0,LN(IF(H$115&gt;=5000,H$99*H$113*5000^H$114,NBPlume_A*H$89/(H$98*Wind)/(5000-H$115+H$116)^(1/NBPlume_B))),0)</f>
        <v>#DIV/0!</v>
      </c>
      <c r="I125" s="83"/>
      <c r="J125" s="2981" t="e">
        <f>IF(J$89&gt;0,LN(IF(J$115&gt;=5000,J$99*J$113*5000^J$114,NBPlume_A*J$89/(J$98*Wind)/(5000-J$115+J$116)^(1/NBPlume_B))),0)</f>
        <v>#DIV/0!</v>
      </c>
      <c r="K125" s="83"/>
      <c r="L125" s="2981" t="e">
        <f>IF(L$89&gt;0,LN(IF(L$115&gt;=5000,L$99*L$113*5000^L$114,NBPlume_A*L$89/(L$98*Wind)/(5000-L$115+L$116)^(1/NBPlume_B))),0)</f>
        <v>#DIV/0!</v>
      </c>
      <c r="M125" s="83"/>
      <c r="N125" s="2981" t="e">
        <f>IF(N$89&gt;0,LN(IF(N$115&gt;=5000,N$99*N$113*5000^N$114,NBPlume_A*N$89/(N$98*Wind)/(5000-N$115+N$116)^(1/NBPlume_B))),0)</f>
        <v>#DIV/0!</v>
      </c>
      <c r="O125" s="83"/>
      <c r="P125" s="2981" t="e">
        <f>IF(P$89&gt;0,LN(IF(P$115&gt;=5000,P$99*P$113*5000^P$114,NBPlume_A*P$89/(P$98*Wind)/(5000-P$115+P$116)^(1/NBPlume_B))),0)</f>
        <v>#DIV/0!</v>
      </c>
      <c r="Q125" s="83"/>
      <c r="R125" s="2981" t="e">
        <f>IF(R$89&gt;0,LN(IF(R$115&gt;=5000,R$99*R$113*5000^R$114,NBPlume_A*R$89/(R$98*Wind)/(5000-R$115+R$116)^(1/NBPlume_B))),0)</f>
        <v>#DIV/0!</v>
      </c>
      <c r="S125" s="83"/>
      <c r="T125" s="2981" t="e">
        <f>IF(T$89&gt;0,LN(IF(T$115&gt;=5000,T$99*T$113*5000^T$114,NBPlume_A*T$89/(T$98*Wind)/(5000-T$115+T$116)^(1/NBPlume_B))),0)</f>
        <v>#DIV/0!</v>
      </c>
      <c r="U125" s="83"/>
      <c r="V125" s="2981" t="e">
        <f>IF(V$89&gt;0,LN(IF(V$115&gt;=5000,V$99*V$113*5000^V$114,NBPlume_A*V$89/(V$98*Wind)/(5000-V$115+V$116)^(1/NBPlume_B))),0)</f>
        <v>#DIV/0!</v>
      </c>
      <c r="W125" s="83"/>
      <c r="X125" s="2981" t="e">
        <f>IF(X$89&gt;0,LN(IF(X$115&gt;=5000,X$99*X$113*5000^X$114,NBPlume_A*X$89/(X$98*Wind)/(5000-X$115+X$116)^(1/NBPlume_B))),0)</f>
        <v>#DIV/0!</v>
      </c>
      <c r="Y125" s="83"/>
      <c r="Z125" s="2987"/>
      <c r="AA125" s="83"/>
      <c r="AB125" s="81"/>
      <c r="AC125" s="512" t="s">
        <v>5120</v>
      </c>
      <c r="AD125" s="81"/>
      <c r="AE125" s="3000">
        <f>LN(IF(AE$119&lt;AE$99,IF(LOG(AE$118)&lt;-0.69,398.1,IF(LOG(AE$118)&lt;-0.25,10^(2.87+0.39*LOG(AE$118)),IF(LOG(AE$118)&lt;-0.13,588.8,10^(2.71-0.5*LOG(AE$118)))))*(AE102/Wind)^0.5,1))</f>
        <v>0</v>
      </c>
      <c r="AF125" s="81"/>
      <c r="AG125" s="3000">
        <f>LN(IF(AG$119&lt;AG$99,IF(LOG(AG$118)&lt;-0.69,398.1,IF(LOG(AG$118)&lt;-0.25,10^(2.87+0.39*LOG(AG$118)),IF(LOG(AG$118)&lt;-0.13,588.8,10^(2.71-0.5*LOG(AG$118)))))*(AG102/Wind)^0.5,1))</f>
        <v>0</v>
      </c>
      <c r="AH125" s="81"/>
      <c r="AI125" s="3000">
        <f>LN(IF(AI$119&lt;AI$99,IF(LOG(AI$118)&lt;-0.69,398.1,IF(LOG(AI$118)&lt;-0.25,10^(2.87+0.39*LOG(AI$118)),IF(LOG(AI$118)&lt;-0.13,588.8,10^(2.71-0.5*LOG(AI$118)))))*(AI102/Wind)^0.5,1))</f>
        <v>0</v>
      </c>
      <c r="AJ125" s="81"/>
      <c r="AK125" s="3000">
        <f>LN(IF(AK$119&lt;AK$99,IF(LOG(AK$118)&lt;-0.69,398.1,IF(LOG(AK$118)&lt;-0.25,10^(2.87+0.39*LOG(AK$118)),IF(LOG(AK$118)&lt;-0.13,588.8,10^(2.71-0.5*LOG(AK$118)))))*(AK102/Wind)^0.5,1))</f>
        <v>0</v>
      </c>
      <c r="AL125" s="81"/>
      <c r="AM125" s="3000">
        <f>LN(IF(AM$119&lt;AM$99,IF(LOG(AM$118)&lt;-0.69,398.1,IF(LOG(AM$118)&lt;-0.25,10^(2.87+0.39*LOG(AM$118)),IF(LOG(AM$118)&lt;-0.13,588.8,10^(2.71-0.5*LOG(AM$118)))))*(AM102/Wind)^0.5,1))</f>
        <v>0</v>
      </c>
      <c r="AN125" s="81"/>
      <c r="AO125" s="3000">
        <f>LN(IF(AO$119&lt;AO$99,IF(LOG(AO$118)&lt;-0.69,398.1,IF(LOG(AO$118)&lt;-0.25,10^(2.87+0.39*LOG(AO$118)),IF(LOG(AO$118)&lt;-0.13,588.8,10^(2.71-0.5*LOG(AO$118)))))*(AO102/Wind)^0.5,1))</f>
        <v>0</v>
      </c>
      <c r="AP125" s="81"/>
      <c r="AQ125" s="85"/>
      <c r="AR125" s="81"/>
      <c r="AS125" s="83"/>
      <c r="AT125" s="2977" t="s">
        <v>5076</v>
      </c>
      <c r="AU125" s="83"/>
      <c r="AV125" s="2089">
        <f>IF(AV$73&gt;0,-1/INDEX(LINEST(AV114:AV123,$CJ$286:$CJ$295),1),0)</f>
        <v>0</v>
      </c>
      <c r="AW125" s="269"/>
      <c r="AX125" s="2089">
        <f>IF(AX$73&gt;0,-1/INDEX(LINEST(AX114:AX123,$CJ$286:$CJ$295),1),0)</f>
        <v>0</v>
      </c>
      <c r="AY125" s="269"/>
      <c r="AZ125" s="2089">
        <f>IF(AZ$73&gt;0,-1/INDEX(LINEST(AZ114:AZ123,$CJ$286:$CJ$295),1),0)</f>
        <v>0</v>
      </c>
      <c r="BA125" s="269"/>
      <c r="BB125" s="2089">
        <f>IF(BB$73&gt;0,-1/INDEX(LINEST(BB114:BB123,$CJ$286:$CJ$295),1),0)</f>
        <v>0</v>
      </c>
      <c r="BC125" s="269"/>
      <c r="BD125" s="2089">
        <f>IF(BD$73&gt;0,-1/INDEX(LINEST(BD114:BD123,$CJ$286:$CJ$295),1),0)</f>
        <v>0</v>
      </c>
      <c r="BE125" s="269"/>
      <c r="BF125" s="2089">
        <f>IF(BF$73&gt;0,-1/INDEX(LINEST(BF114:BF123,$CJ$286:$CJ$295),1),0)</f>
        <v>0</v>
      </c>
      <c r="BG125" s="269"/>
      <c r="BH125" s="2089">
        <f>IF(BH$73&gt;0,-1/INDEX(LINEST(BH114:BH123,$CJ$286:$CJ$295),1),0)</f>
        <v>0</v>
      </c>
      <c r="BI125" s="269"/>
      <c r="BJ125" s="2089">
        <f>IF(BJ$73&gt;0,-1/INDEX(LINEST(BJ114:BJ123,$CJ$286:$CJ$295),1),0)</f>
        <v>0</v>
      </c>
      <c r="BK125" s="269"/>
      <c r="BL125" s="2089">
        <f>IF(BL$73&gt;0,-1/INDEX(LINEST(BL114:BL123,$CJ$286:$CJ$295),1),0)</f>
        <v>0</v>
      </c>
      <c r="BM125" s="269"/>
      <c r="BN125" s="2089">
        <f>IF(BN$73&gt;0,-1/INDEX(LINEST(BN114:BN123,$CJ$286:$CJ$295),1),0)</f>
        <v>0</v>
      </c>
      <c r="BO125" s="269"/>
      <c r="BP125" s="1835"/>
      <c r="BQ125" s="83"/>
      <c r="BR125" s="81"/>
      <c r="BS125" s="512" t="s">
        <v>5107</v>
      </c>
      <c r="BT125" s="81"/>
      <c r="BU125" s="2981">
        <f>IF(BU$98&gt;0,LN(IF(BU$115&gt;=5000,BU$99*BU$113*5000^BU$114,NBPlume_A*IF(BU$89="",BU$83/3600,BU$89)/(BU$98*Wind)/(5000-BU$115+BU$116)^(1/NBPlume_B))),0)</f>
        <v>0</v>
      </c>
      <c r="BV125" s="81"/>
      <c r="BW125" s="2981">
        <f>IF(BW$98&gt;0,LN(IF(BW$115&gt;=5000,BW$99*BW$113*5000^BW$114,NBPlume_A*IF(BW$89="",BW$83/3600,BW$89)/(BW$98*Wind)/(5000-BW$115+BW$116)^(1/NBPlume_B))),0)</f>
        <v>0</v>
      </c>
      <c r="BX125" s="81"/>
      <c r="BY125" s="2981">
        <f>IF(BY$98&gt;0,LN(IF(BY$115&gt;=5000,BY$99*BY$113*5000^BY$114,NBPlume_A*IF(BY$89="",BY$83/3600,BY$89)/(BY$98*Wind)/(5000-BY$115+BY$116)^(1/NBPlume_B))),0)</f>
        <v>0</v>
      </c>
      <c r="BZ125" s="81"/>
      <c r="CA125" s="2981">
        <f>IF(CA$98&gt;0,LN(IF(CA$115&gt;=5000,CA$99*CA$113*5000^CA$114,NBPlume_A*IF(CA$89="",CA$83/3600,CA$89)/(CA$98*Wind)/(5000-CA$115+CA$116)^(1/NBPlume_B))),0)</f>
        <v>0</v>
      </c>
      <c r="CB125" s="81"/>
      <c r="CC125" s="2981">
        <f>IF(CC$98&gt;0,LN(IF(CC$115&gt;=5000,CC$99*CC$113*5000^CC$114,NBPlume_A*IF(CC$89="",CC$83/3600,CC$89)/(CC$98*Wind)/(5000-CC$115+CC$116)^(1/NBPlume_B))),0)</f>
        <v>0</v>
      </c>
      <c r="CD125" s="81"/>
      <c r="CE125" s="23"/>
      <c r="CF125" s="81"/>
      <c r="CG125" s="2"/>
      <c r="CH125" s="512" t="s">
        <v>5104</v>
      </c>
      <c r="CI125" s="83"/>
      <c r="CJ125" s="2981">
        <f>IF(CJ16&lt;&gt;"",LN(IF(CJ$118&gt;=500,CJ$27*CJ$116*500^CJ$117,NBPuff_A_Night*CJ16/CJ20/(500-CJ$118+CJ$119)^(1/NBPuff_B_Night))),0)</f>
        <v>0</v>
      </c>
      <c r="CK125" s="83"/>
      <c r="CL125" s="23"/>
      <c r="CM125" s="83"/>
    </row>
    <row r="126" spans="1:91" ht="15" customHeight="1" thickBot="1" x14ac:dyDescent="0.3">
      <c r="A126" s="2"/>
      <c r="B126" s="615" t="s">
        <v>5108</v>
      </c>
      <c r="C126" s="83"/>
      <c r="D126" s="3001" t="e">
        <f>IF(D$89&gt;0,LN(IF(D$115&gt;=10000,D$99*D$113*10000^D$114,NBPlume_A*D$89/(D$98*Wind)/(10000-D$115+D$116)^(1/NBPlume_B))),0)</f>
        <v>#DIV/0!</v>
      </c>
      <c r="E126" s="83"/>
      <c r="F126" s="3001" t="e">
        <f>IF(F$89&gt;0,LN(IF(F$115&gt;=10000,F$99*F$113*10000^F$114,NBPlume_A*F$89/(F$98*Wind)/(10000-F$115+F$116)^(1/NBPlume_B))),0)</f>
        <v>#DIV/0!</v>
      </c>
      <c r="G126" s="83"/>
      <c r="H126" s="3001" t="e">
        <f>IF(H$89&gt;0,LN(IF(H$115&gt;=10000,H$99*H$113*10000^H$114,NBPlume_A*H$89/(H$98*Wind)/(10000-H$115+H$116)^(1/NBPlume_B))),0)</f>
        <v>#DIV/0!</v>
      </c>
      <c r="I126" s="83"/>
      <c r="J126" s="3001" t="e">
        <f>IF(J$89&gt;0,LN(IF(J$115&gt;=10000,J$99*J$113*10000^J$114,NBPlume_A*J$89/(J$98*Wind)/(10000-J$115+J$116)^(1/NBPlume_B))),0)</f>
        <v>#DIV/0!</v>
      </c>
      <c r="K126" s="83"/>
      <c r="L126" s="3001" t="e">
        <f>IF(L$89&gt;0,LN(IF(L$115&gt;=10000,L$99*L$113*10000^L$114,NBPlume_A*L$89/(L$98*Wind)/(10000-L$115+L$116)^(1/NBPlume_B))),0)</f>
        <v>#DIV/0!</v>
      </c>
      <c r="M126" s="83"/>
      <c r="N126" s="3001" t="e">
        <f>IF(N$89&gt;0,LN(IF(N$115&gt;=10000,N$99*N$113*10000^N$114,NBPlume_A*N$89/(N$98*Wind)/(10000-N$115+N$116)^(1/NBPlume_B))),0)</f>
        <v>#DIV/0!</v>
      </c>
      <c r="O126" s="83"/>
      <c r="P126" s="3001" t="e">
        <f>IF(P$89&gt;0,LN(IF(P$115&gt;=10000,P$99*P$113*10000^P$114,NBPlume_A*P$89/(P$98*Wind)/(10000-P$115+P$116)^(1/NBPlume_B))),0)</f>
        <v>#DIV/0!</v>
      </c>
      <c r="Q126" s="83"/>
      <c r="R126" s="3001" t="e">
        <f>IF(R$89&gt;0,LN(IF(R$115&gt;=10000,R$99*R$113*10000^R$114,NBPlume_A*R$89/(R$98*Wind)/(10000-R$115+R$116)^(1/NBPlume_B))),0)</f>
        <v>#DIV/0!</v>
      </c>
      <c r="S126" s="83"/>
      <c r="T126" s="3001" t="e">
        <f>IF(T$89&gt;0,LN(IF(T$115&gt;=10000,T$99*T$113*10000^T$114,NBPlume_A*T$89/(T$98*Wind)/(10000-T$115+T$116)^(1/NBPlume_B))),0)</f>
        <v>#DIV/0!</v>
      </c>
      <c r="U126" s="83"/>
      <c r="V126" s="3001" t="e">
        <f>IF(V$89&gt;0,LN(IF(V$115&gt;=10000,V$99*V$113*10000^V$114,NBPlume_A*V$89/(V$98*Wind)/(10000-V$115+V$116)^(1/NBPlume_B))),0)</f>
        <v>#DIV/0!</v>
      </c>
      <c r="W126" s="83"/>
      <c r="X126" s="3001" t="e">
        <f>IF(X$89&gt;0,LN(IF(X$115&gt;=10000,X$99*X$113*10000^X$114,NBPlume_A*X$89/(X$98*Wind)/(10000-X$115+X$116)^(1/NBPlume_B))),0)</f>
        <v>#DIV/0!</v>
      </c>
      <c r="Y126" s="83"/>
      <c r="Z126" s="2988"/>
      <c r="AA126" s="83"/>
      <c r="AB126" s="81"/>
      <c r="AC126" s="2977" t="s">
        <v>5050</v>
      </c>
      <c r="AD126" s="81"/>
      <c r="AE126" s="1230">
        <f>EXP(INDEX(LINEST($CJ$277:$CJ$282,AE120:AE125),2))*((Ambient_Temp+273)/(AE9+273))*Roughness_A</f>
        <v>8.0110655998420644E-3</v>
      </c>
      <c r="AF126" s="81"/>
      <c r="AG126" s="1230">
        <f>EXP(INDEX(LINEST($CJ$277:$CJ$282,AG120:AG125),2))*((Ambient_Temp+273)/(AG9+273))*Roughness_A</f>
        <v>8.0110655998420644E-3</v>
      </c>
      <c r="AH126" s="81"/>
      <c r="AI126" s="1230">
        <f>EXP(INDEX(LINEST($CJ$277:$CJ$282,AI120:AI125),2))*((Ambient_Temp+273)/(AI9+273))*Roughness_A</f>
        <v>8.0110655998420644E-3</v>
      </c>
      <c r="AJ126" s="81"/>
      <c r="AK126" s="1230">
        <f>EXP(INDEX(LINEST($CJ$277:$CJ$282,AK120:AK125),2))*((Ambient_Temp+273)/(AK9+273))*Roughness_A</f>
        <v>8.0110655998420644E-3</v>
      </c>
      <c r="AL126" s="81"/>
      <c r="AM126" s="1230">
        <f>EXP(INDEX(LINEST($CJ$277:$CJ$282,AM120:AM125),2))*((Ambient_Temp+273)/(AM9+273))*Roughness_A</f>
        <v>8.0110655998420644E-3</v>
      </c>
      <c r="AN126" s="81"/>
      <c r="AO126" s="1230">
        <f>EXP(INDEX(LINEST($CJ$277:$CJ$282,AO120:AO125),2))*((Ambient_Temp+273)/(AO9+273))*Roughness_A</f>
        <v>8.0110655998420644E-3</v>
      </c>
      <c r="AP126" s="81"/>
      <c r="AQ126" s="85"/>
      <c r="AR126" s="81"/>
      <c r="AS126" s="83"/>
      <c r="AT126" s="2976" t="s">
        <v>5121</v>
      </c>
      <c r="AU126" s="83"/>
      <c r="AV126" s="2105">
        <f>IF(AND(AV73&gt;0,AV$84&gt;0),AV124*(AV$73/(Wind*AV$82*AV$84))^AV125,0)</f>
        <v>0</v>
      </c>
      <c r="AW126" s="269"/>
      <c r="AX126" s="2105">
        <f>IF(AND(AX73&gt;0,AX$84&gt;0),AX124*(AX$73/(Wind*AX$82*AX$84))^AX125,0)</f>
        <v>0</v>
      </c>
      <c r="AY126" s="269"/>
      <c r="AZ126" s="2105">
        <f>IF(AND(AZ73&gt;0,AZ$84&gt;0),AZ124*(AZ$73/(Wind*AZ$82*AZ$84))^AZ125,0)</f>
        <v>0</v>
      </c>
      <c r="BA126" s="269"/>
      <c r="BB126" s="2105">
        <f>IF(AND(BB73&gt;0,BB$84&gt;0),BB124*(BB$73/(Wind*BB$82*BB$84))^BB125,0)</f>
        <v>0</v>
      </c>
      <c r="BC126" s="269"/>
      <c r="BD126" s="2105">
        <f>IF(AND(BD73&gt;0,BD$84&gt;0),BD124*(BD$73/(Wind*BD$82*BD$84))^BD125,0)</f>
        <v>0</v>
      </c>
      <c r="BE126" s="269"/>
      <c r="BF126" s="2105">
        <f>IF(AND(BF73&gt;0,BF$84&gt;0),BF124*(BF$73/(Wind*BF$82*BF$84))^BF125,0)</f>
        <v>0</v>
      </c>
      <c r="BG126" s="269"/>
      <c r="BH126" s="2105">
        <f>IF(AND(BH73&gt;0,BH$84&gt;0),BH124*(BH$73/(Wind*BH$82*BH$84))^BH125,0)</f>
        <v>0</v>
      </c>
      <c r="BI126" s="269"/>
      <c r="BJ126" s="2105">
        <f>IF(AND(BJ73&gt;0,BJ$84&gt;0),BJ124*(BJ$73/(Wind*BJ$82*BJ$84))^BJ125,0)</f>
        <v>0</v>
      </c>
      <c r="BK126" s="269"/>
      <c r="BL126" s="2105">
        <f>IF(AND(BL73&gt;0,BL$84&gt;0),BL124*(BL$73/(Wind*BL$82*BL$84))^BL125,0)</f>
        <v>0</v>
      </c>
      <c r="BM126" s="269"/>
      <c r="BN126" s="2105">
        <f>IF(AND(BN73&gt;0,BN$84&gt;0),BN124*(BN$73/(Wind*BN$82*BN$84))^BN125,0)</f>
        <v>0</v>
      </c>
      <c r="BO126" s="269"/>
      <c r="BP126" s="1833"/>
      <c r="BQ126" s="83"/>
      <c r="BR126" s="81"/>
      <c r="BS126" s="615" t="s">
        <v>5108</v>
      </c>
      <c r="BT126" s="81"/>
      <c r="BU126" s="3001">
        <f>IF(BU$98&gt;0,LN(IF(BU$115&gt;=10000,BU$99*BU$113*10000^BU$114,NBPlume_A*IF(BU$89="",BU$83/3600,BU$89)/(BU$98*Wind)/(10000-BU$115+BU$116)^(1/NBPlume_B))),0)</f>
        <v>0</v>
      </c>
      <c r="BV126" s="81"/>
      <c r="BW126" s="3001">
        <f>IF(BW$98&gt;0,LN(IF(BW$115&gt;=10000,BW$99*BW$113*10000^BW$114,NBPlume_A*IF(BW$89="",BW$83/3600,BW$89)/(BW$98*Wind)/(10000-BW$115+BW$116)^(1/NBPlume_B))),0)</f>
        <v>0</v>
      </c>
      <c r="BX126" s="81"/>
      <c r="BY126" s="3001">
        <f>IF(BY$98&gt;0,LN(IF(BY$115&gt;=10000,BY$99*BY$113*10000^BY$114,NBPlume_A*IF(BY$89="",BY$83/3600,BY$89)/(BY$98*Wind)/(10000-BY$115+BY$116)^(1/NBPlume_B))),0)</f>
        <v>0</v>
      </c>
      <c r="BZ126" s="81"/>
      <c r="CA126" s="3001">
        <f>IF(CA$98&gt;0,LN(IF(CA$115&gt;=10000,CA$99*CA$113*10000^CA$114,NBPlume_A*IF(CA$89="",CA$83/3600,CA$89)/(CA$98*Wind)/(10000-CA$115+CA$116)^(1/NBPlume_B))),0)</f>
        <v>0</v>
      </c>
      <c r="CB126" s="81"/>
      <c r="CC126" s="3001">
        <f>IF(CC$98&gt;0,LN(IF(CC$115&gt;=10000,CC$99*CC$113*10000^CC$114,NBPlume_A*IF(CC$89="",CC$83/3600,CC$89)/(CC$98*Wind)/(10000-CC$115+CC$116)^(1/NBPlume_B))),0)</f>
        <v>0</v>
      </c>
      <c r="CD126" s="81"/>
      <c r="CE126" s="23"/>
      <c r="CF126" s="81"/>
      <c r="CG126" s="2"/>
      <c r="CH126" s="512" t="s">
        <v>5105</v>
      </c>
      <c r="CI126" s="83"/>
      <c r="CJ126" s="2981">
        <f>IF(CJ16&lt;&gt;"",LN(IF(CJ$118&gt;=1000,CJ$27*CJ$116*1000^CJ$117,NBPuff_A_Night*CJ16/CJ20/(1000-CJ$118+CJ$119)^(1/NBPuff_B_Night))),0)</f>
        <v>0</v>
      </c>
      <c r="CK126" s="83"/>
      <c r="CL126" s="23"/>
      <c r="CM126" s="83"/>
    </row>
    <row r="127" spans="1:91" ht="15" customHeight="1" x14ac:dyDescent="0.25">
      <c r="A127" s="2"/>
      <c r="B127" s="2975" t="s">
        <v>5075</v>
      </c>
      <c r="C127" s="83"/>
      <c r="D127" s="2980" t="e">
        <f>IF(D$89&gt;0,(EXP(INDEX(LINEST(D117:D126,$CJ$286:$CJ$295),2))*(D$98*Wind/D$89))^D128,0)</f>
        <v>#VALUE!</v>
      </c>
      <c r="E127" s="83"/>
      <c r="F127" s="2980" t="e">
        <f>IF(F$89&gt;0,(EXP(INDEX(LINEST(F117:F126,$CJ$286:$CJ$295),2))*(F$98*Wind/F$89))^F128,0)</f>
        <v>#VALUE!</v>
      </c>
      <c r="G127" s="83"/>
      <c r="H127" s="2980" t="e">
        <f>IF(H$89&gt;0,(EXP(INDEX(LINEST(H117:H126,$CJ$286:$CJ$295),2))*(H$98*Wind/H$89))^H128,0)</f>
        <v>#VALUE!</v>
      </c>
      <c r="I127" s="83"/>
      <c r="J127" s="2980" t="e">
        <f>IF(J$89&gt;0,(EXP(INDEX(LINEST(J117:J126,$CJ$286:$CJ$295),2))*(J$98*Wind/J$89))^J128,0)</f>
        <v>#VALUE!</v>
      </c>
      <c r="K127" s="83"/>
      <c r="L127" s="2980" t="e">
        <f>IF(L$89&gt;0,(EXP(INDEX(LINEST(L117:L126,$CJ$286:$CJ$295),2))*(L$98*Wind/L$89))^L128,0)</f>
        <v>#VALUE!</v>
      </c>
      <c r="M127" s="83"/>
      <c r="N127" s="2980" t="e">
        <f>IF(N$89&gt;0,(EXP(INDEX(LINEST(N117:N126,$CJ$286:$CJ$295),2))*(N$98*Wind/N$89))^N128,0)</f>
        <v>#VALUE!</v>
      </c>
      <c r="O127" s="83"/>
      <c r="P127" s="2980" t="e">
        <f>IF(P$89&gt;0,(EXP(INDEX(LINEST(P117:P126,$CJ$286:$CJ$295),2))*(P$98*Wind/P$89))^P128,0)</f>
        <v>#VALUE!</v>
      </c>
      <c r="Q127" s="83"/>
      <c r="R127" s="2980" t="e">
        <f>IF(R$89&gt;0,(EXP(INDEX(LINEST(R117:R126,$CJ$286:$CJ$295),2))*(R$98*Wind/R$89))^R128,0)</f>
        <v>#VALUE!</v>
      </c>
      <c r="S127" s="83"/>
      <c r="T127" s="2980" t="e">
        <f>IF(T$89&gt;0,(EXP(INDEX(LINEST(T117:T126,$CJ$286:$CJ$295),2))*(T$98*Wind/T$89))^T128,0)</f>
        <v>#VALUE!</v>
      </c>
      <c r="U127" s="83"/>
      <c r="V127" s="2980" t="e">
        <f>IF(V$89&gt;0,(EXP(INDEX(LINEST(V117:V126,$CJ$286:$CJ$295),2))*(V$98*Wind/V$89))^V128,0)</f>
        <v>#VALUE!</v>
      </c>
      <c r="W127" s="83"/>
      <c r="X127" s="2980" t="e">
        <f>IF(X$89&gt;0,(EXP(INDEX(LINEST(X117:X126,$CJ$286:$CJ$295),2))*(X$98*Wind/X$89))^X128,0)</f>
        <v>#VALUE!</v>
      </c>
      <c r="Y127" s="83"/>
      <c r="Z127" s="2986"/>
      <c r="AA127" s="83"/>
      <c r="AB127" s="81"/>
      <c r="AC127" s="2977" t="s">
        <v>5053</v>
      </c>
      <c r="AD127" s="81"/>
      <c r="AE127" s="1230">
        <f>INDEX(LINEST($CJ$277:$CJ$282,AE120:AE125),1)+Roughness_B</f>
        <v>0</v>
      </c>
      <c r="AF127" s="81"/>
      <c r="AG127" s="1230">
        <f>INDEX(LINEST($CJ$277:$CJ$282,AG120:AG125),1)+Roughness_B</f>
        <v>0</v>
      </c>
      <c r="AH127" s="81"/>
      <c r="AI127" s="1230">
        <f>INDEX(LINEST($CJ$277:$CJ$282,AI120:AI125),1)+Roughness_B</f>
        <v>0</v>
      </c>
      <c r="AJ127" s="81"/>
      <c r="AK127" s="1230">
        <f>INDEX(LINEST($CJ$277:$CJ$282,AK120:AK125),1)+Roughness_B</f>
        <v>0</v>
      </c>
      <c r="AL127" s="81"/>
      <c r="AM127" s="1230">
        <f>INDEX(LINEST($CJ$277:$CJ$282,AM120:AM125),1)+Roughness_B</f>
        <v>0</v>
      </c>
      <c r="AN127" s="81"/>
      <c r="AO127" s="1230">
        <f>INDEX(LINEST($CJ$277:$CJ$282,AO120:AO125),1)+Roughness_B</f>
        <v>0</v>
      </c>
      <c r="AP127" s="81"/>
      <c r="AQ127" s="85"/>
      <c r="AR127" s="81"/>
      <c r="AS127" s="83"/>
      <c r="AT127" s="1691" t="s">
        <v>5060</v>
      </c>
      <c r="AU127" s="83"/>
      <c r="AV127" s="1288" t="e">
        <f>IF(AV$88&gt;0,(AV$88*AV87^0.333/Wind^2)^0.5,0)</f>
        <v>#DIV/0!</v>
      </c>
      <c r="AW127" s="269"/>
      <c r="AX127" s="1288" t="e">
        <f>IF(AX$88&gt;0,(AX$88*AX87^0.333/Wind^2)^0.5,0)</f>
        <v>#DIV/0!</v>
      </c>
      <c r="AY127" s="269"/>
      <c r="AZ127" s="1288" t="e">
        <f>IF(AZ$88&gt;0,(AZ$88*AZ87^0.333/Wind^2)^0.5,0)</f>
        <v>#DIV/0!</v>
      </c>
      <c r="BA127" s="269"/>
      <c r="BB127" s="1288" t="e">
        <f>IF(BB$88&gt;0,(BB$88*BB87^0.333/Wind^2)^0.5,0)</f>
        <v>#DIV/0!</v>
      </c>
      <c r="BC127" s="269"/>
      <c r="BD127" s="1288" t="e">
        <f>IF(BD$88&gt;0,(BD$88*BD87^0.333/Wind^2)^0.5,0)</f>
        <v>#DIV/0!</v>
      </c>
      <c r="BE127" s="269"/>
      <c r="BF127" s="1288" t="e">
        <f>IF(BF$88&gt;0,(BF$88*BF87^0.333/Wind^2)^0.5,0)</f>
        <v>#DIV/0!</v>
      </c>
      <c r="BG127" s="269"/>
      <c r="BH127" s="1288" t="e">
        <f>IF(BH$88&gt;0,(BH$88*BH87^0.333/Wind^2)^0.5,0)</f>
        <v>#DIV/0!</v>
      </c>
      <c r="BI127" s="269"/>
      <c r="BJ127" s="1288" t="e">
        <f>IF(BJ$88&gt;0,(BJ$88*BJ87^0.333/Wind^2)^0.5,0)</f>
        <v>#DIV/0!</v>
      </c>
      <c r="BK127" s="269"/>
      <c r="BL127" s="1288" t="e">
        <f>IF(BL$88&gt;0,(BL$88*BL87^0.333/Wind^2)^0.5,0)</f>
        <v>#DIV/0!</v>
      </c>
      <c r="BM127" s="269"/>
      <c r="BN127" s="1288" t="e">
        <f>IF(BN$88&gt;0,(BN$88*BN87^0.333/Wind^2)^0.5,0)</f>
        <v>#DIV/0!</v>
      </c>
      <c r="BO127" s="269"/>
      <c r="BP127" s="1835"/>
      <c r="BQ127" s="83"/>
      <c r="BR127" s="81"/>
      <c r="BS127" s="2975" t="s">
        <v>5075</v>
      </c>
      <c r="BT127" s="81"/>
      <c r="BU127" s="2980">
        <f>IF(BU$98&gt;0,(EXP(INDEX(LINEST(BU117:BU126,$CJ$286:$CJ$295),2))*(BU$98*Wind/IF(BU$89="",BU$83/3600,BU$89)))^BU128,0)</f>
        <v>0</v>
      </c>
      <c r="BV127" s="81"/>
      <c r="BW127" s="2980">
        <f>IF(BW$98&gt;0,(EXP(INDEX(LINEST(BW117:BW126,$CJ$286:$CJ$295),2))*(BW$98*Wind/IF(BW$89="",BW$83/3600,BW$89)))^BW128,0)</f>
        <v>0</v>
      </c>
      <c r="BX127" s="81"/>
      <c r="BY127" s="2980">
        <f>IF(BY$98&gt;0,(EXP(INDEX(LINEST(BY117:BY126,$CJ$286:$CJ$295),2))*(BY$98*Wind/IF(BY$89="",BY$83/3600,BY$89)))^BY128,0)</f>
        <v>0</v>
      </c>
      <c r="BZ127" s="81"/>
      <c r="CA127" s="2980">
        <f>IF(CA$98&gt;0,(EXP(INDEX(LINEST(CA117:CA126,$CJ$286:$CJ$295),2))*(CA$98*Wind/IF(CA$89="",CA$83/3600,CA$89)))^CA128,0)</f>
        <v>0</v>
      </c>
      <c r="CB127" s="81"/>
      <c r="CC127" s="2980">
        <f>IF(CC$98&gt;0,(EXP(INDEX(LINEST(CC117:CC126,$CJ$286:$CJ$295),2))*(CC$98*Wind/IF(CC$89="",CC$83/3600,CC$89)))^CC128,0)</f>
        <v>0</v>
      </c>
      <c r="CD127" s="81"/>
      <c r="CE127" s="23"/>
      <c r="CF127" s="81"/>
      <c r="CG127" s="2"/>
      <c r="CH127" s="512" t="s">
        <v>5106</v>
      </c>
      <c r="CI127" s="83"/>
      <c r="CJ127" s="2981">
        <f>IF(CJ16&lt;&gt;"",LN(IF(CJ$118&gt;=2000,CJ$27*CJ$116*2000^CJ$117,NBPuff_A_Night*CJ16/CJ20/(2000-CJ$118+CJ$119)^(1/NBPuff_B_Night))),0)</f>
        <v>0</v>
      </c>
      <c r="CK127" s="83"/>
      <c r="CL127" s="23"/>
      <c r="CM127" s="83"/>
    </row>
    <row r="128" spans="1:91" ht="15" customHeight="1" thickBot="1" x14ac:dyDescent="0.3">
      <c r="A128" s="2"/>
      <c r="B128" s="2977" t="s">
        <v>5076</v>
      </c>
      <c r="C128" s="83"/>
      <c r="D128" s="2089" t="e">
        <f>IF(D$89&gt;0,-1/INDEX(LINEST(D117:D126,$CJ$286:$CJ$295),1),0)</f>
        <v>#VALUE!</v>
      </c>
      <c r="E128" s="83"/>
      <c r="F128" s="2089" t="e">
        <f>IF(F$89&gt;0,-1/INDEX(LINEST(F117:F126,$CJ$286:$CJ$295),1),0)</f>
        <v>#VALUE!</v>
      </c>
      <c r="G128" s="83"/>
      <c r="H128" s="2089" t="e">
        <f>IF(H$89&gt;0,-1/INDEX(LINEST(H117:H126,$CJ$286:$CJ$295),1),0)</f>
        <v>#VALUE!</v>
      </c>
      <c r="I128" s="83"/>
      <c r="J128" s="2089" t="e">
        <f>IF(J$89&gt;0,-1/INDEX(LINEST(J117:J126,$CJ$286:$CJ$295),1),0)</f>
        <v>#VALUE!</v>
      </c>
      <c r="K128" s="83"/>
      <c r="L128" s="2089" t="e">
        <f>IF(L$89&gt;0,-1/INDEX(LINEST(L117:L126,$CJ$286:$CJ$295),1),0)</f>
        <v>#VALUE!</v>
      </c>
      <c r="M128" s="83"/>
      <c r="N128" s="2089" t="e">
        <f>IF(N$89&gt;0,-1/INDEX(LINEST(N117:N126,$CJ$286:$CJ$295),1),0)</f>
        <v>#VALUE!</v>
      </c>
      <c r="O128" s="83"/>
      <c r="P128" s="2089" t="e">
        <f>IF(P$89&gt;0,-1/INDEX(LINEST(P117:P126,$CJ$286:$CJ$295),1),0)</f>
        <v>#VALUE!</v>
      </c>
      <c r="Q128" s="83"/>
      <c r="R128" s="2089" t="e">
        <f>IF(R$89&gt;0,-1/INDEX(LINEST(R117:R126,$CJ$286:$CJ$295),1),0)</f>
        <v>#VALUE!</v>
      </c>
      <c r="S128" s="83"/>
      <c r="T128" s="2089" t="e">
        <f>IF(T$89&gt;0,-1/INDEX(LINEST(T117:T126,$CJ$286:$CJ$295),1),0)</f>
        <v>#VALUE!</v>
      </c>
      <c r="U128" s="83"/>
      <c r="V128" s="2089" t="e">
        <f>IF(V$89&gt;0,-1/INDEX(LINEST(V117:V126,$CJ$286:$CJ$295),1),0)</f>
        <v>#VALUE!</v>
      </c>
      <c r="W128" s="83"/>
      <c r="X128" s="2089" t="e">
        <f>IF(X$89&gt;0,-1/INDEX(LINEST(X117:X126,$CJ$286:$CJ$295),1),0)</f>
        <v>#VALUE!</v>
      </c>
      <c r="Y128" s="83"/>
      <c r="Z128" s="2988"/>
      <c r="AA128" s="83"/>
      <c r="AB128" s="81"/>
      <c r="AC128" s="1691" t="s">
        <v>5066</v>
      </c>
      <c r="AD128" s="81"/>
      <c r="AE128" s="2401">
        <f>IF(AE119&lt;AE$99,(AE126/(AE119/AE$99))^(-1/AE127),0)</f>
        <v>0</v>
      </c>
      <c r="AF128" s="81"/>
      <c r="AG128" s="2401">
        <f>IF(AG119&lt;AG$99,(AG126/(AG119/AG$99))^(-1/AG127),0)</f>
        <v>0</v>
      </c>
      <c r="AH128" s="81"/>
      <c r="AI128" s="2401">
        <f>IF(AI119&lt;AI$99,(AI126/(AI119/AI$99))^(-1/AI127),0)</f>
        <v>0</v>
      </c>
      <c r="AJ128" s="81"/>
      <c r="AK128" s="2401">
        <f>IF(AK119&lt;AK$99,(AK126/(AK119/AK$99))^(-1/AK127),0)</f>
        <v>0</v>
      </c>
      <c r="AL128" s="81"/>
      <c r="AM128" s="2401">
        <f>IF(AM119&lt;AM$99,(AM126/(AM119/AM$99))^(-1/AM127),0)</f>
        <v>0</v>
      </c>
      <c r="AN128" s="81"/>
      <c r="AO128" s="2401">
        <f>IF(AO119&lt;AO$99,(AO126/(AO119/AO$99))^(-1/AO127),0)</f>
        <v>0</v>
      </c>
      <c r="AP128" s="81"/>
      <c r="AQ128" s="85"/>
      <c r="AR128" s="81"/>
      <c r="AS128" s="83"/>
      <c r="AT128" s="1691" t="s">
        <v>5061</v>
      </c>
      <c r="AU128" s="83"/>
      <c r="AV128" s="3000" t="e">
        <f>IF(AND(AV$88&gt;0,AV127&gt;0),AV$83*(0.2/AV$127)^3,1)</f>
        <v>#DIV/0!</v>
      </c>
      <c r="AW128" s="269"/>
      <c r="AX128" s="3000" t="e">
        <f>IF(AND(AX$88&gt;0,AX127&gt;0),AX$83*(0.2/AX$127)^3,1)</f>
        <v>#DIV/0!</v>
      </c>
      <c r="AY128" s="269"/>
      <c r="AZ128" s="3000" t="e">
        <f>IF(AND(AZ$88&gt;0,AZ127&gt;0),AZ$83*(0.2/AZ$127)^3,1)</f>
        <v>#DIV/0!</v>
      </c>
      <c r="BA128" s="269"/>
      <c r="BB128" s="3000" t="e">
        <f>IF(AND(BB$88&gt;0,BB127&gt;0),BB$83*(0.2/BB$127)^3,1)</f>
        <v>#DIV/0!</v>
      </c>
      <c r="BC128" s="269"/>
      <c r="BD128" s="3000" t="e">
        <f>IF(AND(BD$88&gt;0,BD127&gt;0),BD$83*(0.2/BD$127)^3,1)</f>
        <v>#DIV/0!</v>
      </c>
      <c r="BE128" s="269"/>
      <c r="BF128" s="3000" t="e">
        <f>IF(AND(BF$88&gt;0,BF127&gt;0),BF$83*(0.2/BF$127)^3,1)</f>
        <v>#DIV/0!</v>
      </c>
      <c r="BG128" s="269"/>
      <c r="BH128" s="3000" t="e">
        <f>IF(AND(BH$88&gt;0,BH127&gt;0),BH$83*(0.2/BH$127)^3,1)</f>
        <v>#DIV/0!</v>
      </c>
      <c r="BI128" s="269"/>
      <c r="BJ128" s="3000" t="e">
        <f>IF(AND(BJ$88&gt;0,BJ127&gt;0),BJ$83*(0.2/BJ$127)^3,1)</f>
        <v>#DIV/0!</v>
      </c>
      <c r="BK128" s="269"/>
      <c r="BL128" s="3000" t="e">
        <f>IF(AND(BL$88&gt;0,BL127&gt;0),BL$83*(0.2/BL$127)^3,1)</f>
        <v>#DIV/0!</v>
      </c>
      <c r="BM128" s="269"/>
      <c r="BN128" s="3000" t="e">
        <f>IF(AND(BN$88&gt;0,BN127&gt;0),BN$83*(0.2/BN$127)^3,1)</f>
        <v>#DIV/0!</v>
      </c>
      <c r="BO128" s="269"/>
      <c r="BP128" s="1835"/>
      <c r="BQ128" s="83"/>
      <c r="BR128" s="81"/>
      <c r="BS128" s="2977" t="s">
        <v>5076</v>
      </c>
      <c r="BT128" s="81"/>
      <c r="BU128" s="2089">
        <f>IF(BU$98&gt;0,-1/INDEX(LINEST(BU117:BU126,$CJ$286:$CJ$295),1),0)</f>
        <v>0</v>
      </c>
      <c r="BV128" s="81"/>
      <c r="BW128" s="2089">
        <f>IF(BW$98&gt;0,-1/INDEX(LINEST(BW117:BW126,$CJ$286:$CJ$295),1),0)</f>
        <v>0</v>
      </c>
      <c r="BX128" s="81"/>
      <c r="BY128" s="2089">
        <f>IF(BY$98&gt;0,-1/INDEX(LINEST(BY117:BY126,$CJ$286:$CJ$295),1),0)</f>
        <v>0</v>
      </c>
      <c r="BZ128" s="81"/>
      <c r="CA128" s="2089">
        <f>IF(CA$98&gt;0,-1/INDEX(LINEST(CA117:CA126,$CJ$286:$CJ$295),1),0)</f>
        <v>0</v>
      </c>
      <c r="CB128" s="81"/>
      <c r="CC128" s="2089">
        <f>IF(CC$98&gt;0,-1/INDEX(LINEST(CC117:CC126,$CJ$286:$CJ$295),1),0)</f>
        <v>0</v>
      </c>
      <c r="CD128" s="81"/>
      <c r="CE128" s="23"/>
      <c r="CF128" s="81"/>
      <c r="CG128" s="2"/>
      <c r="CH128" s="512" t="s">
        <v>5107</v>
      </c>
      <c r="CI128" s="83"/>
      <c r="CJ128" s="2981">
        <f>IF(CJ16&lt;&gt;"",LN(IF(CJ$118&gt;=5000,CJ$27*CJ$116*5000^CJ$117,NBPuff_A_Night*CJ16/CJ20/(5000-CJ$118+CJ$119)^(1/NBPuff_B_Night))),0)</f>
        <v>0</v>
      </c>
      <c r="CK128" s="83"/>
      <c r="CL128" s="23"/>
      <c r="CM128" s="83"/>
    </row>
    <row r="129" spans="1:91" ht="15" customHeight="1" thickBot="1" x14ac:dyDescent="0.3">
      <c r="A129" s="2"/>
      <c r="B129" s="2976" t="s">
        <v>5121</v>
      </c>
      <c r="C129" s="83"/>
      <c r="D129" s="2105" t="e">
        <f>IF(AND(D89&gt;0,D$100&gt;0),D127*(D$89/(Wind*D$98*D$100))^D128,0)</f>
        <v>#VALUE!</v>
      </c>
      <c r="E129" s="83"/>
      <c r="F129" s="2105" t="e">
        <f>IF(AND(F89&gt;0,F$100&gt;0),F127*(F$89/(Wind*F$98*F$100))^F128,0)</f>
        <v>#VALUE!</v>
      </c>
      <c r="G129" s="83"/>
      <c r="H129" s="2105" t="e">
        <f>IF(AND(H89&gt;0,H$100&gt;0),H127*(H$89/(Wind*H$98*H$100))^H128,0)</f>
        <v>#VALUE!</v>
      </c>
      <c r="I129" s="83"/>
      <c r="J129" s="2105" t="e">
        <f>IF(AND(J89&gt;0,J$100&gt;0),J127*(J$89/(Wind*J$98*J$100))^J128,0)</f>
        <v>#VALUE!</v>
      </c>
      <c r="K129" s="83"/>
      <c r="L129" s="2105" t="e">
        <f>IF(AND(L89&gt;0,L$100&gt;0),L127*(L$89/(Wind*L$98*L$100))^L128,0)</f>
        <v>#VALUE!</v>
      </c>
      <c r="M129" s="83"/>
      <c r="N129" s="2105" t="e">
        <f>IF(AND(N89&gt;0,N$100&gt;0),N127*(N$89/(Wind*N$98*N$100))^N128,0)</f>
        <v>#VALUE!</v>
      </c>
      <c r="O129" s="83"/>
      <c r="P129" s="2105" t="e">
        <f>IF(AND(P89&gt;0,P$100&gt;0),P127*(P$89/(Wind*P$98*P$100))^P128,0)</f>
        <v>#VALUE!</v>
      </c>
      <c r="Q129" s="83"/>
      <c r="R129" s="2105" t="e">
        <f>IF(AND(R89&gt;0,R$100&gt;0),R127*(R$89/(Wind*R$98*R$100))^R128,0)</f>
        <v>#VALUE!</v>
      </c>
      <c r="S129" s="83"/>
      <c r="T129" s="2105" t="e">
        <f>IF(AND(T89&gt;0,T$100&gt;0),T127*(T$89/(Wind*T$98*T$100))^T128,0)</f>
        <v>#VALUE!</v>
      </c>
      <c r="U129" s="83"/>
      <c r="V129" s="2105" t="e">
        <f>IF(AND(V89&gt;0,V$100&gt;0),V127*(V$89/(Wind*V$98*V$100))^V128,0)</f>
        <v>#VALUE!</v>
      </c>
      <c r="W129" s="83"/>
      <c r="X129" s="2105" t="e">
        <f>IF(AND(X89&gt;0,X$100&gt;0),X127*(X$89/(Wind*X$98*X$100))^X128,0)</f>
        <v>#VALUE!</v>
      </c>
      <c r="Y129" s="83"/>
      <c r="Z129" s="2987"/>
      <c r="AA129" s="83"/>
      <c r="AB129" s="81"/>
      <c r="AC129" s="1691" t="s">
        <v>5070</v>
      </c>
      <c r="AD129" s="81"/>
      <c r="AE129" s="2985">
        <f>IF(AE128&gt;0,NBPlume_A*AE$89/(AE$98*Wind*AE119),0)^NBPlume_B</f>
        <v>0</v>
      </c>
      <c r="AF129" s="81"/>
      <c r="AG129" s="2985">
        <f>IF(AG128&gt;0,NBPlume_A*AG$89/(AG$98*Wind*AG119),0)^NBPlume_B</f>
        <v>0</v>
      </c>
      <c r="AH129" s="81"/>
      <c r="AI129" s="2985">
        <f>IF(AI128&gt;0,NBPlume_A*AI$89/(AI$98*Wind*AI119),0)^NBPlume_B</f>
        <v>0</v>
      </c>
      <c r="AJ129" s="81"/>
      <c r="AK129" s="2985">
        <f>IF(AK128&gt;0,NBPlume_A*AK$89/(AK$98*Wind*AK119),0)^NBPlume_B</f>
        <v>0</v>
      </c>
      <c r="AL129" s="81"/>
      <c r="AM129" s="2985">
        <f>IF(AM128&gt;0,NBPlume_A*AM$89/(AM$98*Wind*AM119),0)^NBPlume_B</f>
        <v>0</v>
      </c>
      <c r="AN129" s="81"/>
      <c r="AO129" s="2985">
        <f>IF(AO128&gt;0,NBPlume_A*AO$89/(AO$98*Wind*AO119),0)^NBPlume_B</f>
        <v>0</v>
      </c>
      <c r="AP129" s="81"/>
      <c r="AQ129" s="85"/>
      <c r="AR129" s="81"/>
      <c r="AS129" s="83"/>
      <c r="AT129" s="512" t="s">
        <v>5115</v>
      </c>
      <c r="AU129" s="83"/>
      <c r="AV129" s="3000" t="e">
        <f>LN(IF(AV$128&lt;AV$83,IF(LOG(AV$127)&lt;-0.44,5.01,IF(LOG(AV$127)&lt;0.43,10^(0.81+0.26*LOG(AV$127)),8.51))*AV87^0.333,1))</f>
        <v>#DIV/0!</v>
      </c>
      <c r="AW129" s="269"/>
      <c r="AX129" s="3000" t="e">
        <f>LN(IF(AX$128&lt;AX$83,IF(LOG(AX$127)&lt;-0.44,5.01,IF(LOG(AX$127)&lt;0.43,10^(0.81+0.26*LOG(AX$127)),8.51))*AX87^0.333,1))</f>
        <v>#DIV/0!</v>
      </c>
      <c r="AY129" s="269"/>
      <c r="AZ129" s="3000" t="e">
        <f>LN(IF(AZ$128&lt;AZ$83,IF(LOG(AZ$127)&lt;-0.44,5.01,IF(LOG(AZ$127)&lt;0.43,10^(0.81+0.26*LOG(AZ$127)),8.51))*AZ87^0.333,1))</f>
        <v>#DIV/0!</v>
      </c>
      <c r="BA129" s="269"/>
      <c r="BB129" s="3000" t="e">
        <f>LN(IF(BB$128&lt;BB$83,IF(LOG(BB$127)&lt;-0.44,5.01,IF(LOG(BB$127)&lt;0.43,10^(0.81+0.26*LOG(BB$127)),8.51))*BB87^0.333,1))</f>
        <v>#DIV/0!</v>
      </c>
      <c r="BC129" s="269"/>
      <c r="BD129" s="3000" t="e">
        <f>LN(IF(BD$128&lt;BD$83,IF(LOG(BD$127)&lt;-0.44,5.01,IF(LOG(BD$127)&lt;0.43,10^(0.81+0.26*LOG(BD$127)),8.51))*BD87^0.333,1))</f>
        <v>#DIV/0!</v>
      </c>
      <c r="BE129" s="269"/>
      <c r="BF129" s="3000" t="e">
        <f>LN(IF(BF$128&lt;BF$83,IF(LOG(BF$127)&lt;-0.44,5.01,IF(LOG(BF$127)&lt;0.43,10^(0.81+0.26*LOG(BF$127)),8.51))*BF87^0.333,1))</f>
        <v>#DIV/0!</v>
      </c>
      <c r="BG129" s="269"/>
      <c r="BH129" s="3000" t="e">
        <f>LN(IF(BH$128&lt;BH$83,IF(LOG(BH$127)&lt;-0.44,5.01,IF(LOG(BH$127)&lt;0.43,10^(0.81+0.26*LOG(BH$127)),8.51))*BH87^0.333,1))</f>
        <v>#DIV/0!</v>
      </c>
      <c r="BI129" s="269"/>
      <c r="BJ129" s="3000" t="e">
        <f>LN(IF(BJ$128&lt;BJ$83,IF(LOG(BJ$127)&lt;-0.44,5.01,IF(LOG(BJ$127)&lt;0.43,10^(0.81+0.26*LOG(BJ$127)),8.51))*BJ87^0.333,1))</f>
        <v>#DIV/0!</v>
      </c>
      <c r="BK129" s="269"/>
      <c r="BL129" s="3000" t="e">
        <f>LN(IF(BL$128&lt;BL$83,IF(LOG(BL$127)&lt;-0.44,5.01,IF(LOG(BL$127)&lt;0.43,10^(0.81+0.26*LOG(BL$127)),8.51))*BL87^0.333,1))</f>
        <v>#DIV/0!</v>
      </c>
      <c r="BM129" s="269"/>
      <c r="BN129" s="3000" t="e">
        <f>LN(IF(BN$128&lt;BN$83,IF(LOG(BN$127)&lt;-0.44,5.01,IF(LOG(BN$127)&lt;0.43,10^(0.81+0.26*LOG(BN$127)),8.51))*BN87^0.333,1))</f>
        <v>#DIV/0!</v>
      </c>
      <c r="BO129" s="269"/>
      <c r="BP129" s="1835"/>
      <c r="BQ129" s="83"/>
      <c r="BR129" s="81"/>
      <c r="BS129" s="2976" t="s">
        <v>5121</v>
      </c>
      <c r="BT129" s="81"/>
      <c r="BU129" s="2105" t="e">
        <f>IF(BU$100&gt;0,BU127*(IF(BU$89="",BU$83/3600,BU$89)/(Wind*BU$98*BU$100))^BU128,0)</f>
        <v>#DIV/0!</v>
      </c>
      <c r="BV129" s="81"/>
      <c r="BW129" s="2105" t="e">
        <f>IF(BW$100&gt;0,BW127*(IF(BW$89="",BW$83/3600,BW$89)/(Wind*BW$98*BW$100))^BW128,0)</f>
        <v>#DIV/0!</v>
      </c>
      <c r="BX129" s="81"/>
      <c r="BY129" s="2105" t="e">
        <f>IF(BY$100&gt;0,BY127*(IF(BY$89="",BY$83/3600,BY$89)/(Wind*BY$98*BY$100))^BY128,0)</f>
        <v>#DIV/0!</v>
      </c>
      <c r="BZ129" s="81"/>
      <c r="CA129" s="2105" t="e">
        <f>IF(CA$100&gt;0,CA127*(IF(CA$89="",CA$83/3600,CA$89)/(Wind*CA$98*CA$100))^CA128,0)</f>
        <v>#DIV/0!</v>
      </c>
      <c r="CB129" s="81"/>
      <c r="CC129" s="2105" t="e">
        <f>IF(CC$100&gt;0,CC127*(IF(CC$89="",CC$83/3600,CC$89)/(Wind*CC$98*CC$100))^CC128,0)</f>
        <v>#DIV/0!</v>
      </c>
      <c r="CD129" s="81"/>
      <c r="CE129" s="23"/>
      <c r="CF129" s="81"/>
      <c r="CG129" s="2"/>
      <c r="CH129" s="512" t="s">
        <v>5108</v>
      </c>
      <c r="CI129" s="83"/>
      <c r="CJ129" s="2982">
        <f>IF(CJ16&lt;&gt;"",LN(IF(CJ$118&gt;=10000,CJ$27*CJ$116*10000^CJ$117,NBPuff_A_Night*CJ16/CJ20/(10000-CJ$118+CJ$119)^(1/NBPuff_B_Night))),0)</f>
        <v>0</v>
      </c>
      <c r="CK129" s="83"/>
      <c r="CL129" s="23"/>
      <c r="CM129" s="83"/>
    </row>
    <row r="130" spans="1:91" ht="15" customHeight="1" x14ac:dyDescent="0.25">
      <c r="A130" s="2"/>
      <c r="B130" s="1691" t="s">
        <v>5060</v>
      </c>
      <c r="C130" s="83"/>
      <c r="D130" s="1288">
        <f>IF(D$104&gt;0,(D$104*D103^0.333/Wind^2)^0.5,0)</f>
        <v>0</v>
      </c>
      <c r="E130" s="83"/>
      <c r="F130" s="1288">
        <f>IF(F$104&gt;0,(F$104*F103^0.333/Wind^2)^0.5,0)</f>
        <v>0</v>
      </c>
      <c r="G130" s="83"/>
      <c r="H130" s="1288">
        <f>IF(H$104&gt;0,(H$104*H103^0.333/Wind^2)^0.5,0)</f>
        <v>0</v>
      </c>
      <c r="I130" s="83"/>
      <c r="J130" s="1288">
        <f>IF(J$104&gt;0,(J$104*J103^0.333/Wind^2)^0.5,0)</f>
        <v>0</v>
      </c>
      <c r="K130" s="83"/>
      <c r="L130" s="1288">
        <f>IF(L$104&gt;0,(L$104*L103^0.333/Wind^2)^0.5,0)</f>
        <v>0</v>
      </c>
      <c r="M130" s="83"/>
      <c r="N130" s="1288">
        <f>IF(N$104&gt;0,(N$104*N103^0.333/Wind^2)^0.5,0)</f>
        <v>0</v>
      </c>
      <c r="O130" s="83"/>
      <c r="P130" s="1288">
        <f>IF(P$104&gt;0,(P$104*P103^0.333/Wind^2)^0.5,0)</f>
        <v>0</v>
      </c>
      <c r="Q130" s="83"/>
      <c r="R130" s="1288">
        <f>IF(R$104&gt;0,(R$104*R103^0.333/Wind^2)^0.5,0)</f>
        <v>0</v>
      </c>
      <c r="S130" s="83"/>
      <c r="T130" s="1288">
        <f>IF(T$104&gt;0,(T$104*T103^0.333/Wind^2)^0.5,0)</f>
        <v>0</v>
      </c>
      <c r="U130" s="83"/>
      <c r="V130" s="1288">
        <f>IF(V$104&gt;0,(V$104*V103^0.333/Wind^2)^0.5,0)</f>
        <v>0</v>
      </c>
      <c r="W130" s="83"/>
      <c r="X130" s="1288">
        <f>IF(X$104&gt;0,(X$104*X103^0.333/Wind^2)^0.5,0)</f>
        <v>0</v>
      </c>
      <c r="Y130" s="83"/>
      <c r="Z130" s="2986"/>
      <c r="AA130" s="83"/>
      <c r="AB130" s="81"/>
      <c r="AC130" s="512" t="s">
        <v>5099</v>
      </c>
      <c r="AD130" s="81"/>
      <c r="AE130" s="2981">
        <f>IF(AE$89&gt;0,LN(IF(AE$128&gt;=10,AE$99*AE$126*10^AE$127,NBPlume_A*AE$89/(AE$98*Wind)/(10-AE$128+AE$129)^(1/NBPlume_B))),0)</f>
        <v>0</v>
      </c>
      <c r="AF130" s="81"/>
      <c r="AG130" s="2981">
        <f>IF(AG$89&gt;0,LN(IF(AG$128&gt;=10,AG$99*AG$126*10^AG$127,NBPlume_A*AG$89/(AG$98*Wind)/(10-AG$128+AG$129)^(1/NBPlume_B))),0)</f>
        <v>0</v>
      </c>
      <c r="AH130" s="81"/>
      <c r="AI130" s="2981">
        <f>IF(AI$89&gt;0,LN(IF(AI$128&gt;=10,AI$99*AI$126*10^AI$127,NBPlume_A*AI$89/(AI$98*Wind)/(10-AI$128+AI$129)^(1/NBPlume_B))),0)</f>
        <v>0</v>
      </c>
      <c r="AJ130" s="81"/>
      <c r="AK130" s="2981">
        <f>IF(AK$89&gt;0,LN(IF(AK$128&gt;=10,AK$99*AK$126*10^AK$127,NBPlume_A*AK$89/(AK$98*Wind)/(10-AK$128+AK$129)^(1/NBPlume_B))),0)</f>
        <v>0</v>
      </c>
      <c r="AL130" s="81"/>
      <c r="AM130" s="2981">
        <f>IF(AM$89&gt;0,LN(IF(AM$128&gt;=10,AM$99*AM$126*10^AM$127,NBPlume_A*AM$89/(AM$98*Wind)/(10-AM$128+AM$129)^(1/NBPlume_B))),0)</f>
        <v>0</v>
      </c>
      <c r="AN130" s="81"/>
      <c r="AO130" s="2981">
        <f>IF(AO$89&gt;0,LN(IF(AO$128&gt;=10,AO$99*AO$126*10^AO$127,NBPlume_A*AO$89/(AO$98*Wind)/(10-AO$128+AO$129)^(1/NBPlume_B))),0)</f>
        <v>0</v>
      </c>
      <c r="AP130" s="81"/>
      <c r="AQ130" s="85"/>
      <c r="AR130" s="81"/>
      <c r="AS130" s="83"/>
      <c r="AT130" s="512" t="s">
        <v>5116</v>
      </c>
      <c r="AU130" s="83"/>
      <c r="AV130" s="3000" t="e">
        <f>LN(IF(AV$128&lt;AV$83,IF(LOG(AV$127)&lt;-0.56,7.08,IF(LOG(AV$127)&lt;0.31,10^(1+0.26*LOG(AV$127)),10^(1.12-0.12*LOG(AV$127))))*AV87^0.333,1))</f>
        <v>#DIV/0!</v>
      </c>
      <c r="AW130" s="269"/>
      <c r="AX130" s="3000" t="e">
        <f>LN(IF(AX$128&lt;AX$83,IF(LOG(AX$127)&lt;-0.56,7.08,IF(LOG(AX$127)&lt;0.31,10^(1+0.26*LOG(AX$127)),10^(1.12-0.12*LOG(AX$127))))*AX87^0.333,1))</f>
        <v>#DIV/0!</v>
      </c>
      <c r="AY130" s="269"/>
      <c r="AZ130" s="3000" t="e">
        <f>LN(IF(AZ$128&lt;AZ$83,IF(LOG(AZ$127)&lt;-0.56,7.08,IF(LOG(AZ$127)&lt;0.31,10^(1+0.26*LOG(AZ$127)),10^(1.12-0.12*LOG(AZ$127))))*AZ87^0.333,1))</f>
        <v>#DIV/0!</v>
      </c>
      <c r="BA130" s="269"/>
      <c r="BB130" s="3000" t="e">
        <f>LN(IF(BB$128&lt;BB$83,IF(LOG(BB$127)&lt;-0.56,7.08,IF(LOG(BB$127)&lt;0.31,10^(1+0.26*LOG(BB$127)),10^(1.12-0.12*LOG(BB$127))))*BB87^0.333,1))</f>
        <v>#DIV/0!</v>
      </c>
      <c r="BC130" s="269"/>
      <c r="BD130" s="3000" t="e">
        <f>LN(IF(BD$128&lt;BD$83,IF(LOG(BD$127)&lt;-0.56,7.08,IF(LOG(BD$127)&lt;0.31,10^(1+0.26*LOG(BD$127)),10^(1.12-0.12*LOG(BD$127))))*BD87^0.333,1))</f>
        <v>#DIV/0!</v>
      </c>
      <c r="BE130" s="269"/>
      <c r="BF130" s="3000" t="e">
        <f>LN(IF(BF$128&lt;BF$83,IF(LOG(BF$127)&lt;-0.56,7.08,IF(LOG(BF$127)&lt;0.31,10^(1+0.26*LOG(BF$127)),10^(1.12-0.12*LOG(BF$127))))*BF87^0.333,1))</f>
        <v>#DIV/0!</v>
      </c>
      <c r="BG130" s="269"/>
      <c r="BH130" s="3000" t="e">
        <f>LN(IF(BH$128&lt;BH$83,IF(LOG(BH$127)&lt;-0.56,7.08,IF(LOG(BH$127)&lt;0.31,10^(1+0.26*LOG(BH$127)),10^(1.12-0.12*LOG(BH$127))))*BH87^0.333,1))</f>
        <v>#DIV/0!</v>
      </c>
      <c r="BI130" s="269"/>
      <c r="BJ130" s="3000" t="e">
        <f>LN(IF(BJ$128&lt;BJ$83,IF(LOG(BJ$127)&lt;-0.56,7.08,IF(LOG(BJ$127)&lt;0.31,10^(1+0.26*LOG(BJ$127)),10^(1.12-0.12*LOG(BJ$127))))*BJ87^0.333,1))</f>
        <v>#DIV/0!</v>
      </c>
      <c r="BK130" s="269"/>
      <c r="BL130" s="3000" t="e">
        <f>LN(IF(BL$128&lt;BL$83,IF(LOG(BL$127)&lt;-0.56,7.08,IF(LOG(BL$127)&lt;0.31,10^(1+0.26*LOG(BL$127)),10^(1.12-0.12*LOG(BL$127))))*BL87^0.333,1))</f>
        <v>#DIV/0!</v>
      </c>
      <c r="BM130" s="269"/>
      <c r="BN130" s="3000" t="e">
        <f>LN(IF(BN$128&lt;BN$83,IF(LOG(BN$127)&lt;-0.56,7.08,IF(LOG(BN$127)&lt;0.31,10^(1+0.26*LOG(BN$127)),10^(1.12-0.12*LOG(BN$127))))*BN87^0.333,1))</f>
        <v>#DIV/0!</v>
      </c>
      <c r="BO130" s="269"/>
      <c r="BP130" s="1835"/>
      <c r="BQ130" s="83"/>
      <c r="BR130" s="81"/>
      <c r="BS130" s="1691" t="s">
        <v>5060</v>
      </c>
      <c r="BT130" s="81"/>
      <c r="BU130" s="1288">
        <f>IF(BU$104&gt;0,(BU$104*BU103^0.333/Wind^2)^0.5,0)</f>
        <v>0</v>
      </c>
      <c r="BV130" s="81"/>
      <c r="BW130" s="1288">
        <f>IF(BW$104&gt;0,(BW$104*BW103^0.333/Wind^2)^0.5,0)</f>
        <v>0</v>
      </c>
      <c r="BX130" s="81"/>
      <c r="BY130" s="1288">
        <f>IF(BY$104&gt;0,(BY$104*BY103^0.333/Wind^2)^0.5,0)</f>
        <v>0</v>
      </c>
      <c r="BZ130" s="81"/>
      <c r="CA130" s="1288">
        <f>IF(CA$104&gt;0,(CA$104*CA103^0.333/Wind^2)^0.5,0)</f>
        <v>0</v>
      </c>
      <c r="CB130" s="81"/>
      <c r="CC130" s="1288">
        <f>IF(CC$104&gt;0,(CC$104*CC103^0.333/Wind^2)^0.5,0)</f>
        <v>0</v>
      </c>
      <c r="CD130" s="81"/>
      <c r="CE130" s="23"/>
      <c r="CF130" s="81"/>
      <c r="CG130" s="2"/>
      <c r="CH130" s="2975" t="s">
        <v>5113</v>
      </c>
      <c r="CI130" s="83"/>
      <c r="CJ130" s="3005">
        <f>IF(CJ16&lt;&gt;"",(EXP(INDEX(LINEST(CJ120:CJ129,$CJ$286:$CJ$295),2))*CJ20/CJ16)^CJ131,0)</f>
        <v>0</v>
      </c>
      <c r="CK130" s="83"/>
      <c r="CL130" s="23"/>
      <c r="CM130" s="83"/>
    </row>
    <row r="131" spans="1:91" ht="12" customHeight="1" x14ac:dyDescent="0.25">
      <c r="A131" s="2"/>
      <c r="B131" s="1691" t="s">
        <v>5061</v>
      </c>
      <c r="C131" s="83"/>
      <c r="D131" s="3000">
        <f>IF(AND(D$104&gt;0,D130&gt;0),D$99*(0.2/D$130)^3,1)</f>
        <v>1</v>
      </c>
      <c r="E131" s="83"/>
      <c r="F131" s="3000">
        <f>IF(AND(F$104&gt;0,F130&gt;0),F$99*(0.2/F$130)^3,1)</f>
        <v>1</v>
      </c>
      <c r="G131" s="83"/>
      <c r="H131" s="3000">
        <f>IF(AND(H$104&gt;0,H130&gt;0),H$99*(0.2/H$130)^3,1)</f>
        <v>1</v>
      </c>
      <c r="I131" s="83"/>
      <c r="J131" s="3000">
        <f>IF(AND(J$104&gt;0,J130&gt;0),J$99*(0.2/J$130)^3,1)</f>
        <v>1</v>
      </c>
      <c r="K131" s="83"/>
      <c r="L131" s="3000">
        <f>IF(AND(L$104&gt;0,L130&gt;0),L$99*(0.2/L$130)^3,1)</f>
        <v>1</v>
      </c>
      <c r="M131" s="83"/>
      <c r="N131" s="3000">
        <f>IF(AND(N$104&gt;0,N130&gt;0),N$99*(0.2/N$130)^3,1)</f>
        <v>1</v>
      </c>
      <c r="O131" s="83"/>
      <c r="P131" s="3000">
        <f>IF(AND(P$104&gt;0,P130&gt;0),P$99*(0.2/P$130)^3,1)</f>
        <v>1</v>
      </c>
      <c r="Q131" s="83"/>
      <c r="R131" s="3000">
        <f>IF(AND(R$104&gt;0,R130&gt;0),R$99*(0.2/R$130)^3,1)</f>
        <v>1</v>
      </c>
      <c r="S131" s="83"/>
      <c r="T131" s="3000">
        <f>IF(AND(T$104&gt;0,T130&gt;0),T$99*(0.2/T$130)^3,1)</f>
        <v>1</v>
      </c>
      <c r="U131" s="83"/>
      <c r="V131" s="3000">
        <f>IF(AND(V$104&gt;0,V130&gt;0),V$99*(0.2/V$130)^3,1)</f>
        <v>1</v>
      </c>
      <c r="W131" s="83"/>
      <c r="X131" s="3000">
        <f>IF(AND(X$104&gt;0,X130&gt;0),X$99*(0.2/X$130)^3,1)</f>
        <v>1</v>
      </c>
      <c r="Y131" s="83"/>
      <c r="Z131" s="85" t="s">
        <v>3543</v>
      </c>
      <c r="AA131" s="83"/>
      <c r="AB131" s="81"/>
      <c r="AC131" s="512" t="s">
        <v>5100</v>
      </c>
      <c r="AD131" s="81"/>
      <c r="AE131" s="2981">
        <f>IF(AE$89&gt;0,LN(IF(AE$128&gt;=20,AE$99*AE$126*20^AE$127,NBPlume_A*AE$89/(AE$98*Wind)/(20-AE$128+AE$129)^(1/NBPlume_B))),0)</f>
        <v>0</v>
      </c>
      <c r="AF131" s="81"/>
      <c r="AG131" s="2981">
        <f>IF(AG$89&gt;0,LN(IF(AG$128&gt;=20,AG$99*AG$126*20^AG$127,NBPlume_A*AG$89/(AG$98*Wind)/(20-AG$128+AG$129)^(1/NBPlume_B))),0)</f>
        <v>0</v>
      </c>
      <c r="AH131" s="81"/>
      <c r="AI131" s="2981">
        <f>IF(AI$89&gt;0,LN(IF(AI$128&gt;=20,AI$99*AI$126*20^AI$127,NBPlume_A*AI$89/(AI$98*Wind)/(20-AI$128+AI$129)^(1/NBPlume_B))),0)</f>
        <v>0</v>
      </c>
      <c r="AJ131" s="81"/>
      <c r="AK131" s="2981">
        <f>IF(AK$89&gt;0,LN(IF(AK$128&gt;=20,AK$99*AK$126*20^AK$127,NBPlume_A*AK$89/(AK$98*Wind)/(20-AK$128+AK$129)^(1/NBPlume_B))),0)</f>
        <v>0</v>
      </c>
      <c r="AL131" s="81"/>
      <c r="AM131" s="2981">
        <f>IF(AM$89&gt;0,LN(IF(AM$128&gt;=20,AM$99*AM$126*20^AM$127,NBPlume_A*AM$89/(AM$98*Wind)/(20-AM$128+AM$129)^(1/NBPlume_B))),0)</f>
        <v>0</v>
      </c>
      <c r="AN131" s="81"/>
      <c r="AO131" s="2981">
        <f>IF(AO$89&gt;0,LN(IF(AO$128&gt;=20,AO$99*AO$126*20^AO$127,NBPlume_A*AO$89/(AO$98*Wind)/(20-AO$128+AO$129)^(1/NBPlume_B))),0)</f>
        <v>0</v>
      </c>
      <c r="AP131" s="81"/>
      <c r="AQ131" s="85"/>
      <c r="AR131" s="81"/>
      <c r="AS131" s="83"/>
      <c r="AT131" s="512" t="s">
        <v>5117</v>
      </c>
      <c r="AU131" s="83"/>
      <c r="AV131" s="3000" t="e">
        <f>LN(IF(AV$128&lt;AV$83,IF(LOG(AV$127)&lt;-0.66,8.91,IF(LOG(AV$127)&lt;0.32,10^(1.19+0.36*LOG(AV$127)),10^(1.38-0.26*LOG(AV$127))))*AV87^0.333,1))</f>
        <v>#DIV/0!</v>
      </c>
      <c r="AW131" s="269"/>
      <c r="AX131" s="3000" t="e">
        <f>LN(IF(AX$128&lt;AX$83,IF(LOG(AX$127)&lt;-0.66,8.91,IF(LOG(AX$127)&lt;0.32,10^(1.19+0.36*LOG(AX$127)),10^(1.38-0.26*LOG(AX$127))))*AX87^0.333,1))</f>
        <v>#DIV/0!</v>
      </c>
      <c r="AY131" s="269"/>
      <c r="AZ131" s="3000" t="e">
        <f>LN(IF(AZ$128&lt;AZ$83,IF(LOG(AZ$127)&lt;-0.66,8.91,IF(LOG(AZ$127)&lt;0.32,10^(1.19+0.36*LOG(AZ$127)),10^(1.38-0.26*LOG(AZ$127))))*AZ87^0.333,1))</f>
        <v>#DIV/0!</v>
      </c>
      <c r="BA131" s="269"/>
      <c r="BB131" s="3000" t="e">
        <f>LN(IF(BB$128&lt;BB$83,IF(LOG(BB$127)&lt;-0.66,8.91,IF(LOG(BB$127)&lt;0.32,10^(1.19+0.36*LOG(BB$127)),10^(1.38-0.26*LOG(BB$127))))*BB87^0.333,1))</f>
        <v>#DIV/0!</v>
      </c>
      <c r="BC131" s="269"/>
      <c r="BD131" s="3000" t="e">
        <f>LN(IF(BD$128&lt;BD$83,IF(LOG(BD$127)&lt;-0.66,8.91,IF(LOG(BD$127)&lt;0.32,10^(1.19+0.36*LOG(BD$127)),10^(1.38-0.26*LOG(BD$127))))*BD87^0.333,1))</f>
        <v>#DIV/0!</v>
      </c>
      <c r="BE131" s="269"/>
      <c r="BF131" s="3000" t="e">
        <f>LN(IF(BF$128&lt;BF$83,IF(LOG(BF$127)&lt;-0.66,8.91,IF(LOG(BF$127)&lt;0.32,10^(1.19+0.36*LOG(BF$127)),10^(1.38-0.26*LOG(BF$127))))*BF87^0.333,1))</f>
        <v>#DIV/0!</v>
      </c>
      <c r="BG131" s="269"/>
      <c r="BH131" s="3000" t="e">
        <f>LN(IF(BH$128&lt;BH$83,IF(LOG(BH$127)&lt;-0.66,8.91,IF(LOG(BH$127)&lt;0.32,10^(1.19+0.36*LOG(BH$127)),10^(1.38-0.26*LOG(BH$127))))*BH87^0.333,1))</f>
        <v>#DIV/0!</v>
      </c>
      <c r="BI131" s="269"/>
      <c r="BJ131" s="3000" t="e">
        <f>LN(IF(BJ$128&lt;BJ$83,IF(LOG(BJ$127)&lt;-0.66,8.91,IF(LOG(BJ$127)&lt;0.32,10^(1.19+0.36*LOG(BJ$127)),10^(1.38-0.26*LOG(BJ$127))))*BJ87^0.333,1))</f>
        <v>#DIV/0!</v>
      </c>
      <c r="BK131" s="269"/>
      <c r="BL131" s="3000" t="e">
        <f>LN(IF(BL$128&lt;BL$83,IF(LOG(BL$127)&lt;-0.66,8.91,IF(LOG(BL$127)&lt;0.32,10^(1.19+0.36*LOG(BL$127)),10^(1.38-0.26*LOG(BL$127))))*BL87^0.333,1))</f>
        <v>#DIV/0!</v>
      </c>
      <c r="BM131" s="269"/>
      <c r="BN131" s="3000" t="e">
        <f>LN(IF(BN$128&lt;BN$83,IF(LOG(BN$127)&lt;-0.66,8.91,IF(LOG(BN$127)&lt;0.32,10^(1.19+0.36*LOG(BN$127)),10^(1.38-0.26*LOG(BN$127))))*BN87^0.333,1))</f>
        <v>#DIV/0!</v>
      </c>
      <c r="BO131" s="269"/>
      <c r="BP131" s="1835"/>
      <c r="BQ131" s="83"/>
      <c r="BR131" s="81"/>
      <c r="BS131" s="1691" t="s">
        <v>5061</v>
      </c>
      <c r="BT131" s="81"/>
      <c r="BU131" s="3000">
        <f>IF(AND(BU$104&gt;0,BU130&gt;0),BU$99*(0.2/BU$130)^3,1)</f>
        <v>1</v>
      </c>
      <c r="BV131" s="81"/>
      <c r="BW131" s="3000">
        <f>IF(AND(BW$104&gt;0,BW130&gt;0),BW$99*(0.2/BW$130)^3,1)</f>
        <v>1</v>
      </c>
      <c r="BX131" s="81"/>
      <c r="BY131" s="3000">
        <f>IF(AND(BY$104&gt;0,BY130&gt;0),BY$99*(0.2/BY$130)^3,1)</f>
        <v>1</v>
      </c>
      <c r="BZ131" s="81"/>
      <c r="CA131" s="3000">
        <f>IF(AND(CA$104&gt;0,CA130&gt;0),CA$99*(0.2/CA$130)^3,1)</f>
        <v>1</v>
      </c>
      <c r="CB131" s="81"/>
      <c r="CC131" s="3000">
        <f>IF(AND(CC$104&gt;0,CC130&gt;0),CC$99*(0.2/CC$130)^3,1)</f>
        <v>1</v>
      </c>
      <c r="CD131" s="81"/>
      <c r="CE131" s="23"/>
      <c r="CF131" s="81"/>
      <c r="CG131" s="2"/>
      <c r="CH131" s="2977" t="s">
        <v>5114</v>
      </c>
      <c r="CI131" s="83"/>
      <c r="CJ131" s="3032">
        <f>IF(CJ16&lt;&gt;"",-1/INDEX(LINEST(CJ120:CJ129,$CJ$286:$CJ$295),1),0)</f>
        <v>0</v>
      </c>
      <c r="CK131" s="83"/>
      <c r="CL131" s="23"/>
      <c r="CM131" s="83"/>
    </row>
    <row r="132" spans="1:91" ht="15" customHeight="1" thickBot="1" x14ac:dyDescent="0.3">
      <c r="A132" s="2"/>
      <c r="B132" s="512" t="s">
        <v>5115</v>
      </c>
      <c r="C132" s="83"/>
      <c r="D132" s="3000">
        <f>LN(IF(D$131&lt;D$99,IF(LOG(D$130)&lt;-0.44,5.01,IF(LOG(D$130)&lt;0.43,10^(0.81+0.26*LOG(D$130)),8.51))*D103^0.333,1))</f>
        <v>0</v>
      </c>
      <c r="E132" s="83"/>
      <c r="F132" s="3000">
        <f>LN(IF(F$131&lt;F$99,IF(LOG(F$130)&lt;-0.44,5.01,IF(LOG(F$130)&lt;0.43,10^(0.81+0.26*LOG(F$130)),8.51))*F103^0.333,1))</f>
        <v>0</v>
      </c>
      <c r="G132" s="83"/>
      <c r="H132" s="3000">
        <f>LN(IF(H$131&lt;H$99,IF(LOG(H$130)&lt;-0.44,5.01,IF(LOG(H$130)&lt;0.43,10^(0.81+0.26*LOG(H$130)),8.51))*H103^0.333,1))</f>
        <v>0</v>
      </c>
      <c r="I132" s="83"/>
      <c r="J132" s="3000">
        <f>LN(IF(J$131&lt;J$99,IF(LOG(J$130)&lt;-0.44,5.01,IF(LOG(J$130)&lt;0.43,10^(0.81+0.26*LOG(J$130)),8.51))*J103^0.333,1))</f>
        <v>0</v>
      </c>
      <c r="K132" s="83"/>
      <c r="L132" s="3000">
        <f>LN(IF(L$131&lt;L$99,IF(LOG(L$130)&lt;-0.44,5.01,IF(LOG(L$130)&lt;0.43,10^(0.81+0.26*LOG(L$130)),8.51))*L103^0.333,1))</f>
        <v>0</v>
      </c>
      <c r="M132" s="83"/>
      <c r="N132" s="3000">
        <f>LN(IF(N$131&lt;N$99,IF(LOG(N$130)&lt;-0.44,5.01,IF(LOG(N$130)&lt;0.43,10^(0.81+0.26*LOG(N$130)),8.51))*N103^0.333,1))</f>
        <v>0</v>
      </c>
      <c r="O132" s="83"/>
      <c r="P132" s="3000">
        <f>LN(IF(P$131&lt;P$99,IF(LOG(P$130)&lt;-0.44,5.01,IF(LOG(P$130)&lt;0.43,10^(0.81+0.26*LOG(P$130)),8.51))*P103^0.333,1))</f>
        <v>0</v>
      </c>
      <c r="Q132" s="83"/>
      <c r="R132" s="3000">
        <f>LN(IF(R$131&lt;R$99,IF(LOG(R$130)&lt;-0.44,5.01,IF(LOG(R$130)&lt;0.43,10^(0.81+0.26*LOG(R$130)),8.51))*R103^0.333,1))</f>
        <v>0</v>
      </c>
      <c r="S132" s="83"/>
      <c r="T132" s="3000">
        <f>LN(IF(T$131&lt;T$99,IF(LOG(T$130)&lt;-0.44,5.01,IF(LOG(T$130)&lt;0.43,10^(0.81+0.26*LOG(T$130)),8.51))*T103^0.333,1))</f>
        <v>0</v>
      </c>
      <c r="U132" s="83"/>
      <c r="V132" s="3000">
        <f>LN(IF(V$131&lt;V$99,IF(LOG(V$130)&lt;-0.44,5.01,IF(LOG(V$130)&lt;0.43,10^(0.81+0.26*LOG(V$130)),8.51))*V103^0.333,1))</f>
        <v>0</v>
      </c>
      <c r="W132" s="83"/>
      <c r="X132" s="3000">
        <f>LN(IF(X$131&lt;X$99,IF(LOG(X$130)&lt;-0.44,5.01,IF(LOG(X$130)&lt;0.43,10^(0.81+0.26*LOG(X$130)),8.51))*X103^0.333,1))</f>
        <v>0</v>
      </c>
      <c r="Y132" s="83"/>
      <c r="Z132" s="2987"/>
      <c r="AA132" s="83"/>
      <c r="AB132" s="81"/>
      <c r="AC132" s="512" t="s">
        <v>5101</v>
      </c>
      <c r="AD132" s="81"/>
      <c r="AE132" s="2981">
        <f>IF(AE$89&gt;0,LN(IF(AE$128&gt;=50,AE$99*AE$126*50^AE$127,NBPlume_A*AE$89/(AE$98*Wind)/(50-AE$128+AE$129)^(1/NBPlume_B))),0)</f>
        <v>0</v>
      </c>
      <c r="AF132" s="81"/>
      <c r="AG132" s="2981">
        <f>IF(AG$89&gt;0,LN(IF(AG$128&gt;=50,AG$99*AG$126*50^AG$127,NBPlume_A*AG$89/(AG$98*Wind)/(50-AG$128+AG$129)^(1/NBPlume_B))),0)</f>
        <v>0</v>
      </c>
      <c r="AH132" s="81"/>
      <c r="AI132" s="2981">
        <f>IF(AI$89&gt;0,LN(IF(AI$128&gt;=50,AI$99*AI$126*50^AI$127,NBPlume_A*AI$89/(AI$98*Wind)/(50-AI$128+AI$129)^(1/NBPlume_B))),0)</f>
        <v>0</v>
      </c>
      <c r="AJ132" s="81"/>
      <c r="AK132" s="2981">
        <f>IF(AK$89&gt;0,LN(IF(AK$128&gt;=50,AK$99*AK$126*50^AK$127,NBPlume_A*AK$89/(AK$98*Wind)/(50-AK$128+AK$129)^(1/NBPlume_B))),0)</f>
        <v>0</v>
      </c>
      <c r="AL132" s="81"/>
      <c r="AM132" s="2981">
        <f>IF(AM$89&gt;0,LN(IF(AM$128&gt;=50,AM$99*AM$126*50^AM$127,NBPlume_A*AM$89/(AM$98*Wind)/(50-AM$128+AM$129)^(1/NBPlume_B))),0)</f>
        <v>0</v>
      </c>
      <c r="AN132" s="81"/>
      <c r="AO132" s="2981">
        <f>IF(AO$89&gt;0,LN(IF(AO$128&gt;=50,AO$99*AO$126*50^AO$127,NBPlume_A*AO$89/(AO$98*Wind)/(50-AO$128+AO$129)^(1/NBPlume_B))),0)</f>
        <v>0</v>
      </c>
      <c r="AP132" s="81"/>
      <c r="AQ132" s="85"/>
      <c r="AR132" s="81"/>
      <c r="AS132" s="83"/>
      <c r="AT132" s="512" t="s">
        <v>5118</v>
      </c>
      <c r="AU132" s="83"/>
      <c r="AV132" s="3000" t="e">
        <f>LN(IF(AV$128&lt;AV$83,IF(LOG(AV$127)&lt;-0.71,14.1,IF(LOG(AV$127)&lt;0.37,10^(1.39+0.34*LOG(AV$127)),10^(1.66-0.38*LOG(AV$127))))*AV87^0.333,1))</f>
        <v>#DIV/0!</v>
      </c>
      <c r="AW132" s="269"/>
      <c r="AX132" s="3000" t="e">
        <f>LN(IF(AX$128&lt;AX$83,IF(LOG(AX$127)&lt;-0.71,14.1,IF(LOG(AX$127)&lt;0.37,10^(1.39+0.34*LOG(AX$127)),10^(1.66-0.38*LOG(AX$127))))*AX87^0.333,1))</f>
        <v>#DIV/0!</v>
      </c>
      <c r="AY132" s="269"/>
      <c r="AZ132" s="3000" t="e">
        <f>LN(IF(AZ$128&lt;AZ$83,IF(LOG(AZ$127)&lt;-0.71,14.1,IF(LOG(AZ$127)&lt;0.37,10^(1.39+0.34*LOG(AZ$127)),10^(1.66-0.38*LOG(AZ$127))))*AZ87^0.333,1))</f>
        <v>#DIV/0!</v>
      </c>
      <c r="BA132" s="269"/>
      <c r="BB132" s="3000" t="e">
        <f>LN(IF(BB$128&lt;BB$83,IF(LOG(BB$127)&lt;-0.71,14.1,IF(LOG(BB$127)&lt;0.37,10^(1.39+0.34*LOG(BB$127)),10^(1.66-0.38*LOG(BB$127))))*BB87^0.333,1))</f>
        <v>#DIV/0!</v>
      </c>
      <c r="BC132" s="269"/>
      <c r="BD132" s="3000" t="e">
        <f>LN(IF(BD$128&lt;BD$83,IF(LOG(BD$127)&lt;-0.71,14.1,IF(LOG(BD$127)&lt;0.37,10^(1.39+0.34*LOG(BD$127)),10^(1.66-0.38*LOG(BD$127))))*BD87^0.333,1))</f>
        <v>#DIV/0!</v>
      </c>
      <c r="BE132" s="269"/>
      <c r="BF132" s="3000" t="e">
        <f>LN(IF(BF$128&lt;BF$83,IF(LOG(BF$127)&lt;-0.71,14.1,IF(LOG(BF$127)&lt;0.37,10^(1.39+0.34*LOG(BF$127)),10^(1.66-0.38*LOG(BF$127))))*BF87^0.333,1))</f>
        <v>#DIV/0!</v>
      </c>
      <c r="BG132" s="269"/>
      <c r="BH132" s="3000" t="e">
        <f>LN(IF(BH$128&lt;BH$83,IF(LOG(BH$127)&lt;-0.71,14.1,IF(LOG(BH$127)&lt;0.37,10^(1.39+0.34*LOG(BH$127)),10^(1.66-0.38*LOG(BH$127))))*BH87^0.333,1))</f>
        <v>#DIV/0!</v>
      </c>
      <c r="BI132" s="269"/>
      <c r="BJ132" s="3000" t="e">
        <f>LN(IF(BJ$128&lt;BJ$83,IF(LOG(BJ$127)&lt;-0.71,14.1,IF(LOG(BJ$127)&lt;0.37,10^(1.39+0.34*LOG(BJ$127)),10^(1.66-0.38*LOG(BJ$127))))*BJ87^0.333,1))</f>
        <v>#DIV/0!</v>
      </c>
      <c r="BK132" s="269"/>
      <c r="BL132" s="3000" t="e">
        <f>LN(IF(BL$128&lt;BL$83,IF(LOG(BL$127)&lt;-0.71,14.1,IF(LOG(BL$127)&lt;0.37,10^(1.39+0.34*LOG(BL$127)),10^(1.66-0.38*LOG(BL$127))))*BL87^0.333,1))</f>
        <v>#DIV/0!</v>
      </c>
      <c r="BM132" s="269"/>
      <c r="BN132" s="3000" t="e">
        <f>LN(IF(BN$128&lt;BN$83,IF(LOG(BN$127)&lt;-0.71,14.1,IF(LOG(BN$127)&lt;0.37,10^(1.39+0.34*LOG(BN$127)),10^(1.66-0.38*LOG(BN$127))))*BN87^0.333,1))</f>
        <v>#DIV/0!</v>
      </c>
      <c r="BO132" s="269"/>
      <c r="BP132" s="1835"/>
      <c r="BQ132" s="83"/>
      <c r="BR132" s="81"/>
      <c r="BS132" s="512" t="s">
        <v>5115</v>
      </c>
      <c r="BT132" s="81"/>
      <c r="BU132" s="3000">
        <f>LN(IF(BU$131&lt;BU$99,IF(LOG(BU$130)&lt;-0.44,5.01,IF(LOG(BU$130)&lt;0.43,10^(0.81+0.26*LOG(BU$130)),8.51))*BU103^0.333,1))</f>
        <v>0</v>
      </c>
      <c r="BV132" s="81"/>
      <c r="BW132" s="3000">
        <f>LN(IF(BW$131&lt;BW$99,IF(LOG(BW$130)&lt;-0.44,5.01,IF(LOG(BW$130)&lt;0.43,10^(0.81+0.26*LOG(BW$130)),8.51))*BW103^0.333,1))</f>
        <v>0</v>
      </c>
      <c r="BX132" s="81"/>
      <c r="BY132" s="3000">
        <f>LN(IF(BY$131&lt;BY$99,IF(LOG(BY$130)&lt;-0.44,5.01,IF(LOG(BY$130)&lt;0.43,10^(0.81+0.26*LOG(BY$130)),8.51))*BY103^0.333,1))</f>
        <v>0</v>
      </c>
      <c r="BZ132" s="81"/>
      <c r="CA132" s="3000">
        <f>LN(IF(CA$131&lt;CA$99,IF(LOG(CA$130)&lt;-0.44,5.01,IF(LOG(CA$130)&lt;0.43,10^(0.81+0.26*LOG(CA$130)),8.51))*CA103^0.333,1))</f>
        <v>0</v>
      </c>
      <c r="CB132" s="81"/>
      <c r="CC132" s="3000">
        <f>LN(IF(CC$131&lt;CC$99,IF(LOG(CC$130)&lt;-0.44,5.01,IF(LOG(CC$130)&lt;0.43,10^(0.81+0.26*LOG(CC$130)),8.51))*CC103^0.333,1))</f>
        <v>0</v>
      </c>
      <c r="CD132" s="81"/>
      <c r="CE132" s="23"/>
      <c r="CF132" s="81"/>
      <c r="CG132" s="2"/>
      <c r="CH132" s="2976" t="s">
        <v>5125</v>
      </c>
      <c r="CI132" s="83"/>
      <c r="CJ132" s="2105">
        <f>IF(CJ16&lt;&gt;"",CJ130*(CJ16/(CJ20*CJ$27))^CJ131,0)</f>
        <v>0</v>
      </c>
      <c r="CK132" s="83"/>
      <c r="CL132" s="23"/>
      <c r="CM132" s="83"/>
    </row>
    <row r="133" spans="1:91" ht="15" customHeight="1" thickBot="1" x14ac:dyDescent="0.3">
      <c r="A133" s="2"/>
      <c r="B133" s="512" t="s">
        <v>5116</v>
      </c>
      <c r="C133" s="83"/>
      <c r="D133" s="3000">
        <f>LN(IF(D$131&lt;D$99,IF(LOG(D$130)&lt;-0.56,7.08,IF(LOG(D$130)&lt;0.31,10^(1+0.26*LOG(D$130)),10^(1.12-0.12*LOG(D$130))))*D103^0.333,1))</f>
        <v>0</v>
      </c>
      <c r="E133" s="83"/>
      <c r="F133" s="3000">
        <f>LN(IF(F$131&lt;F$99,IF(LOG(F$130)&lt;-0.56,7.08,IF(LOG(F$130)&lt;0.31,10^(1+0.26*LOG(F$130)),10^(1.12-0.12*LOG(F$130))))*F103^0.333,1))</f>
        <v>0</v>
      </c>
      <c r="G133" s="83"/>
      <c r="H133" s="3000">
        <f>LN(IF(H$131&lt;H$99,IF(LOG(H$130)&lt;-0.56,7.08,IF(LOG(H$130)&lt;0.31,10^(1+0.26*LOG(H$130)),10^(1.12-0.12*LOG(H$130))))*H103^0.333,1))</f>
        <v>0</v>
      </c>
      <c r="I133" s="83"/>
      <c r="J133" s="3000">
        <f>LN(IF(J$131&lt;J$99,IF(LOG(J$130)&lt;-0.56,7.08,IF(LOG(J$130)&lt;0.31,10^(1+0.26*LOG(J$130)),10^(1.12-0.12*LOG(J$130))))*J103^0.333,1))</f>
        <v>0</v>
      </c>
      <c r="K133" s="83"/>
      <c r="L133" s="3000">
        <f>LN(IF(L$131&lt;L$99,IF(LOG(L$130)&lt;-0.56,7.08,IF(LOG(L$130)&lt;0.31,10^(1+0.26*LOG(L$130)),10^(1.12-0.12*LOG(L$130))))*L103^0.333,1))</f>
        <v>0</v>
      </c>
      <c r="M133" s="83"/>
      <c r="N133" s="3000">
        <f>LN(IF(N$131&lt;N$99,IF(LOG(N$130)&lt;-0.56,7.08,IF(LOG(N$130)&lt;0.31,10^(1+0.26*LOG(N$130)),10^(1.12-0.12*LOG(N$130))))*N103^0.333,1))</f>
        <v>0</v>
      </c>
      <c r="O133" s="83"/>
      <c r="P133" s="3000">
        <f>LN(IF(P$131&lt;P$99,IF(LOG(P$130)&lt;-0.56,7.08,IF(LOG(P$130)&lt;0.31,10^(1+0.26*LOG(P$130)),10^(1.12-0.12*LOG(P$130))))*P103^0.333,1))</f>
        <v>0</v>
      </c>
      <c r="Q133" s="83"/>
      <c r="R133" s="3000">
        <f>LN(IF(R$131&lt;R$99,IF(LOG(R$130)&lt;-0.56,7.08,IF(LOG(R$130)&lt;0.31,10^(1+0.26*LOG(R$130)),10^(1.12-0.12*LOG(R$130))))*R103^0.333,1))</f>
        <v>0</v>
      </c>
      <c r="S133" s="83"/>
      <c r="T133" s="3000">
        <f>LN(IF(T$131&lt;T$99,IF(LOG(T$130)&lt;-0.56,7.08,IF(LOG(T$130)&lt;0.31,10^(1+0.26*LOG(T$130)),10^(1.12-0.12*LOG(T$130))))*T103^0.333,1))</f>
        <v>0</v>
      </c>
      <c r="U133" s="83"/>
      <c r="V133" s="3000">
        <f>LN(IF(V$131&lt;V$99,IF(LOG(V$130)&lt;-0.56,7.08,IF(LOG(V$130)&lt;0.31,10^(1+0.26*LOG(V$130)),10^(1.12-0.12*LOG(V$130))))*V103^0.333,1))</f>
        <v>0</v>
      </c>
      <c r="W133" s="83"/>
      <c r="X133" s="3000">
        <f>LN(IF(X$131&lt;X$99,IF(LOG(X$130)&lt;-0.56,7.08,IF(LOG(X$130)&lt;0.31,10^(1+0.26*LOG(X$130)),10^(1.12-0.12*LOG(X$130))))*X103^0.333,1))</f>
        <v>0</v>
      </c>
      <c r="Y133" s="83"/>
      <c r="Z133" s="2987"/>
      <c r="AA133" s="83"/>
      <c r="AB133" s="81"/>
      <c r="AC133" s="512" t="s">
        <v>5102</v>
      </c>
      <c r="AD133" s="81"/>
      <c r="AE133" s="2981">
        <f>IF(AE$89&gt;0,LN(IF(AE$128&gt;=100,AE$99*AE$126*100^AE$127,NBPlume_A*AE$89/(AE$98*Wind)/(100-AE$128+AE$129)^(1/NBPlume_B))),0)</f>
        <v>0</v>
      </c>
      <c r="AF133" s="81"/>
      <c r="AG133" s="2981">
        <f>IF(AG$89&gt;0,LN(IF(AG$128&gt;=100,AG$99*AG$126*100^AG$127,NBPlume_A*AG$89/(AG$98*Wind)/(100-AG$128+AG$129)^(1/NBPlume_B))),0)</f>
        <v>0</v>
      </c>
      <c r="AH133" s="81"/>
      <c r="AI133" s="2981">
        <f>IF(AI$89&gt;0,LN(IF(AI$128&gt;=100,AI$99*AI$126*100^AI$127,NBPlume_A*AI$89/(AI$98*Wind)/(100-AI$128+AI$129)^(1/NBPlume_B))),0)</f>
        <v>0</v>
      </c>
      <c r="AJ133" s="81"/>
      <c r="AK133" s="2981">
        <f>IF(AK$89&gt;0,LN(IF(AK$128&gt;=100,AK$99*AK$126*100^AK$127,NBPlume_A*AK$89/(AK$98*Wind)/(100-AK$128+AK$129)^(1/NBPlume_B))),0)</f>
        <v>0</v>
      </c>
      <c r="AL133" s="81"/>
      <c r="AM133" s="2981">
        <f>IF(AM$89&gt;0,LN(IF(AM$128&gt;=100,AM$99*AM$126*100^AM$127,NBPlume_A*AM$89/(AM$98*Wind)/(100-AM$128+AM$129)^(1/NBPlume_B))),0)</f>
        <v>0</v>
      </c>
      <c r="AN133" s="81"/>
      <c r="AO133" s="2981">
        <f>IF(AO$89&gt;0,LN(IF(AO$128&gt;=100,AO$99*AO$126*100^AO$127,NBPlume_A*AO$89/(AO$98*Wind)/(100-AO$128+AO$129)^(1/NBPlume_B))),0)</f>
        <v>0</v>
      </c>
      <c r="AP133" s="81"/>
      <c r="AQ133" s="85"/>
      <c r="AR133" s="81"/>
      <c r="AS133" s="83"/>
      <c r="AT133" s="512" t="s">
        <v>5119</v>
      </c>
      <c r="AU133" s="83"/>
      <c r="AV133" s="3000" t="e">
        <f>LN(IF(AV$128&lt;AV$83,IF(LOG(AV$127)&lt;-0.52,30.2,IF(LOG(AV$127)&lt;0.24,10^(1.62+0.26*LOG(AV$127)),10^(1.75-0.3*LOG(AV$127))))*AV87^0.333,1))</f>
        <v>#DIV/0!</v>
      </c>
      <c r="AW133" s="269"/>
      <c r="AX133" s="3000" t="e">
        <f>LN(IF(AX$128&lt;AX$83,IF(LOG(AX$127)&lt;-0.52,30.2,IF(LOG(AX$127)&lt;0.24,10^(1.62+0.26*LOG(AX$127)),10^(1.75-0.3*LOG(AX$127))))*AX87^0.333,1))</f>
        <v>#DIV/0!</v>
      </c>
      <c r="AY133" s="269"/>
      <c r="AZ133" s="3000" t="e">
        <f>LN(IF(AZ$128&lt;AZ$83,IF(LOG(AZ$127)&lt;-0.52,30.2,IF(LOG(AZ$127)&lt;0.24,10^(1.62+0.26*LOG(AZ$127)),10^(1.75-0.3*LOG(AZ$127))))*AZ87^0.333,1))</f>
        <v>#DIV/0!</v>
      </c>
      <c r="BA133" s="269"/>
      <c r="BB133" s="3000" t="e">
        <f>LN(IF(BB$128&lt;BB$83,IF(LOG(BB$127)&lt;-0.52,30.2,IF(LOG(BB$127)&lt;0.24,10^(1.62+0.26*LOG(BB$127)),10^(1.75-0.3*LOG(BB$127))))*BB87^0.333,1))</f>
        <v>#DIV/0!</v>
      </c>
      <c r="BC133" s="269"/>
      <c r="BD133" s="3000" t="e">
        <f>LN(IF(BD$128&lt;BD$83,IF(LOG(BD$127)&lt;-0.52,30.2,IF(LOG(BD$127)&lt;0.24,10^(1.62+0.26*LOG(BD$127)),10^(1.75-0.3*LOG(BD$127))))*BD87^0.333,1))</f>
        <v>#DIV/0!</v>
      </c>
      <c r="BE133" s="269"/>
      <c r="BF133" s="3000" t="e">
        <f>LN(IF(BF$128&lt;BF$83,IF(LOG(BF$127)&lt;-0.52,30.2,IF(LOG(BF$127)&lt;0.24,10^(1.62+0.26*LOG(BF$127)),10^(1.75-0.3*LOG(BF$127))))*BF87^0.333,1))</f>
        <v>#DIV/0!</v>
      </c>
      <c r="BG133" s="269"/>
      <c r="BH133" s="3000" t="e">
        <f>LN(IF(BH$128&lt;BH$83,IF(LOG(BH$127)&lt;-0.52,30.2,IF(LOG(BH$127)&lt;0.24,10^(1.62+0.26*LOG(BH$127)),10^(1.75-0.3*LOG(BH$127))))*BH87^0.333,1))</f>
        <v>#DIV/0!</v>
      </c>
      <c r="BI133" s="269"/>
      <c r="BJ133" s="3000" t="e">
        <f>LN(IF(BJ$128&lt;BJ$83,IF(LOG(BJ$127)&lt;-0.52,30.2,IF(LOG(BJ$127)&lt;0.24,10^(1.62+0.26*LOG(BJ$127)),10^(1.75-0.3*LOG(BJ$127))))*BJ87^0.333,1))</f>
        <v>#DIV/0!</v>
      </c>
      <c r="BK133" s="269"/>
      <c r="BL133" s="3000" t="e">
        <f>LN(IF(BL$128&lt;BL$83,IF(LOG(BL$127)&lt;-0.52,30.2,IF(LOG(BL$127)&lt;0.24,10^(1.62+0.26*LOG(BL$127)),10^(1.75-0.3*LOG(BL$127))))*BL87^0.333,1))</f>
        <v>#DIV/0!</v>
      </c>
      <c r="BM133" s="269"/>
      <c r="BN133" s="3000" t="e">
        <f>LN(IF(BN$128&lt;BN$83,IF(LOG(BN$127)&lt;-0.52,30.2,IF(LOG(BN$127)&lt;0.24,10^(1.62+0.26*LOG(BN$127)),10^(1.75-0.3*LOG(BN$127))))*BN87^0.333,1))</f>
        <v>#DIV/0!</v>
      </c>
      <c r="BO133" s="269"/>
      <c r="BP133" s="1835"/>
      <c r="BQ133" s="83"/>
      <c r="BR133" s="81"/>
      <c r="BS133" s="512" t="s">
        <v>5116</v>
      </c>
      <c r="BT133" s="81"/>
      <c r="BU133" s="3000">
        <f>LN(IF(BU$131&lt;BU$99,IF(LOG(BU$130)&lt;-0.56,7.08,IF(LOG(BU$130)&lt;0.31,10^(1+0.26*LOG(BU$130)),10^(1.12-0.12*LOG(BU$130))))*BU103^0.333,1))</f>
        <v>0</v>
      </c>
      <c r="BV133" s="81"/>
      <c r="BW133" s="3000">
        <f>LN(IF(BW$131&lt;BW$99,IF(LOG(BW$130)&lt;-0.56,7.08,IF(LOG(BW$130)&lt;0.31,10^(1+0.26*LOG(BW$130)),10^(1.12-0.12*LOG(BW$130))))*BW103^0.333,1))</f>
        <v>0</v>
      </c>
      <c r="BX133" s="81"/>
      <c r="BY133" s="3000">
        <f>LN(IF(BY$131&lt;BY$99,IF(LOG(BY$130)&lt;-0.56,7.08,IF(LOG(BY$130)&lt;0.31,10^(1+0.26*LOG(BY$130)),10^(1.12-0.12*LOG(BY$130))))*BY103^0.333,1))</f>
        <v>0</v>
      </c>
      <c r="BZ133" s="81"/>
      <c r="CA133" s="3000">
        <f>LN(IF(CA$131&lt;CA$99,IF(LOG(CA$130)&lt;-0.56,7.08,IF(LOG(CA$130)&lt;0.31,10^(1+0.26*LOG(CA$130)),10^(1.12-0.12*LOG(CA$130))))*CA103^0.333,1))</f>
        <v>0</v>
      </c>
      <c r="CB133" s="81"/>
      <c r="CC133" s="3000">
        <f>LN(IF(CC$131&lt;CC$99,IF(LOG(CC$130)&lt;-0.56,7.08,IF(LOG(CC$130)&lt;0.31,10^(1+0.26*LOG(CC$130)),10^(1.12-0.12*LOG(CC$130))))*CC103^0.333,1))</f>
        <v>0</v>
      </c>
      <c r="CD133" s="81"/>
      <c r="CE133" s="23"/>
      <c r="CF133" s="81"/>
      <c r="CG133" s="2"/>
      <c r="CH133" s="85" t="s">
        <v>5080</v>
      </c>
      <c r="CI133" s="83"/>
      <c r="CJ133" s="2568" t="str">
        <f>IF(OR(State="Solid",AND(CJ$13="",CJ$17="Instantaneous")),"Instantaneous",IF(AND(CJ$13&lt;&gt;"",CJ$16&lt;&gt;""),IF(CJ$13&gt;CJ$16*(CJ130^(1/CJ131)/CJ104^(1/CJ105))*Wind_Night*(1*Wind_Night*CJ$16/CJ$13)^(1/CJ105-1/CJ131),"Instantaneous","Continuous"),"Instantaneous"))</f>
        <v>Instantaneous</v>
      </c>
      <c r="CK133" s="83"/>
      <c r="CL133" s="23"/>
      <c r="CM133" s="83"/>
    </row>
    <row r="134" spans="1:91" ht="12" customHeight="1" thickBot="1" x14ac:dyDescent="0.3">
      <c r="A134" s="2"/>
      <c r="B134" s="512" t="s">
        <v>5117</v>
      </c>
      <c r="C134" s="83"/>
      <c r="D134" s="3000">
        <f>LN(IF(D$131&lt;D$99,IF(LOG(D$130)&lt;-0.66,8.91,IF(LOG(D$130)&lt;0.32,10^(1.19+0.36*LOG(D$130)),10^(1.38-0.26*LOG(D$130))))*D103^0.333,1))</f>
        <v>0</v>
      </c>
      <c r="E134" s="83"/>
      <c r="F134" s="3000">
        <f>LN(IF(F$131&lt;F$99,IF(LOG(F$130)&lt;-0.66,8.91,IF(LOG(F$130)&lt;0.32,10^(1.19+0.36*LOG(F$130)),10^(1.38-0.26*LOG(F$130))))*F103^0.333,1))</f>
        <v>0</v>
      </c>
      <c r="G134" s="83"/>
      <c r="H134" s="3000">
        <f>LN(IF(H$131&lt;H$99,IF(LOG(H$130)&lt;-0.66,8.91,IF(LOG(H$130)&lt;0.32,10^(1.19+0.36*LOG(H$130)),10^(1.38-0.26*LOG(H$130))))*H103^0.333,1))</f>
        <v>0</v>
      </c>
      <c r="I134" s="83"/>
      <c r="J134" s="3000">
        <f>LN(IF(J$131&lt;J$99,IF(LOG(J$130)&lt;-0.66,8.91,IF(LOG(J$130)&lt;0.32,10^(1.19+0.36*LOG(J$130)),10^(1.38-0.26*LOG(J$130))))*J103^0.333,1))</f>
        <v>0</v>
      </c>
      <c r="K134" s="83"/>
      <c r="L134" s="3000">
        <f>LN(IF(L$131&lt;L$99,IF(LOG(L$130)&lt;-0.66,8.91,IF(LOG(L$130)&lt;0.32,10^(1.19+0.36*LOG(L$130)),10^(1.38-0.26*LOG(L$130))))*L103^0.333,1))</f>
        <v>0</v>
      </c>
      <c r="M134" s="83"/>
      <c r="N134" s="3000">
        <f>LN(IF(N$131&lt;N$99,IF(LOG(N$130)&lt;-0.66,8.91,IF(LOG(N$130)&lt;0.32,10^(1.19+0.36*LOG(N$130)),10^(1.38-0.26*LOG(N$130))))*N103^0.333,1))</f>
        <v>0</v>
      </c>
      <c r="O134" s="83"/>
      <c r="P134" s="3000">
        <f>LN(IF(P$131&lt;P$99,IF(LOG(P$130)&lt;-0.66,8.91,IF(LOG(P$130)&lt;0.32,10^(1.19+0.36*LOG(P$130)),10^(1.38-0.26*LOG(P$130))))*P103^0.333,1))</f>
        <v>0</v>
      </c>
      <c r="Q134" s="83"/>
      <c r="R134" s="3000">
        <f>LN(IF(R$131&lt;R$99,IF(LOG(R$130)&lt;-0.66,8.91,IF(LOG(R$130)&lt;0.32,10^(1.19+0.36*LOG(R$130)),10^(1.38-0.26*LOG(R$130))))*R103^0.333,1))</f>
        <v>0</v>
      </c>
      <c r="S134" s="83"/>
      <c r="T134" s="3000">
        <f>LN(IF(T$131&lt;T$99,IF(LOG(T$130)&lt;-0.66,8.91,IF(LOG(T$130)&lt;0.32,10^(1.19+0.36*LOG(T$130)),10^(1.38-0.26*LOG(T$130))))*T103^0.333,1))</f>
        <v>0</v>
      </c>
      <c r="U134" s="83"/>
      <c r="V134" s="3000">
        <f>LN(IF(V$131&lt;V$99,IF(LOG(V$130)&lt;-0.66,8.91,IF(LOG(V$130)&lt;0.32,10^(1.19+0.36*LOG(V$130)),10^(1.38-0.26*LOG(V$130))))*V103^0.333,1))</f>
        <v>0</v>
      </c>
      <c r="W134" s="83"/>
      <c r="X134" s="3000">
        <f>LN(IF(X$131&lt;X$99,IF(LOG(X$130)&lt;-0.66,8.91,IF(LOG(X$130)&lt;0.32,10^(1.19+0.36*LOG(X$130)),10^(1.38-0.26*LOG(X$130))))*X103^0.333,1))</f>
        <v>0</v>
      </c>
      <c r="Y134" s="83"/>
      <c r="Z134" s="2987"/>
      <c r="AA134" s="83"/>
      <c r="AB134" s="81"/>
      <c r="AC134" s="512" t="s">
        <v>5103</v>
      </c>
      <c r="AD134" s="81"/>
      <c r="AE134" s="2981">
        <f>IF(AE$89&gt;0,LN(IF(AE$128&gt;=200,AE$99*AE$126*200^AE$127,NBPlume_A*AE$89/(AE$98*Wind)/(200-AE$128+AE$129)^(1/NBPlume_B))),0)</f>
        <v>0</v>
      </c>
      <c r="AF134" s="81"/>
      <c r="AG134" s="2981">
        <f>IF(AG$89&gt;0,LN(IF(AG$128&gt;=200,AG$99*AG$126*200^AG$127,NBPlume_A*AG$89/(AG$98*Wind)/(200-AG$128+AG$129)^(1/NBPlume_B))),0)</f>
        <v>0</v>
      </c>
      <c r="AH134" s="81"/>
      <c r="AI134" s="2981">
        <f>IF(AI$89&gt;0,LN(IF(AI$128&gt;=200,AI$99*AI$126*200^AI$127,NBPlume_A*AI$89/(AI$98*Wind)/(200-AI$128+AI$129)^(1/NBPlume_B))),0)</f>
        <v>0</v>
      </c>
      <c r="AJ134" s="81"/>
      <c r="AK134" s="2981">
        <f>IF(AK$89&gt;0,LN(IF(AK$128&gt;=200,AK$99*AK$126*200^AK$127,NBPlume_A*AK$89/(AK$98*Wind)/(200-AK$128+AK$129)^(1/NBPlume_B))),0)</f>
        <v>0</v>
      </c>
      <c r="AL134" s="81"/>
      <c r="AM134" s="2981">
        <f>IF(AM$89&gt;0,LN(IF(AM$128&gt;=200,AM$99*AM$126*200^AM$127,NBPlume_A*AM$89/(AM$98*Wind)/(200-AM$128+AM$129)^(1/NBPlume_B))),0)</f>
        <v>0</v>
      </c>
      <c r="AN134" s="81"/>
      <c r="AO134" s="2981">
        <f>IF(AO$89&gt;0,LN(IF(AO$128&gt;=200,AO$99*AO$126*200^AO$127,NBPlume_A*AO$89/(AO$98*Wind)/(200-AO$128+AO$129)^(1/NBPlume_B))),0)</f>
        <v>0</v>
      </c>
      <c r="AP134" s="81"/>
      <c r="AQ134" s="85"/>
      <c r="AR134" s="81"/>
      <c r="AS134" s="83"/>
      <c r="AT134" s="512" t="s">
        <v>5120</v>
      </c>
      <c r="AU134" s="83"/>
      <c r="AV134" s="3000" t="e">
        <f>LN(IF(AV$128&lt;AV$83,IF(LOG(AV$127)&lt;0.27,67.6,10^(1.92-0.32*LOG(AV$127)))*AV87^0.333,1))</f>
        <v>#DIV/0!</v>
      </c>
      <c r="AW134" s="269"/>
      <c r="AX134" s="3000" t="e">
        <f>LN(IF(AX$128&lt;AX$83,IF(LOG(AX$127)&lt;0.27,67.6,10^(1.92-0.32*LOG(AX$127)))*AX87^0.333,1))</f>
        <v>#DIV/0!</v>
      </c>
      <c r="AY134" s="269"/>
      <c r="AZ134" s="3000" t="e">
        <f>LN(IF(AZ$128&lt;AZ$83,IF(LOG(AZ$127)&lt;0.27,67.6,10^(1.92-0.32*LOG(AZ$127)))*AZ87^0.333,1))</f>
        <v>#DIV/0!</v>
      </c>
      <c r="BA134" s="269"/>
      <c r="BB134" s="3000" t="e">
        <f>LN(IF(BB$128&lt;BB$83,IF(LOG(BB$127)&lt;0.27,67.6,10^(1.92-0.32*LOG(BB$127)))*BB87^0.333,1))</f>
        <v>#DIV/0!</v>
      </c>
      <c r="BC134" s="269"/>
      <c r="BD134" s="3000" t="e">
        <f>LN(IF(BD$128&lt;BD$83,IF(LOG(BD$127)&lt;0.27,67.6,10^(1.92-0.32*LOG(BD$127)))*BD87^0.333,1))</f>
        <v>#DIV/0!</v>
      </c>
      <c r="BE134" s="269"/>
      <c r="BF134" s="3000" t="e">
        <f>LN(IF(BF$128&lt;BF$83,IF(LOG(BF$127)&lt;0.27,67.6,10^(1.92-0.32*LOG(BF$127)))*BF87^0.333,1))</f>
        <v>#DIV/0!</v>
      </c>
      <c r="BG134" s="269"/>
      <c r="BH134" s="3000" t="e">
        <f>LN(IF(BH$128&lt;BH$83,IF(LOG(BH$127)&lt;0.27,67.6,10^(1.92-0.32*LOG(BH$127)))*BH87^0.333,1))</f>
        <v>#DIV/0!</v>
      </c>
      <c r="BI134" s="269"/>
      <c r="BJ134" s="3000" t="e">
        <f>LN(IF(BJ$128&lt;BJ$83,IF(LOG(BJ$127)&lt;0.27,67.6,10^(1.92-0.32*LOG(BJ$127)))*BJ87^0.333,1))</f>
        <v>#DIV/0!</v>
      </c>
      <c r="BK134" s="269"/>
      <c r="BL134" s="3000" t="e">
        <f>LN(IF(BL$128&lt;BL$83,IF(LOG(BL$127)&lt;0.27,67.6,10^(1.92-0.32*LOG(BL$127)))*BL87^0.333,1))</f>
        <v>#DIV/0!</v>
      </c>
      <c r="BM134" s="269"/>
      <c r="BN134" s="3000" t="e">
        <f>LN(IF(BN$128&lt;BN$83,IF(LOG(BN$127)&lt;0.27,67.6,10^(1.92-0.32*LOG(BN$127)))*BN87^0.333,1))</f>
        <v>#DIV/0!</v>
      </c>
      <c r="BO134" s="269"/>
      <c r="BP134" s="1835"/>
      <c r="BQ134" s="83"/>
      <c r="BR134" s="81"/>
      <c r="BS134" s="512" t="s">
        <v>5117</v>
      </c>
      <c r="BT134" s="81"/>
      <c r="BU134" s="3000">
        <f>LN(IF(BU$131&lt;BU$99,IF(LOG(BU$130)&lt;-0.66,8.91,IF(LOG(BU$130)&lt;0.32,10^(1.19+0.36*LOG(BU$130)),10^(1.38-0.26*LOG(BU$130))))*BU103^0.333,1))</f>
        <v>0</v>
      </c>
      <c r="BV134" s="81"/>
      <c r="BW134" s="3000">
        <f>LN(IF(BW$131&lt;BW$99,IF(LOG(BW$130)&lt;-0.66,8.91,IF(LOG(BW$130)&lt;0.32,10^(1.19+0.36*LOG(BW$130)),10^(1.38-0.26*LOG(BW$130))))*BW103^0.333,1))</f>
        <v>0</v>
      </c>
      <c r="BX134" s="81"/>
      <c r="BY134" s="3000">
        <f>LN(IF(BY$131&lt;BY$99,IF(LOG(BY$130)&lt;-0.66,8.91,IF(LOG(BY$130)&lt;0.32,10^(1.19+0.36*LOG(BY$130)),10^(1.38-0.26*LOG(BY$130))))*BY103^0.333,1))</f>
        <v>0</v>
      </c>
      <c r="BZ134" s="81"/>
      <c r="CA134" s="3000">
        <f>LN(IF(CA$131&lt;CA$99,IF(LOG(CA$130)&lt;-0.66,8.91,IF(LOG(CA$130)&lt;0.32,10^(1.19+0.36*LOG(CA$130)),10^(1.38-0.26*LOG(CA$130))))*CA103^0.333,1))</f>
        <v>0</v>
      </c>
      <c r="CB134" s="81"/>
      <c r="CC134" s="3000">
        <f>LN(IF(CC$131&lt;CC$99,IF(LOG(CC$130)&lt;-0.66,8.91,IF(LOG(CC$130)&lt;0.32,10^(1.19+0.36*LOG(CC$130)),10^(1.38-0.26*LOG(CC$130))))*CC103^0.333,1))</f>
        <v>0</v>
      </c>
      <c r="CD134" s="81"/>
      <c r="CE134" s="23"/>
      <c r="CF134" s="81"/>
      <c r="CG134" s="2"/>
      <c r="CH134" s="494" t="s">
        <v>5193</v>
      </c>
      <c r="CI134" s="83"/>
      <c r="CJ134" s="3143">
        <f>IF(CJ24="",IF(CJ26="",0.001,CJ26/1000),CJ24/1000000)</f>
        <v>1E-3</v>
      </c>
      <c r="CK134" s="83"/>
      <c r="CL134" s="23"/>
      <c r="CM134" s="83"/>
    </row>
    <row r="135" spans="1:91" ht="14.25" customHeight="1" x14ac:dyDescent="0.25">
      <c r="A135" s="2"/>
      <c r="B135" s="512" t="s">
        <v>5118</v>
      </c>
      <c r="C135" s="83"/>
      <c r="D135" s="3000">
        <f>LN(IF(D$131&lt;D$99,IF(LOG(D$130)&lt;-0.71,14.1,IF(LOG(D$130)&lt;0.37,10^(1.39+0.34*LOG(D$130)),10^(1.66-0.38*LOG(D$130))))*D103^0.333,1))</f>
        <v>0</v>
      </c>
      <c r="E135" s="83"/>
      <c r="F135" s="3000">
        <f>LN(IF(F$131&lt;F$99,IF(LOG(F$130)&lt;-0.71,14.1,IF(LOG(F$130)&lt;0.37,10^(1.39+0.34*LOG(F$130)),10^(1.66-0.38*LOG(F$130))))*F103^0.333,1))</f>
        <v>0</v>
      </c>
      <c r="G135" s="83"/>
      <c r="H135" s="3000">
        <f>LN(IF(H$131&lt;H$99,IF(LOG(H$130)&lt;-0.71,14.1,IF(LOG(H$130)&lt;0.37,10^(1.39+0.34*LOG(H$130)),10^(1.66-0.38*LOG(H$130))))*H103^0.333,1))</f>
        <v>0</v>
      </c>
      <c r="I135" s="83"/>
      <c r="J135" s="3000">
        <f>LN(IF(J$131&lt;J$99,IF(LOG(J$130)&lt;-0.71,14.1,IF(LOG(J$130)&lt;0.37,10^(1.39+0.34*LOG(J$130)),10^(1.66-0.38*LOG(J$130))))*J103^0.333,1))</f>
        <v>0</v>
      </c>
      <c r="K135" s="83"/>
      <c r="L135" s="3000">
        <f>LN(IF(L$131&lt;L$99,IF(LOG(L$130)&lt;-0.71,14.1,IF(LOG(L$130)&lt;0.37,10^(1.39+0.34*LOG(L$130)),10^(1.66-0.38*LOG(L$130))))*L103^0.333,1))</f>
        <v>0</v>
      </c>
      <c r="M135" s="83"/>
      <c r="N135" s="3000">
        <f>LN(IF(N$131&lt;N$99,IF(LOG(N$130)&lt;-0.71,14.1,IF(LOG(N$130)&lt;0.37,10^(1.39+0.34*LOG(N$130)),10^(1.66-0.38*LOG(N$130))))*N103^0.333,1))</f>
        <v>0</v>
      </c>
      <c r="O135" s="83"/>
      <c r="P135" s="3000">
        <f>LN(IF(P$131&lt;P$99,IF(LOG(P$130)&lt;-0.71,14.1,IF(LOG(P$130)&lt;0.37,10^(1.39+0.34*LOG(P$130)),10^(1.66-0.38*LOG(P$130))))*P103^0.333,1))</f>
        <v>0</v>
      </c>
      <c r="Q135" s="83"/>
      <c r="R135" s="3000">
        <f>LN(IF(R$131&lt;R$99,IF(LOG(R$130)&lt;-0.71,14.1,IF(LOG(R$130)&lt;0.37,10^(1.39+0.34*LOG(R$130)),10^(1.66-0.38*LOG(R$130))))*R103^0.333,1))</f>
        <v>0</v>
      </c>
      <c r="S135" s="83"/>
      <c r="T135" s="3000">
        <f>LN(IF(T$131&lt;T$99,IF(LOG(T$130)&lt;-0.71,14.1,IF(LOG(T$130)&lt;0.37,10^(1.39+0.34*LOG(T$130)),10^(1.66-0.38*LOG(T$130))))*T103^0.333,1))</f>
        <v>0</v>
      </c>
      <c r="U135" s="83"/>
      <c r="V135" s="3000">
        <f>LN(IF(V$131&lt;V$99,IF(LOG(V$130)&lt;-0.71,14.1,IF(LOG(V$130)&lt;0.37,10^(1.39+0.34*LOG(V$130)),10^(1.66-0.38*LOG(V$130))))*V103^0.333,1))</f>
        <v>0</v>
      </c>
      <c r="W135" s="83"/>
      <c r="X135" s="3000">
        <f>LN(IF(X$131&lt;X$99,IF(LOG(X$130)&lt;-0.71,14.1,IF(LOG(X$130)&lt;0.37,10^(1.39+0.34*LOG(X$130)),10^(1.66-0.38*LOG(X$130))))*X103^0.333,1))</f>
        <v>0</v>
      </c>
      <c r="Y135" s="83"/>
      <c r="Z135" s="2987"/>
      <c r="AA135" s="83"/>
      <c r="AB135" s="81"/>
      <c r="AC135" s="512" t="s">
        <v>5104</v>
      </c>
      <c r="AD135" s="81"/>
      <c r="AE135" s="2981">
        <f>IF(AE$89&gt;0,LN(IF(AE$128&gt;=500,AE$99*AE$126*500^AE$127,NBPlume_A*AE$89/(AE$98*Wind)/(500-AE$128+AE$129)^(1/NBPlume_B))),0)</f>
        <v>0</v>
      </c>
      <c r="AF135" s="81"/>
      <c r="AG135" s="2981">
        <f>IF(AG$89&gt;0,LN(IF(AG$128&gt;=500,AG$99*AG$126*500^AG$127,NBPlume_A*AG$89/(AG$98*Wind)/(500-AG$128+AG$129)^(1/NBPlume_B))),0)</f>
        <v>0</v>
      </c>
      <c r="AH135" s="81"/>
      <c r="AI135" s="2981">
        <f>IF(AI$89&gt;0,LN(IF(AI$128&gt;=500,AI$99*AI$126*500^AI$127,NBPlume_A*AI$89/(AI$98*Wind)/(500-AI$128+AI$129)^(1/NBPlume_B))),0)</f>
        <v>0</v>
      </c>
      <c r="AJ135" s="81"/>
      <c r="AK135" s="2981">
        <f>IF(AK$89&gt;0,LN(IF(AK$128&gt;=500,AK$99*AK$126*500^AK$127,NBPlume_A*AK$89/(AK$98*Wind)/(500-AK$128+AK$129)^(1/NBPlume_B))),0)</f>
        <v>0</v>
      </c>
      <c r="AL135" s="81"/>
      <c r="AM135" s="2981">
        <f>IF(AM$89&gt;0,LN(IF(AM$128&gt;=500,AM$99*AM$126*500^AM$127,NBPlume_A*AM$89/(AM$98*Wind)/(500-AM$128+AM$129)^(1/NBPlume_B))),0)</f>
        <v>0</v>
      </c>
      <c r="AN135" s="81"/>
      <c r="AO135" s="2981">
        <f>IF(AO$89&gt;0,LN(IF(AO$128&gt;=500,AO$99*AO$126*500^AO$127,NBPlume_A*AO$89/(AO$98*Wind)/(500-AO$128+AO$129)^(1/NBPlume_B))),0)</f>
        <v>0</v>
      </c>
      <c r="AP135" s="81"/>
      <c r="AQ135" s="85"/>
      <c r="AR135" s="81"/>
      <c r="AS135" s="83"/>
      <c r="AT135" s="512" t="s">
        <v>5122</v>
      </c>
      <c r="AU135" s="83"/>
      <c r="AV135" s="3000" t="e">
        <f>LN(IF(AV$128&lt;AV$83,IF(LOG(AV$127)&lt;-0.1,118.9,10^(2.05-0.27*LOG(AV$127)))*AV87^0.333,1))</f>
        <v>#DIV/0!</v>
      </c>
      <c r="AW135" s="269"/>
      <c r="AX135" s="3000" t="e">
        <f>LN(IF(AX$128&lt;AX$83,IF(LOG(AX$127)&lt;-0.1,118.9,10^(2.05-0.27*LOG(AX$127)))*AX87^0.333,1))</f>
        <v>#DIV/0!</v>
      </c>
      <c r="AY135" s="269"/>
      <c r="AZ135" s="3000" t="e">
        <f>LN(IF(AZ$128&lt;AZ$83,IF(LOG(AZ$127)&lt;-0.1,118.9,10^(2.05-0.27*LOG(AZ$127)))*AZ87^0.333,1))</f>
        <v>#DIV/0!</v>
      </c>
      <c r="BA135" s="269"/>
      <c r="BB135" s="3000" t="e">
        <f>LN(IF(BB$128&lt;BB$83,IF(LOG(BB$127)&lt;-0.1,118.9,10^(2.05-0.27*LOG(BB$127)))*BB87^0.333,1))</f>
        <v>#DIV/0!</v>
      </c>
      <c r="BC135" s="269"/>
      <c r="BD135" s="3000" t="e">
        <f>LN(IF(BD$128&lt;BD$83,IF(LOG(BD$127)&lt;-0.1,118.9,10^(2.05-0.27*LOG(BD$127)))*BD87^0.333,1))</f>
        <v>#DIV/0!</v>
      </c>
      <c r="BE135" s="269"/>
      <c r="BF135" s="3000" t="e">
        <f>LN(IF(BF$128&lt;BF$83,IF(LOG(BF$127)&lt;-0.1,118.9,10^(2.05-0.27*LOG(BF$127)))*BF87^0.333,1))</f>
        <v>#DIV/0!</v>
      </c>
      <c r="BG135" s="269"/>
      <c r="BH135" s="3000" t="e">
        <f>LN(IF(BH$128&lt;BH$83,IF(LOG(BH$127)&lt;-0.1,118.9,10^(2.05-0.27*LOG(BH$127)))*BH87^0.333,1))</f>
        <v>#DIV/0!</v>
      </c>
      <c r="BI135" s="269"/>
      <c r="BJ135" s="3000" t="e">
        <f>LN(IF(BJ$128&lt;BJ$83,IF(LOG(BJ$127)&lt;-0.1,118.9,10^(2.05-0.27*LOG(BJ$127)))*BJ87^0.333,1))</f>
        <v>#DIV/0!</v>
      </c>
      <c r="BK135" s="269"/>
      <c r="BL135" s="3000" t="e">
        <f>LN(IF(BL$128&lt;BL$83,IF(LOG(BL$127)&lt;-0.1,118.9,10^(2.05-0.27*LOG(BL$127)))*BL87^0.333,1))</f>
        <v>#DIV/0!</v>
      </c>
      <c r="BM135" s="269"/>
      <c r="BN135" s="3000" t="e">
        <f>LN(IF(BN$128&lt;BN$83,IF(LOG(BN$127)&lt;-0.1,118.9,10^(2.05-0.27*LOG(BN$127)))*BN87^0.333,1))</f>
        <v>#DIV/0!</v>
      </c>
      <c r="BO135" s="269"/>
      <c r="BP135" s="1835"/>
      <c r="BQ135" s="83"/>
      <c r="BR135" s="81"/>
      <c r="BS135" s="512" t="s">
        <v>5118</v>
      </c>
      <c r="BT135" s="81"/>
      <c r="BU135" s="3000">
        <f>LN(IF(BU$131&lt;BU$99,IF(LOG(BU$130)&lt;-0.71,14.1,IF(LOG(BU$130)&lt;0.37,10^(1.39+0.34*LOG(BU$130)),10^(1.66-0.38*LOG(BU$130))))*BU103^0.333,1))</f>
        <v>0</v>
      </c>
      <c r="BV135" s="81"/>
      <c r="BW135" s="3000">
        <f>LN(IF(BW$131&lt;BW$99,IF(LOG(BW$130)&lt;-0.71,14.1,IF(LOG(BW$130)&lt;0.37,10^(1.39+0.34*LOG(BW$130)),10^(1.66-0.38*LOG(BW$130))))*BW103^0.333,1))</f>
        <v>0</v>
      </c>
      <c r="BX135" s="81"/>
      <c r="BY135" s="3000">
        <f>LN(IF(BY$131&lt;BY$99,IF(LOG(BY$130)&lt;-0.71,14.1,IF(LOG(BY$130)&lt;0.37,10^(1.39+0.34*LOG(BY$130)),10^(1.66-0.38*LOG(BY$130))))*BY103^0.333,1))</f>
        <v>0</v>
      </c>
      <c r="BZ135" s="81"/>
      <c r="CA135" s="3000">
        <f>LN(IF(CA$131&lt;CA$99,IF(LOG(CA$130)&lt;-0.71,14.1,IF(LOG(CA$130)&lt;0.37,10^(1.39+0.34*LOG(CA$130)),10^(1.66-0.38*LOG(CA$130))))*CA103^0.333,1))</f>
        <v>0</v>
      </c>
      <c r="CB135" s="81"/>
      <c r="CC135" s="3000">
        <f>LN(IF(CC$131&lt;CC$99,IF(LOG(CC$130)&lt;-0.71,14.1,IF(LOG(CC$130)&lt;0.37,10^(1.39+0.34*LOG(CC$130)),10^(1.66-0.38*LOG(CC$130))))*CC103^0.333,1))</f>
        <v>0</v>
      </c>
      <c r="CD135" s="81"/>
      <c r="CE135" s="23"/>
      <c r="CF135" s="81"/>
      <c r="CG135" s="2"/>
      <c r="CH135" s="848" t="s">
        <v>2208</v>
      </c>
      <c r="CI135" s="83"/>
      <c r="CJ135" s="3006">
        <f>IF(OR(CJ13="",CJ16="",CJ20=0),1,IF(Location="Outdoors",IF(CJ81="Instantaneous",MAX(3.29*(CJ16/(CJ20*CJ134))^0.37/(Wind*3600),IF(CJ13&lt;&gt;"",(CJ16/Max_Duration)/CJ13,0)),IF(CJ16/CJ13&gt;Max_Duration,1,(CJ16/Max_Duration)/CJ13)),1))</f>
        <v>1</v>
      </c>
      <c r="CK135" s="83"/>
      <c r="CL135" s="23"/>
      <c r="CM135" s="83"/>
    </row>
    <row r="136" spans="1:91" ht="15.75" customHeight="1" thickBot="1" x14ac:dyDescent="0.3">
      <c r="A136" s="2"/>
      <c r="B136" s="512" t="s">
        <v>5119</v>
      </c>
      <c r="C136" s="83"/>
      <c r="D136" s="3000">
        <f>LN(IF(D$131&lt;D$99,IF(LOG(D$130)&lt;-0.52,30.2,IF(LOG(D$130)&lt;0.24,10^(1.62+0.26*LOG(D$130)),10^(1.75-0.3*LOG(D$130))))*D103^0.333,1))</f>
        <v>0</v>
      </c>
      <c r="E136" s="83"/>
      <c r="F136" s="3000">
        <f>LN(IF(F$131&lt;F$99,IF(LOG(F$130)&lt;-0.52,30.2,IF(LOG(F$130)&lt;0.24,10^(1.62+0.26*LOG(F$130)),10^(1.75-0.3*LOG(F$130))))*F103^0.333,1))</f>
        <v>0</v>
      </c>
      <c r="G136" s="83"/>
      <c r="H136" s="3000">
        <f>LN(IF(H$131&lt;H$99,IF(LOG(H$130)&lt;-0.52,30.2,IF(LOG(H$130)&lt;0.24,10^(1.62+0.26*LOG(H$130)),10^(1.75-0.3*LOG(H$130))))*H103^0.333,1))</f>
        <v>0</v>
      </c>
      <c r="I136" s="83"/>
      <c r="J136" s="3000">
        <f>LN(IF(J$131&lt;J$99,IF(LOG(J$130)&lt;-0.52,30.2,IF(LOG(J$130)&lt;0.24,10^(1.62+0.26*LOG(J$130)),10^(1.75-0.3*LOG(J$130))))*J103^0.333,1))</f>
        <v>0</v>
      </c>
      <c r="K136" s="83"/>
      <c r="L136" s="3000">
        <f>LN(IF(L$131&lt;L$99,IF(LOG(L$130)&lt;-0.52,30.2,IF(LOG(L$130)&lt;0.24,10^(1.62+0.26*LOG(L$130)),10^(1.75-0.3*LOG(L$130))))*L103^0.333,1))</f>
        <v>0</v>
      </c>
      <c r="M136" s="83"/>
      <c r="N136" s="3000">
        <f>LN(IF(N$131&lt;N$99,IF(LOG(N$130)&lt;-0.52,30.2,IF(LOG(N$130)&lt;0.24,10^(1.62+0.26*LOG(N$130)),10^(1.75-0.3*LOG(N$130))))*N103^0.333,1))</f>
        <v>0</v>
      </c>
      <c r="O136" s="83"/>
      <c r="P136" s="3000">
        <f>LN(IF(P$131&lt;P$99,IF(LOG(P$130)&lt;-0.52,30.2,IF(LOG(P$130)&lt;0.24,10^(1.62+0.26*LOG(P$130)),10^(1.75-0.3*LOG(P$130))))*P103^0.333,1))</f>
        <v>0</v>
      </c>
      <c r="Q136" s="83"/>
      <c r="R136" s="3000">
        <f>LN(IF(R$131&lt;R$99,IF(LOG(R$130)&lt;-0.52,30.2,IF(LOG(R$130)&lt;0.24,10^(1.62+0.26*LOG(R$130)),10^(1.75-0.3*LOG(R$130))))*R103^0.333,1))</f>
        <v>0</v>
      </c>
      <c r="S136" s="83"/>
      <c r="T136" s="3000">
        <f>LN(IF(T$131&lt;T$99,IF(LOG(T$130)&lt;-0.52,30.2,IF(LOG(T$130)&lt;0.24,10^(1.62+0.26*LOG(T$130)),10^(1.75-0.3*LOG(T$130))))*T103^0.333,1))</f>
        <v>0</v>
      </c>
      <c r="U136" s="83"/>
      <c r="V136" s="3000">
        <f>LN(IF(V$131&lt;V$99,IF(LOG(V$130)&lt;-0.52,30.2,IF(LOG(V$130)&lt;0.24,10^(1.62+0.26*LOG(V$130)),10^(1.75-0.3*LOG(V$130))))*V103^0.333,1))</f>
        <v>0</v>
      </c>
      <c r="W136" s="83"/>
      <c r="X136" s="3000">
        <f>LN(IF(X$131&lt;X$99,IF(LOG(X$130)&lt;-0.52,30.2,IF(LOG(X$130)&lt;0.24,10^(1.62+0.26*LOG(X$130)),10^(1.75-0.3*LOG(X$130))))*X103^0.333,1))</f>
        <v>0</v>
      </c>
      <c r="Y136" s="83"/>
      <c r="Z136" s="2987"/>
      <c r="AA136" s="83"/>
      <c r="AB136" s="81"/>
      <c r="AC136" s="512" t="s">
        <v>5105</v>
      </c>
      <c r="AD136" s="81"/>
      <c r="AE136" s="2981">
        <f>IF(AE$89&gt;0,LN(IF(AE$128&gt;=1000,AE$99*AE$126*1000^AE$127,NBPlume_A*AE$89/(AE$98*Wind)/(1000-AE$128+AE$129)^(1/NBPlume_B))),0)</f>
        <v>0</v>
      </c>
      <c r="AF136" s="81"/>
      <c r="AG136" s="2981">
        <f>IF(AG$89&gt;0,LN(IF(AG$128&gt;=1000,AG$99*AG$126*1000^AG$127,NBPlume_A*AG$89/(AG$98*Wind)/(1000-AG$128+AG$129)^(1/NBPlume_B))),0)</f>
        <v>0</v>
      </c>
      <c r="AH136" s="81"/>
      <c r="AI136" s="2981">
        <f>IF(AI$89&gt;0,LN(IF(AI$128&gt;=1000,AI$99*AI$126*1000^AI$127,NBPlume_A*AI$89/(AI$98*Wind)/(1000-AI$128+AI$129)^(1/NBPlume_B))),0)</f>
        <v>0</v>
      </c>
      <c r="AJ136" s="81"/>
      <c r="AK136" s="2981">
        <f>IF(AK$89&gt;0,LN(IF(AK$128&gt;=1000,AK$99*AK$126*1000^AK$127,NBPlume_A*AK$89/(AK$98*Wind)/(1000-AK$128+AK$129)^(1/NBPlume_B))),0)</f>
        <v>0</v>
      </c>
      <c r="AL136" s="81"/>
      <c r="AM136" s="2981">
        <f>IF(AM$89&gt;0,LN(IF(AM$128&gt;=1000,AM$99*AM$126*1000^AM$127,NBPlume_A*AM$89/(AM$98*Wind)/(1000-AM$128+AM$129)^(1/NBPlume_B))),0)</f>
        <v>0</v>
      </c>
      <c r="AN136" s="81"/>
      <c r="AO136" s="2981">
        <f>IF(AO$89&gt;0,LN(IF(AO$128&gt;=1000,AO$99*AO$126*1000^AO$127,NBPlume_A*AO$89/(AO$98*Wind)/(1000-AO$128+AO$129)^(1/NBPlume_B))),0)</f>
        <v>0</v>
      </c>
      <c r="AP136" s="81"/>
      <c r="AQ136" s="85"/>
      <c r="AR136" s="81"/>
      <c r="AS136" s="83"/>
      <c r="AT136" s="2977" t="s">
        <v>5051</v>
      </c>
      <c r="AU136" s="83"/>
      <c r="AV136" s="1230" t="e">
        <f>EXP(INDEX(LINEST($CJ$277:$CJ$283,AV129:AV135),2))*((Ambient_Temp+273)/(AV9+273))*Roughness_A</f>
        <v>#VALUE!</v>
      </c>
      <c r="AW136" s="269"/>
      <c r="AX136" s="1230" t="e">
        <f>EXP(INDEX(LINEST($CJ$277:$CJ$283,AX129:AX135),2))*((Ambient_Temp+273)/(AX9+273))*Roughness_A</f>
        <v>#VALUE!</v>
      </c>
      <c r="AY136" s="269"/>
      <c r="AZ136" s="1230" t="e">
        <f>EXP(INDEX(LINEST($CJ$277:$CJ$283,AZ129:AZ135),2))*((Ambient_Temp+273)/(AZ9+273))*Roughness_A</f>
        <v>#VALUE!</v>
      </c>
      <c r="BA136" s="269"/>
      <c r="BB136" s="1230" t="e">
        <f>EXP(INDEX(LINEST($CJ$277:$CJ$283,BB129:BB135),2))*((Ambient_Temp+273)/(BB9+273))*Roughness_A</f>
        <v>#VALUE!</v>
      </c>
      <c r="BC136" s="269"/>
      <c r="BD136" s="1230" t="e">
        <f>EXP(INDEX(LINEST($CJ$277:$CJ$283,BD129:BD135),2))*((Ambient_Temp+273)/(BD9+273))*Roughness_A</f>
        <v>#VALUE!</v>
      </c>
      <c r="BE136" s="269"/>
      <c r="BF136" s="1230" t="e">
        <f>EXP(INDEX(LINEST($CJ$277:$CJ$283,BF129:BF135),2))*((Ambient_Temp+273)/(BF9+273))*Roughness_A</f>
        <v>#VALUE!</v>
      </c>
      <c r="BG136" s="269"/>
      <c r="BH136" s="1230" t="e">
        <f>EXP(INDEX(LINEST($CJ$277:$CJ$283,BH129:BH135),2))*((Ambient_Temp+273)/(BH9+273))*Roughness_A</f>
        <v>#VALUE!</v>
      </c>
      <c r="BI136" s="269"/>
      <c r="BJ136" s="1230" t="e">
        <f>EXP(INDEX(LINEST($CJ$277:$CJ$283,BJ129:BJ135),2))*((Ambient_Temp+273)/(BJ9+273))*Roughness_A</f>
        <v>#VALUE!</v>
      </c>
      <c r="BK136" s="269"/>
      <c r="BL136" s="1230" t="e">
        <f>EXP(INDEX(LINEST($CJ$277:$CJ$283,BL129:BL135),2))*((Ambient_Temp+273)/(BL9+273))*Roughness_A</f>
        <v>#VALUE!</v>
      </c>
      <c r="BM136" s="269"/>
      <c r="BN136" s="1230" t="e">
        <f>EXP(INDEX(LINEST($CJ$277:$CJ$283,BN129:BN135),2))*((Ambient_Temp+273)/(BN9+273))*Roughness_A</f>
        <v>#VALUE!</v>
      </c>
      <c r="BO136" s="269"/>
      <c r="BP136" s="1835"/>
      <c r="BQ136" s="83"/>
      <c r="BR136" s="81"/>
      <c r="BS136" s="512" t="s">
        <v>5119</v>
      </c>
      <c r="BT136" s="81"/>
      <c r="BU136" s="3000">
        <f>LN(IF(BU$131&lt;BU$99,IF(LOG(BU$130)&lt;-0.52,30.2,IF(LOG(BU$130)&lt;0.24,10^(1.62+0.26*LOG(BU$130)),10^(1.75-0.3*LOG(BU$130))))*BU103^0.333,1))</f>
        <v>0</v>
      </c>
      <c r="BV136" s="81"/>
      <c r="BW136" s="3000">
        <f>LN(IF(BW$131&lt;BW$99,IF(LOG(BW$130)&lt;-0.52,30.2,IF(LOG(BW$130)&lt;0.24,10^(1.62+0.26*LOG(BW$130)),10^(1.75-0.3*LOG(BW$130))))*BW103^0.333,1))</f>
        <v>0</v>
      </c>
      <c r="BX136" s="81"/>
      <c r="BY136" s="3000">
        <f>LN(IF(BY$131&lt;BY$99,IF(LOG(BY$130)&lt;-0.52,30.2,IF(LOG(BY$130)&lt;0.24,10^(1.62+0.26*LOG(BY$130)),10^(1.75-0.3*LOG(BY$130))))*BY103^0.333,1))</f>
        <v>0</v>
      </c>
      <c r="BZ136" s="81"/>
      <c r="CA136" s="3000">
        <f>LN(IF(CA$131&lt;CA$99,IF(LOG(CA$130)&lt;-0.52,30.2,IF(LOG(CA$130)&lt;0.24,10^(1.62+0.26*LOG(CA$130)),10^(1.75-0.3*LOG(CA$130))))*CA103^0.333,1))</f>
        <v>0</v>
      </c>
      <c r="CB136" s="81"/>
      <c r="CC136" s="3000">
        <f>LN(IF(CC$131&lt;CC$99,IF(LOG(CC$130)&lt;-0.52,30.2,IF(LOG(CC$130)&lt;0.24,10^(1.62+0.26*LOG(CC$130)),10^(1.75-0.3*LOG(CC$130))))*CC103^0.333,1))</f>
        <v>0</v>
      </c>
      <c r="CD136" s="81"/>
      <c r="CE136" s="23"/>
      <c r="CF136" s="81"/>
      <c r="CG136" s="2"/>
      <c r="CH136" s="848" t="s">
        <v>3703</v>
      </c>
      <c r="CI136" s="83"/>
      <c r="CJ136" s="2989">
        <f>IF(OR(CJ13="",CJ16="",CJ20=0),1,IF(Location="Outdoors",IF(CJ133="Instantaneous",MAX(3.29*(CJ16/(CJ20*CJ134))^0.37/(Wind_Night*3600),IF(CJ13&lt;&gt;"",(CJ16/Max_Duration)/CJ13,0)),IF(CJ16/CJ13&gt;Max_Duration,1,(CJ16/Max_Duration)/CJ13)),1))</f>
        <v>1</v>
      </c>
      <c r="CK136" s="83"/>
      <c r="CL136" s="23"/>
      <c r="CM136" s="83"/>
    </row>
    <row r="137" spans="1:91" ht="15" customHeight="1" x14ac:dyDescent="0.25">
      <c r="A137" s="2"/>
      <c r="B137" s="512" t="s">
        <v>5120</v>
      </c>
      <c r="C137" s="83"/>
      <c r="D137" s="3000">
        <f>LN(IF(D$131&lt;D$99,IF(LOG(D$130)&lt;0.27,67.6,10^(1.92-0.32*LOG(D$130)))*D103^0.333,1))</f>
        <v>0</v>
      </c>
      <c r="E137" s="83"/>
      <c r="F137" s="3000">
        <f>LN(IF(F$131&lt;F$99,IF(LOG(F$130)&lt;0.27,67.6,10^(1.92-0.32*LOG(F$130)))*F103^0.333,1))</f>
        <v>0</v>
      </c>
      <c r="G137" s="83"/>
      <c r="H137" s="3000">
        <f>LN(IF(H$131&lt;H$99,IF(LOG(H$130)&lt;0.27,67.6,10^(1.92-0.32*LOG(H$130)))*H103^0.333,1))</f>
        <v>0</v>
      </c>
      <c r="I137" s="83"/>
      <c r="J137" s="3000">
        <f>LN(IF(J$131&lt;J$99,IF(LOG(J$130)&lt;0.27,67.6,10^(1.92-0.32*LOG(J$130)))*J103^0.333,1))</f>
        <v>0</v>
      </c>
      <c r="K137" s="83"/>
      <c r="L137" s="3000">
        <f>LN(IF(L$131&lt;L$99,IF(LOG(L$130)&lt;0.27,67.6,10^(1.92-0.32*LOG(L$130)))*L103^0.333,1))</f>
        <v>0</v>
      </c>
      <c r="M137" s="83"/>
      <c r="N137" s="3000">
        <f>LN(IF(N$131&lt;N$99,IF(LOG(N$130)&lt;0.27,67.6,10^(1.92-0.32*LOG(N$130)))*N103^0.333,1))</f>
        <v>0</v>
      </c>
      <c r="O137" s="83"/>
      <c r="P137" s="3000">
        <f>LN(IF(P$131&lt;P$99,IF(LOG(P$130)&lt;0.27,67.6,10^(1.92-0.32*LOG(P$130)))*P103^0.333,1))</f>
        <v>0</v>
      </c>
      <c r="Q137" s="83"/>
      <c r="R137" s="3000">
        <f>LN(IF(R$131&lt;R$99,IF(LOG(R$130)&lt;0.27,67.6,10^(1.92-0.32*LOG(R$130)))*R103^0.333,1))</f>
        <v>0</v>
      </c>
      <c r="S137" s="83"/>
      <c r="T137" s="3000">
        <f>LN(IF(T$131&lt;T$99,IF(LOG(T$130)&lt;0.27,67.6,10^(1.92-0.32*LOG(T$130)))*T103^0.333,1))</f>
        <v>0</v>
      </c>
      <c r="U137" s="83"/>
      <c r="V137" s="3000">
        <f>LN(IF(V$131&lt;V$99,IF(LOG(V$130)&lt;0.27,67.6,10^(1.92-0.32*LOG(V$130)))*V103^0.333,1))</f>
        <v>0</v>
      </c>
      <c r="W137" s="83"/>
      <c r="X137" s="3000">
        <f>LN(IF(X$131&lt;X$99,IF(LOG(X$130)&lt;0.27,67.6,10^(1.92-0.32*LOG(X$130)))*X103^0.333,1))</f>
        <v>0</v>
      </c>
      <c r="Y137" s="83"/>
      <c r="Z137" s="2987"/>
      <c r="AA137" s="83"/>
      <c r="AB137" s="81"/>
      <c r="AC137" s="512" t="s">
        <v>5106</v>
      </c>
      <c r="AD137" s="81"/>
      <c r="AE137" s="2981">
        <f>IF(AE$89&gt;0,LN(IF(AE$128&gt;=2000,AE$99*AE$126*2000^AE$127,NBPlume_A*AE$89/(AE$98*Wind)/(2000-AE$128+AE$129)^(1/NBPlume_B))),0)</f>
        <v>0</v>
      </c>
      <c r="AF137" s="81"/>
      <c r="AG137" s="2981">
        <f>IF(AG$89&gt;0,LN(IF(AG$128&gt;=2000,AG$99*AG$126*2000^AG$127,NBPlume_A*AG$89/(AG$98*Wind)/(2000-AG$128+AG$129)^(1/NBPlume_B))),0)</f>
        <v>0</v>
      </c>
      <c r="AH137" s="81"/>
      <c r="AI137" s="2981">
        <f>IF(AI$89&gt;0,LN(IF(AI$128&gt;=2000,AI$99*AI$126*2000^AI$127,NBPlume_A*AI$89/(AI$98*Wind)/(2000-AI$128+AI$129)^(1/NBPlume_B))),0)</f>
        <v>0</v>
      </c>
      <c r="AJ137" s="81"/>
      <c r="AK137" s="2981">
        <f>IF(AK$89&gt;0,LN(IF(AK$128&gt;=2000,AK$99*AK$126*2000^AK$127,NBPlume_A*AK$89/(AK$98*Wind)/(2000-AK$128+AK$129)^(1/NBPlume_B))),0)</f>
        <v>0</v>
      </c>
      <c r="AL137" s="81"/>
      <c r="AM137" s="2981">
        <f>IF(AM$89&gt;0,LN(IF(AM$128&gt;=2000,AM$99*AM$126*2000^AM$127,NBPlume_A*AM$89/(AM$98*Wind)/(2000-AM$128+AM$129)^(1/NBPlume_B))),0)</f>
        <v>0</v>
      </c>
      <c r="AN137" s="81"/>
      <c r="AO137" s="2981">
        <f>IF(AO$89&gt;0,LN(IF(AO$128&gt;=2000,AO$99*AO$126*2000^AO$127,NBPlume_A*AO$89/(AO$98*Wind)/(2000-AO$128+AO$129)^(1/NBPlume_B))),0)</f>
        <v>0</v>
      </c>
      <c r="AP137" s="81"/>
      <c r="AQ137" s="85"/>
      <c r="AR137" s="81"/>
      <c r="AS137" s="83"/>
      <c r="AT137" s="2977" t="s">
        <v>5052</v>
      </c>
      <c r="AU137" s="83"/>
      <c r="AV137" s="1230" t="e">
        <f>INDEX(LINEST($CJ$277:$CJ$283,AV129:AV135),1)+Roughness_B</f>
        <v>#VALUE!</v>
      </c>
      <c r="AW137" s="269"/>
      <c r="AX137" s="1230" t="e">
        <f>INDEX(LINEST($CJ$277:$CJ$283,AX129:AX135),1)+Roughness_B</f>
        <v>#VALUE!</v>
      </c>
      <c r="AY137" s="269"/>
      <c r="AZ137" s="1230" t="e">
        <f>INDEX(LINEST($CJ$277:$CJ$283,AZ129:AZ135),1)+Roughness_B</f>
        <v>#VALUE!</v>
      </c>
      <c r="BA137" s="269"/>
      <c r="BB137" s="1230" t="e">
        <f>INDEX(LINEST($CJ$277:$CJ$283,BB129:BB135),1)+Roughness_B</f>
        <v>#VALUE!</v>
      </c>
      <c r="BC137" s="269"/>
      <c r="BD137" s="1230" t="e">
        <f>INDEX(LINEST($CJ$277:$CJ$283,BD129:BD135),1)+Roughness_B</f>
        <v>#VALUE!</v>
      </c>
      <c r="BE137" s="269"/>
      <c r="BF137" s="1230" t="e">
        <f>INDEX(LINEST($CJ$277:$CJ$283,BF129:BF135),1)+Roughness_B</f>
        <v>#VALUE!</v>
      </c>
      <c r="BG137" s="269"/>
      <c r="BH137" s="1230" t="e">
        <f>INDEX(LINEST($CJ$277:$CJ$283,BH129:BH135),1)+Roughness_B</f>
        <v>#VALUE!</v>
      </c>
      <c r="BI137" s="269"/>
      <c r="BJ137" s="1230" t="e">
        <f>INDEX(LINEST($CJ$277:$CJ$283,BJ129:BJ135),1)+Roughness_B</f>
        <v>#VALUE!</v>
      </c>
      <c r="BK137" s="269"/>
      <c r="BL137" s="1230" t="e">
        <f>INDEX(LINEST($CJ$277:$CJ$283,BL129:BL135),1)+Roughness_B</f>
        <v>#VALUE!</v>
      </c>
      <c r="BM137" s="269"/>
      <c r="BN137" s="1230" t="e">
        <f>INDEX(LINEST($CJ$277:$CJ$283,BN129:BN135),1)+Roughness_B</f>
        <v>#VALUE!</v>
      </c>
      <c r="BO137" s="269"/>
      <c r="BP137" s="1835"/>
      <c r="BQ137" s="83"/>
      <c r="BR137" s="81"/>
      <c r="BS137" s="512" t="s">
        <v>5120</v>
      </c>
      <c r="BT137" s="81"/>
      <c r="BU137" s="3000">
        <f>LN(IF(BU$131&lt;BU$99,IF(LOG(BU$130)&lt;0.27,67.6,10^(1.92-0.32*LOG(BU$130)))*BU103^0.333,1))</f>
        <v>0</v>
      </c>
      <c r="BV137" s="81"/>
      <c r="BW137" s="3000">
        <f>LN(IF(BW$131&lt;BW$99,IF(LOG(BW$130)&lt;0.27,67.6,10^(1.92-0.32*LOG(BW$130)))*BW103^0.333,1))</f>
        <v>0</v>
      </c>
      <c r="BX137" s="81"/>
      <c r="BY137" s="3000">
        <f>LN(IF(BY$131&lt;BY$99,IF(LOG(BY$130)&lt;0.27,67.6,10^(1.92-0.32*LOG(BY$130)))*BY103^0.333,1))</f>
        <v>0</v>
      </c>
      <c r="BZ137" s="81"/>
      <c r="CA137" s="3000">
        <f>LN(IF(CA$131&lt;CA$99,IF(LOG(CA$130)&lt;0.27,67.6,10^(1.92-0.32*LOG(CA$130)))*CA103^0.333,1))</f>
        <v>0</v>
      </c>
      <c r="CB137" s="81"/>
      <c r="CC137" s="3000">
        <f>LN(IF(CC$131&lt;CC$99,IF(LOG(CC$130)&lt;0.27,67.6,10^(1.92-0.32*LOG(CC$130)))*CC103^0.333,1))</f>
        <v>0</v>
      </c>
      <c r="CD137" s="81"/>
      <c r="CE137" s="23"/>
      <c r="CF137" s="81"/>
      <c r="CG137" s="2"/>
      <c r="CH137" s="92" t="s">
        <v>3809</v>
      </c>
      <c r="CI137" s="83"/>
      <c r="CJ137" s="109">
        <f>IF(AND(CJ24&lt;&gt;"",CJ$53&gt;0),IF(CJ23/CJ24=1,0,LN(0.01)-LN(0.02)/(1-(CJ23/CJ24)^(2*CJ$53))),0)</f>
        <v>0</v>
      </c>
      <c r="CK137" s="83"/>
      <c r="CL137" s="23"/>
      <c r="CM137" s="83"/>
    </row>
    <row r="138" spans="1:91" ht="15" customHeight="1" x14ac:dyDescent="0.25">
      <c r="A138" s="2"/>
      <c r="B138" s="512" t="s">
        <v>5122</v>
      </c>
      <c r="C138" s="83"/>
      <c r="D138" s="3000">
        <f>LN(IF(D$131&lt;D$99,IF(LOG(D$130)&lt;-0.1,118.9,10^(2.05-0.27*LOG(D$130)))*D103^0.333,1))</f>
        <v>0</v>
      </c>
      <c r="E138" s="83"/>
      <c r="F138" s="3000">
        <f>LN(IF(F$131&lt;F$99,IF(LOG(F$130)&lt;-0.1,118.9,10^(2.05-0.27*LOG(F$130)))*F103^0.333,1))</f>
        <v>0</v>
      </c>
      <c r="G138" s="83"/>
      <c r="H138" s="3000">
        <f>LN(IF(H$131&lt;H$99,IF(LOG(H$130)&lt;-0.1,118.9,10^(2.05-0.27*LOG(H$130)))*H103^0.333,1))</f>
        <v>0</v>
      </c>
      <c r="I138" s="83"/>
      <c r="J138" s="3000">
        <f>LN(IF(J$131&lt;J$99,IF(LOG(J$130)&lt;-0.1,118.9,10^(2.05-0.27*LOG(J$130)))*J103^0.333,1))</f>
        <v>0</v>
      </c>
      <c r="K138" s="83"/>
      <c r="L138" s="3000">
        <f>LN(IF(L$131&lt;L$99,IF(LOG(L$130)&lt;-0.1,118.9,10^(2.05-0.27*LOG(L$130)))*L103^0.333,1))</f>
        <v>0</v>
      </c>
      <c r="M138" s="83"/>
      <c r="N138" s="3000">
        <f>LN(IF(N$131&lt;N$99,IF(LOG(N$130)&lt;-0.1,118.9,10^(2.05-0.27*LOG(N$130)))*N103^0.333,1))</f>
        <v>0</v>
      </c>
      <c r="O138" s="83"/>
      <c r="P138" s="3000">
        <f>LN(IF(P$131&lt;P$99,IF(LOG(P$130)&lt;-0.1,118.9,10^(2.05-0.27*LOG(P$130)))*P103^0.333,1))</f>
        <v>0</v>
      </c>
      <c r="Q138" s="83"/>
      <c r="R138" s="3000">
        <f>LN(IF(R$131&lt;R$99,IF(LOG(R$130)&lt;-0.1,118.9,10^(2.05-0.27*LOG(R$130)))*R103^0.333,1))</f>
        <v>0</v>
      </c>
      <c r="S138" s="83"/>
      <c r="T138" s="3000">
        <f>LN(IF(T$131&lt;T$99,IF(LOG(T$130)&lt;-0.1,118.9,10^(2.05-0.27*LOG(T$130)))*T103^0.333,1))</f>
        <v>0</v>
      </c>
      <c r="U138" s="83"/>
      <c r="V138" s="3000">
        <f>LN(IF(V$131&lt;V$99,IF(LOG(V$130)&lt;-0.1,118.9,10^(2.05-0.27*LOG(V$130)))*V103^0.333,1))</f>
        <v>0</v>
      </c>
      <c r="W138" s="83"/>
      <c r="X138" s="3000">
        <f>LN(IF(X$131&lt;X$99,IF(LOG(X$130)&lt;-0.1,118.9,10^(2.05-0.27*LOG(X$130)))*X103^0.333,1))</f>
        <v>0</v>
      </c>
      <c r="Y138" s="83"/>
      <c r="Z138" s="2987"/>
      <c r="AA138" s="83"/>
      <c r="AB138" s="81"/>
      <c r="AC138" s="512" t="s">
        <v>5107</v>
      </c>
      <c r="AD138" s="81"/>
      <c r="AE138" s="2981">
        <f>IF(AE$89&gt;0,LN(IF(AE$128&gt;=5000,AE$99*AE$126*5000^AE$127,NBPlume_A*AE$89/(AE$98*Wind)/(5000-AE$128+AE$129)^(1/NBPlume_B))),0)</f>
        <v>0</v>
      </c>
      <c r="AF138" s="81"/>
      <c r="AG138" s="2981">
        <f>IF(AG$89&gt;0,LN(IF(AG$128&gt;=5000,AG$99*AG$126*5000^AG$127,NBPlume_A*AG$89/(AG$98*Wind)/(5000-AG$128+AG$129)^(1/NBPlume_B))),0)</f>
        <v>0</v>
      </c>
      <c r="AH138" s="81"/>
      <c r="AI138" s="2981">
        <f>IF(AI$89&gt;0,LN(IF(AI$128&gt;=5000,AI$99*AI$126*5000^AI$127,NBPlume_A*AI$89/(AI$98*Wind)/(5000-AI$128+AI$129)^(1/NBPlume_B))),0)</f>
        <v>0</v>
      </c>
      <c r="AJ138" s="81"/>
      <c r="AK138" s="2981">
        <f>IF(AK$89&gt;0,LN(IF(AK$128&gt;=5000,AK$99*AK$126*5000^AK$127,NBPlume_A*AK$89/(AK$98*Wind)/(5000-AK$128+AK$129)^(1/NBPlume_B))),0)</f>
        <v>0</v>
      </c>
      <c r="AL138" s="81"/>
      <c r="AM138" s="2981">
        <f>IF(AM$89&gt;0,LN(IF(AM$128&gt;=5000,AM$99*AM$126*5000^AM$127,NBPlume_A*AM$89/(AM$98*Wind)/(5000-AM$128+AM$129)^(1/NBPlume_B))),0)</f>
        <v>0</v>
      </c>
      <c r="AN138" s="81"/>
      <c r="AO138" s="2981">
        <f>IF(AO$89&gt;0,LN(IF(AO$128&gt;=5000,AO$99*AO$126*5000^AO$127,NBPlume_A*AO$89/(AO$98*Wind)/(5000-AO$128+AO$129)^(1/NBPlume_B))),0)</f>
        <v>0</v>
      </c>
      <c r="AP138" s="81"/>
      <c r="AQ138" s="85"/>
      <c r="AR138" s="81"/>
      <c r="AS138" s="83"/>
      <c r="AT138" s="1691" t="s">
        <v>5067</v>
      </c>
      <c r="AU138" s="83"/>
      <c r="AV138" s="2401" t="e">
        <f>IF(AV128&lt;AV$83,(AV136/(AV128/AV$83))^(-1/AV137),0)</f>
        <v>#DIV/0!</v>
      </c>
      <c r="AW138" s="269"/>
      <c r="AX138" s="2401" t="e">
        <f>IF(AX128&lt;AX$83,(AX136/(AX128/AX$83))^(-1/AX137),0)</f>
        <v>#DIV/0!</v>
      </c>
      <c r="AY138" s="269"/>
      <c r="AZ138" s="2401" t="e">
        <f>IF(AZ128&lt;AZ$83,(AZ136/(AZ128/AZ$83))^(-1/AZ137),0)</f>
        <v>#DIV/0!</v>
      </c>
      <c r="BA138" s="269"/>
      <c r="BB138" s="2401" t="e">
        <f>IF(BB128&lt;BB$83,(BB136/(BB128/BB$83))^(-1/BB137),0)</f>
        <v>#DIV/0!</v>
      </c>
      <c r="BC138" s="269"/>
      <c r="BD138" s="2401" t="e">
        <f>IF(BD128&lt;BD$83,(BD136/(BD128/BD$83))^(-1/BD137),0)</f>
        <v>#DIV/0!</v>
      </c>
      <c r="BE138" s="269"/>
      <c r="BF138" s="2401" t="e">
        <f>IF(BF128&lt;BF$83,(BF136/(BF128/BF$83))^(-1/BF137),0)</f>
        <v>#DIV/0!</v>
      </c>
      <c r="BG138" s="269"/>
      <c r="BH138" s="2401" t="e">
        <f>IF(BH128&lt;BH$83,(BH136/(BH128/BH$83))^(-1/BH137),0)</f>
        <v>#DIV/0!</v>
      </c>
      <c r="BI138" s="269"/>
      <c r="BJ138" s="2401" t="e">
        <f>IF(BJ128&lt;BJ$83,(BJ136/(BJ128/BJ$83))^(-1/BJ137),0)</f>
        <v>#DIV/0!</v>
      </c>
      <c r="BK138" s="269"/>
      <c r="BL138" s="2401" t="e">
        <f>IF(BL128&lt;BL$83,(BL136/(BL128/BL$83))^(-1/BL137),0)</f>
        <v>#DIV/0!</v>
      </c>
      <c r="BM138" s="269"/>
      <c r="BN138" s="2401" t="e">
        <f>IF(BN128&lt;BN$83,(BN136/(BN128/BN$83))^(-1/BN137),0)</f>
        <v>#DIV/0!</v>
      </c>
      <c r="BO138" s="269"/>
      <c r="BP138" s="1835"/>
      <c r="BQ138" s="83"/>
      <c r="BR138" s="81"/>
      <c r="BS138" s="512" t="s">
        <v>5122</v>
      </c>
      <c r="BT138" s="81"/>
      <c r="BU138" s="3000">
        <f>LN(IF(BU$131&lt;BU$99,IF(LOG(BU$130)&lt;-0.1,118.9,10^(2.05-0.27*LOG(BU$130)))*BU103^0.333,1))</f>
        <v>0</v>
      </c>
      <c r="BV138" s="81"/>
      <c r="BW138" s="3000">
        <f>LN(IF(BW$131&lt;BW$99,IF(LOG(BW$130)&lt;-0.1,118.9,10^(2.05-0.27*LOG(BW$130)))*BW103^0.333,1))</f>
        <v>0</v>
      </c>
      <c r="BX138" s="81"/>
      <c r="BY138" s="3000">
        <f>LN(IF(BY$131&lt;BY$99,IF(LOG(BY$130)&lt;-0.1,118.9,10^(2.05-0.27*LOG(BY$130)))*BY103^0.333,1))</f>
        <v>0</v>
      </c>
      <c r="BZ138" s="81"/>
      <c r="CA138" s="3000">
        <f>LN(IF(CA$131&lt;CA$99,IF(LOG(CA$130)&lt;-0.1,118.9,10^(2.05-0.27*LOG(CA$130)))*CA103^0.333,1))</f>
        <v>0</v>
      </c>
      <c r="CB138" s="81"/>
      <c r="CC138" s="3000">
        <f>LN(IF(CC$131&lt;CC$99,IF(LOG(CC$130)&lt;-0.1,118.9,10^(2.05-0.27*LOG(CC$130)))*CC103^0.333,1))</f>
        <v>0</v>
      </c>
      <c r="CD138" s="81"/>
      <c r="CE138" s="23"/>
      <c r="CF138" s="81"/>
      <c r="CG138" s="2"/>
      <c r="CH138" s="85" t="s">
        <v>3810</v>
      </c>
      <c r="CI138" s="83"/>
      <c r="CJ138" s="109">
        <f>IF(CJ23&lt;&gt;"",(LN(0.01)-CJ137)*CJ23^(2*CJ$53),0)</f>
        <v>0</v>
      </c>
      <c r="CK138" s="83"/>
      <c r="CL138" s="23"/>
      <c r="CM138" s="83"/>
    </row>
    <row r="139" spans="1:91" ht="15" customHeight="1" thickBot="1" x14ac:dyDescent="0.3">
      <c r="A139" s="2"/>
      <c r="B139" s="2977" t="s">
        <v>5051</v>
      </c>
      <c r="C139" s="83"/>
      <c r="D139" s="1230">
        <f>EXP(INDEX(LINEST($CJ$277:$CJ$283,D132:D138),2))*((Ambient_Temp+273)/(D9+273))*Roughness_A</f>
        <v>5.4578754578754546E-3</v>
      </c>
      <c r="E139" s="83"/>
      <c r="F139" s="1230">
        <f>EXP(INDEX(LINEST($CJ$277:$CJ$283,F132:F138),2))*((Ambient_Temp+273)/(F9+273))*Roughness_A</f>
        <v>5.4578754578754546E-3</v>
      </c>
      <c r="G139" s="83"/>
      <c r="H139" s="1230">
        <f>EXP(INDEX(LINEST($CJ$277:$CJ$283,H132:H138),2))*((Ambient_Temp+273)/(H9+273))*Roughness_A</f>
        <v>5.4578754578754546E-3</v>
      </c>
      <c r="I139" s="83"/>
      <c r="J139" s="1230">
        <f>EXP(INDEX(LINEST($CJ$277:$CJ$283,J132:J138),2))*((Ambient_Temp+273)/(J9+273))*Roughness_A</f>
        <v>5.4578754578754546E-3</v>
      </c>
      <c r="K139" s="83"/>
      <c r="L139" s="1230">
        <f>EXP(INDEX(LINEST($CJ$277:$CJ$283,L132:L138),2))*((Ambient_Temp+273)/(L9+273))*Roughness_A</f>
        <v>5.4578754578754546E-3</v>
      </c>
      <c r="M139" s="83"/>
      <c r="N139" s="1230">
        <f>EXP(INDEX(LINEST($CJ$277:$CJ$283,N132:N138),2))*((Ambient_Temp+273)/(N9+273))*Roughness_A</f>
        <v>5.4578754578754546E-3</v>
      </c>
      <c r="O139" s="83"/>
      <c r="P139" s="1230">
        <f>EXP(INDEX(LINEST($CJ$277:$CJ$283,P132:P138),2))*((Ambient_Temp+273)/(P9+273))*Roughness_A</f>
        <v>5.4578754578754546E-3</v>
      </c>
      <c r="Q139" s="83"/>
      <c r="R139" s="1230">
        <f>EXP(INDEX(LINEST($CJ$277:$CJ$283,R132:R138),2))*((Ambient_Temp+273)/(R9+273))*Roughness_A</f>
        <v>5.4578754578754546E-3</v>
      </c>
      <c r="S139" s="83"/>
      <c r="T139" s="1230">
        <f>EXP(INDEX(LINEST($CJ$277:$CJ$283,T132:T138),2))*((Ambient_Temp+273)/(T9+273))*Roughness_A</f>
        <v>5.4578754578754546E-3</v>
      </c>
      <c r="U139" s="83"/>
      <c r="V139" s="1230">
        <f>EXP(INDEX(LINEST($CJ$277:$CJ$283,V132:V138),2))*((Ambient_Temp+273)/(V9+273))*Roughness_A</f>
        <v>5.4578754578754546E-3</v>
      </c>
      <c r="W139" s="83"/>
      <c r="X139" s="1230">
        <f>EXP(INDEX(LINEST($CJ$277:$CJ$283,X132:X138),2))*((Ambient_Temp+273)/(X9+273))*Roughness_A</f>
        <v>5.4578754578754546E-3</v>
      </c>
      <c r="Y139" s="83"/>
      <c r="Z139" s="85" t="s">
        <v>1068</v>
      </c>
      <c r="AA139" s="83"/>
      <c r="AB139" s="81"/>
      <c r="AC139" s="615" t="s">
        <v>5108</v>
      </c>
      <c r="AD139" s="81"/>
      <c r="AE139" s="3001">
        <f>IF(AE$89&gt;0,LN(IF(AE$128&gt;=10000,AE$99*AE$126*10000^AE$127,NBPlume_A*AE$89/(AE$98*Wind)/(10000-AE$128+AE$129)^(1/NBPlume_B))),0)</f>
        <v>0</v>
      </c>
      <c r="AF139" s="81"/>
      <c r="AG139" s="3001">
        <f>IF(AG$89&gt;0,LN(IF(AG$128&gt;=10000,AG$99*AG$126*10000^AG$127,NBPlume_A*AG$89/(AG$98*Wind)/(10000-AG$128+AG$129)^(1/NBPlume_B))),0)</f>
        <v>0</v>
      </c>
      <c r="AH139" s="81"/>
      <c r="AI139" s="3001">
        <f>IF(AI$89&gt;0,LN(IF(AI$128&gt;=10000,AI$99*AI$126*10000^AI$127,NBPlume_A*AI$89/(AI$98*Wind)/(10000-AI$128+AI$129)^(1/NBPlume_B))),0)</f>
        <v>0</v>
      </c>
      <c r="AJ139" s="81"/>
      <c r="AK139" s="3001">
        <f>IF(AK$89&gt;0,LN(IF(AK$128&gt;=10000,AK$99*AK$126*10000^AK$127,NBPlume_A*AK$89/(AK$98*Wind)/(10000-AK$128+AK$129)^(1/NBPlume_B))),0)</f>
        <v>0</v>
      </c>
      <c r="AL139" s="81"/>
      <c r="AM139" s="3001">
        <f>IF(AM$89&gt;0,LN(IF(AM$128&gt;=10000,AM$99*AM$126*10000^AM$127,NBPlume_A*AM$89/(AM$98*Wind)/(10000-AM$128+AM$129)^(1/NBPlume_B))),0)</f>
        <v>0</v>
      </c>
      <c r="AN139" s="81"/>
      <c r="AO139" s="3001">
        <f>IF(AO$89&gt;0,LN(IF(AO$128&gt;=10000,AO$99*AO$126*10000^AO$127,NBPlume_A*AO$89/(AO$98*Wind)/(10000-AO$128+AO$129)^(1/NBPlume_B))),0)</f>
        <v>0</v>
      </c>
      <c r="AP139" s="81"/>
      <c r="AQ139" s="85"/>
      <c r="AR139" s="81"/>
      <c r="AS139" s="83"/>
      <c r="AT139" s="1691" t="s">
        <v>5071</v>
      </c>
      <c r="AU139" s="83"/>
      <c r="AV139" s="2985" t="e">
        <f>IF(AV138&gt;0,NBPuff_A*AV$67/(AV$82*AV128),0)^NBPuff_B</f>
        <v>#DIV/0!</v>
      </c>
      <c r="AW139" s="269"/>
      <c r="AX139" s="2985" t="e">
        <f>IF(AX138&gt;0,NBPuff_A*AX$67/(AX$82*AX128),0)^NBPuff_B</f>
        <v>#DIV/0!</v>
      </c>
      <c r="AY139" s="269"/>
      <c r="AZ139" s="2985" t="e">
        <f>IF(AZ138&gt;0,NBPuff_A*AZ$67/(AZ$82*AZ128),0)^NBPuff_B</f>
        <v>#DIV/0!</v>
      </c>
      <c r="BA139" s="269"/>
      <c r="BB139" s="2985" t="e">
        <f>IF(BB138&gt;0,NBPuff_A*BB$67/(BB$82*BB128),0)^NBPuff_B</f>
        <v>#DIV/0!</v>
      </c>
      <c r="BC139" s="269"/>
      <c r="BD139" s="2985" t="e">
        <f>IF(BD138&gt;0,NBPuff_A*BD$67/(BD$82*BD128),0)^NBPuff_B</f>
        <v>#DIV/0!</v>
      </c>
      <c r="BE139" s="269"/>
      <c r="BF139" s="2985" t="e">
        <f>IF(BF138&gt;0,NBPuff_A*BF$67/(BF$82*BF128),0)^NBPuff_B</f>
        <v>#DIV/0!</v>
      </c>
      <c r="BG139" s="269"/>
      <c r="BH139" s="2985" t="e">
        <f>IF(BH138&gt;0,NBPuff_A*BH$67/(BH$82*BH128),0)^NBPuff_B</f>
        <v>#DIV/0!</v>
      </c>
      <c r="BI139" s="269"/>
      <c r="BJ139" s="2985" t="e">
        <f>IF(BJ138&gt;0,NBPuff_A*BJ$67/(BJ$82*BJ128),0)^NBPuff_B</f>
        <v>#DIV/0!</v>
      </c>
      <c r="BK139" s="269"/>
      <c r="BL139" s="2985" t="e">
        <f>IF(BL138&gt;0,NBPuff_A*BL$67/(BL$82*BL128),0)^NBPuff_B</f>
        <v>#DIV/0!</v>
      </c>
      <c r="BM139" s="269"/>
      <c r="BN139" s="2985" t="e">
        <f>IF(BN138&gt;0,NBPuff_A*BN$67/(BN$82*BN128),0)^NBPuff_B</f>
        <v>#DIV/0!</v>
      </c>
      <c r="BO139" s="269"/>
      <c r="BP139" s="1835"/>
      <c r="BQ139" s="83"/>
      <c r="BR139" s="81"/>
      <c r="BS139" s="2977" t="s">
        <v>5051</v>
      </c>
      <c r="BT139" s="81"/>
      <c r="BU139" s="1230">
        <f>EXP(INDEX(LINEST($CJ$277:$CJ$283,BU132:BU138),2))*((Ambient_Temp+273)/(BU15+273))*Roughness_A</f>
        <v>5.4578754578754546E-3</v>
      </c>
      <c r="BV139" s="81"/>
      <c r="BW139" s="1230">
        <f>EXP(INDEX(LINEST($CJ$277:$CJ$283,BW132:BW138),2))*((Ambient_Temp+273)/(BW15+273))*Roughness_A</f>
        <v>5.4578754578754546E-3</v>
      </c>
      <c r="BX139" s="81"/>
      <c r="BY139" s="1230">
        <f>EXP(INDEX(LINEST($CJ$277:$CJ$283,BY132:BY138),2))*((Ambient_Temp+273)/(BY15+273))*Roughness_A</f>
        <v>5.4578754578754546E-3</v>
      </c>
      <c r="BZ139" s="81"/>
      <c r="CA139" s="1230">
        <f>EXP(INDEX(LINEST($CJ$277:$CJ$283,CA132:CA138),2))*((Ambient_Temp+273)/(CA15+273))*Roughness_A</f>
        <v>5.4578754578754546E-3</v>
      </c>
      <c r="CB139" s="81"/>
      <c r="CC139" s="1230">
        <f>EXP(INDEX(LINEST($CJ$277:$CJ$283,CC132:CC138),2))*((Ambient_Temp+273)/(CC15+273))*Roughness_A</f>
        <v>5.4578754578754546E-3</v>
      </c>
      <c r="CD139" s="81"/>
      <c r="CE139" s="23"/>
      <c r="CF139" s="81"/>
      <c r="CG139" s="2"/>
      <c r="CH139" s="85" t="s">
        <v>3808</v>
      </c>
      <c r="CI139" s="83"/>
      <c r="CJ139" s="109">
        <f>IF(CJ25&lt;&gt;"",(LN(0.01)-CJ137)*CJ25^(2*CJ$53),0)</f>
        <v>0</v>
      </c>
      <c r="CK139" s="83"/>
      <c r="CL139" s="23"/>
      <c r="CM139" s="83"/>
    </row>
    <row r="140" spans="1:91" ht="15" customHeight="1" x14ac:dyDescent="0.25">
      <c r="A140" s="2"/>
      <c r="B140" s="2977" t="s">
        <v>5052</v>
      </c>
      <c r="C140" s="83"/>
      <c r="D140" s="1230">
        <f>INDEX(LINEST($CJ$277:$CJ$283,D132:D138),1)+Roughness_B</f>
        <v>0</v>
      </c>
      <c r="E140" s="83"/>
      <c r="F140" s="1230">
        <f>INDEX(LINEST($CJ$277:$CJ$283,F132:F138),1)+Roughness_B</f>
        <v>0</v>
      </c>
      <c r="G140" s="83"/>
      <c r="H140" s="1230">
        <f>INDEX(LINEST($CJ$277:$CJ$283,H132:H138),1)+Roughness_B</f>
        <v>0</v>
      </c>
      <c r="I140" s="83"/>
      <c r="J140" s="1230">
        <f>INDEX(LINEST($CJ$277:$CJ$283,J132:J138),1)+Roughness_B</f>
        <v>0</v>
      </c>
      <c r="K140" s="83"/>
      <c r="L140" s="1230">
        <f>INDEX(LINEST($CJ$277:$CJ$283,L132:L138),1)+Roughness_B</f>
        <v>0</v>
      </c>
      <c r="M140" s="83"/>
      <c r="N140" s="1230">
        <f>INDEX(LINEST($CJ$277:$CJ$283,N132:N138),1)+Roughness_B</f>
        <v>0</v>
      </c>
      <c r="O140" s="83"/>
      <c r="P140" s="1230">
        <f>INDEX(LINEST($CJ$277:$CJ$283,P132:P138),1)+Roughness_B</f>
        <v>0</v>
      </c>
      <c r="Q140" s="83"/>
      <c r="R140" s="1230">
        <f>INDEX(LINEST($CJ$277:$CJ$283,R132:R138),1)+Roughness_B</f>
        <v>0</v>
      </c>
      <c r="S140" s="83"/>
      <c r="T140" s="1230">
        <f>INDEX(LINEST($CJ$277:$CJ$283,T132:T138),1)+Roughness_B</f>
        <v>0</v>
      </c>
      <c r="U140" s="83"/>
      <c r="V140" s="1230">
        <f>INDEX(LINEST($CJ$277:$CJ$283,V132:V138),1)+Roughness_B</f>
        <v>0</v>
      </c>
      <c r="W140" s="83"/>
      <c r="X140" s="1230">
        <f>INDEX(LINEST($CJ$277:$CJ$283,X132:X138),1)+Roughness_B</f>
        <v>0</v>
      </c>
      <c r="Y140" s="83"/>
      <c r="Z140" s="85" t="s">
        <v>1068</v>
      </c>
      <c r="AA140" s="83"/>
      <c r="AB140" s="81"/>
      <c r="AC140" s="2975" t="s">
        <v>5075</v>
      </c>
      <c r="AD140" s="81"/>
      <c r="AE140" s="2980">
        <f>IF(AE$89&gt;0,(EXP(INDEX(LINEST(AE130:AE139,$CJ$286:$CJ$295),2))*(AE$98*Wind/AE$89))^AE141,0)</f>
        <v>0</v>
      </c>
      <c r="AF140" s="81"/>
      <c r="AG140" s="2980">
        <f>IF(AG$89&gt;0,(EXP(INDEX(LINEST(AG130:AG139,$CJ$286:$CJ$295),2))*(AG$98*Wind/AG$89))^AG141,0)</f>
        <v>0</v>
      </c>
      <c r="AH140" s="81"/>
      <c r="AI140" s="2980">
        <f>IF(AI$89&gt;0,(EXP(INDEX(LINEST(AI130:AI139,$CJ$286:$CJ$295),2))*(AI$98*Wind/AI$89))^AI141,0)</f>
        <v>0</v>
      </c>
      <c r="AJ140" s="81"/>
      <c r="AK140" s="2980">
        <f>IF(AK$89&gt;0,(EXP(INDEX(LINEST(AK130:AK139,$CJ$286:$CJ$295),2))*(AK$98*Wind/AK$89))^AK141,0)</f>
        <v>0</v>
      </c>
      <c r="AL140" s="81"/>
      <c r="AM140" s="2980">
        <f>IF(AM$89&gt;0,(EXP(INDEX(LINEST(AM130:AM139,$CJ$286:$CJ$295),2))*(AM$98*Wind/AM$89))^AM141,0)</f>
        <v>0</v>
      </c>
      <c r="AN140" s="81"/>
      <c r="AO140" s="2980">
        <f>IF(AO$89&gt;0,(EXP(INDEX(LINEST(AO130:AO139,$CJ$286:$CJ$295),2))*(AO$98*Wind/AO$89))^AO141,0)</f>
        <v>0</v>
      </c>
      <c r="AP140" s="81"/>
      <c r="AQ140" s="85"/>
      <c r="AR140" s="81"/>
      <c r="AS140" s="83"/>
      <c r="AT140" s="512" t="s">
        <v>5099</v>
      </c>
      <c r="AU140" s="83"/>
      <c r="AV140" s="1289">
        <f>IF(AV$67&gt;0,LN(IF(AV$138&gt;=10,AV$83*AV$136*10^AV$137,NBPuff_A*AV$67/AV$82/(10-AV$138+AV$139)^(1/NBPuff_B))),0)</f>
        <v>0</v>
      </c>
      <c r="AW140" s="269"/>
      <c r="AX140" s="1289">
        <f>IF(AX$67&gt;0,LN(IF(AX$138&gt;=10,AX$83*AX$136*10^AX$137,NBPuff_A*AX$67/AX$82/(10-AX$138+AX$139)^(1/NBPuff_B))),0)</f>
        <v>0</v>
      </c>
      <c r="AY140" s="269"/>
      <c r="AZ140" s="1289">
        <f>IF(AZ$67&gt;0,LN(IF(AZ$138&gt;=10,AZ$83*AZ$136*10^AZ$137,NBPuff_A*AZ$67/AZ$82/(10-AZ$138+AZ$139)^(1/NBPuff_B))),0)</f>
        <v>0</v>
      </c>
      <c r="BA140" s="269"/>
      <c r="BB140" s="1289">
        <f>IF(BB$67&gt;0,LN(IF(BB$138&gt;=10,BB$83*BB$136*10^BB$137,NBPuff_A*BB$67/BB$82/(10-BB$138+BB$139)^(1/NBPuff_B))),0)</f>
        <v>0</v>
      </c>
      <c r="BC140" s="269"/>
      <c r="BD140" s="1289">
        <f>IF(BD$67&gt;0,LN(IF(BD$138&gt;=10,BD$83*BD$136*10^BD$137,NBPuff_A*BD$67/BD$82/(10-BD$138+BD$139)^(1/NBPuff_B))),0)</f>
        <v>0</v>
      </c>
      <c r="BE140" s="269"/>
      <c r="BF140" s="1289">
        <f>IF(BF$67&gt;0,LN(IF(BF$138&gt;=10,BF$83*BF$136*10^BF$137,NBPuff_A*BF$67/BF$82/(10-BF$138+BF$139)^(1/NBPuff_B))),0)</f>
        <v>0</v>
      </c>
      <c r="BG140" s="269"/>
      <c r="BH140" s="1289">
        <f>IF(BH$67&gt;0,LN(IF(BH$138&gt;=10,BH$83*BH$136*10^BH$137,NBPuff_A*BH$67/BH$82/(10-BH$138+BH$139)^(1/NBPuff_B))),0)</f>
        <v>0</v>
      </c>
      <c r="BI140" s="269"/>
      <c r="BJ140" s="1289">
        <f>IF(BJ$67&gt;0,LN(IF(BJ$138&gt;=10,BJ$83*BJ$136*10^BJ$137,NBPuff_A*BJ$67/BJ$82/(10-BJ$138+BJ$139)^(1/NBPuff_B))),0)</f>
        <v>0</v>
      </c>
      <c r="BK140" s="269"/>
      <c r="BL140" s="1289">
        <f>IF(BL$67&gt;0,LN(IF(BL$138&gt;=10,BL$83*BL$136*10^BL$137,NBPuff_A*BL$67/BL$82/(10-BL$138+BL$139)^(1/NBPuff_B))),0)</f>
        <v>0</v>
      </c>
      <c r="BM140" s="269"/>
      <c r="BN140" s="1289">
        <f>IF(BN$67&gt;0,LN(IF(BN$138&gt;=10,BN$83*BN$136*10^BN$137,NBPuff_A*BN$67/BN$82/(10-BN$138+BN$139)^(1/NBPuff_B))),0)</f>
        <v>0</v>
      </c>
      <c r="BO140" s="269"/>
      <c r="BP140" s="1835"/>
      <c r="BQ140" s="83"/>
      <c r="BR140" s="81"/>
      <c r="BS140" s="2977" t="s">
        <v>5052</v>
      </c>
      <c r="BT140" s="81"/>
      <c r="BU140" s="1230">
        <f>INDEX(LINEST($CJ$277:$CJ$283,BU132:BU138),1)+Roughness_B</f>
        <v>0</v>
      </c>
      <c r="BV140" s="81"/>
      <c r="BW140" s="1230">
        <f>INDEX(LINEST($CJ$277:$CJ$283,BW132:BW138),1)+Roughness_B</f>
        <v>0</v>
      </c>
      <c r="BX140" s="81"/>
      <c r="BY140" s="1230">
        <f>INDEX(LINEST($CJ$277:$CJ$283,BY132:BY138),1)+Roughness_B</f>
        <v>0</v>
      </c>
      <c r="BZ140" s="81"/>
      <c r="CA140" s="1230">
        <f>INDEX(LINEST($CJ$277:$CJ$283,CA132:CA138),1)+Roughness_B</f>
        <v>0</v>
      </c>
      <c r="CB140" s="81"/>
      <c r="CC140" s="1230">
        <f>INDEX(LINEST($CJ$277:$CJ$283,CC132:CC138),1)+Roughness_B</f>
        <v>0</v>
      </c>
      <c r="CD140" s="81"/>
      <c r="CE140" s="23"/>
      <c r="CF140" s="81"/>
      <c r="CG140" s="2"/>
      <c r="CH140" s="85" t="s">
        <v>3525</v>
      </c>
      <c r="CI140" s="83"/>
      <c r="CJ140" s="109">
        <f>IF(CJ137&gt;0,(-CJ139/CJ137)^(0.5/CJ$53),0)</f>
        <v>0</v>
      </c>
      <c r="CK140" s="83"/>
      <c r="CL140" s="23"/>
      <c r="CM140" s="83"/>
    </row>
    <row r="141" spans="1:91" ht="15" customHeight="1" x14ac:dyDescent="0.25">
      <c r="A141" s="2"/>
      <c r="B141" s="1691" t="s">
        <v>5067</v>
      </c>
      <c r="C141" s="83"/>
      <c r="D141" s="2401">
        <f>IF(D131&lt;D$99,(D139/(D131/D$99))^(-1/D140),0)</f>
        <v>0</v>
      </c>
      <c r="E141" s="83"/>
      <c r="F141" s="2401">
        <f>IF(F131&lt;F$99,(F139/(F131/F$99))^(-1/F140),0)</f>
        <v>0</v>
      </c>
      <c r="G141" s="83"/>
      <c r="H141" s="2401">
        <f>IF(H131&lt;H$99,(H139/(H131/H$99))^(-1/H140),0)</f>
        <v>0</v>
      </c>
      <c r="I141" s="83"/>
      <c r="J141" s="2401">
        <f>IF(J131&lt;J$99,(J139/(J131/J$99))^(-1/J140),0)</f>
        <v>0</v>
      </c>
      <c r="K141" s="83"/>
      <c r="L141" s="2401">
        <f>IF(L131&lt;L$99,(L139/(L131/L$99))^(-1/L140),0)</f>
        <v>0</v>
      </c>
      <c r="M141" s="83"/>
      <c r="N141" s="2401">
        <f>IF(N131&lt;N$99,(N139/(N131/N$99))^(-1/N140),0)</f>
        <v>0</v>
      </c>
      <c r="O141" s="83"/>
      <c r="P141" s="2401">
        <f>IF(P131&lt;P$99,(P139/(P131/P$99))^(-1/P140),0)</f>
        <v>0</v>
      </c>
      <c r="Q141" s="83"/>
      <c r="R141" s="2401">
        <f>IF(R131&lt;R$99,(R139/(R131/R$99))^(-1/R140),0)</f>
        <v>0</v>
      </c>
      <c r="S141" s="83"/>
      <c r="T141" s="2401">
        <f>IF(T131&lt;T$99,(T139/(T131/T$99))^(-1/T140),0)</f>
        <v>0</v>
      </c>
      <c r="U141" s="83"/>
      <c r="V141" s="2401">
        <f>IF(V131&lt;V$99,(V139/(V131/V$99))^(-1/V140),0)</f>
        <v>0</v>
      </c>
      <c r="W141" s="83"/>
      <c r="X141" s="2401">
        <f>IF(X131&lt;X$99,(X139/(X131/X$99))^(-1/X140),0)</f>
        <v>0</v>
      </c>
      <c r="Y141" s="83"/>
      <c r="Z141" s="85"/>
      <c r="AA141" s="83"/>
      <c r="AB141" s="81"/>
      <c r="AC141" s="2977" t="s">
        <v>5076</v>
      </c>
      <c r="AD141" s="81"/>
      <c r="AE141" s="2089">
        <f>IF(AE$89&gt;0,-1/INDEX(LINEST(AE130:AE139,$CJ$286:$CJ$295),1),0)</f>
        <v>0</v>
      </c>
      <c r="AF141" s="81"/>
      <c r="AG141" s="2089">
        <f>IF(AG$89&gt;0,-1/INDEX(LINEST(AG130:AG139,$CJ$286:$CJ$295),1),0)</f>
        <v>0</v>
      </c>
      <c r="AH141" s="81"/>
      <c r="AI141" s="2089">
        <f>IF(AI$89&gt;0,-1/INDEX(LINEST(AI130:AI139,$CJ$286:$CJ$295),1),0)</f>
        <v>0</v>
      </c>
      <c r="AJ141" s="81"/>
      <c r="AK141" s="2089">
        <f>IF(AK$89&gt;0,-1/INDEX(LINEST(AK130:AK139,$CJ$286:$CJ$295),1),0)</f>
        <v>0</v>
      </c>
      <c r="AL141" s="81"/>
      <c r="AM141" s="2089">
        <f>IF(AM$89&gt;0,-1/INDEX(LINEST(AM130:AM139,$CJ$286:$CJ$295),1),0)</f>
        <v>0</v>
      </c>
      <c r="AN141" s="81"/>
      <c r="AO141" s="2089">
        <f>IF(AO$89&gt;0,-1/INDEX(LINEST(AO130:AO139,$CJ$286:$CJ$295),1),0)</f>
        <v>0</v>
      </c>
      <c r="AP141" s="81"/>
      <c r="AQ141" s="85"/>
      <c r="AR141" s="81"/>
      <c r="AS141" s="83"/>
      <c r="AT141" s="512" t="s">
        <v>5100</v>
      </c>
      <c r="AU141" s="83"/>
      <c r="AV141" s="1289">
        <f>IF(AV$67&gt;0,LN(IF(AV$138&gt;=20,AV$83*AV$136*20^AV$137,NBPuff_A*AV$67/AV$82/(20-AV$138+AV$139)^(1/NBPuff_B))),0)</f>
        <v>0</v>
      </c>
      <c r="AW141" s="269"/>
      <c r="AX141" s="1289">
        <f>IF(AX$67&gt;0,LN(IF(AX$138&gt;=20,AX$83*AX$136*20^AX$137,NBPuff_A*AX$67/AX$82/(20-AX$138+AX$139)^(1/NBPuff_B))),0)</f>
        <v>0</v>
      </c>
      <c r="AY141" s="269"/>
      <c r="AZ141" s="1289">
        <f>IF(AZ$67&gt;0,LN(IF(AZ$138&gt;=20,AZ$83*AZ$136*20^AZ$137,NBPuff_A*AZ$67/AZ$82/(20-AZ$138+AZ$139)^(1/NBPuff_B))),0)</f>
        <v>0</v>
      </c>
      <c r="BA141" s="269"/>
      <c r="BB141" s="1289">
        <f>IF(BB$67&gt;0,LN(IF(BB$138&gt;=20,BB$83*BB$136*20^BB$137,NBPuff_A*BB$67/BB$82/(20-BB$138+BB$139)^(1/NBPuff_B))),0)</f>
        <v>0</v>
      </c>
      <c r="BC141" s="269"/>
      <c r="BD141" s="1289">
        <f>IF(BD$67&gt;0,LN(IF(BD$138&gt;=20,BD$83*BD$136*20^BD$137,NBPuff_A*BD$67/BD$82/(20-BD$138+BD$139)^(1/NBPuff_B))),0)</f>
        <v>0</v>
      </c>
      <c r="BE141" s="269"/>
      <c r="BF141" s="1289">
        <f>IF(BF$67&gt;0,LN(IF(BF$138&gt;=20,BF$83*BF$136*20^BF$137,NBPuff_A*BF$67/BF$82/(20-BF$138+BF$139)^(1/NBPuff_B))),0)</f>
        <v>0</v>
      </c>
      <c r="BG141" s="269"/>
      <c r="BH141" s="1289">
        <f>IF(BH$67&gt;0,LN(IF(BH$138&gt;=20,BH$83*BH$136*20^BH$137,NBPuff_A*BH$67/BH$82/(20-BH$138+BH$139)^(1/NBPuff_B))),0)</f>
        <v>0</v>
      </c>
      <c r="BI141" s="269"/>
      <c r="BJ141" s="1289">
        <f>IF(BJ$67&gt;0,LN(IF(BJ$138&gt;=20,BJ$83*BJ$136*20^BJ$137,NBPuff_A*BJ$67/BJ$82/(20-BJ$138+BJ$139)^(1/NBPuff_B))),0)</f>
        <v>0</v>
      </c>
      <c r="BK141" s="269"/>
      <c r="BL141" s="1289">
        <f>IF(BL$67&gt;0,LN(IF(BL$138&gt;=20,BL$83*BL$136*20^BL$137,NBPuff_A*BL$67/BL$82/(20-BL$138+BL$139)^(1/NBPuff_B))),0)</f>
        <v>0</v>
      </c>
      <c r="BM141" s="269"/>
      <c r="BN141" s="1289">
        <f>IF(BN$67&gt;0,LN(IF(BN$138&gt;=20,BN$83*BN$136*20^BN$137,NBPuff_A*BN$67/BN$82/(20-BN$138+BN$139)^(1/NBPuff_B))),0)</f>
        <v>0</v>
      </c>
      <c r="BO141" s="269"/>
      <c r="BP141" s="1835"/>
      <c r="BQ141" s="83"/>
      <c r="BR141" s="81"/>
      <c r="BS141" s="1691" t="s">
        <v>5067</v>
      </c>
      <c r="BT141" s="81"/>
      <c r="BU141" s="2401">
        <f>IF(BU131&lt;BU$99,(BU139/(BU131/BU$99))^(-1/BU140),0)</f>
        <v>0</v>
      </c>
      <c r="BV141" s="81"/>
      <c r="BW141" s="2401">
        <f>IF(BW131&lt;BW$99,(BW139/(BW131/BW$99))^(-1/BW140),0)</f>
        <v>0</v>
      </c>
      <c r="BX141" s="81"/>
      <c r="BY141" s="2401">
        <f>IF(BY131&lt;BY$99,(BY139/(BY131/BY$99))^(-1/BY140),0)</f>
        <v>0</v>
      </c>
      <c r="BZ141" s="81"/>
      <c r="CA141" s="2401">
        <f>IF(CA131&lt;CA$99,(CA139/(CA131/CA$99))^(-1/CA140),0)</f>
        <v>0</v>
      </c>
      <c r="CB141" s="81"/>
      <c r="CC141" s="2401">
        <f>IF(CC131&lt;CC$99,(CC139/(CC131/CC$99))^(-1/CC140),0)</f>
        <v>0</v>
      </c>
      <c r="CD141" s="81"/>
      <c r="CE141" s="23"/>
      <c r="CF141" s="81"/>
      <c r="CG141" s="2"/>
      <c r="CH141" s="85" t="s">
        <v>3513</v>
      </c>
      <c r="CI141" s="83"/>
      <c r="CJ141" s="109">
        <f>IF(AND(CJ24&lt;&gt;"",CJ$105&gt;0),IF(CJ23/CJ24=1,0,LN(0.01)-LN(0.02)/(1-(CJ23/CJ24)^(2*CJ$105))),0)</f>
        <v>0</v>
      </c>
      <c r="CK141" s="83"/>
      <c r="CL141" s="23"/>
      <c r="CM141" s="83"/>
    </row>
    <row r="142" spans="1:91" ht="15" customHeight="1" thickBot="1" x14ac:dyDescent="0.3">
      <c r="A142" s="2"/>
      <c r="B142" s="1691" t="s">
        <v>5071</v>
      </c>
      <c r="C142" s="83"/>
      <c r="D142" s="2985">
        <f>IF(D141&gt;0,NBPuff_A*D$83/(D$98*D131),0)^NBPuff_B</f>
        <v>0</v>
      </c>
      <c r="E142" s="83"/>
      <c r="F142" s="2985">
        <f>IF(F141&gt;0,NBPuff_A*F$83/(F$98*F131),0)^NBPuff_B</f>
        <v>0</v>
      </c>
      <c r="G142" s="83"/>
      <c r="H142" s="2985">
        <f>IF(H141&gt;0,NBPuff_A*H$83/(H$98*H131),0)^NBPuff_B</f>
        <v>0</v>
      </c>
      <c r="I142" s="83"/>
      <c r="J142" s="2985">
        <f>IF(J141&gt;0,NBPuff_A*J$83/(J$98*J131),0)^NBPuff_B</f>
        <v>0</v>
      </c>
      <c r="K142" s="83"/>
      <c r="L142" s="2985">
        <f>IF(L141&gt;0,NBPuff_A*L$83/(L$98*L131),0)^NBPuff_B</f>
        <v>0</v>
      </c>
      <c r="M142" s="83"/>
      <c r="N142" s="2985">
        <f>IF(N141&gt;0,NBPuff_A*N$83/(N$98*N131),0)^NBPuff_B</f>
        <v>0</v>
      </c>
      <c r="O142" s="83"/>
      <c r="P142" s="2985">
        <f>IF(P141&gt;0,NBPuff_A*P$83/(P$98*P131),0)^NBPuff_B</f>
        <v>0</v>
      </c>
      <c r="Q142" s="83"/>
      <c r="R142" s="2985">
        <f>IF(R141&gt;0,NBPuff_A*R$83/(R$98*R131),0)^NBPuff_B</f>
        <v>0</v>
      </c>
      <c r="S142" s="83"/>
      <c r="T142" s="2985">
        <f>IF(T141&gt;0,NBPuff_A*T$83/(T$98*T131),0)^NBPuff_B</f>
        <v>0</v>
      </c>
      <c r="U142" s="83"/>
      <c r="V142" s="2985">
        <f>IF(V141&gt;0,NBPuff_A*V$83/(V$98*V131),0)^NBPuff_B</f>
        <v>0</v>
      </c>
      <c r="W142" s="83"/>
      <c r="X142" s="2985">
        <f>IF(X141&gt;0,NBPuff_A*X$83/(X$98*X131),0)^NBPuff_B</f>
        <v>0</v>
      </c>
      <c r="Y142" s="83"/>
      <c r="Z142" s="2987" t="s">
        <v>3922</v>
      </c>
      <c r="AA142" s="83"/>
      <c r="AB142" s="81"/>
      <c r="AC142" s="2976" t="s">
        <v>5121</v>
      </c>
      <c r="AD142" s="81"/>
      <c r="AE142" s="2105">
        <f>IF(AND(AE89&gt;0,AE$100&gt;0),AE140*(AE$89/(Wind*AE$98*AE$100))^AE141,0)</f>
        <v>0</v>
      </c>
      <c r="AF142" s="81"/>
      <c r="AG142" s="2105">
        <f>IF(AND(AG89&gt;0,AG$100&gt;0),AG140*(AG$89/(Wind*AG$98*AG$100))^AG141,0)</f>
        <v>0</v>
      </c>
      <c r="AH142" s="81"/>
      <c r="AI142" s="2105">
        <f>IF(AND(AI89&gt;0,AI$100&gt;0),AI140*(AI$89/(Wind*AI$98*AI$100))^AI141,0)</f>
        <v>0</v>
      </c>
      <c r="AJ142" s="81"/>
      <c r="AK142" s="2105">
        <f>IF(AND(AK89&gt;0,AK$100&gt;0),AK140*(AK$89/(Wind*AK$98*AK$100))^AK141,0)</f>
        <v>0</v>
      </c>
      <c r="AL142" s="81"/>
      <c r="AM142" s="2105">
        <f>IF(AND(AM89&gt;0,AM$100&gt;0),AM140*(AM$89/(Wind*AM$98*AM$100))^AM141,0)</f>
        <v>0</v>
      </c>
      <c r="AN142" s="81"/>
      <c r="AO142" s="2105">
        <f>IF(AND(AO89&gt;0,AO$100&gt;0),AO140*(AO$89/(Wind*AO$98*AO$100))^AO141,0)</f>
        <v>0</v>
      </c>
      <c r="AP142" s="81"/>
      <c r="AQ142" s="3110"/>
      <c r="AR142" s="81"/>
      <c r="AS142" s="83"/>
      <c r="AT142" s="512" t="s">
        <v>5101</v>
      </c>
      <c r="AU142" s="83"/>
      <c r="AV142" s="1289">
        <f>IF(AV$67&gt;0,LN(IF(AV$138&gt;=50,AV$83*AV$136*50^AV$137,NBPuff_A*AV$67/AV$82/(50-AV$138+AV$139)^(1/NBPuff_B))),0)</f>
        <v>0</v>
      </c>
      <c r="AW142" s="269"/>
      <c r="AX142" s="1289">
        <f>IF(AX$67&gt;0,LN(IF(AX$138&gt;=50,AX$83*AX$136*50^AX$137,NBPuff_A*AX$67/AX$82/(50-AX$138+AX$139)^(1/NBPuff_B))),0)</f>
        <v>0</v>
      </c>
      <c r="AY142" s="269"/>
      <c r="AZ142" s="1289">
        <f>IF(AZ$67&gt;0,LN(IF(AZ$138&gt;=50,AZ$83*AZ$136*50^AZ$137,NBPuff_A*AZ$67/AZ$82/(50-AZ$138+AZ$139)^(1/NBPuff_B))),0)</f>
        <v>0</v>
      </c>
      <c r="BA142" s="269"/>
      <c r="BB142" s="1289">
        <f>IF(BB$67&gt;0,LN(IF(BB$138&gt;=50,BB$83*BB$136*50^BB$137,NBPuff_A*BB$67/BB$82/(50-BB$138+BB$139)^(1/NBPuff_B))),0)</f>
        <v>0</v>
      </c>
      <c r="BC142" s="269"/>
      <c r="BD142" s="1289">
        <f>IF(BD$67&gt;0,LN(IF(BD$138&gt;=50,BD$83*BD$136*50^BD$137,NBPuff_A*BD$67/BD$82/(50-BD$138+BD$139)^(1/NBPuff_B))),0)</f>
        <v>0</v>
      </c>
      <c r="BE142" s="269"/>
      <c r="BF142" s="1289">
        <f>IF(BF$67&gt;0,LN(IF(BF$138&gt;=50,BF$83*BF$136*50^BF$137,NBPuff_A*BF$67/BF$82/(50-BF$138+BF$139)^(1/NBPuff_B))),0)</f>
        <v>0</v>
      </c>
      <c r="BG142" s="269"/>
      <c r="BH142" s="1289">
        <f>IF(BH$67&gt;0,LN(IF(BH$138&gt;=50,BH$83*BH$136*50^BH$137,NBPuff_A*BH$67/BH$82/(50-BH$138+BH$139)^(1/NBPuff_B))),0)</f>
        <v>0</v>
      </c>
      <c r="BI142" s="269"/>
      <c r="BJ142" s="1289">
        <f>IF(BJ$67&gt;0,LN(IF(BJ$138&gt;=50,BJ$83*BJ$136*50^BJ$137,NBPuff_A*BJ$67/BJ$82/(50-BJ$138+BJ$139)^(1/NBPuff_B))),0)</f>
        <v>0</v>
      </c>
      <c r="BK142" s="269"/>
      <c r="BL142" s="1289">
        <f>IF(BL$67&gt;0,LN(IF(BL$138&gt;=50,BL$83*BL$136*50^BL$137,NBPuff_A*BL$67/BL$82/(50-BL$138+BL$139)^(1/NBPuff_B))),0)</f>
        <v>0</v>
      </c>
      <c r="BM142" s="269"/>
      <c r="BN142" s="1289">
        <f>IF(BN$67&gt;0,LN(IF(BN$138&gt;=50,BN$83*BN$136*50^BN$137,NBPuff_A*BN$67/BN$82/(50-BN$138+BN$139)^(1/NBPuff_B))),0)</f>
        <v>0</v>
      </c>
      <c r="BO142" s="269"/>
      <c r="BP142" s="1835"/>
      <c r="BQ142" s="83"/>
      <c r="BR142" s="81"/>
      <c r="BS142" s="1691" t="s">
        <v>5071</v>
      </c>
      <c r="BT142" s="81"/>
      <c r="BU142" s="2985">
        <f>IF(BU141&gt;0,NBPuff_A*BU$83/(BU$98*BU131),0)^NBPuff_B</f>
        <v>0</v>
      </c>
      <c r="BV142" s="81"/>
      <c r="BW142" s="2985">
        <f>IF(BW141&gt;0,NBPuff_A*BW$83/(BW$98*BW131),0)^NBPuff_B</f>
        <v>0</v>
      </c>
      <c r="BX142" s="81"/>
      <c r="BY142" s="2985">
        <f>IF(BY141&gt;0,NBPuff_A*BY$83/(BY$98*BY131),0)^NBPuff_B</f>
        <v>0</v>
      </c>
      <c r="BZ142" s="81"/>
      <c r="CA142" s="2985">
        <f>IF(CA141&gt;0,NBPuff_A*CA$83/(CA$98*CA131),0)^NBPuff_B</f>
        <v>0</v>
      </c>
      <c r="CB142" s="81"/>
      <c r="CC142" s="2985">
        <f>IF(CC141&gt;0,NBPuff_A*CC$83/(CC$98*CC131),0)^NBPuff_B</f>
        <v>0</v>
      </c>
      <c r="CD142" s="81"/>
      <c r="CE142" s="23"/>
      <c r="CF142" s="81"/>
      <c r="CG142" s="2"/>
      <c r="CH142" s="85" t="s">
        <v>3519</v>
      </c>
      <c r="CI142" s="83"/>
      <c r="CJ142" s="109">
        <f>IF(CJ25&lt;&gt;"",(LN(0.01)-CJ137)*CJ25^(2*CJ$105),0)</f>
        <v>0</v>
      </c>
      <c r="CK142" s="83"/>
      <c r="CL142" s="23"/>
      <c r="CM142" s="83"/>
    </row>
    <row r="143" spans="1:91" ht="15" customHeight="1" thickBot="1" x14ac:dyDescent="0.3">
      <c r="A143" s="2"/>
      <c r="B143" s="512" t="s">
        <v>5099</v>
      </c>
      <c r="C143" s="83"/>
      <c r="D143" s="1289">
        <f>IF(D$83&gt;0,LN(IF(D$141&gt;=10,D$99*D$139*10^D$140,NBPuff_A*D$83/D$98/(10-D$141+D$142)^(1/NBPuff_B))),0)</f>
        <v>0</v>
      </c>
      <c r="E143" s="83"/>
      <c r="F143" s="1289">
        <f>IF(F$83&gt;0,LN(IF(F$141&gt;=10,F$99*F$139*10^F$140,NBPuff_A*F$83/F$98/(10-F$141+F$142)^(1/NBPuff_B))),0)</f>
        <v>0</v>
      </c>
      <c r="G143" s="83"/>
      <c r="H143" s="1289">
        <f>IF(H$83&gt;0,LN(IF(H$141&gt;=10,H$99*H$139*10^H$140,NBPuff_A*H$83/H$98/(10-H$141+H$142)^(1/NBPuff_B))),0)</f>
        <v>0</v>
      </c>
      <c r="I143" s="83"/>
      <c r="J143" s="1289">
        <f>IF(J$83&gt;0,LN(IF(J$141&gt;=10,J$99*J$139*10^J$140,NBPuff_A*J$83/J$98/(10-J$141+J$142)^(1/NBPuff_B))),0)</f>
        <v>0</v>
      </c>
      <c r="K143" s="83"/>
      <c r="L143" s="1289">
        <f>IF(L$83&gt;0,LN(IF(L$141&gt;=10,L$99*L$139*10^L$140,NBPuff_A*L$83/L$98/(10-L$141+L$142)^(1/NBPuff_B))),0)</f>
        <v>0</v>
      </c>
      <c r="M143" s="83"/>
      <c r="N143" s="1289">
        <f>IF(N$83&gt;0,LN(IF(N$141&gt;=10,N$99*N$139*10^N$140,NBPuff_A*N$83/N$98/(10-N$141+N$142)^(1/NBPuff_B))),0)</f>
        <v>0</v>
      </c>
      <c r="O143" s="83"/>
      <c r="P143" s="1289">
        <f>IF(P$83&gt;0,LN(IF(P$141&gt;=10,P$99*P$139*10^P$140,NBPuff_A*P$83/P$98/(10-P$141+P$142)^(1/NBPuff_B))),0)</f>
        <v>0</v>
      </c>
      <c r="Q143" s="83"/>
      <c r="R143" s="1289">
        <f>IF(R$83&gt;0,LN(IF(R$141&gt;=10,R$99*R$139*10^R$140,NBPuff_A*R$83/R$98/(10-R$141+R$142)^(1/NBPuff_B))),0)</f>
        <v>0</v>
      </c>
      <c r="S143" s="83"/>
      <c r="T143" s="1289">
        <f>IF(T$83&gt;0,LN(IF(T$141&gt;=10,T$99*T$139*10^T$140,NBPuff_A*T$83/T$98/(10-T$141+T$142)^(1/NBPuff_B))),0)</f>
        <v>0</v>
      </c>
      <c r="U143" s="83"/>
      <c r="V143" s="1289">
        <f>IF(V$83&gt;0,LN(IF(V$141&gt;=10,V$99*V$139*10^V$140,NBPuff_A*V$83/V$98/(10-V$141+V$142)^(1/NBPuff_B))),0)</f>
        <v>0</v>
      </c>
      <c r="W143" s="83"/>
      <c r="X143" s="1289">
        <f>IF(X$83&gt;0,LN(IF(X$141&gt;=10,X$99*X$139*10^X$140,NBPuff_A*X$83/X$98/(10-X$141+X$142)^(1/NBPuff_B))),0)</f>
        <v>0</v>
      </c>
      <c r="Y143" s="83"/>
      <c r="Z143" s="2987"/>
      <c r="AA143" s="83"/>
      <c r="AB143" s="81"/>
      <c r="AC143" s="1691" t="s">
        <v>5060</v>
      </c>
      <c r="AD143" s="81"/>
      <c r="AE143" s="1288">
        <f>IF(AE$104&gt;0,(AE$104*AE103^0.333/Wind^2)^0.5,0)</f>
        <v>0</v>
      </c>
      <c r="AF143" s="81"/>
      <c r="AG143" s="1288">
        <f>IF(AG$104&gt;0,(AG$104*AG103^0.333/Wind^2)^0.5,0)</f>
        <v>0</v>
      </c>
      <c r="AH143" s="81"/>
      <c r="AI143" s="1288">
        <f>IF(AI$104&gt;0,(AI$104*AI103^0.333/Wind^2)^0.5,0)</f>
        <v>0</v>
      </c>
      <c r="AJ143" s="81"/>
      <c r="AK143" s="1288">
        <f>IF(AK$104&gt;0,(AK$104*AK103^0.333/Wind^2)^0.5,0)</f>
        <v>0</v>
      </c>
      <c r="AL143" s="81"/>
      <c r="AM143" s="1288">
        <f>IF(AM$104&gt;0,(AM$104*AM103^0.333/Wind^2)^0.5,0)</f>
        <v>0</v>
      </c>
      <c r="AN143" s="81"/>
      <c r="AO143" s="1288">
        <f>IF(AO$104&gt;0,(AO$104*AO103^0.333/Wind^2)^0.5,0)</f>
        <v>0</v>
      </c>
      <c r="AP143" s="81"/>
      <c r="AQ143" s="85"/>
      <c r="AR143" s="81"/>
      <c r="AS143" s="83"/>
      <c r="AT143" s="512" t="s">
        <v>5102</v>
      </c>
      <c r="AU143" s="83"/>
      <c r="AV143" s="1289">
        <f>IF(AV$67&gt;0,LN(IF(AV$138&gt;=100,AV$83*AV$136*100^AV$137,NBPuff_A*AV$67/AV$82/(100-AV$138+AV$139)^(1/NBPuff_B))),0)</f>
        <v>0</v>
      </c>
      <c r="AW143" s="269"/>
      <c r="AX143" s="1289">
        <f>IF(AX$67&gt;0,LN(IF(AX$138&gt;=100,AX$83*AX$136*100^AX$137,NBPuff_A*AX$67/AX$82/(100-AX$138+AX$139)^(1/NBPuff_B))),0)</f>
        <v>0</v>
      </c>
      <c r="AY143" s="269"/>
      <c r="AZ143" s="1289">
        <f>IF(AZ$67&gt;0,LN(IF(AZ$138&gt;=100,AZ$83*AZ$136*100^AZ$137,NBPuff_A*AZ$67/AZ$82/(100-AZ$138+AZ$139)^(1/NBPuff_B))),0)</f>
        <v>0</v>
      </c>
      <c r="BA143" s="269"/>
      <c r="BB143" s="1289">
        <f>IF(BB$67&gt;0,LN(IF(BB$138&gt;=100,BB$83*BB$136*100^BB$137,NBPuff_A*BB$67/BB$82/(100-BB$138+BB$139)^(1/NBPuff_B))),0)</f>
        <v>0</v>
      </c>
      <c r="BC143" s="269"/>
      <c r="BD143" s="1289">
        <f>IF(BD$67&gt;0,LN(IF(BD$138&gt;=100,BD$83*BD$136*100^BD$137,NBPuff_A*BD$67/BD$82/(100-BD$138+BD$139)^(1/NBPuff_B))),0)</f>
        <v>0</v>
      </c>
      <c r="BE143" s="269"/>
      <c r="BF143" s="1289">
        <f>IF(BF$67&gt;0,LN(IF(BF$138&gt;=100,BF$83*BF$136*100^BF$137,NBPuff_A*BF$67/BF$82/(100-BF$138+BF$139)^(1/NBPuff_B))),0)</f>
        <v>0</v>
      </c>
      <c r="BG143" s="269"/>
      <c r="BH143" s="1289">
        <f>IF(BH$67&gt;0,LN(IF(BH$138&gt;=100,BH$83*BH$136*100^BH$137,NBPuff_A*BH$67/BH$82/(100-BH$138+BH$139)^(1/NBPuff_B))),0)</f>
        <v>0</v>
      </c>
      <c r="BI143" s="269"/>
      <c r="BJ143" s="1289">
        <f>IF(BJ$67&gt;0,LN(IF(BJ$138&gt;=100,BJ$83*BJ$136*100^BJ$137,NBPuff_A*BJ$67/BJ$82/(100-BJ$138+BJ$139)^(1/NBPuff_B))),0)</f>
        <v>0</v>
      </c>
      <c r="BK143" s="269"/>
      <c r="BL143" s="1289">
        <f>IF(BL$67&gt;0,LN(IF(BL$138&gt;=100,BL$83*BL$136*100^BL$137,NBPuff_A*BL$67/BL$82/(100-BL$138+BL$139)^(1/NBPuff_B))),0)</f>
        <v>0</v>
      </c>
      <c r="BM143" s="269"/>
      <c r="BN143" s="1289">
        <f>IF(BN$67&gt;0,LN(IF(BN$138&gt;=100,BN$83*BN$136*100^BN$137,NBPuff_A*BN$67/BN$82/(100-BN$138+BN$139)^(1/NBPuff_B))),0)</f>
        <v>0</v>
      </c>
      <c r="BO143" s="269"/>
      <c r="BP143" s="1835"/>
      <c r="BQ143" s="83"/>
      <c r="BR143" s="81"/>
      <c r="BS143" s="512" t="s">
        <v>5099</v>
      </c>
      <c r="BT143" s="81"/>
      <c r="BU143" s="1289">
        <f>IF(BU$83&gt;0,LN(IF(BU$141&gt;=10,BU$99*BU$139*10^BU$140,NBPuff_A*BU$83/BU$98/(10-BU$141+BU$142)^(1/NBPuff_B))),0)</f>
        <v>0</v>
      </c>
      <c r="BV143" s="81"/>
      <c r="BW143" s="1289">
        <f>IF(BW$83&gt;0,LN(IF(BW$141&gt;=10,BW$99*BW$139*10^BW$140,NBPuff_A*BW$83/BW$98/(10-BW$141+BW$142)^(1/NBPuff_B))),0)</f>
        <v>0</v>
      </c>
      <c r="BX143" s="81"/>
      <c r="BY143" s="1289">
        <f>IF(BY$83&gt;0,LN(IF(BY$141&gt;=10,BY$99*BY$139*10^BY$140,NBPuff_A*BY$83/BY$98/(10-BY$141+BY$142)^(1/NBPuff_B))),0)</f>
        <v>0</v>
      </c>
      <c r="BZ143" s="81"/>
      <c r="CA143" s="1289">
        <f>IF(CA$83&gt;0,LN(IF(CA$141&gt;=10,CA$99*CA$139*10^CA$140,NBPuff_A*CA$83/CA$98/(10-CA$141+CA$142)^(1/NBPuff_B))),0)</f>
        <v>0</v>
      </c>
      <c r="CB143" s="81"/>
      <c r="CC143" s="1289">
        <f>IF(CC$83&gt;0,LN(IF(CC$141&gt;=10,CC$99*CC$139*10^CC$140,NBPuff_A*CC$83/CC$98/(10-CC$141+CC$142)^(1/NBPuff_B))),0)</f>
        <v>0</v>
      </c>
      <c r="CD143" s="81"/>
      <c r="CE143" s="23"/>
      <c r="CF143" s="81"/>
      <c r="CG143" s="2"/>
      <c r="CH143" s="85" t="s">
        <v>3526</v>
      </c>
      <c r="CI143" s="83"/>
      <c r="CJ143" s="109">
        <f>IF(CJ137&gt;0,(-CJ139/CJ137)^(0.5/CJ$105),0)</f>
        <v>0</v>
      </c>
      <c r="CK143" s="83"/>
      <c r="CL143" s="23"/>
      <c r="CM143" s="83"/>
    </row>
    <row r="144" spans="1:91" ht="15" customHeight="1" x14ac:dyDescent="0.25">
      <c r="A144" s="2"/>
      <c r="B144" s="512" t="s">
        <v>5100</v>
      </c>
      <c r="C144" s="83"/>
      <c r="D144" s="1289">
        <f>IF(D$83&gt;0,LN(IF(D$141&gt;=20,D$99*D$139*20^D$140,NBPuff_A*D$83/D$98/(20-D$141+D$142)^(1/NBPuff_B))),0)</f>
        <v>0</v>
      </c>
      <c r="E144" s="83"/>
      <c r="F144" s="1289">
        <f>IF(F$83&gt;0,LN(IF(F$141&gt;=20,F$99*F$139*20^F$140,NBPuff_A*F$83/F$98/(20-F$141+F$142)^(1/NBPuff_B))),0)</f>
        <v>0</v>
      </c>
      <c r="G144" s="83"/>
      <c r="H144" s="1289">
        <f>IF(H$83&gt;0,LN(IF(H$141&gt;=20,H$99*H$139*20^H$140,NBPuff_A*H$83/H$98/(20-H$141+H$142)^(1/NBPuff_B))),0)</f>
        <v>0</v>
      </c>
      <c r="I144" s="83"/>
      <c r="J144" s="1289">
        <f>IF(J$83&gt;0,LN(IF(J$141&gt;=20,J$99*J$139*20^J$140,NBPuff_A*J$83/J$98/(20-J$141+J$142)^(1/NBPuff_B))),0)</f>
        <v>0</v>
      </c>
      <c r="K144" s="83"/>
      <c r="L144" s="1289">
        <f>IF(L$83&gt;0,LN(IF(L$141&gt;=20,L$99*L$139*20^L$140,NBPuff_A*L$83/L$98/(20-L$141+L$142)^(1/NBPuff_B))),0)</f>
        <v>0</v>
      </c>
      <c r="M144" s="83"/>
      <c r="N144" s="1289">
        <f>IF(N$83&gt;0,LN(IF(N$141&gt;=20,N$99*N$139*20^N$140,NBPuff_A*N$83/N$98/(20-N$141+N$142)^(1/NBPuff_B))),0)</f>
        <v>0</v>
      </c>
      <c r="O144" s="83"/>
      <c r="P144" s="1289">
        <f>IF(P$83&gt;0,LN(IF(P$141&gt;=20,P$99*P$139*20^P$140,NBPuff_A*P$83/P$98/(20-P$141+P$142)^(1/NBPuff_B))),0)</f>
        <v>0</v>
      </c>
      <c r="Q144" s="83"/>
      <c r="R144" s="1289">
        <f>IF(R$83&gt;0,LN(IF(R$141&gt;=20,R$99*R$139*20^R$140,NBPuff_A*R$83/R$98/(20-R$141+R$142)^(1/NBPuff_B))),0)</f>
        <v>0</v>
      </c>
      <c r="S144" s="83"/>
      <c r="T144" s="1289">
        <f>IF(T$83&gt;0,LN(IF(T$141&gt;=20,T$99*T$139*20^T$140,NBPuff_A*T$83/T$98/(20-T$141+T$142)^(1/NBPuff_B))),0)</f>
        <v>0</v>
      </c>
      <c r="U144" s="83"/>
      <c r="V144" s="1289">
        <f>IF(V$83&gt;0,LN(IF(V$141&gt;=20,V$99*V$139*20^V$140,NBPuff_A*V$83/V$98/(20-V$141+V$142)^(1/NBPuff_B))),0)</f>
        <v>0</v>
      </c>
      <c r="W144" s="83"/>
      <c r="X144" s="1289">
        <f>IF(X$83&gt;0,LN(IF(X$141&gt;=20,X$99*X$139*20^X$140,NBPuff_A*X$83/X$98/(20-X$141+X$142)^(1/NBPuff_B))),0)</f>
        <v>0</v>
      </c>
      <c r="Y144" s="83"/>
      <c r="Z144" s="2987"/>
      <c r="AA144" s="83"/>
      <c r="AB144" s="81"/>
      <c r="AC144" s="1691" t="s">
        <v>5061</v>
      </c>
      <c r="AD144" s="81"/>
      <c r="AE144" s="3000">
        <f>IF(AND(AE$104&gt;0,AE143&gt;0),AE$99*(0.2/AE$143)^3,1)</f>
        <v>1</v>
      </c>
      <c r="AF144" s="81"/>
      <c r="AG144" s="3000">
        <f>IF(AND(AG$104&gt;0,AG143&gt;0),AG$99*(0.2/AG$143)^3,1)</f>
        <v>1</v>
      </c>
      <c r="AH144" s="81"/>
      <c r="AI144" s="3000">
        <f>IF(AND(AI$104&gt;0,AI143&gt;0),AI$99*(0.2/AI$143)^3,1)</f>
        <v>1</v>
      </c>
      <c r="AJ144" s="81"/>
      <c r="AK144" s="3000">
        <f>IF(AND(AK$104&gt;0,AK143&gt;0),AK$99*(0.2/AK$143)^3,1)</f>
        <v>1</v>
      </c>
      <c r="AL144" s="81"/>
      <c r="AM144" s="3000">
        <f>IF(AND(AM$104&gt;0,AM143&gt;0),AM$99*(0.2/AM$143)^3,1)</f>
        <v>1</v>
      </c>
      <c r="AN144" s="81"/>
      <c r="AO144" s="3000">
        <f>IF(AND(AO$104&gt;0,AO143&gt;0),AO$99*(0.2/AO$143)^3,1)</f>
        <v>1</v>
      </c>
      <c r="AP144" s="81"/>
      <c r="AQ144" s="85"/>
      <c r="AR144" s="81"/>
      <c r="AS144" s="83"/>
      <c r="AT144" s="512" t="s">
        <v>5103</v>
      </c>
      <c r="AU144" s="83"/>
      <c r="AV144" s="1289">
        <f>IF(AV$67&gt;0,LN(IF(AV$138&gt;=200,AV$83*AV$136*200^AV$137,NBPuff_A*AV$67/AV$82/(200-AV$138+AV$139)^(1/NBPuff_B))),0)</f>
        <v>0</v>
      </c>
      <c r="AW144" s="269"/>
      <c r="AX144" s="1289">
        <f>IF(AX$67&gt;0,LN(IF(AX$138&gt;=200,AX$83*AX$136*200^AX$137,NBPuff_A*AX$67/AX$82/(200-AX$138+AX$139)^(1/NBPuff_B))),0)</f>
        <v>0</v>
      </c>
      <c r="AY144" s="269"/>
      <c r="AZ144" s="1289">
        <f>IF(AZ$67&gt;0,LN(IF(AZ$138&gt;=200,AZ$83*AZ$136*200^AZ$137,NBPuff_A*AZ$67/AZ$82/(200-AZ$138+AZ$139)^(1/NBPuff_B))),0)</f>
        <v>0</v>
      </c>
      <c r="BA144" s="269"/>
      <c r="BB144" s="1289">
        <f>IF(BB$67&gt;0,LN(IF(BB$138&gt;=200,BB$83*BB$136*200^BB$137,NBPuff_A*BB$67/BB$82/(200-BB$138+BB$139)^(1/NBPuff_B))),0)</f>
        <v>0</v>
      </c>
      <c r="BC144" s="269"/>
      <c r="BD144" s="1289">
        <f>IF(BD$67&gt;0,LN(IF(BD$138&gt;=200,BD$83*BD$136*200^BD$137,NBPuff_A*BD$67/BD$82/(200-BD$138+BD$139)^(1/NBPuff_B))),0)</f>
        <v>0</v>
      </c>
      <c r="BE144" s="269"/>
      <c r="BF144" s="1289">
        <f>IF(BF$67&gt;0,LN(IF(BF$138&gt;=200,BF$83*BF$136*200^BF$137,NBPuff_A*BF$67/BF$82/(200-BF$138+BF$139)^(1/NBPuff_B))),0)</f>
        <v>0</v>
      </c>
      <c r="BG144" s="269"/>
      <c r="BH144" s="1289">
        <f>IF(BH$67&gt;0,LN(IF(BH$138&gt;=200,BH$83*BH$136*200^BH$137,NBPuff_A*BH$67/BH$82/(200-BH$138+BH$139)^(1/NBPuff_B))),0)</f>
        <v>0</v>
      </c>
      <c r="BI144" s="269"/>
      <c r="BJ144" s="1289">
        <f>IF(BJ$67&gt;0,LN(IF(BJ$138&gt;=200,BJ$83*BJ$136*200^BJ$137,NBPuff_A*BJ$67/BJ$82/(200-BJ$138+BJ$139)^(1/NBPuff_B))),0)</f>
        <v>0</v>
      </c>
      <c r="BK144" s="269"/>
      <c r="BL144" s="1289">
        <f>IF(BL$67&gt;0,LN(IF(BL$138&gt;=200,BL$83*BL$136*200^BL$137,NBPuff_A*BL$67/BL$82/(200-BL$138+BL$139)^(1/NBPuff_B))),0)</f>
        <v>0</v>
      </c>
      <c r="BM144" s="269"/>
      <c r="BN144" s="1289">
        <f>IF(BN$67&gt;0,LN(IF(BN$138&gt;=200,BN$83*BN$136*200^BN$137,NBPuff_A*BN$67/BN$82/(200-BN$138+BN$139)^(1/NBPuff_B))),0)</f>
        <v>0</v>
      </c>
      <c r="BO144" s="269"/>
      <c r="BP144" s="1835"/>
      <c r="BQ144" s="83"/>
      <c r="BR144" s="81"/>
      <c r="BS144" s="512" t="s">
        <v>5100</v>
      </c>
      <c r="BT144" s="81"/>
      <c r="BU144" s="1289">
        <f>IF(BU$83&gt;0,LN(IF(BU$141&gt;=20,BU$99*BU$139*20^BU$140,NBPuff_A*BU$83/BU$98/(20-BU$141+BU$142)^(1/NBPuff_B))),0)</f>
        <v>0</v>
      </c>
      <c r="BV144" s="81"/>
      <c r="BW144" s="1289">
        <f>IF(BW$83&gt;0,LN(IF(BW$141&gt;=20,BW$99*BW$139*20^BW$140,NBPuff_A*BW$83/BW$98/(20-BW$141+BW$142)^(1/NBPuff_B))),0)</f>
        <v>0</v>
      </c>
      <c r="BX144" s="81"/>
      <c r="BY144" s="1289">
        <f>IF(BY$83&gt;0,LN(IF(BY$141&gt;=20,BY$99*BY$139*20^BY$140,NBPuff_A*BY$83/BY$98/(20-BY$141+BY$142)^(1/NBPuff_B))),0)</f>
        <v>0</v>
      </c>
      <c r="BZ144" s="81"/>
      <c r="CA144" s="1289">
        <f>IF(CA$83&gt;0,LN(IF(CA$141&gt;=20,CA$99*CA$139*20^CA$140,NBPuff_A*CA$83/CA$98/(20-CA$141+CA$142)^(1/NBPuff_B))),0)</f>
        <v>0</v>
      </c>
      <c r="CB144" s="81"/>
      <c r="CC144" s="1289">
        <f>IF(CC$83&gt;0,LN(IF(CC$141&gt;=20,CC$99*CC$139*20^CC$140,NBPuff_A*CC$83/CC$98/(20-CC$141+CC$142)^(1/NBPuff_B))),0)</f>
        <v>0</v>
      </c>
      <c r="CD144" s="81"/>
      <c r="CE144" s="23"/>
      <c r="CF144" s="81"/>
      <c r="CG144" s="2"/>
      <c r="CH144" s="92" t="s">
        <v>4499</v>
      </c>
      <c r="CI144" s="83"/>
      <c r="CJ144" s="2643" t="str">
        <f>IF('User Scenario'!S23&lt;&gt;"",'User Scenario'!S23*Public_Units_Conversion,"")</f>
        <v/>
      </c>
      <c r="CK144" s="83"/>
      <c r="CL144" s="84" t="s">
        <v>1068</v>
      </c>
      <c r="CM144" s="83"/>
    </row>
    <row r="145" spans="1:109" s="26" customFormat="1" ht="15" customHeight="1" x14ac:dyDescent="0.25">
      <c r="A145" s="2"/>
      <c r="B145" s="512" t="s">
        <v>5101</v>
      </c>
      <c r="C145" s="83"/>
      <c r="D145" s="1289">
        <f>IF(D$83&gt;0,LN(IF(D$141&gt;=50,D$99*D$139*50^D$140,NBPuff_A*D$83/D$98/(50-D$141+D$142)^(1/NBPuff_B))),0)</f>
        <v>0</v>
      </c>
      <c r="E145" s="83"/>
      <c r="F145" s="1289">
        <f>IF(F$83&gt;0,LN(IF(F$141&gt;=50,F$99*F$139*50^F$140,NBPuff_A*F$83/F$98/(50-F$141+F$142)^(1/NBPuff_B))),0)</f>
        <v>0</v>
      </c>
      <c r="G145" s="83"/>
      <c r="H145" s="1289">
        <f>IF(H$83&gt;0,LN(IF(H$141&gt;=50,H$99*H$139*50^H$140,NBPuff_A*H$83/H$98/(50-H$141+H$142)^(1/NBPuff_B))),0)</f>
        <v>0</v>
      </c>
      <c r="I145" s="83"/>
      <c r="J145" s="1289">
        <f>IF(J$83&gt;0,LN(IF(J$141&gt;=50,J$99*J$139*50^J$140,NBPuff_A*J$83/J$98/(50-J$141+J$142)^(1/NBPuff_B))),0)</f>
        <v>0</v>
      </c>
      <c r="K145" s="83"/>
      <c r="L145" s="1289">
        <f>IF(L$83&gt;0,LN(IF(L$141&gt;=50,L$99*L$139*50^L$140,NBPuff_A*L$83/L$98/(50-L$141+L$142)^(1/NBPuff_B))),0)</f>
        <v>0</v>
      </c>
      <c r="M145" s="83"/>
      <c r="N145" s="1289">
        <f>IF(N$83&gt;0,LN(IF(N$141&gt;=50,N$99*N$139*50^N$140,NBPuff_A*N$83/N$98/(50-N$141+N$142)^(1/NBPuff_B))),0)</f>
        <v>0</v>
      </c>
      <c r="O145" s="83"/>
      <c r="P145" s="1289">
        <f>IF(P$83&gt;0,LN(IF(P$141&gt;=50,P$99*P$139*50^P$140,NBPuff_A*P$83/P$98/(50-P$141+P$142)^(1/NBPuff_B))),0)</f>
        <v>0</v>
      </c>
      <c r="Q145" s="83"/>
      <c r="R145" s="1289">
        <f>IF(R$83&gt;0,LN(IF(R$141&gt;=50,R$99*R$139*50^R$140,NBPuff_A*R$83/R$98/(50-R$141+R$142)^(1/NBPuff_B))),0)</f>
        <v>0</v>
      </c>
      <c r="S145" s="83"/>
      <c r="T145" s="1289">
        <f>IF(T$83&gt;0,LN(IF(T$141&gt;=50,T$99*T$139*50^T$140,NBPuff_A*T$83/T$98/(50-T$141+T$142)^(1/NBPuff_B))),0)</f>
        <v>0</v>
      </c>
      <c r="U145" s="83"/>
      <c r="V145" s="1289">
        <f>IF(V$83&gt;0,LN(IF(V$141&gt;=50,V$99*V$139*50^V$140,NBPuff_A*V$83/V$98/(50-V$141+V$142)^(1/NBPuff_B))),0)</f>
        <v>0</v>
      </c>
      <c r="W145" s="83"/>
      <c r="X145" s="1289">
        <f>IF(X$83&gt;0,LN(IF(X$141&gt;=50,X$99*X$139*50^X$140,NBPuff_A*X$83/X$98/(50-X$141+X$142)^(1/NBPuff_B))),0)</f>
        <v>0</v>
      </c>
      <c r="Y145" s="83"/>
      <c r="Z145" s="2987"/>
      <c r="AA145" s="83"/>
      <c r="AB145" s="81"/>
      <c r="AC145" s="512" t="s">
        <v>5115</v>
      </c>
      <c r="AD145" s="81"/>
      <c r="AE145" s="3000">
        <f>LN(IF(AE$144&lt;AE$99,IF(LOG(AE$143)&lt;-0.44,5.01,IF(LOG(AE$143)&lt;0.43,10^(0.81+0.26*LOG(AE$143)),8.51))*AE103^0.333,1))</f>
        <v>0</v>
      </c>
      <c r="AF145" s="81"/>
      <c r="AG145" s="3000">
        <f>LN(IF(AG$144&lt;AG$99,IF(LOG(AG$143)&lt;-0.44,5.01,IF(LOG(AG$143)&lt;0.43,10^(0.81+0.26*LOG(AG$143)),8.51))*AG103^0.333,1))</f>
        <v>0</v>
      </c>
      <c r="AH145" s="81"/>
      <c r="AI145" s="3000">
        <f>LN(IF(AI$144&lt;AI$99,IF(LOG(AI$143)&lt;-0.44,5.01,IF(LOG(AI$143)&lt;0.43,10^(0.81+0.26*LOG(AI$143)),8.51))*AI103^0.333,1))</f>
        <v>0</v>
      </c>
      <c r="AJ145" s="81"/>
      <c r="AK145" s="3000">
        <f>LN(IF(AK$144&lt;AK$99,IF(LOG(AK$143)&lt;-0.44,5.01,IF(LOG(AK$143)&lt;0.43,10^(0.81+0.26*LOG(AK$143)),8.51))*AK103^0.333,1))</f>
        <v>0</v>
      </c>
      <c r="AL145" s="81"/>
      <c r="AM145" s="3000">
        <f>LN(IF(AM$144&lt;AM$99,IF(LOG(AM$143)&lt;-0.44,5.01,IF(LOG(AM$143)&lt;0.43,10^(0.81+0.26*LOG(AM$143)),8.51))*AM103^0.333,1))</f>
        <v>0</v>
      </c>
      <c r="AN145" s="81"/>
      <c r="AO145" s="3000">
        <f>LN(IF(AO$144&lt;AO$99,IF(LOG(AO$143)&lt;-0.44,5.01,IF(LOG(AO$143)&lt;0.43,10^(0.81+0.26*LOG(AO$143)),8.51))*AO103^0.333,1))</f>
        <v>0</v>
      </c>
      <c r="AP145" s="81"/>
      <c r="AQ145" s="85"/>
      <c r="AR145" s="81"/>
      <c r="AS145" s="83"/>
      <c r="AT145" s="512" t="s">
        <v>5104</v>
      </c>
      <c r="AU145" s="83"/>
      <c r="AV145" s="1289">
        <f>IF(AV$67&gt;0,LN(IF(AV$138&gt;=500,AV$83*AV$136*500^AV$137,NBPuff_A*AV$67/AV$82/(500-AV$138+AV$139)^(1/NBPuff_B))),0)</f>
        <v>0</v>
      </c>
      <c r="AW145" s="269"/>
      <c r="AX145" s="1289">
        <f>IF(AX$67&gt;0,LN(IF(AX$138&gt;=500,AX$83*AX$136*500^AX$137,NBPuff_A*AX$67/AX$82/(500-AX$138+AX$139)^(1/NBPuff_B))),0)</f>
        <v>0</v>
      </c>
      <c r="AY145" s="269"/>
      <c r="AZ145" s="1289">
        <f>IF(AZ$67&gt;0,LN(IF(AZ$138&gt;=500,AZ$83*AZ$136*500^AZ$137,NBPuff_A*AZ$67/AZ$82/(500-AZ$138+AZ$139)^(1/NBPuff_B))),0)</f>
        <v>0</v>
      </c>
      <c r="BA145" s="269"/>
      <c r="BB145" s="1289">
        <f>IF(BB$67&gt;0,LN(IF(BB$138&gt;=500,BB$83*BB$136*500^BB$137,NBPuff_A*BB$67/BB$82/(500-BB$138+BB$139)^(1/NBPuff_B))),0)</f>
        <v>0</v>
      </c>
      <c r="BC145" s="269"/>
      <c r="BD145" s="1289">
        <f>IF(BD$67&gt;0,LN(IF(BD$138&gt;=500,BD$83*BD$136*500^BD$137,NBPuff_A*BD$67/BD$82/(500-BD$138+BD$139)^(1/NBPuff_B))),0)</f>
        <v>0</v>
      </c>
      <c r="BE145" s="269"/>
      <c r="BF145" s="1289">
        <f>IF(BF$67&gt;0,LN(IF(BF$138&gt;=500,BF$83*BF$136*500^BF$137,NBPuff_A*BF$67/BF$82/(500-BF$138+BF$139)^(1/NBPuff_B))),0)</f>
        <v>0</v>
      </c>
      <c r="BG145" s="269"/>
      <c r="BH145" s="1289">
        <f>IF(BH$67&gt;0,LN(IF(BH$138&gt;=500,BH$83*BH$136*500^BH$137,NBPuff_A*BH$67/BH$82/(500-BH$138+BH$139)^(1/NBPuff_B))),0)</f>
        <v>0</v>
      </c>
      <c r="BI145" s="269"/>
      <c r="BJ145" s="1289">
        <f>IF(BJ$67&gt;0,LN(IF(BJ$138&gt;=500,BJ$83*BJ$136*500^BJ$137,NBPuff_A*BJ$67/BJ$82/(500-BJ$138+BJ$139)^(1/NBPuff_B))),0)</f>
        <v>0</v>
      </c>
      <c r="BK145" s="269"/>
      <c r="BL145" s="1289">
        <f>IF(BL$67&gt;0,LN(IF(BL$138&gt;=500,BL$83*BL$136*500^BL$137,NBPuff_A*BL$67/BL$82/(500-BL$138+BL$139)^(1/NBPuff_B))),0)</f>
        <v>0</v>
      </c>
      <c r="BM145" s="269"/>
      <c r="BN145" s="1289">
        <f>IF(BN$67&gt;0,LN(IF(BN$138&gt;=500,BN$83*BN$136*500^BN$137,NBPuff_A*BN$67/BN$82/(500-BN$138+BN$139)^(1/NBPuff_B))),0)</f>
        <v>0</v>
      </c>
      <c r="BO145" s="269"/>
      <c r="BP145" s="1835"/>
      <c r="BQ145" s="83"/>
      <c r="BR145" s="81"/>
      <c r="BS145" s="512" t="s">
        <v>5101</v>
      </c>
      <c r="BT145" s="81"/>
      <c r="BU145" s="1289">
        <f>IF(BU$83&gt;0,LN(IF(BU$141&gt;=50,BU$99*BU$139*50^BU$140,NBPuff_A*BU$83/BU$98/(50-BU$141+BU$142)^(1/NBPuff_B))),0)</f>
        <v>0</v>
      </c>
      <c r="BV145" s="81"/>
      <c r="BW145" s="1289">
        <f>IF(BW$83&gt;0,LN(IF(BW$141&gt;=50,BW$99*BW$139*50^BW$140,NBPuff_A*BW$83/BW$98/(50-BW$141+BW$142)^(1/NBPuff_B))),0)</f>
        <v>0</v>
      </c>
      <c r="BX145" s="81"/>
      <c r="BY145" s="1289">
        <f>IF(BY$83&gt;0,LN(IF(BY$141&gt;=50,BY$99*BY$139*50^BY$140,NBPuff_A*BY$83/BY$98/(50-BY$141+BY$142)^(1/NBPuff_B))),0)</f>
        <v>0</v>
      </c>
      <c r="BZ145" s="81"/>
      <c r="CA145" s="1289">
        <f>IF(CA$83&gt;0,LN(IF(CA$141&gt;=50,CA$99*CA$139*50^CA$140,NBPuff_A*CA$83/CA$98/(50-CA$141+CA$142)^(1/NBPuff_B))),0)</f>
        <v>0</v>
      </c>
      <c r="CB145" s="81"/>
      <c r="CC145" s="1289">
        <f>IF(CC$83&gt;0,LN(IF(CC$141&gt;=50,CC$99*CC$139*50^CC$140,NBPuff_A*CC$83/CC$98/(50-CC$141+CC$142)^(1/NBPuff_B))),0)</f>
        <v>0</v>
      </c>
      <c r="CD145" s="81"/>
      <c r="CE145" s="23"/>
      <c r="CF145" s="81"/>
      <c r="CG145" s="2"/>
      <c r="CH145" s="85" t="s">
        <v>4495</v>
      </c>
      <c r="CI145" s="83"/>
      <c r="CJ145" s="94" t="str">
        <f>IF(Public&gt;0.1,IF(AND(CJ144&lt;&gt;"",CJ144&gt;Public),"Yes","No"),"No")</f>
        <v>No</v>
      </c>
      <c r="CK145" s="83"/>
      <c r="CL145" s="23"/>
      <c r="CM145" s="83"/>
      <c r="CN145" s="7"/>
      <c r="CO145" s="7"/>
      <c r="CP145" s="7"/>
      <c r="CQ145" s="7"/>
      <c r="CR145" s="7"/>
      <c r="CS145" s="7"/>
      <c r="CT145" s="7"/>
      <c r="CU145" s="7"/>
      <c r="CV145" s="7"/>
      <c r="CW145" s="7"/>
      <c r="CX145" s="7"/>
      <c r="CY145" s="7"/>
      <c r="CZ145" s="7"/>
      <c r="DA145" s="7"/>
      <c r="DB145" s="7"/>
      <c r="DC145" s="7"/>
      <c r="DD145" s="7"/>
      <c r="DE145" s="7"/>
    </row>
    <row r="146" spans="1:109" s="26" customFormat="1" ht="15" customHeight="1" x14ac:dyDescent="0.25">
      <c r="A146" s="2"/>
      <c r="B146" s="512" t="s">
        <v>5102</v>
      </c>
      <c r="C146" s="83"/>
      <c r="D146" s="1289">
        <f>IF(D$83&gt;0,LN(IF(D$141&gt;=100,D$99*D$139*100^D$140,NBPuff_A*D$83/D$98/(100-D$141+D$142)^(1/NBPuff_B))),0)</f>
        <v>0</v>
      </c>
      <c r="E146" s="83"/>
      <c r="F146" s="1289">
        <f>IF(F$83&gt;0,LN(IF(F$141&gt;=100,F$99*F$139*100^F$140,NBPuff_A*F$83/F$98/(100-F$141+F$142)^(1/NBPuff_B))),0)</f>
        <v>0</v>
      </c>
      <c r="G146" s="83"/>
      <c r="H146" s="1289">
        <f>IF(H$83&gt;0,LN(IF(H$141&gt;=100,H$99*H$139*100^H$140,NBPuff_A*H$83/H$98/(100-H$141+H$142)^(1/NBPuff_B))),0)</f>
        <v>0</v>
      </c>
      <c r="I146" s="83"/>
      <c r="J146" s="1289">
        <f>IF(J$83&gt;0,LN(IF(J$141&gt;=100,J$99*J$139*100^J$140,NBPuff_A*J$83/J$98/(100-J$141+J$142)^(1/NBPuff_B))),0)</f>
        <v>0</v>
      </c>
      <c r="K146" s="83"/>
      <c r="L146" s="1289">
        <f>IF(L$83&gt;0,LN(IF(L$141&gt;=100,L$99*L$139*100^L$140,NBPuff_A*L$83/L$98/(100-L$141+L$142)^(1/NBPuff_B))),0)</f>
        <v>0</v>
      </c>
      <c r="M146" s="83"/>
      <c r="N146" s="1289">
        <f>IF(N$83&gt;0,LN(IF(N$141&gt;=100,N$99*N$139*100^N$140,NBPuff_A*N$83/N$98/(100-N$141+N$142)^(1/NBPuff_B))),0)</f>
        <v>0</v>
      </c>
      <c r="O146" s="83"/>
      <c r="P146" s="1289">
        <f>IF(P$83&gt;0,LN(IF(P$141&gt;=100,P$99*P$139*100^P$140,NBPuff_A*P$83/P$98/(100-P$141+P$142)^(1/NBPuff_B))),0)</f>
        <v>0</v>
      </c>
      <c r="Q146" s="83"/>
      <c r="R146" s="1289">
        <f>IF(R$83&gt;0,LN(IF(R$141&gt;=100,R$99*R$139*100^R$140,NBPuff_A*R$83/R$98/(100-R$141+R$142)^(1/NBPuff_B))),0)</f>
        <v>0</v>
      </c>
      <c r="S146" s="83"/>
      <c r="T146" s="1289">
        <f>IF(T$83&gt;0,LN(IF(T$141&gt;=100,T$99*T$139*100^T$140,NBPuff_A*T$83/T$98/(100-T$141+T$142)^(1/NBPuff_B))),0)</f>
        <v>0</v>
      </c>
      <c r="U146" s="83"/>
      <c r="V146" s="1289">
        <f>IF(V$83&gt;0,LN(IF(V$141&gt;=100,V$99*V$139*100^V$140,NBPuff_A*V$83/V$98/(100-V$141+V$142)^(1/NBPuff_B))),0)</f>
        <v>0</v>
      </c>
      <c r="W146" s="83"/>
      <c r="X146" s="1289">
        <f>IF(X$83&gt;0,LN(IF(X$141&gt;=100,X$99*X$139*100^X$140,NBPuff_A*X$83/X$98/(100-X$141+X$142)^(1/NBPuff_B))),0)</f>
        <v>0</v>
      </c>
      <c r="Y146" s="83"/>
      <c r="Z146" s="2987"/>
      <c r="AA146" s="83"/>
      <c r="AB146" s="81"/>
      <c r="AC146" s="512" t="s">
        <v>5116</v>
      </c>
      <c r="AD146" s="81"/>
      <c r="AE146" s="3000">
        <f>LN(IF(AE$144&lt;AE$99,IF(LOG(AE$143)&lt;-0.56,7.08,IF(LOG(AE$143)&lt;0.31,10^(1+0.26*LOG(AE$143)),10^(1.12-0.12*LOG(AE$143))))*AE103^0.333,1))</f>
        <v>0</v>
      </c>
      <c r="AF146" s="81"/>
      <c r="AG146" s="3000">
        <f>LN(IF(AG$144&lt;AG$99,IF(LOG(AG$143)&lt;-0.56,7.08,IF(LOG(AG$143)&lt;0.31,10^(1+0.26*LOG(AG$143)),10^(1.12-0.12*LOG(AG$143))))*AG103^0.333,1))</f>
        <v>0</v>
      </c>
      <c r="AH146" s="81"/>
      <c r="AI146" s="3000">
        <f>LN(IF(AI$144&lt;AI$99,IF(LOG(AI$143)&lt;-0.56,7.08,IF(LOG(AI$143)&lt;0.31,10^(1+0.26*LOG(AI$143)),10^(1.12-0.12*LOG(AI$143))))*AI103^0.333,1))</f>
        <v>0</v>
      </c>
      <c r="AJ146" s="81"/>
      <c r="AK146" s="3000">
        <f>LN(IF(AK$144&lt;AK$99,IF(LOG(AK$143)&lt;-0.56,7.08,IF(LOG(AK$143)&lt;0.31,10^(1+0.26*LOG(AK$143)),10^(1.12-0.12*LOG(AK$143))))*AK103^0.333,1))</f>
        <v>0</v>
      </c>
      <c r="AL146" s="81"/>
      <c r="AM146" s="3000">
        <f>LN(IF(AM$144&lt;AM$99,IF(LOG(AM$143)&lt;-0.56,7.08,IF(LOG(AM$143)&lt;0.31,10^(1+0.26*LOG(AM$143)),10^(1.12-0.12*LOG(AM$143))))*AM103^0.333,1))</f>
        <v>0</v>
      </c>
      <c r="AN146" s="81"/>
      <c r="AO146" s="3000">
        <f>LN(IF(AO$144&lt;AO$99,IF(LOG(AO$143)&lt;-0.56,7.08,IF(LOG(AO$143)&lt;0.31,10^(1+0.26*LOG(AO$143)),10^(1.12-0.12*LOG(AO$143))))*AO103^0.333,1))</f>
        <v>0</v>
      </c>
      <c r="AP146" s="81"/>
      <c r="AQ146" s="85"/>
      <c r="AR146" s="81"/>
      <c r="AS146" s="83"/>
      <c r="AT146" s="512" t="s">
        <v>5105</v>
      </c>
      <c r="AU146" s="83"/>
      <c r="AV146" s="1289">
        <f>IF(AV$67&gt;0,LN(IF(AV$138&gt;=1000,AV$83*AV$136*1000^AV$137,NBPuff_A*AV$67/AV$82/(1000-AV$138+AV$139)^(1/NBPuff_B))),0)</f>
        <v>0</v>
      </c>
      <c r="AW146" s="269"/>
      <c r="AX146" s="1289">
        <f>IF(AX$67&gt;0,LN(IF(AX$138&gt;=1000,AX$83*AX$136*1000^AX$137,NBPuff_A*AX$67/AX$82/(1000-AX$138+AX$139)^(1/NBPuff_B))),0)</f>
        <v>0</v>
      </c>
      <c r="AY146" s="269"/>
      <c r="AZ146" s="1289">
        <f>IF(AZ$67&gt;0,LN(IF(AZ$138&gt;=1000,AZ$83*AZ$136*1000^AZ$137,NBPuff_A*AZ$67/AZ$82/(1000-AZ$138+AZ$139)^(1/NBPuff_B))),0)</f>
        <v>0</v>
      </c>
      <c r="BA146" s="269"/>
      <c r="BB146" s="1289">
        <f>IF(BB$67&gt;0,LN(IF(BB$138&gt;=1000,BB$83*BB$136*1000^BB$137,NBPuff_A*BB$67/BB$82/(1000-BB$138+BB$139)^(1/NBPuff_B))),0)</f>
        <v>0</v>
      </c>
      <c r="BC146" s="269"/>
      <c r="BD146" s="1289">
        <f>IF(BD$67&gt;0,LN(IF(BD$138&gt;=1000,BD$83*BD$136*1000^BD$137,NBPuff_A*BD$67/BD$82/(1000-BD$138+BD$139)^(1/NBPuff_B))),0)</f>
        <v>0</v>
      </c>
      <c r="BE146" s="269"/>
      <c r="BF146" s="1289">
        <f>IF(BF$67&gt;0,LN(IF(BF$138&gt;=1000,BF$83*BF$136*1000^BF$137,NBPuff_A*BF$67/BF$82/(1000-BF$138+BF$139)^(1/NBPuff_B))),0)</f>
        <v>0</v>
      </c>
      <c r="BG146" s="269"/>
      <c r="BH146" s="1289">
        <f>IF(BH$67&gt;0,LN(IF(BH$138&gt;=1000,BH$83*BH$136*1000^BH$137,NBPuff_A*BH$67/BH$82/(1000-BH$138+BH$139)^(1/NBPuff_B))),0)</f>
        <v>0</v>
      </c>
      <c r="BI146" s="269"/>
      <c r="BJ146" s="1289">
        <f>IF(BJ$67&gt;0,LN(IF(BJ$138&gt;=1000,BJ$83*BJ$136*1000^BJ$137,NBPuff_A*BJ$67/BJ$82/(1000-BJ$138+BJ$139)^(1/NBPuff_B))),0)</f>
        <v>0</v>
      </c>
      <c r="BK146" s="269"/>
      <c r="BL146" s="1289">
        <f>IF(BL$67&gt;0,LN(IF(BL$138&gt;=1000,BL$83*BL$136*1000^BL$137,NBPuff_A*BL$67/BL$82/(1000-BL$138+BL$139)^(1/NBPuff_B))),0)</f>
        <v>0</v>
      </c>
      <c r="BM146" s="269"/>
      <c r="BN146" s="1289">
        <f>IF(BN$67&gt;0,LN(IF(BN$138&gt;=1000,BN$83*BN$136*1000^BN$137,NBPuff_A*BN$67/BN$82/(1000-BN$138+BN$139)^(1/NBPuff_B))),0)</f>
        <v>0</v>
      </c>
      <c r="BO146" s="269"/>
      <c r="BP146" s="1835"/>
      <c r="BQ146" s="83"/>
      <c r="BR146" s="81"/>
      <c r="BS146" s="512" t="s">
        <v>5102</v>
      </c>
      <c r="BT146" s="81"/>
      <c r="BU146" s="1289">
        <f>IF(BU$83&gt;0,LN(IF(BU$141&gt;=100,BU$99*BU$139*100^BU$140,NBPuff_A*BU$83/BU$98/(100-BU$141+BU$142)^(1/NBPuff_B))),0)</f>
        <v>0</v>
      </c>
      <c r="BV146" s="81"/>
      <c r="BW146" s="1289">
        <f>IF(BW$83&gt;0,LN(IF(BW$141&gt;=100,BW$99*BW$139*100^BW$140,NBPuff_A*BW$83/BW$98/(100-BW$141+BW$142)^(1/NBPuff_B))),0)</f>
        <v>0</v>
      </c>
      <c r="BX146" s="81"/>
      <c r="BY146" s="1289">
        <f>IF(BY$83&gt;0,LN(IF(BY$141&gt;=100,BY$99*BY$139*100^BY$140,NBPuff_A*BY$83/BY$98/(100-BY$141+BY$142)^(1/NBPuff_B))),0)</f>
        <v>0</v>
      </c>
      <c r="BZ146" s="81"/>
      <c r="CA146" s="1289">
        <f>IF(CA$83&gt;0,LN(IF(CA$141&gt;=100,CA$99*CA$139*100^CA$140,NBPuff_A*CA$83/CA$98/(100-CA$141+CA$142)^(1/NBPuff_B))),0)</f>
        <v>0</v>
      </c>
      <c r="CB146" s="81"/>
      <c r="CC146" s="1289">
        <f>IF(CC$83&gt;0,LN(IF(CC$141&gt;=100,CC$99*CC$139*100^CC$140,NBPuff_A*CC$83/CC$98/(100-CC$141+CC$142)^(1/NBPuff_B))),0)</f>
        <v>0</v>
      </c>
      <c r="CD146" s="81"/>
      <c r="CE146" s="23"/>
      <c r="CF146" s="81"/>
      <c r="CG146" s="2"/>
      <c r="CH146" s="85" t="s">
        <v>4500</v>
      </c>
      <c r="CI146" s="83"/>
      <c r="CJ146" s="2128" t="str">
        <f>IF('User Scenario'!S24&lt;&gt;"",'User Scenario'!S24*Public_Units_Conversion,"")</f>
        <v/>
      </c>
      <c r="CK146" s="83"/>
      <c r="CL146" s="23" t="s">
        <v>1068</v>
      </c>
      <c r="CM146" s="83"/>
      <c r="CN146" s="7"/>
      <c r="CO146" s="7"/>
      <c r="CP146" s="7"/>
      <c r="CQ146" s="7"/>
      <c r="CR146" s="7"/>
      <c r="CS146" s="7"/>
      <c r="CT146" s="7"/>
      <c r="CU146" s="7"/>
      <c r="CV146" s="7"/>
      <c r="CW146" s="7"/>
      <c r="CX146" s="7"/>
      <c r="CY146" s="7"/>
      <c r="CZ146" s="7"/>
      <c r="DA146" s="7"/>
      <c r="DB146" s="7"/>
      <c r="DC146" s="7"/>
      <c r="DD146" s="7"/>
      <c r="DE146" s="7"/>
    </row>
    <row r="147" spans="1:109" s="26" customFormat="1" ht="15" customHeight="1" thickBot="1" x14ac:dyDescent="0.3">
      <c r="A147" s="2"/>
      <c r="B147" s="512" t="s">
        <v>5103</v>
      </c>
      <c r="C147" s="83"/>
      <c r="D147" s="1289">
        <f>IF(D$83&gt;0,LN(IF(D$141&gt;=200,D$99*D$139*200^D$140,NBPuff_A*D$83/D$98/(200-D$141+D$142)^(1/NBPuff_B))),0)</f>
        <v>0</v>
      </c>
      <c r="E147" s="83"/>
      <c r="F147" s="1289">
        <f>IF(F$83&gt;0,LN(IF(F$141&gt;=200,F$99*F$139*200^F$140,NBPuff_A*F$83/F$98/(200-F$141+F$142)^(1/NBPuff_B))),0)</f>
        <v>0</v>
      </c>
      <c r="G147" s="83"/>
      <c r="H147" s="1289">
        <f>IF(H$83&gt;0,LN(IF(H$141&gt;=200,H$99*H$139*200^H$140,NBPuff_A*H$83/H$98/(200-H$141+H$142)^(1/NBPuff_B))),0)</f>
        <v>0</v>
      </c>
      <c r="I147" s="83"/>
      <c r="J147" s="1289">
        <f>IF(J$83&gt;0,LN(IF(J$141&gt;=200,J$99*J$139*200^J$140,NBPuff_A*J$83/J$98/(200-J$141+J$142)^(1/NBPuff_B))),0)</f>
        <v>0</v>
      </c>
      <c r="K147" s="83"/>
      <c r="L147" s="1289">
        <f>IF(L$83&gt;0,LN(IF(L$141&gt;=200,L$99*L$139*200^L$140,NBPuff_A*L$83/L$98/(200-L$141+L$142)^(1/NBPuff_B))),0)</f>
        <v>0</v>
      </c>
      <c r="M147" s="83"/>
      <c r="N147" s="1289">
        <f>IF(N$83&gt;0,LN(IF(N$141&gt;=200,N$99*N$139*200^N$140,NBPuff_A*N$83/N$98/(200-N$141+N$142)^(1/NBPuff_B))),0)</f>
        <v>0</v>
      </c>
      <c r="O147" s="83"/>
      <c r="P147" s="1289">
        <f>IF(P$83&gt;0,LN(IF(P$141&gt;=200,P$99*P$139*200^P$140,NBPuff_A*P$83/P$98/(200-P$141+P$142)^(1/NBPuff_B))),0)</f>
        <v>0</v>
      </c>
      <c r="Q147" s="83"/>
      <c r="R147" s="1289">
        <f>IF(R$83&gt;0,LN(IF(R$141&gt;=200,R$99*R$139*200^R$140,NBPuff_A*R$83/R$98/(200-R$141+R$142)^(1/NBPuff_B))),0)</f>
        <v>0</v>
      </c>
      <c r="S147" s="83"/>
      <c r="T147" s="1289">
        <f>IF(T$83&gt;0,LN(IF(T$141&gt;=200,T$99*T$139*200^T$140,NBPuff_A*T$83/T$98/(200-T$141+T$142)^(1/NBPuff_B))),0)</f>
        <v>0</v>
      </c>
      <c r="U147" s="83"/>
      <c r="V147" s="1289">
        <f>IF(V$83&gt;0,LN(IF(V$141&gt;=200,V$99*V$139*200^V$140,NBPuff_A*V$83/V$98/(200-V$141+V$142)^(1/NBPuff_B))),0)</f>
        <v>0</v>
      </c>
      <c r="W147" s="83"/>
      <c r="X147" s="1289">
        <f>IF(X$83&gt;0,LN(IF(X$141&gt;=200,X$99*X$139*200^X$140,NBPuff_A*X$83/X$98/(200-X$141+X$142)^(1/NBPuff_B))),0)</f>
        <v>0</v>
      </c>
      <c r="Y147" s="83"/>
      <c r="Z147" s="2987"/>
      <c r="AA147" s="83"/>
      <c r="AB147" s="81"/>
      <c r="AC147" s="512" t="s">
        <v>5117</v>
      </c>
      <c r="AD147" s="81"/>
      <c r="AE147" s="3000">
        <f>LN(IF(AE$144&lt;AE$99,IF(LOG(AE$143)&lt;-0.66,8.91,IF(LOG(AE$143)&lt;0.32,10^(1.19+0.36*LOG(AE$143)),10^(1.38-0.26*LOG(AE$143))))*AE103^0.333,1))</f>
        <v>0</v>
      </c>
      <c r="AF147" s="81"/>
      <c r="AG147" s="3000">
        <f>LN(IF(AG$144&lt;AG$99,IF(LOG(AG$143)&lt;-0.66,8.91,IF(LOG(AG$143)&lt;0.32,10^(1.19+0.36*LOG(AG$143)),10^(1.38-0.26*LOG(AG$143))))*AG103^0.333,1))</f>
        <v>0</v>
      </c>
      <c r="AH147" s="81"/>
      <c r="AI147" s="3000">
        <f>LN(IF(AI$144&lt;AI$99,IF(LOG(AI$143)&lt;-0.66,8.91,IF(LOG(AI$143)&lt;0.32,10^(1.19+0.36*LOG(AI$143)),10^(1.38-0.26*LOG(AI$143))))*AI103^0.333,1))</f>
        <v>0</v>
      </c>
      <c r="AJ147" s="81"/>
      <c r="AK147" s="3000">
        <f>LN(IF(AK$144&lt;AK$99,IF(LOG(AK$143)&lt;-0.66,8.91,IF(LOG(AK$143)&lt;0.32,10^(1.19+0.36*LOG(AK$143)),10^(1.38-0.26*LOG(AK$143))))*AK103^0.333,1))</f>
        <v>0</v>
      </c>
      <c r="AL147" s="81"/>
      <c r="AM147" s="3000">
        <f>LN(IF(AM$144&lt;AM$99,IF(LOG(AM$143)&lt;-0.66,8.91,IF(LOG(AM$143)&lt;0.32,10^(1.19+0.36*LOG(AM$143)),10^(1.38-0.26*LOG(AM$143))))*AM103^0.333,1))</f>
        <v>0</v>
      </c>
      <c r="AN147" s="81"/>
      <c r="AO147" s="3000">
        <f>LN(IF(AO$144&lt;AO$99,IF(LOG(AO$143)&lt;-0.66,8.91,IF(LOG(AO$143)&lt;0.32,10^(1.19+0.36*LOG(AO$143)),10^(1.38-0.26*LOG(AO$143))))*AO103^0.333,1))</f>
        <v>0</v>
      </c>
      <c r="AP147" s="81"/>
      <c r="AQ147" s="85"/>
      <c r="AR147" s="81"/>
      <c r="AS147" s="83"/>
      <c r="AT147" s="512" t="s">
        <v>5106</v>
      </c>
      <c r="AU147" s="83"/>
      <c r="AV147" s="1289">
        <f>IF(AV$67&gt;0,LN(IF(AV$138&gt;=2000,AV$83*AV$136*2000^AV$137,NBPuff_A*AV$67/AV$82/(2000-AV$138+AV$139)^(1/NBPuff_B))),0)</f>
        <v>0</v>
      </c>
      <c r="AW147" s="269"/>
      <c r="AX147" s="1289">
        <f>IF(AX$67&gt;0,LN(IF(AX$138&gt;=2000,AX$83*AX$136*2000^AX$137,NBPuff_A*AX$67/AX$82/(2000-AX$138+AX$139)^(1/NBPuff_B))),0)</f>
        <v>0</v>
      </c>
      <c r="AY147" s="269"/>
      <c r="AZ147" s="1289">
        <f>IF(AZ$67&gt;0,LN(IF(AZ$138&gt;=2000,AZ$83*AZ$136*2000^AZ$137,NBPuff_A*AZ$67/AZ$82/(2000-AZ$138+AZ$139)^(1/NBPuff_B))),0)</f>
        <v>0</v>
      </c>
      <c r="BA147" s="269"/>
      <c r="BB147" s="1289">
        <f>IF(BB$67&gt;0,LN(IF(BB$138&gt;=2000,BB$83*BB$136*2000^BB$137,NBPuff_A*BB$67/BB$82/(2000-BB$138+BB$139)^(1/NBPuff_B))),0)</f>
        <v>0</v>
      </c>
      <c r="BC147" s="269"/>
      <c r="BD147" s="1289">
        <f>IF(BD$67&gt;0,LN(IF(BD$138&gt;=2000,BD$83*BD$136*2000^BD$137,NBPuff_A*BD$67/BD$82/(2000-BD$138+BD$139)^(1/NBPuff_B))),0)</f>
        <v>0</v>
      </c>
      <c r="BE147" s="269"/>
      <c r="BF147" s="1289">
        <f>IF(BF$67&gt;0,LN(IF(BF$138&gt;=2000,BF$83*BF$136*2000^BF$137,NBPuff_A*BF$67/BF$82/(2000-BF$138+BF$139)^(1/NBPuff_B))),0)</f>
        <v>0</v>
      </c>
      <c r="BG147" s="269"/>
      <c r="BH147" s="1289">
        <f>IF(BH$67&gt;0,LN(IF(BH$138&gt;=2000,BH$83*BH$136*2000^BH$137,NBPuff_A*BH$67/BH$82/(2000-BH$138+BH$139)^(1/NBPuff_B))),0)</f>
        <v>0</v>
      </c>
      <c r="BI147" s="269"/>
      <c r="BJ147" s="1289">
        <f>IF(BJ$67&gt;0,LN(IF(BJ$138&gt;=2000,BJ$83*BJ$136*2000^BJ$137,NBPuff_A*BJ$67/BJ$82/(2000-BJ$138+BJ$139)^(1/NBPuff_B))),0)</f>
        <v>0</v>
      </c>
      <c r="BK147" s="269"/>
      <c r="BL147" s="1289">
        <f>IF(BL$67&gt;0,LN(IF(BL$138&gt;=2000,BL$83*BL$136*2000^BL$137,NBPuff_A*BL$67/BL$82/(2000-BL$138+BL$139)^(1/NBPuff_B))),0)</f>
        <v>0</v>
      </c>
      <c r="BM147" s="269"/>
      <c r="BN147" s="1289">
        <f>IF(BN$67&gt;0,LN(IF(BN$138&gt;=2000,BN$83*BN$136*2000^BN$137,NBPuff_A*BN$67/BN$82/(2000-BN$138+BN$139)^(1/NBPuff_B))),0)</f>
        <v>0</v>
      </c>
      <c r="BO147" s="269"/>
      <c r="BP147" s="1835"/>
      <c r="BQ147" s="83"/>
      <c r="BR147" s="81"/>
      <c r="BS147" s="512" t="s">
        <v>5103</v>
      </c>
      <c r="BT147" s="81"/>
      <c r="BU147" s="1289">
        <f>IF(BU$83&gt;0,LN(IF(BU$141&gt;=200,BU$99*BU$139*200^BU$140,NBPuff_A*BU$83/BU$98/(200-BU$141+BU$142)^(1/NBPuff_B))),0)</f>
        <v>0</v>
      </c>
      <c r="BV147" s="81"/>
      <c r="BW147" s="1289">
        <f>IF(BW$83&gt;0,LN(IF(BW$141&gt;=200,BW$99*BW$139*200^BW$140,NBPuff_A*BW$83/BW$98/(200-BW$141+BW$142)^(1/NBPuff_B))),0)</f>
        <v>0</v>
      </c>
      <c r="BX147" s="81"/>
      <c r="BY147" s="1289">
        <f>IF(BY$83&gt;0,LN(IF(BY$141&gt;=200,BY$99*BY$139*200^BY$140,NBPuff_A*BY$83/BY$98/(200-BY$141+BY$142)^(1/NBPuff_B))),0)</f>
        <v>0</v>
      </c>
      <c r="BZ147" s="81"/>
      <c r="CA147" s="1289">
        <f>IF(CA$83&gt;0,LN(IF(CA$141&gt;=200,CA$99*CA$139*200^CA$140,NBPuff_A*CA$83/CA$98/(200-CA$141+CA$142)^(1/NBPuff_B))),0)</f>
        <v>0</v>
      </c>
      <c r="CB147" s="81"/>
      <c r="CC147" s="1289">
        <f>IF(CC$83&gt;0,LN(IF(CC$141&gt;=200,CC$99*CC$139*200^CC$140,NBPuff_A*CC$83/CC$98/(200-CC$141+CC$142)^(1/NBPuff_B))),0)</f>
        <v>0</v>
      </c>
      <c r="CD147" s="81"/>
      <c r="CE147" s="23"/>
      <c r="CF147" s="81"/>
      <c r="CG147" s="2"/>
      <c r="CH147" s="85" t="s">
        <v>4497</v>
      </c>
      <c r="CI147" s="83"/>
      <c r="CJ147" s="1715" t="str">
        <f>IF(Public&gt;0.1,IF(AND(CJ146&lt;&gt;"",CJ146&gt;Public),"Yes","No"),"")</f>
        <v/>
      </c>
      <c r="CK147" s="83"/>
      <c r="CL147" s="23"/>
      <c r="CM147" s="83"/>
      <c r="CN147" s="7"/>
      <c r="CO147" s="7"/>
      <c r="CP147" s="7"/>
      <c r="CQ147" s="7"/>
      <c r="CR147" s="7"/>
      <c r="CS147" s="7"/>
      <c r="CT147" s="7"/>
      <c r="CU147" s="7"/>
      <c r="CV147" s="7"/>
      <c r="CW147" s="7"/>
      <c r="CX147" s="7"/>
      <c r="CY147" s="7"/>
      <c r="CZ147" s="7"/>
      <c r="DA147" s="7"/>
      <c r="DB147" s="7"/>
      <c r="DC147" s="7"/>
      <c r="DD147" s="7"/>
      <c r="DE147" s="7"/>
    </row>
    <row r="148" spans="1:109" s="26" customFormat="1" ht="15" customHeight="1" thickBot="1" x14ac:dyDescent="0.3">
      <c r="A148" s="2"/>
      <c r="B148" s="512" t="s">
        <v>5104</v>
      </c>
      <c r="C148" s="83"/>
      <c r="D148" s="1289">
        <f>IF(D$83&gt;0,LN(IF(D$141&gt;=500,D$99*D$139*500^D$140,NBPuff_A*D$83/D$98/(500-D$141+D$142)^(1/NBPuff_B))),0)</f>
        <v>0</v>
      </c>
      <c r="E148" s="83"/>
      <c r="F148" s="1289">
        <f>IF(F$83&gt;0,LN(IF(F$141&gt;=500,F$99*F$139*500^F$140,NBPuff_A*F$83/F$98/(500-F$141+F$142)^(1/NBPuff_B))),0)</f>
        <v>0</v>
      </c>
      <c r="G148" s="83"/>
      <c r="H148" s="1289">
        <f>IF(H$83&gt;0,LN(IF(H$141&gt;=500,H$99*H$139*500^H$140,NBPuff_A*H$83/H$98/(500-H$141+H$142)^(1/NBPuff_B))),0)</f>
        <v>0</v>
      </c>
      <c r="I148" s="83"/>
      <c r="J148" s="1289">
        <f>IF(J$83&gt;0,LN(IF(J$141&gt;=500,J$99*J$139*500^J$140,NBPuff_A*J$83/J$98/(500-J$141+J$142)^(1/NBPuff_B))),0)</f>
        <v>0</v>
      </c>
      <c r="K148" s="83"/>
      <c r="L148" s="1289">
        <f>IF(L$83&gt;0,LN(IF(L$141&gt;=500,L$99*L$139*500^L$140,NBPuff_A*L$83/L$98/(500-L$141+L$142)^(1/NBPuff_B))),0)</f>
        <v>0</v>
      </c>
      <c r="M148" s="83"/>
      <c r="N148" s="1289">
        <f>IF(N$83&gt;0,LN(IF(N$141&gt;=500,N$99*N$139*500^N$140,NBPuff_A*N$83/N$98/(500-N$141+N$142)^(1/NBPuff_B))),0)</f>
        <v>0</v>
      </c>
      <c r="O148" s="83"/>
      <c r="P148" s="1289">
        <f>IF(P$83&gt;0,LN(IF(P$141&gt;=500,P$99*P$139*500^P$140,NBPuff_A*P$83/P$98/(500-P$141+P$142)^(1/NBPuff_B))),0)</f>
        <v>0</v>
      </c>
      <c r="Q148" s="83"/>
      <c r="R148" s="1289">
        <f>IF(R$83&gt;0,LN(IF(R$141&gt;=500,R$99*R$139*500^R$140,NBPuff_A*R$83/R$98/(500-R$141+R$142)^(1/NBPuff_B))),0)</f>
        <v>0</v>
      </c>
      <c r="S148" s="83"/>
      <c r="T148" s="1289">
        <f>IF(T$83&gt;0,LN(IF(T$141&gt;=500,T$99*T$139*500^T$140,NBPuff_A*T$83/T$98/(500-T$141+T$142)^(1/NBPuff_B))),0)</f>
        <v>0</v>
      </c>
      <c r="U148" s="83"/>
      <c r="V148" s="1289">
        <f>IF(V$83&gt;0,LN(IF(V$141&gt;=500,V$99*V$139*500^V$140,NBPuff_A*V$83/V$98/(500-V$141+V$142)^(1/NBPuff_B))),0)</f>
        <v>0</v>
      </c>
      <c r="W148" s="83"/>
      <c r="X148" s="1289">
        <f>IF(X$83&gt;0,LN(IF(X$141&gt;=500,X$99*X$139*500^X$140,NBPuff_A*X$83/X$98/(500-X$141+X$142)^(1/NBPuff_B))),0)</f>
        <v>0</v>
      </c>
      <c r="Y148" s="83"/>
      <c r="Z148" s="2987"/>
      <c r="AA148" s="83"/>
      <c r="AB148" s="81"/>
      <c r="AC148" s="512" t="s">
        <v>5118</v>
      </c>
      <c r="AD148" s="81"/>
      <c r="AE148" s="3000">
        <f>LN(IF(AE$144&lt;AE$99,IF(LOG(AE$143)&lt;-0.71,14.1,IF(LOG(AE$143)&lt;0.37,10^(1.39+0.34*LOG(AE$143)),10^(1.66-0.38*LOG(AE$143))))*AE103^0.333,1))</f>
        <v>0</v>
      </c>
      <c r="AF148" s="81"/>
      <c r="AG148" s="3000">
        <f>LN(IF(AG$144&lt;AG$99,IF(LOG(AG$143)&lt;-0.71,14.1,IF(LOG(AG$143)&lt;0.37,10^(1.39+0.34*LOG(AG$143)),10^(1.66-0.38*LOG(AG$143))))*AG103^0.333,1))</f>
        <v>0</v>
      </c>
      <c r="AH148" s="81"/>
      <c r="AI148" s="3000">
        <f>LN(IF(AI$144&lt;AI$99,IF(LOG(AI$143)&lt;-0.71,14.1,IF(LOG(AI$143)&lt;0.37,10^(1.39+0.34*LOG(AI$143)),10^(1.66-0.38*LOG(AI$143))))*AI103^0.333,1))</f>
        <v>0</v>
      </c>
      <c r="AJ148" s="81"/>
      <c r="AK148" s="3000">
        <f>LN(IF(AK$144&lt;AK$99,IF(LOG(AK$143)&lt;-0.71,14.1,IF(LOG(AK$143)&lt;0.37,10^(1.39+0.34*LOG(AK$143)),10^(1.66-0.38*LOG(AK$143))))*AK103^0.333,1))</f>
        <v>0</v>
      </c>
      <c r="AL148" s="81"/>
      <c r="AM148" s="3000">
        <f>LN(IF(AM$144&lt;AM$99,IF(LOG(AM$143)&lt;-0.71,14.1,IF(LOG(AM$143)&lt;0.37,10^(1.39+0.34*LOG(AM$143)),10^(1.66-0.38*LOG(AM$143))))*AM103^0.333,1))</f>
        <v>0</v>
      </c>
      <c r="AN148" s="81"/>
      <c r="AO148" s="3000">
        <f>LN(IF(AO$144&lt;AO$99,IF(LOG(AO$143)&lt;-0.71,14.1,IF(LOG(AO$143)&lt;0.37,10^(1.39+0.34*LOG(AO$143)),10^(1.66-0.38*LOG(AO$143))))*AO103^0.333,1))</f>
        <v>0</v>
      </c>
      <c r="AP148" s="81"/>
      <c r="AQ148" s="85"/>
      <c r="AR148" s="81"/>
      <c r="AS148" s="83"/>
      <c r="AT148" s="512" t="s">
        <v>5107</v>
      </c>
      <c r="AU148" s="83"/>
      <c r="AV148" s="1289">
        <f>IF(AV$67&gt;0,LN(IF(AV$138&gt;=5000,AV$83*AV$136*5000^AV$137,NBPuff_A*AV$67/AV$82/(5000-AV$138+AV$139)^(1/NBPuff_B))),0)</f>
        <v>0</v>
      </c>
      <c r="AW148" s="269"/>
      <c r="AX148" s="1289">
        <f>IF(AX$67&gt;0,LN(IF(AX$138&gt;=5000,AX$83*AX$136*5000^AX$137,NBPuff_A*AX$67/AX$82/(5000-AX$138+AX$139)^(1/NBPuff_B))),0)</f>
        <v>0</v>
      </c>
      <c r="AY148" s="269"/>
      <c r="AZ148" s="1289">
        <f>IF(AZ$67&gt;0,LN(IF(AZ$138&gt;=5000,AZ$83*AZ$136*5000^AZ$137,NBPuff_A*AZ$67/AZ$82/(5000-AZ$138+AZ$139)^(1/NBPuff_B))),0)</f>
        <v>0</v>
      </c>
      <c r="BA148" s="269"/>
      <c r="BB148" s="1289">
        <f>IF(BB$67&gt;0,LN(IF(BB$138&gt;=5000,BB$83*BB$136*5000^BB$137,NBPuff_A*BB$67/BB$82/(5000-BB$138+BB$139)^(1/NBPuff_B))),0)</f>
        <v>0</v>
      </c>
      <c r="BC148" s="269"/>
      <c r="BD148" s="1289">
        <f>IF(BD$67&gt;0,LN(IF(BD$138&gt;=5000,BD$83*BD$136*5000^BD$137,NBPuff_A*BD$67/BD$82/(5000-BD$138+BD$139)^(1/NBPuff_B))),0)</f>
        <v>0</v>
      </c>
      <c r="BE148" s="269"/>
      <c r="BF148" s="1289">
        <f>IF(BF$67&gt;0,LN(IF(BF$138&gt;=5000,BF$83*BF$136*5000^BF$137,NBPuff_A*BF$67/BF$82/(5000-BF$138+BF$139)^(1/NBPuff_B))),0)</f>
        <v>0</v>
      </c>
      <c r="BG148" s="269"/>
      <c r="BH148" s="1289">
        <f>IF(BH$67&gt;0,LN(IF(BH$138&gt;=5000,BH$83*BH$136*5000^BH$137,NBPuff_A*BH$67/BH$82/(5000-BH$138+BH$139)^(1/NBPuff_B))),0)</f>
        <v>0</v>
      </c>
      <c r="BI148" s="269"/>
      <c r="BJ148" s="1289">
        <f>IF(BJ$67&gt;0,LN(IF(BJ$138&gt;=5000,BJ$83*BJ$136*5000^BJ$137,NBPuff_A*BJ$67/BJ$82/(5000-BJ$138+BJ$139)^(1/NBPuff_B))),0)</f>
        <v>0</v>
      </c>
      <c r="BK148" s="269"/>
      <c r="BL148" s="1289">
        <f>IF(BL$67&gt;0,LN(IF(BL$138&gt;=5000,BL$83*BL$136*5000^BL$137,NBPuff_A*BL$67/BL$82/(5000-BL$138+BL$139)^(1/NBPuff_B))),0)</f>
        <v>0</v>
      </c>
      <c r="BM148" s="269"/>
      <c r="BN148" s="1289">
        <f>IF(BN$67&gt;0,LN(IF(BN$138&gt;=5000,BN$83*BN$136*5000^BN$137,NBPuff_A*BN$67/BN$82/(5000-BN$138+BN$139)^(1/NBPuff_B))),0)</f>
        <v>0</v>
      </c>
      <c r="BO148" s="269"/>
      <c r="BP148" s="1835"/>
      <c r="BQ148" s="83"/>
      <c r="BR148" s="81"/>
      <c r="BS148" s="512" t="s">
        <v>5104</v>
      </c>
      <c r="BT148" s="81"/>
      <c r="BU148" s="1289">
        <f>IF(BU$83&gt;0,LN(IF(BU$141&gt;=500,BU$99*BU$139*500^BU$140,NBPuff_A*BU$83/BU$98/(500-BU$141+BU$142)^(1/NBPuff_B))),0)</f>
        <v>0</v>
      </c>
      <c r="BV148" s="81"/>
      <c r="BW148" s="1289">
        <f>IF(BW$83&gt;0,LN(IF(BW$141&gt;=500,BW$99*BW$139*500^BW$140,NBPuff_A*BW$83/BW$98/(500-BW$141+BW$142)^(1/NBPuff_B))),0)</f>
        <v>0</v>
      </c>
      <c r="BX148" s="81"/>
      <c r="BY148" s="1289">
        <f>IF(BY$83&gt;0,LN(IF(BY$141&gt;=500,BY$99*BY$139*500^BY$140,NBPuff_A*BY$83/BY$98/(500-BY$141+BY$142)^(1/NBPuff_B))),0)</f>
        <v>0</v>
      </c>
      <c r="BZ148" s="81"/>
      <c r="CA148" s="1289">
        <f>IF(CA$83&gt;0,LN(IF(CA$141&gt;=500,CA$99*CA$139*500^CA$140,NBPuff_A*CA$83/CA$98/(500-CA$141+CA$142)^(1/NBPuff_B))),0)</f>
        <v>0</v>
      </c>
      <c r="CB148" s="81"/>
      <c r="CC148" s="1289">
        <f>IF(CC$83&gt;0,LN(IF(CC$141&gt;=500,CC$99*CC$139*500^CC$140,NBPuff_A*CC$83/CC$98/(500-CC$141+CC$142)^(1/NBPuff_B))),0)</f>
        <v>0</v>
      </c>
      <c r="CD148" s="81"/>
      <c r="CE148" s="23"/>
      <c r="CF148" s="81"/>
      <c r="CG148" s="83"/>
      <c r="CH148" s="92" t="s">
        <v>3561</v>
      </c>
      <c r="CI148" s="83"/>
      <c r="CJ148" s="101" t="str">
        <f>IF('User Scenario'!S25&lt;&gt;"",'User Scenario'!S25*Public_Units_Conversion,"")</f>
        <v/>
      </c>
      <c r="CK148" s="83"/>
      <c r="CL148" s="84" t="s">
        <v>1068</v>
      </c>
      <c r="CM148" s="83"/>
      <c r="CN148" s="7"/>
      <c r="CO148" s="7"/>
      <c r="CP148" s="7"/>
      <c r="CQ148" s="7"/>
      <c r="CR148" s="7"/>
      <c r="CS148" s="7"/>
      <c r="CT148" s="7"/>
      <c r="CU148" s="7"/>
      <c r="CV148" s="7"/>
      <c r="CW148" s="7"/>
      <c r="CX148" s="7"/>
      <c r="CY148" s="7"/>
      <c r="CZ148" s="7"/>
      <c r="DA148" s="7"/>
      <c r="DB148" s="7"/>
      <c r="DC148" s="7"/>
      <c r="DD148" s="7"/>
      <c r="DE148" s="7"/>
    </row>
    <row r="149" spans="1:109" s="26" customFormat="1" ht="15" customHeight="1" thickBot="1" x14ac:dyDescent="0.3">
      <c r="A149" s="2"/>
      <c r="B149" s="512" t="s">
        <v>5105</v>
      </c>
      <c r="C149" s="83"/>
      <c r="D149" s="1289">
        <f>IF(D$83&gt;0,LN(IF(D$141&gt;=1000,D$99*D$139*1000^D$140,NBPuff_A*D$83/D$98/(1000-D$141+D$142)^(1/NBPuff_B))),0)</f>
        <v>0</v>
      </c>
      <c r="E149" s="83"/>
      <c r="F149" s="1289">
        <f>IF(F$83&gt;0,LN(IF(F$141&gt;=1000,F$99*F$139*1000^F$140,NBPuff_A*F$83/F$98/(1000-F$141+F$142)^(1/NBPuff_B))),0)</f>
        <v>0</v>
      </c>
      <c r="G149" s="83"/>
      <c r="H149" s="1289">
        <f>IF(H$83&gt;0,LN(IF(H$141&gt;=1000,H$99*H$139*1000^H$140,NBPuff_A*H$83/H$98/(1000-H$141+H$142)^(1/NBPuff_B))),0)</f>
        <v>0</v>
      </c>
      <c r="I149" s="83"/>
      <c r="J149" s="1289">
        <f>IF(J$83&gt;0,LN(IF(J$141&gt;=1000,J$99*J$139*1000^J$140,NBPuff_A*J$83/J$98/(1000-J$141+J$142)^(1/NBPuff_B))),0)</f>
        <v>0</v>
      </c>
      <c r="K149" s="83"/>
      <c r="L149" s="1289">
        <f>IF(L$83&gt;0,LN(IF(L$141&gt;=1000,L$99*L$139*1000^L$140,NBPuff_A*L$83/L$98/(1000-L$141+L$142)^(1/NBPuff_B))),0)</f>
        <v>0</v>
      </c>
      <c r="M149" s="83"/>
      <c r="N149" s="1289">
        <f>IF(N$83&gt;0,LN(IF(N$141&gt;=1000,N$99*N$139*1000^N$140,NBPuff_A*N$83/N$98/(1000-N$141+N$142)^(1/NBPuff_B))),0)</f>
        <v>0</v>
      </c>
      <c r="O149" s="83"/>
      <c r="P149" s="1289">
        <f>IF(P$83&gt;0,LN(IF(P$141&gt;=1000,P$99*P$139*1000^P$140,NBPuff_A*P$83/P$98/(1000-P$141+P$142)^(1/NBPuff_B))),0)</f>
        <v>0</v>
      </c>
      <c r="Q149" s="83"/>
      <c r="R149" s="1289">
        <f>IF(R$83&gt;0,LN(IF(R$141&gt;=1000,R$99*R$139*1000^R$140,NBPuff_A*R$83/R$98/(1000-R$141+R$142)^(1/NBPuff_B))),0)</f>
        <v>0</v>
      </c>
      <c r="S149" s="83"/>
      <c r="T149" s="1289">
        <f>IF(T$83&gt;0,LN(IF(T$141&gt;=1000,T$99*T$139*1000^T$140,NBPuff_A*T$83/T$98/(1000-T$141+T$142)^(1/NBPuff_B))),0)</f>
        <v>0</v>
      </c>
      <c r="U149" s="83"/>
      <c r="V149" s="1289">
        <f>IF(V$83&gt;0,LN(IF(V$141&gt;=1000,V$99*V$139*1000^V$140,NBPuff_A*V$83/V$98/(1000-V$141+V$142)^(1/NBPuff_B))),0)</f>
        <v>0</v>
      </c>
      <c r="W149" s="83"/>
      <c r="X149" s="1289">
        <f>IF(X$83&gt;0,LN(IF(X$141&gt;=1000,X$99*X$139*1000^X$140,NBPuff_A*X$83/X$98/(1000-X$141+X$142)^(1/NBPuff_B))),0)</f>
        <v>0</v>
      </c>
      <c r="Y149" s="83"/>
      <c r="Z149" s="2987"/>
      <c r="AA149" s="83"/>
      <c r="AB149" s="81"/>
      <c r="AC149" s="512" t="s">
        <v>5119</v>
      </c>
      <c r="AD149" s="81"/>
      <c r="AE149" s="3000">
        <f>LN(IF(AE$144&lt;AE$99,IF(LOG(AE$143)&lt;-0.52,30.2,IF(LOG(AE$143)&lt;0.24,10^(1.62+0.26*LOG(AE$143)),10^(1.75-0.3*LOG(AE$143))))*AE103^0.333,1))</f>
        <v>0</v>
      </c>
      <c r="AF149" s="81"/>
      <c r="AG149" s="3000">
        <f>LN(IF(AG$144&lt;AG$99,IF(LOG(AG$143)&lt;-0.52,30.2,IF(LOG(AG$143)&lt;0.24,10^(1.62+0.26*LOG(AG$143)),10^(1.75-0.3*LOG(AG$143))))*AG103^0.333,1))</f>
        <v>0</v>
      </c>
      <c r="AH149" s="81"/>
      <c r="AI149" s="3000">
        <f>LN(IF(AI$144&lt;AI$99,IF(LOG(AI$143)&lt;-0.52,30.2,IF(LOG(AI$143)&lt;0.24,10^(1.62+0.26*LOG(AI$143)),10^(1.75-0.3*LOG(AI$143))))*AI103^0.333,1))</f>
        <v>0</v>
      </c>
      <c r="AJ149" s="81"/>
      <c r="AK149" s="3000">
        <f>LN(IF(AK$144&lt;AK$99,IF(LOG(AK$143)&lt;-0.52,30.2,IF(LOG(AK$143)&lt;0.24,10^(1.62+0.26*LOG(AK$143)),10^(1.75-0.3*LOG(AK$143))))*AK103^0.333,1))</f>
        <v>0</v>
      </c>
      <c r="AL149" s="81"/>
      <c r="AM149" s="3000">
        <f>LN(IF(AM$144&lt;AM$99,IF(LOG(AM$143)&lt;-0.52,30.2,IF(LOG(AM$143)&lt;0.24,10^(1.62+0.26*LOG(AM$143)),10^(1.75-0.3*LOG(AM$143))))*AM103^0.333,1))</f>
        <v>0</v>
      </c>
      <c r="AN149" s="81"/>
      <c r="AO149" s="3000">
        <f>LN(IF(AO$144&lt;AO$99,IF(LOG(AO$143)&lt;-0.52,30.2,IF(LOG(AO$143)&lt;0.24,10^(1.62+0.26*LOG(AO$143)),10^(1.75-0.3*LOG(AO$143))))*AO103^0.333,1))</f>
        <v>0</v>
      </c>
      <c r="AP149" s="81"/>
      <c r="AQ149" s="85"/>
      <c r="AR149" s="81"/>
      <c r="AS149" s="83"/>
      <c r="AT149" s="512" t="s">
        <v>5108</v>
      </c>
      <c r="AU149" s="83"/>
      <c r="AV149" s="3002">
        <f>IF(AV$67&gt;0,LN(IF(AV$138&gt;=10000,AV$83*AV$136*10000^AV$137,NBPuff_A*AV$67/AV$82/(10000-AV$138+AV$139)^(1/NBPuff_B))),0)</f>
        <v>0</v>
      </c>
      <c r="AW149" s="269"/>
      <c r="AX149" s="3002">
        <f>IF(AX$67&gt;0,LN(IF(AX$138&gt;=10000,AX$83*AX$136*10000^AX$137,NBPuff_A*AX$67/AX$82/(10000-AX$138+AX$139)^(1/NBPuff_B))),0)</f>
        <v>0</v>
      </c>
      <c r="AY149" s="269"/>
      <c r="AZ149" s="3002">
        <f>IF(AZ$67&gt;0,LN(IF(AZ$138&gt;=10000,AZ$83*AZ$136*10000^AZ$137,NBPuff_A*AZ$67/AZ$82/(10000-AZ$138+AZ$139)^(1/NBPuff_B))),0)</f>
        <v>0</v>
      </c>
      <c r="BA149" s="269"/>
      <c r="BB149" s="3002">
        <f>IF(BB$67&gt;0,LN(IF(BB$138&gt;=10000,BB$83*BB$136*10000^BB$137,NBPuff_A*BB$67/BB$82/(10000-BB$138+BB$139)^(1/NBPuff_B))),0)</f>
        <v>0</v>
      </c>
      <c r="BC149" s="269"/>
      <c r="BD149" s="3002">
        <f>IF(BD$67&gt;0,LN(IF(BD$138&gt;=10000,BD$83*BD$136*10000^BD$137,NBPuff_A*BD$67/BD$82/(10000-BD$138+BD$139)^(1/NBPuff_B))),0)</f>
        <v>0</v>
      </c>
      <c r="BE149" s="269"/>
      <c r="BF149" s="3002">
        <f>IF(BF$67&gt;0,LN(IF(BF$138&gt;=10000,BF$83*BF$136*10000^BF$137,NBPuff_A*BF$67/BF$82/(10000-BF$138+BF$139)^(1/NBPuff_B))),0)</f>
        <v>0</v>
      </c>
      <c r="BG149" s="269"/>
      <c r="BH149" s="3002">
        <f>IF(BH$67&gt;0,LN(IF(BH$138&gt;=10000,BH$83*BH$136*10000^BH$137,NBPuff_A*BH$67/BH$82/(10000-BH$138+BH$139)^(1/NBPuff_B))),0)</f>
        <v>0</v>
      </c>
      <c r="BI149" s="269"/>
      <c r="BJ149" s="3002">
        <f>IF(BJ$67&gt;0,LN(IF(BJ$138&gt;=10000,BJ$83*BJ$136*10000^BJ$137,NBPuff_A*BJ$67/BJ$82/(10000-BJ$138+BJ$139)^(1/NBPuff_B))),0)</f>
        <v>0</v>
      </c>
      <c r="BK149" s="269"/>
      <c r="BL149" s="3002">
        <f>IF(BL$67&gt;0,LN(IF(BL$138&gt;=10000,BL$83*BL$136*10000^BL$137,NBPuff_A*BL$67/BL$82/(10000-BL$138+BL$139)^(1/NBPuff_B))),0)</f>
        <v>0</v>
      </c>
      <c r="BM149" s="269"/>
      <c r="BN149" s="3002">
        <f>IF(BN$67&gt;0,LN(IF(BN$138&gt;=10000,BN$83*BN$136*10000^BN$137,NBPuff_A*BN$67/BN$82/(10000-BN$138+BN$139)^(1/NBPuff_B))),0)</f>
        <v>0</v>
      </c>
      <c r="BO149" s="269"/>
      <c r="BP149" s="1835"/>
      <c r="BQ149" s="83"/>
      <c r="BR149" s="81"/>
      <c r="BS149" s="512" t="s">
        <v>5105</v>
      </c>
      <c r="BT149" s="81"/>
      <c r="BU149" s="1289">
        <f>IF(BU$83&gt;0,LN(IF(BU$141&gt;=1000,BU$99*BU$139*1000^BU$140,NBPuff_A*BU$83/BU$98/(1000-BU$141+BU$142)^(1/NBPuff_B))),0)</f>
        <v>0</v>
      </c>
      <c r="BV149" s="81"/>
      <c r="BW149" s="1289">
        <f>IF(BW$83&gt;0,LN(IF(BW$141&gt;=1000,BW$99*BW$139*1000^BW$140,NBPuff_A*BW$83/BW$98/(1000-BW$141+BW$142)^(1/NBPuff_B))),0)</f>
        <v>0</v>
      </c>
      <c r="BX149" s="81"/>
      <c r="BY149" s="1289">
        <f>IF(BY$83&gt;0,LN(IF(BY$141&gt;=1000,BY$99*BY$139*1000^BY$140,NBPuff_A*BY$83/BY$98/(1000-BY$141+BY$142)^(1/NBPuff_B))),0)</f>
        <v>0</v>
      </c>
      <c r="BZ149" s="81"/>
      <c r="CA149" s="1289">
        <f>IF(CA$83&gt;0,LN(IF(CA$141&gt;=1000,CA$99*CA$139*1000^CA$140,NBPuff_A*CA$83/CA$98/(1000-CA$141+CA$142)^(1/NBPuff_B))),0)</f>
        <v>0</v>
      </c>
      <c r="CB149" s="81"/>
      <c r="CC149" s="1289">
        <f>IF(CC$83&gt;0,LN(IF(CC$141&gt;=1000,CC$99*CC$139*1000^CC$140,NBPuff_A*CC$83/CC$98/(1000-CC$141+CC$142)^(1/NBPuff_B))),0)</f>
        <v>0</v>
      </c>
      <c r="CD149" s="81"/>
      <c r="CE149" s="23"/>
      <c r="CF149" s="81"/>
      <c r="CG149" s="2"/>
      <c r="CH149" s="92" t="s">
        <v>3823</v>
      </c>
      <c r="CI149" s="83"/>
      <c r="CJ149" s="1209" t="str">
        <f>IF('User Scenario'!S26&lt;&gt;"",'User Scenario'!S26*Public_Units_Conversion,"")</f>
        <v/>
      </c>
      <c r="CK149" s="83"/>
      <c r="CL149" s="23" t="s">
        <v>1068</v>
      </c>
      <c r="CM149" s="83"/>
      <c r="CN149" s="7"/>
      <c r="CO149" s="7"/>
      <c r="CP149" s="7"/>
      <c r="CQ149" s="7"/>
      <c r="CR149" s="7"/>
      <c r="CS149" s="7"/>
      <c r="CT149" s="7"/>
      <c r="CU149" s="7"/>
      <c r="CV149" s="7"/>
      <c r="CW149" s="7"/>
      <c r="CX149" s="7"/>
      <c r="CY149" s="7"/>
      <c r="CZ149" s="7"/>
      <c r="DA149" s="7"/>
      <c r="DB149" s="7"/>
      <c r="DC149" s="7"/>
      <c r="DD149" s="7"/>
      <c r="DE149" s="7"/>
    </row>
    <row r="150" spans="1:109" s="26" customFormat="1" ht="15" customHeight="1" x14ac:dyDescent="0.25">
      <c r="A150" s="2"/>
      <c r="B150" s="512" t="s">
        <v>5106</v>
      </c>
      <c r="C150" s="83"/>
      <c r="D150" s="1289">
        <f>IF(D$83&gt;0,LN(IF(D$141&gt;=2000,D$99*D$139*2000^D$140,NBPuff_A*D$83/D$98/(2000-D$141+D$142)^(1/NBPuff_B))),0)</f>
        <v>0</v>
      </c>
      <c r="E150" s="83"/>
      <c r="F150" s="1289">
        <f>IF(F$83&gt;0,LN(IF(F$141&gt;=2000,F$99*F$139*2000^F$140,NBPuff_A*F$83/F$98/(2000-F$141+F$142)^(1/NBPuff_B))),0)</f>
        <v>0</v>
      </c>
      <c r="G150" s="83"/>
      <c r="H150" s="1289">
        <f>IF(H$83&gt;0,LN(IF(H$141&gt;=2000,H$99*H$139*2000^H$140,NBPuff_A*H$83/H$98/(2000-H$141+H$142)^(1/NBPuff_B))),0)</f>
        <v>0</v>
      </c>
      <c r="I150" s="83"/>
      <c r="J150" s="1289">
        <f>IF(J$83&gt;0,LN(IF(J$141&gt;=2000,J$99*J$139*2000^J$140,NBPuff_A*J$83/J$98/(2000-J$141+J$142)^(1/NBPuff_B))),0)</f>
        <v>0</v>
      </c>
      <c r="K150" s="83"/>
      <c r="L150" s="1289">
        <f>IF(L$83&gt;0,LN(IF(L$141&gt;=2000,L$99*L$139*2000^L$140,NBPuff_A*L$83/L$98/(2000-L$141+L$142)^(1/NBPuff_B))),0)</f>
        <v>0</v>
      </c>
      <c r="M150" s="83"/>
      <c r="N150" s="1289">
        <f>IF(N$83&gt;0,LN(IF(N$141&gt;=2000,N$99*N$139*2000^N$140,NBPuff_A*N$83/N$98/(2000-N$141+N$142)^(1/NBPuff_B))),0)</f>
        <v>0</v>
      </c>
      <c r="O150" s="83"/>
      <c r="P150" s="1289">
        <f>IF(P$83&gt;0,LN(IF(P$141&gt;=2000,P$99*P$139*2000^P$140,NBPuff_A*P$83/P$98/(2000-P$141+P$142)^(1/NBPuff_B))),0)</f>
        <v>0</v>
      </c>
      <c r="Q150" s="83"/>
      <c r="R150" s="1289">
        <f>IF(R$83&gt;0,LN(IF(R$141&gt;=2000,R$99*R$139*2000^R$140,NBPuff_A*R$83/R$98/(2000-R$141+R$142)^(1/NBPuff_B))),0)</f>
        <v>0</v>
      </c>
      <c r="S150" s="83"/>
      <c r="T150" s="1289">
        <f>IF(T$83&gt;0,LN(IF(T$141&gt;=2000,T$99*T$139*2000^T$140,NBPuff_A*T$83/T$98/(2000-T$141+T$142)^(1/NBPuff_B))),0)</f>
        <v>0</v>
      </c>
      <c r="U150" s="83"/>
      <c r="V150" s="1289">
        <f>IF(V$83&gt;0,LN(IF(V$141&gt;=2000,V$99*V$139*2000^V$140,NBPuff_A*V$83/V$98/(2000-V$141+V$142)^(1/NBPuff_B))),0)</f>
        <v>0</v>
      </c>
      <c r="W150" s="83"/>
      <c r="X150" s="1289">
        <f>IF(X$83&gt;0,LN(IF(X$141&gt;=2000,X$99*X$139*2000^X$140,NBPuff_A*X$83/X$98/(2000-X$141+X$142)^(1/NBPuff_B))),0)</f>
        <v>0</v>
      </c>
      <c r="Y150" s="83"/>
      <c r="Z150" s="2987"/>
      <c r="AA150" s="83"/>
      <c r="AB150" s="81"/>
      <c r="AC150" s="512" t="s">
        <v>5120</v>
      </c>
      <c r="AD150" s="81"/>
      <c r="AE150" s="3000">
        <f>LN(IF(AE$144&lt;AE$99,IF(LOG(AE$143)&lt;0.27,67.6,10^(1.92-0.32*LOG(AE$143)))*AE103^0.333,1))</f>
        <v>0</v>
      </c>
      <c r="AF150" s="81"/>
      <c r="AG150" s="3000">
        <f>LN(IF(AG$144&lt;AG$99,IF(LOG(AG$143)&lt;0.27,67.6,10^(1.92-0.32*LOG(AG$143)))*AG103^0.333,1))</f>
        <v>0</v>
      </c>
      <c r="AH150" s="81"/>
      <c r="AI150" s="3000">
        <f>LN(IF(AI$144&lt;AI$99,IF(LOG(AI$143)&lt;0.27,67.6,10^(1.92-0.32*LOG(AI$143)))*AI103^0.333,1))</f>
        <v>0</v>
      </c>
      <c r="AJ150" s="81"/>
      <c r="AK150" s="3000">
        <f>LN(IF(AK$144&lt;AK$99,IF(LOG(AK$143)&lt;0.27,67.6,10^(1.92-0.32*LOG(AK$143)))*AK103^0.333,1))</f>
        <v>0</v>
      </c>
      <c r="AL150" s="81"/>
      <c r="AM150" s="3000">
        <f>LN(IF(AM$144&lt;AM$99,IF(LOG(AM$143)&lt;0.27,67.6,10^(1.92-0.32*LOG(AM$143)))*AM103^0.333,1))</f>
        <v>0</v>
      </c>
      <c r="AN150" s="81"/>
      <c r="AO150" s="3000">
        <f>LN(IF(AO$144&lt;AO$99,IF(LOG(AO$143)&lt;0.27,67.6,10^(1.92-0.32*LOG(AO$143)))*AO103^0.333,1))</f>
        <v>0</v>
      </c>
      <c r="AP150" s="81"/>
      <c r="AQ150" s="85"/>
      <c r="AR150" s="81"/>
      <c r="AS150" s="83"/>
      <c r="AT150" s="2975" t="s">
        <v>5077</v>
      </c>
      <c r="AU150" s="83"/>
      <c r="AV150" s="2980">
        <f>IF(AV$67&gt;0,(EXP(INDEX(LINEST(AV140:AV149,$CJ$286:$CJ$295),2))*AV$82/AV$67)^AV151,0)</f>
        <v>0</v>
      </c>
      <c r="AW150" s="269"/>
      <c r="AX150" s="2980">
        <f>IF(AX$67&gt;0,(EXP(INDEX(LINEST(AX140:AX149,$CJ$286:$CJ$295),2))*AX$82/AX$67)^AX151,0)</f>
        <v>0</v>
      </c>
      <c r="AY150" s="269"/>
      <c r="AZ150" s="2980">
        <f>IF(AZ$67&gt;0,(EXP(INDEX(LINEST(AZ140:AZ149,$CJ$286:$CJ$295),2))*AZ$82/AZ$67)^AZ151,0)</f>
        <v>0</v>
      </c>
      <c r="BA150" s="269"/>
      <c r="BB150" s="2980">
        <f>IF(BB$67&gt;0,(EXP(INDEX(LINEST(BB140:BB149,$CJ$286:$CJ$295),2))*BB$82/BB$67)^BB151,0)</f>
        <v>0</v>
      </c>
      <c r="BC150" s="269"/>
      <c r="BD150" s="2980">
        <f>IF(BD$67&gt;0,(EXP(INDEX(LINEST(BD140:BD149,$CJ$286:$CJ$295),2))*BD$82/BD$67)^BD151,0)</f>
        <v>0</v>
      </c>
      <c r="BE150" s="269"/>
      <c r="BF150" s="2980">
        <f>IF(BF$67&gt;0,(EXP(INDEX(LINEST(BF140:BF149,$CJ$286:$CJ$295),2))*BF$82/BF$67)^BF151,0)</f>
        <v>0</v>
      </c>
      <c r="BG150" s="269"/>
      <c r="BH150" s="2980">
        <f>IF(BH$67&gt;0,(EXP(INDEX(LINEST(BH140:BH149,$CJ$286:$CJ$295),2))*BH$82/BH$67)^BH151,0)</f>
        <v>0</v>
      </c>
      <c r="BI150" s="269"/>
      <c r="BJ150" s="2980">
        <f>IF(BJ$67&gt;0,(EXP(INDEX(LINEST(BJ140:BJ149,$CJ$286:$CJ$295),2))*BJ$82/BJ$67)^BJ151,0)</f>
        <v>0</v>
      </c>
      <c r="BK150" s="269"/>
      <c r="BL150" s="2980">
        <f>IF(BL$67&gt;0,(EXP(INDEX(LINEST(BL140:BL149,$CJ$286:$CJ$295),2))*BL$82/BL$67)^BL151,0)</f>
        <v>0</v>
      </c>
      <c r="BM150" s="269"/>
      <c r="BN150" s="2980">
        <f>IF(BN$67&gt;0,(EXP(INDEX(LINEST(BN140:BN149,$CJ$286:$CJ$295),2))*BN$82/BN$67)^BN151,0)</f>
        <v>0</v>
      </c>
      <c r="BO150" s="269"/>
      <c r="BP150" s="1834"/>
      <c r="BQ150" s="83"/>
      <c r="BR150" s="81"/>
      <c r="BS150" s="512" t="s">
        <v>5106</v>
      </c>
      <c r="BT150" s="81"/>
      <c r="BU150" s="1289">
        <f>IF(BU$83&gt;0,LN(IF(BU$141&gt;=2000,BU$99*BU$139*2000^BU$140,NBPuff_A*BU$83/BU$98/(2000-BU$141+BU$142)^(1/NBPuff_B))),0)</f>
        <v>0</v>
      </c>
      <c r="BV150" s="81"/>
      <c r="BW150" s="1289">
        <f>IF(BW$83&gt;0,LN(IF(BW$141&gt;=2000,BW$99*BW$139*2000^BW$140,NBPuff_A*BW$83/BW$98/(2000-BW$141+BW$142)^(1/NBPuff_B))),0)</f>
        <v>0</v>
      </c>
      <c r="BX150" s="81"/>
      <c r="BY150" s="1289">
        <f>IF(BY$83&gt;0,LN(IF(BY$141&gt;=2000,BY$99*BY$139*2000^BY$140,NBPuff_A*BY$83/BY$98/(2000-BY$141+BY$142)^(1/NBPuff_B))),0)</f>
        <v>0</v>
      </c>
      <c r="BZ150" s="81"/>
      <c r="CA150" s="1289">
        <f>IF(CA$83&gt;0,LN(IF(CA$141&gt;=2000,CA$99*CA$139*2000^CA$140,NBPuff_A*CA$83/CA$98/(2000-CA$141+CA$142)^(1/NBPuff_B))),0)</f>
        <v>0</v>
      </c>
      <c r="CB150" s="81"/>
      <c r="CC150" s="1289">
        <f>IF(CC$83&gt;0,LN(IF(CC$141&gt;=2000,CC$99*CC$139*2000^CC$140,NBPuff_A*CC$83/CC$98/(2000-CC$141+CC$142)^(1/NBPuff_B))),0)</f>
        <v>0</v>
      </c>
      <c r="CD150" s="81"/>
      <c r="CE150" s="23"/>
      <c r="CF150" s="81"/>
      <c r="CG150" s="2"/>
      <c r="CH150" s="85" t="s">
        <v>3824</v>
      </c>
      <c r="CI150" s="83"/>
      <c r="CJ150" s="1209" t="str">
        <f>IF(CJ149="","",CJ149*ConcFract_Indoor^IF(CJ17="Instantaneous",CJ$79,CJ$53))</f>
        <v/>
      </c>
      <c r="CK150" s="83"/>
      <c r="CL150" s="23"/>
      <c r="CM150" s="83"/>
      <c r="CN150" s="7"/>
      <c r="CO150" s="7"/>
      <c r="CP150" s="7"/>
      <c r="CQ150" s="7"/>
      <c r="CR150" s="7"/>
      <c r="CS150" s="7"/>
      <c r="CT150" s="7"/>
      <c r="CU150" s="7"/>
      <c r="CV150" s="7"/>
      <c r="CW150" s="7"/>
      <c r="CX150" s="7"/>
      <c r="CY150" s="7"/>
      <c r="CZ150" s="7"/>
      <c r="DA150" s="7"/>
      <c r="DB150" s="7"/>
      <c r="DC150" s="7"/>
      <c r="DD150" s="7"/>
      <c r="DE150" s="7"/>
    </row>
    <row r="151" spans="1:109" s="26" customFormat="1" ht="15" customHeight="1" x14ac:dyDescent="0.25">
      <c r="A151" s="2"/>
      <c r="B151" s="512" t="s">
        <v>5107</v>
      </c>
      <c r="C151" s="83"/>
      <c r="D151" s="1289">
        <f>IF(D$83&gt;0,LN(IF(D$141&gt;=5000,D$99*D$139*5000^D$140,NBPuff_A*D$83/D$98/(5000-D$141+D$142)^(1/NBPuff_B))),0)</f>
        <v>0</v>
      </c>
      <c r="E151" s="83"/>
      <c r="F151" s="1289">
        <f>IF(F$83&gt;0,LN(IF(F$141&gt;=5000,F$99*F$139*5000^F$140,NBPuff_A*F$83/F$98/(5000-F$141+F$142)^(1/NBPuff_B))),0)</f>
        <v>0</v>
      </c>
      <c r="G151" s="83"/>
      <c r="H151" s="1289">
        <f>IF(H$83&gt;0,LN(IF(H$141&gt;=5000,H$99*H$139*5000^H$140,NBPuff_A*H$83/H$98/(5000-H$141+H$142)^(1/NBPuff_B))),0)</f>
        <v>0</v>
      </c>
      <c r="I151" s="83"/>
      <c r="J151" s="1289">
        <f>IF(J$83&gt;0,LN(IF(J$141&gt;=5000,J$99*J$139*5000^J$140,NBPuff_A*J$83/J$98/(5000-J$141+J$142)^(1/NBPuff_B))),0)</f>
        <v>0</v>
      </c>
      <c r="K151" s="83"/>
      <c r="L151" s="1289">
        <f>IF(L$83&gt;0,LN(IF(L$141&gt;=5000,L$99*L$139*5000^L$140,NBPuff_A*L$83/L$98/(5000-L$141+L$142)^(1/NBPuff_B))),0)</f>
        <v>0</v>
      </c>
      <c r="M151" s="83"/>
      <c r="N151" s="1289">
        <f>IF(N$83&gt;0,LN(IF(N$141&gt;=5000,N$99*N$139*5000^N$140,NBPuff_A*N$83/N$98/(5000-N$141+N$142)^(1/NBPuff_B))),0)</f>
        <v>0</v>
      </c>
      <c r="O151" s="83"/>
      <c r="P151" s="1289">
        <f>IF(P$83&gt;0,LN(IF(P$141&gt;=5000,P$99*P$139*5000^P$140,NBPuff_A*P$83/P$98/(5000-P$141+P$142)^(1/NBPuff_B))),0)</f>
        <v>0</v>
      </c>
      <c r="Q151" s="83"/>
      <c r="R151" s="1289">
        <f>IF(R$83&gt;0,LN(IF(R$141&gt;=5000,R$99*R$139*5000^R$140,NBPuff_A*R$83/R$98/(5000-R$141+R$142)^(1/NBPuff_B))),0)</f>
        <v>0</v>
      </c>
      <c r="S151" s="83"/>
      <c r="T151" s="1289">
        <f>IF(T$83&gt;0,LN(IF(T$141&gt;=5000,T$99*T$139*5000^T$140,NBPuff_A*T$83/T$98/(5000-T$141+T$142)^(1/NBPuff_B))),0)</f>
        <v>0</v>
      </c>
      <c r="U151" s="83"/>
      <c r="V151" s="1289">
        <f>IF(V$83&gt;0,LN(IF(V$141&gt;=5000,V$99*V$139*5000^V$140,NBPuff_A*V$83/V$98/(5000-V$141+V$142)^(1/NBPuff_B))),0)</f>
        <v>0</v>
      </c>
      <c r="W151" s="83"/>
      <c r="X151" s="1289">
        <f>IF(X$83&gt;0,LN(IF(X$141&gt;=5000,X$99*X$139*5000^X$140,NBPuff_A*X$83/X$98/(5000-X$141+X$142)^(1/NBPuff_B))),0)</f>
        <v>0</v>
      </c>
      <c r="Y151" s="83"/>
      <c r="Z151" s="2987"/>
      <c r="AA151" s="83"/>
      <c r="AB151" s="81"/>
      <c r="AC151" s="512" t="s">
        <v>5122</v>
      </c>
      <c r="AD151" s="81"/>
      <c r="AE151" s="3000">
        <f>LN(IF(AE$144&lt;AE$99,IF(LOG(AE$143)&lt;-0.1,118.9,10^(2.05-0.27*LOG(AE$143)))*AE103^0.333,1))</f>
        <v>0</v>
      </c>
      <c r="AF151" s="81"/>
      <c r="AG151" s="3000">
        <f>LN(IF(AG$144&lt;AG$99,IF(LOG(AG$143)&lt;-0.1,118.9,10^(2.05-0.27*LOG(AG$143)))*AG103^0.333,1))</f>
        <v>0</v>
      </c>
      <c r="AH151" s="81"/>
      <c r="AI151" s="3000">
        <f>LN(IF(AI$144&lt;AI$99,IF(LOG(AI$143)&lt;-0.1,118.9,10^(2.05-0.27*LOG(AI$143)))*AI103^0.333,1))</f>
        <v>0</v>
      </c>
      <c r="AJ151" s="81"/>
      <c r="AK151" s="3000">
        <f>LN(IF(AK$144&lt;AK$99,IF(LOG(AK$143)&lt;-0.1,118.9,10^(2.05-0.27*LOG(AK$143)))*AK103^0.333,1))</f>
        <v>0</v>
      </c>
      <c r="AL151" s="81"/>
      <c r="AM151" s="3000">
        <f>LN(IF(AM$144&lt;AM$99,IF(LOG(AM$143)&lt;-0.1,118.9,10^(2.05-0.27*LOG(AM$143)))*AM103^0.333,1))</f>
        <v>0</v>
      </c>
      <c r="AN151" s="81"/>
      <c r="AO151" s="3000">
        <f>LN(IF(AO$144&lt;AO$99,IF(LOG(AO$143)&lt;-0.1,118.9,10^(2.05-0.27*LOG(AO$143)))*AO103^0.333,1))</f>
        <v>0</v>
      </c>
      <c r="AP151" s="81"/>
      <c r="AQ151" s="85"/>
      <c r="AR151" s="81"/>
      <c r="AS151" s="83"/>
      <c r="AT151" s="2977" t="s">
        <v>5078</v>
      </c>
      <c r="AU151" s="83"/>
      <c r="AV151" s="3003">
        <f>IF(AV$67&gt;0,-1/INDEX(LINEST(AV140:AV149,$CJ$286:$CJ$295),1),0)</f>
        <v>0</v>
      </c>
      <c r="AW151" s="269"/>
      <c r="AX151" s="3003">
        <f>IF(AX$67&gt;0,-1/INDEX(LINEST(AX140:AX149,$CJ$286:$CJ$295),1),0)</f>
        <v>0</v>
      </c>
      <c r="AY151" s="269"/>
      <c r="AZ151" s="3003">
        <f>IF(AZ$67&gt;0,-1/INDEX(LINEST(AZ140:AZ149,$CJ$286:$CJ$295),1),0)</f>
        <v>0</v>
      </c>
      <c r="BA151" s="269"/>
      <c r="BB151" s="3003">
        <f>IF(BB$67&gt;0,-1/INDEX(LINEST(BB140:BB149,$CJ$286:$CJ$295),1),0)</f>
        <v>0</v>
      </c>
      <c r="BC151" s="269"/>
      <c r="BD151" s="3003">
        <f>IF(BD$67&gt;0,-1/INDEX(LINEST(BD140:BD149,$CJ$286:$CJ$295),1),0)</f>
        <v>0</v>
      </c>
      <c r="BE151" s="269"/>
      <c r="BF151" s="3003">
        <f>IF(BF$67&gt;0,-1/INDEX(LINEST(BF140:BF149,$CJ$286:$CJ$295),1),0)</f>
        <v>0</v>
      </c>
      <c r="BG151" s="269"/>
      <c r="BH151" s="3003">
        <f>IF(BH$67&gt;0,-1/INDEX(LINEST(BH140:BH149,$CJ$286:$CJ$295),1),0)</f>
        <v>0</v>
      </c>
      <c r="BI151" s="269"/>
      <c r="BJ151" s="3003">
        <f>IF(BJ$67&gt;0,-1/INDEX(LINEST(BJ140:BJ149,$CJ$286:$CJ$295),1),0)</f>
        <v>0</v>
      </c>
      <c r="BK151" s="269"/>
      <c r="BL151" s="3003">
        <f>IF(BL$67&gt;0,-1/INDEX(LINEST(BL140:BL149,$CJ$286:$CJ$295),1),0)</f>
        <v>0</v>
      </c>
      <c r="BM151" s="269"/>
      <c r="BN151" s="3003">
        <f>IF(BN$67&gt;0,-1/INDEX(LINEST(BN140:BN149,$CJ$286:$CJ$295),1),0)</f>
        <v>0</v>
      </c>
      <c r="BO151" s="269"/>
      <c r="BP151" s="1835"/>
      <c r="BQ151" s="83"/>
      <c r="BR151" s="81"/>
      <c r="BS151" s="512" t="s">
        <v>5107</v>
      </c>
      <c r="BT151" s="81"/>
      <c r="BU151" s="1289">
        <f>IF(BU$83&gt;0,LN(IF(BU$141&gt;=5000,BU$99*BU$139*5000^BU$140,NBPuff_A*BU$83/BU$98/(5000-BU$141+BU$142)^(1/NBPuff_B))),0)</f>
        <v>0</v>
      </c>
      <c r="BV151" s="81"/>
      <c r="BW151" s="1289">
        <f>IF(BW$83&gt;0,LN(IF(BW$141&gt;=5000,BW$99*BW$139*5000^BW$140,NBPuff_A*BW$83/BW$98/(5000-BW$141+BW$142)^(1/NBPuff_B))),0)</f>
        <v>0</v>
      </c>
      <c r="BX151" s="81"/>
      <c r="BY151" s="1289">
        <f>IF(BY$83&gt;0,LN(IF(BY$141&gt;=5000,BY$99*BY$139*5000^BY$140,NBPuff_A*BY$83/BY$98/(5000-BY$141+BY$142)^(1/NBPuff_B))),0)</f>
        <v>0</v>
      </c>
      <c r="BZ151" s="81"/>
      <c r="CA151" s="1289">
        <f>IF(CA$83&gt;0,LN(IF(CA$141&gt;=5000,CA$99*CA$139*5000^CA$140,NBPuff_A*CA$83/CA$98/(5000-CA$141+CA$142)^(1/NBPuff_B))),0)</f>
        <v>0</v>
      </c>
      <c r="CB151" s="81"/>
      <c r="CC151" s="1289">
        <f>IF(CC$83&gt;0,LN(IF(CC$141&gt;=5000,CC$99*CC$139*5000^CC$140,NBPuff_A*CC$83/CC$98/(5000-CC$141+CC$142)^(1/NBPuff_B))),0)</f>
        <v>0</v>
      </c>
      <c r="CD151" s="81"/>
      <c r="CE151" s="23"/>
      <c r="CF151" s="81"/>
      <c r="CG151" s="2"/>
      <c r="CH151" s="85" t="s">
        <v>3540</v>
      </c>
      <c r="CI151" s="83"/>
      <c r="CJ151" s="1209" t="str">
        <f>IF('User Scenario'!S28&lt;&gt;"",'User Scenario'!S27*Public_Units_Conversion,"")</f>
        <v/>
      </c>
      <c r="CK151" s="83"/>
      <c r="CL151" s="23"/>
      <c r="CM151" s="83"/>
      <c r="CN151" s="7"/>
      <c r="CO151" s="7"/>
      <c r="CP151" s="7"/>
      <c r="CQ151" s="7"/>
      <c r="CR151" s="7"/>
      <c r="CS151" s="7"/>
      <c r="CT151" s="7"/>
      <c r="CU151" s="7"/>
      <c r="CV151" s="7"/>
      <c r="CW151" s="7"/>
      <c r="CX151" s="7"/>
      <c r="CY151" s="7"/>
      <c r="CZ151" s="7"/>
      <c r="DA151" s="7"/>
      <c r="DB151" s="7"/>
      <c r="DC151" s="7"/>
      <c r="DD151" s="7"/>
      <c r="DE151" s="7"/>
    </row>
    <row r="152" spans="1:109" s="26" customFormat="1" ht="15" customHeight="1" thickBot="1" x14ac:dyDescent="0.3">
      <c r="A152" s="2"/>
      <c r="B152" s="512" t="s">
        <v>5108</v>
      </c>
      <c r="C152" s="83"/>
      <c r="D152" s="3002">
        <f>IF(D$83&gt;0,LN(IF(D$141&gt;=10000,D$99*D$139*10000^D$140,NBPuff_A*D$83/D$98/(10000-D$141+D$142)^(1/NBPuff_B))),0)</f>
        <v>0</v>
      </c>
      <c r="E152" s="83"/>
      <c r="F152" s="3002">
        <f>IF(F$83&gt;0,LN(IF(F$141&gt;=10000,F$99*F$139*10000^F$140,NBPuff_A*F$83/F$98/(10000-F$141+F$142)^(1/NBPuff_B))),0)</f>
        <v>0</v>
      </c>
      <c r="G152" s="83"/>
      <c r="H152" s="3002">
        <f>IF(H$83&gt;0,LN(IF(H$141&gt;=10000,H$99*H$139*10000^H$140,NBPuff_A*H$83/H$98/(10000-H$141+H$142)^(1/NBPuff_B))),0)</f>
        <v>0</v>
      </c>
      <c r="I152" s="83"/>
      <c r="J152" s="3002">
        <f>IF(J$83&gt;0,LN(IF(J$141&gt;=10000,J$99*J$139*10000^J$140,NBPuff_A*J$83/J$98/(10000-J$141+J$142)^(1/NBPuff_B))),0)</f>
        <v>0</v>
      </c>
      <c r="K152" s="83"/>
      <c r="L152" s="3002">
        <f>IF(L$83&gt;0,LN(IF(L$141&gt;=10000,L$99*L$139*10000^L$140,NBPuff_A*L$83/L$98/(10000-L$141+L$142)^(1/NBPuff_B))),0)</f>
        <v>0</v>
      </c>
      <c r="M152" s="83"/>
      <c r="N152" s="3002">
        <f>IF(N$83&gt;0,LN(IF(N$141&gt;=10000,N$99*N$139*10000^N$140,NBPuff_A*N$83/N$98/(10000-N$141+N$142)^(1/NBPuff_B))),0)</f>
        <v>0</v>
      </c>
      <c r="O152" s="83"/>
      <c r="P152" s="3002">
        <f>IF(P$83&gt;0,LN(IF(P$141&gt;=10000,P$99*P$139*10000^P$140,NBPuff_A*P$83/P$98/(10000-P$141+P$142)^(1/NBPuff_B))),0)</f>
        <v>0</v>
      </c>
      <c r="Q152" s="83"/>
      <c r="R152" s="3002">
        <f>IF(R$83&gt;0,LN(IF(R$141&gt;=10000,R$99*R$139*10000^R$140,NBPuff_A*R$83/R$98/(10000-R$141+R$142)^(1/NBPuff_B))),0)</f>
        <v>0</v>
      </c>
      <c r="S152" s="83"/>
      <c r="T152" s="3002">
        <f>IF(T$83&gt;0,LN(IF(T$141&gt;=10000,T$99*T$139*10000^T$140,NBPuff_A*T$83/T$98/(10000-T$141+T$142)^(1/NBPuff_B))),0)</f>
        <v>0</v>
      </c>
      <c r="U152" s="83"/>
      <c r="V152" s="3002">
        <f>IF(V$83&gt;0,LN(IF(V$141&gt;=10000,V$99*V$139*10000^V$140,NBPuff_A*V$83/V$98/(10000-V$141+V$142)^(1/NBPuff_B))),0)</f>
        <v>0</v>
      </c>
      <c r="W152" s="83"/>
      <c r="X152" s="3002">
        <f>IF(X$83&gt;0,LN(IF(X$141&gt;=10000,X$99*X$139*10000^X$140,NBPuff_A*X$83/X$98/(10000-X$141+X$142)^(1/NBPuff_B))),0)</f>
        <v>0</v>
      </c>
      <c r="Y152" s="83"/>
      <c r="Z152" s="2988"/>
      <c r="AA152" s="83"/>
      <c r="AB152" s="81"/>
      <c r="AC152" s="2977" t="s">
        <v>5051</v>
      </c>
      <c r="AD152" s="81"/>
      <c r="AE152" s="1230">
        <f>EXP(INDEX(LINEST($CJ$277:$CJ$283,AE145:AE151),2))*((Ambient_Temp+273)/(AE9+273))*Roughness_A</f>
        <v>5.4578754578754546E-3</v>
      </c>
      <c r="AF152" s="81"/>
      <c r="AG152" s="1230">
        <f>EXP(INDEX(LINEST($CJ$277:$CJ$283,AG145:AG151),2))*((Ambient_Temp+273)/(AG9+273))*Roughness_A</f>
        <v>5.4578754578754546E-3</v>
      </c>
      <c r="AH152" s="81"/>
      <c r="AI152" s="1230">
        <f>EXP(INDEX(LINEST($CJ$277:$CJ$283,AI145:AI151),2))*((Ambient_Temp+273)/(AI9+273))*Roughness_A</f>
        <v>5.4578754578754546E-3</v>
      </c>
      <c r="AJ152" s="81"/>
      <c r="AK152" s="1230">
        <f>EXP(INDEX(LINEST($CJ$277:$CJ$283,AK145:AK151),2))*((Ambient_Temp+273)/(AK9+273))*Roughness_A</f>
        <v>5.4578754578754546E-3</v>
      </c>
      <c r="AL152" s="81"/>
      <c r="AM152" s="1230">
        <f>EXP(INDEX(LINEST($CJ$277:$CJ$283,AM145:AM151),2))*((Ambient_Temp+273)/(AM9+273))*Roughness_A</f>
        <v>5.4578754578754546E-3</v>
      </c>
      <c r="AN152" s="81"/>
      <c r="AO152" s="1230">
        <f>EXP(INDEX(LINEST($CJ$277:$CJ$283,AO145:AO151),2))*((Ambient_Temp+273)/(AO9+273))*Roughness_A</f>
        <v>5.4578754578754546E-3</v>
      </c>
      <c r="AP152" s="81"/>
      <c r="AQ152" s="85"/>
      <c r="AR152" s="81"/>
      <c r="AS152" s="83"/>
      <c r="AT152" s="2976" t="s">
        <v>5123</v>
      </c>
      <c r="AU152" s="83"/>
      <c r="AV152" s="2105">
        <f>IF(AND(AV67&gt;0,AV$84&gt;0),AV150*(AV$67/(AV$82*AV$84))^AV151,0)</f>
        <v>0</v>
      </c>
      <c r="AW152" s="269"/>
      <c r="AX152" s="2105">
        <f>IF(AND(AX67&gt;0,AX$84&gt;0),AX150*(AX$67/(AX$82*AX$84))^AX151,0)</f>
        <v>0</v>
      </c>
      <c r="AY152" s="269"/>
      <c r="AZ152" s="2105">
        <f>IF(AND(AZ67&gt;0,AZ$84&gt;0),AZ150*(AZ$67/(AZ$82*AZ$84))^AZ151,0)</f>
        <v>0</v>
      </c>
      <c r="BA152" s="269"/>
      <c r="BB152" s="2105">
        <f>IF(AND(BB67&gt;0,BB$84&gt;0),BB150*(BB$67/(BB$82*BB$84))^BB151,0)</f>
        <v>0</v>
      </c>
      <c r="BC152" s="269"/>
      <c r="BD152" s="2105">
        <f>IF(AND(BD67&gt;0,BD$84&gt;0),BD150*(BD$67/(BD$82*BD$84))^BD151,0)</f>
        <v>0</v>
      </c>
      <c r="BE152" s="269"/>
      <c r="BF152" s="2105">
        <f>IF(AND(BF67&gt;0,BF$84&gt;0),BF150*(BF$67/(BF$82*BF$84))^BF151,0)</f>
        <v>0</v>
      </c>
      <c r="BG152" s="269"/>
      <c r="BH152" s="2105">
        <f>IF(AND(BH67&gt;0,BH$84&gt;0),BH150*(BH$67/(BH$82*BH$84))^BH151,0)</f>
        <v>0</v>
      </c>
      <c r="BI152" s="269"/>
      <c r="BJ152" s="2105">
        <f>IF(AND(BJ67&gt;0,BJ$84&gt;0),BJ150*(BJ$67/(BJ$82*BJ$84))^BJ151,0)</f>
        <v>0</v>
      </c>
      <c r="BK152" s="269"/>
      <c r="BL152" s="2105">
        <f>IF(AND(BL67&gt;0,BL$84&gt;0),BL150*(BL$67/(BL$82*BL$84))^BL151,0)</f>
        <v>0</v>
      </c>
      <c r="BM152" s="269"/>
      <c r="BN152" s="2105">
        <f>IF(AND(BN67&gt;0,BN$84&gt;0),BN150*(BN$67/(BN$82*BN$84))^BN151,0)</f>
        <v>0</v>
      </c>
      <c r="BO152" s="269"/>
      <c r="BP152" s="1835"/>
      <c r="BQ152" s="83"/>
      <c r="BR152" s="81"/>
      <c r="BS152" s="512" t="s">
        <v>5108</v>
      </c>
      <c r="BT152" s="81"/>
      <c r="BU152" s="3002">
        <f>IF(BU$83&gt;0,LN(IF(BU$141&gt;=10000,BU$99*BU$139*10000^BU$140,NBPuff_A*BU$83/BU$98/(10000-BU$141+BU$142)^(1/NBPuff_B))),0)</f>
        <v>0</v>
      </c>
      <c r="BV152" s="81"/>
      <c r="BW152" s="3002">
        <f>IF(BW$83&gt;0,LN(IF(BW$141&gt;=10000,BW$99*BW$139*10000^BW$140,NBPuff_A*BW$83/BW$98/(10000-BW$141+BW$142)^(1/NBPuff_B))),0)</f>
        <v>0</v>
      </c>
      <c r="BX152" s="81"/>
      <c r="BY152" s="3002">
        <f>IF(BY$83&gt;0,LN(IF(BY$141&gt;=10000,BY$99*BY$139*10000^BY$140,NBPuff_A*BY$83/BY$98/(10000-BY$141+BY$142)^(1/NBPuff_B))),0)</f>
        <v>0</v>
      </c>
      <c r="BZ152" s="81"/>
      <c r="CA152" s="3002">
        <f>IF(CA$83&gt;0,LN(IF(CA$141&gt;=10000,CA$99*CA$139*10000^CA$140,NBPuff_A*CA$83/CA$98/(10000-CA$141+CA$142)^(1/NBPuff_B))),0)</f>
        <v>0</v>
      </c>
      <c r="CB152" s="81"/>
      <c r="CC152" s="3002">
        <f>IF(CC$83&gt;0,LN(IF(CC$141&gt;=10000,CC$99*CC$139*10000^CC$140,NBPuff_A*CC$83/CC$98/(10000-CC$141+CC$142)^(1/NBPuff_B))),0)</f>
        <v>0</v>
      </c>
      <c r="CD152" s="81"/>
      <c r="CE152" s="23"/>
      <c r="CF152" s="81"/>
      <c r="CG152" s="2"/>
      <c r="CH152" s="25" t="s">
        <v>3772</v>
      </c>
      <c r="CI152" s="83"/>
      <c r="CJ152" s="1209" t="str">
        <f>IF(CJ151="","",CJ151*ConcFract_Indoor^IF(CJ19="Instantaneous",CJ$131,CJ$105))</f>
        <v/>
      </c>
      <c r="CK152" s="83"/>
      <c r="CL152" s="23" t="s">
        <v>1068</v>
      </c>
      <c r="CM152" s="83"/>
      <c r="CN152" s="7"/>
      <c r="CO152" s="7"/>
      <c r="CP152" s="7"/>
      <c r="CQ152" s="7"/>
      <c r="CR152" s="7"/>
      <c r="CS152" s="7"/>
      <c r="CT152" s="7"/>
      <c r="CU152" s="7"/>
      <c r="CV152" s="7"/>
      <c r="CW152" s="7"/>
      <c r="CX152" s="7"/>
      <c r="CY152" s="7"/>
      <c r="CZ152" s="7"/>
      <c r="DA152" s="7"/>
      <c r="DB152" s="7"/>
      <c r="DC152" s="7"/>
      <c r="DD152" s="7"/>
      <c r="DE152" s="7"/>
    </row>
    <row r="153" spans="1:109" s="26" customFormat="1" ht="15" customHeight="1" thickBot="1" x14ac:dyDescent="0.3">
      <c r="A153" s="2"/>
      <c r="B153" s="2975" t="s">
        <v>5077</v>
      </c>
      <c r="C153" s="83"/>
      <c r="D153" s="2980">
        <f>IF(D$83&gt;0,(EXP(INDEX(LINEST(D143:D152,$CJ$286:$CJ$295),2))*D$98/D$83)^D154,0)</f>
        <v>0</v>
      </c>
      <c r="E153" s="83"/>
      <c r="F153" s="2980">
        <f>IF(F$83&gt;0,(EXP(INDEX(LINEST(F143:F152,$CJ$286:$CJ$295),2))*F$98/F$83)^F154,0)</f>
        <v>0</v>
      </c>
      <c r="G153" s="83"/>
      <c r="H153" s="2980">
        <f>IF(H$83&gt;0,(EXP(INDEX(LINEST(H143:H152,$CJ$286:$CJ$295),2))*H$98/H$83)^H154,0)</f>
        <v>0</v>
      </c>
      <c r="I153" s="83"/>
      <c r="J153" s="2980">
        <f>IF(J$83&gt;0,(EXP(INDEX(LINEST(J143:J152,$CJ$286:$CJ$295),2))*J$98/J$83)^J154,0)</f>
        <v>0</v>
      </c>
      <c r="K153" s="83"/>
      <c r="L153" s="2980">
        <f>IF(L$83&gt;0,(EXP(INDEX(LINEST(L143:L152,$CJ$286:$CJ$295),2))*L$98/L$83)^L154,0)</f>
        <v>0</v>
      </c>
      <c r="M153" s="83"/>
      <c r="N153" s="2980">
        <f>IF(N$83&gt;0,(EXP(INDEX(LINEST(N143:N152,$CJ$286:$CJ$295),2))*N$98/N$83)^N154,0)</f>
        <v>0</v>
      </c>
      <c r="O153" s="83"/>
      <c r="P153" s="2980">
        <f>IF(P$83&gt;0,(EXP(INDEX(LINEST(P143:P152,$CJ$286:$CJ$295),2))*P$98/P$83)^P154,0)</f>
        <v>0</v>
      </c>
      <c r="Q153" s="83"/>
      <c r="R153" s="2980">
        <f>IF(R$83&gt;0,(EXP(INDEX(LINEST(R143:R152,$CJ$286:$CJ$295),2))*R$98/R$83)^R154,0)</f>
        <v>0</v>
      </c>
      <c r="S153" s="83"/>
      <c r="T153" s="2980">
        <f>IF(T$83&gt;0,(EXP(INDEX(LINEST(T143:T152,$CJ$286:$CJ$295),2))*T$98/T$83)^T154,0)</f>
        <v>0</v>
      </c>
      <c r="U153" s="83"/>
      <c r="V153" s="2980">
        <f>IF(V$83&gt;0,(EXP(INDEX(LINEST(V143:V152,$CJ$286:$CJ$295),2))*V$98/V$83)^V154,0)</f>
        <v>0</v>
      </c>
      <c r="W153" s="83"/>
      <c r="X153" s="2980">
        <f>IF(X$83&gt;0,(EXP(INDEX(LINEST(X143:X152,$CJ$286:$CJ$295),2))*X$98/X$83)^X154,0)</f>
        <v>0</v>
      </c>
      <c r="Y153" s="83"/>
      <c r="Z153" s="2987"/>
      <c r="AA153" s="83"/>
      <c r="AB153" s="81"/>
      <c r="AC153" s="2977" t="s">
        <v>5052</v>
      </c>
      <c r="AD153" s="81"/>
      <c r="AE153" s="1230">
        <f>INDEX(LINEST($CJ$277:$CJ$283,AE145:AE151),1)+Roughness_B</f>
        <v>0</v>
      </c>
      <c r="AF153" s="81"/>
      <c r="AG153" s="1230">
        <f>INDEX(LINEST($CJ$277:$CJ$283,AG145:AG151),1)+Roughness_B</f>
        <v>0</v>
      </c>
      <c r="AH153" s="81"/>
      <c r="AI153" s="1230">
        <f>INDEX(LINEST($CJ$277:$CJ$283,AI145:AI151),1)+Roughness_B</f>
        <v>0</v>
      </c>
      <c r="AJ153" s="81"/>
      <c r="AK153" s="1230">
        <f>INDEX(LINEST($CJ$277:$CJ$283,AK145:AK151),1)+Roughness_B</f>
        <v>0</v>
      </c>
      <c r="AL153" s="81"/>
      <c r="AM153" s="1230">
        <f>INDEX(LINEST($CJ$277:$CJ$283,AM145:AM151),1)+Roughness_B</f>
        <v>0</v>
      </c>
      <c r="AN153" s="81"/>
      <c r="AO153" s="1230">
        <f>INDEX(LINEST($CJ$277:$CJ$283,AO145:AO151),1)+Roughness_B</f>
        <v>0</v>
      </c>
      <c r="AP153" s="81"/>
      <c r="AQ153" s="85"/>
      <c r="AR153" s="81"/>
      <c r="AS153" s="83"/>
      <c r="AT153" s="85" t="s">
        <v>5079</v>
      </c>
      <c r="AU153" s="83"/>
      <c r="AV153" s="3004" t="str">
        <f>IF(AV$67&gt;AV$73,IF(AV$73&gt;AV$67*(AV150^(1/AV151)/AV124^(1/AV125))*Wind*(1*Wind*AV$67/AV$73)^(1/AV125-1/AV151),"Instantaneous","Continuous"),"Continuous")</f>
        <v>Continuous</v>
      </c>
      <c r="AW153" s="269"/>
      <c r="AX153" s="3004" t="str">
        <f>IF(AX$67&gt;AX$73,IF(AX$73&gt;AX$67*(AX150^(1/AX151)/AX124^(1/AX125))*Wind*(1*Wind*AX$67/AX$73)^(1/AX125-1/AX151),"Instantaneous","Continuous"),"Continuous")</f>
        <v>Continuous</v>
      </c>
      <c r="AY153" s="269"/>
      <c r="AZ153" s="3004" t="str">
        <f>IF(AZ$67&gt;AZ$73,IF(AZ$73&gt;AZ$67*(AZ150^(1/AZ151)/AZ124^(1/AZ125))*Wind*(1*Wind*AZ$67/AZ$73)^(1/AZ125-1/AZ151),"Instantaneous","Continuous"),"Continuous")</f>
        <v>Continuous</v>
      </c>
      <c r="BA153" s="269"/>
      <c r="BB153" s="3004" t="str">
        <f>IF(BB$67&gt;BB$73,IF(BB$73&gt;BB$67*(BB150^(1/BB151)/BB124^(1/BB125))*Wind*(1*Wind*BB$67/BB$73)^(1/BB125-1/BB151),"Instantaneous","Continuous"),"Continuous")</f>
        <v>Continuous</v>
      </c>
      <c r="BC153" s="269"/>
      <c r="BD153" s="3004" t="str">
        <f>IF(BD$67&gt;BD$73,IF(BD$73&gt;BD$67*(BD150^(1/BD151)/BD124^(1/BD125))*Wind*(1*Wind*BD$67/BD$73)^(1/BD125-1/BD151),"Instantaneous","Continuous"),"Continuous")</f>
        <v>Continuous</v>
      </c>
      <c r="BE153" s="269"/>
      <c r="BF153" s="3004" t="str">
        <f>IF(BF$67&gt;BF$73,IF(BF$73&gt;BF$67*(BF150^(1/BF151)/BF124^(1/BF125))*Wind*(1*Wind*BF$67/BF$73)^(1/BF125-1/BF151),"Instantaneous","Continuous"),"Continuous")</f>
        <v>Continuous</v>
      </c>
      <c r="BG153" s="269"/>
      <c r="BH153" s="3004" t="str">
        <f>IF(BH$67&gt;BH$73,IF(BH$73&gt;BH$67*(BH150^(1/BH151)/BH124^(1/BH125))*Wind*(1*Wind*BH$67/BH$73)^(1/BH125-1/BH151),"Instantaneous","Continuous"),"Continuous")</f>
        <v>Continuous</v>
      </c>
      <c r="BI153" s="269"/>
      <c r="BJ153" s="3004" t="str">
        <f>IF(BJ$67&gt;BJ$73,IF(BJ$73&gt;BJ$67*(BJ150^(1/BJ151)/BJ124^(1/BJ125))*Wind*(1*Wind*BJ$67/BJ$73)^(1/BJ125-1/BJ151),"Instantaneous","Continuous"),"Continuous")</f>
        <v>Continuous</v>
      </c>
      <c r="BK153" s="269"/>
      <c r="BL153" s="3004" t="str">
        <f>IF(BL$67&gt;BL$73,IF(BL$73&gt;BL$67*(BL150^(1/BL151)/BL124^(1/BL125))*Wind*(1*Wind*BL$67/BL$73)^(1/BL125-1/BL151),"Instantaneous","Continuous"),"Continuous")</f>
        <v>Continuous</v>
      </c>
      <c r="BM153" s="269"/>
      <c r="BN153" s="3004" t="str">
        <f>IF(BN$67&gt;BN$73,IF(BN$73&gt;BN$67*(BN150^(1/BN151)/BN124^(1/BN125))*Wind*(1*Wind*BN$67/BN$73)^(1/BN125-1/BN151),"Instantaneous","Continuous"),"Continuous")</f>
        <v>Continuous</v>
      </c>
      <c r="BO153" s="269"/>
      <c r="BP153" s="3215"/>
      <c r="BQ153" s="83"/>
      <c r="BR153" s="81"/>
      <c r="BS153" s="2975" t="s">
        <v>5077</v>
      </c>
      <c r="BT153" s="81"/>
      <c r="BU153" s="2980">
        <f>IF(BU$83&gt;0,(EXP(INDEX(LINEST(BU143:BU152,$CJ$286:$CJ$295),2))*BU$98/BU$83)^BU154,0)</f>
        <v>0</v>
      </c>
      <c r="BV153" s="81"/>
      <c r="BW153" s="2980">
        <f>IF(BW$83&gt;0,(EXP(INDEX(LINEST(BW143:BW152,$CJ$286:$CJ$295),2))*BW$98/BW$83)^BW154,0)</f>
        <v>0</v>
      </c>
      <c r="BX153" s="81"/>
      <c r="BY153" s="2980">
        <f>IF(BY$83&gt;0,(EXP(INDEX(LINEST(BY143:BY152,$CJ$286:$CJ$295),2))*BY$98/BY$83)^BY154,0)</f>
        <v>0</v>
      </c>
      <c r="BZ153" s="81"/>
      <c r="CA153" s="2980">
        <f>IF(CA$83&gt;0,(EXP(INDEX(LINEST(CA143:CA152,$CJ$286:$CJ$295),2))*CA$98/CA$83)^CA154,0)</f>
        <v>0</v>
      </c>
      <c r="CB153" s="81"/>
      <c r="CC153" s="2980">
        <f>IF(CC$83&gt;0,(EXP(INDEX(LINEST(CC143:CC152,$CJ$286:$CJ$295),2))*CC$98/CC$83)^CC154,0)</f>
        <v>0</v>
      </c>
      <c r="CD153" s="81"/>
      <c r="CE153" s="23"/>
      <c r="CF153" s="81"/>
      <c r="CG153" s="2"/>
      <c r="CH153" s="119" t="s">
        <v>293</v>
      </c>
      <c r="CI153" s="83"/>
      <c r="CJ153" s="101" t="str">
        <f>IF(OR(Attended="Yes",AND(Attended&lt;&gt;"No",OR(Equipment="Bag/Pak Dumping (Solids)",Equipment="Drum/IBC Handling",Equipment="Tank Truck/Rail Car/Tote"))),"Yes","No")</f>
        <v>No</v>
      </c>
      <c r="CK153" s="83"/>
      <c r="CL153" s="113"/>
      <c r="CM153" s="83"/>
      <c r="CN153" s="7"/>
      <c r="CO153" s="7"/>
      <c r="CP153" s="7"/>
      <c r="CQ153" s="7"/>
      <c r="CR153" s="7"/>
      <c r="CS153" s="7"/>
      <c r="CT153" s="7"/>
      <c r="CU153" s="7"/>
      <c r="CV153" s="7"/>
      <c r="CW153" s="7"/>
      <c r="CX153" s="7"/>
      <c r="CY153" s="7"/>
      <c r="CZ153" s="7"/>
      <c r="DA153" s="7"/>
      <c r="DB153" s="7"/>
      <c r="DC153" s="7"/>
      <c r="DD153" s="7"/>
      <c r="DE153" s="7"/>
    </row>
    <row r="154" spans="1:109" s="26" customFormat="1" ht="15" customHeight="1" x14ac:dyDescent="0.25">
      <c r="A154" s="2"/>
      <c r="B154" s="2977" t="s">
        <v>5078</v>
      </c>
      <c r="C154" s="83"/>
      <c r="D154" s="3003">
        <f>IF(D$83&gt;0,-1/INDEX(LINEST(D143:D152,$CJ$286:$CJ$295),1),0)</f>
        <v>0</v>
      </c>
      <c r="E154" s="83"/>
      <c r="F154" s="3003">
        <f>IF(F$83&gt;0,-1/INDEX(LINEST(F143:F152,$CJ$286:$CJ$295),1),0)</f>
        <v>0</v>
      </c>
      <c r="G154" s="83"/>
      <c r="H154" s="3003">
        <f>IF(H$83&gt;0,-1/INDEX(LINEST(H143:H152,$CJ$286:$CJ$295),1),0)</f>
        <v>0</v>
      </c>
      <c r="I154" s="83"/>
      <c r="J154" s="3003">
        <f>IF(J$83&gt;0,-1/INDEX(LINEST(J143:J152,$CJ$286:$CJ$295),1),0)</f>
        <v>0</v>
      </c>
      <c r="K154" s="83"/>
      <c r="L154" s="3003">
        <f>IF(L$83&gt;0,-1/INDEX(LINEST(L143:L152,$CJ$286:$CJ$295),1),0)</f>
        <v>0</v>
      </c>
      <c r="M154" s="83"/>
      <c r="N154" s="3003">
        <f>IF(N$83&gt;0,-1/INDEX(LINEST(N143:N152,$CJ$286:$CJ$295),1),0)</f>
        <v>0</v>
      </c>
      <c r="O154" s="83"/>
      <c r="P154" s="3003">
        <f>IF(P$83&gt;0,-1/INDEX(LINEST(P143:P152,$CJ$286:$CJ$295),1),0)</f>
        <v>0</v>
      </c>
      <c r="Q154" s="83"/>
      <c r="R154" s="3003">
        <f>IF(R$83&gt;0,-1/INDEX(LINEST(R143:R152,$CJ$286:$CJ$295),1),0)</f>
        <v>0</v>
      </c>
      <c r="S154" s="83"/>
      <c r="T154" s="3003">
        <f>IF(T$83&gt;0,-1/INDEX(LINEST(T143:T152,$CJ$286:$CJ$295),1),0)</f>
        <v>0</v>
      </c>
      <c r="U154" s="83"/>
      <c r="V154" s="3003">
        <f>IF(V$83&gt;0,-1/INDEX(LINEST(V143:V152,$CJ$286:$CJ$295),1),0)</f>
        <v>0</v>
      </c>
      <c r="W154" s="83"/>
      <c r="X154" s="3003">
        <f>IF(X$83&gt;0,-1/INDEX(LINEST(X143:X152,$CJ$286:$CJ$295),1),0)</f>
        <v>0</v>
      </c>
      <c r="Y154" s="83"/>
      <c r="Z154" s="2987"/>
      <c r="AA154" s="83"/>
      <c r="AB154" s="81"/>
      <c r="AC154" s="1691" t="s">
        <v>5067</v>
      </c>
      <c r="AD154" s="81"/>
      <c r="AE154" s="2401">
        <f>IF(AE144&lt;AE$99,(AE152/(AE144/AE$99))^(-1/AE153),0)</f>
        <v>0</v>
      </c>
      <c r="AF154" s="81"/>
      <c r="AG154" s="2401">
        <f>IF(AG144&lt;AG$99,(AG152/(AG144/AG$99))^(-1/AG153),0)</f>
        <v>0</v>
      </c>
      <c r="AH154" s="81"/>
      <c r="AI154" s="2401">
        <f>IF(AI144&lt;AI$99,(AI152/(AI144/AI$99))^(-1/AI153),0)</f>
        <v>0</v>
      </c>
      <c r="AJ154" s="81"/>
      <c r="AK154" s="2401">
        <f>IF(AK144&lt;AK$99,(AK152/(AK144/AK$99))^(-1/AK153),0)</f>
        <v>0</v>
      </c>
      <c r="AL154" s="81"/>
      <c r="AM154" s="2401">
        <f>IF(AM144&lt;AM$99,(AM152/(AM144/AM$99))^(-1/AM153),0)</f>
        <v>0</v>
      </c>
      <c r="AN154" s="81"/>
      <c r="AO154" s="2401">
        <f>IF(AO144&lt;AO$99,(AO152/(AO144/AO$99))^(-1/AO153),0)</f>
        <v>0</v>
      </c>
      <c r="AP154" s="81"/>
      <c r="AQ154" s="85"/>
      <c r="AR154" s="81"/>
      <c r="AS154" s="83"/>
      <c r="AT154" s="1689" t="s">
        <v>5062</v>
      </c>
      <c r="AU154" s="83"/>
      <c r="AV154" s="2426" t="e">
        <f>IF(AV88&gt;0,(AV88^2*AV86/Wind_Night^5)^0.2,0)</f>
        <v>#DIV/0!</v>
      </c>
      <c r="AW154" s="269"/>
      <c r="AX154" s="2426" t="e">
        <f>IF(AX88&gt;0,(AX88^2*AX86/Wind_Night^5)^0.2,0)</f>
        <v>#DIV/0!</v>
      </c>
      <c r="AY154" s="269"/>
      <c r="AZ154" s="2426" t="e">
        <f>IF(AZ88&gt;0,(AZ88^2*AZ86/Wind_Night^5)^0.2,0)</f>
        <v>#DIV/0!</v>
      </c>
      <c r="BA154" s="269"/>
      <c r="BB154" s="2426" t="e">
        <f>IF(BB88&gt;0,(BB88^2*BB86/Wind_Night^5)^0.2,0)</f>
        <v>#DIV/0!</v>
      </c>
      <c r="BC154" s="269"/>
      <c r="BD154" s="2426" t="e">
        <f>IF(BD88&gt;0,(BD88^2*BD86/Wind_Night^5)^0.2,0)</f>
        <v>#DIV/0!</v>
      </c>
      <c r="BE154" s="269"/>
      <c r="BF154" s="2426" t="e">
        <f>IF(BF88&gt;0,(BF88^2*BF86/Wind_Night^5)^0.2,0)</f>
        <v>#DIV/0!</v>
      </c>
      <c r="BG154" s="269"/>
      <c r="BH154" s="2426" t="e">
        <f>IF(BH88&gt;0,(BH88^2*BH86/Wind_Night^5)^0.2,0)</f>
        <v>#DIV/0!</v>
      </c>
      <c r="BI154" s="269"/>
      <c r="BJ154" s="2426" t="e">
        <f>IF(BJ88&gt;0,(BJ88^2*BJ86/Wind_Night^5)^0.2,0)</f>
        <v>#DIV/0!</v>
      </c>
      <c r="BK154" s="269"/>
      <c r="BL154" s="2426" t="e">
        <f>IF(BL88&gt;0,(BL88^2*BL86/Wind_Night^5)^0.2,0)</f>
        <v>#DIV/0!</v>
      </c>
      <c r="BM154" s="269"/>
      <c r="BN154" s="2426" t="e">
        <f>IF(BN88&gt;0,(BN88^2*BN86/Wind_Night^5)^0.2,0)</f>
        <v>#DIV/0!</v>
      </c>
      <c r="BO154" s="269"/>
      <c r="BP154" s="1835"/>
      <c r="BQ154" s="83"/>
      <c r="BR154" s="81"/>
      <c r="BS154" s="2977" t="s">
        <v>5078</v>
      </c>
      <c r="BT154" s="81"/>
      <c r="BU154" s="3003">
        <f>IF(BU$83&gt;0,-1/INDEX(LINEST(BU143:BU152,$CJ$286:$CJ$295),1),0)</f>
        <v>0</v>
      </c>
      <c r="BV154" s="81"/>
      <c r="BW154" s="3003">
        <f>IF(BW$83&gt;0,-1/INDEX(LINEST(BW143:BW152,$CJ$286:$CJ$295),1),0)</f>
        <v>0</v>
      </c>
      <c r="BX154" s="81"/>
      <c r="BY154" s="3003">
        <f>IF(BY$83&gt;0,-1/INDEX(LINEST(BY143:BY152,$CJ$286:$CJ$295),1),0)</f>
        <v>0</v>
      </c>
      <c r="BZ154" s="81"/>
      <c r="CA154" s="3003">
        <f>IF(CA$83&gt;0,-1/INDEX(LINEST(CA143:CA152,$CJ$286:$CJ$295),1),0)</f>
        <v>0</v>
      </c>
      <c r="CB154" s="81"/>
      <c r="CC154" s="3003">
        <f>IF(CC$83&gt;0,-1/INDEX(LINEST(CC143:CC152,$CJ$286:$CJ$295),1),0)</f>
        <v>0</v>
      </c>
      <c r="CD154" s="81"/>
      <c r="CE154" s="23"/>
      <c r="CF154" s="81"/>
      <c r="CG154" s="2"/>
      <c r="CH154" s="23" t="s">
        <v>2736</v>
      </c>
      <c r="CI154" s="83"/>
      <c r="CJ154" s="105"/>
      <c r="CK154" s="83"/>
      <c r="CL154" s="23" t="s">
        <v>1506</v>
      </c>
      <c r="CM154" s="83"/>
      <c r="CN154" s="7"/>
      <c r="CO154" s="7"/>
      <c r="CP154" s="7"/>
      <c r="CQ154" s="7"/>
      <c r="CR154" s="7"/>
      <c r="CS154" s="7"/>
      <c r="CT154" s="7"/>
      <c r="CU154" s="7"/>
      <c r="CV154" s="7"/>
      <c r="CW154" s="7"/>
      <c r="CX154" s="7"/>
      <c r="CY154" s="7"/>
      <c r="CZ154" s="7"/>
      <c r="DA154" s="7"/>
      <c r="DB154" s="7"/>
      <c r="DC154" s="7"/>
      <c r="DD154" s="7"/>
      <c r="DE154" s="7"/>
    </row>
    <row r="155" spans="1:109" s="26" customFormat="1" ht="15" customHeight="1" thickBot="1" x14ac:dyDescent="0.3">
      <c r="A155" s="2"/>
      <c r="B155" s="2976" t="s">
        <v>5123</v>
      </c>
      <c r="C155" s="83"/>
      <c r="D155" s="2105">
        <f>IF(AND(D83&gt;0,D$100&gt;0),D153*(D$83/(D$98*D$100))^D154,0)</f>
        <v>0</v>
      </c>
      <c r="E155" s="83"/>
      <c r="F155" s="2105">
        <f>IF(AND(F83&gt;0,F$100&gt;0),F153*(F$83/(F$98*F$100))^F154,0)</f>
        <v>0</v>
      </c>
      <c r="G155" s="83"/>
      <c r="H155" s="2105">
        <f>IF(AND(H83&gt;0,H$100&gt;0),H153*(H$83/(H$98*H$100))^H154,0)</f>
        <v>0</v>
      </c>
      <c r="I155" s="83"/>
      <c r="J155" s="2105">
        <f>IF(AND(J83&gt;0,J$100&gt;0),J153*(J$83/(J$98*J$100))^J154,0)</f>
        <v>0</v>
      </c>
      <c r="K155" s="83"/>
      <c r="L155" s="2105">
        <f>IF(AND(L83&gt;0,L$100&gt;0),L153*(L$83/(L$98*L$100))^L154,0)</f>
        <v>0</v>
      </c>
      <c r="M155" s="83"/>
      <c r="N155" s="2105">
        <f>IF(AND(N83&gt;0,N$100&gt;0),N153*(N$83/(N$98*N$100))^N154,0)</f>
        <v>0</v>
      </c>
      <c r="O155" s="83"/>
      <c r="P155" s="2105">
        <f>IF(AND(P83&gt;0,P$100&gt;0),P153*(P$83/(P$98*P$100))^P154,0)</f>
        <v>0</v>
      </c>
      <c r="Q155" s="83"/>
      <c r="R155" s="2105">
        <f>IF(AND(R83&gt;0,R$100&gt;0),R153*(R$83/(R$98*R$100))^R154,0)</f>
        <v>0</v>
      </c>
      <c r="S155" s="83"/>
      <c r="T155" s="2105">
        <f>IF(AND(T83&gt;0,T$100&gt;0),T153*(T$83/(T$98*T$100))^T154,0)</f>
        <v>0</v>
      </c>
      <c r="U155" s="83"/>
      <c r="V155" s="2105">
        <f>IF(AND(V83&gt;0,V$100&gt;0),V153*(V$83/(V$98*V$100))^V154,0)</f>
        <v>0</v>
      </c>
      <c r="W155" s="83"/>
      <c r="X155" s="2105">
        <f>IF(AND(X83&gt;0,X$100&gt;0),X153*(X$83/(X$98*X$100))^X154,0)</f>
        <v>0</v>
      </c>
      <c r="Y155" s="83"/>
      <c r="Z155" s="2987"/>
      <c r="AA155" s="83"/>
      <c r="AB155" s="81"/>
      <c r="AC155" s="1691" t="s">
        <v>5071</v>
      </c>
      <c r="AD155" s="81"/>
      <c r="AE155" s="2985">
        <f>IF(AE154&gt;0,NBPuff_A*AE$83/(AE$98*AE144),0)^NBPuff_B</f>
        <v>0</v>
      </c>
      <c r="AF155" s="81"/>
      <c r="AG155" s="2985">
        <f>IF(AG154&gt;0,NBPuff_A*AG$83/(AG$98*AG144),0)^NBPuff_B</f>
        <v>0</v>
      </c>
      <c r="AH155" s="81"/>
      <c r="AI155" s="2985">
        <f>IF(AI154&gt;0,NBPuff_A*AI$83/(AI$98*AI144),0)^NBPuff_B</f>
        <v>0</v>
      </c>
      <c r="AJ155" s="81"/>
      <c r="AK155" s="2985">
        <f>IF(AK154&gt;0,NBPuff_A*AK$83/(AK$98*AK144),0)^NBPuff_B</f>
        <v>0</v>
      </c>
      <c r="AL155" s="81"/>
      <c r="AM155" s="2985">
        <f>IF(AM154&gt;0,NBPuff_A*AM$83/(AM$98*AM144),0)^NBPuff_B</f>
        <v>0</v>
      </c>
      <c r="AN155" s="81"/>
      <c r="AO155" s="2985">
        <f>IF(AO154&gt;0,NBPuff_A*AO$83/(AO$98*AO144),0)^NBPuff_B</f>
        <v>0</v>
      </c>
      <c r="AP155" s="81"/>
      <c r="AQ155" s="85"/>
      <c r="AR155" s="81"/>
      <c r="AS155" s="83"/>
      <c r="AT155" s="1691" t="s">
        <v>5063</v>
      </c>
      <c r="AU155" s="83"/>
      <c r="AV155" s="3000" t="e">
        <f>IF(AND(AV$88&gt;0,AV154&gt;0),AV83*0.15^6/AV154^5,1)</f>
        <v>#DIV/0!</v>
      </c>
      <c r="AW155" s="269"/>
      <c r="AX155" s="3000" t="e">
        <f>IF(AND(AX$88&gt;0,AX154&gt;0),AX83*0.15^6/AX154^5,1)</f>
        <v>#DIV/0!</v>
      </c>
      <c r="AY155" s="269"/>
      <c r="AZ155" s="3000" t="e">
        <f>IF(AND(AZ$88&gt;0,AZ154&gt;0),AZ83*0.15^6/AZ154^5,1)</f>
        <v>#DIV/0!</v>
      </c>
      <c r="BA155" s="269"/>
      <c r="BB155" s="3000" t="e">
        <f>IF(AND(BB$88&gt;0,BB154&gt;0),BB83*0.15^6/BB154^5,1)</f>
        <v>#DIV/0!</v>
      </c>
      <c r="BC155" s="269"/>
      <c r="BD155" s="3000" t="e">
        <f>IF(AND(BD$88&gt;0,BD154&gt;0),BD83*0.15^6/BD154^5,1)</f>
        <v>#DIV/0!</v>
      </c>
      <c r="BE155" s="269"/>
      <c r="BF155" s="3000" t="e">
        <f>IF(AND(BF$88&gt;0,BF154&gt;0),BF83*0.15^6/BF154^5,1)</f>
        <v>#DIV/0!</v>
      </c>
      <c r="BG155" s="269"/>
      <c r="BH155" s="3000" t="e">
        <f>IF(AND(BH$88&gt;0,BH154&gt;0),BH83*0.15^6/BH154^5,1)</f>
        <v>#DIV/0!</v>
      </c>
      <c r="BI155" s="269"/>
      <c r="BJ155" s="3000" t="e">
        <f>IF(AND(BJ$88&gt;0,BJ154&gt;0),BJ83*0.15^6/BJ154^5,1)</f>
        <v>#DIV/0!</v>
      </c>
      <c r="BK155" s="269"/>
      <c r="BL155" s="3000" t="e">
        <f>IF(AND(BL$88&gt;0,BL154&gt;0),BL83*0.15^6/BL154^5,1)</f>
        <v>#DIV/0!</v>
      </c>
      <c r="BM155" s="269"/>
      <c r="BN155" s="3000" t="e">
        <f>IF(AND(BN$88&gt;0,BN154&gt;0),BN83*0.15^6/BN154^5,1)</f>
        <v>#DIV/0!</v>
      </c>
      <c r="BO155" s="269"/>
      <c r="BP155" s="1835"/>
      <c r="BQ155" s="83"/>
      <c r="BR155" s="81"/>
      <c r="BS155" s="2976" t="s">
        <v>5123</v>
      </c>
      <c r="BT155" s="81"/>
      <c r="BU155" s="2105" t="e">
        <f>IF(BU$100&gt;0,BU153*(BU$83/(BU$98*BU$100))^BU154,0)</f>
        <v>#DIV/0!</v>
      </c>
      <c r="BV155" s="81"/>
      <c r="BW155" s="2105" t="e">
        <f>IF(BW$100&gt;0,BW153*(BW$83/(BW$98*BW$100))^BW154,0)</f>
        <v>#DIV/0!</v>
      </c>
      <c r="BX155" s="81"/>
      <c r="BY155" s="2105" t="e">
        <f>IF(BY$100&gt;0,BY153*(BY$83/(BY$98*BY$100))^BY154,0)</f>
        <v>#DIV/0!</v>
      </c>
      <c r="BZ155" s="81"/>
      <c r="CA155" s="2105" t="e">
        <f>IF(CA$100&gt;0,CA153*(CA$83/(CA$98*CA$100))^CA154,0)</f>
        <v>#DIV/0!</v>
      </c>
      <c r="CB155" s="81"/>
      <c r="CC155" s="2105" t="e">
        <f>IF(CC$100&gt;0,CC153*(CC$83/(CC$98*CC$100))^CC154,0)</f>
        <v>#DIV/0!</v>
      </c>
      <c r="CD155" s="81"/>
      <c r="CE155" s="23"/>
      <c r="CF155" s="81"/>
      <c r="CG155" s="2"/>
      <c r="CH155" s="23" t="s">
        <v>5293</v>
      </c>
      <c r="CI155" s="83"/>
      <c r="CJ155" s="1820">
        <f>IF('User Scenario'!S31&lt;&gt;"",'User Scenario'!S31,0)</f>
        <v>0</v>
      </c>
      <c r="CK155" s="83"/>
      <c r="CL155" s="23"/>
      <c r="CM155" s="83"/>
      <c r="CN155" s="7"/>
      <c r="CO155" s="7"/>
      <c r="CP155" s="7"/>
      <c r="CQ155" s="7"/>
      <c r="CR155" s="7"/>
      <c r="CS155" s="7"/>
      <c r="CT155" s="7"/>
      <c r="CU155" s="7"/>
      <c r="CV155" s="7"/>
      <c r="CW155" s="7"/>
      <c r="CX155" s="7"/>
      <c r="CY155" s="7"/>
      <c r="CZ155" s="7"/>
      <c r="DA155" s="7"/>
      <c r="DB155" s="7"/>
      <c r="DC155" s="7"/>
      <c r="DD155" s="7"/>
      <c r="DE155" s="7"/>
    </row>
    <row r="156" spans="1:109" s="26" customFormat="1" ht="15" customHeight="1" thickBot="1" x14ac:dyDescent="0.3">
      <c r="A156" s="2"/>
      <c r="B156" s="85" t="s">
        <v>5079</v>
      </c>
      <c r="C156" s="83"/>
      <c r="D156" s="3004" t="str">
        <f>IF(D$83&gt;D$89,IF(D$89&gt;D$83*(D153^(1/D154)/D127^(1/D128))*Wind*(1*Wind*D$83/D$89)^(1/D128-1/D154),"Instantaneous","Continuous"),"Continuous")</f>
        <v>Continuous</v>
      </c>
      <c r="E156" s="83"/>
      <c r="F156" s="3004" t="str">
        <f>IF(F$83&gt;F$89,IF(F$89&gt;F$83*(F153^(1/F154)/F127^(1/F128))*Wind*(1*Wind*F$83/F$89)^(1/F128-1/F154),"Instantaneous","Continuous"),"Continuous")</f>
        <v>Continuous</v>
      </c>
      <c r="G156" s="83"/>
      <c r="H156" s="3004" t="str">
        <f>IF(H$83&gt;H$89,IF(H$89&gt;H$83*(H153^(1/H154)/H127^(1/H128))*Wind*(1*Wind*H$83/H$89)^(1/H128-1/H154),"Instantaneous","Continuous"),"Continuous")</f>
        <v>Continuous</v>
      </c>
      <c r="I156" s="83"/>
      <c r="J156" s="3004" t="str">
        <f>IF(J$83&gt;J$89,IF(J$89&gt;J$83*(J153^(1/J154)/J127^(1/J128))*Wind*(1*Wind*J$83/J$89)^(1/J128-1/J154),"Instantaneous","Continuous"),"Continuous")</f>
        <v>Continuous</v>
      </c>
      <c r="K156" s="83"/>
      <c r="L156" s="3004" t="str">
        <f>IF(L$83&gt;L$89,IF(L$89&gt;L$83*(L153^(1/L154)/L127^(1/L128))*Wind*(1*Wind*L$83/L$89)^(1/L128-1/L154),"Instantaneous","Continuous"),"Continuous")</f>
        <v>Continuous</v>
      </c>
      <c r="M156" s="83"/>
      <c r="N156" s="3004" t="str">
        <f>IF(N$83&gt;N$89,IF(N$89&gt;N$83*(N153^(1/N154)/N127^(1/N128))*Wind*(1*Wind*N$83/N$89)^(1/N128-1/N154),"Instantaneous","Continuous"),"Continuous")</f>
        <v>Continuous</v>
      </c>
      <c r="O156" s="83"/>
      <c r="P156" s="3004" t="str">
        <f>IF(P$83&gt;P$89,IF(P$89&gt;P$83*(P153^(1/P154)/P127^(1/P128))*Wind*(1*Wind*P$83/P$89)^(1/P128-1/P154),"Instantaneous","Continuous"),"Continuous")</f>
        <v>Continuous</v>
      </c>
      <c r="Q156" s="83"/>
      <c r="R156" s="3004" t="str">
        <f>IF(R$83&gt;R$89,IF(R$89&gt;R$83*(R153^(1/R154)/R127^(1/R128))*Wind*(1*Wind*R$83/R$89)^(1/R128-1/R154),"Instantaneous","Continuous"),"Continuous")</f>
        <v>Continuous</v>
      </c>
      <c r="S156" s="83"/>
      <c r="T156" s="3004" t="str">
        <f>IF(T$83&gt;T$89,IF(T$89&gt;T$83*(T153^(1/T154)/T127^(1/T128))*Wind*(1*Wind*T$83/T$89)^(1/T128-1/T154),"Instantaneous","Continuous"),"Continuous")</f>
        <v>Continuous</v>
      </c>
      <c r="U156" s="83"/>
      <c r="V156" s="3004" t="str">
        <f>IF(V$83&gt;V$89,IF(V$89&gt;V$83*(V153^(1/V154)/V127^(1/V128))*Wind*(1*Wind*V$83/V$89)^(1/V128-1/V154),"Instantaneous","Continuous"),"Continuous")</f>
        <v>Continuous</v>
      </c>
      <c r="W156" s="83"/>
      <c r="X156" s="3004" t="str">
        <f>IF(X$83&gt;X$89,IF(X$89&gt;X$83*(X153^(1/X154)/X127^(1/X128))*Wind*(1*Wind*X$83/X$89)^(1/X128-1/X154),"Instantaneous","Continuous"),"Continuous")</f>
        <v>Continuous</v>
      </c>
      <c r="Y156" s="83"/>
      <c r="Z156" s="119"/>
      <c r="AA156" s="83"/>
      <c r="AB156" s="81"/>
      <c r="AC156" s="512" t="s">
        <v>5099</v>
      </c>
      <c r="AD156" s="81"/>
      <c r="AE156" s="1289">
        <f>IF(AE$83&gt;0,LN(IF(AE$154&gt;=10,AE$99*AE$152*10^AE$153,NBPuff_A*AE$83/AE$98/(10-AE$154+AE$155)^(1/NBPuff_B))),0)</f>
        <v>0</v>
      </c>
      <c r="AF156" s="81"/>
      <c r="AG156" s="1289">
        <f>IF(AG$83&gt;0,LN(IF(AG$154&gt;=10,AG$99*AG$152*10^AG$153,NBPuff_A*AG$83/AG$98/(10-AG$154+AG$155)^(1/NBPuff_B))),0)</f>
        <v>0</v>
      </c>
      <c r="AH156" s="81"/>
      <c r="AI156" s="1289">
        <f>IF(AI$83&gt;0,LN(IF(AI$154&gt;=10,AI$99*AI$152*10^AI$153,NBPuff_A*AI$83/AI$98/(10-AI$154+AI$155)^(1/NBPuff_B))),0)</f>
        <v>0</v>
      </c>
      <c r="AJ156" s="81"/>
      <c r="AK156" s="1289">
        <f>IF(AK$83&gt;0,LN(IF(AK$154&gt;=10,AK$99*AK$152*10^AK$153,NBPuff_A*AK$83/AK$98/(10-AK$154+AK$155)^(1/NBPuff_B))),0)</f>
        <v>0</v>
      </c>
      <c r="AL156" s="81"/>
      <c r="AM156" s="1289">
        <f>IF(AM$83&gt;0,LN(IF(AM$154&gt;=10,AM$99*AM$152*10^AM$153,NBPuff_A*AM$83/AM$98/(10-AM$154+AM$155)^(1/NBPuff_B))),0)</f>
        <v>0</v>
      </c>
      <c r="AN156" s="81"/>
      <c r="AO156" s="1289">
        <f>IF(AO$83&gt;0,LN(IF(AO$154&gt;=10,AO$99*AO$152*10^AO$153,NBPuff_A*AO$83/AO$98/(10-AO$154+AO$155)^(1/NBPuff_B))),0)</f>
        <v>0</v>
      </c>
      <c r="AP156" s="81"/>
      <c r="AQ156" s="85"/>
      <c r="AR156" s="81"/>
      <c r="AS156" s="83"/>
      <c r="AT156" s="512" t="s">
        <v>5115</v>
      </c>
      <c r="AU156" s="83"/>
      <c r="AV156" s="3000" t="e">
        <f>LN(IF(AV$155&lt;AV$83,IF(LOG(AV$154)&lt;-0.55,56.2,IF(LOG(AV$154)&lt;-0.14,10^(1.88+0.24*LOG(AV$154)),10^(1.78-0.5*LOG(AV$154))))*(AV86/Wind_Night)^0.5,1))</f>
        <v>#DIV/0!</v>
      </c>
      <c r="AW156" s="269"/>
      <c r="AX156" s="3000" t="e">
        <f>LN(IF(AX$155&lt;AX$83,IF(LOG(AX$154)&lt;-0.55,56.2,IF(LOG(AX$154)&lt;-0.14,10^(1.88+0.24*LOG(AX$154)),10^(1.78-0.5*LOG(AX$154))))*(AX86/Wind_Night)^0.5,1))</f>
        <v>#DIV/0!</v>
      </c>
      <c r="AY156" s="269"/>
      <c r="AZ156" s="3000" t="e">
        <f>LN(IF(AZ$155&lt;AZ$83,IF(LOG(AZ$154)&lt;-0.55,56.2,IF(LOG(AZ$154)&lt;-0.14,10^(1.88+0.24*LOG(AZ$154)),10^(1.78-0.5*LOG(AZ$154))))*(AZ86/Wind_Night)^0.5,1))</f>
        <v>#DIV/0!</v>
      </c>
      <c r="BA156" s="269"/>
      <c r="BB156" s="3000" t="e">
        <f>LN(IF(BB$155&lt;BB$83,IF(LOG(BB$154)&lt;-0.55,56.2,IF(LOG(BB$154)&lt;-0.14,10^(1.88+0.24*LOG(BB$154)),10^(1.78-0.5*LOG(BB$154))))*(BB86/Wind_Night)^0.5,1))</f>
        <v>#DIV/0!</v>
      </c>
      <c r="BC156" s="269"/>
      <c r="BD156" s="3000" t="e">
        <f>LN(IF(BD$155&lt;BD$83,IF(LOG(BD$154)&lt;-0.55,56.2,IF(LOG(BD$154)&lt;-0.14,10^(1.88+0.24*LOG(BD$154)),10^(1.78-0.5*LOG(BD$154))))*(BD86/Wind_Night)^0.5,1))</f>
        <v>#DIV/0!</v>
      </c>
      <c r="BE156" s="269"/>
      <c r="BF156" s="3000" t="e">
        <f>LN(IF(BF$155&lt;BF$83,IF(LOG(BF$154)&lt;-0.55,56.2,IF(LOG(BF$154)&lt;-0.14,10^(1.88+0.24*LOG(BF$154)),10^(1.78-0.5*LOG(BF$154))))*(BF86/Wind_Night)^0.5,1))</f>
        <v>#DIV/0!</v>
      </c>
      <c r="BG156" s="269"/>
      <c r="BH156" s="3000" t="e">
        <f>LN(IF(BH$155&lt;BH$83,IF(LOG(BH$154)&lt;-0.55,56.2,IF(LOG(BH$154)&lt;-0.14,10^(1.88+0.24*LOG(BH$154)),10^(1.78-0.5*LOG(BH$154))))*(BH86/Wind_Night)^0.5,1))</f>
        <v>#DIV/0!</v>
      </c>
      <c r="BI156" s="269"/>
      <c r="BJ156" s="3000" t="e">
        <f>LN(IF(BJ$155&lt;BJ$83,IF(LOG(BJ$154)&lt;-0.55,56.2,IF(LOG(BJ$154)&lt;-0.14,10^(1.88+0.24*LOG(BJ$154)),10^(1.78-0.5*LOG(BJ$154))))*(BJ86/Wind_Night)^0.5,1))</f>
        <v>#DIV/0!</v>
      </c>
      <c r="BK156" s="269"/>
      <c r="BL156" s="3000" t="e">
        <f>LN(IF(BL$155&lt;BL$83,IF(LOG(BL$154)&lt;-0.55,56.2,IF(LOG(BL$154)&lt;-0.14,10^(1.88+0.24*LOG(BL$154)),10^(1.78-0.5*LOG(BL$154))))*(BL86/Wind_Night)^0.5,1))</f>
        <v>#DIV/0!</v>
      </c>
      <c r="BM156" s="269"/>
      <c r="BN156" s="3000" t="e">
        <f>LN(IF(BN$155&lt;BN$83,IF(LOG(BN$154)&lt;-0.55,56.2,IF(LOG(BN$154)&lt;-0.14,10^(1.88+0.24*LOG(BN$154)),10^(1.78-0.5*LOG(BN$154))))*(BN86/Wind_Night)^0.5,1))</f>
        <v>#DIV/0!</v>
      </c>
      <c r="BO156" s="269"/>
      <c r="BP156" s="1835"/>
      <c r="BQ156" s="83"/>
      <c r="BR156" s="81"/>
      <c r="BS156" s="85" t="s">
        <v>5079</v>
      </c>
      <c r="BT156" s="81"/>
      <c r="BU156" s="3004" t="str">
        <f>IF(OR(State="Solid",AND(BU$89="",BU$23="Instantaneous")),"Instantaneous",IF(BU$89&lt;&gt;"",IF(BU$89&gt;BU$83*(BU153^(1/BU154)/BU127^(1/BU128))*Wind*(1*Wind*BU$83/BU$89)^(1/BU128-1/BU154),"Instantaneous","Continuous"),"Instantaneous"))</f>
        <v>Instantaneous</v>
      </c>
      <c r="BV156" s="81"/>
      <c r="BW156" s="3004" t="str">
        <f>IF(OR(State="Solid",AND(BW$89="",BW$23="Instantaneous")),"Instantaneous",IF(BW$89&lt;&gt;"",IF(BW$89&gt;BW$83*(BW153^(1/BW154)/BW127^(1/BW128))*Wind*(1*Wind*BW$83/BW$89)^(1/BW128-1/BW154),"Instantaneous","Continuous"),"Instantaneous"))</f>
        <v>Instantaneous</v>
      </c>
      <c r="BX156" s="81"/>
      <c r="BY156" s="3004" t="str">
        <f>IF(OR(State="Solid",AND(BY$89="",BY$23="Instantaneous")),"Instantaneous",IF(BY$89&lt;&gt;"",IF(BY$89&gt;BY$83*(BY153^(1/BY154)/BY127^(1/BY128))*Wind*(1*Wind*BY$83/BY$89)^(1/BY128-1/BY154),"Instantaneous","Continuous"),"Instantaneous"))</f>
        <v>Instantaneous</v>
      </c>
      <c r="BZ156" s="81"/>
      <c r="CA156" s="3004" t="str">
        <f>IF(OR(State="Solid",AND(CA$89="",CA$23="Instantaneous")),"Instantaneous",IF(CA$89&lt;&gt;"",IF(CA$89&gt;CA$83*(CA153^(1/CA154)/CA127^(1/CA128))*Wind*(1*Wind*CA$83/CA$89)^(1/CA128-1/CA154),"Instantaneous","Continuous"),"Instantaneous"))</f>
        <v>Instantaneous</v>
      </c>
      <c r="CB156" s="81"/>
      <c r="CC156" s="3004" t="str">
        <f>IF(OR(State="Solid",AND(CC$89="",CC$23="Instantaneous")),"Instantaneous",IF(CC$89&lt;&gt;"",IF(CC$89&gt;CC$83*(CC153^(1/CC154)/CC127^(1/CC128))*Wind*(1*Wind*CC$83/CC$89)^(1/CC128-1/CC154),"Instantaneous","Continuous"),"Instantaneous"))</f>
        <v>Instantaneous</v>
      </c>
      <c r="CD156" s="81"/>
      <c r="CE156" s="23"/>
      <c r="CF156" s="81"/>
      <c r="CG156" s="2"/>
      <c r="CH156" s="23" t="s">
        <v>3542</v>
      </c>
      <c r="CI156" s="83"/>
      <c r="CJ156" s="2130">
        <f>IF('User Scenario'!S32&lt;&gt;"",'User Scenario'!S32,0)</f>
        <v>0</v>
      </c>
      <c r="CK156" s="83"/>
      <c r="CL156" s="23"/>
      <c r="CM156" s="83"/>
      <c r="CN156" s="7"/>
      <c r="CO156" s="7"/>
      <c r="CP156" s="7"/>
      <c r="CQ156" s="7"/>
      <c r="CR156" s="7"/>
      <c r="CS156" s="7"/>
      <c r="CT156" s="7"/>
      <c r="CU156" s="7"/>
      <c r="CV156" s="7"/>
      <c r="CW156" s="7"/>
      <c r="CX156" s="7"/>
      <c r="CY156" s="7"/>
      <c r="CZ156" s="7"/>
      <c r="DA156" s="7"/>
      <c r="DB156" s="7"/>
      <c r="DC156" s="7"/>
      <c r="DD156" s="7"/>
      <c r="DE156" s="7"/>
    </row>
    <row r="157" spans="1:109" s="26" customFormat="1" ht="15" customHeight="1" thickBot="1" x14ac:dyDescent="0.3">
      <c r="A157" s="2"/>
      <c r="B157" s="1689" t="s">
        <v>5062</v>
      </c>
      <c r="C157" s="83"/>
      <c r="D157" s="2426">
        <f>IF(D104&gt;0,(D104^2*D102/Wind_Night^5)^0.2,0)</f>
        <v>0</v>
      </c>
      <c r="E157" s="83"/>
      <c r="F157" s="2426">
        <f>IF(F104&gt;0,(F104^2*F102/Wind_Night^5)^0.2,0)</f>
        <v>0</v>
      </c>
      <c r="G157" s="83"/>
      <c r="H157" s="2426">
        <f>IF(H104&gt;0,(H104^2*H102/Wind_Night^5)^0.2,0)</f>
        <v>0</v>
      </c>
      <c r="I157" s="83"/>
      <c r="J157" s="2426">
        <f>IF(J104&gt;0,(J104^2*J102/Wind_Night^5)^0.2,0)</f>
        <v>0</v>
      </c>
      <c r="K157" s="83"/>
      <c r="L157" s="2426">
        <f>IF(L104&gt;0,(L104^2*L102/Wind_Night^5)^0.2,0)</f>
        <v>0</v>
      </c>
      <c r="M157" s="83"/>
      <c r="N157" s="2426">
        <f>IF(N104&gt;0,(N104^2*N102/Wind_Night^5)^0.2,0)</f>
        <v>0</v>
      </c>
      <c r="O157" s="83"/>
      <c r="P157" s="2426">
        <f>IF(P104&gt;0,(P104^2*P102/Wind_Night^5)^0.2,0)</f>
        <v>0</v>
      </c>
      <c r="Q157" s="83"/>
      <c r="R157" s="2426">
        <f>IF(R104&gt;0,(R104^2*R102/Wind_Night^5)^0.2,0)</f>
        <v>0</v>
      </c>
      <c r="S157" s="83"/>
      <c r="T157" s="2426">
        <f>IF(T104&gt;0,(T104^2*T102/Wind_Night^5)^0.2,0)</f>
        <v>0</v>
      </c>
      <c r="U157" s="83"/>
      <c r="V157" s="2426">
        <f>IF(V104&gt;0,(V104^2*V102/Wind_Night^5)^0.2,0)</f>
        <v>0</v>
      </c>
      <c r="W157" s="83"/>
      <c r="X157" s="2426">
        <f>IF(X104&gt;0,(X104^2*X102/Wind_Night^5)^0.2,0)</f>
        <v>0</v>
      </c>
      <c r="Y157" s="83"/>
      <c r="Z157" s="2986"/>
      <c r="AA157" s="83"/>
      <c r="AB157" s="81"/>
      <c r="AC157" s="512" t="s">
        <v>5100</v>
      </c>
      <c r="AD157" s="81"/>
      <c r="AE157" s="1289">
        <f>IF(AE$83&gt;0,LN(IF(AE$154&gt;=20,AE$99*AE$152*20^AE$153,NBPuff_A*AE$83/AE$98/(20-AE$154+AE$155)^(1/NBPuff_B))),0)</f>
        <v>0</v>
      </c>
      <c r="AF157" s="81"/>
      <c r="AG157" s="1289">
        <f>IF(AG$83&gt;0,LN(IF(AG$154&gt;=20,AG$99*AG$152*20^AG$153,NBPuff_A*AG$83/AG$98/(20-AG$154+AG$155)^(1/NBPuff_B))),0)</f>
        <v>0</v>
      </c>
      <c r="AH157" s="81"/>
      <c r="AI157" s="1289">
        <f>IF(AI$83&gt;0,LN(IF(AI$154&gt;=20,AI$99*AI$152*20^AI$153,NBPuff_A*AI$83/AI$98/(20-AI$154+AI$155)^(1/NBPuff_B))),0)</f>
        <v>0</v>
      </c>
      <c r="AJ157" s="81"/>
      <c r="AK157" s="1289">
        <f>IF(AK$83&gt;0,LN(IF(AK$154&gt;=20,AK$99*AK$152*20^AK$153,NBPuff_A*AK$83/AK$98/(20-AK$154+AK$155)^(1/NBPuff_B))),0)</f>
        <v>0</v>
      </c>
      <c r="AL157" s="81"/>
      <c r="AM157" s="1289">
        <f>IF(AM$83&gt;0,LN(IF(AM$154&gt;=20,AM$99*AM$152*20^AM$153,NBPuff_A*AM$83/AM$98/(20-AM$154+AM$155)^(1/NBPuff_B))),0)</f>
        <v>0</v>
      </c>
      <c r="AN157" s="81"/>
      <c r="AO157" s="1289">
        <f>IF(AO$83&gt;0,LN(IF(AO$154&gt;=20,AO$99*AO$152*20^AO$153,NBPuff_A*AO$83/AO$98/(20-AO$154+AO$155)^(1/NBPuff_B))),0)</f>
        <v>0</v>
      </c>
      <c r="AP157" s="81"/>
      <c r="AQ157" s="85"/>
      <c r="AR157" s="81"/>
      <c r="AS157" s="83"/>
      <c r="AT157" s="512" t="s">
        <v>5116</v>
      </c>
      <c r="AU157" s="83"/>
      <c r="AV157" s="3000" t="e">
        <f>LN(IF(AV$155&lt;AV$83,IF(LOG(AV$154)&lt;-0.68,83.2,IF(LOG(AV$154)&lt;-0.29,10^(2.16+0.36*LOG(AV$154)),IF(LOG(AV$154)&lt;-0.18,114.8,10^(1.96-0.56*LOG(AV$154)))))*(AV86/Wind_Night)^0.5,1))</f>
        <v>#DIV/0!</v>
      </c>
      <c r="AW157" s="269"/>
      <c r="AX157" s="3000" t="e">
        <f>LN(IF(AX$155&lt;AX$83,IF(LOG(AX$154)&lt;-0.68,83.2,IF(LOG(AX$154)&lt;-0.29,10^(2.16+0.36*LOG(AX$154)),IF(LOG(AX$154)&lt;-0.18,114.8,10^(1.96-0.56*LOG(AX$154)))))*(AX86/Wind_Night)^0.5,1))</f>
        <v>#DIV/0!</v>
      </c>
      <c r="AY157" s="269"/>
      <c r="AZ157" s="3000" t="e">
        <f>LN(IF(AZ$155&lt;AZ$83,IF(LOG(AZ$154)&lt;-0.68,83.2,IF(LOG(AZ$154)&lt;-0.29,10^(2.16+0.36*LOG(AZ$154)),IF(LOG(AZ$154)&lt;-0.18,114.8,10^(1.96-0.56*LOG(AZ$154)))))*(AZ86/Wind_Night)^0.5,1))</f>
        <v>#DIV/0!</v>
      </c>
      <c r="BA157" s="269"/>
      <c r="BB157" s="3000" t="e">
        <f>LN(IF(BB$155&lt;BB$83,IF(LOG(BB$154)&lt;-0.68,83.2,IF(LOG(BB$154)&lt;-0.29,10^(2.16+0.36*LOG(BB$154)),IF(LOG(BB$154)&lt;-0.18,114.8,10^(1.96-0.56*LOG(BB$154)))))*(BB86/Wind_Night)^0.5,1))</f>
        <v>#DIV/0!</v>
      </c>
      <c r="BC157" s="269"/>
      <c r="BD157" s="3000" t="e">
        <f>LN(IF(BD$155&lt;BD$83,IF(LOG(BD$154)&lt;-0.68,83.2,IF(LOG(BD$154)&lt;-0.29,10^(2.16+0.36*LOG(BD$154)),IF(LOG(BD$154)&lt;-0.18,114.8,10^(1.96-0.56*LOG(BD$154)))))*(BD86/Wind_Night)^0.5,1))</f>
        <v>#DIV/0!</v>
      </c>
      <c r="BE157" s="269"/>
      <c r="BF157" s="3000" t="e">
        <f>LN(IF(BF$155&lt;BF$83,IF(LOG(BF$154)&lt;-0.68,83.2,IF(LOG(BF$154)&lt;-0.29,10^(2.16+0.36*LOG(BF$154)),IF(LOG(BF$154)&lt;-0.18,114.8,10^(1.96-0.56*LOG(BF$154)))))*(BF86/Wind_Night)^0.5,1))</f>
        <v>#DIV/0!</v>
      </c>
      <c r="BG157" s="269"/>
      <c r="BH157" s="3000" t="e">
        <f>LN(IF(BH$155&lt;BH$83,IF(LOG(BH$154)&lt;-0.68,83.2,IF(LOG(BH$154)&lt;-0.29,10^(2.16+0.36*LOG(BH$154)),IF(LOG(BH$154)&lt;-0.18,114.8,10^(1.96-0.56*LOG(BH$154)))))*(BH86/Wind_Night)^0.5,1))</f>
        <v>#DIV/0!</v>
      </c>
      <c r="BI157" s="269"/>
      <c r="BJ157" s="3000" t="e">
        <f>LN(IF(BJ$155&lt;BJ$83,IF(LOG(BJ$154)&lt;-0.68,83.2,IF(LOG(BJ$154)&lt;-0.29,10^(2.16+0.36*LOG(BJ$154)),IF(LOG(BJ$154)&lt;-0.18,114.8,10^(1.96-0.56*LOG(BJ$154)))))*(BJ86/Wind_Night)^0.5,1))</f>
        <v>#DIV/0!</v>
      </c>
      <c r="BK157" s="269"/>
      <c r="BL157" s="3000" t="e">
        <f>LN(IF(BL$155&lt;BL$83,IF(LOG(BL$154)&lt;-0.68,83.2,IF(LOG(BL$154)&lt;-0.29,10^(2.16+0.36*LOG(BL$154)),IF(LOG(BL$154)&lt;-0.18,114.8,10^(1.96-0.56*LOG(BL$154)))))*(BL86/Wind_Night)^0.5,1))</f>
        <v>#DIV/0!</v>
      </c>
      <c r="BM157" s="269"/>
      <c r="BN157" s="3000" t="e">
        <f>LN(IF(BN$155&lt;BN$83,IF(LOG(BN$154)&lt;-0.68,83.2,IF(LOG(BN$154)&lt;-0.29,10^(2.16+0.36*LOG(BN$154)),IF(LOG(BN$154)&lt;-0.18,114.8,10^(1.96-0.56*LOG(BN$154)))))*(BN86/Wind_Night)^0.5,1))</f>
        <v>#DIV/0!</v>
      </c>
      <c r="BO157" s="269"/>
      <c r="BP157" s="1835"/>
      <c r="BQ157" s="83"/>
      <c r="BR157" s="81"/>
      <c r="BS157" s="1689" t="s">
        <v>5062</v>
      </c>
      <c r="BT157" s="81"/>
      <c r="BU157" s="2426">
        <f>IF(AND(BU$98&gt;0,BU104&gt;0),(BU104^2*BU102/Wind_Night^5)^0.2,0)</f>
        <v>0</v>
      </c>
      <c r="BV157" s="81"/>
      <c r="BW157" s="2426">
        <f>IF(AND(BW$98&gt;0,BW104&gt;0),(BW104^2*BW102/Wind_Night^5)^0.2,0)</f>
        <v>0</v>
      </c>
      <c r="BX157" s="81"/>
      <c r="BY157" s="2426">
        <f>IF(AND(BY$98&gt;0,BY104&gt;0),(BY104^2*BY102/Wind_Night^5)^0.2,0)</f>
        <v>0</v>
      </c>
      <c r="BZ157" s="81"/>
      <c r="CA157" s="2426">
        <f>IF(AND(CA$98&gt;0,CA104&gt;0),(CA104^2*CA102/Wind_Night^5)^0.2,0)</f>
        <v>0</v>
      </c>
      <c r="CB157" s="81"/>
      <c r="CC157" s="2426">
        <f>IF(AND(CC$98&gt;0,CC104&gt;0),(CC104^2*CC102/Wind_Night^5)^0.2,0)</f>
        <v>0</v>
      </c>
      <c r="CD157" s="81"/>
      <c r="CE157" s="23"/>
      <c r="CF157" s="81"/>
      <c r="CG157" s="2"/>
      <c r="CH157" s="23" t="s">
        <v>3759</v>
      </c>
      <c r="CI157" s="83"/>
      <c r="CJ157" s="1206" t="str">
        <f>IF('User Scenario'!S30&lt;&gt;"",'User Scenario'!S30,"")</f>
        <v/>
      </c>
      <c r="CK157" s="83"/>
      <c r="CL157" s="23"/>
      <c r="CM157" s="83"/>
      <c r="CN157" s="7"/>
      <c r="CO157" s="7"/>
      <c r="CP157" s="7"/>
      <c r="CQ157" s="7"/>
      <c r="CR157" s="7"/>
      <c r="CS157" s="7"/>
      <c r="CT157" s="7"/>
      <c r="CU157" s="7"/>
      <c r="CV157" s="7"/>
      <c r="CW157" s="7"/>
      <c r="CX157" s="7"/>
      <c r="CY157" s="7"/>
      <c r="CZ157" s="7"/>
      <c r="DA157" s="7"/>
    </row>
    <row r="158" spans="1:109" s="26" customFormat="1" ht="15" customHeight="1" x14ac:dyDescent="0.25">
      <c r="A158" s="2"/>
      <c r="B158" s="1691" t="s">
        <v>5063</v>
      </c>
      <c r="C158" s="83"/>
      <c r="D158" s="3000">
        <f>IF(AND(D$104&gt;0,D157&gt;0),D99*0.15^6/D157^5,1)</f>
        <v>1</v>
      </c>
      <c r="E158" s="83"/>
      <c r="F158" s="3000">
        <f>IF(AND(F$104&gt;0,F157&gt;0),F99*0.15^6/F157^5,1)</f>
        <v>1</v>
      </c>
      <c r="G158" s="83"/>
      <c r="H158" s="3000">
        <f>IF(AND(H$104&gt;0,H157&gt;0),H99*0.15^6/H157^5,1)</f>
        <v>1</v>
      </c>
      <c r="I158" s="83"/>
      <c r="J158" s="3000">
        <f>IF(AND(J$104&gt;0,J157&gt;0),J99*0.15^6/J157^5,1)</f>
        <v>1</v>
      </c>
      <c r="K158" s="83"/>
      <c r="L158" s="3000">
        <f>IF(AND(L$104&gt;0,L157&gt;0),L99*0.15^6/L157^5,1)</f>
        <v>1</v>
      </c>
      <c r="M158" s="83"/>
      <c r="N158" s="3000">
        <f>IF(AND(N$104&gt;0,N157&gt;0),N99*0.15^6/N157^5,1)</f>
        <v>1</v>
      </c>
      <c r="O158" s="83"/>
      <c r="P158" s="3000">
        <f>IF(AND(P$104&gt;0,P157&gt;0),P99*0.15^6/P157^5,1)</f>
        <v>1</v>
      </c>
      <c r="Q158" s="83"/>
      <c r="R158" s="3000">
        <f>IF(AND(R$104&gt;0,R157&gt;0),R99*0.15^6/R157^5,1)</f>
        <v>1</v>
      </c>
      <c r="S158" s="83"/>
      <c r="T158" s="3000">
        <f>IF(AND(T$104&gt;0,T157&gt;0),T99*0.15^6/T157^5,1)</f>
        <v>1</v>
      </c>
      <c r="U158" s="83"/>
      <c r="V158" s="3000">
        <f>IF(AND(V$104&gt;0,V157&gt;0),V99*0.15^6/V157^5,1)</f>
        <v>1</v>
      </c>
      <c r="W158" s="83"/>
      <c r="X158" s="3000">
        <f>IF(AND(X$104&gt;0,X157&gt;0),X99*0.15^6/X157^5,1)</f>
        <v>1</v>
      </c>
      <c r="Y158" s="83"/>
      <c r="Z158" s="85" t="s">
        <v>3543</v>
      </c>
      <c r="AA158" s="83"/>
      <c r="AB158" s="81"/>
      <c r="AC158" s="512" t="s">
        <v>5101</v>
      </c>
      <c r="AD158" s="81"/>
      <c r="AE158" s="1289">
        <f>IF(AE$83&gt;0,LN(IF(AE$154&gt;=50,AE$99*AE$152*50^AE$153,NBPuff_A*AE$83/AE$98/(50-AE$154+AE$155)^(1/NBPuff_B))),0)</f>
        <v>0</v>
      </c>
      <c r="AF158" s="81"/>
      <c r="AG158" s="1289">
        <f>IF(AG$83&gt;0,LN(IF(AG$154&gt;=50,AG$99*AG$152*50^AG$153,NBPuff_A*AG$83/AG$98/(50-AG$154+AG$155)^(1/NBPuff_B))),0)</f>
        <v>0</v>
      </c>
      <c r="AH158" s="81"/>
      <c r="AI158" s="1289">
        <f>IF(AI$83&gt;0,LN(IF(AI$154&gt;=50,AI$99*AI$152*50^AI$153,NBPuff_A*AI$83/AI$98/(50-AI$154+AI$155)^(1/NBPuff_B))),0)</f>
        <v>0</v>
      </c>
      <c r="AJ158" s="81"/>
      <c r="AK158" s="1289">
        <f>IF(AK$83&gt;0,LN(IF(AK$154&gt;=50,AK$99*AK$152*50^AK$153,NBPuff_A*AK$83/AK$98/(50-AK$154+AK$155)^(1/NBPuff_B))),0)</f>
        <v>0</v>
      </c>
      <c r="AL158" s="81"/>
      <c r="AM158" s="1289">
        <f>IF(AM$83&gt;0,LN(IF(AM$154&gt;=50,AM$99*AM$152*50^AM$153,NBPuff_A*AM$83/AM$98/(50-AM$154+AM$155)^(1/NBPuff_B))),0)</f>
        <v>0</v>
      </c>
      <c r="AN158" s="81"/>
      <c r="AO158" s="1289">
        <f>IF(AO$83&gt;0,LN(IF(AO$154&gt;=50,AO$99*AO$152*50^AO$153,NBPuff_A*AO$83/AO$98/(50-AO$154+AO$155)^(1/NBPuff_B))),0)</f>
        <v>0</v>
      </c>
      <c r="AP158" s="81"/>
      <c r="AQ158" s="85"/>
      <c r="AR158" s="81"/>
      <c r="AS158" s="83"/>
      <c r="AT158" s="512" t="s">
        <v>5117</v>
      </c>
      <c r="AU158" s="83"/>
      <c r="AV158" s="3000" t="e">
        <f>LN(IF(AV$155&lt;AV$83,IF(LOG(AV$154)&lt;-0.69,120.2,IF(LOG(AV$154)&lt;-0.31,10^(2.39+0.45*LOG(AV$154)),IF(LOG(AV$154)&lt;-0.16,177.8,10^(2.16-0.54*LOG(AV$154)))))*(AV86/Wind_Night)^0.5,1))</f>
        <v>#DIV/0!</v>
      </c>
      <c r="AW158" s="269"/>
      <c r="AX158" s="3000" t="e">
        <f>LN(IF(AX$155&lt;AX$83,IF(LOG(AX$154)&lt;-0.69,120.2,IF(LOG(AX$154)&lt;-0.31,10^(2.39+0.45*LOG(AX$154)),IF(LOG(AX$154)&lt;-0.16,177.8,10^(2.16-0.54*LOG(AX$154)))))*(AX86/Wind_Night)^0.5,1))</f>
        <v>#DIV/0!</v>
      </c>
      <c r="AY158" s="269"/>
      <c r="AZ158" s="3000" t="e">
        <f>LN(IF(AZ$155&lt;AZ$83,IF(LOG(AZ$154)&lt;-0.69,120.2,IF(LOG(AZ$154)&lt;-0.31,10^(2.39+0.45*LOG(AZ$154)),IF(LOG(AZ$154)&lt;-0.16,177.8,10^(2.16-0.54*LOG(AZ$154)))))*(AZ86/Wind_Night)^0.5,1))</f>
        <v>#DIV/0!</v>
      </c>
      <c r="BA158" s="269"/>
      <c r="BB158" s="3000" t="e">
        <f>LN(IF(BB$155&lt;BB$83,IF(LOG(BB$154)&lt;-0.69,120.2,IF(LOG(BB$154)&lt;-0.31,10^(2.39+0.45*LOG(BB$154)),IF(LOG(BB$154)&lt;-0.16,177.8,10^(2.16-0.54*LOG(BB$154)))))*(BB86/Wind_Night)^0.5,1))</f>
        <v>#DIV/0!</v>
      </c>
      <c r="BC158" s="269"/>
      <c r="BD158" s="3000" t="e">
        <f>LN(IF(BD$155&lt;BD$83,IF(LOG(BD$154)&lt;-0.69,120.2,IF(LOG(BD$154)&lt;-0.31,10^(2.39+0.45*LOG(BD$154)),IF(LOG(BD$154)&lt;-0.16,177.8,10^(2.16-0.54*LOG(BD$154)))))*(BD86/Wind_Night)^0.5,1))</f>
        <v>#DIV/0!</v>
      </c>
      <c r="BE158" s="269"/>
      <c r="BF158" s="3000" t="e">
        <f>LN(IF(BF$155&lt;BF$83,IF(LOG(BF$154)&lt;-0.69,120.2,IF(LOG(BF$154)&lt;-0.31,10^(2.39+0.45*LOG(BF$154)),IF(LOG(BF$154)&lt;-0.16,177.8,10^(2.16-0.54*LOG(BF$154)))))*(BF86/Wind_Night)^0.5,1))</f>
        <v>#DIV/0!</v>
      </c>
      <c r="BG158" s="269"/>
      <c r="BH158" s="3000" t="e">
        <f>LN(IF(BH$155&lt;BH$83,IF(LOG(BH$154)&lt;-0.69,120.2,IF(LOG(BH$154)&lt;-0.31,10^(2.39+0.45*LOG(BH$154)),IF(LOG(BH$154)&lt;-0.16,177.8,10^(2.16-0.54*LOG(BH$154)))))*(BH86/Wind_Night)^0.5,1))</f>
        <v>#DIV/0!</v>
      </c>
      <c r="BI158" s="269"/>
      <c r="BJ158" s="3000" t="e">
        <f>LN(IF(BJ$155&lt;BJ$83,IF(LOG(BJ$154)&lt;-0.69,120.2,IF(LOG(BJ$154)&lt;-0.31,10^(2.39+0.45*LOG(BJ$154)),IF(LOG(BJ$154)&lt;-0.16,177.8,10^(2.16-0.54*LOG(BJ$154)))))*(BJ86/Wind_Night)^0.5,1))</f>
        <v>#DIV/0!</v>
      </c>
      <c r="BK158" s="269"/>
      <c r="BL158" s="3000" t="e">
        <f>LN(IF(BL$155&lt;BL$83,IF(LOG(BL$154)&lt;-0.69,120.2,IF(LOG(BL$154)&lt;-0.31,10^(2.39+0.45*LOG(BL$154)),IF(LOG(BL$154)&lt;-0.16,177.8,10^(2.16-0.54*LOG(BL$154)))))*(BL86/Wind_Night)^0.5,1))</f>
        <v>#DIV/0!</v>
      </c>
      <c r="BM158" s="269"/>
      <c r="BN158" s="3000" t="e">
        <f>LN(IF(BN$155&lt;BN$83,IF(LOG(BN$154)&lt;-0.69,120.2,IF(LOG(BN$154)&lt;-0.31,10^(2.39+0.45*LOG(BN$154)),IF(LOG(BN$154)&lt;-0.16,177.8,10^(2.16-0.54*LOG(BN$154)))))*(BN86/Wind_Night)^0.5,1))</f>
        <v>#DIV/0!</v>
      </c>
      <c r="BO158" s="269"/>
      <c r="BP158" s="1835"/>
      <c r="BQ158" s="83"/>
      <c r="BR158" s="81"/>
      <c r="BS158" s="1691" t="s">
        <v>5063</v>
      </c>
      <c r="BT158" s="81"/>
      <c r="BU158" s="3000">
        <f>IF(AND(BU$104&gt;0,BU157&gt;0),BU99*0.15^6/BU157^5,1)</f>
        <v>1</v>
      </c>
      <c r="BV158" s="81"/>
      <c r="BW158" s="3000">
        <f>IF(AND(BW$104&gt;0,BW157&gt;0),BW99*0.15^6/BW157^5,1)</f>
        <v>1</v>
      </c>
      <c r="BX158" s="81"/>
      <c r="BY158" s="3000">
        <f>IF(AND(BY$104&gt;0,BY157&gt;0),BY99*0.15^6/BY157^5,1)</f>
        <v>1</v>
      </c>
      <c r="BZ158" s="81"/>
      <c r="CA158" s="3000">
        <f>IF(AND(CA$104&gt;0,CA157&gt;0),CA99*0.15^6/CA157^5,1)</f>
        <v>1</v>
      </c>
      <c r="CB158" s="81"/>
      <c r="CC158" s="3000">
        <f>IF(AND(CC$104&gt;0,CC157&gt;0),CC99*0.15^6/CC157^5,1)</f>
        <v>1</v>
      </c>
      <c r="CD158" s="81"/>
      <c r="CE158" s="23"/>
      <c r="CF158" s="81"/>
      <c r="CG158" s="2"/>
      <c r="CH158" s="84" t="s">
        <v>754</v>
      </c>
      <c r="CI158" s="83"/>
      <c r="CJ158" s="96">
        <f>IF('User Scenario'!S35&lt;&gt;"",'User Scenario'!S35,0)</f>
        <v>0</v>
      </c>
      <c r="CK158" s="83"/>
      <c r="CL158" s="84" t="s">
        <v>1506</v>
      </c>
      <c r="CM158" s="83"/>
      <c r="CN158" s="7"/>
      <c r="CO158" s="7"/>
      <c r="CP158" s="7"/>
      <c r="CQ158" s="7"/>
      <c r="CR158" s="7"/>
      <c r="CS158" s="7"/>
      <c r="CT158" s="7"/>
      <c r="CU158" s="7"/>
      <c r="CV158" s="7"/>
      <c r="CW158" s="7"/>
      <c r="CX158" s="7"/>
      <c r="CY158" s="7"/>
      <c r="CZ158" s="7"/>
      <c r="DA158" s="7"/>
    </row>
    <row r="159" spans="1:109" s="26" customFormat="1" ht="15" customHeight="1" x14ac:dyDescent="0.25">
      <c r="A159" s="2"/>
      <c r="B159" s="512" t="s">
        <v>5115</v>
      </c>
      <c r="C159" s="83"/>
      <c r="D159" s="3000">
        <f>LN(IF(D$158&lt;D$99,IF(LOG(D$157)&lt;-0.55,56.2,IF(LOG(D$157)&lt;-0.14,10^(1.88+0.24*LOG(D$157)),10^(1.78-0.5*LOG(D$157))))*(D102/Wind_Night)^0.5,1))</f>
        <v>0</v>
      </c>
      <c r="E159" s="83"/>
      <c r="F159" s="3000">
        <f>LN(IF(F$158&lt;F$99,IF(LOG(F$157)&lt;-0.55,56.2,IF(LOG(F$157)&lt;-0.14,10^(1.88+0.24*LOG(F$157)),10^(1.78-0.5*LOG(F$157))))*(F102/Wind_Night)^0.5,1))</f>
        <v>0</v>
      </c>
      <c r="G159" s="83"/>
      <c r="H159" s="3000">
        <f>LN(IF(H$158&lt;H$99,IF(LOG(H$157)&lt;-0.55,56.2,IF(LOG(H$157)&lt;-0.14,10^(1.88+0.24*LOG(H$157)),10^(1.78-0.5*LOG(H$157))))*(H102/Wind_Night)^0.5,1))</f>
        <v>0</v>
      </c>
      <c r="I159" s="83"/>
      <c r="J159" s="3000">
        <f>LN(IF(J$158&lt;J$99,IF(LOG(J$157)&lt;-0.55,56.2,IF(LOG(J$157)&lt;-0.14,10^(1.88+0.24*LOG(J$157)),10^(1.78-0.5*LOG(J$157))))*(J102/Wind_Night)^0.5,1))</f>
        <v>0</v>
      </c>
      <c r="K159" s="83"/>
      <c r="L159" s="3000">
        <f>LN(IF(L$158&lt;L$99,IF(LOG(L$157)&lt;-0.55,56.2,IF(LOG(L$157)&lt;-0.14,10^(1.88+0.24*LOG(L$157)),10^(1.78-0.5*LOG(L$157))))*(L102/Wind_Night)^0.5,1))</f>
        <v>0</v>
      </c>
      <c r="M159" s="83"/>
      <c r="N159" s="3000">
        <f>LN(IF(N$158&lt;N$99,IF(LOG(N$157)&lt;-0.55,56.2,IF(LOG(N$157)&lt;-0.14,10^(1.88+0.24*LOG(N$157)),10^(1.78-0.5*LOG(N$157))))*(N102/Wind_Night)^0.5,1))</f>
        <v>0</v>
      </c>
      <c r="O159" s="83"/>
      <c r="P159" s="3000">
        <f>LN(IF(P$158&lt;P$99,IF(LOG(P$157)&lt;-0.55,56.2,IF(LOG(P$157)&lt;-0.14,10^(1.88+0.24*LOG(P$157)),10^(1.78-0.5*LOG(P$157))))*(P102/Wind_Night)^0.5,1))</f>
        <v>0</v>
      </c>
      <c r="Q159" s="83"/>
      <c r="R159" s="3000">
        <f>LN(IF(R$158&lt;R$99,IF(LOG(R$157)&lt;-0.55,56.2,IF(LOG(R$157)&lt;-0.14,10^(1.88+0.24*LOG(R$157)),10^(1.78-0.5*LOG(R$157))))*(R102/Wind_Night)^0.5,1))</f>
        <v>0</v>
      </c>
      <c r="S159" s="83"/>
      <c r="T159" s="3000">
        <f>LN(IF(T$158&lt;T$99,IF(LOG(T$157)&lt;-0.55,56.2,IF(LOG(T$157)&lt;-0.14,10^(1.88+0.24*LOG(T$157)),10^(1.78-0.5*LOG(T$157))))*(T102/Wind_Night)^0.5,1))</f>
        <v>0</v>
      </c>
      <c r="U159" s="83"/>
      <c r="V159" s="3000">
        <f>LN(IF(V$158&lt;V$99,IF(LOG(V$157)&lt;-0.55,56.2,IF(LOG(V$157)&lt;-0.14,10^(1.88+0.24*LOG(V$157)),10^(1.78-0.5*LOG(V$157))))*(V102/Wind_Night)^0.5,1))</f>
        <v>0</v>
      </c>
      <c r="W159" s="83"/>
      <c r="X159" s="3000">
        <f>LN(IF(X$158&lt;X$99,IF(LOG(X$157)&lt;-0.55,56.2,IF(LOG(X$157)&lt;-0.14,10^(1.88+0.24*LOG(X$157)),10^(1.78-0.5*LOG(X$157))))*(X102/Wind_Night)^0.5,1))</f>
        <v>0</v>
      </c>
      <c r="Y159" s="83"/>
      <c r="Z159" s="2987"/>
      <c r="AA159" s="83"/>
      <c r="AB159" s="81"/>
      <c r="AC159" s="512" t="s">
        <v>5102</v>
      </c>
      <c r="AD159" s="81"/>
      <c r="AE159" s="1289">
        <f>IF(AE$83&gt;0,LN(IF(AE$154&gt;=100,AE$99*AE$152*100^AE$153,NBPuff_A*AE$83/AE$98/(100-AE$154+AE$155)^(1/NBPuff_B))),0)</f>
        <v>0</v>
      </c>
      <c r="AF159" s="81"/>
      <c r="AG159" s="1289">
        <f>IF(AG$83&gt;0,LN(IF(AG$154&gt;=100,AG$99*AG$152*100^AG$153,NBPuff_A*AG$83/AG$98/(100-AG$154+AG$155)^(1/NBPuff_B))),0)</f>
        <v>0</v>
      </c>
      <c r="AH159" s="81"/>
      <c r="AI159" s="1289">
        <f>IF(AI$83&gt;0,LN(IF(AI$154&gt;=100,AI$99*AI$152*100^AI$153,NBPuff_A*AI$83/AI$98/(100-AI$154+AI$155)^(1/NBPuff_B))),0)</f>
        <v>0</v>
      </c>
      <c r="AJ159" s="81"/>
      <c r="AK159" s="1289">
        <f>IF(AK$83&gt;0,LN(IF(AK$154&gt;=100,AK$99*AK$152*100^AK$153,NBPuff_A*AK$83/AK$98/(100-AK$154+AK$155)^(1/NBPuff_B))),0)</f>
        <v>0</v>
      </c>
      <c r="AL159" s="81"/>
      <c r="AM159" s="1289">
        <f>IF(AM$83&gt;0,LN(IF(AM$154&gt;=100,AM$99*AM$152*100^AM$153,NBPuff_A*AM$83/AM$98/(100-AM$154+AM$155)^(1/NBPuff_B))),0)</f>
        <v>0</v>
      </c>
      <c r="AN159" s="81"/>
      <c r="AO159" s="1289">
        <f>IF(AO$83&gt;0,LN(IF(AO$154&gt;=100,AO$99*AO$152*100^AO$153,NBPuff_A*AO$83/AO$98/(100-AO$154+AO$155)^(1/NBPuff_B))),0)</f>
        <v>0</v>
      </c>
      <c r="AP159" s="81"/>
      <c r="AQ159" s="85"/>
      <c r="AR159" s="81"/>
      <c r="AS159" s="83"/>
      <c r="AT159" s="512" t="s">
        <v>5118</v>
      </c>
      <c r="AU159" s="83"/>
      <c r="AV159" s="3000" t="e">
        <f>LN(IF(AV$155&lt;AV$83,IF(LOG(AV$154)&lt;-0.7,177.8,IF(LOG(AV$154)&lt;-0.29,10^(2.59+0.49*LOG(AV$154)),IF(LOG(AV$154)&lt;-0.2,281.8,10^(2.35-0.52*LOG(AV$154)))))*(AV$73/(AV$85*Wind_Night))^0.5,1))</f>
        <v>#DIV/0!</v>
      </c>
      <c r="AW159" s="269"/>
      <c r="AX159" s="3000" t="e">
        <f>LN(IF(AX$155&lt;AX$83,IF(LOG(AX$154)&lt;-0.7,177.8,IF(LOG(AX$154)&lt;-0.29,10^(2.59+0.49*LOG(AX$154)),IF(LOG(AX$154)&lt;-0.2,281.8,10^(2.35-0.52*LOG(AX$154)))))*(AX$73/(AX$85*Wind_Night))^0.5,1))</f>
        <v>#DIV/0!</v>
      </c>
      <c r="AY159" s="269"/>
      <c r="AZ159" s="3000" t="e">
        <f>LN(IF(AZ$155&lt;AZ$83,IF(LOG(AZ$154)&lt;-0.7,177.8,IF(LOG(AZ$154)&lt;-0.29,10^(2.59+0.49*LOG(AZ$154)),IF(LOG(AZ$154)&lt;-0.2,281.8,10^(2.35-0.52*LOG(AZ$154)))))*(AZ$73/(AZ$85*Wind_Night))^0.5,1))</f>
        <v>#DIV/0!</v>
      </c>
      <c r="BA159" s="269"/>
      <c r="BB159" s="3000" t="e">
        <f>LN(IF(BB$155&lt;BB$83,IF(LOG(BB$154)&lt;-0.7,177.8,IF(LOG(BB$154)&lt;-0.29,10^(2.59+0.49*LOG(BB$154)),IF(LOG(BB$154)&lt;-0.2,281.8,10^(2.35-0.52*LOG(BB$154)))))*(BB$73/(BB$85*Wind_Night))^0.5,1))</f>
        <v>#DIV/0!</v>
      </c>
      <c r="BC159" s="269"/>
      <c r="BD159" s="3000" t="e">
        <f>LN(IF(BD$155&lt;BD$83,IF(LOG(BD$154)&lt;-0.7,177.8,IF(LOG(BD$154)&lt;-0.29,10^(2.59+0.49*LOG(BD$154)),IF(LOG(BD$154)&lt;-0.2,281.8,10^(2.35-0.52*LOG(BD$154)))))*(BD$73/(BD$85*Wind_Night))^0.5,1))</f>
        <v>#DIV/0!</v>
      </c>
      <c r="BE159" s="269"/>
      <c r="BF159" s="3000" t="e">
        <f>LN(IF(BF$155&lt;BF$83,IF(LOG(BF$154)&lt;-0.7,177.8,IF(LOG(BF$154)&lt;-0.29,10^(2.59+0.49*LOG(BF$154)),IF(LOG(BF$154)&lt;-0.2,281.8,10^(2.35-0.52*LOG(BF$154)))))*(BF$73/(BF$85*Wind_Night))^0.5,1))</f>
        <v>#DIV/0!</v>
      </c>
      <c r="BG159" s="269"/>
      <c r="BH159" s="3000" t="e">
        <f>LN(IF(BH$155&lt;BH$83,IF(LOG(BH$154)&lt;-0.7,177.8,IF(LOG(BH$154)&lt;-0.29,10^(2.59+0.49*LOG(BH$154)),IF(LOG(BH$154)&lt;-0.2,281.8,10^(2.35-0.52*LOG(BH$154)))))*(BH$73/(BH$85*Wind_Night))^0.5,1))</f>
        <v>#DIV/0!</v>
      </c>
      <c r="BI159" s="269"/>
      <c r="BJ159" s="3000" t="e">
        <f>LN(IF(BJ$155&lt;BJ$83,IF(LOG(BJ$154)&lt;-0.7,177.8,IF(LOG(BJ$154)&lt;-0.29,10^(2.59+0.49*LOG(BJ$154)),IF(LOG(BJ$154)&lt;-0.2,281.8,10^(2.35-0.52*LOG(BJ$154)))))*(BJ$73/(BJ$85*Wind_Night))^0.5,1))</f>
        <v>#DIV/0!</v>
      </c>
      <c r="BK159" s="269"/>
      <c r="BL159" s="3000" t="e">
        <f>LN(IF(BL$155&lt;BL$83,IF(LOG(BL$154)&lt;-0.7,177.8,IF(LOG(BL$154)&lt;-0.29,10^(2.59+0.49*LOG(BL$154)),IF(LOG(BL$154)&lt;-0.2,281.8,10^(2.35-0.52*LOG(BL$154)))))*(BL$73/(BL$85*Wind_Night))^0.5,1))</f>
        <v>#DIV/0!</v>
      </c>
      <c r="BM159" s="269"/>
      <c r="BN159" s="3000" t="e">
        <f>LN(IF(BN$155&lt;BN$83,IF(LOG(BN$154)&lt;-0.7,177.8,IF(LOG(BN$154)&lt;-0.29,10^(2.59+0.49*LOG(BN$154)),IF(LOG(BN$154)&lt;-0.2,281.8,10^(2.35-0.52*LOG(BN$154)))))*(BN$73/(BN$85*Wind_Night))^0.5,1))</f>
        <v>#DIV/0!</v>
      </c>
      <c r="BO159" s="269"/>
      <c r="BP159" s="1835"/>
      <c r="BQ159" s="83"/>
      <c r="BR159" s="81"/>
      <c r="BS159" s="512" t="s">
        <v>5115</v>
      </c>
      <c r="BT159" s="81"/>
      <c r="BU159" s="3000">
        <f>LN(IF(BU$158&lt;BU$99,IF(LOG(BU$157)&lt;-0.55,56.2,IF(LOG(BU$157)&lt;-0.14,10^(1.88+0.24*LOG(BU$157)),10^(1.78-0.5*LOG(BU$157))))*(BU102/Wind_Night)^0.5,1))</f>
        <v>0</v>
      </c>
      <c r="BV159" s="81"/>
      <c r="BW159" s="3000">
        <f>LN(IF(BW$158&lt;BW$99,IF(LOG(BW$157)&lt;-0.55,56.2,IF(LOG(BW$157)&lt;-0.14,10^(1.88+0.24*LOG(BW$157)),10^(1.78-0.5*LOG(BW$157))))*(BW102/Wind_Night)^0.5,1))</f>
        <v>0</v>
      </c>
      <c r="BX159" s="81"/>
      <c r="BY159" s="3000">
        <f>LN(IF(BY$158&lt;BY$99,IF(LOG(BY$157)&lt;-0.55,56.2,IF(LOG(BY$157)&lt;-0.14,10^(1.88+0.24*LOG(BY$157)),10^(1.78-0.5*LOG(BY$157))))*(BY102/Wind_Night)^0.5,1))</f>
        <v>0</v>
      </c>
      <c r="BZ159" s="81"/>
      <c r="CA159" s="3000">
        <f>LN(IF(CA$158&lt;CA$99,IF(LOG(CA$157)&lt;-0.55,56.2,IF(LOG(CA$157)&lt;-0.14,10^(1.88+0.24*LOG(CA$157)),10^(1.78-0.5*LOG(CA$157))))*(CA102/Wind_Night)^0.5,1))</f>
        <v>0</v>
      </c>
      <c r="CB159" s="81"/>
      <c r="CC159" s="3000">
        <f>LN(IF(CC$158&lt;CC$99,IF(LOG(CC$157)&lt;-0.55,56.2,IF(LOG(CC$157)&lt;-0.14,10^(1.88+0.24*LOG(CC$157)),10^(1.78-0.5*LOG(CC$157))))*(CC102/Wind_Night)^0.5,1))</f>
        <v>0</v>
      </c>
      <c r="CD159" s="81"/>
      <c r="CE159" s="23"/>
      <c r="CF159" s="81"/>
      <c r="CG159" s="2"/>
      <c r="CH159" s="85" t="s">
        <v>4498</v>
      </c>
      <c r="CI159" s="83"/>
      <c r="CJ159" s="17" t="str">
        <f>IF(AND(CJ158&gt;0.1,AND(CJ158&lt;&gt;"",CJ158&gt;CJ22)),"Yes","No")</f>
        <v>No</v>
      </c>
      <c r="CK159" s="83"/>
      <c r="CL159" s="23"/>
      <c r="CM159" s="83"/>
      <c r="CN159" s="7"/>
      <c r="CO159" s="7"/>
      <c r="CP159" s="7"/>
      <c r="CQ159" s="7"/>
      <c r="CR159" s="7"/>
      <c r="CS159" s="7"/>
      <c r="CT159" s="7"/>
      <c r="CU159" s="7"/>
      <c r="CV159" s="7"/>
      <c r="CW159" s="7"/>
      <c r="CX159" s="7"/>
      <c r="CY159" s="7"/>
      <c r="CZ159" s="7"/>
      <c r="DA159" s="7"/>
    </row>
    <row r="160" spans="1:109" s="26" customFormat="1" ht="15" customHeight="1" thickBot="1" x14ac:dyDescent="0.3">
      <c r="A160" s="2"/>
      <c r="B160" s="512" t="s">
        <v>5116</v>
      </c>
      <c r="C160" s="83"/>
      <c r="D160" s="3000">
        <f>LN(IF(D$158&lt;D$99,IF(LOG(D$157)&lt;-0.68,83.2,IF(LOG(D$157)&lt;-0.29,10^(2.16+0.36*LOG(D$157)),IF(LOG(D$157)&lt;-0.18,114.8,10^(1.96-0.56*LOG(D$157)))))*(D102/Wind_Night)^0.5,1))</f>
        <v>0</v>
      </c>
      <c r="E160" s="83"/>
      <c r="F160" s="3000">
        <f>LN(IF(F$158&lt;F$99,IF(LOG(F$157)&lt;-0.68,83.2,IF(LOG(F$157)&lt;-0.29,10^(2.16+0.36*LOG(F$157)),IF(LOG(F$157)&lt;-0.18,114.8,10^(1.96-0.56*LOG(F$157)))))*(F102/Wind_Night)^0.5,1))</f>
        <v>0</v>
      </c>
      <c r="G160" s="83"/>
      <c r="H160" s="3000">
        <f>LN(IF(H$158&lt;H$99,IF(LOG(H$157)&lt;-0.68,83.2,IF(LOG(H$157)&lt;-0.29,10^(2.16+0.36*LOG(H$157)),IF(LOG(H$157)&lt;-0.18,114.8,10^(1.96-0.56*LOG(H$157)))))*(H102/Wind_Night)^0.5,1))</f>
        <v>0</v>
      </c>
      <c r="I160" s="83"/>
      <c r="J160" s="3000">
        <f>LN(IF(J$158&lt;J$99,IF(LOG(J$157)&lt;-0.68,83.2,IF(LOG(J$157)&lt;-0.29,10^(2.16+0.36*LOG(J$157)),IF(LOG(J$157)&lt;-0.18,114.8,10^(1.96-0.56*LOG(J$157)))))*(J102/Wind_Night)^0.5,1))</f>
        <v>0</v>
      </c>
      <c r="K160" s="83"/>
      <c r="L160" s="3000">
        <f>LN(IF(L$158&lt;L$99,IF(LOG(L$157)&lt;-0.68,83.2,IF(LOG(L$157)&lt;-0.29,10^(2.16+0.36*LOG(L$157)),IF(LOG(L$157)&lt;-0.18,114.8,10^(1.96-0.56*LOG(L$157)))))*(L102/Wind_Night)^0.5,1))</f>
        <v>0</v>
      </c>
      <c r="M160" s="83"/>
      <c r="N160" s="3000">
        <f>LN(IF(N$158&lt;N$99,IF(LOG(N$157)&lt;-0.68,83.2,IF(LOG(N$157)&lt;-0.29,10^(2.16+0.36*LOG(N$157)),IF(LOG(N$157)&lt;-0.18,114.8,10^(1.96-0.56*LOG(N$157)))))*(N102/Wind_Night)^0.5,1))</f>
        <v>0</v>
      </c>
      <c r="O160" s="83"/>
      <c r="P160" s="3000">
        <f>LN(IF(P$158&lt;P$99,IF(LOG(P$157)&lt;-0.68,83.2,IF(LOG(P$157)&lt;-0.29,10^(2.16+0.36*LOG(P$157)),IF(LOG(P$157)&lt;-0.18,114.8,10^(1.96-0.56*LOG(P$157)))))*(P102/Wind_Night)^0.5,1))</f>
        <v>0</v>
      </c>
      <c r="Q160" s="83"/>
      <c r="R160" s="3000">
        <f>LN(IF(R$158&lt;R$99,IF(LOG(R$157)&lt;-0.68,83.2,IF(LOG(R$157)&lt;-0.29,10^(2.16+0.36*LOG(R$157)),IF(LOG(R$157)&lt;-0.18,114.8,10^(1.96-0.56*LOG(R$157)))))*(R102/Wind_Night)^0.5,1))</f>
        <v>0</v>
      </c>
      <c r="S160" s="83"/>
      <c r="T160" s="3000">
        <f>LN(IF(T$158&lt;T$99,IF(LOG(T$157)&lt;-0.68,83.2,IF(LOG(T$157)&lt;-0.29,10^(2.16+0.36*LOG(T$157)),IF(LOG(T$157)&lt;-0.18,114.8,10^(1.96-0.56*LOG(T$157)))))*(T102/Wind_Night)^0.5,1))</f>
        <v>0</v>
      </c>
      <c r="U160" s="83"/>
      <c r="V160" s="3000">
        <f>LN(IF(V$158&lt;V$99,IF(LOG(V$157)&lt;-0.68,83.2,IF(LOG(V$157)&lt;-0.29,10^(2.16+0.36*LOG(V$157)),IF(LOG(V$157)&lt;-0.18,114.8,10^(1.96-0.56*LOG(V$157)))))*(V102/Wind_Night)^0.5,1))</f>
        <v>0</v>
      </c>
      <c r="W160" s="83"/>
      <c r="X160" s="3000">
        <f>LN(IF(X$158&lt;X$99,IF(LOG(X$157)&lt;-0.68,83.2,IF(LOG(X$157)&lt;-0.29,10^(2.16+0.36*LOG(X$157)),IF(LOG(X$157)&lt;-0.18,114.8,10^(1.96-0.56*LOG(X$157)))))*(X102/Wind_Night)^0.5,1))</f>
        <v>0</v>
      </c>
      <c r="Y160" s="83"/>
      <c r="Z160" s="2987"/>
      <c r="AA160" s="83"/>
      <c r="AB160" s="81"/>
      <c r="AC160" s="512" t="s">
        <v>5103</v>
      </c>
      <c r="AD160" s="81"/>
      <c r="AE160" s="1289">
        <f>IF(AE$83&gt;0,LN(IF(AE$154&gt;=200,AE$99*AE$152*200^AE$153,NBPuff_A*AE$83/AE$98/(200-AE$154+AE$155)^(1/NBPuff_B))),0)</f>
        <v>0</v>
      </c>
      <c r="AF160" s="81"/>
      <c r="AG160" s="1289">
        <f>IF(AG$83&gt;0,LN(IF(AG$154&gt;=200,AG$99*AG$152*200^AG$153,NBPuff_A*AG$83/AG$98/(200-AG$154+AG$155)^(1/NBPuff_B))),0)</f>
        <v>0</v>
      </c>
      <c r="AH160" s="81"/>
      <c r="AI160" s="1289">
        <f>IF(AI$83&gt;0,LN(IF(AI$154&gt;=200,AI$99*AI$152*200^AI$153,NBPuff_A*AI$83/AI$98/(200-AI$154+AI$155)^(1/NBPuff_B))),0)</f>
        <v>0</v>
      </c>
      <c r="AJ160" s="81"/>
      <c r="AK160" s="1289">
        <f>IF(AK$83&gt;0,LN(IF(AK$154&gt;=200,AK$99*AK$152*200^AK$153,NBPuff_A*AK$83/AK$98/(200-AK$154+AK$155)^(1/NBPuff_B))),0)</f>
        <v>0</v>
      </c>
      <c r="AL160" s="81"/>
      <c r="AM160" s="1289">
        <f>IF(AM$83&gt;0,LN(IF(AM$154&gt;=200,AM$99*AM$152*200^AM$153,NBPuff_A*AM$83/AM$98/(200-AM$154+AM$155)^(1/NBPuff_B))),0)</f>
        <v>0</v>
      </c>
      <c r="AN160" s="81"/>
      <c r="AO160" s="1289">
        <f>IF(AO$83&gt;0,LN(IF(AO$154&gt;=200,AO$99*AO$152*200^AO$153,NBPuff_A*AO$83/AO$98/(200-AO$154+AO$155)^(1/NBPuff_B))),0)</f>
        <v>0</v>
      </c>
      <c r="AP160" s="81"/>
      <c r="AQ160" s="85"/>
      <c r="AR160" s="81"/>
      <c r="AS160" s="83"/>
      <c r="AT160" s="512" t="s">
        <v>5119</v>
      </c>
      <c r="AU160" s="83"/>
      <c r="AV160" s="3000" t="e">
        <f>LN(IF(AV$155&lt;AV$83,IF(LOG(AV$154)&lt;-0.67,251.2,IF(LOG(AV$154)&lt;-0.28,10^(2.8+0.59*LOG(AV$154)),IF(LOG(AV$154)&lt;-0.15,426.6,10^(2.56-0.49*LOG(AV$154)))))*(AV86/Wind_Night)^0.5,1))</f>
        <v>#DIV/0!</v>
      </c>
      <c r="AW160" s="269"/>
      <c r="AX160" s="3000" t="e">
        <f>LN(IF(AX$155&lt;AX$83,IF(LOG(AX$154)&lt;-0.67,251.2,IF(LOG(AX$154)&lt;-0.28,10^(2.8+0.59*LOG(AX$154)),IF(LOG(AX$154)&lt;-0.15,426.6,10^(2.56-0.49*LOG(AX$154)))))*(AX86/Wind_Night)^0.5,1))</f>
        <v>#DIV/0!</v>
      </c>
      <c r="AY160" s="269"/>
      <c r="AZ160" s="3000" t="e">
        <f>LN(IF(AZ$155&lt;AZ$83,IF(LOG(AZ$154)&lt;-0.67,251.2,IF(LOG(AZ$154)&lt;-0.28,10^(2.8+0.59*LOG(AZ$154)),IF(LOG(AZ$154)&lt;-0.15,426.6,10^(2.56-0.49*LOG(AZ$154)))))*(AZ86/Wind_Night)^0.5,1))</f>
        <v>#DIV/0!</v>
      </c>
      <c r="BA160" s="269"/>
      <c r="BB160" s="3000" t="e">
        <f>LN(IF(BB$155&lt;BB$83,IF(LOG(BB$154)&lt;-0.67,251.2,IF(LOG(BB$154)&lt;-0.28,10^(2.8+0.59*LOG(BB$154)),IF(LOG(BB$154)&lt;-0.15,426.6,10^(2.56-0.49*LOG(BB$154)))))*(BB86/Wind_Night)^0.5,1))</f>
        <v>#DIV/0!</v>
      </c>
      <c r="BC160" s="269"/>
      <c r="BD160" s="3000" t="e">
        <f>LN(IF(BD$155&lt;BD$83,IF(LOG(BD$154)&lt;-0.67,251.2,IF(LOG(BD$154)&lt;-0.28,10^(2.8+0.59*LOG(BD$154)),IF(LOG(BD$154)&lt;-0.15,426.6,10^(2.56-0.49*LOG(BD$154)))))*(BD86/Wind_Night)^0.5,1))</f>
        <v>#DIV/0!</v>
      </c>
      <c r="BE160" s="269"/>
      <c r="BF160" s="3000" t="e">
        <f>LN(IF(BF$155&lt;BF$83,IF(LOG(BF$154)&lt;-0.67,251.2,IF(LOG(BF$154)&lt;-0.28,10^(2.8+0.59*LOG(BF$154)),IF(LOG(BF$154)&lt;-0.15,426.6,10^(2.56-0.49*LOG(BF$154)))))*(BF86/Wind_Night)^0.5,1))</f>
        <v>#DIV/0!</v>
      </c>
      <c r="BG160" s="269"/>
      <c r="BH160" s="3000" t="e">
        <f>LN(IF(BH$155&lt;BH$83,IF(LOG(BH$154)&lt;-0.67,251.2,IF(LOG(BH$154)&lt;-0.28,10^(2.8+0.59*LOG(BH$154)),IF(LOG(BH$154)&lt;-0.15,426.6,10^(2.56-0.49*LOG(BH$154)))))*(BH86/Wind_Night)^0.5,1))</f>
        <v>#DIV/0!</v>
      </c>
      <c r="BI160" s="269"/>
      <c r="BJ160" s="3000" t="e">
        <f>LN(IF(BJ$155&lt;BJ$83,IF(LOG(BJ$154)&lt;-0.67,251.2,IF(LOG(BJ$154)&lt;-0.28,10^(2.8+0.59*LOG(BJ$154)),IF(LOG(BJ$154)&lt;-0.15,426.6,10^(2.56-0.49*LOG(BJ$154)))))*(BJ86/Wind_Night)^0.5,1))</f>
        <v>#DIV/0!</v>
      </c>
      <c r="BK160" s="269"/>
      <c r="BL160" s="3000" t="e">
        <f>LN(IF(BL$155&lt;BL$83,IF(LOG(BL$154)&lt;-0.67,251.2,IF(LOG(BL$154)&lt;-0.28,10^(2.8+0.59*LOG(BL$154)),IF(LOG(BL$154)&lt;-0.15,426.6,10^(2.56-0.49*LOG(BL$154)))))*(BL86/Wind_Night)^0.5,1))</f>
        <v>#DIV/0!</v>
      </c>
      <c r="BM160" s="269"/>
      <c r="BN160" s="3000" t="e">
        <f>LN(IF(BN$155&lt;BN$83,IF(LOG(BN$154)&lt;-0.67,251.2,IF(LOG(BN$154)&lt;-0.28,10^(2.8+0.59*LOG(BN$154)),IF(LOG(BN$154)&lt;-0.15,426.6,10^(2.56-0.49*LOG(BN$154)))))*(BN86/Wind_Night)^0.5,1))</f>
        <v>#DIV/0!</v>
      </c>
      <c r="BO160" s="269"/>
      <c r="BP160" s="1835"/>
      <c r="BQ160" s="83"/>
      <c r="BR160" s="81"/>
      <c r="BS160" s="512" t="s">
        <v>5116</v>
      </c>
      <c r="BT160" s="81"/>
      <c r="BU160" s="3000">
        <f>LN(IF(BU$158&lt;BU$99,IF(LOG(BU$157)&lt;-0.68,83.2,IF(LOG(BU$157)&lt;-0.29,10^(2.16+0.36*LOG(BU$157)),IF(LOG(BU$157)&lt;-0.18,114.8,10^(1.96-0.56*LOG(BU$157)))))*(BU102/Wind_Night)^0.5,1))</f>
        <v>0</v>
      </c>
      <c r="BV160" s="81"/>
      <c r="BW160" s="3000">
        <f>LN(IF(BW$158&lt;BW$99,IF(LOG(BW$157)&lt;-0.68,83.2,IF(LOG(BW$157)&lt;-0.29,10^(2.16+0.36*LOG(BW$157)),IF(LOG(BW$157)&lt;-0.18,114.8,10^(1.96-0.56*LOG(BW$157)))))*(BW102/Wind_Night)^0.5,1))</f>
        <v>0</v>
      </c>
      <c r="BX160" s="81"/>
      <c r="BY160" s="3000">
        <f>LN(IF(BY$158&lt;BY$99,IF(LOG(BY$157)&lt;-0.68,83.2,IF(LOG(BY$157)&lt;-0.29,10^(2.16+0.36*LOG(BY$157)),IF(LOG(BY$157)&lt;-0.18,114.8,10^(1.96-0.56*LOG(BY$157)))))*(BY102/Wind_Night)^0.5,1))</f>
        <v>0</v>
      </c>
      <c r="BZ160" s="81"/>
      <c r="CA160" s="3000">
        <f>LN(IF(CA$158&lt;CA$99,IF(LOG(CA$157)&lt;-0.68,83.2,IF(LOG(CA$157)&lt;-0.29,10^(2.16+0.36*LOG(CA$157)),IF(LOG(CA$157)&lt;-0.18,114.8,10^(1.96-0.56*LOG(CA$157)))))*(CA102/Wind_Night)^0.5,1))</f>
        <v>0</v>
      </c>
      <c r="CB160" s="81"/>
      <c r="CC160" s="3000">
        <f>LN(IF(CC$158&lt;CC$99,IF(LOG(CC$157)&lt;-0.68,83.2,IF(LOG(CC$157)&lt;-0.29,10^(2.16+0.36*LOG(CC$157)),IF(LOG(CC$157)&lt;-0.18,114.8,10^(1.96-0.56*LOG(CC$157)))))*(CC102/Wind_Night)^0.5,1))</f>
        <v>0</v>
      </c>
      <c r="CD160" s="81"/>
      <c r="CE160" s="23"/>
      <c r="CF160" s="81"/>
      <c r="CG160" s="2"/>
      <c r="CH160" s="25" t="s">
        <v>1433</v>
      </c>
      <c r="CI160" s="83"/>
      <c r="CJ160" s="16" t="str">
        <f>IF(CJ16&gt;0,IF(AND(CJ158&lt;&gt;"",CJ158&gt;71400),"Yes","No"),"No")</f>
        <v>No</v>
      </c>
      <c r="CK160" s="83"/>
      <c r="CL160" s="89"/>
      <c r="CM160" s="83"/>
      <c r="CN160" s="7"/>
      <c r="CO160" s="7"/>
      <c r="CP160" s="7"/>
      <c r="CQ160" s="7"/>
      <c r="CR160" s="7"/>
      <c r="CS160" s="7"/>
    </row>
    <row r="161" spans="1:97" s="26" customFormat="1" ht="15" customHeight="1" x14ac:dyDescent="0.25">
      <c r="A161" s="2"/>
      <c r="B161" s="512" t="s">
        <v>5117</v>
      </c>
      <c r="C161" s="83"/>
      <c r="D161" s="3000">
        <f>LN(IF(D$158&lt;D$99,IF(LOG(D$157)&lt;-0.69,120.2,IF(LOG(D$157)&lt;-0.31,10^(2.39+0.45*LOG(D$157)),IF(LOG(D$157)&lt;-0.16,177.8,10^(2.16-0.54*LOG(D$157)))))*(D102/Wind_Night)^0.5,1))</f>
        <v>0</v>
      </c>
      <c r="E161" s="83"/>
      <c r="F161" s="3000">
        <f>LN(IF(F$158&lt;F$99,IF(LOG(F$157)&lt;-0.69,120.2,IF(LOG(F$157)&lt;-0.31,10^(2.39+0.45*LOG(F$157)),IF(LOG(F$157)&lt;-0.16,177.8,10^(2.16-0.54*LOG(F$157)))))*(F102/Wind_Night)^0.5,1))</f>
        <v>0</v>
      </c>
      <c r="G161" s="83"/>
      <c r="H161" s="3000">
        <f>LN(IF(H$158&lt;H$99,IF(LOG(H$157)&lt;-0.69,120.2,IF(LOG(H$157)&lt;-0.31,10^(2.39+0.45*LOG(H$157)),IF(LOG(H$157)&lt;-0.16,177.8,10^(2.16-0.54*LOG(H$157)))))*(H102/Wind_Night)^0.5,1))</f>
        <v>0</v>
      </c>
      <c r="I161" s="83"/>
      <c r="J161" s="3000">
        <f>LN(IF(J$158&lt;J$99,IF(LOG(J$157)&lt;-0.69,120.2,IF(LOG(J$157)&lt;-0.31,10^(2.39+0.45*LOG(J$157)),IF(LOG(J$157)&lt;-0.16,177.8,10^(2.16-0.54*LOG(J$157)))))*(J102/Wind_Night)^0.5,1))</f>
        <v>0</v>
      </c>
      <c r="K161" s="83"/>
      <c r="L161" s="3000">
        <f>LN(IF(L$158&lt;L$99,IF(LOG(L$157)&lt;-0.69,120.2,IF(LOG(L$157)&lt;-0.31,10^(2.39+0.45*LOG(L$157)),IF(LOG(L$157)&lt;-0.16,177.8,10^(2.16-0.54*LOG(L$157)))))*(L102/Wind_Night)^0.5,1))</f>
        <v>0</v>
      </c>
      <c r="M161" s="83"/>
      <c r="N161" s="3000">
        <f>LN(IF(N$158&lt;N$99,IF(LOG(N$157)&lt;-0.69,120.2,IF(LOG(N$157)&lt;-0.31,10^(2.39+0.45*LOG(N$157)),IF(LOG(N$157)&lt;-0.16,177.8,10^(2.16-0.54*LOG(N$157)))))*(N102/Wind_Night)^0.5,1))</f>
        <v>0</v>
      </c>
      <c r="O161" s="83"/>
      <c r="P161" s="3000">
        <f>LN(IF(P$158&lt;P$99,IF(LOG(P$157)&lt;-0.69,120.2,IF(LOG(P$157)&lt;-0.31,10^(2.39+0.45*LOG(P$157)),IF(LOG(P$157)&lt;-0.16,177.8,10^(2.16-0.54*LOG(P$157)))))*(P102/Wind_Night)^0.5,1))</f>
        <v>0</v>
      </c>
      <c r="Q161" s="83"/>
      <c r="R161" s="3000">
        <f>LN(IF(R$158&lt;R$99,IF(LOG(R$157)&lt;-0.69,120.2,IF(LOG(R$157)&lt;-0.31,10^(2.39+0.45*LOG(R$157)),IF(LOG(R$157)&lt;-0.16,177.8,10^(2.16-0.54*LOG(R$157)))))*(R102/Wind_Night)^0.5,1))</f>
        <v>0</v>
      </c>
      <c r="S161" s="83"/>
      <c r="T161" s="3000">
        <f>LN(IF(T$158&lt;T$99,IF(LOG(T$157)&lt;-0.69,120.2,IF(LOG(T$157)&lt;-0.31,10^(2.39+0.45*LOG(T$157)),IF(LOG(T$157)&lt;-0.16,177.8,10^(2.16-0.54*LOG(T$157)))))*(T102/Wind_Night)^0.5,1))</f>
        <v>0</v>
      </c>
      <c r="U161" s="83"/>
      <c r="V161" s="3000">
        <f>LN(IF(V$158&lt;V$99,IF(LOG(V$157)&lt;-0.69,120.2,IF(LOG(V$157)&lt;-0.31,10^(2.39+0.45*LOG(V$157)),IF(LOG(V$157)&lt;-0.16,177.8,10^(2.16-0.54*LOG(V$157)))))*(V102/Wind_Night)^0.5,1))</f>
        <v>0</v>
      </c>
      <c r="W161" s="83"/>
      <c r="X161" s="3000">
        <f>LN(IF(X$158&lt;X$99,IF(LOG(X$157)&lt;-0.69,120.2,IF(LOG(X$157)&lt;-0.31,10^(2.39+0.45*LOG(X$157)),IF(LOG(X$157)&lt;-0.16,177.8,10^(2.16-0.54*LOG(X$157)))))*(X102/Wind_Night)^0.5,1))</f>
        <v>0</v>
      </c>
      <c r="Y161" s="83"/>
      <c r="Z161" s="2987"/>
      <c r="AA161" s="83"/>
      <c r="AB161" s="81"/>
      <c r="AC161" s="512" t="s">
        <v>5104</v>
      </c>
      <c r="AD161" s="81"/>
      <c r="AE161" s="1289">
        <f>IF(AE$83&gt;0,LN(IF(AE$154&gt;=500,AE$99*AE$152*500^AE$153,NBPuff_A*AE$83/AE$98/(500-AE$154+AE$155)^(1/NBPuff_B))),0)</f>
        <v>0</v>
      </c>
      <c r="AF161" s="81"/>
      <c r="AG161" s="1289">
        <f>IF(AG$83&gt;0,LN(IF(AG$154&gt;=500,AG$99*AG$152*500^AG$153,NBPuff_A*AG$83/AG$98/(500-AG$154+AG$155)^(1/NBPuff_B))),0)</f>
        <v>0</v>
      </c>
      <c r="AH161" s="81"/>
      <c r="AI161" s="1289">
        <f>IF(AI$83&gt;0,LN(IF(AI$154&gt;=500,AI$99*AI$152*500^AI$153,NBPuff_A*AI$83/AI$98/(500-AI$154+AI$155)^(1/NBPuff_B))),0)</f>
        <v>0</v>
      </c>
      <c r="AJ161" s="81"/>
      <c r="AK161" s="1289">
        <f>IF(AK$83&gt;0,LN(IF(AK$154&gt;=500,AK$99*AK$152*500^AK$153,NBPuff_A*AK$83/AK$98/(500-AK$154+AK$155)^(1/NBPuff_B))),0)</f>
        <v>0</v>
      </c>
      <c r="AL161" s="81"/>
      <c r="AM161" s="1289">
        <f>IF(AM$83&gt;0,LN(IF(AM$154&gt;=500,AM$99*AM$152*500^AM$153,NBPuff_A*AM$83/AM$98/(500-AM$154+AM$155)^(1/NBPuff_B))),0)</f>
        <v>0</v>
      </c>
      <c r="AN161" s="81"/>
      <c r="AO161" s="1289">
        <f>IF(AO$83&gt;0,LN(IF(AO$154&gt;=500,AO$99*AO$152*500^AO$153,NBPuff_A*AO$83/AO$98/(500-AO$154+AO$155)^(1/NBPuff_B))),0)</f>
        <v>0</v>
      </c>
      <c r="AP161" s="81"/>
      <c r="AQ161" s="85"/>
      <c r="AR161" s="81"/>
      <c r="AS161" s="83"/>
      <c r="AT161" s="512" t="s">
        <v>5120</v>
      </c>
      <c r="AU161" s="83"/>
      <c r="AV161" s="3000" t="e">
        <f>LN(IF(AV$155&lt;AV$83,IF(LOG(AV$154)&lt;-0.69,398.1,IF(LOG(AV$154)&lt;-0.25,10^(2.87+0.39*LOG(AV$154)),IF(LOG(AV$154)&lt;-0.13,588.8,10^(2.71-0.5*LOG(AV$154)))))*(AV86/Wind_Night)^0.5,1))</f>
        <v>#DIV/0!</v>
      </c>
      <c r="AW161" s="269"/>
      <c r="AX161" s="3000" t="e">
        <f>LN(IF(AX$155&lt;AX$83,IF(LOG(AX$154)&lt;-0.69,398.1,IF(LOG(AX$154)&lt;-0.25,10^(2.87+0.39*LOG(AX$154)),IF(LOG(AX$154)&lt;-0.13,588.8,10^(2.71-0.5*LOG(AX$154)))))*(AX86/Wind_Night)^0.5,1))</f>
        <v>#DIV/0!</v>
      </c>
      <c r="AY161" s="269"/>
      <c r="AZ161" s="3000" t="e">
        <f>LN(IF(AZ$155&lt;AZ$83,IF(LOG(AZ$154)&lt;-0.69,398.1,IF(LOG(AZ$154)&lt;-0.25,10^(2.87+0.39*LOG(AZ$154)),IF(LOG(AZ$154)&lt;-0.13,588.8,10^(2.71-0.5*LOG(AZ$154)))))*(AZ86/Wind_Night)^0.5,1))</f>
        <v>#DIV/0!</v>
      </c>
      <c r="BA161" s="269"/>
      <c r="BB161" s="3000" t="e">
        <f>LN(IF(BB$155&lt;BB$83,IF(LOG(BB$154)&lt;-0.69,398.1,IF(LOG(BB$154)&lt;-0.25,10^(2.87+0.39*LOG(BB$154)),IF(LOG(BB$154)&lt;-0.13,588.8,10^(2.71-0.5*LOG(BB$154)))))*(BB86/Wind_Night)^0.5,1))</f>
        <v>#DIV/0!</v>
      </c>
      <c r="BC161" s="269"/>
      <c r="BD161" s="3000" t="e">
        <f>LN(IF(BD$155&lt;BD$83,IF(LOG(BD$154)&lt;-0.69,398.1,IF(LOG(BD$154)&lt;-0.25,10^(2.87+0.39*LOG(BD$154)),IF(LOG(BD$154)&lt;-0.13,588.8,10^(2.71-0.5*LOG(BD$154)))))*(BD86/Wind_Night)^0.5,1))</f>
        <v>#DIV/0!</v>
      </c>
      <c r="BE161" s="269"/>
      <c r="BF161" s="3000" t="e">
        <f>LN(IF(BF$155&lt;BF$83,IF(LOG(BF$154)&lt;-0.69,398.1,IF(LOG(BF$154)&lt;-0.25,10^(2.87+0.39*LOG(BF$154)),IF(LOG(BF$154)&lt;-0.13,588.8,10^(2.71-0.5*LOG(BF$154)))))*(BF86/Wind_Night)^0.5,1))</f>
        <v>#DIV/0!</v>
      </c>
      <c r="BG161" s="269"/>
      <c r="BH161" s="3000" t="e">
        <f>LN(IF(BH$155&lt;BH$83,IF(LOG(BH$154)&lt;-0.69,398.1,IF(LOG(BH$154)&lt;-0.25,10^(2.87+0.39*LOG(BH$154)),IF(LOG(BH$154)&lt;-0.13,588.8,10^(2.71-0.5*LOG(BH$154)))))*(BH86/Wind_Night)^0.5,1))</f>
        <v>#DIV/0!</v>
      </c>
      <c r="BI161" s="269"/>
      <c r="BJ161" s="3000" t="e">
        <f>LN(IF(BJ$155&lt;BJ$83,IF(LOG(BJ$154)&lt;-0.69,398.1,IF(LOG(BJ$154)&lt;-0.25,10^(2.87+0.39*LOG(BJ$154)),IF(LOG(BJ$154)&lt;-0.13,588.8,10^(2.71-0.5*LOG(BJ$154)))))*(BJ86/Wind_Night)^0.5,1))</f>
        <v>#DIV/0!</v>
      </c>
      <c r="BK161" s="269"/>
      <c r="BL161" s="3000" t="e">
        <f>LN(IF(BL$155&lt;BL$83,IF(LOG(BL$154)&lt;-0.69,398.1,IF(LOG(BL$154)&lt;-0.25,10^(2.87+0.39*LOG(BL$154)),IF(LOG(BL$154)&lt;-0.13,588.8,10^(2.71-0.5*LOG(BL$154)))))*(BL86/Wind_Night)^0.5,1))</f>
        <v>#DIV/0!</v>
      </c>
      <c r="BM161" s="269"/>
      <c r="BN161" s="3000" t="e">
        <f>LN(IF(BN$155&lt;BN$83,IF(LOG(BN$154)&lt;-0.69,398.1,IF(LOG(BN$154)&lt;-0.25,10^(2.87+0.39*LOG(BN$154)),IF(LOG(BN$154)&lt;-0.13,588.8,10^(2.71-0.5*LOG(BN$154)))))*(BN86/Wind_Night)^0.5,1))</f>
        <v>#DIV/0!</v>
      </c>
      <c r="BO161" s="269"/>
      <c r="BP161" s="1835"/>
      <c r="BQ161" s="83"/>
      <c r="BR161" s="81"/>
      <c r="BS161" s="512" t="s">
        <v>5117</v>
      </c>
      <c r="BT161" s="81"/>
      <c r="BU161" s="3000">
        <f>LN(IF(BU$158&lt;BU$99,IF(LOG(BU$157)&lt;-0.69,120.2,IF(LOG(BU$157)&lt;-0.31,10^(2.39+0.45*LOG(BU$157)),IF(LOG(BU$157)&lt;-0.16,177.8,10^(2.16-0.54*LOG(BU$157)))))*(BU102/Wind_Night)^0.5,1))</f>
        <v>0</v>
      </c>
      <c r="BV161" s="81"/>
      <c r="BW161" s="3000">
        <f>LN(IF(BW$158&lt;BW$99,IF(LOG(BW$157)&lt;-0.69,120.2,IF(LOG(BW$157)&lt;-0.31,10^(2.39+0.45*LOG(BW$157)),IF(LOG(BW$157)&lt;-0.16,177.8,10^(2.16-0.54*LOG(BW$157)))))*(BW102/Wind_Night)^0.5,1))</f>
        <v>0</v>
      </c>
      <c r="BX161" s="81"/>
      <c r="BY161" s="3000">
        <f>LN(IF(BY$158&lt;BY$99,IF(LOG(BY$157)&lt;-0.69,120.2,IF(LOG(BY$157)&lt;-0.31,10^(2.39+0.45*LOG(BY$157)),IF(LOG(BY$157)&lt;-0.16,177.8,10^(2.16-0.54*LOG(BY$157)))))*(BY102/Wind_Night)^0.5,1))</f>
        <v>0</v>
      </c>
      <c r="BZ161" s="81"/>
      <c r="CA161" s="3000">
        <f>LN(IF(CA$158&lt;CA$99,IF(LOG(CA$157)&lt;-0.69,120.2,IF(LOG(CA$157)&lt;-0.31,10^(2.39+0.45*LOG(CA$157)),IF(LOG(CA$157)&lt;-0.16,177.8,10^(2.16-0.54*LOG(CA$157)))))*(CA102/Wind_Night)^0.5,1))</f>
        <v>0</v>
      </c>
      <c r="CB161" s="81"/>
      <c r="CC161" s="3000">
        <f>LN(IF(CC$158&lt;CC$99,IF(LOG(CC$157)&lt;-0.69,120.2,IF(LOG(CC$157)&lt;-0.31,10^(2.39+0.45*LOG(CC$157)),IF(LOG(CC$157)&lt;-0.16,177.8,10^(2.16-0.54*LOG(CC$157)))))*(CC102/Wind_Night)^0.5,1))</f>
        <v>0</v>
      </c>
      <c r="CD161" s="81"/>
      <c r="CE161" s="23"/>
      <c r="CF161" s="81"/>
      <c r="CG161" s="2"/>
      <c r="CH161" s="848" t="s">
        <v>4679</v>
      </c>
      <c r="CI161" s="83"/>
      <c r="CJ161" s="102" t="str">
        <f>IF(Flash_Pt_Feed="","No",IF(OR(AND(Flash_Pt_Feed&gt;38,T&lt;(Flash_Pt_Feed-IF(WFeed_1&lt;1,15,5))),Location&lt;&gt;"Indoors"),"No",IF(CJ158&gt;LFL_Limit*10000*CJ26,"Yes","No")))</f>
        <v>No</v>
      </c>
      <c r="CK161" s="83"/>
      <c r="CL161" s="23"/>
      <c r="CM161" s="83"/>
      <c r="CN161" s="7"/>
      <c r="CO161" s="7"/>
      <c r="CP161" s="7"/>
      <c r="CQ161" s="7"/>
      <c r="CR161" s="7"/>
      <c r="CS161" s="7"/>
    </row>
    <row r="162" spans="1:97" s="26" customFormat="1" ht="15" customHeight="1" x14ac:dyDescent="0.25">
      <c r="A162" s="2"/>
      <c r="B162" s="512" t="s">
        <v>5118</v>
      </c>
      <c r="C162" s="83"/>
      <c r="D162" s="3000">
        <f>LN(IF(D$158&lt;D$99,IF(LOG(D$157)&lt;-0.7,177.8,IF(LOG(D$157)&lt;-0.29,10^(2.59+0.49*LOG(D$157)),IF(LOG(D$157)&lt;-0.2,281.8,10^(2.35-0.52*LOG(D$157)))))*(D102/Wind_Night)^0.5,1))</f>
        <v>0</v>
      </c>
      <c r="E162" s="83"/>
      <c r="F162" s="3000">
        <f>LN(IF(F$158&lt;F$99,IF(LOG(F$157)&lt;-0.7,177.8,IF(LOG(F$157)&lt;-0.29,10^(2.59+0.49*LOG(F$157)),IF(LOG(F$157)&lt;-0.2,281.8,10^(2.35-0.52*LOG(F$157)))))*(F102/Wind_Night)^0.5,1))</f>
        <v>0</v>
      </c>
      <c r="G162" s="83"/>
      <c r="H162" s="3000">
        <f>LN(IF(H$158&lt;H$99,IF(LOG(H$157)&lt;-0.7,177.8,IF(LOG(H$157)&lt;-0.29,10^(2.59+0.49*LOG(H$157)),IF(LOG(H$157)&lt;-0.2,281.8,10^(2.35-0.52*LOG(H$157)))))*(H102/Wind_Night)^0.5,1))</f>
        <v>0</v>
      </c>
      <c r="I162" s="83"/>
      <c r="J162" s="3000">
        <f>LN(IF(J$158&lt;J$99,IF(LOG(J$157)&lt;-0.7,177.8,IF(LOG(J$157)&lt;-0.29,10^(2.59+0.49*LOG(J$157)),IF(LOG(J$157)&lt;-0.2,281.8,10^(2.35-0.52*LOG(J$157)))))*(J102/Wind_Night)^0.5,1))</f>
        <v>0</v>
      </c>
      <c r="K162" s="83"/>
      <c r="L162" s="3000">
        <f>LN(IF(L$158&lt;L$99,IF(LOG(L$157)&lt;-0.7,177.8,IF(LOG(L$157)&lt;-0.29,10^(2.59+0.49*LOG(L$157)),IF(LOG(L$157)&lt;-0.2,281.8,10^(2.35-0.52*LOG(L$157)))))*(L102/Wind_Night)^0.5,1))</f>
        <v>0</v>
      </c>
      <c r="M162" s="83"/>
      <c r="N162" s="3000">
        <f>LN(IF(N$158&lt;N$99,IF(LOG(N$157)&lt;-0.7,177.8,IF(LOG(N$157)&lt;-0.29,10^(2.59+0.49*LOG(N$157)),IF(LOG(N$157)&lt;-0.2,281.8,10^(2.35-0.52*LOG(N$157)))))*(N102/Wind_Night)^0.5,1))</f>
        <v>0</v>
      </c>
      <c r="O162" s="83"/>
      <c r="P162" s="3000">
        <f>LN(IF(P$158&lt;P$99,IF(LOG(P$157)&lt;-0.7,177.8,IF(LOG(P$157)&lt;-0.29,10^(2.59+0.49*LOG(P$157)),IF(LOG(P$157)&lt;-0.2,281.8,10^(2.35-0.52*LOG(P$157)))))*(P102/Wind_Night)^0.5,1))</f>
        <v>0</v>
      </c>
      <c r="Q162" s="83"/>
      <c r="R162" s="3000">
        <f>LN(IF(R$158&lt;R$99,IF(LOG(R$157)&lt;-0.7,177.8,IF(LOG(R$157)&lt;-0.29,10^(2.59+0.49*LOG(R$157)),IF(LOG(R$157)&lt;-0.2,281.8,10^(2.35-0.52*LOG(R$157)))))*(R102/Wind_Night)^0.5,1))</f>
        <v>0</v>
      </c>
      <c r="S162" s="83"/>
      <c r="T162" s="3000">
        <f>LN(IF(T$158&lt;T$99,IF(LOG(T$157)&lt;-0.7,177.8,IF(LOG(T$157)&lt;-0.29,10^(2.59+0.49*LOG(T$157)),IF(LOG(T$157)&lt;-0.2,281.8,10^(2.35-0.52*LOG(T$157)))))*(T102/Wind_Night)^0.5,1))</f>
        <v>0</v>
      </c>
      <c r="U162" s="83"/>
      <c r="V162" s="3000">
        <f>LN(IF(V$158&lt;V$99,IF(LOG(V$157)&lt;-0.7,177.8,IF(LOG(V$157)&lt;-0.29,10^(2.59+0.49*LOG(V$157)),IF(LOG(V$157)&lt;-0.2,281.8,10^(2.35-0.52*LOG(V$157)))))*(V102/Wind_Night)^0.5,1))</f>
        <v>0</v>
      </c>
      <c r="W162" s="83"/>
      <c r="X162" s="3000">
        <f>LN(IF(X$158&lt;X$99,IF(LOG(X$157)&lt;-0.7,177.8,IF(LOG(X$157)&lt;-0.29,10^(2.59+0.49*LOG(X$157)),IF(LOG(X$157)&lt;-0.2,281.8,10^(2.35-0.52*LOG(X$157)))))*(X102/Wind_Night)^0.5,1))</f>
        <v>0</v>
      </c>
      <c r="Y162" s="83"/>
      <c r="Z162" s="2987"/>
      <c r="AA162" s="83"/>
      <c r="AB162" s="81"/>
      <c r="AC162" s="512" t="s">
        <v>5105</v>
      </c>
      <c r="AD162" s="81"/>
      <c r="AE162" s="1289">
        <f>IF(AE$83&gt;0,LN(IF(AE$154&gt;=1000,AE$99*AE$152*1000^AE$153,NBPuff_A*AE$83/AE$98/(1000-AE$154+AE$155)^(1/NBPuff_B))),0)</f>
        <v>0</v>
      </c>
      <c r="AF162" s="81"/>
      <c r="AG162" s="1289">
        <f>IF(AG$83&gt;0,LN(IF(AG$154&gt;=1000,AG$99*AG$152*1000^AG$153,NBPuff_A*AG$83/AG$98/(1000-AG$154+AG$155)^(1/NBPuff_B))),0)</f>
        <v>0</v>
      </c>
      <c r="AH162" s="81"/>
      <c r="AI162" s="1289">
        <f>IF(AI$83&gt;0,LN(IF(AI$154&gt;=1000,AI$99*AI$152*1000^AI$153,NBPuff_A*AI$83/AI$98/(1000-AI$154+AI$155)^(1/NBPuff_B))),0)</f>
        <v>0</v>
      </c>
      <c r="AJ162" s="81"/>
      <c r="AK162" s="1289">
        <f>IF(AK$83&gt;0,LN(IF(AK$154&gt;=1000,AK$99*AK$152*1000^AK$153,NBPuff_A*AK$83/AK$98/(1000-AK$154+AK$155)^(1/NBPuff_B))),0)</f>
        <v>0</v>
      </c>
      <c r="AL162" s="81"/>
      <c r="AM162" s="1289">
        <f>IF(AM$83&gt;0,LN(IF(AM$154&gt;=1000,AM$99*AM$152*1000^AM$153,NBPuff_A*AM$83/AM$98/(1000-AM$154+AM$155)^(1/NBPuff_B))),0)</f>
        <v>0</v>
      </c>
      <c r="AN162" s="81"/>
      <c r="AO162" s="1289">
        <f>IF(AO$83&gt;0,LN(IF(AO$154&gt;=1000,AO$99*AO$152*1000^AO$153,NBPuff_A*AO$83/AO$98/(1000-AO$154+AO$155)^(1/NBPuff_B))),0)</f>
        <v>0</v>
      </c>
      <c r="AP162" s="81"/>
      <c r="AQ162" s="85"/>
      <c r="AR162" s="81"/>
      <c r="AS162" s="83"/>
      <c r="AT162" s="2977" t="s">
        <v>5056</v>
      </c>
      <c r="AU162" s="83"/>
      <c r="AV162" s="1230" t="e">
        <f>EXP(INDEX(LINEST($CJ$277:$CJ$282,AV156:AV161),2))*((Ambient_Temp+273)/(AV9+273))*Roughness_A</f>
        <v>#VALUE!</v>
      </c>
      <c r="AW162" s="269"/>
      <c r="AX162" s="1230" t="e">
        <f>EXP(INDEX(LINEST($CJ$277:$CJ$282,AX156:AX161),2))*((Ambient_Temp+273)/(AX9+273))*Roughness_A</f>
        <v>#VALUE!</v>
      </c>
      <c r="AY162" s="269"/>
      <c r="AZ162" s="1230" t="e">
        <f>EXP(INDEX(LINEST($CJ$277:$CJ$282,AZ156:AZ161),2))*((Ambient_Temp+273)/(AZ9+273))*Roughness_A</f>
        <v>#VALUE!</v>
      </c>
      <c r="BA162" s="269"/>
      <c r="BB162" s="1230" t="e">
        <f>EXP(INDEX(LINEST($CJ$277:$CJ$282,BB156:BB161),2))*((Ambient_Temp+273)/(BB9+273))*Roughness_A</f>
        <v>#VALUE!</v>
      </c>
      <c r="BC162" s="269"/>
      <c r="BD162" s="1230" t="e">
        <f>EXP(INDEX(LINEST($CJ$277:$CJ$282,BD156:BD161),2))*((Ambient_Temp+273)/(BD9+273))*Roughness_A</f>
        <v>#VALUE!</v>
      </c>
      <c r="BE162" s="269"/>
      <c r="BF162" s="1230" t="e">
        <f>EXP(INDEX(LINEST($CJ$277:$CJ$282,BF156:BF161),2))*((Ambient_Temp+273)/(BF9+273))*Roughness_A</f>
        <v>#VALUE!</v>
      </c>
      <c r="BG162" s="269"/>
      <c r="BH162" s="1230" t="e">
        <f>EXP(INDEX(LINEST($CJ$277:$CJ$282,BH156:BH161),2))*((Ambient_Temp+273)/(BH9+273))*Roughness_A</f>
        <v>#VALUE!</v>
      </c>
      <c r="BI162" s="269"/>
      <c r="BJ162" s="1230" t="e">
        <f>EXP(INDEX(LINEST($CJ$277:$CJ$282,BJ156:BJ161),2))*((Ambient_Temp+273)/(BJ9+273))*Roughness_A</f>
        <v>#VALUE!</v>
      </c>
      <c r="BK162" s="269"/>
      <c r="BL162" s="1230" t="e">
        <f>EXP(INDEX(LINEST($CJ$277:$CJ$282,BL156:BL161),2))*((Ambient_Temp+273)/(BL9+273))*Roughness_A</f>
        <v>#VALUE!</v>
      </c>
      <c r="BM162" s="269"/>
      <c r="BN162" s="1230" t="e">
        <f>EXP(INDEX(LINEST($CJ$277:$CJ$282,BN156:BN161),2))*((Ambient_Temp+273)/(BN9+273))*Roughness_A</f>
        <v>#VALUE!</v>
      </c>
      <c r="BO162" s="269"/>
      <c r="BP162" s="1835"/>
      <c r="BQ162" s="83"/>
      <c r="BR162" s="81"/>
      <c r="BS162" s="512" t="s">
        <v>5118</v>
      </c>
      <c r="BT162" s="81"/>
      <c r="BU162" s="3000">
        <f>LN(IF(BU$158&lt;BU$99,IF(LOG(BU$157)&lt;-0.7,177.8,IF(LOG(BU$157)&lt;-0.29,10^(2.59+0.49*LOG(BU$157)),IF(LOG(BU$157)&lt;-0.2,281.8,10^(2.35-0.52*LOG(BU$157)))))*(BU102/Wind_Night)^0.5,1))</f>
        <v>0</v>
      </c>
      <c r="BV162" s="81"/>
      <c r="BW162" s="3000">
        <f>LN(IF(BW$158&lt;BW$99,IF(LOG(BW$157)&lt;-0.7,177.8,IF(LOG(BW$157)&lt;-0.29,10^(2.59+0.49*LOG(BW$157)),IF(LOG(BW$157)&lt;-0.2,281.8,10^(2.35-0.52*LOG(BW$157)))))*(BW102/Wind_Night)^0.5,1))</f>
        <v>0</v>
      </c>
      <c r="BX162" s="81"/>
      <c r="BY162" s="3000">
        <f>LN(IF(BY$158&lt;BY$99,IF(LOG(BY$157)&lt;-0.7,177.8,IF(LOG(BY$157)&lt;-0.29,10^(2.59+0.49*LOG(BY$157)),IF(LOG(BY$157)&lt;-0.2,281.8,10^(2.35-0.52*LOG(BY$157)))))*(BY102/Wind_Night)^0.5,1))</f>
        <v>0</v>
      </c>
      <c r="BZ162" s="81"/>
      <c r="CA162" s="3000">
        <f>LN(IF(CA$158&lt;CA$99,IF(LOG(CA$157)&lt;-0.7,177.8,IF(LOG(CA$157)&lt;-0.29,10^(2.59+0.49*LOG(CA$157)),IF(LOG(CA$157)&lt;-0.2,281.8,10^(2.35-0.52*LOG(CA$157)))))*(CA102/Wind_Night)^0.5,1))</f>
        <v>0</v>
      </c>
      <c r="CB162" s="81"/>
      <c r="CC162" s="3000">
        <f>LN(IF(CC$158&lt;CC$99,IF(LOG(CC$157)&lt;-0.7,177.8,IF(LOG(CC$157)&lt;-0.29,10^(2.59+0.49*LOG(CC$157)),IF(LOG(CC$157)&lt;-0.2,281.8,10^(2.35-0.52*LOG(CC$157)))))*(CC102/Wind_Night)^0.5,1))</f>
        <v>0</v>
      </c>
      <c r="CD162" s="81"/>
      <c r="CE162" s="23"/>
      <c r="CF162" s="81"/>
      <c r="CG162" s="2"/>
      <c r="CH162" s="23" t="s">
        <v>2703</v>
      </c>
      <c r="CI162" s="83"/>
      <c r="CJ162" s="96" t="str">
        <f>IF(Flash_Pt_Feed="","",IF(OR(Ease_of_Ignition_Feed&lt;&gt;"High",Ease_of_Ignition_Feed&lt;&gt;"Elevated"),1,0))</f>
        <v/>
      </c>
      <c r="CK162" s="83"/>
      <c r="CL162" s="23"/>
      <c r="CM162" s="83"/>
      <c r="CN162" s="7"/>
      <c r="CO162" s="7"/>
      <c r="CP162" s="7"/>
      <c r="CQ162" s="7"/>
      <c r="CR162" s="7"/>
      <c r="CS162" s="7"/>
    </row>
    <row r="163" spans="1:97" s="26" customFormat="1" ht="15" customHeight="1" x14ac:dyDescent="0.25">
      <c r="A163" s="2"/>
      <c r="B163" s="512" t="s">
        <v>5119</v>
      </c>
      <c r="C163" s="83"/>
      <c r="D163" s="3000">
        <f>LN(IF(D$158&lt;D$99,IF(LOG(D$157)&lt;-0.67,251.2,IF(LOG(D$157)&lt;-0.28,10^(2.8+0.59*LOG(D$157)),IF(LOG(D$157)&lt;-0.15,426.6,10^(2.56-0.49*LOG(D$157)))))*(D102/Wind_Night)^0.5,1))</f>
        <v>0</v>
      </c>
      <c r="E163" s="83"/>
      <c r="F163" s="3000">
        <f>LN(IF(F$158&lt;F$99,IF(LOG(F$157)&lt;-0.67,251.2,IF(LOG(F$157)&lt;-0.28,10^(2.8+0.59*LOG(F$157)),IF(LOG(F$157)&lt;-0.15,426.6,10^(2.56-0.49*LOG(F$157)))))*(F102/Wind_Night)^0.5,1))</f>
        <v>0</v>
      </c>
      <c r="G163" s="83"/>
      <c r="H163" s="3000">
        <f>LN(IF(H$158&lt;H$99,IF(LOG(H$157)&lt;-0.67,251.2,IF(LOG(H$157)&lt;-0.28,10^(2.8+0.59*LOG(H$157)),IF(LOG(H$157)&lt;-0.15,426.6,10^(2.56-0.49*LOG(H$157)))))*(H102/Wind_Night)^0.5,1))</f>
        <v>0</v>
      </c>
      <c r="I163" s="83"/>
      <c r="J163" s="3000">
        <f>LN(IF(J$158&lt;J$99,IF(LOG(J$157)&lt;-0.67,251.2,IF(LOG(J$157)&lt;-0.28,10^(2.8+0.59*LOG(J$157)),IF(LOG(J$157)&lt;-0.15,426.6,10^(2.56-0.49*LOG(J$157)))))*(J102/Wind_Night)^0.5,1))</f>
        <v>0</v>
      </c>
      <c r="K163" s="83"/>
      <c r="L163" s="3000">
        <f>LN(IF(L$158&lt;L$99,IF(LOG(L$157)&lt;-0.67,251.2,IF(LOG(L$157)&lt;-0.28,10^(2.8+0.59*LOG(L$157)),IF(LOG(L$157)&lt;-0.15,426.6,10^(2.56-0.49*LOG(L$157)))))*(L102/Wind_Night)^0.5,1))</f>
        <v>0</v>
      </c>
      <c r="M163" s="83"/>
      <c r="N163" s="3000">
        <f>LN(IF(N$158&lt;N$99,IF(LOG(N$157)&lt;-0.67,251.2,IF(LOG(N$157)&lt;-0.28,10^(2.8+0.59*LOG(N$157)),IF(LOG(N$157)&lt;-0.15,426.6,10^(2.56-0.49*LOG(N$157)))))*(N102/Wind_Night)^0.5,1))</f>
        <v>0</v>
      </c>
      <c r="O163" s="83"/>
      <c r="P163" s="3000">
        <f>LN(IF(P$158&lt;P$99,IF(LOG(P$157)&lt;-0.67,251.2,IF(LOG(P$157)&lt;-0.28,10^(2.8+0.59*LOG(P$157)),IF(LOG(P$157)&lt;-0.15,426.6,10^(2.56-0.49*LOG(P$157)))))*(P102/Wind_Night)^0.5,1))</f>
        <v>0</v>
      </c>
      <c r="Q163" s="83"/>
      <c r="R163" s="3000">
        <f>LN(IF(R$158&lt;R$99,IF(LOG(R$157)&lt;-0.67,251.2,IF(LOG(R$157)&lt;-0.28,10^(2.8+0.59*LOG(R$157)),IF(LOG(R$157)&lt;-0.15,426.6,10^(2.56-0.49*LOG(R$157)))))*(R102/Wind_Night)^0.5,1))</f>
        <v>0</v>
      </c>
      <c r="S163" s="83"/>
      <c r="T163" s="3000">
        <f>LN(IF(T$158&lt;T$99,IF(LOG(T$157)&lt;-0.67,251.2,IF(LOG(T$157)&lt;-0.28,10^(2.8+0.59*LOG(T$157)),IF(LOG(T$157)&lt;-0.15,426.6,10^(2.56-0.49*LOG(T$157)))))*(T102/Wind_Night)^0.5,1))</f>
        <v>0</v>
      </c>
      <c r="U163" s="83"/>
      <c r="V163" s="3000">
        <f>LN(IF(V$158&lt;V$99,IF(LOG(V$157)&lt;-0.67,251.2,IF(LOG(V$157)&lt;-0.28,10^(2.8+0.59*LOG(V$157)),IF(LOG(V$157)&lt;-0.15,426.6,10^(2.56-0.49*LOG(V$157)))))*(V102/Wind_Night)^0.5,1))</f>
        <v>0</v>
      </c>
      <c r="W163" s="83"/>
      <c r="X163" s="3000">
        <f>LN(IF(X$158&lt;X$99,IF(LOG(X$157)&lt;-0.67,251.2,IF(LOG(X$157)&lt;-0.28,10^(2.8+0.59*LOG(X$157)),IF(LOG(X$157)&lt;-0.15,426.6,10^(2.56-0.49*LOG(X$157)))))*(X102/Wind_Night)^0.5,1))</f>
        <v>0</v>
      </c>
      <c r="Y163" s="83"/>
      <c r="Z163" s="2987"/>
      <c r="AA163" s="83"/>
      <c r="AB163" s="81"/>
      <c r="AC163" s="512" t="s">
        <v>5106</v>
      </c>
      <c r="AD163" s="81"/>
      <c r="AE163" s="1289">
        <f>IF(AE$83&gt;0,LN(IF(AE$154&gt;=2000,AE$99*AE$152*2000^AE$153,NBPuff_A*AE$83/AE$98/(2000-AE$154+AE$155)^(1/NBPuff_B))),0)</f>
        <v>0</v>
      </c>
      <c r="AF163" s="81"/>
      <c r="AG163" s="1289">
        <f>IF(AG$83&gt;0,LN(IF(AG$154&gt;=2000,AG$99*AG$152*2000^AG$153,NBPuff_A*AG$83/AG$98/(2000-AG$154+AG$155)^(1/NBPuff_B))),0)</f>
        <v>0</v>
      </c>
      <c r="AH163" s="81"/>
      <c r="AI163" s="1289">
        <f>IF(AI$83&gt;0,LN(IF(AI$154&gt;=2000,AI$99*AI$152*2000^AI$153,NBPuff_A*AI$83/AI$98/(2000-AI$154+AI$155)^(1/NBPuff_B))),0)</f>
        <v>0</v>
      </c>
      <c r="AJ163" s="81"/>
      <c r="AK163" s="1289">
        <f>IF(AK$83&gt;0,LN(IF(AK$154&gt;=2000,AK$99*AK$152*2000^AK$153,NBPuff_A*AK$83/AK$98/(2000-AK$154+AK$155)^(1/NBPuff_B))),0)</f>
        <v>0</v>
      </c>
      <c r="AL163" s="81"/>
      <c r="AM163" s="1289">
        <f>IF(AM$83&gt;0,LN(IF(AM$154&gt;=2000,AM$99*AM$152*2000^AM$153,NBPuff_A*AM$83/AM$98/(2000-AM$154+AM$155)^(1/NBPuff_B))),0)</f>
        <v>0</v>
      </c>
      <c r="AN163" s="81"/>
      <c r="AO163" s="1289">
        <f>IF(AO$83&gt;0,LN(IF(AO$154&gt;=2000,AO$99*AO$152*2000^AO$153,NBPuff_A*AO$83/AO$98/(2000-AO$154+AO$155)^(1/NBPuff_B))),0)</f>
        <v>0</v>
      </c>
      <c r="AP163" s="81"/>
      <c r="AQ163" s="85"/>
      <c r="AR163" s="81"/>
      <c r="AS163" s="83"/>
      <c r="AT163" s="2977" t="s">
        <v>5057</v>
      </c>
      <c r="AU163" s="83"/>
      <c r="AV163" s="1230" t="e">
        <f>INDEX(LINEST($CJ$277:$CJ$282,AV156:AV161),1)+Roughness_B</f>
        <v>#VALUE!</v>
      </c>
      <c r="AW163" s="269"/>
      <c r="AX163" s="1230" t="e">
        <f>INDEX(LINEST($CJ$277:$CJ$282,AX156:AX161),1)+Roughness_B</f>
        <v>#VALUE!</v>
      </c>
      <c r="AY163" s="269"/>
      <c r="AZ163" s="1230" t="e">
        <f>INDEX(LINEST($CJ$277:$CJ$282,AZ156:AZ161),1)+Roughness_B</f>
        <v>#VALUE!</v>
      </c>
      <c r="BA163" s="269"/>
      <c r="BB163" s="1230" t="e">
        <f>INDEX(LINEST($CJ$277:$CJ$282,BB156:BB161),1)+Roughness_B</f>
        <v>#VALUE!</v>
      </c>
      <c r="BC163" s="269"/>
      <c r="BD163" s="1230" t="e">
        <f>INDEX(LINEST($CJ$277:$CJ$282,BD156:BD161),1)+Roughness_B</f>
        <v>#VALUE!</v>
      </c>
      <c r="BE163" s="269"/>
      <c r="BF163" s="1230" t="e">
        <f>INDEX(LINEST($CJ$277:$CJ$282,BF156:BF161),1)+Roughness_B</f>
        <v>#VALUE!</v>
      </c>
      <c r="BG163" s="269"/>
      <c r="BH163" s="1230" t="e">
        <f>INDEX(LINEST($CJ$277:$CJ$282,BH156:BH161),1)+Roughness_B</f>
        <v>#VALUE!</v>
      </c>
      <c r="BI163" s="269"/>
      <c r="BJ163" s="1230" t="e">
        <f>INDEX(LINEST($CJ$277:$CJ$282,BJ156:BJ161),1)+Roughness_B</f>
        <v>#VALUE!</v>
      </c>
      <c r="BK163" s="269"/>
      <c r="BL163" s="1230" t="e">
        <f>INDEX(LINEST($CJ$277:$CJ$282,BL156:BL161),1)+Roughness_B</f>
        <v>#VALUE!</v>
      </c>
      <c r="BM163" s="269"/>
      <c r="BN163" s="1230" t="e">
        <f>INDEX(LINEST($CJ$277:$CJ$282,BN156:BN161),1)+Roughness_B</f>
        <v>#VALUE!</v>
      </c>
      <c r="BO163" s="269"/>
      <c r="BP163" s="1835"/>
      <c r="BQ163" s="83"/>
      <c r="BR163" s="81"/>
      <c r="BS163" s="512" t="s">
        <v>5119</v>
      </c>
      <c r="BT163" s="81"/>
      <c r="BU163" s="3000">
        <f>LN(IF(BU$158&lt;BU$99,IF(LOG(BU$157)&lt;-0.67,251.2,IF(LOG(BU$157)&lt;-0.28,10^(2.8+0.59*LOG(BU$157)),IF(LOG(BU$157)&lt;-0.15,426.6,10^(2.56-0.49*LOG(BU$157)))))*(BU102/Wind_Night)^0.5,1))</f>
        <v>0</v>
      </c>
      <c r="BV163" s="81"/>
      <c r="BW163" s="3000">
        <f>LN(IF(BW$158&lt;BW$99,IF(LOG(BW$157)&lt;-0.67,251.2,IF(LOG(BW$157)&lt;-0.28,10^(2.8+0.59*LOG(BW$157)),IF(LOG(BW$157)&lt;-0.15,426.6,10^(2.56-0.49*LOG(BW$157)))))*(BW102/Wind_Night)^0.5,1))</f>
        <v>0</v>
      </c>
      <c r="BX163" s="81"/>
      <c r="BY163" s="3000">
        <f>LN(IF(BY$158&lt;BY$99,IF(LOG(BY$157)&lt;-0.67,251.2,IF(LOG(BY$157)&lt;-0.28,10^(2.8+0.59*LOG(BY$157)),IF(LOG(BY$157)&lt;-0.15,426.6,10^(2.56-0.49*LOG(BY$157)))))*(BY102/Wind_Night)^0.5,1))</f>
        <v>0</v>
      </c>
      <c r="BZ163" s="81"/>
      <c r="CA163" s="3000">
        <f>LN(IF(CA$158&lt;CA$99,IF(LOG(CA$157)&lt;-0.67,251.2,IF(LOG(CA$157)&lt;-0.28,10^(2.8+0.59*LOG(CA$157)),IF(LOG(CA$157)&lt;-0.15,426.6,10^(2.56-0.49*LOG(CA$157)))))*(CA102/Wind_Night)^0.5,1))</f>
        <v>0</v>
      </c>
      <c r="CB163" s="81"/>
      <c r="CC163" s="3000">
        <f>LN(IF(CC$158&lt;CC$99,IF(LOG(CC$157)&lt;-0.67,251.2,IF(LOG(CC$157)&lt;-0.28,10^(2.8+0.59*LOG(CC$157)),IF(LOG(CC$157)&lt;-0.15,426.6,10^(2.56-0.49*LOG(CC$157)))))*(CC102/Wind_Night)^0.5,1))</f>
        <v>0</v>
      </c>
      <c r="CD163" s="81"/>
      <c r="CE163" s="23"/>
      <c r="CF163" s="81"/>
      <c r="CG163" s="2"/>
      <c r="CH163" s="23" t="s">
        <v>5300</v>
      </c>
      <c r="CI163" s="83"/>
      <c r="CJ163" s="90">
        <f>IF(CJ164&lt;&gt;"",IF(CJ161="Yes",3*CJ164,0),0)</f>
        <v>0</v>
      </c>
      <c r="CK163" s="83"/>
      <c r="CL163" s="23" t="s">
        <v>1068</v>
      </c>
      <c r="CM163" s="83"/>
      <c r="CN163" s="7"/>
      <c r="CO163" s="7"/>
      <c r="CP163" s="7"/>
      <c r="CQ163" s="7"/>
      <c r="CR163" s="7"/>
      <c r="CS163" s="7"/>
    </row>
    <row r="164" spans="1:97" s="26" customFormat="1" ht="15" customHeight="1" x14ac:dyDescent="0.25">
      <c r="A164" s="2"/>
      <c r="B164" s="512" t="s">
        <v>5120</v>
      </c>
      <c r="C164" s="83"/>
      <c r="D164" s="3000">
        <f>LN(IF(D$158&lt;D$99,IF(LOG(D$157)&lt;-0.69,398.1,IF(LOG(D$157)&lt;-0.25,10^(2.87+0.39*LOG(D$157)),IF(LOG(D$157)&lt;-0.13,588.8,10^(2.71-0.5*LOG(D$157)))))*(D102/Wind_Night)^0.5,1))</f>
        <v>0</v>
      </c>
      <c r="E164" s="83"/>
      <c r="F164" s="3000">
        <f>LN(IF(F$158&lt;F$99,IF(LOG(F$157)&lt;-0.69,398.1,IF(LOG(F$157)&lt;-0.25,10^(2.87+0.39*LOG(F$157)),IF(LOG(F$157)&lt;-0.13,588.8,10^(2.71-0.5*LOG(F$157)))))*(F102/Wind_Night)^0.5,1))</f>
        <v>0</v>
      </c>
      <c r="G164" s="83"/>
      <c r="H164" s="3000">
        <f>LN(IF(H$158&lt;H$99,IF(LOG(H$157)&lt;-0.69,398.1,IF(LOG(H$157)&lt;-0.25,10^(2.87+0.39*LOG(H$157)),IF(LOG(H$157)&lt;-0.13,588.8,10^(2.71-0.5*LOG(H$157)))))*(H102/Wind_Night)^0.5,1))</f>
        <v>0</v>
      </c>
      <c r="I164" s="83"/>
      <c r="J164" s="3000">
        <f>LN(IF(J$158&lt;J$99,IF(LOG(J$157)&lt;-0.69,398.1,IF(LOG(J$157)&lt;-0.25,10^(2.87+0.39*LOG(J$157)),IF(LOG(J$157)&lt;-0.13,588.8,10^(2.71-0.5*LOG(J$157)))))*(J102/Wind_Night)^0.5,1))</f>
        <v>0</v>
      </c>
      <c r="K164" s="83"/>
      <c r="L164" s="3000">
        <f>LN(IF(L$158&lt;L$99,IF(LOG(L$157)&lt;-0.69,398.1,IF(LOG(L$157)&lt;-0.25,10^(2.87+0.39*LOG(L$157)),IF(LOG(L$157)&lt;-0.13,588.8,10^(2.71-0.5*LOG(L$157)))))*(L102/Wind_Night)^0.5,1))</f>
        <v>0</v>
      </c>
      <c r="M164" s="83"/>
      <c r="N164" s="3000">
        <f>LN(IF(N$158&lt;N$99,IF(LOG(N$157)&lt;-0.69,398.1,IF(LOG(N$157)&lt;-0.25,10^(2.87+0.39*LOG(N$157)),IF(LOG(N$157)&lt;-0.13,588.8,10^(2.71-0.5*LOG(N$157)))))*(N102/Wind_Night)^0.5,1))</f>
        <v>0</v>
      </c>
      <c r="O164" s="83"/>
      <c r="P164" s="3000">
        <f>LN(IF(P$158&lt;P$99,IF(LOG(P$157)&lt;-0.69,398.1,IF(LOG(P$157)&lt;-0.25,10^(2.87+0.39*LOG(P$157)),IF(LOG(P$157)&lt;-0.13,588.8,10^(2.71-0.5*LOG(P$157)))))*(P102/Wind_Night)^0.5,1))</f>
        <v>0</v>
      </c>
      <c r="Q164" s="83"/>
      <c r="R164" s="3000">
        <f>LN(IF(R$158&lt;R$99,IF(LOG(R$157)&lt;-0.69,398.1,IF(LOG(R$157)&lt;-0.25,10^(2.87+0.39*LOG(R$157)),IF(LOG(R$157)&lt;-0.13,588.8,10^(2.71-0.5*LOG(R$157)))))*(R102/Wind_Night)^0.5,1))</f>
        <v>0</v>
      </c>
      <c r="S164" s="83"/>
      <c r="T164" s="3000">
        <f>LN(IF(T$158&lt;T$99,IF(LOG(T$157)&lt;-0.69,398.1,IF(LOG(T$157)&lt;-0.25,10^(2.87+0.39*LOG(T$157)),IF(LOG(T$157)&lt;-0.13,588.8,10^(2.71-0.5*LOG(T$157)))))*(T102/Wind_Night)^0.5,1))</f>
        <v>0</v>
      </c>
      <c r="U164" s="83"/>
      <c r="V164" s="3000">
        <f>LN(IF(V$158&lt;V$99,IF(LOG(V$157)&lt;-0.69,398.1,IF(LOG(V$157)&lt;-0.25,10^(2.87+0.39*LOG(V$157)),IF(LOG(V$157)&lt;-0.13,588.8,10^(2.71-0.5*LOG(V$157)))))*(V102/Wind_Night)^0.5,1))</f>
        <v>0</v>
      </c>
      <c r="W164" s="83"/>
      <c r="X164" s="3000">
        <f>LN(IF(X$158&lt;X$99,IF(LOG(X$157)&lt;-0.69,398.1,IF(LOG(X$157)&lt;-0.25,10^(2.87+0.39*LOG(X$157)),IF(LOG(X$157)&lt;-0.13,588.8,10^(2.71-0.5*LOG(X$157)))))*(X102/Wind_Night)^0.5,1))</f>
        <v>0</v>
      </c>
      <c r="Y164" s="83"/>
      <c r="Z164" s="2987"/>
      <c r="AA164" s="83"/>
      <c r="AB164" s="81"/>
      <c r="AC164" s="512" t="s">
        <v>5107</v>
      </c>
      <c r="AD164" s="81"/>
      <c r="AE164" s="1289">
        <f>IF(AE$83&gt;0,LN(IF(AE$154&gt;=5000,AE$99*AE$152*5000^AE$153,NBPuff_A*AE$83/AE$98/(5000-AE$154+AE$155)^(1/NBPuff_B))),0)</f>
        <v>0</v>
      </c>
      <c r="AF164" s="81"/>
      <c r="AG164" s="1289">
        <f>IF(AG$83&gt;0,LN(IF(AG$154&gt;=5000,AG$99*AG$152*5000^AG$153,NBPuff_A*AG$83/AG$98/(5000-AG$154+AG$155)^(1/NBPuff_B))),0)</f>
        <v>0</v>
      </c>
      <c r="AH164" s="81"/>
      <c r="AI164" s="1289">
        <f>IF(AI$83&gt;0,LN(IF(AI$154&gt;=5000,AI$99*AI$152*5000^AI$153,NBPuff_A*AI$83/AI$98/(5000-AI$154+AI$155)^(1/NBPuff_B))),0)</f>
        <v>0</v>
      </c>
      <c r="AJ164" s="81"/>
      <c r="AK164" s="1289">
        <f>IF(AK$83&gt;0,LN(IF(AK$154&gt;=5000,AK$99*AK$152*5000^AK$153,NBPuff_A*AK$83/AK$98/(5000-AK$154+AK$155)^(1/NBPuff_B))),0)</f>
        <v>0</v>
      </c>
      <c r="AL164" s="81"/>
      <c r="AM164" s="1289">
        <f>IF(AM$83&gt;0,LN(IF(AM$154&gt;=5000,AM$99*AM$152*5000^AM$153,NBPuff_A*AM$83/AM$98/(5000-AM$154+AM$155)^(1/NBPuff_B))),0)</f>
        <v>0</v>
      </c>
      <c r="AN164" s="81"/>
      <c r="AO164" s="1289">
        <f>IF(AO$83&gt;0,LN(IF(AO$154&gt;=5000,AO$99*AO$152*5000^AO$153,NBPuff_A*AO$83/AO$98/(5000-AO$154+AO$155)^(1/NBPuff_B))),0)</f>
        <v>0</v>
      </c>
      <c r="AP164" s="81"/>
      <c r="AQ164" s="85"/>
      <c r="AR164" s="81"/>
      <c r="AS164" s="83"/>
      <c r="AT164" s="1691" t="s">
        <v>5068</v>
      </c>
      <c r="AU164" s="83"/>
      <c r="AV164" s="2401" t="e">
        <f>IF(AV155&lt;AV$83,(AV$162/(AV155/AV$83))^(-1/AV$163),0)</f>
        <v>#DIV/0!</v>
      </c>
      <c r="AW164" s="269"/>
      <c r="AX164" s="2401" t="e">
        <f>IF(AX155&lt;AX$83,(AX$162/(AX155/AX$83))^(-1/AX$163),0)</f>
        <v>#DIV/0!</v>
      </c>
      <c r="AY164" s="269"/>
      <c r="AZ164" s="2401" t="e">
        <f>IF(AZ155&lt;AZ$83,(AZ$162/(AZ155/AZ$83))^(-1/AZ$163),0)</f>
        <v>#DIV/0!</v>
      </c>
      <c r="BA164" s="269"/>
      <c r="BB164" s="2401" t="e">
        <f>IF(BB155&lt;BB$83,(BB$162/(BB155/BB$83))^(-1/BB$163),0)</f>
        <v>#DIV/0!</v>
      </c>
      <c r="BC164" s="269"/>
      <c r="BD164" s="2401" t="e">
        <f>IF(BD155&lt;BD$83,(BD$162/(BD155/BD$83))^(-1/BD$163),0)</f>
        <v>#DIV/0!</v>
      </c>
      <c r="BE164" s="269"/>
      <c r="BF164" s="2401" t="e">
        <f>IF(BF155&lt;BF$83,(BF$162/(BF155/BF$83))^(-1/BF$163),0)</f>
        <v>#DIV/0!</v>
      </c>
      <c r="BG164" s="269"/>
      <c r="BH164" s="2401" t="e">
        <f>IF(BH155&lt;BH$83,(BH$162/(BH155/BH$83))^(-1/BH$163),0)</f>
        <v>#DIV/0!</v>
      </c>
      <c r="BI164" s="269"/>
      <c r="BJ164" s="2401" t="e">
        <f>IF(BJ155&lt;BJ$83,(BJ$162/(BJ155/BJ$83))^(-1/BJ$163),0)</f>
        <v>#DIV/0!</v>
      </c>
      <c r="BK164" s="269"/>
      <c r="BL164" s="2401" t="e">
        <f>IF(BL155&lt;BL$83,(BL$162/(BL155/BL$83))^(-1/BL$163),0)</f>
        <v>#DIV/0!</v>
      </c>
      <c r="BM164" s="269"/>
      <c r="BN164" s="2401" t="e">
        <f>IF(BN155&lt;BN$83,(BN$162/(BN155/BN$83))^(-1/BN$163),0)</f>
        <v>#DIV/0!</v>
      </c>
      <c r="BO164" s="269"/>
      <c r="BP164" s="1835"/>
      <c r="BQ164" s="83"/>
      <c r="BR164" s="81"/>
      <c r="BS164" s="512" t="s">
        <v>5120</v>
      </c>
      <c r="BT164" s="81"/>
      <c r="BU164" s="3000">
        <f>LN(IF(BU$158&lt;BU$99,IF(LOG(BU$157)&lt;-0.69,398.1,IF(LOG(BU$157)&lt;-0.25,10^(2.87+0.39*LOG(BU$157)),IF(LOG(BU$157)&lt;-0.13,588.8,10^(2.71-0.5*LOG(BU$157)))))*(BU102/Wind_Night)^0.5,1))</f>
        <v>0</v>
      </c>
      <c r="BV164" s="81"/>
      <c r="BW164" s="3000">
        <f>LN(IF(BW$158&lt;BW$99,IF(LOG(BW$157)&lt;-0.69,398.1,IF(LOG(BW$157)&lt;-0.25,10^(2.87+0.39*LOG(BW$157)),IF(LOG(BW$157)&lt;-0.13,588.8,10^(2.71-0.5*LOG(BW$157)))))*(BW102/Wind_Night)^0.5,1))</f>
        <v>0</v>
      </c>
      <c r="BX164" s="81"/>
      <c r="BY164" s="3000">
        <f>LN(IF(BY$158&lt;BY$99,IF(LOG(BY$157)&lt;-0.69,398.1,IF(LOG(BY$157)&lt;-0.25,10^(2.87+0.39*LOG(BY$157)),IF(LOG(BY$157)&lt;-0.13,588.8,10^(2.71-0.5*LOG(BY$157)))))*(BY102/Wind_Night)^0.5,1))</f>
        <v>0</v>
      </c>
      <c r="BZ164" s="81"/>
      <c r="CA164" s="3000">
        <f>LN(IF(CA$158&lt;CA$99,IF(LOG(CA$157)&lt;-0.69,398.1,IF(LOG(CA$157)&lt;-0.25,10^(2.87+0.39*LOG(CA$157)),IF(LOG(CA$157)&lt;-0.13,588.8,10^(2.71-0.5*LOG(CA$157)))))*(CA102/Wind_Night)^0.5,1))</f>
        <v>0</v>
      </c>
      <c r="CB164" s="81"/>
      <c r="CC164" s="3000">
        <f>LN(IF(CC$158&lt;CC$99,IF(LOG(CC$157)&lt;-0.69,398.1,IF(LOG(CC$157)&lt;-0.25,10^(2.87+0.39*LOG(CC$157)),IF(LOG(CC$157)&lt;-0.13,588.8,10^(2.71-0.5*LOG(CC$157)))))*(CC102/Wind_Night)^0.5,1))</f>
        <v>0</v>
      </c>
      <c r="CD164" s="81"/>
      <c r="CE164" s="23"/>
      <c r="CF164" s="81"/>
      <c r="CG164" s="2"/>
      <c r="CH164" s="85" t="s">
        <v>17</v>
      </c>
      <c r="CI164" s="83"/>
      <c r="CJ164" s="17">
        <f>IF('User Scenario'!S47&lt;&gt;"",'User Scenario'!S47*Public_Units_Conversion,0)</f>
        <v>0</v>
      </c>
      <c r="CK164" s="83"/>
      <c r="CL164" s="23" t="s">
        <v>1068</v>
      </c>
      <c r="CM164" s="83"/>
      <c r="CN164" s="7"/>
      <c r="CO164" s="7"/>
      <c r="CP164" s="7"/>
      <c r="CQ164" s="7"/>
      <c r="CR164" s="7"/>
      <c r="CS164" s="7"/>
    </row>
    <row r="165" spans="1:97" s="26" customFormat="1" ht="15" customHeight="1" thickBot="1" x14ac:dyDescent="0.3">
      <c r="A165" s="2"/>
      <c r="B165" s="2977" t="s">
        <v>5056</v>
      </c>
      <c r="C165" s="83"/>
      <c r="D165" s="1230">
        <f>EXP(INDEX(LINEST($CJ$277:$CJ$282,D159:D164),2))*((Ambient_Temp+273)/(D9+273))*Roughness_A</f>
        <v>8.0110655998420644E-3</v>
      </c>
      <c r="E165" s="83"/>
      <c r="F165" s="1230">
        <f>EXP(INDEX(LINEST($CJ$277:$CJ$282,F159:F164),2))*((Ambient_Temp+273)/(F9+273))*Roughness_A</f>
        <v>8.0110655998420644E-3</v>
      </c>
      <c r="G165" s="83"/>
      <c r="H165" s="1230">
        <f>EXP(INDEX(LINEST($CJ$277:$CJ$282,H159:H164),2))*((Ambient_Temp+273)/(H9+273))*Roughness_A</f>
        <v>8.0110655998420644E-3</v>
      </c>
      <c r="I165" s="83"/>
      <c r="J165" s="1230">
        <f>EXP(INDEX(LINEST($CJ$277:$CJ$282,J159:J164),2))*((Ambient_Temp+273)/(J9+273))*Roughness_A</f>
        <v>8.0110655998420644E-3</v>
      </c>
      <c r="K165" s="83"/>
      <c r="L165" s="1230">
        <f>EXP(INDEX(LINEST($CJ$277:$CJ$282,L159:L164),2))*((Ambient_Temp+273)/(L9+273))*Roughness_A</f>
        <v>8.0110655998420644E-3</v>
      </c>
      <c r="M165" s="83"/>
      <c r="N165" s="1230">
        <f>EXP(INDEX(LINEST($CJ$277:$CJ$282,N159:N164),2))*((Ambient_Temp+273)/(N9+273))*Roughness_A</f>
        <v>8.0110655998420644E-3</v>
      </c>
      <c r="O165" s="83"/>
      <c r="P165" s="1230">
        <f>EXP(INDEX(LINEST($CJ$277:$CJ$282,P159:P164),2))*((Ambient_Temp+273)/(P9+273))*Roughness_A</f>
        <v>8.0110655998420644E-3</v>
      </c>
      <c r="Q165" s="83"/>
      <c r="R165" s="1230">
        <f>EXP(INDEX(LINEST($CJ$277:$CJ$282,R159:R164),2))*((Ambient_Temp+273)/(R9+273))*Roughness_A</f>
        <v>8.0110655998420644E-3</v>
      </c>
      <c r="S165" s="83"/>
      <c r="T165" s="1230">
        <f>EXP(INDEX(LINEST($CJ$277:$CJ$282,T159:T164),2))*((Ambient_Temp+273)/(T9+273))*Roughness_A</f>
        <v>8.0110655998420644E-3</v>
      </c>
      <c r="U165" s="83"/>
      <c r="V165" s="1230">
        <f>EXP(INDEX(LINEST($CJ$277:$CJ$282,V159:V164),2))*((Ambient_Temp+273)/(V9+273))*Roughness_A</f>
        <v>8.0110655998420644E-3</v>
      </c>
      <c r="W165" s="83"/>
      <c r="X165" s="1230">
        <f>EXP(INDEX(LINEST($CJ$277:$CJ$282,X159:X164),2))*((Ambient_Temp+273)/(X9+273))*Roughness_A</f>
        <v>8.0110655998420644E-3</v>
      </c>
      <c r="Y165" s="83"/>
      <c r="Z165" s="85" t="s">
        <v>1068</v>
      </c>
      <c r="AA165" s="83"/>
      <c r="AB165" s="81"/>
      <c r="AC165" s="512" t="s">
        <v>5108</v>
      </c>
      <c r="AD165" s="81"/>
      <c r="AE165" s="3002">
        <f>IF(AE$83&gt;0,LN(IF(AE$154&gt;=10000,AE$99*AE$152*10000^AE$153,NBPuff_A*AE$83/AE$98/(10000-AE$154+AE$155)^(1/NBPuff_B))),0)</f>
        <v>0</v>
      </c>
      <c r="AF165" s="81"/>
      <c r="AG165" s="3002">
        <f>IF(AG$83&gt;0,LN(IF(AG$154&gt;=10000,AG$99*AG$152*10000^AG$153,NBPuff_A*AG$83/AG$98/(10000-AG$154+AG$155)^(1/NBPuff_B))),0)</f>
        <v>0</v>
      </c>
      <c r="AH165" s="81"/>
      <c r="AI165" s="3002">
        <f>IF(AI$83&gt;0,LN(IF(AI$154&gt;=10000,AI$99*AI$152*10000^AI$153,NBPuff_A*AI$83/AI$98/(10000-AI$154+AI$155)^(1/NBPuff_B))),0)</f>
        <v>0</v>
      </c>
      <c r="AJ165" s="81"/>
      <c r="AK165" s="3002">
        <f>IF(AK$83&gt;0,LN(IF(AK$154&gt;=10000,AK$99*AK$152*10000^AK$153,NBPuff_A*AK$83/AK$98/(10000-AK$154+AK$155)^(1/NBPuff_B))),0)</f>
        <v>0</v>
      </c>
      <c r="AL165" s="81"/>
      <c r="AM165" s="3002">
        <f>IF(AM$83&gt;0,LN(IF(AM$154&gt;=10000,AM$99*AM$152*10000^AM$153,NBPuff_A*AM$83/AM$98/(10000-AM$154+AM$155)^(1/NBPuff_B))),0)</f>
        <v>0</v>
      </c>
      <c r="AN165" s="81"/>
      <c r="AO165" s="3002">
        <f>IF(AO$83&gt;0,LN(IF(AO$154&gt;=10000,AO$99*AO$152*10000^AO$153,NBPuff_A*AO$83/AO$98/(10000-AO$154+AO$155)^(1/NBPuff_B))),0)</f>
        <v>0</v>
      </c>
      <c r="AP165" s="81"/>
      <c r="AQ165" s="85"/>
      <c r="AR165" s="81"/>
      <c r="AS165" s="83"/>
      <c r="AT165" s="1691" t="s">
        <v>5072</v>
      </c>
      <c r="AU165" s="83"/>
      <c r="AV165" s="2985" t="e">
        <f>IF(AV164&gt;0,NBPlume_A_Night*AV$73/(AV$82*Wind_Night*AV155),0)^NBPlume_B_Night</f>
        <v>#DIV/0!</v>
      </c>
      <c r="AW165" s="269"/>
      <c r="AX165" s="2985" t="e">
        <f>IF(AX164&gt;0,NBPlume_A_Night*AX$73/(AX$82*Wind_Night*AX155),0)^NBPlume_B_Night</f>
        <v>#DIV/0!</v>
      </c>
      <c r="AY165" s="269"/>
      <c r="AZ165" s="2985" t="e">
        <f>IF(AZ164&gt;0,NBPlume_A_Night*AZ$73/(AZ$82*Wind_Night*AZ155),0)^NBPlume_B_Night</f>
        <v>#DIV/0!</v>
      </c>
      <c r="BA165" s="269"/>
      <c r="BB165" s="2985" t="e">
        <f>IF(BB164&gt;0,NBPlume_A_Night*BB$73/(BB$82*Wind_Night*BB155),0)^NBPlume_B_Night</f>
        <v>#DIV/0!</v>
      </c>
      <c r="BC165" s="269"/>
      <c r="BD165" s="2985" t="e">
        <f>IF(BD164&gt;0,NBPlume_A_Night*BD$73/(BD$82*Wind_Night*BD155),0)^NBPlume_B_Night</f>
        <v>#DIV/0!</v>
      </c>
      <c r="BE165" s="269"/>
      <c r="BF165" s="2985" t="e">
        <f>IF(BF164&gt;0,NBPlume_A_Night*BF$73/(BF$82*Wind_Night*BF155),0)^NBPlume_B_Night</f>
        <v>#DIV/0!</v>
      </c>
      <c r="BG165" s="269"/>
      <c r="BH165" s="2985" t="e">
        <f>IF(BH164&gt;0,NBPlume_A_Night*BH$73/(BH$82*Wind_Night*BH155),0)^NBPlume_B_Night</f>
        <v>#DIV/0!</v>
      </c>
      <c r="BI165" s="269"/>
      <c r="BJ165" s="2985" t="e">
        <f>IF(BJ164&gt;0,NBPlume_A_Night*BJ$73/(BJ$82*Wind_Night*BJ155),0)^NBPlume_B_Night</f>
        <v>#DIV/0!</v>
      </c>
      <c r="BK165" s="269"/>
      <c r="BL165" s="2985" t="e">
        <f>IF(BL164&gt;0,NBPlume_A_Night*BL$73/(BL$82*Wind_Night*BL155),0)^NBPlume_B_Night</f>
        <v>#DIV/0!</v>
      </c>
      <c r="BM165" s="269"/>
      <c r="BN165" s="2985" t="e">
        <f>IF(BN164&gt;0,NBPlume_A_Night*BN$73/(BN$82*Wind_Night*BN155),0)^NBPlume_B_Night</f>
        <v>#DIV/0!</v>
      </c>
      <c r="BO165" s="269"/>
      <c r="BP165" s="1835"/>
      <c r="BQ165" s="83"/>
      <c r="BR165" s="81"/>
      <c r="BS165" s="2977" t="s">
        <v>5056</v>
      </c>
      <c r="BT165" s="81"/>
      <c r="BU165" s="1230">
        <f>EXP(INDEX(LINEST($CJ$277:$CJ$282,BU159:BU164),2))*((Ambient_Temp+273)/(BU15+273))*Roughness_A</f>
        <v>8.0110655998420644E-3</v>
      </c>
      <c r="BV165" s="81"/>
      <c r="BW165" s="1230">
        <f>EXP(INDEX(LINEST($CJ$277:$CJ$282,BW159:BW164),2))*((Ambient_Temp+273)/(BW15+273))*Roughness_A</f>
        <v>8.0110655998420644E-3</v>
      </c>
      <c r="BX165" s="81"/>
      <c r="BY165" s="1230">
        <f>EXP(INDEX(LINEST($CJ$277:$CJ$282,BY159:BY164),2))*((Ambient_Temp+273)/(BY15+273))*Roughness_A</f>
        <v>8.0110655998420644E-3</v>
      </c>
      <c r="BZ165" s="81"/>
      <c r="CA165" s="1230">
        <f>EXP(INDEX(LINEST($CJ$277:$CJ$282,CA159:CA164),2))*((Ambient_Temp+273)/(CA15+273))*Roughness_A</f>
        <v>8.0110655998420644E-3</v>
      </c>
      <c r="CB165" s="81"/>
      <c r="CC165" s="1230">
        <f>EXP(INDEX(LINEST($CJ$277:$CJ$282,CC159:CC164),2))*((Ambient_Temp+273)/(CC15+273))*Roughness_A</f>
        <v>8.0110655998420644E-3</v>
      </c>
      <c r="CD165" s="81"/>
      <c r="CE165" s="23"/>
      <c r="CF165" s="81"/>
      <c r="CG165" s="2"/>
      <c r="CH165" s="85" t="s">
        <v>689</v>
      </c>
      <c r="CI165" s="83"/>
      <c r="CJ165" s="16" t="str">
        <f>IF(AND(CJ164&lt;&gt;"",CJ164&gt;Public),"Yes","No")</f>
        <v>No</v>
      </c>
      <c r="CK165" s="83"/>
      <c r="CL165" s="23"/>
      <c r="CM165" s="83"/>
      <c r="CN165" s="7"/>
      <c r="CO165" s="7"/>
      <c r="CP165" s="7"/>
      <c r="CQ165" s="7"/>
      <c r="CR165" s="7"/>
      <c r="CS165" s="7"/>
    </row>
    <row r="166" spans="1:97" s="26" customFormat="1" ht="15" customHeight="1" x14ac:dyDescent="0.25">
      <c r="A166" s="2"/>
      <c r="B166" s="2977" t="s">
        <v>5057</v>
      </c>
      <c r="C166" s="83"/>
      <c r="D166" s="1230">
        <f>INDEX(LINEST($CJ$277:$CJ$282,D159:D164),1)+Roughness_B</f>
        <v>0</v>
      </c>
      <c r="E166" s="83"/>
      <c r="F166" s="1230">
        <f>INDEX(LINEST($CJ$277:$CJ$282,F159:F164),1)+Roughness_B</f>
        <v>0</v>
      </c>
      <c r="G166" s="83"/>
      <c r="H166" s="1230">
        <f>INDEX(LINEST($CJ$277:$CJ$282,H159:H164),1)+Roughness_B</f>
        <v>0</v>
      </c>
      <c r="I166" s="83"/>
      <c r="J166" s="1230">
        <f>INDEX(LINEST($CJ$277:$CJ$282,J159:J164),1)+Roughness_B</f>
        <v>0</v>
      </c>
      <c r="K166" s="83"/>
      <c r="L166" s="1230">
        <f>INDEX(LINEST($CJ$277:$CJ$282,L159:L164),1)+Roughness_B</f>
        <v>0</v>
      </c>
      <c r="M166" s="83"/>
      <c r="N166" s="1230">
        <f>INDEX(LINEST($CJ$277:$CJ$282,N159:N164),1)+Roughness_B</f>
        <v>0</v>
      </c>
      <c r="O166" s="83"/>
      <c r="P166" s="1230">
        <f>INDEX(LINEST($CJ$277:$CJ$282,P159:P164),1)+Roughness_B</f>
        <v>0</v>
      </c>
      <c r="Q166" s="83"/>
      <c r="R166" s="1230">
        <f>INDEX(LINEST($CJ$277:$CJ$282,R159:R164),1)+Roughness_B</f>
        <v>0</v>
      </c>
      <c r="S166" s="83"/>
      <c r="T166" s="1230">
        <f>INDEX(LINEST($CJ$277:$CJ$282,T159:T164),1)+Roughness_B</f>
        <v>0</v>
      </c>
      <c r="U166" s="83"/>
      <c r="V166" s="1230">
        <f>INDEX(LINEST($CJ$277:$CJ$282,V159:V164),1)+Roughness_B</f>
        <v>0</v>
      </c>
      <c r="W166" s="83"/>
      <c r="X166" s="1230">
        <f>INDEX(LINEST($CJ$277:$CJ$282,X159:X164),1)+Roughness_B</f>
        <v>0</v>
      </c>
      <c r="Y166" s="83"/>
      <c r="Z166" s="85" t="s">
        <v>1068</v>
      </c>
      <c r="AA166" s="83"/>
      <c r="AB166" s="81"/>
      <c r="AC166" s="2975" t="s">
        <v>5077</v>
      </c>
      <c r="AD166" s="81"/>
      <c r="AE166" s="2980">
        <f>IF(AE$83&gt;0,(EXP(INDEX(LINEST(AE156:AE165,$CJ$286:$CJ$295),2))*AE$98/AE$83)^AE167,0)</f>
        <v>0</v>
      </c>
      <c r="AF166" s="81"/>
      <c r="AG166" s="2980">
        <f>IF(AG$83&gt;0,(EXP(INDEX(LINEST(AG156:AG165,$CJ$286:$CJ$295),2))*AG$98/AG$83)^AG167,0)</f>
        <v>0</v>
      </c>
      <c r="AH166" s="81"/>
      <c r="AI166" s="2980">
        <f>IF(AI$83&gt;0,(EXP(INDEX(LINEST(AI156:AI165,$CJ$286:$CJ$295),2))*AI$98/AI$83)^AI167,0)</f>
        <v>0</v>
      </c>
      <c r="AJ166" s="81"/>
      <c r="AK166" s="2980">
        <f>IF(AK$83&gt;0,(EXP(INDEX(LINEST(AK156:AK165,$CJ$286:$CJ$295),2))*AK$98/AK$83)^AK167,0)</f>
        <v>0</v>
      </c>
      <c r="AL166" s="81"/>
      <c r="AM166" s="2980">
        <f>IF(AM$83&gt;0,(EXP(INDEX(LINEST(AM156:AM165,$CJ$286:$CJ$295),2))*AM$98/AM$83)^AM167,0)</f>
        <v>0</v>
      </c>
      <c r="AN166" s="81"/>
      <c r="AO166" s="2980">
        <f>IF(AO$83&gt;0,(EXP(INDEX(LINEST(AO156:AO165,$CJ$286:$CJ$295),2))*AO$98/AO$83)^AO167,0)</f>
        <v>0</v>
      </c>
      <c r="AP166" s="81"/>
      <c r="AQ166" s="85"/>
      <c r="AR166" s="81"/>
      <c r="AS166" s="83"/>
      <c r="AT166" s="512" t="s">
        <v>5099</v>
      </c>
      <c r="AU166" s="83"/>
      <c r="AV166" s="2981">
        <f>IF(AV$73&gt;0,LN(IF(AV$164&gt;=10,AV$83*AV$162*10^AV$163,NBPlume_A_Night*AV$73/(AV$82*Wind_Night)/(10-AV$164+AV$165)^(1/NBPlume_B_Night))),0)</f>
        <v>0</v>
      </c>
      <c r="AW166" s="269"/>
      <c r="AX166" s="2981">
        <f>IF(AX$73&gt;0,LN(IF(AX$164&gt;=10,AX$83*AX$162*10^AX$163,NBPlume_A_Night*AX$73/(AX$82*Wind_Night)/(10-AX$164+AX$165)^(1/NBPlume_B_Night))),0)</f>
        <v>0</v>
      </c>
      <c r="AY166" s="269"/>
      <c r="AZ166" s="2981">
        <f>IF(AZ$73&gt;0,LN(IF(AZ$164&gt;=10,AZ$83*AZ$162*10^AZ$163,NBPlume_A_Night*AZ$73/(AZ$82*Wind_Night)/(10-AZ$164+AZ$165)^(1/NBPlume_B_Night))),0)</f>
        <v>0</v>
      </c>
      <c r="BA166" s="269"/>
      <c r="BB166" s="2981">
        <f>IF(BB$73&gt;0,LN(IF(BB$164&gt;=10,BB$83*BB$162*10^BB$163,NBPlume_A_Night*BB$73/(BB$82*Wind_Night)/(10-BB$164+BB$165)^(1/NBPlume_B_Night))),0)</f>
        <v>0</v>
      </c>
      <c r="BC166" s="269"/>
      <c r="BD166" s="2981">
        <f>IF(BD$73&gt;0,LN(IF(BD$164&gt;=10,BD$83*BD$162*10^BD$163,NBPlume_A_Night*BD$73/(BD$82*Wind_Night)/(10-BD$164+BD$165)^(1/NBPlume_B_Night))),0)</f>
        <v>0</v>
      </c>
      <c r="BE166" s="269"/>
      <c r="BF166" s="2981">
        <f>IF(BF$73&gt;0,LN(IF(BF$164&gt;=10,BF$83*BF$162*10^BF$163,NBPlume_A_Night*BF$73/(BF$82*Wind_Night)/(10-BF$164+BF$165)^(1/NBPlume_B_Night))),0)</f>
        <v>0</v>
      </c>
      <c r="BG166" s="269"/>
      <c r="BH166" s="2981">
        <f>IF(BH$73&gt;0,LN(IF(BH$164&gt;=10,BH$83*BH$162*10^BH$163,NBPlume_A_Night*BH$73/(BH$82*Wind_Night)/(10-BH$164+BH$165)^(1/NBPlume_B_Night))),0)</f>
        <v>0</v>
      </c>
      <c r="BI166" s="269"/>
      <c r="BJ166" s="2981">
        <f>IF(BJ$73&gt;0,LN(IF(BJ$164&gt;=10,BJ$83*BJ$162*10^BJ$163,NBPlume_A_Night*BJ$73/(BJ$82*Wind_Night)/(10-BJ$164+BJ$165)^(1/NBPlume_B_Night))),0)</f>
        <v>0</v>
      </c>
      <c r="BK166" s="269"/>
      <c r="BL166" s="2981">
        <f>IF(BL$73&gt;0,LN(IF(BL$164&gt;=10,BL$83*BL$162*10^BL$163,NBPlume_A_Night*BL$73/(BL$82*Wind_Night)/(10-BL$164+BL$165)^(1/NBPlume_B_Night))),0)</f>
        <v>0</v>
      </c>
      <c r="BM166" s="269"/>
      <c r="BN166" s="2981">
        <f>IF(BN$73&gt;0,LN(IF(BN$164&gt;=10,BN$83*BN$162*10^BN$163,NBPlume_A_Night*BN$73/(BN$82*Wind_Night)/(10-BN$164+BN$165)^(1/NBPlume_B_Night))),0)</f>
        <v>0</v>
      </c>
      <c r="BO166" s="269"/>
      <c r="BP166" s="1835"/>
      <c r="BQ166" s="83"/>
      <c r="BR166" s="81"/>
      <c r="BS166" s="2977" t="s">
        <v>5057</v>
      </c>
      <c r="BT166" s="81"/>
      <c r="BU166" s="1230">
        <f>INDEX(LINEST($CJ$277:$CJ$282,BU159:BU164),1)+Roughness_B</f>
        <v>0</v>
      </c>
      <c r="BV166" s="81"/>
      <c r="BW166" s="1230">
        <f>INDEX(LINEST($CJ$277:$CJ$282,BW159:BW164),1)+Roughness_B</f>
        <v>0</v>
      </c>
      <c r="BX166" s="81"/>
      <c r="BY166" s="1230">
        <f>INDEX(LINEST($CJ$277:$CJ$282,BY159:BY164),1)+Roughness_B</f>
        <v>0</v>
      </c>
      <c r="BZ166" s="81"/>
      <c r="CA166" s="1230">
        <f>INDEX(LINEST($CJ$277:$CJ$282,CA159:CA164),1)+Roughness_B</f>
        <v>0</v>
      </c>
      <c r="CB166" s="81"/>
      <c r="CC166" s="1230">
        <f>INDEX(LINEST($CJ$277:$CJ$282,CC159:CC164),1)+Roughness_B</f>
        <v>0</v>
      </c>
      <c r="CD166" s="81"/>
      <c r="CE166" s="23"/>
      <c r="CF166" s="81"/>
      <c r="CG166" s="2"/>
      <c r="CH166" s="23" t="s">
        <v>3756</v>
      </c>
      <c r="CI166" s="83"/>
      <c r="CJ166" s="97">
        <f>IF('User Scenario'!S48&lt;&gt;"",'User Scenario'!S48,0)</f>
        <v>0</v>
      </c>
      <c r="CK166" s="83"/>
      <c r="CL166" s="23" t="s">
        <v>968</v>
      </c>
      <c r="CM166" s="83"/>
      <c r="CN166" s="7"/>
      <c r="CO166" s="7"/>
      <c r="CP166" s="7"/>
      <c r="CQ166" s="7"/>
      <c r="CR166" s="7"/>
      <c r="CS166" s="7"/>
    </row>
    <row r="167" spans="1:97" s="26" customFormat="1" ht="15" customHeight="1" x14ac:dyDescent="0.25">
      <c r="A167" s="2"/>
      <c r="B167" s="1691" t="s">
        <v>5068</v>
      </c>
      <c r="C167" s="83"/>
      <c r="D167" s="2401">
        <f>IF(D158&lt;D$99,(D$165/(D158/D$99))^(-1/D$166),0)</f>
        <v>0</v>
      </c>
      <c r="E167" s="83"/>
      <c r="F167" s="2401">
        <f>IF(F158&lt;F$99,(F$165/(F158/F$99))^(-1/F$166),0)</f>
        <v>0</v>
      </c>
      <c r="G167" s="83"/>
      <c r="H167" s="2401">
        <f>IF(H158&lt;H$99,(H$165/(H158/H$99))^(-1/H$166),0)</f>
        <v>0</v>
      </c>
      <c r="I167" s="83"/>
      <c r="J167" s="2401">
        <f>IF(J158&lt;J$99,(J$165/(J158/J$99))^(-1/J$166),0)</f>
        <v>0</v>
      </c>
      <c r="K167" s="83"/>
      <c r="L167" s="2401">
        <f>IF(L158&lt;L$99,(L$165/(L158/L$99))^(-1/L$166),0)</f>
        <v>0</v>
      </c>
      <c r="M167" s="83"/>
      <c r="N167" s="2401">
        <f>IF(N158&lt;N$99,(N$165/(N158/N$99))^(-1/N$166),0)</f>
        <v>0</v>
      </c>
      <c r="O167" s="83"/>
      <c r="P167" s="2401">
        <f>IF(P158&lt;P$99,(P$165/(P158/P$99))^(-1/P$166),0)</f>
        <v>0</v>
      </c>
      <c r="Q167" s="83"/>
      <c r="R167" s="2401">
        <f>IF(R158&lt;R$99,(R$165/(R158/R$99))^(-1/R$166),0)</f>
        <v>0</v>
      </c>
      <c r="S167" s="83"/>
      <c r="T167" s="2401">
        <f>IF(T158&lt;T$99,(T$165/(T158/T$99))^(-1/T$166),0)</f>
        <v>0</v>
      </c>
      <c r="U167" s="83"/>
      <c r="V167" s="2401">
        <f>IF(V158&lt;V$99,(V$165/(V158/V$99))^(-1/V$166),0)</f>
        <v>0</v>
      </c>
      <c r="W167" s="83"/>
      <c r="X167" s="2401">
        <f>IF(X158&lt;X$99,(X$165/(X158/X$99))^(-1/X$166),0)</f>
        <v>0</v>
      </c>
      <c r="Y167" s="83"/>
      <c r="Z167" s="85"/>
      <c r="AA167" s="83"/>
      <c r="AB167" s="81"/>
      <c r="AC167" s="2977" t="s">
        <v>5078</v>
      </c>
      <c r="AD167" s="81"/>
      <c r="AE167" s="3003">
        <f>IF(AE$83&gt;0,-1/INDEX(LINEST(AE156:AE165,$CJ$286:$CJ$295),1),0)</f>
        <v>0</v>
      </c>
      <c r="AF167" s="81"/>
      <c r="AG167" s="3003">
        <f>IF(AG$83&gt;0,-1/INDEX(LINEST(AG156:AG165,$CJ$286:$CJ$295),1),0)</f>
        <v>0</v>
      </c>
      <c r="AH167" s="81"/>
      <c r="AI167" s="3003">
        <f>IF(AI$83&gt;0,-1/INDEX(LINEST(AI156:AI165,$CJ$286:$CJ$295),1),0)</f>
        <v>0</v>
      </c>
      <c r="AJ167" s="81"/>
      <c r="AK167" s="3003">
        <f>IF(AK$83&gt;0,-1/INDEX(LINEST(AK156:AK165,$CJ$286:$CJ$295),1),0)</f>
        <v>0</v>
      </c>
      <c r="AL167" s="81"/>
      <c r="AM167" s="3003">
        <f>IF(AM$83&gt;0,-1/INDEX(LINEST(AM156:AM165,$CJ$286:$CJ$295),1),0)</f>
        <v>0</v>
      </c>
      <c r="AN167" s="81"/>
      <c r="AO167" s="3003">
        <f>IF(AO$83&gt;0,-1/INDEX(LINEST(AO156:AO165,$CJ$286:$CJ$295),1),0)</f>
        <v>0</v>
      </c>
      <c r="AP167" s="81"/>
      <c r="AQ167" s="85"/>
      <c r="AR167" s="81"/>
      <c r="AS167" s="83"/>
      <c r="AT167" s="512" t="s">
        <v>5100</v>
      </c>
      <c r="AU167" s="83"/>
      <c r="AV167" s="2981">
        <f>IF(AV$73&gt;0,LN(IF(AV$164&gt;=20,AV$83*AV$162*20^AV$163,NBPlume_A_Night*AV$73/(AV$82*Wind_Night)/(20-AV$164+AV$165)^(1/NBPlume_B_Night))),0)</f>
        <v>0</v>
      </c>
      <c r="AW167" s="269"/>
      <c r="AX167" s="2981">
        <f>IF(AX$73&gt;0,LN(IF(AX$164&gt;=20,AX$83*AX$162*20^AX$163,NBPlume_A_Night*AX$73/(AX$82*Wind_Night)/(20-AX$164+AX$165)^(1/NBPlume_B_Night))),0)</f>
        <v>0</v>
      </c>
      <c r="AY167" s="269"/>
      <c r="AZ167" s="2981">
        <f>IF(AZ$73&gt;0,LN(IF(AZ$164&gt;=20,AZ$83*AZ$162*20^AZ$163,NBPlume_A_Night*AZ$73/(AZ$82*Wind_Night)/(20-AZ$164+AZ$165)^(1/NBPlume_B_Night))),0)</f>
        <v>0</v>
      </c>
      <c r="BA167" s="269"/>
      <c r="BB167" s="2981">
        <f>IF(BB$73&gt;0,LN(IF(BB$164&gt;=20,BB$83*BB$162*20^BB$163,NBPlume_A_Night*BB$73/(BB$82*Wind_Night)/(20-BB$164+BB$165)^(1/NBPlume_B_Night))),0)</f>
        <v>0</v>
      </c>
      <c r="BC167" s="269"/>
      <c r="BD167" s="2981">
        <f>IF(BD$73&gt;0,LN(IF(BD$164&gt;=20,BD$83*BD$162*20^BD$163,NBPlume_A_Night*BD$73/(BD$82*Wind_Night)/(20-BD$164+BD$165)^(1/NBPlume_B_Night))),0)</f>
        <v>0</v>
      </c>
      <c r="BE167" s="269"/>
      <c r="BF167" s="2981">
        <f>IF(BF$73&gt;0,LN(IF(BF$164&gt;=20,BF$83*BF$162*20^BF$163,NBPlume_A_Night*BF$73/(BF$82*Wind_Night)/(20-BF$164+BF$165)^(1/NBPlume_B_Night))),0)</f>
        <v>0</v>
      </c>
      <c r="BG167" s="269"/>
      <c r="BH167" s="2981">
        <f>IF(BH$73&gt;0,LN(IF(BH$164&gt;=20,BH$83*BH$162*20^BH$163,NBPlume_A_Night*BH$73/(BH$82*Wind_Night)/(20-BH$164+BH$165)^(1/NBPlume_B_Night))),0)</f>
        <v>0</v>
      </c>
      <c r="BI167" s="269"/>
      <c r="BJ167" s="2981">
        <f>IF(BJ$73&gt;0,LN(IF(BJ$164&gt;=20,BJ$83*BJ$162*20^BJ$163,NBPlume_A_Night*BJ$73/(BJ$82*Wind_Night)/(20-BJ$164+BJ$165)^(1/NBPlume_B_Night))),0)</f>
        <v>0</v>
      </c>
      <c r="BK167" s="269"/>
      <c r="BL167" s="2981">
        <f>IF(BL$73&gt;0,LN(IF(BL$164&gt;=20,BL$83*BL$162*20^BL$163,NBPlume_A_Night*BL$73/(BL$82*Wind_Night)/(20-BL$164+BL$165)^(1/NBPlume_B_Night))),0)</f>
        <v>0</v>
      </c>
      <c r="BM167" s="269"/>
      <c r="BN167" s="2981">
        <f>IF(BN$73&gt;0,LN(IF(BN$164&gt;=20,BN$83*BN$162*20^BN$163,NBPlume_A_Night*BN$73/(BN$82*Wind_Night)/(20-BN$164+BN$165)^(1/NBPlume_B_Night))),0)</f>
        <v>0</v>
      </c>
      <c r="BO167" s="269"/>
      <c r="BP167" s="1835"/>
      <c r="BQ167" s="83"/>
      <c r="BR167" s="81"/>
      <c r="BS167" s="1691" t="s">
        <v>5068</v>
      </c>
      <c r="BT167" s="81"/>
      <c r="BU167" s="2401">
        <f>IF(BU158&lt;BU$99,(BU$165/(BU158/BU$99))^(-1/BU$166),0)</f>
        <v>0</v>
      </c>
      <c r="BV167" s="81"/>
      <c r="BW167" s="2401">
        <f>IF(BW158&lt;BW$99,(BW$165/(BW158/BW$99))^(-1/BW$166),0)</f>
        <v>0</v>
      </c>
      <c r="BX167" s="81"/>
      <c r="BY167" s="2401">
        <f>IF(BY158&lt;BY$99,(BY$165/(BY158/BY$99))^(-1/BY$166),0)</f>
        <v>0</v>
      </c>
      <c r="BZ167" s="81"/>
      <c r="CA167" s="2401">
        <f>IF(CA158&lt;CA$99,(CA$165/(CA158/CA$99))^(-1/CA$166),0)</f>
        <v>0</v>
      </c>
      <c r="CB167" s="81"/>
      <c r="CC167" s="2401">
        <f>IF(CC158&lt;CC$99,(CC$165/(CC158/CC$99))^(-1/CC$166),0)</f>
        <v>0</v>
      </c>
      <c r="CD167" s="81"/>
      <c r="CE167" s="23"/>
      <c r="CF167" s="81"/>
      <c r="CG167" s="2"/>
      <c r="CH167" s="23" t="s">
        <v>628</v>
      </c>
      <c r="CI167" s="83"/>
      <c r="CJ167" s="97">
        <f>IF('User Scenario'!S49&lt;&gt;"",'User Scenario'!S49,0)</f>
        <v>0</v>
      </c>
      <c r="CK167" s="83"/>
      <c r="CL167" s="23" t="s">
        <v>968</v>
      </c>
      <c r="CM167" s="83"/>
      <c r="CN167" s="7"/>
      <c r="CO167" s="7"/>
      <c r="CP167" s="7"/>
      <c r="CQ167" s="7"/>
      <c r="CR167" s="7"/>
      <c r="CS167" s="7"/>
    </row>
    <row r="168" spans="1:97" s="26" customFormat="1" ht="15" customHeight="1" thickBot="1" x14ac:dyDescent="0.3">
      <c r="A168" s="2"/>
      <c r="B168" s="1691" t="s">
        <v>5072</v>
      </c>
      <c r="C168" s="83"/>
      <c r="D168" s="2985">
        <f>IF(D167&gt;0,NBPlume_A_Night*D$89/(D$98*Wind_Night*D158),0)^NBPlume_B_Night</f>
        <v>0</v>
      </c>
      <c r="E168" s="83"/>
      <c r="F168" s="2985">
        <f>IF(F167&gt;0,NBPlume_A_Night*F$89/(F$98*Wind_Night*F158),0)^NBPlume_B_Night</f>
        <v>0</v>
      </c>
      <c r="G168" s="83"/>
      <c r="H168" s="2985">
        <f>IF(H167&gt;0,NBPlume_A_Night*H$89/(H$98*Wind_Night*H158),0)^NBPlume_B_Night</f>
        <v>0</v>
      </c>
      <c r="I168" s="83"/>
      <c r="J168" s="2985">
        <f>IF(J167&gt;0,NBPlume_A_Night*J$89/(J$98*Wind_Night*J158),0)^NBPlume_B_Night</f>
        <v>0</v>
      </c>
      <c r="K168" s="83"/>
      <c r="L168" s="2985">
        <f>IF(L167&gt;0,NBPlume_A_Night*L$89/(L$98*Wind_Night*L158),0)^NBPlume_B_Night</f>
        <v>0</v>
      </c>
      <c r="M168" s="83"/>
      <c r="N168" s="2985">
        <f>IF(N167&gt;0,NBPlume_A_Night*N$89/(N$98*Wind_Night*N158),0)^NBPlume_B_Night</f>
        <v>0</v>
      </c>
      <c r="O168" s="83"/>
      <c r="P168" s="2985">
        <f>IF(P167&gt;0,NBPlume_A_Night*P$89/(P$98*Wind_Night*P158),0)^NBPlume_B_Night</f>
        <v>0</v>
      </c>
      <c r="Q168" s="83"/>
      <c r="R168" s="2985">
        <f>IF(R167&gt;0,NBPlume_A_Night*R$89/(R$98*Wind_Night*R158),0)^NBPlume_B_Night</f>
        <v>0</v>
      </c>
      <c r="S168" s="83"/>
      <c r="T168" s="2985">
        <f>IF(T167&gt;0,NBPlume_A_Night*T$89/(T$98*Wind_Night*T158),0)^NBPlume_B_Night</f>
        <v>0</v>
      </c>
      <c r="U168" s="83"/>
      <c r="V168" s="2985">
        <f>IF(V167&gt;0,NBPlume_A_Night*V$89/(V$98*Wind_Night*V158),0)^NBPlume_B_Night</f>
        <v>0</v>
      </c>
      <c r="W168" s="83"/>
      <c r="X168" s="2985">
        <f>IF(X167&gt;0,NBPlume_A_Night*X$89/(X$98*Wind_Night*X158),0)^NBPlume_B_Night</f>
        <v>0</v>
      </c>
      <c r="Y168" s="83"/>
      <c r="Z168" s="85"/>
      <c r="AA168" s="83"/>
      <c r="AB168" s="81"/>
      <c r="AC168" s="2976" t="s">
        <v>5123</v>
      </c>
      <c r="AD168" s="81"/>
      <c r="AE168" s="2105">
        <f>IF(AND(AE83&gt;0,AE$100&gt;0),AE166*(AE$83/(AE$98*AE$100))^AE167,0)</f>
        <v>0</v>
      </c>
      <c r="AF168" s="81"/>
      <c r="AG168" s="2105">
        <f>IF(AND(AG83&gt;0,AG$100&gt;0),AG166*(AG$83/(AG$98*AG$100))^AG167,0)</f>
        <v>0</v>
      </c>
      <c r="AH168" s="81"/>
      <c r="AI168" s="2105">
        <f>IF(AND(AI83&gt;0,AI$100&gt;0),AI166*(AI$83/(AI$98*AI$100))^AI167,0)</f>
        <v>0</v>
      </c>
      <c r="AJ168" s="81"/>
      <c r="AK168" s="2105">
        <f>IF(AND(AK83&gt;0,AK$100&gt;0),AK166*(AK$83/(AK$98*AK$100))^AK167,0)</f>
        <v>0</v>
      </c>
      <c r="AL168" s="81"/>
      <c r="AM168" s="2105">
        <f>IF(AND(AM83&gt;0,AM$100&gt;0),AM166*(AM$83/(AM$98*AM$100))^AM167,0)</f>
        <v>0</v>
      </c>
      <c r="AN168" s="81"/>
      <c r="AO168" s="2105">
        <f>IF(AND(AO83&gt;0,AO$100&gt;0),AO166*(AO$83/(AO$98*AO$100))^AO167,0)</f>
        <v>0</v>
      </c>
      <c r="AP168" s="81"/>
      <c r="AQ168" s="85"/>
      <c r="AR168" s="81"/>
      <c r="AS168" s="83"/>
      <c r="AT168" s="512" t="s">
        <v>5101</v>
      </c>
      <c r="AU168" s="83"/>
      <c r="AV168" s="2981">
        <f>IF(AV$73&gt;0,LN(IF(AV$164&gt;=50,AV$83*AV$162*50^AV$163,NBPlume_A_Night*AV$73/(AV$82*Wind_Night)/(50-AV$164+AV$165)^(1/NBPlume_B_Night))),0)</f>
        <v>0</v>
      </c>
      <c r="AW168" s="269"/>
      <c r="AX168" s="2981">
        <f>IF(AX$73&gt;0,LN(IF(AX$164&gt;=50,AX$83*AX$162*50^AX$163,NBPlume_A_Night*AX$73/(AX$82*Wind_Night)/(50-AX$164+AX$165)^(1/NBPlume_B_Night))),0)</f>
        <v>0</v>
      </c>
      <c r="AY168" s="269"/>
      <c r="AZ168" s="2981">
        <f>IF(AZ$73&gt;0,LN(IF(AZ$164&gt;=50,AZ$83*AZ$162*50^AZ$163,NBPlume_A_Night*AZ$73/(AZ$82*Wind_Night)/(50-AZ$164+AZ$165)^(1/NBPlume_B_Night))),0)</f>
        <v>0</v>
      </c>
      <c r="BA168" s="269"/>
      <c r="BB168" s="2981">
        <f>IF(BB$73&gt;0,LN(IF(BB$164&gt;=50,BB$83*BB$162*50^BB$163,NBPlume_A_Night*BB$73/(BB$82*Wind_Night)/(50-BB$164+BB$165)^(1/NBPlume_B_Night))),0)</f>
        <v>0</v>
      </c>
      <c r="BC168" s="269"/>
      <c r="BD168" s="2981">
        <f>IF(BD$73&gt;0,LN(IF(BD$164&gt;=50,BD$83*BD$162*50^BD$163,NBPlume_A_Night*BD$73/(BD$82*Wind_Night)/(50-BD$164+BD$165)^(1/NBPlume_B_Night))),0)</f>
        <v>0</v>
      </c>
      <c r="BE168" s="269"/>
      <c r="BF168" s="2981">
        <f>IF(BF$73&gt;0,LN(IF(BF$164&gt;=50,BF$83*BF$162*50^BF$163,NBPlume_A_Night*BF$73/(BF$82*Wind_Night)/(50-BF$164+BF$165)^(1/NBPlume_B_Night))),0)</f>
        <v>0</v>
      </c>
      <c r="BG168" s="269"/>
      <c r="BH168" s="2981">
        <f>IF(BH$73&gt;0,LN(IF(BH$164&gt;=50,BH$83*BH$162*50^BH$163,NBPlume_A_Night*BH$73/(BH$82*Wind_Night)/(50-BH$164+BH$165)^(1/NBPlume_B_Night))),0)</f>
        <v>0</v>
      </c>
      <c r="BI168" s="269"/>
      <c r="BJ168" s="2981">
        <f>IF(BJ$73&gt;0,LN(IF(BJ$164&gt;=50,BJ$83*BJ$162*50^BJ$163,NBPlume_A_Night*BJ$73/(BJ$82*Wind_Night)/(50-BJ$164+BJ$165)^(1/NBPlume_B_Night))),0)</f>
        <v>0</v>
      </c>
      <c r="BK168" s="269"/>
      <c r="BL168" s="2981">
        <f>IF(BL$73&gt;0,LN(IF(BL$164&gt;=50,BL$83*BL$162*50^BL$163,NBPlume_A_Night*BL$73/(BL$82*Wind_Night)/(50-BL$164+BL$165)^(1/NBPlume_B_Night))),0)</f>
        <v>0</v>
      </c>
      <c r="BM168" s="269"/>
      <c r="BN168" s="2981">
        <f>IF(BN$73&gt;0,LN(IF(BN$164&gt;=50,BN$83*BN$162*50^BN$163,NBPlume_A_Night*BN$73/(BN$82*Wind_Night)/(50-BN$164+BN$165)^(1/NBPlume_B_Night))),0)</f>
        <v>0</v>
      </c>
      <c r="BO168" s="269"/>
      <c r="BP168" s="1835"/>
      <c r="BQ168" s="83"/>
      <c r="BR168" s="81"/>
      <c r="BS168" s="1691" t="s">
        <v>5072</v>
      </c>
      <c r="BT168" s="81"/>
      <c r="BU168" s="2985">
        <f>IF(BU167&gt;0,NBPlume_A_Night*IF(BU$89="",BU$83/3600,BU$89)/(BU$98*Wind_Night*BU158),0)^NBPlume_B_Night</f>
        <v>0</v>
      </c>
      <c r="BV168" s="81"/>
      <c r="BW168" s="2985">
        <f>IF(BW167&gt;0,NBPlume_A_Night*IF(BW$89="",BW$83/3600,BW$89)/(BW$98*Wind_Night*BW158),0)^NBPlume_B_Night</f>
        <v>0</v>
      </c>
      <c r="BX168" s="81"/>
      <c r="BY168" s="2985">
        <f>IF(BY167&gt;0,NBPlume_A_Night*IF(BY$89="",BY$83/3600,BY$89)/(BY$98*Wind_Night*BY158),0)^NBPlume_B_Night</f>
        <v>0</v>
      </c>
      <c r="BZ168" s="81"/>
      <c r="CA168" s="2985">
        <f>IF(CA167&gt;0,NBPlume_A_Night*IF(CA$89="",CA$83/3600,CA$89)/(CA$98*Wind_Night*CA158),0)^NBPlume_B_Night</f>
        <v>0</v>
      </c>
      <c r="CB168" s="81"/>
      <c r="CC168" s="2985">
        <f>IF(CC167&gt;0,NBPlume_A_Night*IF(CC$89="",CC$83/3600,CC$89)/(CC$98*Wind_Night*CC158),0)^NBPlume_B_Night</f>
        <v>0</v>
      </c>
      <c r="CD168" s="81"/>
      <c r="CE168" s="23"/>
      <c r="CF168" s="81"/>
      <c r="CG168" s="2"/>
      <c r="CH168" s="25" t="s">
        <v>1863</v>
      </c>
      <c r="CI168" s="83"/>
      <c r="CJ168" s="98" t="str">
        <f>IF(AND(CJ161="Yes",CJ164&gt;10,OR(CJ166&gt;Bldg_Type_Correction,CJ167&gt;Bldg2_Type_Correction)),"Yes","No")</f>
        <v>No</v>
      </c>
      <c r="CK168" s="83"/>
      <c r="CL168" s="89"/>
      <c r="CM168" s="83"/>
      <c r="CN168" s="7"/>
      <c r="CO168" s="7"/>
      <c r="CP168" s="7"/>
      <c r="CQ168" s="7"/>
      <c r="CR168" s="7"/>
      <c r="CS168" s="7"/>
    </row>
    <row r="169" spans="1:97" s="26" customFormat="1" ht="15" customHeight="1" thickBot="1" x14ac:dyDescent="0.3">
      <c r="A169" s="2"/>
      <c r="B169" s="512" t="s">
        <v>5099</v>
      </c>
      <c r="C169" s="83"/>
      <c r="D169" s="2981" t="e">
        <f>IF(D$89&gt;0,LN(IF(D$167&gt;=10,D$99*D$165*10^D$166,NBPlume_A_Night*D$89/(D$98*Wind_Night)/(10-D$167+D$168)^(1/NBPlume_B_Night))),0)</f>
        <v>#DIV/0!</v>
      </c>
      <c r="E169" s="83"/>
      <c r="F169" s="2981" t="e">
        <f>IF(F$89&gt;0,LN(IF(F$167&gt;=10,F$99*F$165*10^F$166,NBPlume_A_Night*F$89/(F$98*Wind_Night)/(10-F$167+F$168)^(1/NBPlume_B_Night))),0)</f>
        <v>#DIV/0!</v>
      </c>
      <c r="G169" s="83"/>
      <c r="H169" s="2981" t="e">
        <f>IF(H$89&gt;0,LN(IF(H$167&gt;=10,H$99*H$165*10^H$166,NBPlume_A_Night*H$89/(H$98*Wind_Night)/(10-H$167+H$168)^(1/NBPlume_B_Night))),0)</f>
        <v>#DIV/0!</v>
      </c>
      <c r="I169" s="83"/>
      <c r="J169" s="2981" t="e">
        <f>IF(J$89&gt;0,LN(IF(J$167&gt;=10,J$99*J$165*10^J$166,NBPlume_A_Night*J$89/(J$98*Wind_Night)/(10-J$167+J$168)^(1/NBPlume_B_Night))),0)</f>
        <v>#DIV/0!</v>
      </c>
      <c r="K169" s="83"/>
      <c r="L169" s="2981" t="e">
        <f>IF(L$89&gt;0,LN(IF(L$167&gt;=10,L$99*L$165*10^L$166,NBPlume_A_Night*L$89/(L$98*Wind_Night)/(10-L$167+L$168)^(1/NBPlume_B_Night))),0)</f>
        <v>#DIV/0!</v>
      </c>
      <c r="M169" s="83"/>
      <c r="N169" s="2981" t="e">
        <f>IF(N$89&gt;0,LN(IF(N$167&gt;=10,N$99*N$165*10^N$166,NBPlume_A_Night*N$89/(N$98*Wind_Night)/(10-N$167+N$168)^(1/NBPlume_B_Night))),0)</f>
        <v>#DIV/0!</v>
      </c>
      <c r="O169" s="83"/>
      <c r="P169" s="2981" t="e">
        <f>IF(P$89&gt;0,LN(IF(P$167&gt;=10,P$99*P$165*10^P$166,NBPlume_A_Night*P$89/(P$98*Wind_Night)/(10-P$167+P$168)^(1/NBPlume_B_Night))),0)</f>
        <v>#DIV/0!</v>
      </c>
      <c r="Q169" s="83"/>
      <c r="R169" s="2981" t="e">
        <f>IF(R$89&gt;0,LN(IF(R$167&gt;=10,R$99*R$165*10^R$166,NBPlume_A_Night*R$89/(R$98*Wind_Night)/(10-R$167+R$168)^(1/NBPlume_B_Night))),0)</f>
        <v>#DIV/0!</v>
      </c>
      <c r="S169" s="83"/>
      <c r="T169" s="2981" t="e">
        <f>IF(T$89&gt;0,LN(IF(T$167&gt;=10,T$99*T$165*10^T$166,NBPlume_A_Night*T$89/(T$98*Wind_Night)/(10-T$167+T$168)^(1/NBPlume_B_Night))),0)</f>
        <v>#DIV/0!</v>
      </c>
      <c r="U169" s="83"/>
      <c r="V169" s="2981" t="e">
        <f>IF(V$89&gt;0,LN(IF(V$167&gt;=10,V$99*V$165*10^V$166,NBPlume_A_Night*V$89/(V$98*Wind_Night)/(10-V$167+V$168)^(1/NBPlume_B_Night))),0)</f>
        <v>#DIV/0!</v>
      </c>
      <c r="W169" s="83"/>
      <c r="X169" s="2981" t="e">
        <f>IF(X$89&gt;0,LN(IF(X$167&gt;=10,X$99*X$165*10^X$166,NBPlume_A_Night*X$89/(X$98*Wind_Night)/(10-X$167+X$168)^(1/NBPlume_B_Night))),0)</f>
        <v>#DIV/0!</v>
      </c>
      <c r="Y169" s="83"/>
      <c r="Z169" s="2987"/>
      <c r="AA169" s="83"/>
      <c r="AB169" s="81"/>
      <c r="AC169" s="85" t="s">
        <v>5079</v>
      </c>
      <c r="AD169" s="81"/>
      <c r="AE169" s="3004" t="str">
        <f>IF(AE$83&gt;AE$89,IF(AE$89&gt;AE$83*(AE166^(1/AE167)/AE140^(1/AE141))*Wind*(1*Wind*AE$83/AE$89)^(1/AE141-1/AE167),"Instantaneous","Continuous"),"Continuous")</f>
        <v>Continuous</v>
      </c>
      <c r="AF169" s="81"/>
      <c r="AG169" s="3004" t="str">
        <f>IF(AG$83&gt;AG$89,IF(AG$89&gt;AG$83*(AG166^(1/AG167)/AG140^(1/AG141))*Wind*(1*Wind*AG$83/AG$89)^(1/AG141-1/AG167),"Instantaneous","Continuous"),"Continuous")</f>
        <v>Continuous</v>
      </c>
      <c r="AH169" s="81"/>
      <c r="AI169" s="3004" t="str">
        <f>IF(AI$83&gt;AI$89,IF(AI$89&gt;AI$83*(AI166^(1/AI167)/AI140^(1/AI141))*Wind*(1*Wind*AI$83/AI$89)^(1/AI141-1/AI167),"Instantaneous","Continuous"),"Continuous")</f>
        <v>Continuous</v>
      </c>
      <c r="AJ169" s="81"/>
      <c r="AK169" s="3004" t="str">
        <f>IF(AK$83&gt;AK$89,IF(AK$89&gt;AK$83*(AK166^(1/AK167)/AK140^(1/AK141))*Wind*(1*Wind*AK$83/AK$89)^(1/AK141-1/AK167),"Instantaneous","Continuous"),"Continuous")</f>
        <v>Continuous</v>
      </c>
      <c r="AL169" s="81"/>
      <c r="AM169" s="3004" t="str">
        <f>IF(AM$83&gt;AM$89,IF(AM$89&gt;AM$83*(AM166^(1/AM167)/AM140^(1/AM141))*Wind*(1*Wind*AM$83/AM$89)^(1/AM141-1/AM167),"Instantaneous","Continuous"),"Continuous")</f>
        <v>Continuous</v>
      </c>
      <c r="AN169" s="81"/>
      <c r="AO169" s="3004" t="str">
        <f>IF(AO$83&gt;AO$89,IF(AO$89&gt;AO$83*(AO166^(1/AO167)/AO140^(1/AO141))*Wind*(1*Wind*AO$83/AO$89)^(1/AO141-1/AO167),"Instantaneous","Continuous"),"Continuous")</f>
        <v>Continuous</v>
      </c>
      <c r="AP169" s="81"/>
      <c r="AQ169" s="85"/>
      <c r="AR169" s="81"/>
      <c r="AS169" s="83"/>
      <c r="AT169" s="512" t="s">
        <v>5102</v>
      </c>
      <c r="AU169" s="83"/>
      <c r="AV169" s="2981">
        <f>IF(AV$73&gt;0,LN(IF(AV$164&gt;=100,AV$83*AV$162*100^AV$163,NBPlume_A_Night*AV$73/(AV$82*Wind_Night)/(100-AV$164+AV$165)^(1/NBPlume_B_Night))),0)</f>
        <v>0</v>
      </c>
      <c r="AW169" s="269"/>
      <c r="AX169" s="2981">
        <f>IF(AX$73&gt;0,LN(IF(AX$164&gt;=100,AX$83*AX$162*100^AX$163,NBPlume_A_Night*AX$73/(AX$82*Wind_Night)/(100-AX$164+AX$165)^(1/NBPlume_B_Night))),0)</f>
        <v>0</v>
      </c>
      <c r="AY169" s="269"/>
      <c r="AZ169" s="2981">
        <f>IF(AZ$73&gt;0,LN(IF(AZ$164&gt;=100,AZ$83*AZ$162*100^AZ$163,NBPlume_A_Night*AZ$73/(AZ$82*Wind_Night)/(100-AZ$164+AZ$165)^(1/NBPlume_B_Night))),0)</f>
        <v>0</v>
      </c>
      <c r="BA169" s="269"/>
      <c r="BB169" s="2981">
        <f>IF(BB$73&gt;0,LN(IF(BB$164&gt;=100,BB$83*BB$162*100^BB$163,NBPlume_A_Night*BB$73/(BB$82*Wind_Night)/(100-BB$164+BB$165)^(1/NBPlume_B_Night))),0)</f>
        <v>0</v>
      </c>
      <c r="BC169" s="269"/>
      <c r="BD169" s="2981">
        <f>IF(BD$73&gt;0,LN(IF(BD$164&gt;=100,BD$83*BD$162*100^BD$163,NBPlume_A_Night*BD$73/(BD$82*Wind_Night)/(100-BD$164+BD$165)^(1/NBPlume_B_Night))),0)</f>
        <v>0</v>
      </c>
      <c r="BE169" s="269"/>
      <c r="BF169" s="2981">
        <f>IF(BF$73&gt;0,LN(IF(BF$164&gt;=100,BF$83*BF$162*100^BF$163,NBPlume_A_Night*BF$73/(BF$82*Wind_Night)/(100-BF$164+BF$165)^(1/NBPlume_B_Night))),0)</f>
        <v>0</v>
      </c>
      <c r="BG169" s="269"/>
      <c r="BH169" s="2981">
        <f>IF(BH$73&gt;0,LN(IF(BH$164&gt;=100,BH$83*BH$162*100^BH$163,NBPlume_A_Night*BH$73/(BH$82*Wind_Night)/(100-BH$164+BH$165)^(1/NBPlume_B_Night))),0)</f>
        <v>0</v>
      </c>
      <c r="BI169" s="269"/>
      <c r="BJ169" s="2981">
        <f>IF(BJ$73&gt;0,LN(IF(BJ$164&gt;=100,BJ$83*BJ$162*100^BJ$163,NBPlume_A_Night*BJ$73/(BJ$82*Wind_Night)/(100-BJ$164+BJ$165)^(1/NBPlume_B_Night))),0)</f>
        <v>0</v>
      </c>
      <c r="BK169" s="269"/>
      <c r="BL169" s="2981">
        <f>IF(BL$73&gt;0,LN(IF(BL$164&gt;=100,BL$83*BL$162*100^BL$163,NBPlume_A_Night*BL$73/(BL$82*Wind_Night)/(100-BL$164+BL$165)^(1/NBPlume_B_Night))),0)</f>
        <v>0</v>
      </c>
      <c r="BM169" s="269"/>
      <c r="BN169" s="2981">
        <f>IF(BN$73&gt;0,LN(IF(BN$164&gt;=100,BN$83*BN$162*100^BN$163,NBPlume_A_Night*BN$73/(BN$82*Wind_Night)/(100-BN$164+BN$165)^(1/NBPlume_B_Night))),0)</f>
        <v>0</v>
      </c>
      <c r="BO169" s="269"/>
      <c r="BP169" s="1835"/>
      <c r="BQ169" s="83"/>
      <c r="BR169" s="81"/>
      <c r="BS169" s="512" t="s">
        <v>5099</v>
      </c>
      <c r="BT169" s="81"/>
      <c r="BU169" s="2981">
        <f>IF(BU$98&gt;0,LN(IF(BU$167&gt;=10,BU$99*BU$165*10^BU$166,NBPlume_A_Night*IF(BU$89="",BU$83/3600,BU$89)/(BU$98*Wind_Night)/(10-BU$167+BU$168)^(1/NBPlume_B_Night))),0)</f>
        <v>0</v>
      </c>
      <c r="BV169" s="81"/>
      <c r="BW169" s="2981">
        <f>IF(BW$98&gt;0,LN(IF(BW$167&gt;=10,BW$99*BW$165*10^BW$166,NBPlume_A_Night*IF(BW$89="",BW$83/3600,BW$89)/(BW$98*Wind_Night)/(10-BW$167+BW$168)^(1/NBPlume_B_Night))),0)</f>
        <v>0</v>
      </c>
      <c r="BX169" s="81"/>
      <c r="BY169" s="2981">
        <f>IF(BY$98&gt;0,LN(IF(BY$167&gt;=10,BY$99*BY$165*10^BY$166,NBPlume_A_Night*IF(BY$89="",BY$83/3600,BY$89)/(BY$98*Wind_Night)/(10-BY$167+BY$168)^(1/NBPlume_B_Night))),0)</f>
        <v>0</v>
      </c>
      <c r="BZ169" s="81"/>
      <c r="CA169" s="2981">
        <f>IF(CA$98&gt;0,LN(IF(CA$167&gt;=10,CA$99*CA$165*10^CA$166,NBPlume_A_Night*IF(CA$89="",CA$83/3600,CA$89)/(CA$98*Wind_Night)/(10-CA$167+CA$168)^(1/NBPlume_B_Night))),0)</f>
        <v>0</v>
      </c>
      <c r="CB169" s="81"/>
      <c r="CC169" s="2981">
        <f>IF(CC$98&gt;0,LN(IF(CC$167&gt;=10,CC$99*CC$165*10^CC$166,NBPlume_A_Night*IF(CC$89="",CC$83/3600,CC$89)/(CC$98*Wind_Night)/(10-CC$167+CC$168)^(1/NBPlume_B_Night))),0)</f>
        <v>0</v>
      </c>
      <c r="CD169" s="81"/>
      <c r="CE169" s="23"/>
      <c r="CF169" s="81"/>
      <c r="CG169" s="2"/>
      <c r="CH169" s="92" t="s">
        <v>1532</v>
      </c>
      <c r="CI169" s="83"/>
      <c r="CJ169" s="99" t="str">
        <f>IF(OR(Flash_Pt_Feed="",CJ16="",Location&lt;&gt;"Outdoors"),"No",IF(OR(AND(Flame_Speed_Feed="High",IF(CJ81="Instantaneous",CJ16,CJ15*CJ171/Wind)&gt;VCE_LowTotal),AND(Flame_Speed_Feed&lt;&gt;"High",IF(CJ81="Instantaneous",CJ16,CJ15*CJ171/Wind))),"Yes","No"))</f>
        <v>No</v>
      </c>
      <c r="CK169" s="83"/>
      <c r="CL169" s="84"/>
      <c r="CM169" s="83"/>
      <c r="CN169" s="7"/>
      <c r="CO169" s="7"/>
      <c r="CP169" s="7"/>
      <c r="CQ169" s="7"/>
      <c r="CR169" s="7"/>
      <c r="CS169" s="7"/>
    </row>
    <row r="170" spans="1:97" s="26" customFormat="1" ht="15" customHeight="1" thickBot="1" x14ac:dyDescent="0.3">
      <c r="A170" s="2"/>
      <c r="B170" s="512" t="s">
        <v>5100</v>
      </c>
      <c r="C170" s="83"/>
      <c r="D170" s="2981" t="e">
        <f>IF(D$89&gt;0,LN(IF(D$167&gt;=20,D$99*D$165*20^D$166,NBPlume_A_Night*D$89/(D$98*Wind_Night)/(20-D$167+D$168)^(1/NBPlume_B_Night))),0)</f>
        <v>#DIV/0!</v>
      </c>
      <c r="E170" s="83"/>
      <c r="F170" s="2981" t="e">
        <f>IF(F$89&gt;0,LN(IF(F$167&gt;=20,F$99*F$165*20^F$166,NBPlume_A_Night*F$89/(F$98*Wind_Night)/(20-F$167+F$168)^(1/NBPlume_B_Night))),0)</f>
        <v>#DIV/0!</v>
      </c>
      <c r="G170" s="83"/>
      <c r="H170" s="2981" t="e">
        <f>IF(H$89&gt;0,LN(IF(H$167&gt;=20,H$99*H$165*20^H$166,NBPlume_A_Night*H$89/(H$98*Wind_Night)/(20-H$167+H$168)^(1/NBPlume_B_Night))),0)</f>
        <v>#DIV/0!</v>
      </c>
      <c r="I170" s="83"/>
      <c r="J170" s="2981" t="e">
        <f>IF(J$89&gt;0,LN(IF(J$167&gt;=20,J$99*J$165*20^J$166,NBPlume_A_Night*J$89/(J$98*Wind_Night)/(20-J$167+J$168)^(1/NBPlume_B_Night))),0)</f>
        <v>#DIV/0!</v>
      </c>
      <c r="K170" s="83"/>
      <c r="L170" s="2981" t="e">
        <f>IF(L$89&gt;0,LN(IF(L$167&gt;=20,L$99*L$165*20^L$166,NBPlume_A_Night*L$89/(L$98*Wind_Night)/(20-L$167+L$168)^(1/NBPlume_B_Night))),0)</f>
        <v>#DIV/0!</v>
      </c>
      <c r="M170" s="83"/>
      <c r="N170" s="2981" t="e">
        <f>IF(N$89&gt;0,LN(IF(N$167&gt;=20,N$99*N$165*20^N$166,NBPlume_A_Night*N$89/(N$98*Wind_Night)/(20-N$167+N$168)^(1/NBPlume_B_Night))),0)</f>
        <v>#DIV/0!</v>
      </c>
      <c r="O170" s="83"/>
      <c r="P170" s="2981" t="e">
        <f>IF(P$89&gt;0,LN(IF(P$167&gt;=20,P$99*P$165*20^P$166,NBPlume_A_Night*P$89/(P$98*Wind_Night)/(20-P$167+P$168)^(1/NBPlume_B_Night))),0)</f>
        <v>#DIV/0!</v>
      </c>
      <c r="Q170" s="83"/>
      <c r="R170" s="2981" t="e">
        <f>IF(R$89&gt;0,LN(IF(R$167&gt;=20,R$99*R$165*20^R$166,NBPlume_A_Night*R$89/(R$98*Wind_Night)/(20-R$167+R$168)^(1/NBPlume_B_Night))),0)</f>
        <v>#DIV/0!</v>
      </c>
      <c r="S170" s="83"/>
      <c r="T170" s="2981" t="e">
        <f>IF(T$89&gt;0,LN(IF(T$167&gt;=20,T$99*T$165*20^T$166,NBPlume_A_Night*T$89/(T$98*Wind_Night)/(20-T$167+T$168)^(1/NBPlume_B_Night))),0)</f>
        <v>#DIV/0!</v>
      </c>
      <c r="U170" s="83"/>
      <c r="V170" s="2981" t="e">
        <f>IF(V$89&gt;0,LN(IF(V$167&gt;=20,V$99*V$165*20^V$166,NBPlume_A_Night*V$89/(V$98*Wind_Night)/(20-V$167+V$168)^(1/NBPlume_B_Night))),0)</f>
        <v>#DIV/0!</v>
      </c>
      <c r="W170" s="83"/>
      <c r="X170" s="2981" t="e">
        <f>IF(X$89&gt;0,LN(IF(X$167&gt;=20,X$99*X$165*20^X$166,NBPlume_A_Night*X$89/(X$98*Wind_Night)/(20-X$167+X$168)^(1/NBPlume_B_Night))),0)</f>
        <v>#DIV/0!</v>
      </c>
      <c r="Y170" s="83"/>
      <c r="Z170" s="2987"/>
      <c r="AA170" s="83"/>
      <c r="AB170" s="81"/>
      <c r="AC170" s="1689" t="s">
        <v>5062</v>
      </c>
      <c r="AD170" s="81"/>
      <c r="AE170" s="2426">
        <f>IF(AE104&gt;0,(AE104^2*AE102/Wind_Night^5)^0.2,0)</f>
        <v>0</v>
      </c>
      <c r="AF170" s="81"/>
      <c r="AG170" s="2426">
        <f>IF(AG104&gt;0,(AG104^2*AG102/Wind_Night^5)^0.2,0)</f>
        <v>0</v>
      </c>
      <c r="AH170" s="81"/>
      <c r="AI170" s="2426">
        <f>IF(AI104&gt;0,(AI104^2*AI102/Wind_Night^5)^0.2,0)</f>
        <v>0</v>
      </c>
      <c r="AJ170" s="81"/>
      <c r="AK170" s="2426">
        <f>IF(AK104&gt;0,(AK104^2*AK102/Wind_Night^5)^0.2,0)</f>
        <v>0</v>
      </c>
      <c r="AL170" s="81"/>
      <c r="AM170" s="2426">
        <f>IF(AM104&gt;0,(AM104^2*AM102/Wind_Night^5)^0.2,0)</f>
        <v>0</v>
      </c>
      <c r="AN170" s="81"/>
      <c r="AO170" s="2426">
        <f>IF(AO104&gt;0,(AO104^2*AO102/Wind_Night^5)^0.2,0)</f>
        <v>0</v>
      </c>
      <c r="AP170" s="81"/>
      <c r="AQ170" s="85"/>
      <c r="AR170" s="81"/>
      <c r="AS170" s="83"/>
      <c r="AT170" s="512" t="s">
        <v>5103</v>
      </c>
      <c r="AU170" s="83"/>
      <c r="AV170" s="2981">
        <f>IF(AV$73&gt;0,LN(IF(AV$164&gt;=200,AV$83*AV$162*200^AV$163,NBPlume_A_Night*AV$73/(AV$82*Wind_Night)/(200-AV$164+AV$165)^(1/NBPlume_B_Night))),0)</f>
        <v>0</v>
      </c>
      <c r="AW170" s="269"/>
      <c r="AX170" s="2981">
        <f>IF(AX$73&gt;0,LN(IF(AX$164&gt;=200,AX$83*AX$162*200^AX$163,NBPlume_A_Night*AX$73/(AX$82*Wind_Night)/(200-AX$164+AX$165)^(1/NBPlume_B_Night))),0)</f>
        <v>0</v>
      </c>
      <c r="AY170" s="269"/>
      <c r="AZ170" s="2981">
        <f>IF(AZ$73&gt;0,LN(IF(AZ$164&gt;=200,AZ$83*AZ$162*200^AZ$163,NBPlume_A_Night*AZ$73/(AZ$82*Wind_Night)/(200-AZ$164+AZ$165)^(1/NBPlume_B_Night))),0)</f>
        <v>0</v>
      </c>
      <c r="BA170" s="269"/>
      <c r="BB170" s="2981">
        <f>IF(BB$73&gt;0,LN(IF(BB$164&gt;=200,BB$83*BB$162*200^BB$163,NBPlume_A_Night*BB$73/(BB$82*Wind_Night)/(200-BB$164+BB$165)^(1/NBPlume_B_Night))),0)</f>
        <v>0</v>
      </c>
      <c r="BC170" s="269"/>
      <c r="BD170" s="2981">
        <f>IF(BD$73&gt;0,LN(IF(BD$164&gt;=200,BD$83*BD$162*200^BD$163,NBPlume_A_Night*BD$73/(BD$82*Wind_Night)/(200-BD$164+BD$165)^(1/NBPlume_B_Night))),0)</f>
        <v>0</v>
      </c>
      <c r="BE170" s="269"/>
      <c r="BF170" s="2981">
        <f>IF(BF$73&gt;0,LN(IF(BF$164&gt;=200,BF$83*BF$162*200^BF$163,NBPlume_A_Night*BF$73/(BF$82*Wind_Night)/(200-BF$164+BF$165)^(1/NBPlume_B_Night))),0)</f>
        <v>0</v>
      </c>
      <c r="BG170" s="269"/>
      <c r="BH170" s="2981">
        <f>IF(BH$73&gt;0,LN(IF(BH$164&gt;=200,BH$83*BH$162*200^BH$163,NBPlume_A_Night*BH$73/(BH$82*Wind_Night)/(200-BH$164+BH$165)^(1/NBPlume_B_Night))),0)</f>
        <v>0</v>
      </c>
      <c r="BI170" s="269"/>
      <c r="BJ170" s="2981">
        <f>IF(BJ$73&gt;0,LN(IF(BJ$164&gt;=200,BJ$83*BJ$162*200^BJ$163,NBPlume_A_Night*BJ$73/(BJ$82*Wind_Night)/(200-BJ$164+BJ$165)^(1/NBPlume_B_Night))),0)</f>
        <v>0</v>
      </c>
      <c r="BK170" s="269"/>
      <c r="BL170" s="2981">
        <f>IF(BL$73&gt;0,LN(IF(BL$164&gt;=200,BL$83*BL$162*200^BL$163,NBPlume_A_Night*BL$73/(BL$82*Wind_Night)/(200-BL$164+BL$165)^(1/NBPlume_B_Night))),0)</f>
        <v>0</v>
      </c>
      <c r="BM170" s="269"/>
      <c r="BN170" s="2981">
        <f>IF(BN$73&gt;0,LN(IF(BN$164&gt;=200,BN$83*BN$162*200^BN$163,NBPlume_A_Night*BN$73/(BN$82*Wind_Night)/(200-BN$164+BN$165)^(1/NBPlume_B_Night))),0)</f>
        <v>0</v>
      </c>
      <c r="BO170" s="269"/>
      <c r="BP170" s="1835"/>
      <c r="BQ170" s="83"/>
      <c r="BR170" s="81"/>
      <c r="BS170" s="512" t="s">
        <v>5100</v>
      </c>
      <c r="BT170" s="81"/>
      <c r="BU170" s="2981">
        <f>IF(BU$98&gt;0,LN(IF(BU$167&gt;=20,BU$99*BU$165*20^BU$166,NBPlume_A_Night*IF(BU$89="",BU$83/3600,BU$89)/(BU$98*Wind_Night)/(20-BU$167+BU$168)^(1/NBPlume_B_Night))),0)</f>
        <v>0</v>
      </c>
      <c r="BV170" s="81"/>
      <c r="BW170" s="2981">
        <f>IF(BW$98&gt;0,LN(IF(BW$167&gt;=20,BW$99*BW$165*20^BW$166,NBPlume_A_Night*IF(BW$89="",BW$83/3600,BW$89)/(BW$98*Wind_Night)/(20-BW$167+BW$168)^(1/NBPlume_B_Night))),0)</f>
        <v>0</v>
      </c>
      <c r="BX170" s="81"/>
      <c r="BY170" s="2981">
        <f>IF(BY$98&gt;0,LN(IF(BY$167&gt;=20,BY$99*BY$165*20^BY$166,NBPlume_A_Night*IF(BY$89="",BY$83/3600,BY$89)/(BY$98*Wind_Night)/(20-BY$167+BY$168)^(1/NBPlume_B_Night))),0)</f>
        <v>0</v>
      </c>
      <c r="BZ170" s="81"/>
      <c r="CA170" s="2981">
        <f>IF(CA$98&gt;0,LN(IF(CA$167&gt;=20,CA$99*CA$165*20^CA$166,NBPlume_A_Night*IF(CA$89="",CA$83/3600,CA$89)/(CA$98*Wind_Night)/(20-CA$167+CA$168)^(1/NBPlume_B_Night))),0)</f>
        <v>0</v>
      </c>
      <c r="CB170" s="81"/>
      <c r="CC170" s="2981">
        <f>IF(CC$98&gt;0,LN(IF(CC$167&gt;=20,CC$99*CC$165*20^CC$166,NBPlume_A_Night*IF(CC$89="",CC$83/3600,CC$89)/(CC$98*Wind_Night)/(20-CC$167+CC$168)^(1/NBPlume_B_Night))),0)</f>
        <v>0</v>
      </c>
      <c r="CD170" s="81"/>
      <c r="CE170" s="23"/>
      <c r="CF170" s="81"/>
      <c r="CG170" s="83"/>
      <c r="CH170" s="119" t="str">
        <f>"Outdoor "&amp;LFL_Fract_FlashFIre&amp;" HD-LFL"</f>
        <v>Outdoor 0.5 HD-LFL</v>
      </c>
      <c r="CI170" s="83"/>
      <c r="CJ170" s="2651" t="str">
        <f>IF('User Scenario'!S40&lt;&gt;"",'User Scenario'!S40*Public_Units_Conversion,"")</f>
        <v/>
      </c>
      <c r="CK170" s="83"/>
      <c r="CL170" s="23" t="s">
        <v>1068</v>
      </c>
      <c r="CM170" s="83"/>
      <c r="CN170" s="7"/>
      <c r="CO170" s="7"/>
      <c r="CP170" s="7"/>
      <c r="CQ170" s="7"/>
      <c r="CR170" s="7"/>
      <c r="CS170" s="7"/>
    </row>
    <row r="171" spans="1:97" s="26" customFormat="1" ht="15" customHeight="1" thickBot="1" x14ac:dyDescent="0.3">
      <c r="A171" s="2"/>
      <c r="B171" s="512" t="s">
        <v>5101</v>
      </c>
      <c r="C171" s="83"/>
      <c r="D171" s="2981" t="e">
        <f>IF(D$89&gt;0,LN(IF(D$167&gt;=50,D$99*D$165*50^D$166,NBPlume_A_Night*D$89/(D$98*Wind_Night)/(50-D$167+D$168)^(1/NBPlume_B_Night))),0)</f>
        <v>#DIV/0!</v>
      </c>
      <c r="E171" s="83"/>
      <c r="F171" s="2981" t="e">
        <f>IF(F$89&gt;0,LN(IF(F$167&gt;=50,F$99*F$165*50^F$166,NBPlume_A_Night*F$89/(F$98*Wind_Night)/(50-F$167+F$168)^(1/NBPlume_B_Night))),0)</f>
        <v>#DIV/0!</v>
      </c>
      <c r="G171" s="83"/>
      <c r="H171" s="2981" t="e">
        <f>IF(H$89&gt;0,LN(IF(H$167&gt;=50,H$99*H$165*50^H$166,NBPlume_A_Night*H$89/(H$98*Wind_Night)/(50-H$167+H$168)^(1/NBPlume_B_Night))),0)</f>
        <v>#DIV/0!</v>
      </c>
      <c r="I171" s="83"/>
      <c r="J171" s="2981" t="e">
        <f>IF(J$89&gt;0,LN(IF(J$167&gt;=50,J$99*J$165*50^J$166,NBPlume_A_Night*J$89/(J$98*Wind_Night)/(50-J$167+J$168)^(1/NBPlume_B_Night))),0)</f>
        <v>#DIV/0!</v>
      </c>
      <c r="K171" s="83"/>
      <c r="L171" s="2981" t="e">
        <f>IF(L$89&gt;0,LN(IF(L$167&gt;=50,L$99*L$165*50^L$166,NBPlume_A_Night*L$89/(L$98*Wind_Night)/(50-L$167+L$168)^(1/NBPlume_B_Night))),0)</f>
        <v>#DIV/0!</v>
      </c>
      <c r="M171" s="83"/>
      <c r="N171" s="2981" t="e">
        <f>IF(N$89&gt;0,LN(IF(N$167&gt;=50,N$99*N$165*50^N$166,NBPlume_A_Night*N$89/(N$98*Wind_Night)/(50-N$167+N$168)^(1/NBPlume_B_Night))),0)</f>
        <v>#DIV/0!</v>
      </c>
      <c r="O171" s="83"/>
      <c r="P171" s="2981" t="e">
        <f>IF(P$89&gt;0,LN(IF(P$167&gt;=50,P$99*P$165*50^P$166,NBPlume_A_Night*P$89/(P$98*Wind_Night)/(50-P$167+P$168)^(1/NBPlume_B_Night))),0)</f>
        <v>#DIV/0!</v>
      </c>
      <c r="Q171" s="83"/>
      <c r="R171" s="2981" t="e">
        <f>IF(R$89&gt;0,LN(IF(R$167&gt;=50,R$99*R$165*50^R$166,NBPlume_A_Night*R$89/(R$98*Wind_Night)/(50-R$167+R$168)^(1/NBPlume_B_Night))),0)</f>
        <v>#DIV/0!</v>
      </c>
      <c r="S171" s="83"/>
      <c r="T171" s="2981" t="e">
        <f>IF(T$89&gt;0,LN(IF(T$167&gt;=50,T$99*T$165*50^T$166,NBPlume_A_Night*T$89/(T$98*Wind_Night)/(50-T$167+T$168)^(1/NBPlume_B_Night))),0)</f>
        <v>#DIV/0!</v>
      </c>
      <c r="U171" s="83"/>
      <c r="V171" s="2981" t="e">
        <f>IF(V$89&gt;0,LN(IF(V$167&gt;=50,V$99*V$165*50^V$166,NBPlume_A_Night*V$89/(V$98*Wind_Night)/(50-V$167+V$168)^(1/NBPlume_B_Night))),0)</f>
        <v>#DIV/0!</v>
      </c>
      <c r="W171" s="83"/>
      <c r="X171" s="2981" t="e">
        <f>IF(X$89&gt;0,LN(IF(X$167&gt;=50,X$99*X$165*50^X$166,NBPlume_A_Night*X$89/(X$98*Wind_Night)/(50-X$167+X$168)^(1/NBPlume_B_Night))),0)</f>
        <v>#DIV/0!</v>
      </c>
      <c r="Y171" s="83"/>
      <c r="Z171" s="2987"/>
      <c r="AA171" s="83"/>
      <c r="AB171" s="81"/>
      <c r="AC171" s="1691" t="s">
        <v>5063</v>
      </c>
      <c r="AD171" s="81"/>
      <c r="AE171" s="3000">
        <f>IF(AND(AE$104&gt;0,AE170&gt;0),AE99*0.15^6/AE170^5,1)</f>
        <v>1</v>
      </c>
      <c r="AF171" s="81"/>
      <c r="AG171" s="3000">
        <f>IF(AND(AG$104&gt;0,AG170&gt;0),AG99*0.15^6/AG170^5,1)</f>
        <v>1</v>
      </c>
      <c r="AH171" s="81"/>
      <c r="AI171" s="3000">
        <f>IF(AND(AI$104&gt;0,AI170&gt;0),AI99*0.15^6/AI170^5,1)</f>
        <v>1</v>
      </c>
      <c r="AJ171" s="81"/>
      <c r="AK171" s="3000">
        <f>IF(AND(AK$104&gt;0,AK170&gt;0),AK99*0.15^6/AK170^5,1)</f>
        <v>1</v>
      </c>
      <c r="AL171" s="81"/>
      <c r="AM171" s="3000">
        <f>IF(AND(AM$104&gt;0,AM170&gt;0),AM99*0.15^6/AM170^5,1)</f>
        <v>1</v>
      </c>
      <c r="AN171" s="81"/>
      <c r="AO171" s="3000">
        <f>IF(AND(AO$104&gt;0,AO170&gt;0),AO99*0.15^6/AO170^5,1)</f>
        <v>1</v>
      </c>
      <c r="AP171" s="81"/>
      <c r="AQ171" s="85"/>
      <c r="AR171" s="81"/>
      <c r="AS171" s="83"/>
      <c r="AT171" s="512" t="s">
        <v>5104</v>
      </c>
      <c r="AU171" s="83"/>
      <c r="AV171" s="2981">
        <f>IF(AV$73&gt;0,LN(IF(AV$164&gt;=500,AV$83*AV$162*500^AV$163,NBPlume_A_Night*AV$73/(AV$82*Wind_Night)/(500-AV$164+AV$165)^(1/NBPlume_B_Night))),0)</f>
        <v>0</v>
      </c>
      <c r="AW171" s="269"/>
      <c r="AX171" s="2981">
        <f>IF(AX$73&gt;0,LN(IF(AX$164&gt;=500,AX$83*AX$162*500^AX$163,NBPlume_A_Night*AX$73/(AX$82*Wind_Night)/(500-AX$164+AX$165)^(1/NBPlume_B_Night))),0)</f>
        <v>0</v>
      </c>
      <c r="AY171" s="269"/>
      <c r="AZ171" s="2981">
        <f>IF(AZ$73&gt;0,LN(IF(AZ$164&gt;=500,AZ$83*AZ$162*500^AZ$163,NBPlume_A_Night*AZ$73/(AZ$82*Wind_Night)/(500-AZ$164+AZ$165)^(1/NBPlume_B_Night))),0)</f>
        <v>0</v>
      </c>
      <c r="BA171" s="269"/>
      <c r="BB171" s="2981">
        <f>IF(BB$73&gt;0,LN(IF(BB$164&gt;=500,BB$83*BB$162*500^BB$163,NBPlume_A_Night*BB$73/(BB$82*Wind_Night)/(500-BB$164+BB$165)^(1/NBPlume_B_Night))),0)</f>
        <v>0</v>
      </c>
      <c r="BC171" s="269"/>
      <c r="BD171" s="2981">
        <f>IF(BD$73&gt;0,LN(IF(BD$164&gt;=500,BD$83*BD$162*500^BD$163,NBPlume_A_Night*BD$73/(BD$82*Wind_Night)/(500-BD$164+BD$165)^(1/NBPlume_B_Night))),0)</f>
        <v>0</v>
      </c>
      <c r="BE171" s="269"/>
      <c r="BF171" s="2981">
        <f>IF(BF$73&gt;0,LN(IF(BF$164&gt;=500,BF$83*BF$162*500^BF$163,NBPlume_A_Night*BF$73/(BF$82*Wind_Night)/(500-BF$164+BF$165)^(1/NBPlume_B_Night))),0)</f>
        <v>0</v>
      </c>
      <c r="BG171" s="269"/>
      <c r="BH171" s="2981">
        <f>IF(BH$73&gt;0,LN(IF(BH$164&gt;=500,BH$83*BH$162*500^BH$163,NBPlume_A_Night*BH$73/(BH$82*Wind_Night)/(500-BH$164+BH$165)^(1/NBPlume_B_Night))),0)</f>
        <v>0</v>
      </c>
      <c r="BI171" s="269"/>
      <c r="BJ171" s="2981">
        <f>IF(BJ$73&gt;0,LN(IF(BJ$164&gt;=500,BJ$83*BJ$162*500^BJ$163,NBPlume_A_Night*BJ$73/(BJ$82*Wind_Night)/(500-BJ$164+BJ$165)^(1/NBPlume_B_Night))),0)</f>
        <v>0</v>
      </c>
      <c r="BK171" s="269"/>
      <c r="BL171" s="2981">
        <f>IF(BL$73&gt;0,LN(IF(BL$164&gt;=500,BL$83*BL$162*500^BL$163,NBPlume_A_Night*BL$73/(BL$82*Wind_Night)/(500-BL$164+BL$165)^(1/NBPlume_B_Night))),0)</f>
        <v>0</v>
      </c>
      <c r="BM171" s="269"/>
      <c r="BN171" s="2981">
        <f>IF(BN$73&gt;0,LN(IF(BN$164&gt;=500,BN$83*BN$162*500^BN$163,NBPlume_A_Night*BN$73/(BN$82*Wind_Night)/(500-BN$164+BN$165)^(1/NBPlume_B_Night))),0)</f>
        <v>0</v>
      </c>
      <c r="BO171" s="269"/>
      <c r="BP171" s="1835"/>
      <c r="BQ171" s="83"/>
      <c r="BR171" s="81"/>
      <c r="BS171" s="512" t="s">
        <v>5101</v>
      </c>
      <c r="BT171" s="81"/>
      <c r="BU171" s="2981">
        <f>IF(BU$98&gt;0,LN(IF(BU$167&gt;=50,BU$99*BU$165*50^BU$166,NBPlume_A_Night*IF(BU$89="",BU$83/3600,BU$89)/(BU$98*Wind_Night)/(50-BU$167+BU$168)^(1/NBPlume_B_Night))),0)</f>
        <v>0</v>
      </c>
      <c r="BV171" s="81"/>
      <c r="BW171" s="2981">
        <f>IF(BW$98&gt;0,LN(IF(BW$167&gt;=50,BW$99*BW$165*50^BW$166,NBPlume_A_Night*IF(BW$89="",BW$83/3600,BW$89)/(BW$98*Wind_Night)/(50-BW$167+BW$168)^(1/NBPlume_B_Night))),0)</f>
        <v>0</v>
      </c>
      <c r="BX171" s="81"/>
      <c r="BY171" s="2981">
        <f>IF(BY$98&gt;0,LN(IF(BY$167&gt;=50,BY$99*BY$165*50^BY$166,NBPlume_A_Night*IF(BY$89="",BY$83/3600,BY$89)/(BY$98*Wind_Night)/(50-BY$167+BY$168)^(1/NBPlume_B_Night))),0)</f>
        <v>0</v>
      </c>
      <c r="BZ171" s="81"/>
      <c r="CA171" s="2981">
        <f>IF(CA$98&gt;0,LN(IF(CA$167&gt;=50,CA$99*CA$165*50^CA$166,NBPlume_A_Night*IF(CA$89="",CA$83/3600,CA$89)/(CA$98*Wind_Night)/(50-CA$167+CA$168)^(1/NBPlume_B_Night))),0)</f>
        <v>0</v>
      </c>
      <c r="CB171" s="81"/>
      <c r="CC171" s="2981">
        <f>IF(CC$98&gt;0,LN(IF(CC$167&gt;=50,CC$99*CC$165*50^CC$166,NBPlume_A_Night*IF(CC$89="",CC$83/3600,CC$89)/(CC$98*Wind_Night)/(50-CC$167+CC$168)^(1/NBPlume_B_Night))),0)</f>
        <v>0</v>
      </c>
      <c r="CD171" s="81"/>
      <c r="CE171" s="23"/>
      <c r="CF171" s="81"/>
      <c r="CG171" s="83"/>
      <c r="CH171" s="119" t="s">
        <v>4726</v>
      </c>
      <c r="CI171" s="83"/>
      <c r="CJ171" s="2196" t="str">
        <f>IF('User Scenario'!S39&lt;&gt;"",'User Scenario'!S39*Public_Units_Conversion,"")</f>
        <v/>
      </c>
      <c r="CK171" s="83"/>
      <c r="CL171" s="23" t="s">
        <v>1068</v>
      </c>
      <c r="CM171" s="83"/>
      <c r="CN171" s="7"/>
      <c r="CO171" s="7"/>
      <c r="CP171" s="7"/>
      <c r="CQ171" s="7"/>
      <c r="CR171" s="7"/>
      <c r="CS171" s="7"/>
    </row>
    <row r="172" spans="1:97" s="26" customFormat="1" ht="15" customHeight="1" x14ac:dyDescent="0.25">
      <c r="A172" s="2"/>
      <c r="B172" s="512" t="s">
        <v>5102</v>
      </c>
      <c r="C172" s="83"/>
      <c r="D172" s="2981" t="e">
        <f>IF(D$89&gt;0,LN(IF(D$167&gt;=100,D$99*D$165*100^D$166,NBPlume_A_Night*D$89/(D$98*Wind_Night)/(100-D$167+D$168)^(1/NBPlume_B_Night))),0)</f>
        <v>#DIV/0!</v>
      </c>
      <c r="E172" s="83"/>
      <c r="F172" s="2981" t="e">
        <f>IF(F$89&gt;0,LN(IF(F$167&gt;=100,F$99*F$165*100^F$166,NBPlume_A_Night*F$89/(F$98*Wind_Night)/(100-F$167+F$168)^(1/NBPlume_B_Night))),0)</f>
        <v>#DIV/0!</v>
      </c>
      <c r="G172" s="83"/>
      <c r="H172" s="2981" t="e">
        <f>IF(H$89&gt;0,LN(IF(H$167&gt;=100,H$99*H$165*100^H$166,NBPlume_A_Night*H$89/(H$98*Wind_Night)/(100-H$167+H$168)^(1/NBPlume_B_Night))),0)</f>
        <v>#DIV/0!</v>
      </c>
      <c r="I172" s="83"/>
      <c r="J172" s="2981" t="e">
        <f>IF(J$89&gt;0,LN(IF(J$167&gt;=100,J$99*J$165*100^J$166,NBPlume_A_Night*J$89/(J$98*Wind_Night)/(100-J$167+J$168)^(1/NBPlume_B_Night))),0)</f>
        <v>#DIV/0!</v>
      </c>
      <c r="K172" s="83"/>
      <c r="L172" s="2981" t="e">
        <f>IF(L$89&gt;0,LN(IF(L$167&gt;=100,L$99*L$165*100^L$166,NBPlume_A_Night*L$89/(L$98*Wind_Night)/(100-L$167+L$168)^(1/NBPlume_B_Night))),0)</f>
        <v>#DIV/0!</v>
      </c>
      <c r="M172" s="83"/>
      <c r="N172" s="2981" t="e">
        <f>IF(N$89&gt;0,LN(IF(N$167&gt;=100,N$99*N$165*100^N$166,NBPlume_A_Night*N$89/(N$98*Wind_Night)/(100-N$167+N$168)^(1/NBPlume_B_Night))),0)</f>
        <v>#DIV/0!</v>
      </c>
      <c r="O172" s="83"/>
      <c r="P172" s="2981" t="e">
        <f>IF(P$89&gt;0,LN(IF(P$167&gt;=100,P$99*P$165*100^P$166,NBPlume_A_Night*P$89/(P$98*Wind_Night)/(100-P$167+P$168)^(1/NBPlume_B_Night))),0)</f>
        <v>#DIV/0!</v>
      </c>
      <c r="Q172" s="83"/>
      <c r="R172" s="2981" t="e">
        <f>IF(R$89&gt;0,LN(IF(R$167&gt;=100,R$99*R$165*100^R$166,NBPlume_A_Night*R$89/(R$98*Wind_Night)/(100-R$167+R$168)^(1/NBPlume_B_Night))),0)</f>
        <v>#DIV/0!</v>
      </c>
      <c r="S172" s="83"/>
      <c r="T172" s="2981" t="e">
        <f>IF(T$89&gt;0,LN(IF(T$167&gt;=100,T$99*T$165*100^T$166,NBPlume_A_Night*T$89/(T$98*Wind_Night)/(100-T$167+T$168)^(1/NBPlume_B_Night))),0)</f>
        <v>#DIV/0!</v>
      </c>
      <c r="U172" s="83"/>
      <c r="V172" s="2981" t="e">
        <f>IF(V$89&gt;0,LN(IF(V$167&gt;=100,V$99*V$165*100^V$166,NBPlume_A_Night*V$89/(V$98*Wind_Night)/(100-V$167+V$168)^(1/NBPlume_B_Night))),0)</f>
        <v>#DIV/0!</v>
      </c>
      <c r="W172" s="83"/>
      <c r="X172" s="2981" t="e">
        <f>IF(X$89&gt;0,LN(IF(X$167&gt;=100,X$99*X$165*100^X$166,NBPlume_A_Night*X$89/(X$98*Wind_Night)/(100-X$167+X$168)^(1/NBPlume_B_Night))),0)</f>
        <v>#DIV/0!</v>
      </c>
      <c r="Y172" s="83"/>
      <c r="Z172" s="2987"/>
      <c r="AA172" s="83"/>
      <c r="AB172" s="81"/>
      <c r="AC172" s="512" t="s">
        <v>5115</v>
      </c>
      <c r="AD172" s="81"/>
      <c r="AE172" s="3000">
        <f>LN(IF(AE$171&lt;AE$99,IF(LOG(AE$170)&lt;-0.55,56.2,IF(LOG(AE$170)&lt;-0.14,10^(1.88+0.24*LOG(AE$170)),10^(1.78-0.5*LOG(AE$170))))*(AE102/Wind_Night)^0.5,1))</f>
        <v>0</v>
      </c>
      <c r="AF172" s="81"/>
      <c r="AG172" s="3000">
        <f>LN(IF(AG$171&lt;AG$99,IF(LOG(AG$170)&lt;-0.55,56.2,IF(LOG(AG$170)&lt;-0.14,10^(1.88+0.24*LOG(AG$170)),10^(1.78-0.5*LOG(AG$170))))*(AG102/Wind_Night)^0.5,1))</f>
        <v>0</v>
      </c>
      <c r="AH172" s="81"/>
      <c r="AI172" s="3000">
        <f>LN(IF(AI$171&lt;AI$99,IF(LOG(AI$170)&lt;-0.55,56.2,IF(LOG(AI$170)&lt;-0.14,10^(1.88+0.24*LOG(AI$170)),10^(1.78-0.5*LOG(AI$170))))*(AI102/Wind_Night)^0.5,1))</f>
        <v>0</v>
      </c>
      <c r="AJ172" s="81"/>
      <c r="AK172" s="3000">
        <f>LN(IF(AK$171&lt;AK$99,IF(LOG(AK$170)&lt;-0.55,56.2,IF(LOG(AK$170)&lt;-0.14,10^(1.88+0.24*LOG(AK$170)),10^(1.78-0.5*LOG(AK$170))))*(AK102/Wind_Night)^0.5,1))</f>
        <v>0</v>
      </c>
      <c r="AL172" s="81"/>
      <c r="AM172" s="3000">
        <f>LN(IF(AM$171&lt;AM$99,IF(LOG(AM$170)&lt;-0.55,56.2,IF(LOG(AM$170)&lt;-0.14,10^(1.88+0.24*LOG(AM$170)),10^(1.78-0.5*LOG(AM$170))))*(AM102/Wind_Night)^0.5,1))</f>
        <v>0</v>
      </c>
      <c r="AN172" s="81"/>
      <c r="AO172" s="3000">
        <f>LN(IF(AO$171&lt;AO$99,IF(LOG(AO$170)&lt;-0.55,56.2,IF(LOG(AO$170)&lt;-0.14,10^(1.88+0.24*LOG(AO$170)),10^(1.78-0.5*LOG(AO$170))))*(AO102/Wind_Night)^0.5,1))</f>
        <v>0</v>
      </c>
      <c r="AP172" s="81"/>
      <c r="AQ172" s="85"/>
      <c r="AR172" s="81"/>
      <c r="AS172" s="83"/>
      <c r="AT172" s="512" t="s">
        <v>5105</v>
      </c>
      <c r="AU172" s="83"/>
      <c r="AV172" s="2981">
        <f>IF(AV$73&gt;0,LN(IF(AV$164&gt;=1000,AV$83*AV$162*1000^AV$163,NBPlume_A_Night*AV$73/(AV$82*Wind_Night)/(1000-AV$164+AV$165)^(1/NBPlume_B_Night))),0)</f>
        <v>0</v>
      </c>
      <c r="AW172" s="269"/>
      <c r="AX172" s="2981">
        <f>IF(AX$73&gt;0,LN(IF(AX$164&gt;=1000,AX$83*AX$162*1000^AX$163,NBPlume_A_Night*AX$73/(AX$82*Wind_Night)/(1000-AX$164+AX$165)^(1/NBPlume_B_Night))),0)</f>
        <v>0</v>
      </c>
      <c r="AY172" s="269"/>
      <c r="AZ172" s="2981">
        <f>IF(AZ$73&gt;0,LN(IF(AZ$164&gt;=1000,AZ$83*AZ$162*1000^AZ$163,NBPlume_A_Night*AZ$73/(AZ$82*Wind_Night)/(1000-AZ$164+AZ$165)^(1/NBPlume_B_Night))),0)</f>
        <v>0</v>
      </c>
      <c r="BA172" s="269"/>
      <c r="BB172" s="2981">
        <f>IF(BB$73&gt;0,LN(IF(BB$164&gt;=1000,BB$83*BB$162*1000^BB$163,NBPlume_A_Night*BB$73/(BB$82*Wind_Night)/(1000-BB$164+BB$165)^(1/NBPlume_B_Night))),0)</f>
        <v>0</v>
      </c>
      <c r="BC172" s="269"/>
      <c r="BD172" s="2981">
        <f>IF(BD$73&gt;0,LN(IF(BD$164&gt;=1000,BD$83*BD$162*1000^BD$163,NBPlume_A_Night*BD$73/(BD$82*Wind_Night)/(1000-BD$164+BD$165)^(1/NBPlume_B_Night))),0)</f>
        <v>0</v>
      </c>
      <c r="BE172" s="269"/>
      <c r="BF172" s="2981">
        <f>IF(BF$73&gt;0,LN(IF(BF$164&gt;=1000,BF$83*BF$162*1000^BF$163,NBPlume_A_Night*BF$73/(BF$82*Wind_Night)/(1000-BF$164+BF$165)^(1/NBPlume_B_Night))),0)</f>
        <v>0</v>
      </c>
      <c r="BG172" s="269"/>
      <c r="BH172" s="2981">
        <f>IF(BH$73&gt;0,LN(IF(BH$164&gt;=1000,BH$83*BH$162*1000^BH$163,NBPlume_A_Night*BH$73/(BH$82*Wind_Night)/(1000-BH$164+BH$165)^(1/NBPlume_B_Night))),0)</f>
        <v>0</v>
      </c>
      <c r="BI172" s="269"/>
      <c r="BJ172" s="2981">
        <f>IF(BJ$73&gt;0,LN(IF(BJ$164&gt;=1000,BJ$83*BJ$162*1000^BJ$163,NBPlume_A_Night*BJ$73/(BJ$82*Wind_Night)/(1000-BJ$164+BJ$165)^(1/NBPlume_B_Night))),0)</f>
        <v>0</v>
      </c>
      <c r="BK172" s="269"/>
      <c r="BL172" s="2981">
        <f>IF(BL$73&gt;0,LN(IF(BL$164&gt;=1000,BL$83*BL$162*1000^BL$163,NBPlume_A_Night*BL$73/(BL$82*Wind_Night)/(1000-BL$164+BL$165)^(1/NBPlume_B_Night))),0)</f>
        <v>0</v>
      </c>
      <c r="BM172" s="269"/>
      <c r="BN172" s="2981">
        <f>IF(BN$73&gt;0,LN(IF(BN$164&gt;=1000,BN$83*BN$162*1000^BN$163,NBPlume_A_Night*BN$73/(BN$82*Wind_Night)/(1000-BN$164+BN$165)^(1/NBPlume_B_Night))),0)</f>
        <v>0</v>
      </c>
      <c r="BO172" s="269"/>
      <c r="BP172" s="1835"/>
      <c r="BQ172" s="83"/>
      <c r="BR172" s="81"/>
      <c r="BS172" s="512" t="s">
        <v>5102</v>
      </c>
      <c r="BT172" s="81"/>
      <c r="BU172" s="2981">
        <f>IF(BU$98&gt;0,LN(IF(BU$167&gt;=100,BU$99*BU$165*100^BU$166,NBPlume_A_Night*IF(BU$89="",BU$83/3600,BU$89)/(BU$98*Wind_Night)/(100-BU$167+BU$168)^(1/NBPlume_B_Night))),0)</f>
        <v>0</v>
      </c>
      <c r="BV172" s="81"/>
      <c r="BW172" s="2981">
        <f>IF(BW$98&gt;0,LN(IF(BW$167&gt;=100,BW$99*BW$165*100^BW$166,NBPlume_A_Night*IF(BW$89="",BW$83/3600,BW$89)/(BW$98*Wind_Night)/(100-BW$167+BW$168)^(1/NBPlume_B_Night))),0)</f>
        <v>0</v>
      </c>
      <c r="BX172" s="81"/>
      <c r="BY172" s="2981">
        <f>IF(BY$98&gt;0,LN(IF(BY$167&gt;=100,BY$99*BY$165*100^BY$166,NBPlume_A_Night*IF(BY$89="",BY$83/3600,BY$89)/(BY$98*Wind_Night)/(100-BY$167+BY$168)^(1/NBPlume_B_Night))),0)</f>
        <v>0</v>
      </c>
      <c r="BZ172" s="81"/>
      <c r="CA172" s="2981">
        <f>IF(CA$98&gt;0,LN(IF(CA$167&gt;=100,CA$99*CA$165*100^CA$166,NBPlume_A_Night*IF(CA$89="",CA$83/3600,CA$89)/(CA$98*Wind_Night)/(100-CA$167+CA$168)^(1/NBPlume_B_Night))),0)</f>
        <v>0</v>
      </c>
      <c r="CB172" s="81"/>
      <c r="CC172" s="2981">
        <f>IF(CC$98&gt;0,LN(IF(CC$167&gt;=100,CC$99*CC$165*100^CC$166,NBPlume_A_Night*IF(CC$89="",CC$83/3600,CC$89)/(CC$98*Wind_Night)/(100-CC$167+CC$168)^(1/NBPlume_B_Night))),0)</f>
        <v>0</v>
      </c>
      <c r="CD172" s="81"/>
      <c r="CE172" s="23"/>
      <c r="CF172" s="81"/>
      <c r="CG172" s="2"/>
      <c r="CH172" s="23" t="s">
        <v>695</v>
      </c>
      <c r="CI172" s="83"/>
      <c r="CJ172" s="2108" t="str">
        <f>IF(Flash_Pt_Feed="","",IF(OR(AND(CJ171&gt;10,FiredEq_ProcessArea="within 10 m (33 ft)"),AND(CJ171&gt;20,FiredEq_ProcessArea="within 20 m (65 ft)"),AND(CJ171&gt;30,FiredEq_ProcessArea="within 30 m (100 ft)"),Ease_of_Ignition_Feed="High",T&gt;IF(AIgnite_Feed&lt;&gt;"",AIgnite_Feed,AIDefault)),0,IF(Ease_of_Ignition_Feed="Low",IF(CJ171&lt;FFire_Low_Dist,3,IF(CJ171&gt;FFire_High_Dist,1,2)),IF(Ease_of_Ignition_Feed="Elevated",IF(CJ171&lt;FFire_Low_Dist,1,0),IF(CJ171&lt;FFire_Low_Dist,2,IF(CJ171&lt;FFire_High_Dist,1,0))))))</f>
        <v/>
      </c>
      <c r="CK172" s="83"/>
      <c r="CL172" s="23"/>
      <c r="CM172" s="83"/>
      <c r="CN172" s="7"/>
      <c r="CO172" s="7"/>
      <c r="CP172" s="7"/>
      <c r="CQ172" s="7"/>
      <c r="CR172" s="7"/>
      <c r="CS172" s="7"/>
    </row>
    <row r="173" spans="1:97" s="26" customFormat="1" ht="15" customHeight="1" x14ac:dyDescent="0.25">
      <c r="A173" s="2"/>
      <c r="B173" s="512" t="s">
        <v>5103</v>
      </c>
      <c r="C173" s="83"/>
      <c r="D173" s="2981" t="e">
        <f>IF(D$89&gt;0,LN(IF(D$167&gt;=200,D$99*D$165*200^D$166,NBPlume_A_Night*D$89/(D$98*Wind_Night)/(200-D$167+D$168)^(1/NBPlume_B_Night))),0)</f>
        <v>#DIV/0!</v>
      </c>
      <c r="E173" s="83"/>
      <c r="F173" s="2981" t="e">
        <f>IF(F$89&gt;0,LN(IF(F$167&gt;=200,F$99*F$165*200^F$166,NBPlume_A_Night*F$89/(F$98*Wind_Night)/(200-F$167+F$168)^(1/NBPlume_B_Night))),0)</f>
        <v>#DIV/0!</v>
      </c>
      <c r="G173" s="83"/>
      <c r="H173" s="2981" t="e">
        <f>IF(H$89&gt;0,LN(IF(H$167&gt;=200,H$99*H$165*200^H$166,NBPlume_A_Night*H$89/(H$98*Wind_Night)/(200-H$167+H$168)^(1/NBPlume_B_Night))),0)</f>
        <v>#DIV/0!</v>
      </c>
      <c r="I173" s="83"/>
      <c r="J173" s="2981" t="e">
        <f>IF(J$89&gt;0,LN(IF(J$167&gt;=200,J$99*J$165*200^J$166,NBPlume_A_Night*J$89/(J$98*Wind_Night)/(200-J$167+J$168)^(1/NBPlume_B_Night))),0)</f>
        <v>#DIV/0!</v>
      </c>
      <c r="K173" s="83"/>
      <c r="L173" s="2981" t="e">
        <f>IF(L$89&gt;0,LN(IF(L$167&gt;=200,L$99*L$165*200^L$166,NBPlume_A_Night*L$89/(L$98*Wind_Night)/(200-L$167+L$168)^(1/NBPlume_B_Night))),0)</f>
        <v>#DIV/0!</v>
      </c>
      <c r="M173" s="83"/>
      <c r="N173" s="2981" t="e">
        <f>IF(N$89&gt;0,LN(IF(N$167&gt;=200,N$99*N$165*200^N$166,NBPlume_A_Night*N$89/(N$98*Wind_Night)/(200-N$167+N$168)^(1/NBPlume_B_Night))),0)</f>
        <v>#DIV/0!</v>
      </c>
      <c r="O173" s="83"/>
      <c r="P173" s="2981" t="e">
        <f>IF(P$89&gt;0,LN(IF(P$167&gt;=200,P$99*P$165*200^P$166,NBPlume_A_Night*P$89/(P$98*Wind_Night)/(200-P$167+P$168)^(1/NBPlume_B_Night))),0)</f>
        <v>#DIV/0!</v>
      </c>
      <c r="Q173" s="83"/>
      <c r="R173" s="2981" t="e">
        <f>IF(R$89&gt;0,LN(IF(R$167&gt;=200,R$99*R$165*200^R$166,NBPlume_A_Night*R$89/(R$98*Wind_Night)/(200-R$167+R$168)^(1/NBPlume_B_Night))),0)</f>
        <v>#DIV/0!</v>
      </c>
      <c r="S173" s="83"/>
      <c r="T173" s="2981" t="e">
        <f>IF(T$89&gt;0,LN(IF(T$167&gt;=200,T$99*T$165*200^T$166,NBPlume_A_Night*T$89/(T$98*Wind_Night)/(200-T$167+T$168)^(1/NBPlume_B_Night))),0)</f>
        <v>#DIV/0!</v>
      </c>
      <c r="U173" s="83"/>
      <c r="V173" s="2981" t="e">
        <f>IF(V$89&gt;0,LN(IF(V$167&gt;=200,V$99*V$165*200^V$166,NBPlume_A_Night*V$89/(V$98*Wind_Night)/(200-V$167+V$168)^(1/NBPlume_B_Night))),0)</f>
        <v>#DIV/0!</v>
      </c>
      <c r="W173" s="83"/>
      <c r="X173" s="2981" t="e">
        <f>IF(X$89&gt;0,LN(IF(X$167&gt;=200,X$99*X$165*200^X$166,NBPlume_A_Night*X$89/(X$98*Wind_Night)/(200-X$167+X$168)^(1/NBPlume_B_Night))),0)</f>
        <v>#DIV/0!</v>
      </c>
      <c r="Y173" s="83"/>
      <c r="Z173" s="2987"/>
      <c r="AA173" s="83"/>
      <c r="AB173" s="81"/>
      <c r="AC173" s="512" t="s">
        <v>5116</v>
      </c>
      <c r="AD173" s="81"/>
      <c r="AE173" s="3000">
        <f>LN(IF(AE$171&lt;AE$99,IF(LOG(AE$170)&lt;-0.68,83.2,IF(LOG(AE$170)&lt;-0.29,10^(2.16+0.36*LOG(AE$170)),IF(LOG(AE$170)&lt;-0.18,114.8,10^(1.96-0.56*LOG(AE$170)))))*(AE102/Wind_Night)^0.5,1))</f>
        <v>0</v>
      </c>
      <c r="AF173" s="81"/>
      <c r="AG173" s="3000">
        <f>LN(IF(AG$171&lt;AG$99,IF(LOG(AG$170)&lt;-0.68,83.2,IF(LOG(AG$170)&lt;-0.29,10^(2.16+0.36*LOG(AG$170)),IF(LOG(AG$170)&lt;-0.18,114.8,10^(1.96-0.56*LOG(AG$170)))))*(AG102/Wind_Night)^0.5,1))</f>
        <v>0</v>
      </c>
      <c r="AH173" s="81"/>
      <c r="AI173" s="3000">
        <f>LN(IF(AI$171&lt;AI$99,IF(LOG(AI$170)&lt;-0.68,83.2,IF(LOG(AI$170)&lt;-0.29,10^(2.16+0.36*LOG(AI$170)),IF(LOG(AI$170)&lt;-0.18,114.8,10^(1.96-0.56*LOG(AI$170)))))*(AI102/Wind_Night)^0.5,1))</f>
        <v>0</v>
      </c>
      <c r="AJ173" s="81"/>
      <c r="AK173" s="3000">
        <f>LN(IF(AK$171&lt;AK$99,IF(LOG(AK$170)&lt;-0.68,83.2,IF(LOG(AK$170)&lt;-0.29,10^(2.16+0.36*LOG(AK$170)),IF(LOG(AK$170)&lt;-0.18,114.8,10^(1.96-0.56*LOG(AK$170)))))*(AK102/Wind_Night)^0.5,1))</f>
        <v>0</v>
      </c>
      <c r="AL173" s="81"/>
      <c r="AM173" s="3000">
        <f>LN(IF(AM$171&lt;AM$99,IF(LOG(AM$170)&lt;-0.68,83.2,IF(LOG(AM$170)&lt;-0.29,10^(2.16+0.36*LOG(AM$170)),IF(LOG(AM$170)&lt;-0.18,114.8,10^(1.96-0.56*LOG(AM$170)))))*(AM102/Wind_Night)^0.5,1))</f>
        <v>0</v>
      </c>
      <c r="AN173" s="81"/>
      <c r="AO173" s="3000">
        <f>LN(IF(AO$171&lt;AO$99,IF(LOG(AO$170)&lt;-0.68,83.2,IF(LOG(AO$170)&lt;-0.29,10^(2.16+0.36*LOG(AO$170)),IF(LOG(AO$170)&lt;-0.18,114.8,10^(1.96-0.56*LOG(AO$170)))))*(AO102/Wind_Night)^0.5,1))</f>
        <v>0</v>
      </c>
      <c r="AP173" s="81"/>
      <c r="AQ173" s="85"/>
      <c r="AR173" s="81"/>
      <c r="AS173" s="83"/>
      <c r="AT173" s="512" t="s">
        <v>5106</v>
      </c>
      <c r="AU173" s="83"/>
      <c r="AV173" s="2981">
        <f>IF(AV$73&gt;0,LN(IF(AV$164&gt;=2000,AV$83*AV$162*2000^AV$163,NBPlume_A_Night*AV$73/(AV$82*Wind_Night)/(2000-AV$164+AV$165)^(1/NBPlume_B_Night))),0)</f>
        <v>0</v>
      </c>
      <c r="AW173" s="269"/>
      <c r="AX173" s="2981">
        <f>IF(AX$73&gt;0,LN(IF(AX$164&gt;=2000,AX$83*AX$162*2000^AX$163,NBPlume_A_Night*AX$73/(AX$82*Wind_Night)/(2000-AX$164+AX$165)^(1/NBPlume_B_Night))),0)</f>
        <v>0</v>
      </c>
      <c r="AY173" s="269"/>
      <c r="AZ173" s="2981">
        <f>IF(AZ$73&gt;0,LN(IF(AZ$164&gt;=2000,AZ$83*AZ$162*2000^AZ$163,NBPlume_A_Night*AZ$73/(AZ$82*Wind_Night)/(2000-AZ$164+AZ$165)^(1/NBPlume_B_Night))),0)</f>
        <v>0</v>
      </c>
      <c r="BA173" s="269"/>
      <c r="BB173" s="2981">
        <f>IF(BB$73&gt;0,LN(IF(BB$164&gt;=2000,BB$83*BB$162*2000^BB$163,NBPlume_A_Night*BB$73/(BB$82*Wind_Night)/(2000-BB$164+BB$165)^(1/NBPlume_B_Night))),0)</f>
        <v>0</v>
      </c>
      <c r="BC173" s="269"/>
      <c r="BD173" s="2981">
        <f>IF(BD$73&gt;0,LN(IF(BD$164&gt;=2000,BD$83*BD$162*2000^BD$163,NBPlume_A_Night*BD$73/(BD$82*Wind_Night)/(2000-BD$164+BD$165)^(1/NBPlume_B_Night))),0)</f>
        <v>0</v>
      </c>
      <c r="BE173" s="269"/>
      <c r="BF173" s="2981">
        <f>IF(BF$73&gt;0,LN(IF(BF$164&gt;=2000,BF$83*BF$162*2000^BF$163,NBPlume_A_Night*BF$73/(BF$82*Wind_Night)/(2000-BF$164+BF$165)^(1/NBPlume_B_Night))),0)</f>
        <v>0</v>
      </c>
      <c r="BG173" s="269"/>
      <c r="BH173" s="2981">
        <f>IF(BH$73&gt;0,LN(IF(BH$164&gt;=2000,BH$83*BH$162*2000^BH$163,NBPlume_A_Night*BH$73/(BH$82*Wind_Night)/(2000-BH$164+BH$165)^(1/NBPlume_B_Night))),0)</f>
        <v>0</v>
      </c>
      <c r="BI173" s="269"/>
      <c r="BJ173" s="2981">
        <f>IF(BJ$73&gt;0,LN(IF(BJ$164&gt;=2000,BJ$83*BJ$162*2000^BJ$163,NBPlume_A_Night*BJ$73/(BJ$82*Wind_Night)/(2000-BJ$164+BJ$165)^(1/NBPlume_B_Night))),0)</f>
        <v>0</v>
      </c>
      <c r="BK173" s="269"/>
      <c r="BL173" s="2981">
        <f>IF(BL$73&gt;0,LN(IF(BL$164&gt;=2000,BL$83*BL$162*2000^BL$163,NBPlume_A_Night*BL$73/(BL$82*Wind_Night)/(2000-BL$164+BL$165)^(1/NBPlume_B_Night))),0)</f>
        <v>0</v>
      </c>
      <c r="BM173" s="269"/>
      <c r="BN173" s="2981">
        <f>IF(BN$73&gt;0,LN(IF(BN$164&gt;=2000,BN$83*BN$162*2000^BN$163,NBPlume_A_Night*BN$73/(BN$82*Wind_Night)/(2000-BN$164+BN$165)^(1/NBPlume_B_Night))),0)</f>
        <v>0</v>
      </c>
      <c r="BO173" s="269"/>
      <c r="BP173" s="1835"/>
      <c r="BQ173" s="83"/>
      <c r="BR173" s="81"/>
      <c r="BS173" s="512" t="s">
        <v>5103</v>
      </c>
      <c r="BT173" s="81"/>
      <c r="BU173" s="2981">
        <f>IF(BU$98&gt;0,LN(IF(BU$167&gt;=200,BU$99*BU$165*200^BU$166,NBPlume_A_Night*IF(BU$89="",BU$83/3600,BU$89)/(BU$98*Wind_Night)/(200-BU$167+BU$168)^(1/NBPlume_B_Night))),0)</f>
        <v>0</v>
      </c>
      <c r="BV173" s="81"/>
      <c r="BW173" s="2981">
        <f>IF(BW$98&gt;0,LN(IF(BW$167&gt;=200,BW$99*BW$165*200^BW$166,NBPlume_A_Night*IF(BW$89="",BW$83/3600,BW$89)/(BW$98*Wind_Night)/(200-BW$167+BW$168)^(1/NBPlume_B_Night))),0)</f>
        <v>0</v>
      </c>
      <c r="BX173" s="81"/>
      <c r="BY173" s="2981">
        <f>IF(BY$98&gt;0,LN(IF(BY$167&gt;=200,BY$99*BY$165*200^BY$166,NBPlume_A_Night*IF(BY$89="",BY$83/3600,BY$89)/(BY$98*Wind_Night)/(200-BY$167+BY$168)^(1/NBPlume_B_Night))),0)</f>
        <v>0</v>
      </c>
      <c r="BZ173" s="81"/>
      <c r="CA173" s="2981">
        <f>IF(CA$98&gt;0,LN(IF(CA$167&gt;=200,CA$99*CA$165*200^CA$166,NBPlume_A_Night*IF(CA$89="",CA$83/3600,CA$89)/(CA$98*Wind_Night)/(200-CA$167+CA$168)^(1/NBPlume_B_Night))),0)</f>
        <v>0</v>
      </c>
      <c r="CB173" s="81"/>
      <c r="CC173" s="2981">
        <f>IF(CC$98&gt;0,LN(IF(CC$167&gt;=200,CC$99*CC$165*200^CC$166,NBPlume_A_Night*IF(CC$89="",CC$83/3600,CC$89)/(CC$98*Wind_Night)/(200-CC$167+CC$168)^(1/NBPlume_B_Night))),0)</f>
        <v>0</v>
      </c>
      <c r="CD173" s="81"/>
      <c r="CE173" s="23"/>
      <c r="CF173" s="81"/>
      <c r="CG173" s="2"/>
      <c r="CH173" s="23" t="s">
        <v>694</v>
      </c>
      <c r="CI173" s="83"/>
      <c r="CJ173" s="2108" t="str">
        <f>IF(Flash_Pt_Feed="","",IF(OR(Ease_of_Ignition_Feed="High",T&gt;IF(AIgnite_Feed&lt;&gt;"",AIgnite_Feed,T)),3,IF(Ease_of_Ignition_Feed="Low",IF(CJ171&lt;VCE_Low_Dist,3,IF(CJ171&gt;VCE_High_Dist,1,2)),IF(CJ171&lt;VCE_Low_Dist,2,IF(CJ171&lt;VCE_High_Dist,1,0)))))</f>
        <v/>
      </c>
      <c r="CK173" s="83"/>
      <c r="CL173" s="23"/>
      <c r="CM173" s="83"/>
      <c r="CN173" s="7"/>
      <c r="CO173" s="7"/>
      <c r="CP173" s="7"/>
      <c r="CQ173" s="7"/>
      <c r="CR173" s="7"/>
      <c r="CS173" s="7"/>
    </row>
    <row r="174" spans="1:97" s="26" customFormat="1" ht="15" customHeight="1" x14ac:dyDescent="0.25">
      <c r="A174" s="2"/>
      <c r="B174" s="512" t="s">
        <v>5104</v>
      </c>
      <c r="C174" s="83"/>
      <c r="D174" s="2981" t="e">
        <f>IF(D$89&gt;0,LN(IF(D$167&gt;=500,D$99*D$165*500^D$166,NBPlume_A_Night*D$89/(D$98*Wind_Night)/(500-D$167+D$168)^(1/NBPlume_B_Night))),0)</f>
        <v>#DIV/0!</v>
      </c>
      <c r="E174" s="83"/>
      <c r="F174" s="2981" t="e">
        <f>IF(F$89&gt;0,LN(IF(F$167&gt;=500,F$99*F$165*500^F$166,NBPlume_A_Night*F$89/(F$98*Wind_Night)/(500-F$167+F$168)^(1/NBPlume_B_Night))),0)</f>
        <v>#DIV/0!</v>
      </c>
      <c r="G174" s="83"/>
      <c r="H174" s="2981" t="e">
        <f>IF(H$89&gt;0,LN(IF(H$167&gt;=500,H$99*H$165*500^H$166,NBPlume_A_Night*H$89/(H$98*Wind_Night)/(500-H$167+H$168)^(1/NBPlume_B_Night))),0)</f>
        <v>#DIV/0!</v>
      </c>
      <c r="I174" s="83"/>
      <c r="J174" s="2981" t="e">
        <f>IF(J$89&gt;0,LN(IF(J$167&gt;=500,J$99*J$165*500^J$166,NBPlume_A_Night*J$89/(J$98*Wind_Night)/(500-J$167+J$168)^(1/NBPlume_B_Night))),0)</f>
        <v>#DIV/0!</v>
      </c>
      <c r="K174" s="83"/>
      <c r="L174" s="2981" t="e">
        <f>IF(L$89&gt;0,LN(IF(L$167&gt;=500,L$99*L$165*500^L$166,NBPlume_A_Night*L$89/(L$98*Wind_Night)/(500-L$167+L$168)^(1/NBPlume_B_Night))),0)</f>
        <v>#DIV/0!</v>
      </c>
      <c r="M174" s="83"/>
      <c r="N174" s="2981" t="e">
        <f>IF(N$89&gt;0,LN(IF(N$167&gt;=500,N$99*N$165*500^N$166,NBPlume_A_Night*N$89/(N$98*Wind_Night)/(500-N$167+N$168)^(1/NBPlume_B_Night))),0)</f>
        <v>#DIV/0!</v>
      </c>
      <c r="O174" s="83"/>
      <c r="P174" s="2981" t="e">
        <f>IF(P$89&gt;0,LN(IF(P$167&gt;=500,P$99*P$165*500^P$166,NBPlume_A_Night*P$89/(P$98*Wind_Night)/(500-P$167+P$168)^(1/NBPlume_B_Night))),0)</f>
        <v>#DIV/0!</v>
      </c>
      <c r="Q174" s="83"/>
      <c r="R174" s="2981" t="e">
        <f>IF(R$89&gt;0,LN(IF(R$167&gt;=500,R$99*R$165*500^R$166,NBPlume_A_Night*R$89/(R$98*Wind_Night)/(500-R$167+R$168)^(1/NBPlume_B_Night))),0)</f>
        <v>#DIV/0!</v>
      </c>
      <c r="S174" s="83"/>
      <c r="T174" s="2981" t="e">
        <f>IF(T$89&gt;0,LN(IF(T$167&gt;=500,T$99*T$165*500^T$166,NBPlume_A_Night*T$89/(T$98*Wind_Night)/(500-T$167+T$168)^(1/NBPlume_B_Night))),0)</f>
        <v>#DIV/0!</v>
      </c>
      <c r="U174" s="83"/>
      <c r="V174" s="2981" t="e">
        <f>IF(V$89&gt;0,LN(IF(V$167&gt;=500,V$99*V$165*500^V$166,NBPlume_A_Night*V$89/(V$98*Wind_Night)/(500-V$167+V$168)^(1/NBPlume_B_Night))),0)</f>
        <v>#DIV/0!</v>
      </c>
      <c r="W174" s="83"/>
      <c r="X174" s="2981" t="e">
        <f>IF(X$89&gt;0,LN(IF(X$167&gt;=500,X$99*X$165*500^X$166,NBPlume_A_Night*X$89/(X$98*Wind_Night)/(500-X$167+X$168)^(1/NBPlume_B_Night))),0)</f>
        <v>#DIV/0!</v>
      </c>
      <c r="Y174" s="83"/>
      <c r="Z174" s="2987"/>
      <c r="AA174" s="83"/>
      <c r="AB174" s="81"/>
      <c r="AC174" s="512" t="s">
        <v>5117</v>
      </c>
      <c r="AD174" s="81"/>
      <c r="AE174" s="3000">
        <f>LN(IF(AE$171&lt;AE$99,IF(LOG(AE$170)&lt;-0.69,120.2,IF(LOG(AE$170)&lt;-0.31,10^(2.39+0.45*LOG(AE$170)),IF(LOG(AE$170)&lt;-0.16,177.8,10^(2.16-0.54*LOG(AE$170)))))*(AE102/Wind_Night)^0.5,1))</f>
        <v>0</v>
      </c>
      <c r="AF174" s="81"/>
      <c r="AG174" s="3000">
        <f>LN(IF(AG$171&lt;AG$99,IF(LOG(AG$170)&lt;-0.69,120.2,IF(LOG(AG$170)&lt;-0.31,10^(2.39+0.45*LOG(AG$170)),IF(LOG(AG$170)&lt;-0.16,177.8,10^(2.16-0.54*LOG(AG$170)))))*(AG102/Wind_Night)^0.5,1))</f>
        <v>0</v>
      </c>
      <c r="AH174" s="81"/>
      <c r="AI174" s="3000">
        <f>LN(IF(AI$171&lt;AI$99,IF(LOG(AI$170)&lt;-0.69,120.2,IF(LOG(AI$170)&lt;-0.31,10^(2.39+0.45*LOG(AI$170)),IF(LOG(AI$170)&lt;-0.16,177.8,10^(2.16-0.54*LOG(AI$170)))))*(AI102/Wind_Night)^0.5,1))</f>
        <v>0</v>
      </c>
      <c r="AJ174" s="81"/>
      <c r="AK174" s="3000">
        <f>LN(IF(AK$171&lt;AK$99,IF(LOG(AK$170)&lt;-0.69,120.2,IF(LOG(AK$170)&lt;-0.31,10^(2.39+0.45*LOG(AK$170)),IF(LOG(AK$170)&lt;-0.16,177.8,10^(2.16-0.54*LOG(AK$170)))))*(AK102/Wind_Night)^0.5,1))</f>
        <v>0</v>
      </c>
      <c r="AL174" s="81"/>
      <c r="AM174" s="3000">
        <f>LN(IF(AM$171&lt;AM$99,IF(LOG(AM$170)&lt;-0.69,120.2,IF(LOG(AM$170)&lt;-0.31,10^(2.39+0.45*LOG(AM$170)),IF(LOG(AM$170)&lt;-0.16,177.8,10^(2.16-0.54*LOG(AM$170)))))*(AM102/Wind_Night)^0.5,1))</f>
        <v>0</v>
      </c>
      <c r="AN174" s="81"/>
      <c r="AO174" s="3000">
        <f>LN(IF(AO$171&lt;AO$99,IF(LOG(AO$170)&lt;-0.69,120.2,IF(LOG(AO$170)&lt;-0.31,10^(2.39+0.45*LOG(AO$170)),IF(LOG(AO$170)&lt;-0.16,177.8,10^(2.16-0.54*LOG(AO$170)))))*(AO102/Wind_Night)^0.5,1))</f>
        <v>0</v>
      </c>
      <c r="AP174" s="81"/>
      <c r="AQ174" s="85"/>
      <c r="AR174" s="81"/>
      <c r="AS174" s="83"/>
      <c r="AT174" s="512" t="s">
        <v>5107</v>
      </c>
      <c r="AU174" s="83"/>
      <c r="AV174" s="2981">
        <f>IF(AV$73&gt;0,LN(IF(AV$164&gt;=5000,AV$83*AV$162*5000^AV$163,NBPlume_A_Night*AV$73/(AV$82*Wind_Night)/(5000-AV$164+AV$165)^(1/NBPlume_B_Night))),0)</f>
        <v>0</v>
      </c>
      <c r="AW174" s="269"/>
      <c r="AX174" s="2981">
        <f>IF(AX$73&gt;0,LN(IF(AX$164&gt;=5000,AX$83*AX$162*5000^AX$163,NBPlume_A_Night*AX$73/(AX$82*Wind_Night)/(5000-AX$164+AX$165)^(1/NBPlume_B_Night))),0)</f>
        <v>0</v>
      </c>
      <c r="AY174" s="269"/>
      <c r="AZ174" s="2981">
        <f>IF(AZ$73&gt;0,LN(IF(AZ$164&gt;=5000,AZ$83*AZ$162*5000^AZ$163,NBPlume_A_Night*AZ$73/(AZ$82*Wind_Night)/(5000-AZ$164+AZ$165)^(1/NBPlume_B_Night))),0)</f>
        <v>0</v>
      </c>
      <c r="BA174" s="269"/>
      <c r="BB174" s="2981">
        <f>IF(BB$73&gt;0,LN(IF(BB$164&gt;=5000,BB$83*BB$162*5000^BB$163,NBPlume_A_Night*BB$73/(BB$82*Wind_Night)/(5000-BB$164+BB$165)^(1/NBPlume_B_Night))),0)</f>
        <v>0</v>
      </c>
      <c r="BC174" s="269"/>
      <c r="BD174" s="2981">
        <f>IF(BD$73&gt;0,LN(IF(BD$164&gt;=5000,BD$83*BD$162*5000^BD$163,NBPlume_A_Night*BD$73/(BD$82*Wind_Night)/(5000-BD$164+BD$165)^(1/NBPlume_B_Night))),0)</f>
        <v>0</v>
      </c>
      <c r="BE174" s="269"/>
      <c r="BF174" s="2981">
        <f>IF(BF$73&gt;0,LN(IF(BF$164&gt;=5000,BF$83*BF$162*5000^BF$163,NBPlume_A_Night*BF$73/(BF$82*Wind_Night)/(5000-BF$164+BF$165)^(1/NBPlume_B_Night))),0)</f>
        <v>0</v>
      </c>
      <c r="BG174" s="269"/>
      <c r="BH174" s="2981">
        <f>IF(BH$73&gt;0,LN(IF(BH$164&gt;=5000,BH$83*BH$162*5000^BH$163,NBPlume_A_Night*BH$73/(BH$82*Wind_Night)/(5000-BH$164+BH$165)^(1/NBPlume_B_Night))),0)</f>
        <v>0</v>
      </c>
      <c r="BI174" s="269"/>
      <c r="BJ174" s="2981">
        <f>IF(BJ$73&gt;0,LN(IF(BJ$164&gt;=5000,BJ$83*BJ$162*5000^BJ$163,NBPlume_A_Night*BJ$73/(BJ$82*Wind_Night)/(5000-BJ$164+BJ$165)^(1/NBPlume_B_Night))),0)</f>
        <v>0</v>
      </c>
      <c r="BK174" s="269"/>
      <c r="BL174" s="2981">
        <f>IF(BL$73&gt;0,LN(IF(BL$164&gt;=5000,BL$83*BL$162*5000^BL$163,NBPlume_A_Night*BL$73/(BL$82*Wind_Night)/(5000-BL$164+BL$165)^(1/NBPlume_B_Night))),0)</f>
        <v>0</v>
      </c>
      <c r="BM174" s="269"/>
      <c r="BN174" s="2981">
        <f>IF(BN$73&gt;0,LN(IF(BN$164&gt;=5000,BN$83*BN$162*5000^BN$163,NBPlume_A_Night*BN$73/(BN$82*Wind_Night)/(5000-BN$164+BN$165)^(1/NBPlume_B_Night))),0)</f>
        <v>0</v>
      </c>
      <c r="BO174" s="269"/>
      <c r="BP174" s="1835"/>
      <c r="BQ174" s="83"/>
      <c r="BR174" s="81"/>
      <c r="BS174" s="512" t="s">
        <v>5104</v>
      </c>
      <c r="BT174" s="81"/>
      <c r="BU174" s="2981">
        <f>IF(BU$98&gt;0,LN(IF(BU$167&gt;=500,BU$99*BU$165*500^BU$166,NBPlume_A_Night*IF(BU$89="",BU$83/3600,BU$89)/(BU$98*Wind_Night)/(500-BU$167+BU$168)^(1/NBPlume_B_Night))),0)</f>
        <v>0</v>
      </c>
      <c r="BV174" s="81"/>
      <c r="BW174" s="2981">
        <f>IF(BW$98&gt;0,LN(IF(BW$167&gt;=500,BW$99*BW$165*500^BW$166,NBPlume_A_Night*IF(BW$89="",BW$83/3600,BW$89)/(BW$98*Wind_Night)/(500-BW$167+BW$168)^(1/NBPlume_B_Night))),0)</f>
        <v>0</v>
      </c>
      <c r="BX174" s="81"/>
      <c r="BY174" s="2981">
        <f>IF(BY$98&gt;0,LN(IF(BY$167&gt;=500,BY$99*BY$165*500^BY$166,NBPlume_A_Night*IF(BY$89="",BY$83/3600,BY$89)/(BY$98*Wind_Night)/(500-BY$167+BY$168)^(1/NBPlume_B_Night))),0)</f>
        <v>0</v>
      </c>
      <c r="BZ174" s="81"/>
      <c r="CA174" s="2981">
        <f>IF(CA$98&gt;0,LN(IF(CA$167&gt;=500,CA$99*CA$165*500^CA$166,NBPlume_A_Night*IF(CA$89="",CA$83/3600,CA$89)/(CA$98*Wind_Night)/(500-CA$167+CA$168)^(1/NBPlume_B_Night))),0)</f>
        <v>0</v>
      </c>
      <c r="CB174" s="81"/>
      <c r="CC174" s="2981">
        <f>IF(CC$98&gt;0,LN(IF(CC$167&gt;=500,CC$99*CC$165*500^CC$166,NBPlume_A_Night*IF(CC$89="",CC$83/3600,CC$89)/(CC$98*Wind_Night)/(500-CC$167+CC$168)^(1/NBPlume_B_Night))),0)</f>
        <v>0</v>
      </c>
      <c r="CD174" s="81"/>
      <c r="CE174" s="23"/>
      <c r="CF174" s="81"/>
      <c r="CG174" s="2"/>
      <c r="CH174" s="85" t="s">
        <v>471</v>
      </c>
      <c r="CI174" s="83"/>
      <c r="CJ174" s="1047">
        <f>IF('User Scenario'!S47&lt;&gt;"",'User Scenario'!S47*Public_Units_Conversion,0)</f>
        <v>0</v>
      </c>
      <c r="CK174" s="83"/>
      <c r="CL174" s="23" t="s">
        <v>1068</v>
      </c>
      <c r="CM174" s="83"/>
      <c r="CN174" s="7"/>
      <c r="CO174" s="7"/>
      <c r="CP174" s="7"/>
      <c r="CQ174" s="7"/>
      <c r="CR174" s="7"/>
      <c r="CS174" s="7"/>
    </row>
    <row r="175" spans="1:97" s="26" customFormat="1" ht="15" customHeight="1" thickBot="1" x14ac:dyDescent="0.3">
      <c r="A175" s="2"/>
      <c r="B175" s="512" t="s">
        <v>5105</v>
      </c>
      <c r="C175" s="83"/>
      <c r="D175" s="2981" t="e">
        <f>IF(D$89&gt;0,LN(IF(D$167&gt;=1000,D$99*D$165*1000^D$166,NBPlume_A_Night*D$89/(D$98*Wind_Night)/(1000-D$167+D$168)^(1/NBPlume_B_Night))),0)</f>
        <v>#DIV/0!</v>
      </c>
      <c r="E175" s="83"/>
      <c r="F175" s="2981" t="e">
        <f>IF(F$89&gt;0,LN(IF(F$167&gt;=1000,F$99*F$165*1000^F$166,NBPlume_A_Night*F$89/(F$98*Wind_Night)/(1000-F$167+F$168)^(1/NBPlume_B_Night))),0)</f>
        <v>#DIV/0!</v>
      </c>
      <c r="G175" s="83"/>
      <c r="H175" s="2981" t="e">
        <f>IF(H$89&gt;0,LN(IF(H$167&gt;=1000,H$99*H$165*1000^H$166,NBPlume_A_Night*H$89/(H$98*Wind_Night)/(1000-H$167+H$168)^(1/NBPlume_B_Night))),0)</f>
        <v>#DIV/0!</v>
      </c>
      <c r="I175" s="83"/>
      <c r="J175" s="2981" t="e">
        <f>IF(J$89&gt;0,LN(IF(J$167&gt;=1000,J$99*J$165*1000^J$166,NBPlume_A_Night*J$89/(J$98*Wind_Night)/(1000-J$167+J$168)^(1/NBPlume_B_Night))),0)</f>
        <v>#DIV/0!</v>
      </c>
      <c r="K175" s="83"/>
      <c r="L175" s="2981" t="e">
        <f>IF(L$89&gt;0,LN(IF(L$167&gt;=1000,L$99*L$165*1000^L$166,NBPlume_A_Night*L$89/(L$98*Wind_Night)/(1000-L$167+L$168)^(1/NBPlume_B_Night))),0)</f>
        <v>#DIV/0!</v>
      </c>
      <c r="M175" s="83"/>
      <c r="N175" s="2981" t="e">
        <f>IF(N$89&gt;0,LN(IF(N$167&gt;=1000,N$99*N$165*1000^N$166,NBPlume_A_Night*N$89/(N$98*Wind_Night)/(1000-N$167+N$168)^(1/NBPlume_B_Night))),0)</f>
        <v>#DIV/0!</v>
      </c>
      <c r="O175" s="83"/>
      <c r="P175" s="2981" t="e">
        <f>IF(P$89&gt;0,LN(IF(P$167&gt;=1000,P$99*P$165*1000^P$166,NBPlume_A_Night*P$89/(P$98*Wind_Night)/(1000-P$167+P$168)^(1/NBPlume_B_Night))),0)</f>
        <v>#DIV/0!</v>
      </c>
      <c r="Q175" s="83"/>
      <c r="R175" s="2981" t="e">
        <f>IF(R$89&gt;0,LN(IF(R$167&gt;=1000,R$99*R$165*1000^R$166,NBPlume_A_Night*R$89/(R$98*Wind_Night)/(1000-R$167+R$168)^(1/NBPlume_B_Night))),0)</f>
        <v>#DIV/0!</v>
      </c>
      <c r="S175" s="83"/>
      <c r="T175" s="2981" t="e">
        <f>IF(T$89&gt;0,LN(IF(T$167&gt;=1000,T$99*T$165*1000^T$166,NBPlume_A_Night*T$89/(T$98*Wind_Night)/(1000-T$167+T$168)^(1/NBPlume_B_Night))),0)</f>
        <v>#DIV/0!</v>
      </c>
      <c r="U175" s="83"/>
      <c r="V175" s="2981" t="e">
        <f>IF(V$89&gt;0,LN(IF(V$167&gt;=1000,V$99*V$165*1000^V$166,NBPlume_A_Night*V$89/(V$98*Wind_Night)/(1000-V$167+V$168)^(1/NBPlume_B_Night))),0)</f>
        <v>#DIV/0!</v>
      </c>
      <c r="W175" s="83"/>
      <c r="X175" s="2981" t="e">
        <f>IF(X$89&gt;0,LN(IF(X$167&gt;=1000,X$99*X$165*1000^X$166,NBPlume_A_Night*X$89/(X$98*Wind_Night)/(1000-X$167+X$168)^(1/NBPlume_B_Night))),0)</f>
        <v>#DIV/0!</v>
      </c>
      <c r="Y175" s="83"/>
      <c r="Z175" s="2987"/>
      <c r="AA175" s="83"/>
      <c r="AB175" s="81"/>
      <c r="AC175" s="512" t="s">
        <v>5118</v>
      </c>
      <c r="AD175" s="81"/>
      <c r="AE175" s="3000">
        <f>LN(IF(AE$171&lt;AE$99,IF(LOG(AE$170)&lt;-0.7,177.8,IF(LOG(AE$170)&lt;-0.29,10^(2.59+0.49*LOG(AE$170)),IF(LOG(AE$170)&lt;-0.2,281.8,10^(2.35-0.52*LOG(AE$170)))))*(AE102/Wind_Night)^0.5,1))</f>
        <v>0</v>
      </c>
      <c r="AF175" s="81"/>
      <c r="AG175" s="3000">
        <f>LN(IF(AG$171&lt;AG$99,IF(LOG(AG$170)&lt;-0.7,177.8,IF(LOG(AG$170)&lt;-0.29,10^(2.59+0.49*LOG(AG$170)),IF(LOG(AG$170)&lt;-0.2,281.8,10^(2.35-0.52*LOG(AG$170)))))*(AG102/Wind_Night)^0.5,1))</f>
        <v>0</v>
      </c>
      <c r="AH175" s="81"/>
      <c r="AI175" s="3000">
        <f>LN(IF(AI$171&lt;AI$99,IF(LOG(AI$170)&lt;-0.7,177.8,IF(LOG(AI$170)&lt;-0.29,10^(2.59+0.49*LOG(AI$170)),IF(LOG(AI$170)&lt;-0.2,281.8,10^(2.35-0.52*LOG(AI$170)))))*(AI102/Wind_Night)^0.5,1))</f>
        <v>0</v>
      </c>
      <c r="AJ175" s="81"/>
      <c r="AK175" s="3000">
        <f>LN(IF(AK$171&lt;AK$99,IF(LOG(AK$170)&lt;-0.7,177.8,IF(LOG(AK$170)&lt;-0.29,10^(2.59+0.49*LOG(AK$170)),IF(LOG(AK$170)&lt;-0.2,281.8,10^(2.35-0.52*LOG(AK$170)))))*(AK102/Wind_Night)^0.5,1))</f>
        <v>0</v>
      </c>
      <c r="AL175" s="81"/>
      <c r="AM175" s="3000">
        <f>LN(IF(AM$171&lt;AM$99,IF(LOG(AM$170)&lt;-0.7,177.8,IF(LOG(AM$170)&lt;-0.29,10^(2.59+0.49*LOG(AM$170)),IF(LOG(AM$170)&lt;-0.2,281.8,10^(2.35-0.52*LOG(AM$170)))))*(AM102/Wind_Night)^0.5,1))</f>
        <v>0</v>
      </c>
      <c r="AN175" s="81"/>
      <c r="AO175" s="3000">
        <f>LN(IF(AO$171&lt;AO$99,IF(LOG(AO$170)&lt;-0.7,177.8,IF(LOG(AO$170)&lt;-0.29,10^(2.59+0.49*LOG(AO$170)),IF(LOG(AO$170)&lt;-0.2,281.8,10^(2.35-0.52*LOG(AO$170)))))*(AO102/Wind_Night)^0.5,1))</f>
        <v>0</v>
      </c>
      <c r="AP175" s="81"/>
      <c r="AQ175" s="85"/>
      <c r="AR175" s="81"/>
      <c r="AS175" s="83"/>
      <c r="AT175" s="512" t="s">
        <v>5108</v>
      </c>
      <c r="AU175" s="83"/>
      <c r="AV175" s="3001">
        <f>IF(AV$73&gt;0,LN(IF(AV$164&gt;=10000,AV$83*AV$162*10000^AV$163,NBPlume_A_Night*AV$73/(AV$82*Wind_Night)/(10000-AV$164+AV$165)^(1/NBPlume_B_Night))),0)</f>
        <v>0</v>
      </c>
      <c r="AW175" s="269"/>
      <c r="AX175" s="3001">
        <f>IF(AX$73&gt;0,LN(IF(AX$164&gt;=10000,AX$83*AX$162*10000^AX$163,NBPlume_A_Night*AX$73/(AX$82*Wind_Night)/(10000-AX$164+AX$165)^(1/NBPlume_B_Night))),0)</f>
        <v>0</v>
      </c>
      <c r="AY175" s="269"/>
      <c r="AZ175" s="3001">
        <f>IF(AZ$73&gt;0,LN(IF(AZ$164&gt;=10000,AZ$83*AZ$162*10000^AZ$163,NBPlume_A_Night*AZ$73/(AZ$82*Wind_Night)/(10000-AZ$164+AZ$165)^(1/NBPlume_B_Night))),0)</f>
        <v>0</v>
      </c>
      <c r="BA175" s="269"/>
      <c r="BB175" s="3001">
        <f>IF(BB$73&gt;0,LN(IF(BB$164&gt;=10000,BB$83*BB$162*10000^BB$163,NBPlume_A_Night*BB$73/(BB$82*Wind_Night)/(10000-BB$164+BB$165)^(1/NBPlume_B_Night))),0)</f>
        <v>0</v>
      </c>
      <c r="BC175" s="269"/>
      <c r="BD175" s="3001">
        <f>IF(BD$73&gt;0,LN(IF(BD$164&gt;=10000,BD$83*BD$162*10000^BD$163,NBPlume_A_Night*BD$73/(BD$82*Wind_Night)/(10000-BD$164+BD$165)^(1/NBPlume_B_Night))),0)</f>
        <v>0</v>
      </c>
      <c r="BE175" s="269"/>
      <c r="BF175" s="3001">
        <f>IF(BF$73&gt;0,LN(IF(BF$164&gt;=10000,BF$83*BF$162*10000^BF$163,NBPlume_A_Night*BF$73/(BF$82*Wind_Night)/(10000-BF$164+BF$165)^(1/NBPlume_B_Night))),0)</f>
        <v>0</v>
      </c>
      <c r="BG175" s="269"/>
      <c r="BH175" s="3001">
        <f>IF(BH$73&gt;0,LN(IF(BH$164&gt;=10000,BH$83*BH$162*10000^BH$163,NBPlume_A_Night*BH$73/(BH$82*Wind_Night)/(10000-BH$164+BH$165)^(1/NBPlume_B_Night))),0)</f>
        <v>0</v>
      </c>
      <c r="BI175" s="269"/>
      <c r="BJ175" s="3001">
        <f>IF(BJ$73&gt;0,LN(IF(BJ$164&gt;=10000,BJ$83*BJ$162*10000^BJ$163,NBPlume_A_Night*BJ$73/(BJ$82*Wind_Night)/(10000-BJ$164+BJ$165)^(1/NBPlume_B_Night))),0)</f>
        <v>0</v>
      </c>
      <c r="BK175" s="269"/>
      <c r="BL175" s="3001">
        <f>IF(BL$73&gt;0,LN(IF(BL$164&gt;=10000,BL$83*BL$162*10000^BL$163,NBPlume_A_Night*BL$73/(BL$82*Wind_Night)/(10000-BL$164+BL$165)^(1/NBPlume_B_Night))),0)</f>
        <v>0</v>
      </c>
      <c r="BM175" s="269"/>
      <c r="BN175" s="3001">
        <f>IF(BN$73&gt;0,LN(IF(BN$164&gt;=10000,BN$83*BN$162*10000^BN$163,NBPlume_A_Night*BN$73/(BN$82*Wind_Night)/(10000-BN$164+BN$165)^(1/NBPlume_B_Night))),0)</f>
        <v>0</v>
      </c>
      <c r="BO175" s="269"/>
      <c r="BP175" s="1835"/>
      <c r="BQ175" s="83"/>
      <c r="BR175" s="81"/>
      <c r="BS175" s="512" t="s">
        <v>5105</v>
      </c>
      <c r="BT175" s="81"/>
      <c r="BU175" s="2981">
        <f>IF(BU$98&gt;0,LN(IF(BU$167&gt;=1000,BU$99*BU$165*1000^BU$166,NBPlume_A_Night*IF(BU$89="",BU$83/3600,BU$89)/(BU$98*Wind_Night)/(1000-BU$167+BU$168)^(1/NBPlume_B_Night))),0)</f>
        <v>0</v>
      </c>
      <c r="BV175" s="81"/>
      <c r="BW175" s="2981">
        <f>IF(BW$98&gt;0,LN(IF(BW$167&gt;=1000,BW$99*BW$165*1000^BW$166,NBPlume_A_Night*IF(BW$89="",BW$83/3600,BW$89)/(BW$98*Wind_Night)/(1000-BW$167+BW$168)^(1/NBPlume_B_Night))),0)</f>
        <v>0</v>
      </c>
      <c r="BX175" s="81"/>
      <c r="BY175" s="2981">
        <f>IF(BY$98&gt;0,LN(IF(BY$167&gt;=1000,BY$99*BY$165*1000^BY$166,NBPlume_A_Night*IF(BY$89="",BY$83/3600,BY$89)/(BY$98*Wind_Night)/(1000-BY$167+BY$168)^(1/NBPlume_B_Night))),0)</f>
        <v>0</v>
      </c>
      <c r="BZ175" s="81"/>
      <c r="CA175" s="2981">
        <f>IF(CA$98&gt;0,LN(IF(CA$167&gt;=1000,CA$99*CA$165*1000^CA$166,NBPlume_A_Night*IF(CA$89="",CA$83/3600,CA$89)/(CA$98*Wind_Night)/(1000-CA$167+CA$168)^(1/NBPlume_B_Night))),0)</f>
        <v>0</v>
      </c>
      <c r="CB175" s="81"/>
      <c r="CC175" s="2981">
        <f>IF(CC$98&gt;0,LN(IF(CC$167&gt;=1000,CC$99*CC$165*1000^CC$166,NBPlume_A_Night*IF(CC$89="",CC$83/3600,CC$89)/(CC$98*Wind_Night)/(1000-CC$167+CC$168)^(1/NBPlume_B_Night))),0)</f>
        <v>0</v>
      </c>
      <c r="CD175" s="81"/>
      <c r="CE175" s="23"/>
      <c r="CF175" s="81"/>
      <c r="CG175" s="2"/>
      <c r="CH175" s="85" t="s">
        <v>1748</v>
      </c>
      <c r="CI175" s="83"/>
      <c r="CJ175" s="1047" t="str">
        <f>IF(AND(CJ174&lt;&gt;"",CJ174&gt;Public),"Yes","No")</f>
        <v>No</v>
      </c>
      <c r="CK175" s="83"/>
      <c r="CL175" s="23"/>
      <c r="CM175" s="83"/>
      <c r="CN175" s="7"/>
      <c r="CO175" s="7"/>
      <c r="CP175" s="7"/>
      <c r="CQ175" s="7"/>
      <c r="CR175" s="7"/>
      <c r="CS175" s="7"/>
    </row>
    <row r="176" spans="1:97" s="26" customFormat="1" ht="15" customHeight="1" x14ac:dyDescent="0.25">
      <c r="A176" s="2"/>
      <c r="B176" s="512" t="s">
        <v>5106</v>
      </c>
      <c r="C176" s="83"/>
      <c r="D176" s="2981" t="e">
        <f>IF(D$89&gt;0,LN(IF(D$167&gt;=2000,D$99*D$165*2000^D$166,NBPlume_A_Night*D$89/(D$98*Wind_Night)/(2000-D$167+D$168)^(1/NBPlume_B_Night))),0)</f>
        <v>#DIV/0!</v>
      </c>
      <c r="E176" s="83"/>
      <c r="F176" s="2981" t="e">
        <f>IF(F$89&gt;0,LN(IF(F$167&gt;=2000,F$99*F$165*2000^F$166,NBPlume_A_Night*F$89/(F$98*Wind_Night)/(2000-F$167+F$168)^(1/NBPlume_B_Night))),0)</f>
        <v>#DIV/0!</v>
      </c>
      <c r="G176" s="83"/>
      <c r="H176" s="2981" t="e">
        <f>IF(H$89&gt;0,LN(IF(H$167&gt;=2000,H$99*H$165*2000^H$166,NBPlume_A_Night*H$89/(H$98*Wind_Night)/(2000-H$167+H$168)^(1/NBPlume_B_Night))),0)</f>
        <v>#DIV/0!</v>
      </c>
      <c r="I176" s="83"/>
      <c r="J176" s="2981" t="e">
        <f>IF(J$89&gt;0,LN(IF(J$167&gt;=2000,J$99*J$165*2000^J$166,NBPlume_A_Night*J$89/(J$98*Wind_Night)/(2000-J$167+J$168)^(1/NBPlume_B_Night))),0)</f>
        <v>#DIV/0!</v>
      </c>
      <c r="K176" s="83"/>
      <c r="L176" s="2981" t="e">
        <f>IF(L$89&gt;0,LN(IF(L$167&gt;=2000,L$99*L$165*2000^L$166,NBPlume_A_Night*L$89/(L$98*Wind_Night)/(2000-L$167+L$168)^(1/NBPlume_B_Night))),0)</f>
        <v>#DIV/0!</v>
      </c>
      <c r="M176" s="83"/>
      <c r="N176" s="2981" t="e">
        <f>IF(N$89&gt;0,LN(IF(N$167&gt;=2000,N$99*N$165*2000^N$166,NBPlume_A_Night*N$89/(N$98*Wind_Night)/(2000-N$167+N$168)^(1/NBPlume_B_Night))),0)</f>
        <v>#DIV/0!</v>
      </c>
      <c r="O176" s="83"/>
      <c r="P176" s="2981" t="e">
        <f>IF(P$89&gt;0,LN(IF(P$167&gt;=2000,P$99*P$165*2000^P$166,NBPlume_A_Night*P$89/(P$98*Wind_Night)/(2000-P$167+P$168)^(1/NBPlume_B_Night))),0)</f>
        <v>#DIV/0!</v>
      </c>
      <c r="Q176" s="83"/>
      <c r="R176" s="2981" t="e">
        <f>IF(R$89&gt;0,LN(IF(R$167&gt;=2000,R$99*R$165*2000^R$166,NBPlume_A_Night*R$89/(R$98*Wind_Night)/(2000-R$167+R$168)^(1/NBPlume_B_Night))),0)</f>
        <v>#DIV/0!</v>
      </c>
      <c r="S176" s="83"/>
      <c r="T176" s="2981" t="e">
        <f>IF(T$89&gt;0,LN(IF(T$167&gt;=2000,T$99*T$165*2000^T$166,NBPlume_A_Night*T$89/(T$98*Wind_Night)/(2000-T$167+T$168)^(1/NBPlume_B_Night))),0)</f>
        <v>#DIV/0!</v>
      </c>
      <c r="U176" s="83"/>
      <c r="V176" s="2981" t="e">
        <f>IF(V$89&gt;0,LN(IF(V$167&gt;=2000,V$99*V$165*2000^V$166,NBPlume_A_Night*V$89/(V$98*Wind_Night)/(2000-V$167+V$168)^(1/NBPlume_B_Night))),0)</f>
        <v>#DIV/0!</v>
      </c>
      <c r="W176" s="83"/>
      <c r="X176" s="2981" t="e">
        <f>IF(X$89&gt;0,LN(IF(X$167&gt;=2000,X$99*X$165*2000^X$166,NBPlume_A_Night*X$89/(X$98*Wind_Night)/(2000-X$167+X$168)^(1/NBPlume_B_Night))),0)</f>
        <v>#DIV/0!</v>
      </c>
      <c r="Y176" s="83"/>
      <c r="Z176" s="2987"/>
      <c r="AA176" s="83"/>
      <c r="AB176" s="81"/>
      <c r="AC176" s="512" t="s">
        <v>5119</v>
      </c>
      <c r="AD176" s="81"/>
      <c r="AE176" s="3000">
        <f>LN(IF(AE$171&lt;AE$99,IF(LOG(AE$170)&lt;-0.67,251.2,IF(LOG(AE$170)&lt;-0.28,10^(2.8+0.59*LOG(AE$170)),IF(LOG(AE$170)&lt;-0.15,426.6,10^(2.56-0.49*LOG(AE$170)))))*(AE102/Wind_Night)^0.5,1))</f>
        <v>0</v>
      </c>
      <c r="AF176" s="81"/>
      <c r="AG176" s="3000">
        <f>LN(IF(AG$171&lt;AG$99,IF(LOG(AG$170)&lt;-0.67,251.2,IF(LOG(AG$170)&lt;-0.28,10^(2.8+0.59*LOG(AG$170)),IF(LOG(AG$170)&lt;-0.15,426.6,10^(2.56-0.49*LOG(AG$170)))))*(AG102/Wind_Night)^0.5,1))</f>
        <v>0</v>
      </c>
      <c r="AH176" s="81"/>
      <c r="AI176" s="3000">
        <f>LN(IF(AI$171&lt;AI$99,IF(LOG(AI$170)&lt;-0.67,251.2,IF(LOG(AI$170)&lt;-0.28,10^(2.8+0.59*LOG(AI$170)),IF(LOG(AI$170)&lt;-0.15,426.6,10^(2.56-0.49*LOG(AI$170)))))*(AI102/Wind_Night)^0.5,1))</f>
        <v>0</v>
      </c>
      <c r="AJ176" s="81"/>
      <c r="AK176" s="3000">
        <f>LN(IF(AK$171&lt;AK$99,IF(LOG(AK$170)&lt;-0.67,251.2,IF(LOG(AK$170)&lt;-0.28,10^(2.8+0.59*LOG(AK$170)),IF(LOG(AK$170)&lt;-0.15,426.6,10^(2.56-0.49*LOG(AK$170)))))*(AK102/Wind_Night)^0.5,1))</f>
        <v>0</v>
      </c>
      <c r="AL176" s="81"/>
      <c r="AM176" s="3000">
        <f>LN(IF(AM$171&lt;AM$99,IF(LOG(AM$170)&lt;-0.67,251.2,IF(LOG(AM$170)&lt;-0.28,10^(2.8+0.59*LOG(AM$170)),IF(LOG(AM$170)&lt;-0.15,426.6,10^(2.56-0.49*LOG(AM$170)))))*(AM102/Wind_Night)^0.5,1))</f>
        <v>0</v>
      </c>
      <c r="AN176" s="81"/>
      <c r="AO176" s="3000">
        <f>LN(IF(AO$171&lt;AO$99,IF(LOG(AO$170)&lt;-0.67,251.2,IF(LOG(AO$170)&lt;-0.28,10^(2.8+0.59*LOG(AO$170)),IF(LOG(AO$170)&lt;-0.15,426.6,10^(2.56-0.49*LOG(AO$170)))))*(AO102/Wind_Night)^0.5,1))</f>
        <v>0</v>
      </c>
      <c r="AP176" s="81"/>
      <c r="AQ176" s="85"/>
      <c r="AR176" s="81"/>
      <c r="AS176" s="83"/>
      <c r="AT176" s="2975" t="s">
        <v>5111</v>
      </c>
      <c r="AU176" s="83"/>
      <c r="AV176" s="3005">
        <f>IF(AV$73&gt;0,(EXP(INDEX(LINEST(AV166:AV175,$CJ$286:$CJ$295),2))*(AV$82*Wind_Night/AV$73))^AV177,0)</f>
        <v>0</v>
      </c>
      <c r="AW176" s="269"/>
      <c r="AX176" s="3005">
        <f>IF(AX$73&gt;0,(EXP(INDEX(LINEST(AX166:AX175,$CJ$286:$CJ$295),2))*(AX$82*Wind_Night/AX$73))^AX177,0)</f>
        <v>0</v>
      </c>
      <c r="AY176" s="269"/>
      <c r="AZ176" s="3005">
        <f>IF(AZ$73&gt;0,(EXP(INDEX(LINEST(AZ166:AZ175,$CJ$286:$CJ$295),2))*(AZ$82*Wind_Night/AZ$73))^AZ177,0)</f>
        <v>0</v>
      </c>
      <c r="BA176" s="269"/>
      <c r="BB176" s="3005">
        <f>IF(BB$73&gt;0,(EXP(INDEX(LINEST(BB166:BB175,$CJ$286:$CJ$295),2))*(BB$82*Wind_Night/BB$73))^BB177,0)</f>
        <v>0</v>
      </c>
      <c r="BC176" s="269"/>
      <c r="BD176" s="3005">
        <f>IF(BD$73&gt;0,(EXP(INDEX(LINEST(BD166:BD175,$CJ$286:$CJ$295),2))*(BD$82*Wind_Night/BD$73))^BD177,0)</f>
        <v>0</v>
      </c>
      <c r="BE176" s="269"/>
      <c r="BF176" s="3005">
        <f>IF(BF$73&gt;0,(EXP(INDEX(LINEST(BF166:BF175,$CJ$286:$CJ$295),2))*(BF$82*Wind_Night/BF$73))^BF177,0)</f>
        <v>0</v>
      </c>
      <c r="BG176" s="269"/>
      <c r="BH176" s="3005">
        <f>IF(BH$73&gt;0,(EXP(INDEX(LINEST(BH166:BH175,$CJ$286:$CJ$295),2))*(BH$82*Wind_Night/BH$73))^BH177,0)</f>
        <v>0</v>
      </c>
      <c r="BI176" s="269"/>
      <c r="BJ176" s="3005">
        <f>IF(BJ$73&gt;0,(EXP(INDEX(LINEST(BJ166:BJ175,$CJ$286:$CJ$295),2))*(BJ$82*Wind_Night/BJ$73))^BJ177,0)</f>
        <v>0</v>
      </c>
      <c r="BK176" s="269"/>
      <c r="BL176" s="3005">
        <f>IF(BL$73&gt;0,(EXP(INDEX(LINEST(BL166:BL175,$CJ$286:$CJ$295),2))*(BL$82*Wind_Night/BL$73))^BL177,0)</f>
        <v>0</v>
      </c>
      <c r="BM176" s="269"/>
      <c r="BN176" s="3005">
        <f>IF(BN$73&gt;0,(EXP(INDEX(LINEST(BN166:BN175,$CJ$286:$CJ$295),2))*(BN$82*Wind_Night/BN$73))^BN177,0)</f>
        <v>0</v>
      </c>
      <c r="BO176" s="269"/>
      <c r="BP176" s="1834"/>
      <c r="BQ176" s="83"/>
      <c r="BR176" s="81"/>
      <c r="BS176" s="512" t="s">
        <v>5106</v>
      </c>
      <c r="BT176" s="81"/>
      <c r="BU176" s="2981">
        <f>IF(BU$98&gt;0,LN(IF(BU$167&gt;=2000,BU$99*BU$165*2000^BU$166,NBPlume_A_Night*IF(BU$89="",BU$83/3600,BU$89)/(BU$98*Wind_Night)/(2000-BU$167+BU$168)^(1/NBPlume_B_Night))),0)</f>
        <v>0</v>
      </c>
      <c r="BV176" s="81"/>
      <c r="BW176" s="2981">
        <f>IF(BW$98&gt;0,LN(IF(BW$167&gt;=2000,BW$99*BW$165*2000^BW$166,NBPlume_A_Night*IF(BW$89="",BW$83/3600,BW$89)/(BW$98*Wind_Night)/(2000-BW$167+BW$168)^(1/NBPlume_B_Night))),0)</f>
        <v>0</v>
      </c>
      <c r="BX176" s="81"/>
      <c r="BY176" s="2981">
        <f>IF(BY$98&gt;0,LN(IF(BY$167&gt;=2000,BY$99*BY$165*2000^BY$166,NBPlume_A_Night*IF(BY$89="",BY$83/3600,BY$89)/(BY$98*Wind_Night)/(2000-BY$167+BY$168)^(1/NBPlume_B_Night))),0)</f>
        <v>0</v>
      </c>
      <c r="BZ176" s="81"/>
      <c r="CA176" s="2981">
        <f>IF(CA$98&gt;0,LN(IF(CA$167&gt;=2000,CA$99*CA$165*2000^CA$166,NBPlume_A_Night*IF(CA$89="",CA$83/3600,CA$89)/(CA$98*Wind_Night)/(2000-CA$167+CA$168)^(1/NBPlume_B_Night))),0)</f>
        <v>0</v>
      </c>
      <c r="CB176" s="81"/>
      <c r="CC176" s="2981">
        <f>IF(CC$98&gt;0,LN(IF(CC$167&gt;=2000,CC$99*CC$165*2000^CC$166,NBPlume_A_Night*IF(CC$89="",CC$83/3600,CC$89)/(CC$98*Wind_Night)/(2000-CC$167+CC$168)^(1/NBPlume_B_Night))),0)</f>
        <v>0</v>
      </c>
      <c r="CD176" s="81"/>
      <c r="CE176" s="23"/>
      <c r="CF176" s="81"/>
      <c r="CG176" s="2"/>
      <c r="CH176" s="23" t="s">
        <v>3756</v>
      </c>
      <c r="CI176" s="83"/>
      <c r="CJ176" s="103">
        <f>IF('User Scenario'!S48&lt;&gt;"",'User Scenario'!S48,0)</f>
        <v>0</v>
      </c>
      <c r="CK176" s="83"/>
      <c r="CL176" s="23" t="s">
        <v>968</v>
      </c>
      <c r="CM176" s="83"/>
      <c r="CN176" s="7"/>
      <c r="CO176" s="7"/>
      <c r="CP176" s="7"/>
      <c r="CQ176" s="7"/>
      <c r="CR176" s="7"/>
      <c r="CS176" s="7"/>
    </row>
    <row r="177" spans="1:97" s="26" customFormat="1" ht="15" customHeight="1" x14ac:dyDescent="0.25">
      <c r="A177" s="2"/>
      <c r="B177" s="512" t="s">
        <v>5107</v>
      </c>
      <c r="C177" s="83"/>
      <c r="D177" s="2981" t="e">
        <f>IF(D$89&gt;0,LN(IF(D$167&gt;=5000,D$99*D$165*5000^D$166,NBPlume_A_Night*D$89/(D$98*Wind_Night)/(5000-D$167+D$168)^(1/NBPlume_B_Night))),0)</f>
        <v>#DIV/0!</v>
      </c>
      <c r="E177" s="83"/>
      <c r="F177" s="2981" t="e">
        <f>IF(F$89&gt;0,LN(IF(F$167&gt;=5000,F$99*F$165*5000^F$166,NBPlume_A_Night*F$89/(F$98*Wind_Night)/(5000-F$167+F$168)^(1/NBPlume_B_Night))),0)</f>
        <v>#DIV/0!</v>
      </c>
      <c r="G177" s="83"/>
      <c r="H177" s="2981" t="e">
        <f>IF(H$89&gt;0,LN(IF(H$167&gt;=5000,H$99*H$165*5000^H$166,NBPlume_A_Night*H$89/(H$98*Wind_Night)/(5000-H$167+H$168)^(1/NBPlume_B_Night))),0)</f>
        <v>#DIV/0!</v>
      </c>
      <c r="I177" s="83"/>
      <c r="J177" s="2981" t="e">
        <f>IF(J$89&gt;0,LN(IF(J$167&gt;=5000,J$99*J$165*5000^J$166,NBPlume_A_Night*J$89/(J$98*Wind_Night)/(5000-J$167+J$168)^(1/NBPlume_B_Night))),0)</f>
        <v>#DIV/0!</v>
      </c>
      <c r="K177" s="83"/>
      <c r="L177" s="2981" t="e">
        <f>IF(L$89&gt;0,LN(IF(L$167&gt;=5000,L$99*L$165*5000^L$166,NBPlume_A_Night*L$89/(L$98*Wind_Night)/(5000-L$167+L$168)^(1/NBPlume_B_Night))),0)</f>
        <v>#DIV/0!</v>
      </c>
      <c r="M177" s="83"/>
      <c r="N177" s="2981" t="e">
        <f>IF(N$89&gt;0,LN(IF(N$167&gt;=5000,N$99*N$165*5000^N$166,NBPlume_A_Night*N$89/(N$98*Wind_Night)/(5000-N$167+N$168)^(1/NBPlume_B_Night))),0)</f>
        <v>#DIV/0!</v>
      </c>
      <c r="O177" s="83"/>
      <c r="P177" s="2981" t="e">
        <f>IF(P$89&gt;0,LN(IF(P$167&gt;=5000,P$99*P$165*5000^P$166,NBPlume_A_Night*P$89/(P$98*Wind_Night)/(5000-P$167+P$168)^(1/NBPlume_B_Night))),0)</f>
        <v>#DIV/0!</v>
      </c>
      <c r="Q177" s="83"/>
      <c r="R177" s="2981" t="e">
        <f>IF(R$89&gt;0,LN(IF(R$167&gt;=5000,R$99*R$165*5000^R$166,NBPlume_A_Night*R$89/(R$98*Wind_Night)/(5000-R$167+R$168)^(1/NBPlume_B_Night))),0)</f>
        <v>#DIV/0!</v>
      </c>
      <c r="S177" s="83"/>
      <c r="T177" s="2981" t="e">
        <f>IF(T$89&gt;0,LN(IF(T$167&gt;=5000,T$99*T$165*5000^T$166,NBPlume_A_Night*T$89/(T$98*Wind_Night)/(5000-T$167+T$168)^(1/NBPlume_B_Night))),0)</f>
        <v>#DIV/0!</v>
      </c>
      <c r="U177" s="83"/>
      <c r="V177" s="2981" t="e">
        <f>IF(V$89&gt;0,LN(IF(V$167&gt;=5000,V$99*V$165*5000^V$166,NBPlume_A_Night*V$89/(V$98*Wind_Night)/(5000-V$167+V$168)^(1/NBPlume_B_Night))),0)</f>
        <v>#DIV/0!</v>
      </c>
      <c r="W177" s="83"/>
      <c r="X177" s="2981" t="e">
        <f>IF(X$89&gt;0,LN(IF(X$167&gt;=5000,X$99*X$165*5000^X$166,NBPlume_A_Night*X$89/(X$98*Wind_Night)/(5000-X$167+X$168)^(1/NBPlume_B_Night))),0)</f>
        <v>#DIV/0!</v>
      </c>
      <c r="Y177" s="83"/>
      <c r="Z177" s="2987"/>
      <c r="AA177" s="83"/>
      <c r="AB177" s="81"/>
      <c r="AC177" s="512" t="s">
        <v>5120</v>
      </c>
      <c r="AD177" s="81"/>
      <c r="AE177" s="3000">
        <f>LN(IF(AE$171&lt;AE$99,IF(LOG(AE$170)&lt;-0.69,398.1,IF(LOG(AE$170)&lt;-0.25,10^(2.87+0.39*LOG(AE$170)),IF(LOG(AE$170)&lt;-0.13,588.8,10^(2.71-0.5*LOG(AE$170)))))*(AE102/Wind_Night)^0.5,1))</f>
        <v>0</v>
      </c>
      <c r="AF177" s="81"/>
      <c r="AG177" s="3000">
        <f>LN(IF(AG$171&lt;AG$99,IF(LOG(AG$170)&lt;-0.69,398.1,IF(LOG(AG$170)&lt;-0.25,10^(2.87+0.39*LOG(AG$170)),IF(LOG(AG$170)&lt;-0.13,588.8,10^(2.71-0.5*LOG(AG$170)))))*(AG102/Wind_Night)^0.5,1))</f>
        <v>0</v>
      </c>
      <c r="AH177" s="81"/>
      <c r="AI177" s="3000">
        <f>LN(IF(AI$171&lt;AI$99,IF(LOG(AI$170)&lt;-0.69,398.1,IF(LOG(AI$170)&lt;-0.25,10^(2.87+0.39*LOG(AI$170)),IF(LOG(AI$170)&lt;-0.13,588.8,10^(2.71-0.5*LOG(AI$170)))))*(AI102/Wind_Night)^0.5,1))</f>
        <v>0</v>
      </c>
      <c r="AJ177" s="81"/>
      <c r="AK177" s="3000">
        <f>LN(IF(AK$171&lt;AK$99,IF(LOG(AK$170)&lt;-0.69,398.1,IF(LOG(AK$170)&lt;-0.25,10^(2.87+0.39*LOG(AK$170)),IF(LOG(AK$170)&lt;-0.13,588.8,10^(2.71-0.5*LOG(AK$170)))))*(AK102/Wind_Night)^0.5,1))</f>
        <v>0</v>
      </c>
      <c r="AL177" s="81"/>
      <c r="AM177" s="3000">
        <f>LN(IF(AM$171&lt;AM$99,IF(LOG(AM$170)&lt;-0.69,398.1,IF(LOG(AM$170)&lt;-0.25,10^(2.87+0.39*LOG(AM$170)),IF(LOG(AM$170)&lt;-0.13,588.8,10^(2.71-0.5*LOG(AM$170)))))*(AM102/Wind_Night)^0.5,1))</f>
        <v>0</v>
      </c>
      <c r="AN177" s="81"/>
      <c r="AO177" s="3000">
        <f>LN(IF(AO$171&lt;AO$99,IF(LOG(AO$170)&lt;-0.69,398.1,IF(LOG(AO$170)&lt;-0.25,10^(2.87+0.39*LOG(AO$170)),IF(LOG(AO$170)&lt;-0.13,588.8,10^(2.71-0.5*LOG(AO$170)))))*(AO102/Wind_Night)^0.5,1))</f>
        <v>0</v>
      </c>
      <c r="AP177" s="81"/>
      <c r="AQ177" s="85"/>
      <c r="AR177" s="81"/>
      <c r="AS177" s="83"/>
      <c r="AT177" s="2977" t="s">
        <v>5112</v>
      </c>
      <c r="AU177" s="83"/>
      <c r="AV177" s="2089">
        <f>IF(AV$73&gt;0,-1/INDEX(LINEST(AV166:AV175,$CJ$286:$CJ$295),1),0)</f>
        <v>0</v>
      </c>
      <c r="AW177" s="269"/>
      <c r="AX177" s="2089">
        <f>IF(AX$73&gt;0,-1/INDEX(LINEST(AX166:AX175,$CJ$286:$CJ$295),1),0)</f>
        <v>0</v>
      </c>
      <c r="AY177" s="269"/>
      <c r="AZ177" s="2089">
        <f>IF(AZ$73&gt;0,-1/INDEX(LINEST(AZ166:AZ175,$CJ$286:$CJ$295),1),0)</f>
        <v>0</v>
      </c>
      <c r="BA177" s="269"/>
      <c r="BB177" s="2089">
        <f>IF(BB$73&gt;0,-1/INDEX(LINEST(BB166:BB175,$CJ$286:$CJ$295),1),0)</f>
        <v>0</v>
      </c>
      <c r="BC177" s="269"/>
      <c r="BD177" s="2089">
        <f>IF(BD$73&gt;0,-1/INDEX(LINEST(BD166:BD175,$CJ$286:$CJ$295),1),0)</f>
        <v>0</v>
      </c>
      <c r="BE177" s="269"/>
      <c r="BF177" s="2089">
        <f>IF(BF$73&gt;0,-1/INDEX(LINEST(BF166:BF175,$CJ$286:$CJ$295),1),0)</f>
        <v>0</v>
      </c>
      <c r="BG177" s="269"/>
      <c r="BH177" s="2089">
        <f>IF(BH$73&gt;0,-1/INDEX(LINEST(BH166:BH175,$CJ$286:$CJ$295),1),0)</f>
        <v>0</v>
      </c>
      <c r="BI177" s="269"/>
      <c r="BJ177" s="2089">
        <f>IF(BJ$73&gt;0,-1/INDEX(LINEST(BJ166:BJ175,$CJ$286:$CJ$295),1),0)</f>
        <v>0</v>
      </c>
      <c r="BK177" s="269"/>
      <c r="BL177" s="2089">
        <f>IF(BL$73&gt;0,-1/INDEX(LINEST(BL166:BL175,$CJ$286:$CJ$295),1),0)</f>
        <v>0</v>
      </c>
      <c r="BM177" s="269"/>
      <c r="BN177" s="2089">
        <f>IF(BN$73&gt;0,-1/INDEX(LINEST(BN166:BN175,$CJ$286:$CJ$295),1),0)</f>
        <v>0</v>
      </c>
      <c r="BO177" s="269"/>
      <c r="BP177" s="1835"/>
      <c r="BQ177" s="83"/>
      <c r="BR177" s="81"/>
      <c r="BS177" s="512" t="s">
        <v>5107</v>
      </c>
      <c r="BT177" s="81"/>
      <c r="BU177" s="2981">
        <f>IF(BU$98&gt;0,LN(IF(BU$167&gt;=5000,BU$99*BU$165*5000^BU$166,NBPlume_A_Night*IF(BU$89="",BU$83/3600,BU$89)/(BU$98*Wind_Night)/(5000-BU$167+BU$168)^(1/NBPlume_B_Night))),0)</f>
        <v>0</v>
      </c>
      <c r="BV177" s="81"/>
      <c r="BW177" s="2981">
        <f>IF(BW$98&gt;0,LN(IF(BW$167&gt;=5000,BW$99*BW$165*5000^BW$166,NBPlume_A_Night*IF(BW$89="",BW$83/3600,BW$89)/(BW$98*Wind_Night)/(5000-BW$167+BW$168)^(1/NBPlume_B_Night))),0)</f>
        <v>0</v>
      </c>
      <c r="BX177" s="81"/>
      <c r="BY177" s="2981">
        <f>IF(BY$98&gt;0,LN(IF(BY$167&gt;=5000,BY$99*BY$165*5000^BY$166,NBPlume_A_Night*IF(BY$89="",BY$83/3600,BY$89)/(BY$98*Wind_Night)/(5000-BY$167+BY$168)^(1/NBPlume_B_Night))),0)</f>
        <v>0</v>
      </c>
      <c r="BZ177" s="81"/>
      <c r="CA177" s="2981">
        <f>IF(CA$98&gt;0,LN(IF(CA$167&gt;=5000,CA$99*CA$165*5000^CA$166,NBPlume_A_Night*IF(CA$89="",CA$83/3600,CA$89)/(CA$98*Wind_Night)/(5000-CA$167+CA$168)^(1/NBPlume_B_Night))),0)</f>
        <v>0</v>
      </c>
      <c r="CB177" s="81"/>
      <c r="CC177" s="2981">
        <f>IF(CC$98&gt;0,LN(IF(CC$167&gt;=5000,CC$99*CC$165*5000^CC$166,NBPlume_A_Night*IF(CC$89="",CC$83/3600,CC$89)/(CC$98*Wind_Night)/(5000-CC$167+CC$168)^(1/NBPlume_B_Night))),0)</f>
        <v>0</v>
      </c>
      <c r="CD177" s="81"/>
      <c r="CE177" s="23"/>
      <c r="CF177" s="81"/>
      <c r="CG177" s="2"/>
      <c r="CH177" s="23" t="s">
        <v>628</v>
      </c>
      <c r="CI177" s="83"/>
      <c r="CJ177" s="2131">
        <f>IF('User Scenario'!S49&lt;&gt;"",'User Scenario'!S49,0)</f>
        <v>0</v>
      </c>
      <c r="CK177" s="83"/>
      <c r="CL177" s="23" t="s">
        <v>968</v>
      </c>
      <c r="CM177" s="83"/>
      <c r="CN177" s="7"/>
      <c r="CO177" s="7"/>
      <c r="CP177" s="7"/>
      <c r="CQ177" s="7"/>
      <c r="CR177" s="7"/>
      <c r="CS177" s="7"/>
    </row>
    <row r="178" spans="1:97" s="26" customFormat="1" ht="15" customHeight="1" thickBot="1" x14ac:dyDescent="0.3">
      <c r="A178" s="2"/>
      <c r="B178" s="512" t="s">
        <v>5108</v>
      </c>
      <c r="C178" s="83"/>
      <c r="D178" s="3001" t="e">
        <f>IF(D$89&gt;0,LN(IF(D$167&gt;=10000,D$99*D$165*10000^D$166,NBPlume_A_Night*D$89/(D$98*Wind_Night)/(10000-D$167+D$168)^(1/NBPlume_B_Night))),0)</f>
        <v>#DIV/0!</v>
      </c>
      <c r="E178" s="83"/>
      <c r="F178" s="3001" t="e">
        <f>IF(F$89&gt;0,LN(IF(F$167&gt;=10000,F$99*F$165*10000^F$166,NBPlume_A_Night*F$89/(F$98*Wind_Night)/(10000-F$167+F$168)^(1/NBPlume_B_Night))),0)</f>
        <v>#DIV/0!</v>
      </c>
      <c r="G178" s="83"/>
      <c r="H178" s="3001" t="e">
        <f>IF(H$89&gt;0,LN(IF(H$167&gt;=10000,H$99*H$165*10000^H$166,NBPlume_A_Night*H$89/(H$98*Wind_Night)/(10000-H$167+H$168)^(1/NBPlume_B_Night))),0)</f>
        <v>#DIV/0!</v>
      </c>
      <c r="I178" s="83"/>
      <c r="J178" s="3001" t="e">
        <f>IF(J$89&gt;0,LN(IF(J$167&gt;=10000,J$99*J$165*10000^J$166,NBPlume_A_Night*J$89/(J$98*Wind_Night)/(10000-J$167+J$168)^(1/NBPlume_B_Night))),0)</f>
        <v>#DIV/0!</v>
      </c>
      <c r="K178" s="83"/>
      <c r="L178" s="3001" t="e">
        <f>IF(L$89&gt;0,LN(IF(L$167&gt;=10000,L$99*L$165*10000^L$166,NBPlume_A_Night*L$89/(L$98*Wind_Night)/(10000-L$167+L$168)^(1/NBPlume_B_Night))),0)</f>
        <v>#DIV/0!</v>
      </c>
      <c r="M178" s="83"/>
      <c r="N178" s="3001" t="e">
        <f>IF(N$89&gt;0,LN(IF(N$167&gt;=10000,N$99*N$165*10000^N$166,NBPlume_A_Night*N$89/(N$98*Wind_Night)/(10000-N$167+N$168)^(1/NBPlume_B_Night))),0)</f>
        <v>#DIV/0!</v>
      </c>
      <c r="O178" s="83"/>
      <c r="P178" s="3001" t="e">
        <f>IF(P$89&gt;0,LN(IF(P$167&gt;=10000,P$99*P$165*10000^P$166,NBPlume_A_Night*P$89/(P$98*Wind_Night)/(10000-P$167+P$168)^(1/NBPlume_B_Night))),0)</f>
        <v>#DIV/0!</v>
      </c>
      <c r="Q178" s="83"/>
      <c r="R178" s="3001" t="e">
        <f>IF(R$89&gt;0,LN(IF(R$167&gt;=10000,R$99*R$165*10000^R$166,NBPlume_A_Night*R$89/(R$98*Wind_Night)/(10000-R$167+R$168)^(1/NBPlume_B_Night))),0)</f>
        <v>#DIV/0!</v>
      </c>
      <c r="S178" s="83"/>
      <c r="T178" s="3001" t="e">
        <f>IF(T$89&gt;0,LN(IF(T$167&gt;=10000,T$99*T$165*10000^T$166,NBPlume_A_Night*T$89/(T$98*Wind_Night)/(10000-T$167+T$168)^(1/NBPlume_B_Night))),0)</f>
        <v>#DIV/0!</v>
      </c>
      <c r="U178" s="83"/>
      <c r="V178" s="3001" t="e">
        <f>IF(V$89&gt;0,LN(IF(V$167&gt;=10000,V$99*V$165*10000^V$166,NBPlume_A_Night*V$89/(V$98*Wind_Night)/(10000-V$167+V$168)^(1/NBPlume_B_Night))),0)</f>
        <v>#DIV/0!</v>
      </c>
      <c r="W178" s="83"/>
      <c r="X178" s="3001" t="e">
        <f>IF(X$89&gt;0,LN(IF(X$167&gt;=10000,X$99*X$165*10000^X$166,NBPlume_A_Night*X$89/(X$98*Wind_Night)/(10000-X$167+X$168)^(1/NBPlume_B_Night))),0)</f>
        <v>#DIV/0!</v>
      </c>
      <c r="Y178" s="83"/>
      <c r="Z178" s="2988"/>
      <c r="AA178" s="83"/>
      <c r="AB178" s="81"/>
      <c r="AC178" s="2977" t="s">
        <v>5056</v>
      </c>
      <c r="AD178" s="81"/>
      <c r="AE178" s="1230">
        <f>EXP(INDEX(LINEST($CJ$277:$CJ$282,AE172:AE177),2))*((Ambient_Temp+273)/(AE9+273))*Roughness_A</f>
        <v>8.0110655998420644E-3</v>
      </c>
      <c r="AF178" s="81"/>
      <c r="AG178" s="1230">
        <f>EXP(INDEX(LINEST($CJ$277:$CJ$282,AG172:AG177),2))*((Ambient_Temp+273)/(AG9+273))*Roughness_A</f>
        <v>8.0110655998420644E-3</v>
      </c>
      <c r="AH178" s="81"/>
      <c r="AI178" s="1230">
        <f>EXP(INDEX(LINEST($CJ$277:$CJ$282,AI172:AI177),2))*((Ambient_Temp+273)/(AI9+273))*Roughness_A</f>
        <v>8.0110655998420644E-3</v>
      </c>
      <c r="AJ178" s="81"/>
      <c r="AK178" s="1230">
        <f>EXP(INDEX(LINEST($CJ$277:$CJ$282,AK172:AK177),2))*((Ambient_Temp+273)/(AK9+273))*Roughness_A</f>
        <v>8.0110655998420644E-3</v>
      </c>
      <c r="AL178" s="81"/>
      <c r="AM178" s="1230">
        <f>EXP(INDEX(LINEST($CJ$277:$CJ$282,AM172:AM177),2))*((Ambient_Temp+273)/(AM9+273))*Roughness_A</f>
        <v>8.0110655998420644E-3</v>
      </c>
      <c r="AN178" s="81"/>
      <c r="AO178" s="1230">
        <f>EXP(INDEX(LINEST($CJ$277:$CJ$282,AO172:AO177),2))*((Ambient_Temp+273)/(AO9+273))*Roughness_A</f>
        <v>8.0110655998420644E-3</v>
      </c>
      <c r="AP178" s="81"/>
      <c r="AQ178" s="85"/>
      <c r="AR178" s="81"/>
      <c r="AS178" s="83"/>
      <c r="AT178" s="2976" t="s">
        <v>5124</v>
      </c>
      <c r="AU178" s="83"/>
      <c r="AV178" s="2105">
        <f>IF(AND(AV73&gt;0,AV$84&gt;0),AV176*(AV$73/(Wind_Night*AV$82*AV$84))^AV177,0)</f>
        <v>0</v>
      </c>
      <c r="AW178" s="269"/>
      <c r="AX178" s="2105">
        <f>IF(AND(AX73&gt;0,AX$84&gt;0),AX176*(AX$73/(Wind_Night*AX$82*AX$84))^AX177,0)</f>
        <v>0</v>
      </c>
      <c r="AY178" s="269"/>
      <c r="AZ178" s="2105">
        <f>IF(AND(AZ73&gt;0,AZ$84&gt;0),AZ176*(AZ$73/(Wind_Night*AZ$82*AZ$84))^AZ177,0)</f>
        <v>0</v>
      </c>
      <c r="BA178" s="269"/>
      <c r="BB178" s="2105">
        <f>IF(AND(BB73&gt;0,BB$84&gt;0),BB176*(BB$73/(Wind_Night*BB$82*BB$84))^BB177,0)</f>
        <v>0</v>
      </c>
      <c r="BC178" s="269"/>
      <c r="BD178" s="2105">
        <f>IF(AND(BD73&gt;0,BD$84&gt;0),BD176*(BD$73/(Wind_Night*BD$82*BD$84))^BD177,0)</f>
        <v>0</v>
      </c>
      <c r="BE178" s="269"/>
      <c r="BF178" s="2105">
        <f>IF(AND(BF73&gt;0,BF$84&gt;0),BF176*(BF$73/(Wind_Night*BF$82*BF$84))^BF177,0)</f>
        <v>0</v>
      </c>
      <c r="BG178" s="269"/>
      <c r="BH178" s="2105">
        <f>IF(AND(BH73&gt;0,BH$84&gt;0),BH176*(BH$73/(Wind_Night*BH$82*BH$84))^BH177,0)</f>
        <v>0</v>
      </c>
      <c r="BI178" s="269"/>
      <c r="BJ178" s="2105">
        <f>IF(AND(BJ73&gt;0,BJ$84&gt;0),BJ176*(BJ$73/(Wind_Night*BJ$82*BJ$84))^BJ177,0)</f>
        <v>0</v>
      </c>
      <c r="BK178" s="269"/>
      <c r="BL178" s="2105">
        <f>IF(AND(BL73&gt;0,BL$84&gt;0),BL176*(BL$73/(Wind_Night*BL$82*BL$84))^BL177,0)</f>
        <v>0</v>
      </c>
      <c r="BM178" s="269"/>
      <c r="BN178" s="2105">
        <f>IF(AND(BN73&gt;0,BN$84&gt;0),BN176*(BN$73/(Wind_Night*BN$82*BN$84))^BN177,0)</f>
        <v>0</v>
      </c>
      <c r="BO178" s="269"/>
      <c r="BP178" s="1833"/>
      <c r="BQ178" s="83"/>
      <c r="BR178" s="81"/>
      <c r="BS178" s="512" t="s">
        <v>5108</v>
      </c>
      <c r="BT178" s="81"/>
      <c r="BU178" s="3001">
        <f>IF(BU$98&gt;0,LN(IF(BU$167&gt;=10000,BU$99*BU$165*10000^BU$166,NBPlume_A_Night*IF(BU$89="",BU$83/3600,BU$89)/(BU$98*Wind_Night)/(10000-BU$167+BU$168)^(1/NBPlume_B_Night))),0)</f>
        <v>0</v>
      </c>
      <c r="BV178" s="81"/>
      <c r="BW178" s="3001">
        <f>IF(BW$98&gt;0,LN(IF(BW$167&gt;=10000,BW$99*BW$165*10000^BW$166,NBPlume_A_Night*IF(BW$89="",BW$83/3600,BW$89)/(BW$98*Wind_Night)/(10000-BW$167+BW$168)^(1/NBPlume_B_Night))),0)</f>
        <v>0</v>
      </c>
      <c r="BX178" s="81"/>
      <c r="BY178" s="3001">
        <f>IF(BY$98&gt;0,LN(IF(BY$167&gt;=10000,BY$99*BY$165*10000^BY$166,NBPlume_A_Night*IF(BY$89="",BY$83/3600,BY$89)/(BY$98*Wind_Night)/(10000-BY$167+BY$168)^(1/NBPlume_B_Night))),0)</f>
        <v>0</v>
      </c>
      <c r="BZ178" s="81"/>
      <c r="CA178" s="3001">
        <f>IF(CA$98&gt;0,LN(IF(CA$167&gt;=10000,CA$99*CA$165*10000^CA$166,NBPlume_A_Night*IF(CA$89="",CA$83/3600,CA$89)/(CA$98*Wind_Night)/(10000-CA$167+CA$168)^(1/NBPlume_B_Night))),0)</f>
        <v>0</v>
      </c>
      <c r="CB178" s="81"/>
      <c r="CC178" s="3001">
        <f>IF(CC$98&gt;0,LN(IF(CC$167&gt;=10000,CC$99*CC$165*10000^CC$166,NBPlume_A_Night*IF(CC$89="",CC$83/3600,CC$89)/(CC$98*Wind_Night)/(10000-CC$167+CC$168)^(1/NBPlume_B_Night))),0)</f>
        <v>0</v>
      </c>
      <c r="CD178" s="81"/>
      <c r="CE178" s="23"/>
      <c r="CF178" s="81"/>
      <c r="CG178" s="83"/>
      <c r="CH178" s="25" t="s">
        <v>1863</v>
      </c>
      <c r="CI178" s="83"/>
      <c r="CJ178" s="98" t="str">
        <f>IF(AND(CJ174&gt;10,OR(CJ176&gt;Bldg_Type_Correction,CJ177&gt;Bldg2_Type_Correction)),"Yes","No")</f>
        <v>No</v>
      </c>
      <c r="CK178" s="83"/>
      <c r="CL178" s="104"/>
      <c r="CM178" s="83"/>
      <c r="CN178" s="7"/>
      <c r="CO178" s="7"/>
      <c r="CP178" s="7"/>
      <c r="CQ178" s="7"/>
      <c r="CR178" s="7"/>
      <c r="CS178" s="7"/>
    </row>
    <row r="179" spans="1:97" s="26" customFormat="1" ht="15" customHeight="1" x14ac:dyDescent="0.25">
      <c r="A179" s="2"/>
      <c r="B179" s="2975" t="s">
        <v>5111</v>
      </c>
      <c r="C179" s="83"/>
      <c r="D179" s="3005" t="e">
        <f>IF(D$89&gt;0,(EXP(INDEX(LINEST(D169:D178,$CJ$286:$CJ$295),2))*(D$98*Wind_Night/D$89))^D180,0)</f>
        <v>#VALUE!</v>
      </c>
      <c r="E179" s="83"/>
      <c r="F179" s="3005" t="e">
        <f>IF(F$89&gt;0,(EXP(INDEX(LINEST(F169:F178,$CJ$286:$CJ$295),2))*(F$98*Wind_Night/F$89))^F180,0)</f>
        <v>#VALUE!</v>
      </c>
      <c r="G179" s="83"/>
      <c r="H179" s="3005" t="e">
        <f>IF(H$89&gt;0,(EXP(INDEX(LINEST(H169:H178,$CJ$286:$CJ$295),2))*(H$98*Wind_Night/H$89))^H180,0)</f>
        <v>#VALUE!</v>
      </c>
      <c r="I179" s="83"/>
      <c r="J179" s="3005" t="e">
        <f>IF(J$89&gt;0,(EXP(INDEX(LINEST(J169:J178,$CJ$286:$CJ$295),2))*(J$98*Wind_Night/J$89))^J180,0)</f>
        <v>#VALUE!</v>
      </c>
      <c r="K179" s="83"/>
      <c r="L179" s="3005" t="e">
        <f>IF(L$89&gt;0,(EXP(INDEX(LINEST(L169:L178,$CJ$286:$CJ$295),2))*(L$98*Wind_Night/L$89))^L180,0)</f>
        <v>#VALUE!</v>
      </c>
      <c r="M179" s="83"/>
      <c r="N179" s="3005" t="e">
        <f>IF(N$89&gt;0,(EXP(INDEX(LINEST(N169:N178,$CJ$286:$CJ$295),2))*(N$98*Wind_Night/N$89))^N180,0)</f>
        <v>#VALUE!</v>
      </c>
      <c r="O179" s="83"/>
      <c r="P179" s="3005" t="e">
        <f>IF(P$89&gt;0,(EXP(INDEX(LINEST(P169:P178,$CJ$286:$CJ$295),2))*(P$98*Wind_Night/P$89))^P180,0)</f>
        <v>#VALUE!</v>
      </c>
      <c r="Q179" s="83"/>
      <c r="R179" s="3005" t="e">
        <f>IF(R$89&gt;0,(EXP(INDEX(LINEST(R169:R178,$CJ$286:$CJ$295),2))*(R$98*Wind_Night/R$89))^R180,0)</f>
        <v>#VALUE!</v>
      </c>
      <c r="S179" s="83"/>
      <c r="T179" s="3005" t="e">
        <f>IF(T$89&gt;0,(EXP(INDEX(LINEST(T169:T178,$CJ$286:$CJ$295),2))*(T$98*Wind_Night/T$89))^T180,0)</f>
        <v>#VALUE!</v>
      </c>
      <c r="U179" s="83"/>
      <c r="V179" s="3005" t="e">
        <f>IF(V$89&gt;0,(EXP(INDEX(LINEST(V169:V178,$CJ$286:$CJ$295),2))*(V$98*Wind_Night/V$89))^V180,0)</f>
        <v>#VALUE!</v>
      </c>
      <c r="W179" s="83"/>
      <c r="X179" s="3005" t="e">
        <f>IF(X$89&gt;0,(EXP(INDEX(LINEST(X169:X178,$CJ$286:$CJ$295),2))*(X$98*Wind_Night/X$89))^X180,0)</f>
        <v>#VALUE!</v>
      </c>
      <c r="Y179" s="83"/>
      <c r="Z179" s="2986"/>
      <c r="AA179" s="83"/>
      <c r="AB179" s="81"/>
      <c r="AC179" s="2977" t="s">
        <v>5057</v>
      </c>
      <c r="AD179" s="81"/>
      <c r="AE179" s="1230">
        <f>INDEX(LINEST($CJ$277:$CJ$282,AE172:AE177),1)+Roughness_B</f>
        <v>0</v>
      </c>
      <c r="AF179" s="81"/>
      <c r="AG179" s="1230">
        <f>INDEX(LINEST($CJ$277:$CJ$282,AG172:AG177),1)+Roughness_B</f>
        <v>0</v>
      </c>
      <c r="AH179" s="81"/>
      <c r="AI179" s="1230">
        <f>INDEX(LINEST($CJ$277:$CJ$282,AI172:AI177),1)+Roughness_B</f>
        <v>0</v>
      </c>
      <c r="AJ179" s="81"/>
      <c r="AK179" s="1230">
        <f>INDEX(LINEST($CJ$277:$CJ$282,AK172:AK177),1)+Roughness_B</f>
        <v>0</v>
      </c>
      <c r="AL179" s="81"/>
      <c r="AM179" s="1230">
        <f>INDEX(LINEST($CJ$277:$CJ$282,AM172:AM177),1)+Roughness_B</f>
        <v>0</v>
      </c>
      <c r="AN179" s="81"/>
      <c r="AO179" s="1230">
        <f>INDEX(LINEST($CJ$277:$CJ$282,AO172:AO177),1)+Roughness_B</f>
        <v>0</v>
      </c>
      <c r="AP179" s="81"/>
      <c r="AQ179" s="85"/>
      <c r="AR179" s="81"/>
      <c r="AS179" s="83"/>
      <c r="AT179" s="1691" t="s">
        <v>5064</v>
      </c>
      <c r="AU179" s="83"/>
      <c r="AV179" s="1288" t="e">
        <f>IF(AV88&gt;0,(AV88*AV87^0.333/Wind_Night^2)^0.5,0)</f>
        <v>#DIV/0!</v>
      </c>
      <c r="AW179" s="269"/>
      <c r="AX179" s="1288" t="e">
        <f>IF(AX88&gt;0,(AX88*AX87^0.333/Wind_Night^2)^0.5,0)</f>
        <v>#DIV/0!</v>
      </c>
      <c r="AY179" s="269"/>
      <c r="AZ179" s="1288" t="e">
        <f>IF(AZ88&gt;0,(AZ88*AZ87^0.333/Wind_Night^2)^0.5,0)</f>
        <v>#DIV/0!</v>
      </c>
      <c r="BA179" s="269"/>
      <c r="BB179" s="1288" t="e">
        <f>IF(BB88&gt;0,(BB88*BB87^0.333/Wind_Night^2)^0.5,0)</f>
        <v>#DIV/0!</v>
      </c>
      <c r="BC179" s="269"/>
      <c r="BD179" s="1288" t="e">
        <f>IF(BD88&gt;0,(BD88*BD87^0.333/Wind_Night^2)^0.5,0)</f>
        <v>#DIV/0!</v>
      </c>
      <c r="BE179" s="269"/>
      <c r="BF179" s="1288" t="e">
        <f>IF(BF88&gt;0,(BF88*BF87^0.333/Wind_Night^2)^0.5,0)</f>
        <v>#DIV/0!</v>
      </c>
      <c r="BG179" s="269"/>
      <c r="BH179" s="1288" t="e">
        <f>IF(BH88&gt;0,(BH88*BH87^0.333/Wind_Night^2)^0.5,0)</f>
        <v>#DIV/0!</v>
      </c>
      <c r="BI179" s="269"/>
      <c r="BJ179" s="1288" t="e">
        <f>IF(BJ88&gt;0,(BJ88*BJ87^0.333/Wind_Night^2)^0.5,0)</f>
        <v>#DIV/0!</v>
      </c>
      <c r="BK179" s="269"/>
      <c r="BL179" s="1288" t="e">
        <f>IF(BL88&gt;0,(BL88*BL87^0.333/Wind_Night^2)^0.5,0)</f>
        <v>#DIV/0!</v>
      </c>
      <c r="BM179" s="269"/>
      <c r="BN179" s="1288" t="e">
        <f>IF(BN88&gt;0,(BN88*BN87^0.333/Wind_Night^2)^0.5,0)</f>
        <v>#DIV/0!</v>
      </c>
      <c r="BO179" s="269"/>
      <c r="BP179" s="1835"/>
      <c r="BQ179" s="83"/>
      <c r="BR179" s="81"/>
      <c r="BS179" s="2975" t="s">
        <v>5111</v>
      </c>
      <c r="BT179" s="81"/>
      <c r="BU179" s="3005">
        <f>IF(BU$98&gt;0,(EXP(INDEX(LINEST(BU169:BU178,$CJ$286:$CJ$295),2))*(BU$98*Wind_Night/IF(BU$89="",BU$83/3600,BU$89)))^BU180,0)</f>
        <v>0</v>
      </c>
      <c r="BV179" s="81"/>
      <c r="BW179" s="3005">
        <f>IF(BW$98&gt;0,(EXP(INDEX(LINEST(BW169:BW178,$CJ$286:$CJ$295),2))*(BW$98*Wind_Night/IF(BW$89="",BW$83/3600,BW$89)))^BW180,0)</f>
        <v>0</v>
      </c>
      <c r="BX179" s="81"/>
      <c r="BY179" s="3005">
        <f>IF(BY$98&gt;0,(EXP(INDEX(LINEST(BY169:BY178,$CJ$286:$CJ$295),2))*(BY$98*Wind_Night/IF(BY$89="",BY$83/3600,BY$89)))^BY180,0)</f>
        <v>0</v>
      </c>
      <c r="BZ179" s="81"/>
      <c r="CA179" s="3005">
        <f>IF(CA$98&gt;0,(EXP(INDEX(LINEST(CA169:CA178,$CJ$286:$CJ$295),2))*(CA$98*Wind_Night/IF(CA$89="",CA$83/3600,CA$89)))^CA180,0)</f>
        <v>0</v>
      </c>
      <c r="CB179" s="81"/>
      <c r="CC179" s="3005">
        <f>IF(CC$98&gt;0,(EXP(INDEX(LINEST(CC169:CC178,$CJ$286:$CJ$295),2))*(CC$98*Wind_Night/IF(CC$89="",CC$83/3600,CC$89)))^CC180,0)</f>
        <v>0</v>
      </c>
      <c r="CD179" s="81"/>
      <c r="CE179" s="23"/>
      <c r="CF179" s="81"/>
      <c r="CG179" s="83"/>
      <c r="CH179" s="23" t="s">
        <v>1394</v>
      </c>
      <c r="CI179" s="83"/>
      <c r="CJ179" s="87">
        <f>IF(CJ181&lt;&gt;"",2.25*CJ181,0)</f>
        <v>0</v>
      </c>
      <c r="CK179" s="83"/>
      <c r="CL179" s="23" t="s">
        <v>1068</v>
      </c>
      <c r="CM179" s="83"/>
      <c r="CN179" s="7"/>
      <c r="CO179" s="7"/>
      <c r="CP179" s="7"/>
      <c r="CQ179" s="7"/>
      <c r="CR179" s="7"/>
      <c r="CS179" s="7"/>
    </row>
    <row r="180" spans="1:97" s="26" customFormat="1" ht="12.75" customHeight="1" thickBot="1" x14ac:dyDescent="0.3">
      <c r="A180" s="2"/>
      <c r="B180" s="2977" t="s">
        <v>5112</v>
      </c>
      <c r="C180" s="83"/>
      <c r="D180" s="2089" t="e">
        <f>IF(D$89&gt;0,-1/INDEX(LINEST(D169:D178,$CJ$286:$CJ$295),1),0)</f>
        <v>#VALUE!</v>
      </c>
      <c r="E180" s="83"/>
      <c r="F180" s="2089" t="e">
        <f>IF(F$89&gt;0,-1/INDEX(LINEST(F169:F178,$CJ$286:$CJ$295),1),0)</f>
        <v>#VALUE!</v>
      </c>
      <c r="G180" s="83"/>
      <c r="H180" s="2089" t="e">
        <f>IF(H$89&gt;0,-1/INDEX(LINEST(H169:H178,$CJ$286:$CJ$295),1),0)</f>
        <v>#VALUE!</v>
      </c>
      <c r="I180" s="83"/>
      <c r="J180" s="2089" t="e">
        <f>IF(J$89&gt;0,-1/INDEX(LINEST(J169:J178,$CJ$286:$CJ$295),1),0)</f>
        <v>#VALUE!</v>
      </c>
      <c r="K180" s="83"/>
      <c r="L180" s="2089" t="e">
        <f>IF(L$89&gt;0,-1/INDEX(LINEST(L169:L178,$CJ$286:$CJ$295),1),0)</f>
        <v>#VALUE!</v>
      </c>
      <c r="M180" s="83"/>
      <c r="N180" s="2089" t="e">
        <f>IF(N$89&gt;0,-1/INDEX(LINEST(N169:N178,$CJ$286:$CJ$295),1),0)</f>
        <v>#VALUE!</v>
      </c>
      <c r="O180" s="83"/>
      <c r="P180" s="2089" t="e">
        <f>IF(P$89&gt;0,-1/INDEX(LINEST(P169:P178,$CJ$286:$CJ$295),1),0)</f>
        <v>#VALUE!</v>
      </c>
      <c r="Q180" s="83"/>
      <c r="R180" s="2089" t="e">
        <f>IF(R$89&gt;0,-1/INDEX(LINEST(R169:R178,$CJ$286:$CJ$295),1),0)</f>
        <v>#VALUE!</v>
      </c>
      <c r="S180" s="83"/>
      <c r="T180" s="2089" t="e">
        <f>IF(T$89&gt;0,-1/INDEX(LINEST(T169:T178,$CJ$286:$CJ$295),1),0)</f>
        <v>#VALUE!</v>
      </c>
      <c r="U180" s="83"/>
      <c r="V180" s="2089" t="e">
        <f>IF(V$89&gt;0,-1/INDEX(LINEST(V169:V178,$CJ$286:$CJ$295),1),0)</f>
        <v>#VALUE!</v>
      </c>
      <c r="W180" s="83"/>
      <c r="X180" s="2089" t="e">
        <f>IF(X$89&gt;0,-1/INDEX(LINEST(X169:X178,$CJ$286:$CJ$295),1),0)</f>
        <v>#VALUE!</v>
      </c>
      <c r="Y180" s="83"/>
      <c r="Z180" s="2988"/>
      <c r="AA180" s="83"/>
      <c r="AB180" s="81"/>
      <c r="AC180" s="1691" t="s">
        <v>5068</v>
      </c>
      <c r="AD180" s="81"/>
      <c r="AE180" s="2401">
        <f>IF(AE171&lt;AE$99,(AE$178/(AE171/AE$99))^(-1/AE$179),0)</f>
        <v>0</v>
      </c>
      <c r="AF180" s="81"/>
      <c r="AG180" s="2401">
        <f>IF(AG171&lt;AG$99,(AG$178/(AG171/AG$99))^(-1/AG$179),0)</f>
        <v>0</v>
      </c>
      <c r="AH180" s="81"/>
      <c r="AI180" s="2401">
        <f>IF(AI171&lt;AI$99,(AI$178/(AI171/AI$99))^(-1/AI$179),0)</f>
        <v>0</v>
      </c>
      <c r="AJ180" s="81"/>
      <c r="AK180" s="2401">
        <f>IF(AK171&lt;AK$99,(AK$178/(AK171/AK$99))^(-1/AK$179),0)</f>
        <v>0</v>
      </c>
      <c r="AL180" s="81"/>
      <c r="AM180" s="2401">
        <f>IF(AM171&lt;AM$99,(AM$178/(AM171/AM$99))^(-1/AM$179),0)</f>
        <v>0</v>
      </c>
      <c r="AN180" s="81"/>
      <c r="AO180" s="2401">
        <f>IF(AO171&lt;AO$99,(AO$178/(AO171/AO$99))^(-1/AO$179),0)</f>
        <v>0</v>
      </c>
      <c r="AP180" s="81"/>
      <c r="AQ180" s="85"/>
      <c r="AR180" s="81"/>
      <c r="AS180" s="83"/>
      <c r="AT180" s="1691" t="s">
        <v>5065</v>
      </c>
      <c r="AU180" s="83"/>
      <c r="AV180" s="3000" t="e">
        <f>IF(AND(AV$88&gt;0,AV179&gt;0),AV83*(0.2/AV179)^3,1)</f>
        <v>#DIV/0!</v>
      </c>
      <c r="AW180" s="269"/>
      <c r="AX180" s="3000" t="e">
        <f>IF(AND(AX$88&gt;0,AX179&gt;0),AX83*(0.2/AX179)^3,1)</f>
        <v>#DIV/0!</v>
      </c>
      <c r="AY180" s="269"/>
      <c r="AZ180" s="3000" t="e">
        <f>IF(AND(AZ$88&gt;0,AZ179&gt;0),AZ83*(0.2/AZ179)^3,1)</f>
        <v>#DIV/0!</v>
      </c>
      <c r="BA180" s="269"/>
      <c r="BB180" s="3000" t="e">
        <f>IF(AND(BB$88&gt;0,BB179&gt;0),BB83*(0.2/BB179)^3,1)</f>
        <v>#DIV/0!</v>
      </c>
      <c r="BC180" s="269"/>
      <c r="BD180" s="3000" t="e">
        <f>IF(AND(BD$88&gt;0,BD179&gt;0),BD83*(0.2/BD179)^3,1)</f>
        <v>#DIV/0!</v>
      </c>
      <c r="BE180" s="269"/>
      <c r="BF180" s="3000" t="e">
        <f>IF(AND(BF$88&gt;0,BF179&gt;0),BF83*(0.2/BF179)^3,1)</f>
        <v>#DIV/0!</v>
      </c>
      <c r="BG180" s="269"/>
      <c r="BH180" s="3000" t="e">
        <f>IF(AND(BH$88&gt;0,BH179&gt;0),BH83*(0.2/BH179)^3,1)</f>
        <v>#DIV/0!</v>
      </c>
      <c r="BI180" s="269"/>
      <c r="BJ180" s="3000" t="e">
        <f>IF(AND(BJ$88&gt;0,BJ179&gt;0),BJ83*(0.2/BJ179)^3,1)</f>
        <v>#DIV/0!</v>
      </c>
      <c r="BK180" s="269"/>
      <c r="BL180" s="3000" t="e">
        <f>IF(AND(BL$88&gt;0,BL179&gt;0),BL83*(0.2/BL179)^3,1)</f>
        <v>#DIV/0!</v>
      </c>
      <c r="BM180" s="269"/>
      <c r="BN180" s="3000" t="e">
        <f>IF(AND(BN$88&gt;0,BN179&gt;0),BN83*(0.2/BN179)^3,1)</f>
        <v>#DIV/0!</v>
      </c>
      <c r="BO180" s="269"/>
      <c r="BP180" s="1835"/>
      <c r="BQ180" s="83"/>
      <c r="BR180" s="81"/>
      <c r="BS180" s="2977" t="s">
        <v>5112</v>
      </c>
      <c r="BT180" s="81"/>
      <c r="BU180" s="2089">
        <f>IF(BU$98&gt;0,-1/INDEX(LINEST(BU169:BU178,$CJ$286:$CJ$295),1),0)</f>
        <v>0</v>
      </c>
      <c r="BV180" s="81"/>
      <c r="BW180" s="2089">
        <f>IF(BW$98&gt;0,-1/INDEX(LINEST(BW169:BW178,$CJ$286:$CJ$295),1),0)</f>
        <v>0</v>
      </c>
      <c r="BX180" s="81"/>
      <c r="BY180" s="2089">
        <f>IF(BY$98&gt;0,-1/INDEX(LINEST(BY169:BY178,$CJ$286:$CJ$295),1),0)</f>
        <v>0</v>
      </c>
      <c r="BZ180" s="81"/>
      <c r="CA180" s="2089">
        <f>IF(CA$98&gt;0,-1/INDEX(LINEST(CA169:CA178,$CJ$286:$CJ$295),1),0)</f>
        <v>0</v>
      </c>
      <c r="CB180" s="81"/>
      <c r="CC180" s="2089">
        <f>IF(CC$98&gt;0,-1/INDEX(LINEST(CC169:CC178,$CJ$286:$CJ$295),1),0)</f>
        <v>0</v>
      </c>
      <c r="CD180" s="81"/>
      <c r="CE180" s="23"/>
      <c r="CF180" s="81"/>
      <c r="CG180" s="83"/>
      <c r="CH180" s="23" t="s">
        <v>4876</v>
      </c>
      <c r="CI180" s="83"/>
      <c r="CJ180" s="2846">
        <f>IF(CJ181&lt;&gt;"",0.2*CJ181,0)</f>
        <v>0</v>
      </c>
      <c r="CK180" s="83"/>
      <c r="CL180" s="23"/>
      <c r="CM180" s="83"/>
      <c r="CN180" s="7"/>
      <c r="CO180" s="7"/>
      <c r="CP180" s="7"/>
      <c r="CQ180" s="7"/>
      <c r="CR180" s="7"/>
      <c r="CS180" s="7"/>
    </row>
    <row r="181" spans="1:97" s="26" customFormat="1" ht="18" customHeight="1" thickBot="1" x14ac:dyDescent="0.3">
      <c r="A181" s="2"/>
      <c r="B181" s="2976" t="s">
        <v>5124</v>
      </c>
      <c r="C181" s="83"/>
      <c r="D181" s="2105" t="e">
        <f>IF(AND(D89&gt;0,D$100&gt;0),D179*(D$89/(Wind_Night*D$98*D$100))^D180,0)</f>
        <v>#VALUE!</v>
      </c>
      <c r="E181" s="83"/>
      <c r="F181" s="2105" t="e">
        <f>IF(AND(F89&gt;0,F$100&gt;0),F179*(F$89/(Wind_Night*F$98*F$100))^F180,0)</f>
        <v>#VALUE!</v>
      </c>
      <c r="G181" s="83"/>
      <c r="H181" s="2105" t="e">
        <f>IF(AND(H89&gt;0,H$100&gt;0),H179*(H$89/(Wind_Night*H$98*H$100))^H180,0)</f>
        <v>#VALUE!</v>
      </c>
      <c r="I181" s="83"/>
      <c r="J181" s="2105" t="e">
        <f>IF(AND(J89&gt;0,J$100&gt;0),J179*(J$89/(Wind_Night*J$98*J$100))^J180,0)</f>
        <v>#VALUE!</v>
      </c>
      <c r="K181" s="83"/>
      <c r="L181" s="2105" t="e">
        <f>IF(AND(L89&gt;0,L$100&gt;0),L179*(L$89/(Wind_Night*L$98*L$100))^L180,0)</f>
        <v>#VALUE!</v>
      </c>
      <c r="M181" s="83"/>
      <c r="N181" s="2105" t="e">
        <f>IF(AND(N89&gt;0,N$100&gt;0),N179*(N$89/(Wind_Night*N$98*N$100))^N180,0)</f>
        <v>#VALUE!</v>
      </c>
      <c r="O181" s="83"/>
      <c r="P181" s="2105" t="e">
        <f>IF(AND(P89&gt;0,P$100&gt;0),P179*(P$89/(Wind_Night*P$98*P$100))^P180,0)</f>
        <v>#VALUE!</v>
      </c>
      <c r="Q181" s="83"/>
      <c r="R181" s="2105" t="e">
        <f>IF(AND(R89&gt;0,R$100&gt;0),R179*(R$89/(Wind_Night*R$98*R$100))^R180,0)</f>
        <v>#VALUE!</v>
      </c>
      <c r="S181" s="83"/>
      <c r="T181" s="2105" t="e">
        <f>IF(AND(T89&gt;0,T$100&gt;0),T179*(T$89/(Wind_Night*T$98*T$100))^T180,0)</f>
        <v>#VALUE!</v>
      </c>
      <c r="U181" s="83"/>
      <c r="V181" s="2105" t="e">
        <f>IF(AND(V89&gt;0,V$100&gt;0),V179*(V$89/(Wind_Night*V$98*V$100))^V180,0)</f>
        <v>#VALUE!</v>
      </c>
      <c r="W181" s="83"/>
      <c r="X181" s="2105" t="e">
        <f>IF(AND(X89&gt;0,X$100&gt;0),X179*(X$89/(Wind_Night*X$98*X$100))^X180,0)</f>
        <v>#VALUE!</v>
      </c>
      <c r="Y181" s="83"/>
      <c r="Z181" s="2987"/>
      <c r="AA181" s="83"/>
      <c r="AB181" s="81"/>
      <c r="AC181" s="1691" t="s">
        <v>5072</v>
      </c>
      <c r="AD181" s="81"/>
      <c r="AE181" s="2985">
        <f>IF(AE180&gt;0,NBPlume_A_Night*AE$89/(AE$98*Wind_Night*AE171),0)^NBPlume_B_Night</f>
        <v>0</v>
      </c>
      <c r="AF181" s="81"/>
      <c r="AG181" s="2985">
        <f>IF(AG180&gt;0,NBPlume_A_Night*AG$89/(AG$98*Wind_Night*AG171),0)^NBPlume_B_Night</f>
        <v>0</v>
      </c>
      <c r="AH181" s="81"/>
      <c r="AI181" s="2985">
        <f>IF(AI180&gt;0,NBPlume_A_Night*AI$89/(AI$98*Wind_Night*AI171),0)^NBPlume_B_Night</f>
        <v>0</v>
      </c>
      <c r="AJ181" s="81"/>
      <c r="AK181" s="2985">
        <f>IF(AK180&gt;0,NBPlume_A_Night*AK$89/(AK$98*Wind_Night*AK171),0)^NBPlume_B_Night</f>
        <v>0</v>
      </c>
      <c r="AL181" s="81"/>
      <c r="AM181" s="2985">
        <f>IF(AM180&gt;0,NBPlume_A_Night*AM$89/(AM$98*Wind_Night*AM171),0)^NBPlume_B_Night</f>
        <v>0</v>
      </c>
      <c r="AN181" s="81"/>
      <c r="AO181" s="2985">
        <f>IF(AO180&gt;0,NBPlume_A_Night*AO$89/(AO$98*Wind_Night*AO171),0)^NBPlume_B_Night</f>
        <v>0</v>
      </c>
      <c r="AP181" s="81"/>
      <c r="AQ181" s="85"/>
      <c r="AR181" s="81"/>
      <c r="AS181" s="83"/>
      <c r="AT181" s="512" t="s">
        <v>5115</v>
      </c>
      <c r="AU181" s="83"/>
      <c r="AV181" s="3000" t="e">
        <f>LN(IF(AV$180&lt;AV$83,IF(LOG(AV$179)&lt;-0.44,5.01,IF(LOG(AV$179)&lt;0.43,10^(0.81+0.26*LOG(AV$179)),8.51))*AV87^0.333,1))</f>
        <v>#DIV/0!</v>
      </c>
      <c r="AW181" s="269"/>
      <c r="AX181" s="3000" t="e">
        <f>LN(IF(AX$180&lt;AX$83,IF(LOG(AX$179)&lt;-0.44,5.01,IF(LOG(AX$179)&lt;0.43,10^(0.81+0.26*LOG(AX$179)),8.51))*AX87^0.333,1))</f>
        <v>#DIV/0!</v>
      </c>
      <c r="AY181" s="269"/>
      <c r="AZ181" s="3000" t="e">
        <f>LN(IF(AZ$180&lt;AZ$83,IF(LOG(AZ$179)&lt;-0.44,5.01,IF(LOG(AZ$179)&lt;0.43,10^(0.81+0.26*LOG(AZ$179)),8.51))*AZ87^0.333,1))</f>
        <v>#DIV/0!</v>
      </c>
      <c r="BA181" s="269"/>
      <c r="BB181" s="3000" t="e">
        <f>LN(IF(BB$180&lt;BB$83,IF(LOG(BB$179)&lt;-0.44,5.01,IF(LOG(BB$179)&lt;0.43,10^(0.81+0.26*LOG(BB$179)),8.51))*BB87^0.333,1))</f>
        <v>#DIV/0!</v>
      </c>
      <c r="BC181" s="269"/>
      <c r="BD181" s="3000" t="e">
        <f>LN(IF(BD$180&lt;BD$83,IF(LOG(BD$179)&lt;-0.44,5.01,IF(LOG(BD$179)&lt;0.43,10^(0.81+0.26*LOG(BD$179)),8.51))*BD87^0.333,1))</f>
        <v>#DIV/0!</v>
      </c>
      <c r="BE181" s="269"/>
      <c r="BF181" s="3000" t="e">
        <f>LN(IF(BF$180&lt;BF$83,IF(LOG(BF$179)&lt;-0.44,5.01,IF(LOG(BF$179)&lt;0.43,10^(0.81+0.26*LOG(BF$179)),8.51))*BF87^0.333,1))</f>
        <v>#DIV/0!</v>
      </c>
      <c r="BG181" s="269"/>
      <c r="BH181" s="3000" t="e">
        <f>LN(IF(BH$180&lt;BH$83,IF(LOG(BH$179)&lt;-0.44,5.01,IF(LOG(BH$179)&lt;0.43,10^(0.81+0.26*LOG(BH$179)),8.51))*BH87^0.333,1))</f>
        <v>#DIV/0!</v>
      </c>
      <c r="BI181" s="269"/>
      <c r="BJ181" s="3000" t="e">
        <f>LN(IF(BJ$180&lt;BJ$83,IF(LOG(BJ$179)&lt;-0.44,5.01,IF(LOG(BJ$179)&lt;0.43,10^(0.81+0.26*LOG(BJ$179)),8.51))*BJ87^0.333,1))</f>
        <v>#DIV/0!</v>
      </c>
      <c r="BK181" s="269"/>
      <c r="BL181" s="3000" t="e">
        <f>LN(IF(BL$180&lt;BL$83,IF(LOG(BL$179)&lt;-0.44,5.01,IF(LOG(BL$179)&lt;0.43,10^(0.81+0.26*LOG(BL$179)),8.51))*BL87^0.333,1))</f>
        <v>#DIV/0!</v>
      </c>
      <c r="BM181" s="269"/>
      <c r="BN181" s="3000" t="e">
        <f>LN(IF(BN$180&lt;BN$83,IF(LOG(BN$179)&lt;-0.44,5.01,IF(LOG(BN$179)&lt;0.43,10^(0.81+0.26*LOG(BN$179)),8.51))*BN87^0.333,1))</f>
        <v>#DIV/0!</v>
      </c>
      <c r="BO181" s="269"/>
      <c r="BP181" s="1835"/>
      <c r="BQ181" s="83"/>
      <c r="BR181" s="81"/>
      <c r="BS181" s="2976" t="s">
        <v>5124</v>
      </c>
      <c r="BT181" s="81"/>
      <c r="BU181" s="2105" t="e">
        <f>IF(BU$100&gt;0,BU179*(IF(BU$89="",BU$83/3600,BU$89)/(Wind_Night*BU$98*BU$100))^BU180,0)</f>
        <v>#DIV/0!</v>
      </c>
      <c r="BV181" s="81"/>
      <c r="BW181" s="2105" t="e">
        <f>IF(BW$100&gt;0,BW179*(IF(BW$89="",BW$83/3600,BW$89)/(Wind_Night*BW$98*BW$100))^BW180,0)</f>
        <v>#DIV/0!</v>
      </c>
      <c r="BX181" s="81"/>
      <c r="BY181" s="2105" t="e">
        <f>IF(BY$100&gt;0,BY179*(IF(BY$89="",BY$83/3600,BY$89)/(Wind_Night*BY$98*BY$100))^BY180,0)</f>
        <v>#DIV/0!</v>
      </c>
      <c r="BZ181" s="81"/>
      <c r="CA181" s="2105" t="e">
        <f>IF(CA$100&gt;0,CA179*(IF(CA$89="",CA$83/3600,CA$89)/(Wind_Night*CA$98*CA$100))^CA180,0)</f>
        <v>#DIV/0!</v>
      </c>
      <c r="CB181" s="81"/>
      <c r="CC181" s="2105" t="e">
        <f>IF(CC$100&gt;0,CC179*(IF(CC$89="",CC$83/3600,CC$89)/(Wind_Night*CC$98*CC$100))^CC180,0)</f>
        <v>#DIV/0!</v>
      </c>
      <c r="CD181" s="81"/>
      <c r="CE181" s="23"/>
      <c r="CF181" s="81"/>
      <c r="CG181" s="83"/>
      <c r="CH181" s="85" t="s">
        <v>1393</v>
      </c>
      <c r="CI181" s="83"/>
      <c r="CJ181" s="88">
        <f>IF('User Scenario'!S42&lt;&gt;"",'User Scenario'!S42*Public_Units_Conversion,0)</f>
        <v>0</v>
      </c>
      <c r="CK181" s="83"/>
      <c r="CL181" s="23" t="s">
        <v>1068</v>
      </c>
      <c r="CM181" s="83"/>
      <c r="CN181" s="7"/>
      <c r="CO181" s="7"/>
      <c r="CP181" s="7"/>
      <c r="CQ181" s="7"/>
      <c r="CR181" s="7"/>
    </row>
    <row r="182" spans="1:97" s="26" customFormat="1" ht="15" customHeight="1" x14ac:dyDescent="0.25">
      <c r="A182" s="2"/>
      <c r="B182" s="1691" t="s">
        <v>5064</v>
      </c>
      <c r="C182" s="83"/>
      <c r="D182" s="1288">
        <f>IF(D104&gt;0,(D104*D103^0.333/Wind_Night^2)^0.5,0)</f>
        <v>0</v>
      </c>
      <c r="E182" s="83"/>
      <c r="F182" s="1288">
        <f>IF(F104&gt;0,(F104*F103^0.333/Wind_Night^2)^0.5,0)</f>
        <v>0</v>
      </c>
      <c r="G182" s="83"/>
      <c r="H182" s="1288">
        <f>IF(H104&gt;0,(H104*H103^0.333/Wind_Night^2)^0.5,0)</f>
        <v>0</v>
      </c>
      <c r="I182" s="83"/>
      <c r="J182" s="1288">
        <f>IF(J104&gt;0,(J104*J103^0.333/Wind_Night^2)^0.5,0)</f>
        <v>0</v>
      </c>
      <c r="K182" s="83"/>
      <c r="L182" s="1288">
        <f>IF(L104&gt;0,(L104*L103^0.333/Wind_Night^2)^0.5,0)</f>
        <v>0</v>
      </c>
      <c r="M182" s="83"/>
      <c r="N182" s="1288">
        <f>IF(N104&gt;0,(N104*N103^0.333/Wind_Night^2)^0.5,0)</f>
        <v>0</v>
      </c>
      <c r="O182" s="83"/>
      <c r="P182" s="1288">
        <f>IF(P104&gt;0,(P104*P103^0.333/Wind_Night^2)^0.5,0)</f>
        <v>0</v>
      </c>
      <c r="Q182" s="83"/>
      <c r="R182" s="1288">
        <f>IF(R104&gt;0,(R104*R103^0.333/Wind_Night^2)^0.5,0)</f>
        <v>0</v>
      </c>
      <c r="S182" s="83"/>
      <c r="T182" s="1288">
        <f>IF(T104&gt;0,(T104*T103^0.333/Wind_Night^2)^0.5,0)</f>
        <v>0</v>
      </c>
      <c r="U182" s="83"/>
      <c r="V182" s="1288">
        <f>IF(V104&gt;0,(V104*V103^0.333/Wind_Night^2)^0.5,0)</f>
        <v>0</v>
      </c>
      <c r="W182" s="83"/>
      <c r="X182" s="1288">
        <f>IF(X104&gt;0,(X104*X103^0.333/Wind_Night^2)^0.5,0)</f>
        <v>0</v>
      </c>
      <c r="Y182" s="83"/>
      <c r="Z182" s="2986"/>
      <c r="AA182" s="83"/>
      <c r="AB182" s="81"/>
      <c r="AC182" s="512" t="s">
        <v>5099</v>
      </c>
      <c r="AD182" s="81"/>
      <c r="AE182" s="2981">
        <f>IF(AE$89&gt;0,LN(IF(AE$180&gt;=10,AE$99*AE$178*10^AE$179,NBPlume_A_Night*AE$89/(AE$98*Wind_Night)/(10-AE$180+AE$181)^(1/NBPlume_B_Night))),0)</f>
        <v>0</v>
      </c>
      <c r="AF182" s="81"/>
      <c r="AG182" s="2981">
        <f>IF(AG$89&gt;0,LN(IF(AG$180&gt;=10,AG$99*AG$178*10^AG$179,NBPlume_A_Night*AG$89/(AG$98*Wind_Night)/(10-AG$180+AG$181)^(1/NBPlume_B_Night))),0)</f>
        <v>0</v>
      </c>
      <c r="AH182" s="81"/>
      <c r="AI182" s="2981">
        <f>IF(AI$89&gt;0,LN(IF(AI$180&gt;=10,AI$99*AI$178*10^AI$179,NBPlume_A_Night*AI$89/(AI$98*Wind_Night)/(10-AI$180+AI$181)^(1/NBPlume_B_Night))),0)</f>
        <v>0</v>
      </c>
      <c r="AJ182" s="81"/>
      <c r="AK182" s="2981">
        <f>IF(AK$89&gt;0,LN(IF(AK$180&gt;=10,AK$99*AK$178*10^AK$179,NBPlume_A_Night*AK$89/(AK$98*Wind_Night)/(10-AK$180+AK$181)^(1/NBPlume_B_Night))),0)</f>
        <v>0</v>
      </c>
      <c r="AL182" s="81"/>
      <c r="AM182" s="2981">
        <f>IF(AM$89&gt;0,LN(IF(AM$180&gt;=10,AM$99*AM$178*10^AM$179,NBPlume_A_Night*AM$89/(AM$98*Wind_Night)/(10-AM$180+AM$181)^(1/NBPlume_B_Night))),0)</f>
        <v>0</v>
      </c>
      <c r="AN182" s="81"/>
      <c r="AO182" s="2981">
        <f>IF(AO$89&gt;0,LN(IF(AO$180&gt;=10,AO$99*AO$178*10^AO$179,NBPlume_A_Night*AO$89/(AO$98*Wind_Night)/(10-AO$180+AO$181)^(1/NBPlume_B_Night))),0)</f>
        <v>0</v>
      </c>
      <c r="AP182" s="81"/>
      <c r="AQ182" s="85"/>
      <c r="AR182" s="81"/>
      <c r="AS182" s="83"/>
      <c r="AT182" s="512" t="s">
        <v>5116</v>
      </c>
      <c r="AU182" s="83"/>
      <c r="AV182" s="3000" t="e">
        <f>LN(IF(AV$180&lt;AV$83,IF(LOG(AV$179)&lt;-0.56,7.08,IF(LOG(AV$179)&lt;0.31,10^(1+0.26*LOG(AV$179)),10^(1.12-0.12*LOG(AV$179))))*AV87^0.333,1))</f>
        <v>#DIV/0!</v>
      </c>
      <c r="AW182" s="269"/>
      <c r="AX182" s="3000" t="e">
        <f>LN(IF(AX$180&lt;AX$83,IF(LOG(AX$179)&lt;-0.56,7.08,IF(LOG(AX$179)&lt;0.31,10^(1+0.26*LOG(AX$179)),10^(1.12-0.12*LOG(AX$179))))*AX87^0.333,1))</f>
        <v>#DIV/0!</v>
      </c>
      <c r="AY182" s="269"/>
      <c r="AZ182" s="3000" t="e">
        <f>LN(IF(AZ$180&lt;AZ$83,IF(LOG(AZ$179)&lt;-0.56,7.08,IF(LOG(AZ$179)&lt;0.31,10^(1+0.26*LOG(AZ$179)),10^(1.12-0.12*LOG(AZ$179))))*AZ87^0.333,1))</f>
        <v>#DIV/0!</v>
      </c>
      <c r="BA182" s="269"/>
      <c r="BB182" s="3000" t="e">
        <f>LN(IF(BB$180&lt;BB$83,IF(LOG(BB$179)&lt;-0.56,7.08,IF(LOG(BB$179)&lt;0.31,10^(1+0.26*LOG(BB$179)),10^(1.12-0.12*LOG(BB$179))))*BB87^0.333,1))</f>
        <v>#DIV/0!</v>
      </c>
      <c r="BC182" s="269"/>
      <c r="BD182" s="3000" t="e">
        <f>LN(IF(BD$180&lt;BD$83,IF(LOG(BD$179)&lt;-0.56,7.08,IF(LOG(BD$179)&lt;0.31,10^(1+0.26*LOG(BD$179)),10^(1.12-0.12*LOG(BD$179))))*BD87^0.333,1))</f>
        <v>#DIV/0!</v>
      </c>
      <c r="BE182" s="269"/>
      <c r="BF182" s="3000" t="e">
        <f>LN(IF(BF$180&lt;BF$83,IF(LOG(BF$179)&lt;-0.56,7.08,IF(LOG(BF$179)&lt;0.31,10^(1+0.26*LOG(BF$179)),10^(1.12-0.12*LOG(BF$179))))*BF87^0.333,1))</f>
        <v>#DIV/0!</v>
      </c>
      <c r="BG182" s="269"/>
      <c r="BH182" s="3000" t="e">
        <f>LN(IF(BH$180&lt;BH$83,IF(LOG(BH$179)&lt;-0.56,7.08,IF(LOG(BH$179)&lt;0.31,10^(1+0.26*LOG(BH$179)),10^(1.12-0.12*LOG(BH$179))))*BH87^0.333,1))</f>
        <v>#DIV/0!</v>
      </c>
      <c r="BI182" s="269"/>
      <c r="BJ182" s="3000" t="e">
        <f>LN(IF(BJ$180&lt;BJ$83,IF(LOG(BJ$179)&lt;-0.56,7.08,IF(LOG(BJ$179)&lt;0.31,10^(1+0.26*LOG(BJ$179)),10^(1.12-0.12*LOG(BJ$179))))*BJ87^0.333,1))</f>
        <v>#DIV/0!</v>
      </c>
      <c r="BK182" s="269"/>
      <c r="BL182" s="3000" t="e">
        <f>LN(IF(BL$180&lt;BL$83,IF(LOG(BL$179)&lt;-0.56,7.08,IF(LOG(BL$179)&lt;0.31,10^(1+0.26*LOG(BL$179)),10^(1.12-0.12*LOG(BL$179))))*BL87^0.333,1))</f>
        <v>#DIV/0!</v>
      </c>
      <c r="BM182" s="269"/>
      <c r="BN182" s="3000" t="e">
        <f>LN(IF(BN$180&lt;BN$83,IF(LOG(BN$179)&lt;-0.56,7.08,IF(LOG(BN$179)&lt;0.31,10^(1+0.26*LOG(BN$179)),10^(1.12-0.12*LOG(BN$179))))*BN87^0.333,1))</f>
        <v>#DIV/0!</v>
      </c>
      <c r="BO182" s="269"/>
      <c r="BP182" s="1835"/>
      <c r="BQ182" s="83"/>
      <c r="BR182" s="81"/>
      <c r="BS182" s="1691" t="s">
        <v>5064</v>
      </c>
      <c r="BT182" s="81"/>
      <c r="BU182" s="1288">
        <f>IF(BU104&gt;0,(BU104*BU103^0.333/Wind_Night^2)^0.5,0)</f>
        <v>0</v>
      </c>
      <c r="BV182" s="81"/>
      <c r="BW182" s="1288">
        <f>IF(BW104&gt;0,(BW104*BW103^0.333/Wind_Night^2)^0.5,0)</f>
        <v>0</v>
      </c>
      <c r="BX182" s="81"/>
      <c r="BY182" s="1288">
        <f>IF(BY104&gt;0,(BY104*BY103^0.333/Wind_Night^2)^0.5,0)</f>
        <v>0</v>
      </c>
      <c r="BZ182" s="81"/>
      <c r="CA182" s="1288">
        <f>IF(CA104&gt;0,(CA104*CA103^0.333/Wind_Night^2)^0.5,0)</f>
        <v>0</v>
      </c>
      <c r="CB182" s="81"/>
      <c r="CC182" s="1288">
        <f>IF(CC104&gt;0,(CC104*CC103^0.333/Wind_Night^2)^0.5,0)</f>
        <v>0</v>
      </c>
      <c r="CD182" s="81"/>
      <c r="CE182" s="23"/>
      <c r="CF182" s="81"/>
      <c r="CG182" s="83"/>
      <c r="CH182" s="85" t="s">
        <v>4811</v>
      </c>
      <c r="CI182" s="83"/>
      <c r="CJ182" s="88">
        <f>IF('User Scenario'!S43&lt;&gt;"",'User Scenario'!S43*Public_Units_Conversion,0)</f>
        <v>0</v>
      </c>
      <c r="CK182" s="83"/>
      <c r="CL182" s="23" t="s">
        <v>1068</v>
      </c>
      <c r="CM182" s="83"/>
      <c r="CN182" s="7"/>
      <c r="CO182" s="7"/>
      <c r="CP182" s="7"/>
      <c r="CQ182" s="7"/>
      <c r="CR182" s="7"/>
    </row>
    <row r="183" spans="1:97" s="26" customFormat="1" ht="15" customHeight="1" x14ac:dyDescent="0.25">
      <c r="A183" s="2"/>
      <c r="B183" s="1691" t="s">
        <v>5065</v>
      </c>
      <c r="C183" s="83"/>
      <c r="D183" s="3000">
        <f>IF(AND(D$104&gt;0,D182&gt;0),D99*(0.2/D182)^3,1)</f>
        <v>1</v>
      </c>
      <c r="E183" s="83"/>
      <c r="F183" s="3000">
        <f>IF(AND(F$104&gt;0,F182&gt;0),F99*(0.2/F182)^3,1)</f>
        <v>1</v>
      </c>
      <c r="G183" s="83"/>
      <c r="H183" s="3000">
        <f>IF(AND(H$104&gt;0,H182&gt;0),H99*(0.2/H182)^3,1)</f>
        <v>1</v>
      </c>
      <c r="I183" s="83"/>
      <c r="J183" s="3000">
        <f>IF(AND(J$104&gt;0,J182&gt;0),J99*(0.2/J182)^3,1)</f>
        <v>1</v>
      </c>
      <c r="K183" s="83"/>
      <c r="L183" s="3000">
        <f>IF(AND(L$104&gt;0,L182&gt;0),L99*(0.2/L182)^3,1)</f>
        <v>1</v>
      </c>
      <c r="M183" s="83"/>
      <c r="N183" s="3000">
        <f>IF(AND(N$104&gt;0,N182&gt;0),N99*(0.2/N182)^3,1)</f>
        <v>1</v>
      </c>
      <c r="O183" s="83"/>
      <c r="P183" s="3000">
        <f>IF(AND(P$104&gt;0,P182&gt;0),P99*(0.2/P182)^3,1)</f>
        <v>1</v>
      </c>
      <c r="Q183" s="83"/>
      <c r="R183" s="3000">
        <f>IF(AND(R$104&gt;0,R182&gt;0),R99*(0.2/R182)^3,1)</f>
        <v>1</v>
      </c>
      <c r="S183" s="83"/>
      <c r="T183" s="3000">
        <f>IF(AND(T$104&gt;0,T182&gt;0),T99*(0.2/T182)^3,1)</f>
        <v>1</v>
      </c>
      <c r="U183" s="83"/>
      <c r="V183" s="3000">
        <f>IF(AND(V$104&gt;0,V182&gt;0),V99*(0.2/V182)^3,1)</f>
        <v>1</v>
      </c>
      <c r="W183" s="83"/>
      <c r="X183" s="3000">
        <f>IF(AND(X$104&gt;0,X182&gt;0),X99*(0.2/X182)^3,1)</f>
        <v>1</v>
      </c>
      <c r="Y183" s="83"/>
      <c r="Z183" s="85" t="s">
        <v>3543</v>
      </c>
      <c r="AA183" s="83"/>
      <c r="AB183" s="81"/>
      <c r="AC183" s="512" t="s">
        <v>5100</v>
      </c>
      <c r="AD183" s="81"/>
      <c r="AE183" s="2981">
        <f>IF(AE$89&gt;0,LN(IF(AE$180&gt;=20,AE$99*AE$178*20^AE$179,NBPlume_A_Night*AE$89/(AE$98*Wind_Night)/(20-AE$180+AE$181)^(1/NBPlume_B_Night))),0)</f>
        <v>0</v>
      </c>
      <c r="AF183" s="81"/>
      <c r="AG183" s="2981">
        <f>IF(AG$89&gt;0,LN(IF(AG$180&gt;=20,AG$99*AG$178*20^AG$179,NBPlume_A_Night*AG$89/(AG$98*Wind_Night)/(20-AG$180+AG$181)^(1/NBPlume_B_Night))),0)</f>
        <v>0</v>
      </c>
      <c r="AH183" s="81"/>
      <c r="AI183" s="2981">
        <f>IF(AI$89&gt;0,LN(IF(AI$180&gt;=20,AI$99*AI$178*20^AI$179,NBPlume_A_Night*AI$89/(AI$98*Wind_Night)/(20-AI$180+AI$181)^(1/NBPlume_B_Night))),0)</f>
        <v>0</v>
      </c>
      <c r="AJ183" s="81"/>
      <c r="AK183" s="2981">
        <f>IF(AK$89&gt;0,LN(IF(AK$180&gt;=20,AK$99*AK$178*20^AK$179,NBPlume_A_Night*AK$89/(AK$98*Wind_Night)/(20-AK$180+AK$181)^(1/NBPlume_B_Night))),0)</f>
        <v>0</v>
      </c>
      <c r="AL183" s="81"/>
      <c r="AM183" s="2981">
        <f>IF(AM$89&gt;0,LN(IF(AM$180&gt;=20,AM$99*AM$178*20^AM$179,NBPlume_A_Night*AM$89/(AM$98*Wind_Night)/(20-AM$180+AM$181)^(1/NBPlume_B_Night))),0)</f>
        <v>0</v>
      </c>
      <c r="AN183" s="81"/>
      <c r="AO183" s="2981">
        <f>IF(AO$89&gt;0,LN(IF(AO$180&gt;=20,AO$99*AO$178*20^AO$179,NBPlume_A_Night*AO$89/(AO$98*Wind_Night)/(20-AO$180+AO$181)^(1/NBPlume_B_Night))),0)</f>
        <v>0</v>
      </c>
      <c r="AP183" s="81"/>
      <c r="AQ183" s="85"/>
      <c r="AR183" s="81"/>
      <c r="AS183" s="83"/>
      <c r="AT183" s="512" t="s">
        <v>5117</v>
      </c>
      <c r="AU183" s="83"/>
      <c r="AV183" s="3000" t="e">
        <f>LN(IF(AV$180&lt;AV$83,IF(LOG(AV$179)&lt;-0.66,8.91,IF(LOG(AV$179)&lt;0.32,10^(1.19+0.36*LOG(AV$179)),10^(1.38-0.26*LOG(AV$179))))*AV87^0.333,1))</f>
        <v>#DIV/0!</v>
      </c>
      <c r="AW183" s="269"/>
      <c r="AX183" s="3000" t="e">
        <f>LN(IF(AX$180&lt;AX$83,IF(LOG(AX$179)&lt;-0.66,8.91,IF(LOG(AX$179)&lt;0.32,10^(1.19+0.36*LOG(AX$179)),10^(1.38-0.26*LOG(AX$179))))*AX87^0.333,1))</f>
        <v>#DIV/0!</v>
      </c>
      <c r="AY183" s="269"/>
      <c r="AZ183" s="3000" t="e">
        <f>LN(IF(AZ$180&lt;AZ$83,IF(LOG(AZ$179)&lt;-0.66,8.91,IF(LOG(AZ$179)&lt;0.32,10^(1.19+0.36*LOG(AZ$179)),10^(1.38-0.26*LOG(AZ$179))))*AZ87^0.333,1))</f>
        <v>#DIV/0!</v>
      </c>
      <c r="BA183" s="269"/>
      <c r="BB183" s="3000" t="e">
        <f>LN(IF(BB$180&lt;BB$83,IF(LOG(BB$179)&lt;-0.66,8.91,IF(LOG(BB$179)&lt;0.32,10^(1.19+0.36*LOG(BB$179)),10^(1.38-0.26*LOG(BB$179))))*BB87^0.333,1))</f>
        <v>#DIV/0!</v>
      </c>
      <c r="BC183" s="269"/>
      <c r="BD183" s="3000" t="e">
        <f>LN(IF(BD$180&lt;BD$83,IF(LOG(BD$179)&lt;-0.66,8.91,IF(LOG(BD$179)&lt;0.32,10^(1.19+0.36*LOG(BD$179)),10^(1.38-0.26*LOG(BD$179))))*BD87^0.333,1))</f>
        <v>#DIV/0!</v>
      </c>
      <c r="BE183" s="269"/>
      <c r="BF183" s="3000" t="e">
        <f>LN(IF(BF$180&lt;BF$83,IF(LOG(BF$179)&lt;-0.66,8.91,IF(LOG(BF$179)&lt;0.32,10^(1.19+0.36*LOG(BF$179)),10^(1.38-0.26*LOG(BF$179))))*BF87^0.333,1))</f>
        <v>#DIV/0!</v>
      </c>
      <c r="BG183" s="269"/>
      <c r="BH183" s="3000" t="e">
        <f>LN(IF(BH$180&lt;BH$83,IF(LOG(BH$179)&lt;-0.66,8.91,IF(LOG(BH$179)&lt;0.32,10^(1.19+0.36*LOG(BH$179)),10^(1.38-0.26*LOG(BH$179))))*BH87^0.333,1))</f>
        <v>#DIV/0!</v>
      </c>
      <c r="BI183" s="269"/>
      <c r="BJ183" s="3000" t="e">
        <f>LN(IF(BJ$180&lt;BJ$83,IF(LOG(BJ$179)&lt;-0.66,8.91,IF(LOG(BJ$179)&lt;0.32,10^(1.19+0.36*LOG(BJ$179)),10^(1.38-0.26*LOG(BJ$179))))*BJ87^0.333,1))</f>
        <v>#DIV/0!</v>
      </c>
      <c r="BK183" s="269"/>
      <c r="BL183" s="3000" t="e">
        <f>LN(IF(BL$180&lt;BL$83,IF(LOG(BL$179)&lt;-0.66,8.91,IF(LOG(BL$179)&lt;0.32,10^(1.19+0.36*LOG(BL$179)),10^(1.38-0.26*LOG(BL$179))))*BL87^0.333,1))</f>
        <v>#DIV/0!</v>
      </c>
      <c r="BM183" s="269"/>
      <c r="BN183" s="3000" t="e">
        <f>LN(IF(BN$180&lt;BN$83,IF(LOG(BN$179)&lt;-0.66,8.91,IF(LOG(BN$179)&lt;0.32,10^(1.19+0.36*LOG(BN$179)),10^(1.38-0.26*LOG(BN$179))))*BN87^0.333,1))</f>
        <v>#DIV/0!</v>
      </c>
      <c r="BO183" s="269"/>
      <c r="BP183" s="1835"/>
      <c r="BQ183" s="83"/>
      <c r="BR183" s="81"/>
      <c r="BS183" s="1691" t="s">
        <v>5065</v>
      </c>
      <c r="BT183" s="81"/>
      <c r="BU183" s="3000">
        <f>IF(AND(BU$104&gt;0,BU182&gt;0),BU99*(0.2/BU182)^3,1)</f>
        <v>1</v>
      </c>
      <c r="BV183" s="81"/>
      <c r="BW183" s="3000">
        <f>IF(AND(BW$104&gt;0,BW182&gt;0),BW99*(0.2/BW182)^3,1)</f>
        <v>1</v>
      </c>
      <c r="BX183" s="81"/>
      <c r="BY183" s="3000">
        <f>IF(AND(BY$104&gt;0,BY182&gt;0),BY99*(0.2/BY182)^3,1)</f>
        <v>1</v>
      </c>
      <c r="BZ183" s="81"/>
      <c r="CA183" s="3000">
        <f>IF(AND(CA$104&gt;0,CA182&gt;0),CA99*(0.2/CA182)^3,1)</f>
        <v>1</v>
      </c>
      <c r="CB183" s="81"/>
      <c r="CC183" s="3000">
        <f>IF(AND(CC$104&gt;0,CC182&gt;0),CC99*(0.2/CC182)^3,1)</f>
        <v>1</v>
      </c>
      <c r="CD183" s="81"/>
      <c r="CE183" s="23"/>
      <c r="CF183" s="81"/>
      <c r="CG183" s="83"/>
      <c r="CH183" s="85" t="s">
        <v>481</v>
      </c>
      <c r="CI183" s="83"/>
      <c r="CJ183" s="17" t="str">
        <f>IF(AND(CJ181&lt;&gt;"",CJ181&gt;Public),"Yes","No")</f>
        <v>No</v>
      </c>
      <c r="CK183" s="83"/>
      <c r="CL183" s="23"/>
      <c r="CM183" s="83"/>
      <c r="CN183" s="7"/>
      <c r="CO183" s="7"/>
      <c r="CP183" s="7"/>
      <c r="CQ183" s="7"/>
      <c r="CR183" s="7"/>
    </row>
    <row r="184" spans="1:97" s="26" customFormat="1" ht="15" customHeight="1" x14ac:dyDescent="0.25">
      <c r="A184" s="2"/>
      <c r="B184" s="512" t="s">
        <v>5115</v>
      </c>
      <c r="C184" s="83"/>
      <c r="D184" s="3000">
        <f>LN(IF(D$183&lt;D$99,IF(LOG(D$182)&lt;-0.44,5.01,IF(LOG(D$182)&lt;0.43,10^(0.81+0.26*LOG(D$182)),8.51))*D103^0.333,1))</f>
        <v>0</v>
      </c>
      <c r="E184" s="83"/>
      <c r="F184" s="3000">
        <f>LN(IF(F$183&lt;F$99,IF(LOG(F$182)&lt;-0.44,5.01,IF(LOG(F$182)&lt;0.43,10^(0.81+0.26*LOG(F$182)),8.51))*F103^0.333,1))</f>
        <v>0</v>
      </c>
      <c r="G184" s="83"/>
      <c r="H184" s="3000">
        <f>LN(IF(H$183&lt;H$99,IF(LOG(H$182)&lt;-0.44,5.01,IF(LOG(H$182)&lt;0.43,10^(0.81+0.26*LOG(H$182)),8.51))*H103^0.333,1))</f>
        <v>0</v>
      </c>
      <c r="I184" s="83"/>
      <c r="J184" s="3000">
        <f>LN(IF(J$183&lt;J$99,IF(LOG(J$182)&lt;-0.44,5.01,IF(LOG(J$182)&lt;0.43,10^(0.81+0.26*LOG(J$182)),8.51))*J103^0.333,1))</f>
        <v>0</v>
      </c>
      <c r="K184" s="83"/>
      <c r="L184" s="3000">
        <f>LN(IF(L$183&lt;L$99,IF(LOG(L$182)&lt;-0.44,5.01,IF(LOG(L$182)&lt;0.43,10^(0.81+0.26*LOG(L$182)),8.51))*L103^0.333,1))</f>
        <v>0</v>
      </c>
      <c r="M184" s="83"/>
      <c r="N184" s="3000">
        <f>LN(IF(N$183&lt;N$99,IF(LOG(N$182)&lt;-0.44,5.01,IF(LOG(N$182)&lt;0.43,10^(0.81+0.26*LOG(N$182)),8.51))*N103^0.333,1))</f>
        <v>0</v>
      </c>
      <c r="O184" s="83"/>
      <c r="P184" s="3000">
        <f>LN(IF(P$183&lt;P$99,IF(LOG(P$182)&lt;-0.44,5.01,IF(LOG(P$182)&lt;0.43,10^(0.81+0.26*LOG(P$182)),8.51))*P103^0.333,1))</f>
        <v>0</v>
      </c>
      <c r="Q184" s="83"/>
      <c r="R184" s="3000">
        <f>LN(IF(R$183&lt;R$99,IF(LOG(R$182)&lt;-0.44,5.01,IF(LOG(R$182)&lt;0.43,10^(0.81+0.26*LOG(R$182)),8.51))*R103^0.333,1))</f>
        <v>0</v>
      </c>
      <c r="S184" s="83"/>
      <c r="T184" s="3000">
        <f>LN(IF(T$183&lt;T$99,IF(LOG(T$182)&lt;-0.44,5.01,IF(LOG(T$182)&lt;0.43,10^(0.81+0.26*LOG(T$182)),8.51))*T103^0.333,1))</f>
        <v>0</v>
      </c>
      <c r="U184" s="83"/>
      <c r="V184" s="3000">
        <f>LN(IF(V$183&lt;V$99,IF(LOG(V$182)&lt;-0.44,5.01,IF(LOG(V$182)&lt;0.43,10^(0.81+0.26*LOG(V$182)),8.51))*V103^0.333,1))</f>
        <v>0</v>
      </c>
      <c r="W184" s="83"/>
      <c r="X184" s="3000">
        <f>LN(IF(X$183&lt;X$99,IF(LOG(X$182)&lt;-0.44,5.01,IF(LOG(X$182)&lt;0.43,10^(0.81+0.26*LOG(X$182)),8.51))*X103^0.333,1))</f>
        <v>0</v>
      </c>
      <c r="Y184" s="83"/>
      <c r="Z184" s="2987"/>
      <c r="AA184" s="83"/>
      <c r="AB184" s="81"/>
      <c r="AC184" s="512" t="s">
        <v>5101</v>
      </c>
      <c r="AD184" s="81"/>
      <c r="AE184" s="2981">
        <f>IF(AE$89&gt;0,LN(IF(AE$180&gt;=50,AE$99*AE$178*50^AE$179,NBPlume_A_Night*AE$89/(AE$98*Wind_Night)/(50-AE$180+AE$181)^(1/NBPlume_B_Night))),0)</f>
        <v>0</v>
      </c>
      <c r="AF184" s="81"/>
      <c r="AG184" s="2981">
        <f>IF(AG$89&gt;0,LN(IF(AG$180&gt;=50,AG$99*AG$178*50^AG$179,NBPlume_A_Night*AG$89/(AG$98*Wind_Night)/(50-AG$180+AG$181)^(1/NBPlume_B_Night))),0)</f>
        <v>0</v>
      </c>
      <c r="AH184" s="81"/>
      <c r="AI184" s="2981">
        <f>IF(AI$89&gt;0,LN(IF(AI$180&gt;=50,AI$99*AI$178*50^AI$179,NBPlume_A_Night*AI$89/(AI$98*Wind_Night)/(50-AI$180+AI$181)^(1/NBPlume_B_Night))),0)</f>
        <v>0</v>
      </c>
      <c r="AJ184" s="81"/>
      <c r="AK184" s="2981">
        <f>IF(AK$89&gt;0,LN(IF(AK$180&gt;=50,AK$99*AK$178*50^AK$179,NBPlume_A_Night*AK$89/(AK$98*Wind_Night)/(50-AK$180+AK$181)^(1/NBPlume_B_Night))),0)</f>
        <v>0</v>
      </c>
      <c r="AL184" s="81"/>
      <c r="AM184" s="2981">
        <f>IF(AM$89&gt;0,LN(IF(AM$180&gt;=50,AM$99*AM$178*50^AM$179,NBPlume_A_Night*AM$89/(AM$98*Wind_Night)/(50-AM$180+AM$181)^(1/NBPlume_B_Night))),0)</f>
        <v>0</v>
      </c>
      <c r="AN184" s="81"/>
      <c r="AO184" s="2981">
        <f>IF(AO$89&gt;0,LN(IF(AO$180&gt;=50,AO$99*AO$178*50^AO$179,NBPlume_A_Night*AO$89/(AO$98*Wind_Night)/(50-AO$180+AO$181)^(1/NBPlume_B_Night))),0)</f>
        <v>0</v>
      </c>
      <c r="AP184" s="81"/>
      <c r="AQ184" s="85"/>
      <c r="AR184" s="81"/>
      <c r="AS184" s="83"/>
      <c r="AT184" s="512" t="s">
        <v>5118</v>
      </c>
      <c r="AU184" s="83"/>
      <c r="AV184" s="3000" t="e">
        <f>LN(IF(AV$180&lt;AV$83,IF(LOG(AV$179)&lt;-0.71,14.1,IF(LOG(AV$179)&lt;0.37,10^(1.39+0.34*LOG(AV$179)),10^(1.66-0.38*LOG(AV$179))))*AV87^0.333,1))</f>
        <v>#DIV/0!</v>
      </c>
      <c r="AW184" s="269"/>
      <c r="AX184" s="3000" t="e">
        <f>LN(IF(AX$180&lt;AX$83,IF(LOG(AX$179)&lt;-0.71,14.1,IF(LOG(AX$179)&lt;0.37,10^(1.39+0.34*LOG(AX$179)),10^(1.66-0.38*LOG(AX$179))))*AX87^0.333,1))</f>
        <v>#DIV/0!</v>
      </c>
      <c r="AY184" s="269"/>
      <c r="AZ184" s="3000" t="e">
        <f>LN(IF(AZ$180&lt;AZ$83,IF(LOG(AZ$179)&lt;-0.71,14.1,IF(LOG(AZ$179)&lt;0.37,10^(1.39+0.34*LOG(AZ$179)),10^(1.66-0.38*LOG(AZ$179))))*AZ87^0.333,1))</f>
        <v>#DIV/0!</v>
      </c>
      <c r="BA184" s="269"/>
      <c r="BB184" s="3000" t="e">
        <f>LN(IF(BB$180&lt;BB$83,IF(LOG(BB$179)&lt;-0.71,14.1,IF(LOG(BB$179)&lt;0.37,10^(1.39+0.34*LOG(BB$179)),10^(1.66-0.38*LOG(BB$179))))*BB87^0.333,1))</f>
        <v>#DIV/0!</v>
      </c>
      <c r="BC184" s="269"/>
      <c r="BD184" s="3000" t="e">
        <f>LN(IF(BD$180&lt;BD$83,IF(LOG(BD$179)&lt;-0.71,14.1,IF(LOG(BD$179)&lt;0.37,10^(1.39+0.34*LOG(BD$179)),10^(1.66-0.38*LOG(BD$179))))*BD87^0.333,1))</f>
        <v>#DIV/0!</v>
      </c>
      <c r="BE184" s="269"/>
      <c r="BF184" s="3000" t="e">
        <f>LN(IF(BF$180&lt;BF$83,IF(LOG(BF$179)&lt;-0.71,14.1,IF(LOG(BF$179)&lt;0.37,10^(1.39+0.34*LOG(BF$179)),10^(1.66-0.38*LOG(BF$179))))*BF87^0.333,1))</f>
        <v>#DIV/0!</v>
      </c>
      <c r="BG184" s="269"/>
      <c r="BH184" s="3000" t="e">
        <f>LN(IF(BH$180&lt;BH$83,IF(LOG(BH$179)&lt;-0.71,14.1,IF(LOG(BH$179)&lt;0.37,10^(1.39+0.34*LOG(BH$179)),10^(1.66-0.38*LOG(BH$179))))*BH87^0.333,1))</f>
        <v>#DIV/0!</v>
      </c>
      <c r="BI184" s="269"/>
      <c r="BJ184" s="3000" t="e">
        <f>LN(IF(BJ$180&lt;BJ$83,IF(LOG(BJ$179)&lt;-0.71,14.1,IF(LOG(BJ$179)&lt;0.37,10^(1.39+0.34*LOG(BJ$179)),10^(1.66-0.38*LOG(BJ$179))))*BJ87^0.333,1))</f>
        <v>#DIV/0!</v>
      </c>
      <c r="BK184" s="269"/>
      <c r="BL184" s="3000" t="e">
        <f>LN(IF(BL$180&lt;BL$83,IF(LOG(BL$179)&lt;-0.71,14.1,IF(LOG(BL$179)&lt;0.37,10^(1.39+0.34*LOG(BL$179)),10^(1.66-0.38*LOG(BL$179))))*BL87^0.333,1))</f>
        <v>#DIV/0!</v>
      </c>
      <c r="BM184" s="269"/>
      <c r="BN184" s="3000" t="e">
        <f>LN(IF(BN$180&lt;BN$83,IF(LOG(BN$179)&lt;-0.71,14.1,IF(LOG(BN$179)&lt;0.37,10^(1.39+0.34*LOG(BN$179)),10^(1.66-0.38*LOG(BN$179))))*BN87^0.333,1))</f>
        <v>#DIV/0!</v>
      </c>
      <c r="BO184" s="269"/>
      <c r="BP184" s="1835"/>
      <c r="BQ184" s="83"/>
      <c r="BR184" s="81"/>
      <c r="BS184" s="512" t="s">
        <v>5115</v>
      </c>
      <c r="BT184" s="81"/>
      <c r="BU184" s="3000">
        <f>LN(IF(BU$183&lt;BU$99,IF(LOG(BU$182)&lt;-0.44,5.01,IF(LOG(BU$182)&lt;0.43,10^(0.81+0.26*LOG(BU$182)),8.51))*BU103^0.333,1))</f>
        <v>0</v>
      </c>
      <c r="BV184" s="81"/>
      <c r="BW184" s="3000">
        <f>LN(IF(BW$183&lt;BW$99,IF(LOG(BW$182)&lt;-0.44,5.01,IF(LOG(BW$182)&lt;0.43,10^(0.81+0.26*LOG(BW$182)),8.51))*BW103^0.333,1))</f>
        <v>0</v>
      </c>
      <c r="BX184" s="81"/>
      <c r="BY184" s="3000">
        <f>LN(IF(BY$183&lt;BY$99,IF(LOG(BY$182)&lt;-0.44,5.01,IF(LOG(BY$182)&lt;0.43,10^(0.81+0.26*LOG(BY$182)),8.51))*BY103^0.333,1))</f>
        <v>0</v>
      </c>
      <c r="BZ184" s="81"/>
      <c r="CA184" s="3000">
        <f>LN(IF(CA$183&lt;CA$99,IF(LOG(CA$182)&lt;-0.44,5.01,IF(LOG(CA$182)&lt;0.43,10^(0.81+0.26*LOG(CA$182)),8.51))*CA103^0.333,1))</f>
        <v>0</v>
      </c>
      <c r="CB184" s="81"/>
      <c r="CC184" s="3000">
        <f>LN(IF(CC$183&lt;CC$99,IF(LOG(CC$182)&lt;-0.44,5.01,IF(LOG(CC$182)&lt;0.43,10^(0.81+0.26*LOG(CC$182)),8.51))*CC103^0.333,1))</f>
        <v>0</v>
      </c>
      <c r="CD184" s="81"/>
      <c r="CE184" s="23"/>
      <c r="CF184" s="81"/>
      <c r="CG184" s="83"/>
      <c r="CH184" s="23" t="s">
        <v>3757</v>
      </c>
      <c r="CI184" s="83"/>
      <c r="CJ184" s="97">
        <f>IF('User Scenario'!S44&lt;&gt;"",'User Scenario'!S44,0)</f>
        <v>0</v>
      </c>
      <c r="CK184" s="83"/>
      <c r="CL184" s="23" t="s">
        <v>968</v>
      </c>
      <c r="CM184" s="83"/>
      <c r="CN184" s="7"/>
      <c r="CO184" s="7"/>
      <c r="CP184" s="7"/>
      <c r="CQ184" s="7"/>
      <c r="CR184" s="7"/>
    </row>
    <row r="185" spans="1:97" s="26" customFormat="1" ht="15" customHeight="1" x14ac:dyDescent="0.25">
      <c r="A185" s="2"/>
      <c r="B185" s="512" t="s">
        <v>5116</v>
      </c>
      <c r="C185" s="83"/>
      <c r="D185" s="3000">
        <f>LN(IF(D$183&lt;D$99,IF(LOG(D$182)&lt;-0.56,7.08,IF(LOG(D$182)&lt;0.31,10^(1+0.26*LOG(D$182)),10^(1.12-0.12*LOG(D$182))))*D103^0.333,1))</f>
        <v>0</v>
      </c>
      <c r="E185" s="83"/>
      <c r="F185" s="3000">
        <f>LN(IF(F$183&lt;F$99,IF(LOG(F$182)&lt;-0.56,7.08,IF(LOG(F$182)&lt;0.31,10^(1+0.26*LOG(F$182)),10^(1.12-0.12*LOG(F$182))))*F103^0.333,1))</f>
        <v>0</v>
      </c>
      <c r="G185" s="83"/>
      <c r="H185" s="3000">
        <f>LN(IF(H$183&lt;H$99,IF(LOG(H$182)&lt;-0.56,7.08,IF(LOG(H$182)&lt;0.31,10^(1+0.26*LOG(H$182)),10^(1.12-0.12*LOG(H$182))))*H103^0.333,1))</f>
        <v>0</v>
      </c>
      <c r="I185" s="83"/>
      <c r="J185" s="3000">
        <f>LN(IF(J$183&lt;J$99,IF(LOG(J$182)&lt;-0.56,7.08,IF(LOG(J$182)&lt;0.31,10^(1+0.26*LOG(J$182)),10^(1.12-0.12*LOG(J$182))))*J103^0.333,1))</f>
        <v>0</v>
      </c>
      <c r="K185" s="83"/>
      <c r="L185" s="3000">
        <f>LN(IF(L$183&lt;L$99,IF(LOG(L$182)&lt;-0.56,7.08,IF(LOG(L$182)&lt;0.31,10^(1+0.26*LOG(L$182)),10^(1.12-0.12*LOG(L$182))))*L103^0.333,1))</f>
        <v>0</v>
      </c>
      <c r="M185" s="83"/>
      <c r="N185" s="3000">
        <f>LN(IF(N$183&lt;N$99,IF(LOG(N$182)&lt;-0.56,7.08,IF(LOG(N$182)&lt;0.31,10^(1+0.26*LOG(N$182)),10^(1.12-0.12*LOG(N$182))))*N103^0.333,1))</f>
        <v>0</v>
      </c>
      <c r="O185" s="83"/>
      <c r="P185" s="3000">
        <f>LN(IF(P$183&lt;P$99,IF(LOG(P$182)&lt;-0.56,7.08,IF(LOG(P$182)&lt;0.31,10^(1+0.26*LOG(P$182)),10^(1.12-0.12*LOG(P$182))))*P103^0.333,1))</f>
        <v>0</v>
      </c>
      <c r="Q185" s="83"/>
      <c r="R185" s="3000">
        <f>LN(IF(R$183&lt;R$99,IF(LOG(R$182)&lt;-0.56,7.08,IF(LOG(R$182)&lt;0.31,10^(1+0.26*LOG(R$182)),10^(1.12-0.12*LOG(R$182))))*R103^0.333,1))</f>
        <v>0</v>
      </c>
      <c r="S185" s="83"/>
      <c r="T185" s="3000">
        <f>LN(IF(T$183&lt;T$99,IF(LOG(T$182)&lt;-0.56,7.08,IF(LOG(T$182)&lt;0.31,10^(1+0.26*LOG(T$182)),10^(1.12-0.12*LOG(T$182))))*T103^0.333,1))</f>
        <v>0</v>
      </c>
      <c r="U185" s="83"/>
      <c r="V185" s="3000">
        <f>LN(IF(V$183&lt;V$99,IF(LOG(V$182)&lt;-0.56,7.08,IF(LOG(V$182)&lt;0.31,10^(1+0.26*LOG(V$182)),10^(1.12-0.12*LOG(V$182))))*V103^0.333,1))</f>
        <v>0</v>
      </c>
      <c r="W185" s="83"/>
      <c r="X185" s="3000">
        <f>LN(IF(X$183&lt;X$99,IF(LOG(X$182)&lt;-0.56,7.08,IF(LOG(X$182)&lt;0.31,10^(1+0.26*LOG(X$182)),10^(1.12-0.12*LOG(X$182))))*X103^0.333,1))</f>
        <v>0</v>
      </c>
      <c r="Y185" s="83"/>
      <c r="Z185" s="2987"/>
      <c r="AA185" s="83"/>
      <c r="AB185" s="81"/>
      <c r="AC185" s="512" t="s">
        <v>5102</v>
      </c>
      <c r="AD185" s="81"/>
      <c r="AE185" s="2981">
        <f>IF(AE$89&gt;0,LN(IF(AE$180&gt;=100,AE$99*AE$178*100^AE$179,NBPlume_A_Night*AE$89/(AE$98*Wind_Night)/(100-AE$180+AE$181)^(1/NBPlume_B_Night))),0)</f>
        <v>0</v>
      </c>
      <c r="AF185" s="81"/>
      <c r="AG185" s="2981">
        <f>IF(AG$89&gt;0,LN(IF(AG$180&gt;=100,AG$99*AG$178*100^AG$179,NBPlume_A_Night*AG$89/(AG$98*Wind_Night)/(100-AG$180+AG$181)^(1/NBPlume_B_Night))),0)</f>
        <v>0</v>
      </c>
      <c r="AH185" s="81"/>
      <c r="AI185" s="2981">
        <f>IF(AI$89&gt;0,LN(IF(AI$180&gt;=100,AI$99*AI$178*100^AI$179,NBPlume_A_Night*AI$89/(AI$98*Wind_Night)/(100-AI$180+AI$181)^(1/NBPlume_B_Night))),0)</f>
        <v>0</v>
      </c>
      <c r="AJ185" s="81"/>
      <c r="AK185" s="2981">
        <f>IF(AK$89&gt;0,LN(IF(AK$180&gt;=100,AK$99*AK$178*100^AK$179,NBPlume_A_Night*AK$89/(AK$98*Wind_Night)/(100-AK$180+AK$181)^(1/NBPlume_B_Night))),0)</f>
        <v>0</v>
      </c>
      <c r="AL185" s="81"/>
      <c r="AM185" s="2981">
        <f>IF(AM$89&gt;0,LN(IF(AM$180&gt;=100,AM$99*AM$178*100^AM$179,NBPlume_A_Night*AM$89/(AM$98*Wind_Night)/(100-AM$180+AM$181)^(1/NBPlume_B_Night))),0)</f>
        <v>0</v>
      </c>
      <c r="AN185" s="81"/>
      <c r="AO185" s="2981">
        <f>IF(AO$89&gt;0,LN(IF(AO$180&gt;=100,AO$99*AO$178*100^AO$179,NBPlume_A_Night*AO$89/(AO$98*Wind_Night)/(100-AO$180+AO$181)^(1/NBPlume_B_Night))),0)</f>
        <v>0</v>
      </c>
      <c r="AP185" s="81"/>
      <c r="AQ185" s="85"/>
      <c r="AR185" s="81"/>
      <c r="AS185" s="83"/>
      <c r="AT185" s="512" t="s">
        <v>5119</v>
      </c>
      <c r="AU185" s="83"/>
      <c r="AV185" s="3000" t="e">
        <f>LN(IF(AV$180&lt;AV$83,IF(LOG(AV$179)&lt;-0.52,30.2,IF(LOG(AV$179)&lt;0.24,10^(1.62+0.26*LOG(AV$179)),10^(1.75-0.3*LOG(AV$179))))*AV87^0.333,1))</f>
        <v>#DIV/0!</v>
      </c>
      <c r="AW185" s="269"/>
      <c r="AX185" s="3000" t="e">
        <f>LN(IF(AX$180&lt;AX$83,IF(LOG(AX$179)&lt;-0.52,30.2,IF(LOG(AX$179)&lt;0.24,10^(1.62+0.26*LOG(AX$179)),10^(1.75-0.3*LOG(AX$179))))*AX87^0.333,1))</f>
        <v>#DIV/0!</v>
      </c>
      <c r="AY185" s="269"/>
      <c r="AZ185" s="3000" t="e">
        <f>LN(IF(AZ$180&lt;AZ$83,IF(LOG(AZ$179)&lt;-0.52,30.2,IF(LOG(AZ$179)&lt;0.24,10^(1.62+0.26*LOG(AZ$179)),10^(1.75-0.3*LOG(AZ$179))))*AZ87^0.333,1))</f>
        <v>#DIV/0!</v>
      </c>
      <c r="BA185" s="269"/>
      <c r="BB185" s="3000" t="e">
        <f>LN(IF(BB$180&lt;BB$83,IF(LOG(BB$179)&lt;-0.52,30.2,IF(LOG(BB$179)&lt;0.24,10^(1.62+0.26*LOG(BB$179)),10^(1.75-0.3*LOG(BB$179))))*BB87^0.333,1))</f>
        <v>#DIV/0!</v>
      </c>
      <c r="BC185" s="269"/>
      <c r="BD185" s="3000" t="e">
        <f>LN(IF(BD$180&lt;BD$83,IF(LOG(BD$179)&lt;-0.52,30.2,IF(LOG(BD$179)&lt;0.24,10^(1.62+0.26*LOG(BD$179)),10^(1.75-0.3*LOG(BD$179))))*BD87^0.333,1))</f>
        <v>#DIV/0!</v>
      </c>
      <c r="BE185" s="269"/>
      <c r="BF185" s="3000" t="e">
        <f>LN(IF(BF$180&lt;BF$83,IF(LOG(BF$179)&lt;-0.52,30.2,IF(LOG(BF$179)&lt;0.24,10^(1.62+0.26*LOG(BF$179)),10^(1.75-0.3*LOG(BF$179))))*BF87^0.333,1))</f>
        <v>#DIV/0!</v>
      </c>
      <c r="BG185" s="269"/>
      <c r="BH185" s="3000" t="e">
        <f>LN(IF(BH$180&lt;BH$83,IF(LOG(BH$179)&lt;-0.52,30.2,IF(LOG(BH$179)&lt;0.24,10^(1.62+0.26*LOG(BH$179)),10^(1.75-0.3*LOG(BH$179))))*BH87^0.333,1))</f>
        <v>#DIV/0!</v>
      </c>
      <c r="BI185" s="269"/>
      <c r="BJ185" s="3000" t="e">
        <f>LN(IF(BJ$180&lt;BJ$83,IF(LOG(BJ$179)&lt;-0.52,30.2,IF(LOG(BJ$179)&lt;0.24,10^(1.62+0.26*LOG(BJ$179)),10^(1.75-0.3*LOG(BJ$179))))*BJ87^0.333,1))</f>
        <v>#DIV/0!</v>
      </c>
      <c r="BK185" s="269"/>
      <c r="BL185" s="3000" t="e">
        <f>LN(IF(BL$180&lt;BL$83,IF(LOG(BL$179)&lt;-0.52,30.2,IF(LOG(BL$179)&lt;0.24,10^(1.62+0.26*LOG(BL$179)),10^(1.75-0.3*LOG(BL$179))))*BL87^0.333,1))</f>
        <v>#DIV/0!</v>
      </c>
      <c r="BM185" s="269"/>
      <c r="BN185" s="3000" t="e">
        <f>LN(IF(BN$180&lt;BN$83,IF(LOG(BN$179)&lt;-0.52,30.2,IF(LOG(BN$179)&lt;0.24,10^(1.62+0.26*LOG(BN$179)),10^(1.75-0.3*LOG(BN$179))))*BN87^0.333,1))</f>
        <v>#DIV/0!</v>
      </c>
      <c r="BO185" s="269"/>
      <c r="BP185" s="1835"/>
      <c r="BQ185" s="83"/>
      <c r="BR185" s="81"/>
      <c r="BS185" s="512" t="s">
        <v>5116</v>
      </c>
      <c r="BT185" s="81"/>
      <c r="BU185" s="3000">
        <f>LN(IF(BU$183&lt;BU$99,IF(LOG(BU$182)&lt;-0.56,7.08,IF(LOG(BU$182)&lt;0.31,10^(1+0.26*LOG(BU$182)),10^(1.12-0.12*LOG(BU$182))))*BU103^0.333,1))</f>
        <v>0</v>
      </c>
      <c r="BV185" s="81"/>
      <c r="BW185" s="3000">
        <f>LN(IF(BW$183&lt;BW$99,IF(LOG(BW$182)&lt;-0.56,7.08,IF(LOG(BW$182)&lt;0.31,10^(1+0.26*LOG(BW$182)),10^(1.12-0.12*LOG(BW$182))))*BW103^0.333,1))</f>
        <v>0</v>
      </c>
      <c r="BX185" s="81"/>
      <c r="BY185" s="3000">
        <f>LN(IF(BY$183&lt;BY$99,IF(LOG(BY$182)&lt;-0.56,7.08,IF(LOG(BY$182)&lt;0.31,10^(1+0.26*LOG(BY$182)),10^(1.12-0.12*LOG(BY$182))))*BY103^0.333,1))</f>
        <v>0</v>
      </c>
      <c r="BZ185" s="81"/>
      <c r="CA185" s="3000">
        <f>LN(IF(CA$183&lt;CA$99,IF(LOG(CA$182)&lt;-0.56,7.08,IF(LOG(CA$182)&lt;0.31,10^(1+0.26*LOG(CA$182)),10^(1.12-0.12*LOG(CA$182))))*CA103^0.333,1))</f>
        <v>0</v>
      </c>
      <c r="CB185" s="81"/>
      <c r="CC185" s="3000">
        <f>LN(IF(CC$183&lt;CC$99,IF(LOG(CC$182)&lt;-0.56,7.08,IF(LOG(CC$182)&lt;0.31,10^(1+0.26*LOG(CC$182)),10^(1.12-0.12*LOG(CC$182))))*CC103^0.333,1))</f>
        <v>0</v>
      </c>
      <c r="CD185" s="81"/>
      <c r="CE185" s="23"/>
      <c r="CF185" s="81"/>
      <c r="CG185" s="83"/>
      <c r="CH185" s="23" t="s">
        <v>3758</v>
      </c>
      <c r="CI185" s="83"/>
      <c r="CJ185" s="97">
        <f>IF('User Scenario'!S45&lt;&gt;"",'User Scenario'!S45,0)</f>
        <v>0</v>
      </c>
      <c r="CK185" s="83"/>
      <c r="CL185" s="23" t="s">
        <v>968</v>
      </c>
      <c r="CM185" s="83"/>
      <c r="CN185" s="7"/>
      <c r="CO185" s="7"/>
      <c r="CP185" s="7"/>
      <c r="CQ185" s="7"/>
    </row>
    <row r="186" spans="1:97" s="26" customFormat="1" ht="15" customHeight="1" thickBot="1" x14ac:dyDescent="0.3">
      <c r="A186" s="2"/>
      <c r="B186" s="512" t="s">
        <v>5117</v>
      </c>
      <c r="C186" s="83"/>
      <c r="D186" s="3000">
        <f>LN(IF(D$183&lt;D$99,IF(LOG(D$182)&lt;-0.66,8.91,IF(LOG(D$182)&lt;0.32,10^(1.19+0.36*LOG(D$182)),10^(1.38-0.26*LOG(D$182))))*D103^0.333,1))</f>
        <v>0</v>
      </c>
      <c r="E186" s="83"/>
      <c r="F186" s="3000">
        <f>LN(IF(F$183&lt;F$99,IF(LOG(F$182)&lt;-0.66,8.91,IF(LOG(F$182)&lt;0.32,10^(1.19+0.36*LOG(F$182)),10^(1.38-0.26*LOG(F$182))))*F103^0.333,1))</f>
        <v>0</v>
      </c>
      <c r="G186" s="83"/>
      <c r="H186" s="3000">
        <f>LN(IF(H$183&lt;H$99,IF(LOG(H$182)&lt;-0.66,8.91,IF(LOG(H$182)&lt;0.32,10^(1.19+0.36*LOG(H$182)),10^(1.38-0.26*LOG(H$182))))*H103^0.333,1))</f>
        <v>0</v>
      </c>
      <c r="I186" s="83"/>
      <c r="J186" s="3000">
        <f>LN(IF(J$183&lt;J$99,IF(LOG(J$182)&lt;-0.66,8.91,IF(LOG(J$182)&lt;0.32,10^(1.19+0.36*LOG(J$182)),10^(1.38-0.26*LOG(J$182))))*J103^0.333,1))</f>
        <v>0</v>
      </c>
      <c r="K186" s="83"/>
      <c r="L186" s="3000">
        <f>LN(IF(L$183&lt;L$99,IF(LOG(L$182)&lt;-0.66,8.91,IF(LOG(L$182)&lt;0.32,10^(1.19+0.36*LOG(L$182)),10^(1.38-0.26*LOG(L$182))))*L103^0.333,1))</f>
        <v>0</v>
      </c>
      <c r="M186" s="83"/>
      <c r="N186" s="3000">
        <f>LN(IF(N$183&lt;N$99,IF(LOG(N$182)&lt;-0.66,8.91,IF(LOG(N$182)&lt;0.32,10^(1.19+0.36*LOG(N$182)),10^(1.38-0.26*LOG(N$182))))*N103^0.333,1))</f>
        <v>0</v>
      </c>
      <c r="O186" s="83"/>
      <c r="P186" s="3000">
        <f>LN(IF(P$183&lt;P$99,IF(LOG(P$182)&lt;-0.66,8.91,IF(LOG(P$182)&lt;0.32,10^(1.19+0.36*LOG(P$182)),10^(1.38-0.26*LOG(P$182))))*P103^0.333,1))</f>
        <v>0</v>
      </c>
      <c r="Q186" s="83"/>
      <c r="R186" s="3000">
        <f>LN(IF(R$183&lt;R$99,IF(LOG(R$182)&lt;-0.66,8.91,IF(LOG(R$182)&lt;0.32,10^(1.19+0.36*LOG(R$182)),10^(1.38-0.26*LOG(R$182))))*R103^0.333,1))</f>
        <v>0</v>
      </c>
      <c r="S186" s="83"/>
      <c r="T186" s="3000">
        <f>LN(IF(T$183&lt;T$99,IF(LOG(T$182)&lt;-0.66,8.91,IF(LOG(T$182)&lt;0.32,10^(1.19+0.36*LOG(T$182)),10^(1.38-0.26*LOG(T$182))))*T103^0.333,1))</f>
        <v>0</v>
      </c>
      <c r="U186" s="83"/>
      <c r="V186" s="3000">
        <f>LN(IF(V$183&lt;V$99,IF(LOG(V$182)&lt;-0.66,8.91,IF(LOG(V$182)&lt;0.32,10^(1.19+0.36*LOG(V$182)),10^(1.38-0.26*LOG(V$182))))*V103^0.333,1))</f>
        <v>0</v>
      </c>
      <c r="W186" s="83"/>
      <c r="X186" s="3000">
        <f>LN(IF(X$183&lt;X$99,IF(LOG(X$182)&lt;-0.66,8.91,IF(LOG(X$182)&lt;0.32,10^(1.19+0.36*LOG(X$182)),10^(1.38-0.26*LOG(X$182))))*X103^0.333,1))</f>
        <v>0</v>
      </c>
      <c r="Y186" s="83"/>
      <c r="Z186" s="2987"/>
      <c r="AA186" s="83"/>
      <c r="AB186" s="81"/>
      <c r="AC186" s="512" t="s">
        <v>5103</v>
      </c>
      <c r="AD186" s="81"/>
      <c r="AE186" s="2981">
        <f>IF(AE$89&gt;0,LN(IF(AE$180&gt;=200,AE$99*AE$178*200^AE$179,NBPlume_A_Night*AE$89/(AE$98*Wind_Night)/(200-AE$180+AE$181)^(1/NBPlume_B_Night))),0)</f>
        <v>0</v>
      </c>
      <c r="AF186" s="81"/>
      <c r="AG186" s="2981">
        <f>IF(AG$89&gt;0,LN(IF(AG$180&gt;=200,AG$99*AG$178*200^AG$179,NBPlume_A_Night*AG$89/(AG$98*Wind_Night)/(200-AG$180+AG$181)^(1/NBPlume_B_Night))),0)</f>
        <v>0</v>
      </c>
      <c r="AH186" s="81"/>
      <c r="AI186" s="2981">
        <f>IF(AI$89&gt;0,LN(IF(AI$180&gt;=200,AI$99*AI$178*200^AI$179,NBPlume_A_Night*AI$89/(AI$98*Wind_Night)/(200-AI$180+AI$181)^(1/NBPlume_B_Night))),0)</f>
        <v>0</v>
      </c>
      <c r="AJ186" s="81"/>
      <c r="AK186" s="2981">
        <f>IF(AK$89&gt;0,LN(IF(AK$180&gt;=200,AK$99*AK$178*200^AK$179,NBPlume_A_Night*AK$89/(AK$98*Wind_Night)/(200-AK$180+AK$181)^(1/NBPlume_B_Night))),0)</f>
        <v>0</v>
      </c>
      <c r="AL186" s="81"/>
      <c r="AM186" s="2981">
        <f>IF(AM$89&gt;0,LN(IF(AM$180&gt;=200,AM$99*AM$178*200^AM$179,NBPlume_A_Night*AM$89/(AM$98*Wind_Night)/(200-AM$180+AM$181)^(1/NBPlume_B_Night))),0)</f>
        <v>0</v>
      </c>
      <c r="AN186" s="81"/>
      <c r="AO186" s="2981">
        <f>IF(AO$89&gt;0,LN(IF(AO$180&gt;=200,AO$99*AO$178*200^AO$179,NBPlume_A_Night*AO$89/(AO$98*Wind_Night)/(200-AO$180+AO$181)^(1/NBPlume_B_Night))),0)</f>
        <v>0</v>
      </c>
      <c r="AP186" s="81"/>
      <c r="AQ186" s="85"/>
      <c r="AR186" s="81"/>
      <c r="AS186" s="83"/>
      <c r="AT186" s="512" t="s">
        <v>5120</v>
      </c>
      <c r="AU186" s="83"/>
      <c r="AV186" s="3000" t="e">
        <f>LN(IF(AV$180&lt;AV$83,IF(LOG(AV$179)&lt;0.27,67.6,10^(1.92-0.32*LOG(AV$179)))*AV87^0.333,1))</f>
        <v>#DIV/0!</v>
      </c>
      <c r="AW186" s="269"/>
      <c r="AX186" s="3000" t="e">
        <f>LN(IF(AX$180&lt;AX$83,IF(LOG(AX$179)&lt;0.27,67.6,10^(1.92-0.32*LOG(AX$179)))*AX87^0.333,1))</f>
        <v>#DIV/0!</v>
      </c>
      <c r="AY186" s="269"/>
      <c r="AZ186" s="3000" t="e">
        <f>LN(IF(AZ$180&lt;AZ$83,IF(LOG(AZ$179)&lt;0.27,67.6,10^(1.92-0.32*LOG(AZ$179)))*AZ87^0.333,1))</f>
        <v>#DIV/0!</v>
      </c>
      <c r="BA186" s="269"/>
      <c r="BB186" s="3000" t="e">
        <f>LN(IF(BB$180&lt;BB$83,IF(LOG(BB$179)&lt;0.27,67.6,10^(1.92-0.32*LOG(BB$179)))*BB87^0.333,1))</f>
        <v>#DIV/0!</v>
      </c>
      <c r="BC186" s="269"/>
      <c r="BD186" s="3000" t="e">
        <f>LN(IF(BD$180&lt;BD$83,IF(LOG(BD$179)&lt;0.27,67.6,10^(1.92-0.32*LOG(BD$179)))*BD87^0.333,1))</f>
        <v>#DIV/0!</v>
      </c>
      <c r="BE186" s="269"/>
      <c r="BF186" s="3000" t="e">
        <f>LN(IF(BF$180&lt;BF$83,IF(LOG(BF$179)&lt;0.27,67.6,10^(1.92-0.32*LOG(BF$179)))*BF87^0.333,1))</f>
        <v>#DIV/0!</v>
      </c>
      <c r="BG186" s="269"/>
      <c r="BH186" s="3000" t="e">
        <f>LN(IF(BH$180&lt;BH$83,IF(LOG(BH$179)&lt;0.27,67.6,10^(1.92-0.32*LOG(BH$179)))*BH87^0.333,1))</f>
        <v>#DIV/0!</v>
      </c>
      <c r="BI186" s="269"/>
      <c r="BJ186" s="3000" t="e">
        <f>LN(IF(BJ$180&lt;BJ$83,IF(LOG(BJ$179)&lt;0.27,67.6,10^(1.92-0.32*LOG(BJ$179)))*BJ87^0.333,1))</f>
        <v>#DIV/0!</v>
      </c>
      <c r="BK186" s="269"/>
      <c r="BL186" s="3000" t="e">
        <f>LN(IF(BL$180&lt;BL$83,IF(LOG(BL$179)&lt;0.27,67.6,10^(1.92-0.32*LOG(BL$179)))*BL87^0.333,1))</f>
        <v>#DIV/0!</v>
      </c>
      <c r="BM186" s="269"/>
      <c r="BN186" s="3000" t="e">
        <f>LN(IF(BN$180&lt;BN$83,IF(LOG(BN$179)&lt;0.27,67.6,10^(1.92-0.32*LOG(BN$179)))*BN87^0.333,1))</f>
        <v>#DIV/0!</v>
      </c>
      <c r="BO186" s="269"/>
      <c r="BP186" s="1835"/>
      <c r="BQ186" s="83"/>
      <c r="BR186" s="81"/>
      <c r="BS186" s="512" t="s">
        <v>5117</v>
      </c>
      <c r="BT186" s="81"/>
      <c r="BU186" s="3000">
        <f>LN(IF(BU$183&lt;BU$99,IF(LOG(BU$182)&lt;-0.66,8.91,IF(LOG(BU$182)&lt;0.32,10^(1.19+0.36*LOG(BU$182)),10^(1.38-0.26*LOG(BU$182))))*BU103^0.333,1))</f>
        <v>0</v>
      </c>
      <c r="BV186" s="81"/>
      <c r="BW186" s="3000">
        <f>LN(IF(BW$183&lt;BW$99,IF(LOG(BW$182)&lt;-0.66,8.91,IF(LOG(BW$182)&lt;0.32,10^(1.19+0.36*LOG(BW$182)),10^(1.38-0.26*LOG(BW$182))))*BW103^0.333,1))</f>
        <v>0</v>
      </c>
      <c r="BX186" s="81"/>
      <c r="BY186" s="3000">
        <f>LN(IF(BY$183&lt;BY$99,IF(LOG(BY$182)&lt;-0.66,8.91,IF(LOG(BY$182)&lt;0.32,10^(1.19+0.36*LOG(BY$182)),10^(1.38-0.26*LOG(BY$182))))*BY103^0.333,1))</f>
        <v>0</v>
      </c>
      <c r="BZ186" s="81"/>
      <c r="CA186" s="3000">
        <f>LN(IF(CA$183&lt;CA$99,IF(LOG(CA$182)&lt;-0.66,8.91,IF(LOG(CA$182)&lt;0.32,10^(1.19+0.36*LOG(CA$182)),10^(1.38-0.26*LOG(CA$182))))*CA103^0.333,1))</f>
        <v>0</v>
      </c>
      <c r="CB186" s="81"/>
      <c r="CC186" s="3000">
        <f>LN(IF(CC$183&lt;CC$99,IF(LOG(CC$182)&lt;-0.66,8.91,IF(LOG(CC$182)&lt;0.32,10^(1.19+0.36*LOG(CC$182)),10^(1.38-0.26*LOG(CC$182))))*CC103^0.333,1))</f>
        <v>0</v>
      </c>
      <c r="CD186" s="81"/>
      <c r="CE186" s="23"/>
      <c r="CF186" s="81"/>
      <c r="CG186" s="83"/>
      <c r="CH186" s="25" t="s">
        <v>1863</v>
      </c>
      <c r="CI186" s="83"/>
      <c r="CJ186" s="98" t="str">
        <f>IF(AND(CJ181&gt;10,OR(CJ184&gt;Bldg_Type_Correction,CJ185&gt;Bldg2_Type_Correction)),"Yes","No")</f>
        <v>No</v>
      </c>
      <c r="CK186" s="83"/>
      <c r="CL186" s="89"/>
      <c r="CM186" s="83"/>
      <c r="CN186" s="7"/>
      <c r="CO186" s="7"/>
      <c r="CP186" s="7"/>
      <c r="CQ186" s="7"/>
    </row>
    <row r="187" spans="1:97" s="26" customFormat="1" ht="15" customHeight="1" thickBot="1" x14ac:dyDescent="0.3">
      <c r="A187" s="2"/>
      <c r="B187" s="512" t="s">
        <v>5118</v>
      </c>
      <c r="C187" s="83"/>
      <c r="D187" s="3000">
        <f>LN(IF(D$183&lt;D$99,IF(LOG(D$182)&lt;-0.71,14.1,IF(LOG(D$182)&lt;0.37,10^(1.39+0.34*LOG(D$182)),10^(1.66-0.38*LOG(D$182))))*D103^0.333,1))</f>
        <v>0</v>
      </c>
      <c r="E187" s="83"/>
      <c r="F187" s="3000">
        <f>LN(IF(F$183&lt;F$99,IF(LOG(F$182)&lt;-0.71,14.1,IF(LOG(F$182)&lt;0.37,10^(1.39+0.34*LOG(F$182)),10^(1.66-0.38*LOG(F$182))))*F103^0.333,1))</f>
        <v>0</v>
      </c>
      <c r="G187" s="83"/>
      <c r="H187" s="3000">
        <f>LN(IF(H$183&lt;H$99,IF(LOG(H$182)&lt;-0.71,14.1,IF(LOG(H$182)&lt;0.37,10^(1.39+0.34*LOG(H$182)),10^(1.66-0.38*LOG(H$182))))*H103^0.333,1))</f>
        <v>0</v>
      </c>
      <c r="I187" s="83"/>
      <c r="J187" s="3000">
        <f>LN(IF(J$183&lt;J$99,IF(LOG(J$182)&lt;-0.71,14.1,IF(LOG(J$182)&lt;0.37,10^(1.39+0.34*LOG(J$182)),10^(1.66-0.38*LOG(J$182))))*J103^0.333,1))</f>
        <v>0</v>
      </c>
      <c r="K187" s="83"/>
      <c r="L187" s="3000">
        <f>LN(IF(L$183&lt;L$99,IF(LOG(L$182)&lt;-0.71,14.1,IF(LOG(L$182)&lt;0.37,10^(1.39+0.34*LOG(L$182)),10^(1.66-0.38*LOG(L$182))))*L103^0.333,1))</f>
        <v>0</v>
      </c>
      <c r="M187" s="83"/>
      <c r="N187" s="3000">
        <f>LN(IF(N$183&lt;N$99,IF(LOG(N$182)&lt;-0.71,14.1,IF(LOG(N$182)&lt;0.37,10^(1.39+0.34*LOG(N$182)),10^(1.66-0.38*LOG(N$182))))*N103^0.333,1))</f>
        <v>0</v>
      </c>
      <c r="O187" s="83"/>
      <c r="P187" s="3000">
        <f>LN(IF(P$183&lt;P$99,IF(LOG(P$182)&lt;-0.71,14.1,IF(LOG(P$182)&lt;0.37,10^(1.39+0.34*LOG(P$182)),10^(1.66-0.38*LOG(P$182))))*P103^0.333,1))</f>
        <v>0</v>
      </c>
      <c r="Q187" s="83"/>
      <c r="R187" s="3000">
        <f>LN(IF(R$183&lt;R$99,IF(LOG(R$182)&lt;-0.71,14.1,IF(LOG(R$182)&lt;0.37,10^(1.39+0.34*LOG(R$182)),10^(1.66-0.38*LOG(R$182))))*R103^0.333,1))</f>
        <v>0</v>
      </c>
      <c r="S187" s="83"/>
      <c r="T187" s="3000">
        <f>LN(IF(T$183&lt;T$99,IF(LOG(T$182)&lt;-0.71,14.1,IF(LOG(T$182)&lt;0.37,10^(1.39+0.34*LOG(T$182)),10^(1.66-0.38*LOG(T$182))))*T103^0.333,1))</f>
        <v>0</v>
      </c>
      <c r="U187" s="83"/>
      <c r="V187" s="3000">
        <f>LN(IF(V$183&lt;V$99,IF(LOG(V$182)&lt;-0.71,14.1,IF(LOG(V$182)&lt;0.37,10^(1.39+0.34*LOG(V$182)),10^(1.66-0.38*LOG(V$182))))*V103^0.333,1))</f>
        <v>0</v>
      </c>
      <c r="W187" s="83"/>
      <c r="X187" s="3000">
        <f>LN(IF(X$183&lt;X$99,IF(LOG(X$182)&lt;-0.71,14.1,IF(LOG(X$182)&lt;0.37,10^(1.39+0.34*LOG(X$182)),10^(1.66-0.38*LOG(X$182))))*X103^0.333,1))</f>
        <v>0</v>
      </c>
      <c r="Y187" s="83"/>
      <c r="Z187" s="2987"/>
      <c r="AA187" s="83"/>
      <c r="AB187" s="81"/>
      <c r="AC187" s="512" t="s">
        <v>5104</v>
      </c>
      <c r="AD187" s="81"/>
      <c r="AE187" s="2981">
        <f>IF(AE$89&gt;0,LN(IF(AE$180&gt;=500,AE$99*AE$178*500^AE$179,NBPlume_A_Night*AE$89/(AE$98*Wind_Night)/(500-AE$180+AE$181)^(1/NBPlume_B_Night))),0)</f>
        <v>0</v>
      </c>
      <c r="AF187" s="81"/>
      <c r="AG187" s="2981">
        <f>IF(AG$89&gt;0,LN(IF(AG$180&gt;=500,AG$99*AG$178*500^AG$179,NBPlume_A_Night*AG$89/(AG$98*Wind_Night)/(500-AG$180+AG$181)^(1/NBPlume_B_Night))),0)</f>
        <v>0</v>
      </c>
      <c r="AH187" s="81"/>
      <c r="AI187" s="2981">
        <f>IF(AI$89&gt;0,LN(IF(AI$180&gt;=500,AI$99*AI$178*500^AI$179,NBPlume_A_Night*AI$89/(AI$98*Wind_Night)/(500-AI$180+AI$181)^(1/NBPlume_B_Night))),0)</f>
        <v>0</v>
      </c>
      <c r="AJ187" s="81"/>
      <c r="AK187" s="2981">
        <f>IF(AK$89&gt;0,LN(IF(AK$180&gt;=500,AK$99*AK$178*500^AK$179,NBPlume_A_Night*AK$89/(AK$98*Wind_Night)/(500-AK$180+AK$181)^(1/NBPlume_B_Night))),0)</f>
        <v>0</v>
      </c>
      <c r="AL187" s="81"/>
      <c r="AM187" s="2981">
        <f>IF(AM$89&gt;0,LN(IF(AM$180&gt;=500,AM$99*AM$178*500^AM$179,NBPlume_A_Night*AM$89/(AM$98*Wind_Night)/(500-AM$180+AM$181)^(1/NBPlume_B_Night))),0)</f>
        <v>0</v>
      </c>
      <c r="AN187" s="81"/>
      <c r="AO187" s="2981">
        <f>IF(AO$89&gt;0,LN(IF(AO$180&gt;=500,AO$99*AO$178*500^AO$179,NBPlume_A_Night*AO$89/(AO$98*Wind_Night)/(500-AO$180+AO$181)^(1/NBPlume_B_Night))),0)</f>
        <v>0</v>
      </c>
      <c r="AP187" s="81"/>
      <c r="AQ187" s="85"/>
      <c r="AR187" s="81"/>
      <c r="AS187" s="83"/>
      <c r="AT187" s="512" t="s">
        <v>5122</v>
      </c>
      <c r="AU187" s="83"/>
      <c r="AV187" s="3000" t="e">
        <f>LN(IF(AV$180&lt;AV$83,IF(LOG(AV$179)&lt;-0.1,118.9,10^(2.05-0.27*LOG(AV$179)))*AV87^0.333,1))</f>
        <v>#DIV/0!</v>
      </c>
      <c r="AW187" s="269"/>
      <c r="AX187" s="3000" t="e">
        <f>LN(IF(AX$180&lt;AX$83,IF(LOG(AX$179)&lt;-0.1,118.9,10^(2.05-0.27*LOG(AX$179)))*AX87^0.333,1))</f>
        <v>#DIV/0!</v>
      </c>
      <c r="AY187" s="269"/>
      <c r="AZ187" s="3000" t="e">
        <f>LN(IF(AZ$180&lt;AZ$83,IF(LOG(AZ$179)&lt;-0.1,118.9,10^(2.05-0.27*LOG(AZ$179)))*AZ87^0.333,1))</f>
        <v>#DIV/0!</v>
      </c>
      <c r="BA187" s="269"/>
      <c r="BB187" s="3000" t="e">
        <f>LN(IF(BB$180&lt;BB$83,IF(LOG(BB$179)&lt;-0.1,118.9,10^(2.05-0.27*LOG(BB$179)))*BB87^0.333,1))</f>
        <v>#DIV/0!</v>
      </c>
      <c r="BC187" s="269"/>
      <c r="BD187" s="3000" t="e">
        <f>LN(IF(BD$180&lt;BD$83,IF(LOG(BD$179)&lt;-0.1,118.9,10^(2.05-0.27*LOG(BD$179)))*BD87^0.333,1))</f>
        <v>#DIV/0!</v>
      </c>
      <c r="BE187" s="269"/>
      <c r="BF187" s="3000" t="e">
        <f>LN(IF(BF$180&lt;BF$83,IF(LOG(BF$179)&lt;-0.1,118.9,10^(2.05-0.27*LOG(BF$179)))*BF87^0.333,1))</f>
        <v>#DIV/0!</v>
      </c>
      <c r="BG187" s="269"/>
      <c r="BH187" s="3000" t="e">
        <f>LN(IF(BH$180&lt;BH$83,IF(LOG(BH$179)&lt;-0.1,118.9,10^(2.05-0.27*LOG(BH$179)))*BH87^0.333,1))</f>
        <v>#DIV/0!</v>
      </c>
      <c r="BI187" s="269"/>
      <c r="BJ187" s="3000" t="e">
        <f>LN(IF(BJ$180&lt;BJ$83,IF(LOG(BJ$179)&lt;-0.1,118.9,10^(2.05-0.27*LOG(BJ$179)))*BJ87^0.333,1))</f>
        <v>#DIV/0!</v>
      </c>
      <c r="BK187" s="269"/>
      <c r="BL187" s="3000" t="e">
        <f>LN(IF(BL$180&lt;BL$83,IF(LOG(BL$179)&lt;-0.1,118.9,10^(2.05-0.27*LOG(BL$179)))*BL87^0.333,1))</f>
        <v>#DIV/0!</v>
      </c>
      <c r="BM187" s="269"/>
      <c r="BN187" s="3000" t="e">
        <f>LN(IF(BN$180&lt;BN$83,IF(LOG(BN$179)&lt;-0.1,118.9,10^(2.05-0.27*LOG(BN$179)))*BN87^0.333,1))</f>
        <v>#DIV/0!</v>
      </c>
      <c r="BO187" s="269"/>
      <c r="BP187" s="1835"/>
      <c r="BQ187" s="83"/>
      <c r="BR187" s="81"/>
      <c r="BS187" s="512" t="s">
        <v>5118</v>
      </c>
      <c r="BT187" s="81"/>
      <c r="BU187" s="3000">
        <f>LN(IF(BU$183&lt;BU$99,IF(LOG(BU$182)&lt;-0.71,14.1,IF(LOG(BU$182)&lt;0.37,10^(1.39+0.34*LOG(BU$182)),10^(1.66-0.38*LOG(BU$182))))*BU103^0.333,1))</f>
        <v>0</v>
      </c>
      <c r="BV187" s="81"/>
      <c r="BW187" s="3000">
        <f>LN(IF(BW$183&lt;BW$99,IF(LOG(BW$182)&lt;-0.71,14.1,IF(LOG(BW$182)&lt;0.37,10^(1.39+0.34*LOG(BW$182)),10^(1.66-0.38*LOG(BW$182))))*BW103^0.333,1))</f>
        <v>0</v>
      </c>
      <c r="BX187" s="81"/>
      <c r="BY187" s="3000">
        <f>LN(IF(BY$183&lt;BY$99,IF(LOG(BY$182)&lt;-0.71,14.1,IF(LOG(BY$182)&lt;0.37,10^(1.39+0.34*LOG(BY$182)),10^(1.66-0.38*LOG(BY$182))))*BY103^0.333,1))</f>
        <v>0</v>
      </c>
      <c r="BZ187" s="81"/>
      <c r="CA187" s="3000">
        <f>LN(IF(CA$183&lt;CA$99,IF(LOG(CA$182)&lt;-0.71,14.1,IF(LOG(CA$182)&lt;0.37,10^(1.39+0.34*LOG(CA$182)),10^(1.66-0.38*LOG(CA$182))))*CA103^0.333,1))</f>
        <v>0</v>
      </c>
      <c r="CB187" s="81"/>
      <c r="CC187" s="3000">
        <f>LN(IF(CC$183&lt;CC$99,IF(LOG(CC$182)&lt;-0.71,14.1,IF(LOG(CC$182)&lt;0.37,10^(1.39+0.34*LOG(CC$182)),10^(1.66-0.38*LOG(CC$182))))*CC103^0.333,1))</f>
        <v>0</v>
      </c>
      <c r="CD187" s="81"/>
      <c r="CE187" s="23"/>
      <c r="CF187" s="81"/>
      <c r="CG187" s="83"/>
      <c r="CH187" s="83"/>
      <c r="CI187" s="83"/>
      <c r="CJ187" s="83"/>
      <c r="CK187" s="83"/>
      <c r="CL187" s="83"/>
      <c r="CM187" s="83"/>
      <c r="CN187" s="7"/>
      <c r="CQ187" s="7"/>
    </row>
    <row r="188" spans="1:97" s="26" customFormat="1" ht="15" customHeight="1" x14ac:dyDescent="0.25">
      <c r="A188" s="2"/>
      <c r="B188" s="512" t="s">
        <v>5119</v>
      </c>
      <c r="C188" s="83"/>
      <c r="D188" s="3000">
        <f>LN(IF(D$183&lt;D$99,IF(LOG(D$182)&lt;-0.52,30.2,IF(LOG(D$182)&lt;0.24,10^(1.62+0.26*LOG(D$182)),10^(1.75-0.3*LOG(D$182))))*D103^0.333,1))</f>
        <v>0</v>
      </c>
      <c r="E188" s="83"/>
      <c r="F188" s="3000">
        <f>LN(IF(F$183&lt;F$99,IF(LOG(F$182)&lt;-0.52,30.2,IF(LOG(F$182)&lt;0.24,10^(1.62+0.26*LOG(F$182)),10^(1.75-0.3*LOG(F$182))))*F103^0.333,1))</f>
        <v>0</v>
      </c>
      <c r="G188" s="83"/>
      <c r="H188" s="3000">
        <f>LN(IF(H$183&lt;H$99,IF(LOG(H$182)&lt;-0.52,30.2,IF(LOG(H$182)&lt;0.24,10^(1.62+0.26*LOG(H$182)),10^(1.75-0.3*LOG(H$182))))*H103^0.333,1))</f>
        <v>0</v>
      </c>
      <c r="I188" s="83"/>
      <c r="J188" s="3000">
        <f>LN(IF(J$183&lt;J$99,IF(LOG(J$182)&lt;-0.52,30.2,IF(LOG(J$182)&lt;0.24,10^(1.62+0.26*LOG(J$182)),10^(1.75-0.3*LOG(J$182))))*J103^0.333,1))</f>
        <v>0</v>
      </c>
      <c r="K188" s="83"/>
      <c r="L188" s="3000">
        <f>LN(IF(L$183&lt;L$99,IF(LOG(L$182)&lt;-0.52,30.2,IF(LOG(L$182)&lt;0.24,10^(1.62+0.26*LOG(L$182)),10^(1.75-0.3*LOG(L$182))))*L103^0.333,1))</f>
        <v>0</v>
      </c>
      <c r="M188" s="83"/>
      <c r="N188" s="3000">
        <f>LN(IF(N$183&lt;N$99,IF(LOG(N$182)&lt;-0.52,30.2,IF(LOG(N$182)&lt;0.24,10^(1.62+0.26*LOG(N$182)),10^(1.75-0.3*LOG(N$182))))*N103^0.333,1))</f>
        <v>0</v>
      </c>
      <c r="O188" s="83"/>
      <c r="P188" s="3000">
        <f>LN(IF(P$183&lt;P$99,IF(LOG(P$182)&lt;-0.52,30.2,IF(LOG(P$182)&lt;0.24,10^(1.62+0.26*LOG(P$182)),10^(1.75-0.3*LOG(P$182))))*P103^0.333,1))</f>
        <v>0</v>
      </c>
      <c r="Q188" s="83"/>
      <c r="R188" s="3000">
        <f>LN(IF(R$183&lt;R$99,IF(LOG(R$182)&lt;-0.52,30.2,IF(LOG(R$182)&lt;0.24,10^(1.62+0.26*LOG(R$182)),10^(1.75-0.3*LOG(R$182))))*R103^0.333,1))</f>
        <v>0</v>
      </c>
      <c r="S188" s="83"/>
      <c r="T188" s="3000">
        <f>LN(IF(T$183&lt;T$99,IF(LOG(T$182)&lt;-0.52,30.2,IF(LOG(T$182)&lt;0.24,10^(1.62+0.26*LOG(T$182)),10^(1.75-0.3*LOG(T$182))))*T103^0.333,1))</f>
        <v>0</v>
      </c>
      <c r="U188" s="83"/>
      <c r="V188" s="3000">
        <f>LN(IF(V$183&lt;V$99,IF(LOG(V$182)&lt;-0.52,30.2,IF(LOG(V$182)&lt;0.24,10^(1.62+0.26*LOG(V$182)),10^(1.75-0.3*LOG(V$182))))*V103^0.333,1))</f>
        <v>0</v>
      </c>
      <c r="W188" s="83"/>
      <c r="X188" s="3000">
        <f>LN(IF(X$183&lt;X$99,IF(LOG(X$182)&lt;-0.52,30.2,IF(LOG(X$182)&lt;0.24,10^(1.62+0.26*LOG(X$182)),10^(1.75-0.3*LOG(X$182))))*X103^0.333,1))</f>
        <v>0</v>
      </c>
      <c r="Y188" s="83"/>
      <c r="Z188" s="2987"/>
      <c r="AA188" s="83"/>
      <c r="AB188" s="81"/>
      <c r="AC188" s="512" t="s">
        <v>5105</v>
      </c>
      <c r="AD188" s="81"/>
      <c r="AE188" s="2981">
        <f>IF(AE$89&gt;0,LN(IF(AE$180&gt;=1000,AE$99*AE$178*1000^AE$179,NBPlume_A_Night*AE$89/(AE$98*Wind_Night)/(1000-AE$180+AE$181)^(1/NBPlume_B_Night))),0)</f>
        <v>0</v>
      </c>
      <c r="AF188" s="81"/>
      <c r="AG188" s="2981">
        <f>IF(AG$89&gt;0,LN(IF(AG$180&gt;=1000,AG$99*AG$178*1000^AG$179,NBPlume_A_Night*AG$89/(AG$98*Wind_Night)/(1000-AG$180+AG$181)^(1/NBPlume_B_Night))),0)</f>
        <v>0</v>
      </c>
      <c r="AH188" s="81"/>
      <c r="AI188" s="2981">
        <f>IF(AI$89&gt;0,LN(IF(AI$180&gt;=1000,AI$99*AI$178*1000^AI$179,NBPlume_A_Night*AI$89/(AI$98*Wind_Night)/(1000-AI$180+AI$181)^(1/NBPlume_B_Night))),0)</f>
        <v>0</v>
      </c>
      <c r="AJ188" s="81"/>
      <c r="AK188" s="2981">
        <f>IF(AK$89&gt;0,LN(IF(AK$180&gt;=1000,AK$99*AK$178*1000^AK$179,NBPlume_A_Night*AK$89/(AK$98*Wind_Night)/(1000-AK$180+AK$181)^(1/NBPlume_B_Night))),0)</f>
        <v>0</v>
      </c>
      <c r="AL188" s="81"/>
      <c r="AM188" s="2981">
        <f>IF(AM$89&gt;0,LN(IF(AM$180&gt;=1000,AM$99*AM$178*1000^AM$179,NBPlume_A_Night*AM$89/(AM$98*Wind_Night)/(1000-AM$180+AM$181)^(1/NBPlume_B_Night))),0)</f>
        <v>0</v>
      </c>
      <c r="AN188" s="81"/>
      <c r="AO188" s="2981">
        <f>IF(AO$89&gt;0,LN(IF(AO$180&gt;=1000,AO$99*AO$178*1000^AO$179,NBPlume_A_Night*AO$89/(AO$98*Wind_Night)/(1000-AO$180+AO$181)^(1/NBPlume_B_Night))),0)</f>
        <v>0</v>
      </c>
      <c r="AP188" s="81"/>
      <c r="AQ188" s="85"/>
      <c r="AR188" s="81"/>
      <c r="AS188" s="83"/>
      <c r="AT188" s="2977" t="s">
        <v>5054</v>
      </c>
      <c r="AU188" s="83"/>
      <c r="AV188" s="1230" t="e">
        <f>EXP(INDEX(LINEST($CJ$277:$CJ$283,AV181:AV187),2))*((Ambient_Temp+273)/(AV9+273))*Roughness_A</f>
        <v>#VALUE!</v>
      </c>
      <c r="AW188" s="269"/>
      <c r="AX188" s="1230" t="e">
        <f>EXP(INDEX(LINEST($CJ$277:$CJ$283,AX181:AX187),2))*((Ambient_Temp+273)/(AX9+273))*Roughness_A</f>
        <v>#VALUE!</v>
      </c>
      <c r="AY188" s="269"/>
      <c r="AZ188" s="1230" t="e">
        <f>EXP(INDEX(LINEST($CJ$277:$CJ$283,AZ181:AZ187),2))*((Ambient_Temp+273)/(AZ9+273))*Roughness_A</f>
        <v>#VALUE!</v>
      </c>
      <c r="BA188" s="269"/>
      <c r="BB188" s="1230" t="e">
        <f>EXP(INDEX(LINEST($CJ$277:$CJ$283,BB181:BB187),2))*((Ambient_Temp+273)/(BB9+273))*Roughness_A</f>
        <v>#VALUE!</v>
      </c>
      <c r="BC188" s="269"/>
      <c r="BD188" s="1230" t="e">
        <f>EXP(INDEX(LINEST($CJ$277:$CJ$283,BD181:BD187),2))*((Ambient_Temp+273)/(BD9+273))*Roughness_A</f>
        <v>#VALUE!</v>
      </c>
      <c r="BE188" s="269"/>
      <c r="BF188" s="1230" t="e">
        <f>EXP(INDEX(LINEST($CJ$277:$CJ$283,BF181:BF187),2))*((Ambient_Temp+273)/(BF9+273))*Roughness_A</f>
        <v>#VALUE!</v>
      </c>
      <c r="BG188" s="269"/>
      <c r="BH188" s="1230" t="e">
        <f>EXP(INDEX(LINEST($CJ$277:$CJ$283,BH181:BH187),2))*((Ambient_Temp+273)/(BH9+273))*Roughness_A</f>
        <v>#VALUE!</v>
      </c>
      <c r="BI188" s="269"/>
      <c r="BJ188" s="1230" t="e">
        <f>EXP(INDEX(LINEST($CJ$277:$CJ$283,BJ181:BJ187),2))*((Ambient_Temp+273)/(BJ9+273))*Roughness_A</f>
        <v>#VALUE!</v>
      </c>
      <c r="BK188" s="269"/>
      <c r="BL188" s="1230" t="e">
        <f>EXP(INDEX(LINEST($CJ$277:$CJ$283,BL181:BL187),2))*((Ambient_Temp+273)/(BL9+273))*Roughness_A</f>
        <v>#VALUE!</v>
      </c>
      <c r="BM188" s="269"/>
      <c r="BN188" s="1230" t="e">
        <f>EXP(INDEX(LINEST($CJ$277:$CJ$283,BN181:BN187),2))*((Ambient_Temp+273)/(BN9+273))*Roughness_A</f>
        <v>#VALUE!</v>
      </c>
      <c r="BO188" s="269"/>
      <c r="BP188" s="1835"/>
      <c r="BQ188" s="83"/>
      <c r="BR188" s="81"/>
      <c r="BS188" s="512" t="s">
        <v>5119</v>
      </c>
      <c r="BT188" s="81"/>
      <c r="BU188" s="3000">
        <f>LN(IF(BU$183&lt;BU$99,IF(LOG(BU$182)&lt;-0.52,30.2,IF(LOG(BU$182)&lt;0.24,10^(1.62+0.26*LOG(BU$182)),10^(1.75-0.3*LOG(BU$182))))*BU103^0.333,1))</f>
        <v>0</v>
      </c>
      <c r="BV188" s="81"/>
      <c r="BW188" s="3000">
        <f>LN(IF(BW$183&lt;BW$99,IF(LOG(BW$182)&lt;-0.52,30.2,IF(LOG(BW$182)&lt;0.24,10^(1.62+0.26*LOG(BW$182)),10^(1.75-0.3*LOG(BW$182))))*BW103^0.333,1))</f>
        <v>0</v>
      </c>
      <c r="BX188" s="81"/>
      <c r="BY188" s="3000">
        <f>LN(IF(BY$183&lt;BY$99,IF(LOG(BY$182)&lt;-0.52,30.2,IF(LOG(BY$182)&lt;0.24,10^(1.62+0.26*LOG(BY$182)),10^(1.75-0.3*LOG(BY$182))))*BY103^0.333,1))</f>
        <v>0</v>
      </c>
      <c r="BZ188" s="81"/>
      <c r="CA188" s="3000">
        <f>LN(IF(CA$183&lt;CA$99,IF(LOG(CA$182)&lt;-0.52,30.2,IF(LOG(CA$182)&lt;0.24,10^(1.62+0.26*LOG(CA$182)),10^(1.75-0.3*LOG(CA$182))))*CA103^0.333,1))</f>
        <v>0</v>
      </c>
      <c r="CB188" s="81"/>
      <c r="CC188" s="3000">
        <f>LN(IF(CC$183&lt;CC$99,IF(LOG(CC$182)&lt;-0.52,30.2,IF(LOG(CC$182)&lt;0.24,10^(1.62+0.26*LOG(CC$182)),10^(1.75-0.3*LOG(CC$182))))*CC103^0.333,1))</f>
        <v>0</v>
      </c>
      <c r="CD188" s="81"/>
      <c r="CE188" s="23"/>
      <c r="CF188" s="81"/>
      <c r="CG188" s="83"/>
      <c r="CH188" s="1403" t="s">
        <v>610</v>
      </c>
      <c r="CI188" s="83"/>
      <c r="CJ188" s="18"/>
      <c r="CK188" s="83"/>
      <c r="CL188" s="2"/>
      <c r="CM188" s="83"/>
      <c r="CN188" s="7"/>
      <c r="CQ188" s="7"/>
    </row>
    <row r="189" spans="1:97" s="26" customFormat="1" ht="15" customHeight="1" x14ac:dyDescent="0.25">
      <c r="A189" s="2"/>
      <c r="B189" s="512" t="s">
        <v>5120</v>
      </c>
      <c r="C189" s="83"/>
      <c r="D189" s="3000">
        <f>LN(IF(D$183&lt;D$99,IF(LOG(D$182)&lt;0.27,67.6,10^(1.92-0.32*LOG(D$182)))*D103^0.333,1))</f>
        <v>0</v>
      </c>
      <c r="E189" s="83"/>
      <c r="F189" s="3000">
        <f>LN(IF(F$183&lt;F$99,IF(LOG(F$182)&lt;0.27,67.6,10^(1.92-0.32*LOG(F$182)))*F103^0.333,1))</f>
        <v>0</v>
      </c>
      <c r="G189" s="83"/>
      <c r="H189" s="3000">
        <f>LN(IF(H$183&lt;H$99,IF(LOG(H$182)&lt;0.27,67.6,10^(1.92-0.32*LOG(H$182)))*H103^0.333,1))</f>
        <v>0</v>
      </c>
      <c r="I189" s="83"/>
      <c r="J189" s="3000">
        <f>LN(IF(J$183&lt;J$99,IF(LOG(J$182)&lt;0.27,67.6,10^(1.92-0.32*LOG(J$182)))*J103^0.333,1))</f>
        <v>0</v>
      </c>
      <c r="K189" s="83"/>
      <c r="L189" s="3000">
        <f>LN(IF(L$183&lt;L$99,IF(LOG(L$182)&lt;0.27,67.6,10^(1.92-0.32*LOG(L$182)))*L103^0.333,1))</f>
        <v>0</v>
      </c>
      <c r="M189" s="83"/>
      <c r="N189" s="3000">
        <f>LN(IF(N$183&lt;N$99,IF(LOG(N$182)&lt;0.27,67.6,10^(1.92-0.32*LOG(N$182)))*N103^0.333,1))</f>
        <v>0</v>
      </c>
      <c r="O189" s="83"/>
      <c r="P189" s="3000">
        <f>LN(IF(P$183&lt;P$99,IF(LOG(P$182)&lt;0.27,67.6,10^(1.92-0.32*LOG(P$182)))*P103^0.333,1))</f>
        <v>0</v>
      </c>
      <c r="Q189" s="83"/>
      <c r="R189" s="3000">
        <f>LN(IF(R$183&lt;R$99,IF(LOG(R$182)&lt;0.27,67.6,10^(1.92-0.32*LOG(R$182)))*R103^0.333,1))</f>
        <v>0</v>
      </c>
      <c r="S189" s="83"/>
      <c r="T189" s="3000">
        <f>LN(IF(T$183&lt;T$99,IF(LOG(T$182)&lt;0.27,67.6,10^(1.92-0.32*LOG(T$182)))*T103^0.333,1))</f>
        <v>0</v>
      </c>
      <c r="U189" s="83"/>
      <c r="V189" s="3000">
        <f>LN(IF(V$183&lt;V$99,IF(LOG(V$182)&lt;0.27,67.6,10^(1.92-0.32*LOG(V$182)))*V103^0.333,1))</f>
        <v>0</v>
      </c>
      <c r="W189" s="83"/>
      <c r="X189" s="3000">
        <f>LN(IF(X$183&lt;X$99,IF(LOG(X$182)&lt;0.27,67.6,10^(1.92-0.32*LOG(X$182)))*X103^0.333,1))</f>
        <v>0</v>
      </c>
      <c r="Y189" s="83"/>
      <c r="Z189" s="2987"/>
      <c r="AA189" s="83"/>
      <c r="AB189" s="81"/>
      <c r="AC189" s="512" t="s">
        <v>5106</v>
      </c>
      <c r="AD189" s="81"/>
      <c r="AE189" s="2981">
        <f>IF(AE$89&gt;0,LN(IF(AE$180&gt;=2000,AE$99*AE$178*2000^AE$179,NBPlume_A_Night*AE$89/(AE$98*Wind_Night)/(2000-AE$180+AE$181)^(1/NBPlume_B_Night))),0)</f>
        <v>0</v>
      </c>
      <c r="AF189" s="81"/>
      <c r="AG189" s="2981">
        <f>IF(AG$89&gt;0,LN(IF(AG$180&gt;=2000,AG$99*AG$178*2000^AG$179,NBPlume_A_Night*AG$89/(AG$98*Wind_Night)/(2000-AG$180+AG$181)^(1/NBPlume_B_Night))),0)</f>
        <v>0</v>
      </c>
      <c r="AH189" s="81"/>
      <c r="AI189" s="2981">
        <f>IF(AI$89&gt;0,LN(IF(AI$180&gt;=2000,AI$99*AI$178*2000^AI$179,NBPlume_A_Night*AI$89/(AI$98*Wind_Night)/(2000-AI$180+AI$181)^(1/NBPlume_B_Night))),0)</f>
        <v>0</v>
      </c>
      <c r="AJ189" s="81"/>
      <c r="AK189" s="2981">
        <f>IF(AK$89&gt;0,LN(IF(AK$180&gt;=2000,AK$99*AK$178*2000^AK$179,NBPlume_A_Night*AK$89/(AK$98*Wind_Night)/(2000-AK$180+AK$181)^(1/NBPlume_B_Night))),0)</f>
        <v>0</v>
      </c>
      <c r="AL189" s="81"/>
      <c r="AM189" s="2981">
        <f>IF(AM$89&gt;0,LN(IF(AM$180&gt;=2000,AM$99*AM$178*2000^AM$179,NBPlume_A_Night*AM$89/(AM$98*Wind_Night)/(2000-AM$180+AM$181)^(1/NBPlume_B_Night))),0)</f>
        <v>0</v>
      </c>
      <c r="AN189" s="81"/>
      <c r="AO189" s="2981">
        <f>IF(AO$89&gt;0,LN(IF(AO$180&gt;=2000,AO$99*AO$178*2000^AO$179,NBPlume_A_Night*AO$89/(AO$98*Wind_Night)/(2000-AO$180+AO$181)^(1/NBPlume_B_Night))),0)</f>
        <v>0</v>
      </c>
      <c r="AP189" s="81"/>
      <c r="AQ189" s="85"/>
      <c r="AR189" s="81"/>
      <c r="AS189" s="83"/>
      <c r="AT189" s="2977" t="s">
        <v>5055</v>
      </c>
      <c r="AU189" s="83"/>
      <c r="AV189" s="1230" t="e">
        <f>INDEX(LINEST($CJ$277:$CJ$283,AV181:AV187),1)+Roughness_B</f>
        <v>#VALUE!</v>
      </c>
      <c r="AW189" s="269"/>
      <c r="AX189" s="1230" t="e">
        <f>INDEX(LINEST($CJ$277:$CJ$283,AX181:AX187),1)+Roughness_B</f>
        <v>#VALUE!</v>
      </c>
      <c r="AY189" s="269"/>
      <c r="AZ189" s="1230" t="e">
        <f>INDEX(LINEST($CJ$277:$CJ$283,AZ181:AZ187),1)+Roughness_B</f>
        <v>#VALUE!</v>
      </c>
      <c r="BA189" s="269"/>
      <c r="BB189" s="1230" t="e">
        <f>INDEX(LINEST($CJ$277:$CJ$283,BB181:BB187),1)+Roughness_B</f>
        <v>#VALUE!</v>
      </c>
      <c r="BC189" s="269"/>
      <c r="BD189" s="1230" t="e">
        <f>INDEX(LINEST($CJ$277:$CJ$283,BD181:BD187),1)+Roughness_B</f>
        <v>#VALUE!</v>
      </c>
      <c r="BE189" s="269"/>
      <c r="BF189" s="1230" t="e">
        <f>INDEX(LINEST($CJ$277:$CJ$283,BF181:BF187),1)+Roughness_B</f>
        <v>#VALUE!</v>
      </c>
      <c r="BG189" s="269"/>
      <c r="BH189" s="1230" t="e">
        <f>INDEX(LINEST($CJ$277:$CJ$283,BH181:BH187),1)+Roughness_B</f>
        <v>#VALUE!</v>
      </c>
      <c r="BI189" s="269"/>
      <c r="BJ189" s="1230" t="e">
        <f>INDEX(LINEST($CJ$277:$CJ$283,BJ181:BJ187),1)+Roughness_B</f>
        <v>#VALUE!</v>
      </c>
      <c r="BK189" s="269"/>
      <c r="BL189" s="1230" t="e">
        <f>INDEX(LINEST($CJ$277:$CJ$283,BL181:BL187),1)+Roughness_B</f>
        <v>#VALUE!</v>
      </c>
      <c r="BM189" s="269"/>
      <c r="BN189" s="1230" t="e">
        <f>INDEX(LINEST($CJ$277:$CJ$283,BN181:BN187),1)+Roughness_B</f>
        <v>#VALUE!</v>
      </c>
      <c r="BO189" s="269"/>
      <c r="BP189" s="1835"/>
      <c r="BQ189" s="83"/>
      <c r="BR189" s="81"/>
      <c r="BS189" s="512" t="s">
        <v>5120</v>
      </c>
      <c r="BT189" s="81"/>
      <c r="BU189" s="3000">
        <f>LN(IF(BU$183&lt;BU$99,IF(LOG(BU$182)&lt;0.27,67.6,10^(1.92-0.32*LOG(BU$182)))*BU103^0.333,1))</f>
        <v>0</v>
      </c>
      <c r="BV189" s="81"/>
      <c r="BW189" s="3000">
        <f>LN(IF(BW$183&lt;BW$99,IF(LOG(BW$182)&lt;0.27,67.6,10^(1.92-0.32*LOG(BW$182)))*BW103^0.333,1))</f>
        <v>0</v>
      </c>
      <c r="BX189" s="81"/>
      <c r="BY189" s="3000">
        <f>LN(IF(BY$183&lt;BY$99,IF(LOG(BY$182)&lt;0.27,67.6,10^(1.92-0.32*LOG(BY$182)))*BY103^0.333,1))</f>
        <v>0</v>
      </c>
      <c r="BZ189" s="81"/>
      <c r="CA189" s="3000">
        <f>LN(IF(CA$183&lt;CA$99,IF(LOG(CA$182)&lt;0.27,67.6,10^(1.92-0.32*LOG(CA$182)))*CA103^0.333,1))</f>
        <v>0</v>
      </c>
      <c r="CB189" s="81"/>
      <c r="CC189" s="3000">
        <f>LN(IF(CC$183&lt;CC$99,IF(LOG(CC$182)&lt;0.27,67.6,10^(1.92-0.32*LOG(CC$182)))*CC103^0.333,1))</f>
        <v>0</v>
      </c>
      <c r="CD189" s="81"/>
      <c r="CE189" s="23"/>
      <c r="CF189" s="81"/>
      <c r="CG189" s="83"/>
      <c r="CH189" s="85" t="s">
        <v>4222</v>
      </c>
      <c r="CI189" s="83"/>
      <c r="CJ189" s="2128" t="str">
        <f>IF(OR(Regulatory_Tox="Yes",CJ145="Yes"),IF(Conseq_Criteria="Hazard Distance",CJ213,CJ214),"NA")</f>
        <v>NA</v>
      </c>
      <c r="CK189" s="83"/>
      <c r="CL189" s="23"/>
      <c r="CM189" s="83"/>
      <c r="CN189" s="7"/>
      <c r="CQ189" s="7"/>
    </row>
    <row r="190" spans="1:97" s="26" customFormat="1" ht="12.75" customHeight="1" x14ac:dyDescent="0.25">
      <c r="A190" s="2"/>
      <c r="B190" s="512" t="s">
        <v>5122</v>
      </c>
      <c r="C190" s="83"/>
      <c r="D190" s="3000">
        <f>LN(IF(D$183&lt;D$99,IF(LOG(D$182)&lt;-0.1,118.9,10^(2.05-0.27*LOG(D$182)))*D103^0.333,1))</f>
        <v>0</v>
      </c>
      <c r="E190" s="83"/>
      <c r="F190" s="3000">
        <f>LN(IF(F$183&lt;F$99,IF(LOG(F$182)&lt;-0.1,118.9,10^(2.05-0.27*LOG(F$182)))*F103^0.333,1))</f>
        <v>0</v>
      </c>
      <c r="G190" s="83"/>
      <c r="H190" s="3000">
        <f>LN(IF(H$183&lt;H$99,IF(LOG(H$182)&lt;-0.1,118.9,10^(2.05-0.27*LOG(H$182)))*H103^0.333,1))</f>
        <v>0</v>
      </c>
      <c r="I190" s="83"/>
      <c r="J190" s="3000">
        <f>LN(IF(J$183&lt;J$99,IF(LOG(J$182)&lt;-0.1,118.9,10^(2.05-0.27*LOG(J$182)))*J103^0.333,1))</f>
        <v>0</v>
      </c>
      <c r="K190" s="83"/>
      <c r="L190" s="3000">
        <f>LN(IF(L$183&lt;L$99,IF(LOG(L$182)&lt;-0.1,118.9,10^(2.05-0.27*LOG(L$182)))*L103^0.333,1))</f>
        <v>0</v>
      </c>
      <c r="M190" s="83"/>
      <c r="N190" s="3000">
        <f>LN(IF(N$183&lt;N$99,IF(LOG(N$182)&lt;-0.1,118.9,10^(2.05-0.27*LOG(N$182)))*N103^0.333,1))</f>
        <v>0</v>
      </c>
      <c r="O190" s="83"/>
      <c r="P190" s="3000">
        <f>LN(IF(P$183&lt;P$99,IF(LOG(P$182)&lt;-0.1,118.9,10^(2.05-0.27*LOG(P$182)))*P103^0.333,1))</f>
        <v>0</v>
      </c>
      <c r="Q190" s="83"/>
      <c r="R190" s="3000">
        <f>LN(IF(R$183&lt;R$99,IF(LOG(R$182)&lt;-0.1,118.9,10^(2.05-0.27*LOG(R$182)))*R103^0.333,1))</f>
        <v>0</v>
      </c>
      <c r="S190" s="83"/>
      <c r="T190" s="3000">
        <f>LN(IF(T$183&lt;T$99,IF(LOG(T$182)&lt;-0.1,118.9,10^(2.05-0.27*LOG(T$182)))*T103^0.333,1))</f>
        <v>0</v>
      </c>
      <c r="U190" s="83"/>
      <c r="V190" s="3000">
        <f>LN(IF(V$183&lt;V$99,IF(LOG(V$182)&lt;-0.1,118.9,10^(2.05-0.27*LOG(V$182)))*V103^0.333,1))</f>
        <v>0</v>
      </c>
      <c r="W190" s="83"/>
      <c r="X190" s="3000">
        <f>LN(IF(X$183&lt;X$99,IF(LOG(X$182)&lt;-0.1,118.9,10^(2.05-0.27*LOG(X$182)))*X103^0.333,1))</f>
        <v>0</v>
      </c>
      <c r="Y190" s="83"/>
      <c r="Z190" s="2987"/>
      <c r="AA190" s="83"/>
      <c r="AB190" s="81"/>
      <c r="AC190" s="512" t="s">
        <v>5107</v>
      </c>
      <c r="AD190" s="81"/>
      <c r="AE190" s="2981">
        <f>IF(AE$89&gt;0,LN(IF(AE$180&gt;=5000,AE$99*AE$178*5000^AE$179,NBPlume_A_Night*AE$89/(AE$98*Wind_Night)/(5000-AE$180+AE$181)^(1/NBPlume_B_Night))),0)</f>
        <v>0</v>
      </c>
      <c r="AF190" s="81"/>
      <c r="AG190" s="2981">
        <f>IF(AG$89&gt;0,LN(IF(AG$180&gt;=5000,AG$99*AG$178*5000^AG$179,NBPlume_A_Night*AG$89/(AG$98*Wind_Night)/(5000-AG$180+AG$181)^(1/NBPlume_B_Night))),0)</f>
        <v>0</v>
      </c>
      <c r="AH190" s="81"/>
      <c r="AI190" s="2981">
        <f>IF(AI$89&gt;0,LN(IF(AI$180&gt;=5000,AI$99*AI$178*5000^AI$179,NBPlume_A_Night*AI$89/(AI$98*Wind_Night)/(5000-AI$180+AI$181)^(1/NBPlume_B_Night))),0)</f>
        <v>0</v>
      </c>
      <c r="AJ190" s="81"/>
      <c r="AK190" s="2981">
        <f>IF(AK$89&gt;0,LN(IF(AK$180&gt;=5000,AK$99*AK$178*5000^AK$179,NBPlume_A_Night*AK$89/(AK$98*Wind_Night)/(5000-AK$180+AK$181)^(1/NBPlume_B_Night))),0)</f>
        <v>0</v>
      </c>
      <c r="AL190" s="81"/>
      <c r="AM190" s="2981">
        <f>IF(AM$89&gt;0,LN(IF(AM$180&gt;=5000,AM$99*AM$178*5000^AM$179,NBPlume_A_Night*AM$89/(AM$98*Wind_Night)/(5000-AM$180+AM$181)^(1/NBPlume_B_Night))),0)</f>
        <v>0</v>
      </c>
      <c r="AN190" s="81"/>
      <c r="AO190" s="2981">
        <f>IF(AO$89&gt;0,LN(IF(AO$180&gt;=5000,AO$99*AO$178*5000^AO$179,NBPlume_A_Night*AO$89/(AO$98*Wind_Night)/(5000-AO$180+AO$181)^(1/NBPlume_B_Night))),0)</f>
        <v>0</v>
      </c>
      <c r="AP190" s="81"/>
      <c r="AQ190" s="85"/>
      <c r="AR190" s="81"/>
      <c r="AS190" s="83"/>
      <c r="AT190" s="1691" t="s">
        <v>5069</v>
      </c>
      <c r="AU190" s="83"/>
      <c r="AV190" s="2401" t="e">
        <f>IF(AV180&lt;AV$83,(AV188/(AV180/AV$83))^(-1/AV189),0)</f>
        <v>#DIV/0!</v>
      </c>
      <c r="AW190" s="269"/>
      <c r="AX190" s="2401" t="e">
        <f>IF(AX180&lt;AX$83,(AX188/(AX180/AX$83))^(-1/AX189),0)</f>
        <v>#DIV/0!</v>
      </c>
      <c r="AY190" s="269"/>
      <c r="AZ190" s="2401" t="e">
        <f>IF(AZ180&lt;AZ$83,(AZ188/(AZ180/AZ$83))^(-1/AZ189),0)</f>
        <v>#DIV/0!</v>
      </c>
      <c r="BA190" s="269"/>
      <c r="BB190" s="2401" t="e">
        <f>IF(BB180&lt;BB$83,(BB188/(BB180/BB$83))^(-1/BB189),0)</f>
        <v>#DIV/0!</v>
      </c>
      <c r="BC190" s="269"/>
      <c r="BD190" s="2401" t="e">
        <f>IF(BD180&lt;BD$83,(BD188/(BD180/BD$83))^(-1/BD189),0)</f>
        <v>#DIV/0!</v>
      </c>
      <c r="BE190" s="269"/>
      <c r="BF190" s="2401" t="e">
        <f>IF(BF180&lt;BF$83,(BF188/(BF180/BF$83))^(-1/BF189),0)</f>
        <v>#DIV/0!</v>
      </c>
      <c r="BG190" s="269"/>
      <c r="BH190" s="2401" t="e">
        <f>IF(BH180&lt;BH$83,(BH188/(BH180/BH$83))^(-1/BH189),0)</f>
        <v>#DIV/0!</v>
      </c>
      <c r="BI190" s="269"/>
      <c r="BJ190" s="2401" t="e">
        <f>IF(BJ180&lt;BJ$83,(BJ188/(BJ180/BJ$83))^(-1/BJ189),0)</f>
        <v>#DIV/0!</v>
      </c>
      <c r="BK190" s="269"/>
      <c r="BL190" s="2401" t="e">
        <f>IF(BL180&lt;BL$83,(BL188/(BL180/BL$83))^(-1/BL189),0)</f>
        <v>#DIV/0!</v>
      </c>
      <c r="BM190" s="269"/>
      <c r="BN190" s="2401" t="e">
        <f>IF(BN180&lt;BN$83,(BN188/(BN180/BN$83))^(-1/BN189),0)</f>
        <v>#DIV/0!</v>
      </c>
      <c r="BO190" s="269"/>
      <c r="BP190" s="1835"/>
      <c r="BQ190" s="83"/>
      <c r="BR190" s="81"/>
      <c r="BS190" s="512" t="s">
        <v>5122</v>
      </c>
      <c r="BT190" s="81"/>
      <c r="BU190" s="3000">
        <f>LN(IF(BU$183&lt;BU$99,IF(LOG(BU$182)&lt;-0.1,118.9,10^(2.05-0.27*LOG(BU$182)))*BU103^0.333,1))</f>
        <v>0</v>
      </c>
      <c r="BV190" s="81"/>
      <c r="BW190" s="3000">
        <f>LN(IF(BW$183&lt;BW$99,IF(LOG(BW$182)&lt;-0.1,118.9,10^(2.05-0.27*LOG(BW$182)))*BW103^0.333,1))</f>
        <v>0</v>
      </c>
      <c r="BX190" s="81"/>
      <c r="BY190" s="3000">
        <f>LN(IF(BY$183&lt;BY$99,IF(LOG(BY$182)&lt;-0.1,118.9,10^(2.05-0.27*LOG(BY$182)))*BY103^0.333,1))</f>
        <v>0</v>
      </c>
      <c r="BZ190" s="81"/>
      <c r="CA190" s="3000">
        <f>LN(IF(CA$183&lt;CA$99,IF(LOG(CA$182)&lt;-0.1,118.9,10^(2.05-0.27*LOG(CA$182)))*CA103^0.333,1))</f>
        <v>0</v>
      </c>
      <c r="CB190" s="81"/>
      <c r="CC190" s="3000">
        <f>LN(IF(CC$183&lt;CC$99,IF(LOG(CC$182)&lt;-0.1,118.9,10^(2.05-0.27*LOG(CC$182)))*CC103^0.333,1))</f>
        <v>0</v>
      </c>
      <c r="CD190" s="81"/>
      <c r="CE190" s="23"/>
      <c r="CF190" s="81"/>
      <c r="CG190" s="83"/>
      <c r="CH190" s="23" t="s">
        <v>5294</v>
      </c>
      <c r="CI190" s="83"/>
      <c r="CJ190" s="1206">
        <f>IF(AND(CJ149&lt;&gt;"",CJ25&gt;0),IF(CJ17="Instantaneous",CJ149*(CJ140/CJ25)^CJ$79,CJ149*(CJ140/CJ25)^CJ$53),0.1)</f>
        <v>0.1</v>
      </c>
      <c r="CK190" s="83"/>
      <c r="CL190" s="23" t="s">
        <v>1068</v>
      </c>
      <c r="CM190" s="83"/>
      <c r="CN190" s="7"/>
    </row>
    <row r="191" spans="1:97" s="26" customFormat="1" ht="15" customHeight="1" thickBot="1" x14ac:dyDescent="0.3">
      <c r="A191" s="2"/>
      <c r="B191" s="2977" t="s">
        <v>5054</v>
      </c>
      <c r="C191" s="83"/>
      <c r="D191" s="1230">
        <f>EXP(INDEX(LINEST($CJ$277:$CJ$283,D184:D190),2))*((Ambient_Temp+273)/(D9+273))*Roughness_A</f>
        <v>5.4578754578754546E-3</v>
      </c>
      <c r="E191" s="83"/>
      <c r="F191" s="1230">
        <f>EXP(INDEX(LINEST($CJ$277:$CJ$283,F184:F190),2))*((Ambient_Temp+273)/(F9+273))*Roughness_A</f>
        <v>5.4578754578754546E-3</v>
      </c>
      <c r="G191" s="83"/>
      <c r="H191" s="1230">
        <f>EXP(INDEX(LINEST($CJ$277:$CJ$283,H184:H190),2))*((Ambient_Temp+273)/(H9+273))*Roughness_A</f>
        <v>5.4578754578754546E-3</v>
      </c>
      <c r="I191" s="83"/>
      <c r="J191" s="1230">
        <f>EXP(INDEX(LINEST($CJ$277:$CJ$283,J184:J190),2))*((Ambient_Temp+273)/(J9+273))*Roughness_A</f>
        <v>5.4578754578754546E-3</v>
      </c>
      <c r="K191" s="83"/>
      <c r="L191" s="1230">
        <f>EXP(INDEX(LINEST($CJ$277:$CJ$283,L184:L190),2))*((Ambient_Temp+273)/(L9+273))*Roughness_A</f>
        <v>5.4578754578754546E-3</v>
      </c>
      <c r="M191" s="83"/>
      <c r="N191" s="1230">
        <f>EXP(INDEX(LINEST($CJ$277:$CJ$283,N184:N190),2))*((Ambient_Temp+273)/(N9+273))*Roughness_A</f>
        <v>5.4578754578754546E-3</v>
      </c>
      <c r="O191" s="83"/>
      <c r="P191" s="1230">
        <f>EXP(INDEX(LINEST($CJ$277:$CJ$283,P184:P190),2))*((Ambient_Temp+273)/(P9+273))*Roughness_A</f>
        <v>5.4578754578754546E-3</v>
      </c>
      <c r="Q191" s="83"/>
      <c r="R191" s="1230">
        <f>EXP(INDEX(LINEST($CJ$277:$CJ$283,R184:R190),2))*((Ambient_Temp+273)/(R9+273))*Roughness_A</f>
        <v>5.4578754578754546E-3</v>
      </c>
      <c r="S191" s="83"/>
      <c r="T191" s="1230">
        <f>EXP(INDEX(LINEST($CJ$277:$CJ$283,T184:T190),2))*((Ambient_Temp+273)/(T9+273))*Roughness_A</f>
        <v>5.4578754578754546E-3</v>
      </c>
      <c r="U191" s="83"/>
      <c r="V191" s="1230">
        <f>EXP(INDEX(LINEST($CJ$277:$CJ$283,V184:V190),2))*((Ambient_Temp+273)/(V9+273))*Roughness_A</f>
        <v>5.4578754578754546E-3</v>
      </c>
      <c r="W191" s="83"/>
      <c r="X191" s="1230">
        <f>EXP(INDEX(LINEST($CJ$277:$CJ$283,X184:X190),2))*((Ambient_Temp+273)/(X9+273))*Roughness_A</f>
        <v>5.4578754578754546E-3</v>
      </c>
      <c r="Y191" s="83"/>
      <c r="Z191" s="85" t="s">
        <v>1068</v>
      </c>
      <c r="AA191" s="83"/>
      <c r="AB191" s="81"/>
      <c r="AC191" s="512" t="s">
        <v>5108</v>
      </c>
      <c r="AD191" s="81"/>
      <c r="AE191" s="3001">
        <f>IF(AE$89&gt;0,LN(IF(AE$180&gt;=10000,AE$99*AE$178*10000^AE$179,NBPlume_A_Night*AE$89/(AE$98*Wind_Night)/(10000-AE$180+AE$181)^(1/NBPlume_B_Night))),0)</f>
        <v>0</v>
      </c>
      <c r="AF191" s="81"/>
      <c r="AG191" s="3001">
        <f>IF(AG$89&gt;0,LN(IF(AG$180&gt;=10000,AG$99*AG$178*10000^AG$179,NBPlume_A_Night*AG$89/(AG$98*Wind_Night)/(10000-AG$180+AG$181)^(1/NBPlume_B_Night))),0)</f>
        <v>0</v>
      </c>
      <c r="AH191" s="81"/>
      <c r="AI191" s="3001">
        <f>IF(AI$89&gt;0,LN(IF(AI$180&gt;=10000,AI$99*AI$178*10000^AI$179,NBPlume_A_Night*AI$89/(AI$98*Wind_Night)/(10000-AI$180+AI$181)^(1/NBPlume_B_Night))),0)</f>
        <v>0</v>
      </c>
      <c r="AJ191" s="81"/>
      <c r="AK191" s="3001">
        <f>IF(AK$89&gt;0,LN(IF(AK$180&gt;=10000,AK$99*AK$178*10000^AK$179,NBPlume_A_Night*AK$89/(AK$98*Wind_Night)/(10000-AK$180+AK$181)^(1/NBPlume_B_Night))),0)</f>
        <v>0</v>
      </c>
      <c r="AL191" s="81"/>
      <c r="AM191" s="3001">
        <f>IF(AM$89&gt;0,LN(IF(AM$180&gt;=10000,AM$99*AM$178*10000^AM$179,NBPlume_A_Night*AM$89/(AM$98*Wind_Night)/(10000-AM$180+AM$181)^(1/NBPlume_B_Night))),0)</f>
        <v>0</v>
      </c>
      <c r="AN191" s="81"/>
      <c r="AO191" s="3001">
        <f>IF(AO$89&gt;0,LN(IF(AO$180&gt;=10000,AO$99*AO$178*10000^AO$179,NBPlume_A_Night*AO$89/(AO$98*Wind_Night)/(10000-AO$180+AO$181)^(1/NBPlume_B_Night))),0)</f>
        <v>0</v>
      </c>
      <c r="AP191" s="81"/>
      <c r="AQ191" s="85"/>
      <c r="AR191" s="81"/>
      <c r="AS191" s="83"/>
      <c r="AT191" s="1691" t="s">
        <v>5073</v>
      </c>
      <c r="AU191" s="83"/>
      <c r="AV191" s="2985" t="e">
        <f>IF(AV190&gt;0,NBPuff_A_Night*AV$67/(AV$82*AV180),0)^NBPuff_B_Night</f>
        <v>#DIV/0!</v>
      </c>
      <c r="AW191" s="269"/>
      <c r="AX191" s="2985" t="e">
        <f>IF(AX190&gt;0,NBPuff_A_Night*AX$67/(AX$82*AX180),0)^NBPuff_B_Night</f>
        <v>#DIV/0!</v>
      </c>
      <c r="AY191" s="269"/>
      <c r="AZ191" s="2985" t="e">
        <f>IF(AZ190&gt;0,NBPuff_A_Night*AZ$67/(AZ$82*AZ180),0)^NBPuff_B_Night</f>
        <v>#DIV/0!</v>
      </c>
      <c r="BA191" s="269"/>
      <c r="BB191" s="2985" t="e">
        <f>IF(BB190&gt;0,NBPuff_A_Night*BB$67/(BB$82*BB180),0)^NBPuff_B_Night</f>
        <v>#DIV/0!</v>
      </c>
      <c r="BC191" s="269"/>
      <c r="BD191" s="2985" t="e">
        <f>IF(BD190&gt;0,NBPuff_A_Night*BD$67/(BD$82*BD180),0)^NBPuff_B_Night</f>
        <v>#DIV/0!</v>
      </c>
      <c r="BE191" s="269"/>
      <c r="BF191" s="2985" t="e">
        <f>IF(BF190&gt;0,NBPuff_A_Night*BF$67/(BF$82*BF180),0)^NBPuff_B_Night</f>
        <v>#DIV/0!</v>
      </c>
      <c r="BG191" s="269"/>
      <c r="BH191" s="2985" t="e">
        <f>IF(BH190&gt;0,NBPuff_A_Night*BH$67/(BH$82*BH180),0)^NBPuff_B_Night</f>
        <v>#DIV/0!</v>
      </c>
      <c r="BI191" s="269"/>
      <c r="BJ191" s="2985" t="e">
        <f>IF(BJ190&gt;0,NBPuff_A_Night*BJ$67/(BJ$82*BJ180),0)^NBPuff_B_Night</f>
        <v>#DIV/0!</v>
      </c>
      <c r="BK191" s="269"/>
      <c r="BL191" s="2985" t="e">
        <f>IF(BL190&gt;0,NBPuff_A_Night*BL$67/(BL$82*BL180),0)^NBPuff_B_Night</f>
        <v>#DIV/0!</v>
      </c>
      <c r="BM191" s="269"/>
      <c r="BN191" s="2985" t="e">
        <f>IF(BN190&gt;0,NBPuff_A_Night*BN$67/(BN$82*BN180),0)^NBPuff_B_Night</f>
        <v>#DIV/0!</v>
      </c>
      <c r="BO191" s="269"/>
      <c r="BP191" s="1835"/>
      <c r="BQ191" s="83"/>
      <c r="BR191" s="81"/>
      <c r="BS191" s="2977" t="s">
        <v>5054</v>
      </c>
      <c r="BT191" s="81"/>
      <c r="BU191" s="1230">
        <f>EXP(INDEX(LINEST($CJ$277:$CJ$283,BU184:BU190),2))*((Ambient_Temp+273)/(BU15+273))*Roughness_A</f>
        <v>5.4578754578754546E-3</v>
      </c>
      <c r="BV191" s="81"/>
      <c r="BW191" s="1230">
        <f>EXP(INDEX(LINEST($CJ$277:$CJ$283,BW184:BW190),2))*((Ambient_Temp+273)/(BW15+273))*Roughness_A</f>
        <v>5.4578754578754546E-3</v>
      </c>
      <c r="BX191" s="81"/>
      <c r="BY191" s="1230">
        <f>EXP(INDEX(LINEST($CJ$277:$CJ$283,BY184:BY190),2))*((Ambient_Temp+273)/(BY15+273))*Roughness_A</f>
        <v>5.4578754578754546E-3</v>
      </c>
      <c r="BZ191" s="81"/>
      <c r="CA191" s="1230">
        <f>EXP(INDEX(LINEST($CJ$277:$CJ$283,CA184:CA190),2))*((Ambient_Temp+273)/(CA15+273))*Roughness_A</f>
        <v>5.4578754578754546E-3</v>
      </c>
      <c r="CB191" s="81"/>
      <c r="CC191" s="1230">
        <f>EXP(INDEX(LINEST($CJ$277:$CJ$283,CC184:CC190),2))*((Ambient_Temp+273)/(CC15+273))*Roughness_A</f>
        <v>5.4578754578754546E-3</v>
      </c>
      <c r="CD191" s="81"/>
      <c r="CE191" s="23"/>
      <c r="CF191" s="81"/>
      <c r="CG191" s="83"/>
      <c r="CH191" s="23" t="s">
        <v>3629</v>
      </c>
      <c r="CI191" s="83"/>
      <c r="CJ191" s="1206">
        <f>IF(CJ17="Instantaneous",Dispersion_I,Dispersion_D)*(MAX(CJ190,Public)^2-Public^2)+2*(MAX(CJ190,Public)-Public)*CJ$14</f>
        <v>3.0000000000000005E-3</v>
      </c>
      <c r="CK191" s="83"/>
      <c r="CL191" s="23" t="s">
        <v>2196</v>
      </c>
      <c r="CM191" s="83"/>
      <c r="CN191" s="7"/>
    </row>
    <row r="192" spans="1:97" s="26" customFormat="1" ht="15" customHeight="1" x14ac:dyDescent="0.25">
      <c r="A192" s="2"/>
      <c r="B192" s="2977" t="s">
        <v>5055</v>
      </c>
      <c r="C192" s="83"/>
      <c r="D192" s="1230">
        <f>INDEX(LINEST($CJ$277:$CJ$283,D184:D190),1)+Roughness_B</f>
        <v>0</v>
      </c>
      <c r="E192" s="83"/>
      <c r="F192" s="1230">
        <f>INDEX(LINEST($CJ$277:$CJ$283,F184:F190),1)+Roughness_B</f>
        <v>0</v>
      </c>
      <c r="G192" s="83"/>
      <c r="H192" s="1230">
        <f>INDEX(LINEST($CJ$277:$CJ$283,H184:H190),1)+Roughness_B</f>
        <v>0</v>
      </c>
      <c r="I192" s="83"/>
      <c r="J192" s="1230">
        <f>INDEX(LINEST($CJ$277:$CJ$283,J184:J190),1)+Roughness_B</f>
        <v>0</v>
      </c>
      <c r="K192" s="83"/>
      <c r="L192" s="1230">
        <f>INDEX(LINEST($CJ$277:$CJ$283,L184:L190),1)+Roughness_B</f>
        <v>0</v>
      </c>
      <c r="M192" s="83"/>
      <c r="N192" s="1230">
        <f>INDEX(LINEST($CJ$277:$CJ$283,N184:N190),1)+Roughness_B</f>
        <v>0</v>
      </c>
      <c r="O192" s="83"/>
      <c r="P192" s="1230">
        <f>INDEX(LINEST($CJ$277:$CJ$283,P184:P190),1)+Roughness_B</f>
        <v>0</v>
      </c>
      <c r="Q192" s="83"/>
      <c r="R192" s="1230">
        <f>INDEX(LINEST($CJ$277:$CJ$283,R184:R190),1)+Roughness_B</f>
        <v>0</v>
      </c>
      <c r="S192" s="83"/>
      <c r="T192" s="1230">
        <f>INDEX(LINEST($CJ$277:$CJ$283,T184:T190),1)+Roughness_B</f>
        <v>0</v>
      </c>
      <c r="U192" s="83"/>
      <c r="V192" s="1230">
        <f>INDEX(LINEST($CJ$277:$CJ$283,V184:V190),1)+Roughness_B</f>
        <v>0</v>
      </c>
      <c r="W192" s="83"/>
      <c r="X192" s="1230">
        <f>INDEX(LINEST($CJ$277:$CJ$283,X184:X190),1)+Roughness_B</f>
        <v>0</v>
      </c>
      <c r="Y192" s="83"/>
      <c r="Z192" s="85" t="s">
        <v>1068</v>
      </c>
      <c r="AA192" s="83"/>
      <c r="AB192" s="81"/>
      <c r="AC192" s="2975" t="s">
        <v>5111</v>
      </c>
      <c r="AD192" s="81"/>
      <c r="AE192" s="3005">
        <f>IF(AE$89&gt;0,(EXP(INDEX(LINEST(AE182:AE191,$CJ$286:$CJ$295),2))*(AE$98*Wind_Night/AE$89))^AE193,0)</f>
        <v>0</v>
      </c>
      <c r="AF192" s="81"/>
      <c r="AG192" s="3005">
        <f>IF(AG$89&gt;0,(EXP(INDEX(LINEST(AG182:AG191,$CJ$286:$CJ$295),2))*(AG$98*Wind_Night/AG$89))^AG193,0)</f>
        <v>0</v>
      </c>
      <c r="AH192" s="81"/>
      <c r="AI192" s="3005">
        <f>IF(AI$89&gt;0,(EXP(INDEX(LINEST(AI182:AI191,$CJ$286:$CJ$295),2))*(AI$98*Wind_Night/AI$89))^AI193,0)</f>
        <v>0</v>
      </c>
      <c r="AJ192" s="81"/>
      <c r="AK192" s="3005">
        <f>IF(AK$89&gt;0,(EXP(INDEX(LINEST(AK182:AK191,$CJ$286:$CJ$295),2))*(AK$98*Wind_Night/AK$89))^AK193,0)</f>
        <v>0</v>
      </c>
      <c r="AL192" s="81"/>
      <c r="AM192" s="3005">
        <f>IF(AM$89&gt;0,(EXP(INDEX(LINEST(AM182:AM191,$CJ$286:$CJ$295),2))*(AM$98*Wind_Night/AM$89))^AM193,0)</f>
        <v>0</v>
      </c>
      <c r="AN192" s="81"/>
      <c r="AO192" s="3005">
        <f>IF(AO$89&gt;0,(EXP(INDEX(LINEST(AO182:AO191,$CJ$286:$CJ$295),2))*(AO$98*Wind_Night/AO$89))^AO193,0)</f>
        <v>0</v>
      </c>
      <c r="AP192" s="81"/>
      <c r="AQ192" s="85"/>
      <c r="AR192" s="81"/>
      <c r="AS192" s="83"/>
      <c r="AT192" s="512" t="s">
        <v>5099</v>
      </c>
      <c r="AU192" s="83"/>
      <c r="AV192" s="2981">
        <f>IF(AV$67&gt;0,LN(IF(AV$190&gt;=10,AV$83*AV$188*10^AV$189,NBPuff_A_Night*AV$67/AV$82/(10-AV$190+AV$191)^(1/NBPuff_B_Night))),0)</f>
        <v>0</v>
      </c>
      <c r="AW192" s="269"/>
      <c r="AX192" s="2981">
        <f>IF(AX$67&gt;0,LN(IF(AX$190&gt;=10,AX$83*AX$188*10^AX$189,NBPuff_A_Night*AX$67/AX$82/(10-AX$190+AX$191)^(1/NBPuff_B_Night))),0)</f>
        <v>0</v>
      </c>
      <c r="AY192" s="269"/>
      <c r="AZ192" s="2981">
        <f>IF(AZ$67&gt;0,LN(IF(AZ$190&gt;=10,AZ$83*AZ$188*10^AZ$189,NBPuff_A_Night*AZ$67/AZ$82/(10-AZ$190+AZ$191)^(1/NBPuff_B_Night))),0)</f>
        <v>0</v>
      </c>
      <c r="BA192" s="269"/>
      <c r="BB192" s="2981">
        <f>IF(BB$67&gt;0,LN(IF(BB$190&gt;=10,BB$83*BB$188*10^BB$189,NBPuff_A_Night*BB$67/BB$82/(10-BB$190+BB$191)^(1/NBPuff_B_Night))),0)</f>
        <v>0</v>
      </c>
      <c r="BC192" s="269"/>
      <c r="BD192" s="2981">
        <f>IF(BD$67&gt;0,LN(IF(BD$190&gt;=10,BD$83*BD$188*10^BD$189,NBPuff_A_Night*BD$67/BD$82/(10-BD$190+BD$191)^(1/NBPuff_B_Night))),0)</f>
        <v>0</v>
      </c>
      <c r="BE192" s="269"/>
      <c r="BF192" s="2981">
        <f>IF(BF$67&gt;0,LN(IF(BF$190&gt;=10,BF$83*BF$188*10^BF$189,NBPuff_A_Night*BF$67/BF$82/(10-BF$190+BF$191)^(1/NBPuff_B_Night))),0)</f>
        <v>0</v>
      </c>
      <c r="BG192" s="269"/>
      <c r="BH192" s="2981">
        <f>IF(BH$67&gt;0,LN(IF(BH$190&gt;=10,BH$83*BH$188*10^BH$189,NBPuff_A_Night*BH$67/BH$82/(10-BH$190+BH$191)^(1/NBPuff_B_Night))),0)</f>
        <v>0</v>
      </c>
      <c r="BI192" s="269"/>
      <c r="BJ192" s="2981">
        <f>IF(BJ$67&gt;0,LN(IF(BJ$190&gt;=10,BJ$83*BJ$188*10^BJ$189,NBPuff_A_Night*BJ$67/BJ$82/(10-BJ$190+BJ$191)^(1/NBPuff_B_Night))),0)</f>
        <v>0</v>
      </c>
      <c r="BK192" s="269"/>
      <c r="BL192" s="2981">
        <f>IF(BL$67&gt;0,LN(IF(BL$190&gt;=10,BL$83*BL$188*10^BL$189,NBPuff_A_Night*BL$67/BL$82/(10-BL$190+BL$191)^(1/NBPuff_B_Night))),0)</f>
        <v>0</v>
      </c>
      <c r="BM192" s="269"/>
      <c r="BN192" s="2981">
        <f>IF(BN$67&gt;0,LN(IF(BN$190&gt;=10,BN$83*BN$188*10^BN$189,NBPuff_A_Night*BN$67/BN$82/(10-BN$190+BN$191)^(1/NBPuff_B_Night))),0)</f>
        <v>0</v>
      </c>
      <c r="BO192" s="269"/>
      <c r="BP192" s="1835"/>
      <c r="BQ192" s="83"/>
      <c r="BR192" s="81"/>
      <c r="BS192" s="2977" t="s">
        <v>5055</v>
      </c>
      <c r="BT192" s="81"/>
      <c r="BU192" s="1230">
        <f>INDEX(LINEST($CJ$277:$CJ$283,BU184:BU190),1)+Roughness_B</f>
        <v>0</v>
      </c>
      <c r="BV192" s="81"/>
      <c r="BW192" s="1230">
        <f>INDEX(LINEST($CJ$277:$CJ$283,BW184:BW190),1)+Roughness_B</f>
        <v>0</v>
      </c>
      <c r="BX192" s="81"/>
      <c r="BY192" s="1230">
        <f>INDEX(LINEST($CJ$277:$CJ$283,BY184:BY190),1)+Roughness_B</f>
        <v>0</v>
      </c>
      <c r="BZ192" s="81"/>
      <c r="CA192" s="1230">
        <f>INDEX(LINEST($CJ$277:$CJ$283,CA184:CA190),1)+Roughness_B</f>
        <v>0</v>
      </c>
      <c r="CB192" s="81"/>
      <c r="CC192" s="1230">
        <f>INDEX(LINEST($CJ$277:$CJ$283,CC184:CC190),1)+Roughness_B</f>
        <v>0</v>
      </c>
      <c r="CD192" s="81"/>
      <c r="CE192" s="23"/>
      <c r="CF192" s="81"/>
      <c r="CG192" s="83"/>
      <c r="CH192" s="23" t="s">
        <v>3705</v>
      </c>
      <c r="CI192" s="83"/>
      <c r="CJ192" s="1206">
        <f>IF(OR(CJ$139=0,CJ$149="",CJ$25=0),0,IF(CJ190&gt;Zone_1,IF(CJ17="Instantaneous",Dispersion_I,Dispersion_D)*(IF(Zone1_Input="",CJ190,Zone_1)^2-CJ190^2)+2*(IF(Zone1_Input="",CJ190,Zone_1)-CJ190)*CJ14,IF(CJ17="Instantaneous",Dispersion_I,Dispersion_D)*CJ$25^(2*IF(CJ17="Instantaneous",CJ$79,CJ$53))*CJ149^2*(IF(Zone1_Input="",0,EXP(CJ$137+CJ$139*Zone_1^2/(CJ$25^(2*IF(CJ17="Instantaneous",CJ$79,CJ$53))*CJ149^2)))-EXP(CJ$137+CJ$139*CJ190^2/(CJ$25^(2*IF(CJ17="Instantaneous",CJ$79,CJ$53))*CJ149^2)))/CJ$139))</f>
        <v>0</v>
      </c>
      <c r="CK192" s="83"/>
      <c r="CL192" s="23" t="s">
        <v>2196</v>
      </c>
      <c r="CM192" s="83"/>
      <c r="CN192" s="7"/>
    </row>
    <row r="193" spans="1:92" s="26" customFormat="1" ht="15" customHeight="1" x14ac:dyDescent="0.25">
      <c r="A193" s="2"/>
      <c r="B193" s="1691" t="s">
        <v>5069</v>
      </c>
      <c r="C193" s="83"/>
      <c r="D193" s="2401">
        <f>IF(D183&lt;D$99,(D191/(D183/D$99))^(-1/D192),0)</f>
        <v>0</v>
      </c>
      <c r="E193" s="83"/>
      <c r="F193" s="2401">
        <f>IF(F183&lt;F$99,(F191/(F183/F$99))^(-1/F192),0)</f>
        <v>0</v>
      </c>
      <c r="G193" s="83"/>
      <c r="H193" s="2401">
        <f>IF(H183&lt;H$99,(H191/(H183/H$99))^(-1/H192),0)</f>
        <v>0</v>
      </c>
      <c r="I193" s="83"/>
      <c r="J193" s="2401">
        <f>IF(J183&lt;J$99,(J191/(J183/J$99))^(-1/J192),0)</f>
        <v>0</v>
      </c>
      <c r="K193" s="83"/>
      <c r="L193" s="2401">
        <f>IF(L183&lt;L$99,(L191/(L183/L$99))^(-1/L192),0)</f>
        <v>0</v>
      </c>
      <c r="M193" s="83"/>
      <c r="N193" s="2401">
        <f>IF(N183&lt;N$99,(N191/(N183/N$99))^(-1/N192),0)</f>
        <v>0</v>
      </c>
      <c r="O193" s="83"/>
      <c r="P193" s="2401">
        <f>IF(P183&lt;P$99,(P191/(P183/P$99))^(-1/P192),0)</f>
        <v>0</v>
      </c>
      <c r="Q193" s="83"/>
      <c r="R193" s="2401">
        <f>IF(R183&lt;R$99,(R191/(R183/R$99))^(-1/R192),0)</f>
        <v>0</v>
      </c>
      <c r="S193" s="83"/>
      <c r="T193" s="2401">
        <f>IF(T183&lt;T$99,(T191/(T183/T$99))^(-1/T192),0)</f>
        <v>0</v>
      </c>
      <c r="U193" s="83"/>
      <c r="V193" s="2401">
        <f>IF(V183&lt;V$99,(V191/(V183/V$99))^(-1/V192),0)</f>
        <v>0</v>
      </c>
      <c r="W193" s="83"/>
      <c r="X193" s="2401">
        <f>IF(X183&lt;X$99,(X191/(X183/X$99))^(-1/X192),0)</f>
        <v>0</v>
      </c>
      <c r="Y193" s="83"/>
      <c r="Z193" s="85"/>
      <c r="AA193" s="83"/>
      <c r="AB193" s="81"/>
      <c r="AC193" s="2977" t="s">
        <v>5112</v>
      </c>
      <c r="AD193" s="81"/>
      <c r="AE193" s="2089">
        <f>IF(AE$89&gt;0,-1/INDEX(LINEST(AE182:AE191,$CJ$286:$CJ$295),1),0)</f>
        <v>0</v>
      </c>
      <c r="AF193" s="81"/>
      <c r="AG193" s="2089">
        <f>IF(AG$89&gt;0,-1/INDEX(LINEST(AG182:AG191,$CJ$286:$CJ$295),1),0)</f>
        <v>0</v>
      </c>
      <c r="AH193" s="81"/>
      <c r="AI193" s="2089">
        <f>IF(AI$89&gt;0,-1/INDEX(LINEST(AI182:AI191,$CJ$286:$CJ$295),1),0)</f>
        <v>0</v>
      </c>
      <c r="AJ193" s="81"/>
      <c r="AK193" s="2089">
        <f>IF(AK$89&gt;0,-1/INDEX(LINEST(AK182:AK191,$CJ$286:$CJ$295),1),0)</f>
        <v>0</v>
      </c>
      <c r="AL193" s="81"/>
      <c r="AM193" s="2089">
        <f>IF(AM$89&gt;0,-1/INDEX(LINEST(AM182:AM191,$CJ$286:$CJ$295),1),0)</f>
        <v>0</v>
      </c>
      <c r="AN193" s="81"/>
      <c r="AO193" s="2089">
        <f>IF(AO$89&gt;0,-1/INDEX(LINEST(AO182:AO191,$CJ$286:$CJ$295),1),0)</f>
        <v>0</v>
      </c>
      <c r="AP193" s="81"/>
      <c r="AQ193" s="85"/>
      <c r="AR193" s="81"/>
      <c r="AS193" s="83"/>
      <c r="AT193" s="512" t="s">
        <v>5100</v>
      </c>
      <c r="AU193" s="83"/>
      <c r="AV193" s="2981">
        <f>IF(AV$67&gt;0,LN(IF(AV$190&gt;=20,AV$83*AV$188*20^AV$189,NBPuff_A_Night*AV$67/AV$82/(20-AV$190+AV$191)^(1/NBPuff_B_Night))),0)</f>
        <v>0</v>
      </c>
      <c r="AW193" s="269"/>
      <c r="AX193" s="2981">
        <f>IF(AX$67&gt;0,LN(IF(AX$190&gt;=20,AX$83*AX$188*20^AX$189,NBPuff_A_Night*AX$67/AX$82/(20-AX$190+AX$191)^(1/NBPuff_B_Night))),0)</f>
        <v>0</v>
      </c>
      <c r="AY193" s="269"/>
      <c r="AZ193" s="2981">
        <f>IF(AZ$67&gt;0,LN(IF(AZ$190&gt;=20,AZ$83*AZ$188*20^AZ$189,NBPuff_A_Night*AZ$67/AZ$82/(20-AZ$190+AZ$191)^(1/NBPuff_B_Night))),0)</f>
        <v>0</v>
      </c>
      <c r="BA193" s="269"/>
      <c r="BB193" s="2981">
        <f>IF(BB$67&gt;0,LN(IF(BB$190&gt;=20,BB$83*BB$188*20^BB$189,NBPuff_A_Night*BB$67/BB$82/(20-BB$190+BB$191)^(1/NBPuff_B_Night))),0)</f>
        <v>0</v>
      </c>
      <c r="BC193" s="269"/>
      <c r="BD193" s="2981">
        <f>IF(BD$67&gt;0,LN(IF(BD$190&gt;=20,BD$83*BD$188*20^BD$189,NBPuff_A_Night*BD$67/BD$82/(20-BD$190+BD$191)^(1/NBPuff_B_Night))),0)</f>
        <v>0</v>
      </c>
      <c r="BE193" s="269"/>
      <c r="BF193" s="2981">
        <f>IF(BF$67&gt;0,LN(IF(BF$190&gt;=20,BF$83*BF$188*20^BF$189,NBPuff_A_Night*BF$67/BF$82/(20-BF$190+BF$191)^(1/NBPuff_B_Night))),0)</f>
        <v>0</v>
      </c>
      <c r="BG193" s="269"/>
      <c r="BH193" s="2981">
        <f>IF(BH$67&gt;0,LN(IF(BH$190&gt;=20,BH$83*BH$188*20^BH$189,NBPuff_A_Night*BH$67/BH$82/(20-BH$190+BH$191)^(1/NBPuff_B_Night))),0)</f>
        <v>0</v>
      </c>
      <c r="BI193" s="269"/>
      <c r="BJ193" s="2981">
        <f>IF(BJ$67&gt;0,LN(IF(BJ$190&gt;=20,BJ$83*BJ$188*20^BJ$189,NBPuff_A_Night*BJ$67/BJ$82/(20-BJ$190+BJ$191)^(1/NBPuff_B_Night))),0)</f>
        <v>0</v>
      </c>
      <c r="BK193" s="269"/>
      <c r="BL193" s="2981">
        <f>IF(BL$67&gt;0,LN(IF(BL$190&gt;=20,BL$83*BL$188*20^BL$189,NBPuff_A_Night*BL$67/BL$82/(20-BL$190+BL$191)^(1/NBPuff_B_Night))),0)</f>
        <v>0</v>
      </c>
      <c r="BM193" s="269"/>
      <c r="BN193" s="2981">
        <f>IF(BN$67&gt;0,LN(IF(BN$190&gt;=20,BN$83*BN$188*20^BN$189,NBPuff_A_Night*BN$67/BN$82/(20-BN$190+BN$191)^(1/NBPuff_B_Night))),0)</f>
        <v>0</v>
      </c>
      <c r="BO193" s="269"/>
      <c r="BP193" s="1835"/>
      <c r="BQ193" s="83"/>
      <c r="BR193" s="81"/>
      <c r="BS193" s="1691" t="s">
        <v>5069</v>
      </c>
      <c r="BT193" s="81"/>
      <c r="BU193" s="2401">
        <f>IF(BU183&lt;BU$99,(BU191/(BU183/BU$99))^(-1/BU192),0)</f>
        <v>0</v>
      </c>
      <c r="BV193" s="81"/>
      <c r="BW193" s="2401">
        <f>IF(BW183&lt;BW$99,(BW191/(BW183/BW$99))^(-1/BW192),0)</f>
        <v>0</v>
      </c>
      <c r="BX193" s="81"/>
      <c r="BY193" s="2401">
        <f>IF(BY183&lt;BY$99,(BY191/(BY183/BY$99))^(-1/BY192),0)</f>
        <v>0</v>
      </c>
      <c r="BZ193" s="81"/>
      <c r="CA193" s="2401">
        <f>IF(CA183&lt;CA$99,(CA191/(CA183/CA$99))^(-1/CA192),0)</f>
        <v>0</v>
      </c>
      <c r="CB193" s="81"/>
      <c r="CC193" s="2401">
        <f>IF(CC183&lt;CC$99,(CC191/(CC183/CC$99))^(-1/CC192),0)</f>
        <v>0</v>
      </c>
      <c r="CD193" s="81"/>
      <c r="CE193" s="23"/>
      <c r="CF193" s="81"/>
      <c r="CG193" s="83"/>
      <c r="CH193" s="23" t="s">
        <v>3706</v>
      </c>
      <c r="CI193" s="83"/>
      <c r="CJ193" s="1206">
        <f>IF(CJ17="Instantaneous",Dispersion_I,Dispersion_D)*(MAX(CJ190,Zone_1)^2-Zone_1^2)+2*(MAX(CJ190,Zone_1)-Zone_1)*CJ14</f>
        <v>3.0000000000000005E-3</v>
      </c>
      <c r="CK193" s="83"/>
      <c r="CL193" s="23" t="s">
        <v>2196</v>
      </c>
      <c r="CM193" s="83"/>
      <c r="CN193" s="7"/>
    </row>
    <row r="194" spans="1:92" s="26" customFormat="1" ht="15" customHeight="1" thickBot="1" x14ac:dyDescent="0.3">
      <c r="A194" s="2"/>
      <c r="B194" s="1691" t="s">
        <v>5073</v>
      </c>
      <c r="C194" s="83"/>
      <c r="D194" s="2985">
        <f>IF(D193&gt;0,NBPuff_A_Night*D$83/(D$98*D183),0)^NBPuff_B_Night</f>
        <v>0</v>
      </c>
      <c r="E194" s="83"/>
      <c r="F194" s="2985">
        <f>IF(F193&gt;0,NBPuff_A_Night*F$83/(F$98*F183),0)^NBPuff_B_Night</f>
        <v>0</v>
      </c>
      <c r="G194" s="83"/>
      <c r="H194" s="2985">
        <f>IF(H193&gt;0,NBPuff_A_Night*H$83/(H$98*H183),0)^NBPuff_B_Night</f>
        <v>0</v>
      </c>
      <c r="I194" s="83"/>
      <c r="J194" s="2985">
        <f>IF(J193&gt;0,NBPuff_A_Night*J$83/(J$98*J183),0)^NBPuff_B_Night</f>
        <v>0</v>
      </c>
      <c r="K194" s="83"/>
      <c r="L194" s="2985">
        <f>IF(L193&gt;0,NBPuff_A_Night*L$83/(L$98*L183),0)^NBPuff_B_Night</f>
        <v>0</v>
      </c>
      <c r="M194" s="83"/>
      <c r="N194" s="2985">
        <f>IF(N193&gt;0,NBPuff_A_Night*N$83/(N$98*N183),0)^NBPuff_B_Night</f>
        <v>0</v>
      </c>
      <c r="O194" s="83"/>
      <c r="P194" s="2985">
        <f>IF(P193&gt;0,NBPuff_A_Night*P$83/(P$98*P183),0)^NBPuff_B_Night</f>
        <v>0</v>
      </c>
      <c r="Q194" s="83"/>
      <c r="R194" s="2985">
        <f>IF(R193&gt;0,NBPuff_A_Night*R$83/(R$98*R183),0)^NBPuff_B_Night</f>
        <v>0</v>
      </c>
      <c r="S194" s="83"/>
      <c r="T194" s="2985">
        <f>IF(T193&gt;0,NBPuff_A_Night*T$83/(T$98*T183),0)^NBPuff_B_Night</f>
        <v>0</v>
      </c>
      <c r="U194" s="83"/>
      <c r="V194" s="2985">
        <f>IF(V193&gt;0,NBPuff_A_Night*V$83/(V$98*V183),0)^NBPuff_B_Night</f>
        <v>0</v>
      </c>
      <c r="W194" s="83"/>
      <c r="X194" s="2985">
        <f>IF(X193&gt;0,NBPuff_A_Night*X$83/(X$98*X183),0)^NBPuff_B_Night</f>
        <v>0</v>
      </c>
      <c r="Y194" s="83"/>
      <c r="Z194" s="85"/>
      <c r="AA194" s="83"/>
      <c r="AB194" s="81"/>
      <c r="AC194" s="2976" t="s">
        <v>5124</v>
      </c>
      <c r="AD194" s="81"/>
      <c r="AE194" s="2105">
        <f>IF(AND(AE89&gt;0,AE$100&gt;0),AE192*(AE$89/(Wind_Night*AE$98*AE$100))^AE193,0)</f>
        <v>0</v>
      </c>
      <c r="AF194" s="81"/>
      <c r="AG194" s="2105">
        <f>IF(AND(AG89&gt;0,AG$100&gt;0),AG192*(AG$89/(Wind_Night*AG$98*AG$100))^AG193,0)</f>
        <v>0</v>
      </c>
      <c r="AH194" s="81"/>
      <c r="AI194" s="2105">
        <f>IF(AND(AI89&gt;0,AI$100&gt;0),AI192*(AI$89/(Wind_Night*AI$98*AI$100))^AI193,0)</f>
        <v>0</v>
      </c>
      <c r="AJ194" s="81"/>
      <c r="AK194" s="2105">
        <f>IF(AND(AK89&gt;0,AK$100&gt;0),AK192*(AK$89/(Wind_Night*AK$98*AK$100))^AK193,0)</f>
        <v>0</v>
      </c>
      <c r="AL194" s="81"/>
      <c r="AM194" s="2105">
        <f>IF(AND(AM89&gt;0,AM$100&gt;0),AM192*(AM$89/(Wind_Night*AM$98*AM$100))^AM193,0)</f>
        <v>0</v>
      </c>
      <c r="AN194" s="81"/>
      <c r="AO194" s="2105">
        <f>IF(AND(AO89&gt;0,AO$100&gt;0),AO192*(AO$89/(Wind_Night*AO$98*AO$100))^AO193,0)</f>
        <v>0</v>
      </c>
      <c r="AP194" s="81"/>
      <c r="AQ194" s="85"/>
      <c r="AR194" s="81"/>
      <c r="AS194" s="83"/>
      <c r="AT194" s="512" t="s">
        <v>5101</v>
      </c>
      <c r="AU194" s="83"/>
      <c r="AV194" s="2981">
        <f>IF(AV$67&gt;0,LN(IF(AV$190&gt;=50,AV$83*AV$188*50^AV$189,NBPuff_A_Night*AV$67/AV$82/(50-AV$190+AV$191)^(1/NBPuff_B_Night))),0)</f>
        <v>0</v>
      </c>
      <c r="AW194" s="269"/>
      <c r="AX194" s="2981">
        <f>IF(AX$67&gt;0,LN(IF(AX$190&gt;=50,AX$83*AX$188*50^AX$189,NBPuff_A_Night*AX$67/AX$82/(50-AX$190+AX$191)^(1/NBPuff_B_Night))),0)</f>
        <v>0</v>
      </c>
      <c r="AY194" s="269"/>
      <c r="AZ194" s="2981">
        <f>IF(AZ$67&gt;0,LN(IF(AZ$190&gt;=50,AZ$83*AZ$188*50^AZ$189,NBPuff_A_Night*AZ$67/AZ$82/(50-AZ$190+AZ$191)^(1/NBPuff_B_Night))),0)</f>
        <v>0</v>
      </c>
      <c r="BA194" s="269"/>
      <c r="BB194" s="2981">
        <f>IF(BB$67&gt;0,LN(IF(BB$190&gt;=50,BB$83*BB$188*50^BB$189,NBPuff_A_Night*BB$67/BB$82/(50-BB$190+BB$191)^(1/NBPuff_B_Night))),0)</f>
        <v>0</v>
      </c>
      <c r="BC194" s="269"/>
      <c r="BD194" s="2981">
        <f>IF(BD$67&gt;0,LN(IF(BD$190&gt;=50,BD$83*BD$188*50^BD$189,NBPuff_A_Night*BD$67/BD$82/(50-BD$190+BD$191)^(1/NBPuff_B_Night))),0)</f>
        <v>0</v>
      </c>
      <c r="BE194" s="269"/>
      <c r="BF194" s="2981">
        <f>IF(BF$67&gt;0,LN(IF(BF$190&gt;=50,BF$83*BF$188*50^BF$189,NBPuff_A_Night*BF$67/BF$82/(50-BF$190+BF$191)^(1/NBPuff_B_Night))),0)</f>
        <v>0</v>
      </c>
      <c r="BG194" s="269"/>
      <c r="BH194" s="2981">
        <f>IF(BH$67&gt;0,LN(IF(BH$190&gt;=50,BH$83*BH$188*50^BH$189,NBPuff_A_Night*BH$67/BH$82/(50-BH$190+BH$191)^(1/NBPuff_B_Night))),0)</f>
        <v>0</v>
      </c>
      <c r="BI194" s="269"/>
      <c r="BJ194" s="2981">
        <f>IF(BJ$67&gt;0,LN(IF(BJ$190&gt;=50,BJ$83*BJ$188*50^BJ$189,NBPuff_A_Night*BJ$67/BJ$82/(50-BJ$190+BJ$191)^(1/NBPuff_B_Night))),0)</f>
        <v>0</v>
      </c>
      <c r="BK194" s="269"/>
      <c r="BL194" s="2981">
        <f>IF(BL$67&gt;0,LN(IF(BL$190&gt;=50,BL$83*BL$188*50^BL$189,NBPuff_A_Night*BL$67/BL$82/(50-BL$190+BL$191)^(1/NBPuff_B_Night))),0)</f>
        <v>0</v>
      </c>
      <c r="BM194" s="269"/>
      <c r="BN194" s="2981">
        <f>IF(BN$67&gt;0,LN(IF(BN$190&gt;=50,BN$83*BN$188*50^BN$189,NBPuff_A_Night*BN$67/BN$82/(50-BN$190+BN$191)^(1/NBPuff_B_Night))),0)</f>
        <v>0</v>
      </c>
      <c r="BO194" s="269"/>
      <c r="BP194" s="1835"/>
      <c r="BQ194" s="83"/>
      <c r="BR194" s="81"/>
      <c r="BS194" s="1691" t="s">
        <v>5073</v>
      </c>
      <c r="BT194" s="81"/>
      <c r="BU194" s="2985">
        <f>IF(BU193&gt;0,NBPuff_A_Night*BU$83/(BU$98*BU183),0)^NBPuff_B_Night</f>
        <v>0</v>
      </c>
      <c r="BV194" s="81"/>
      <c r="BW194" s="2985">
        <f>IF(BW193&gt;0,NBPuff_A_Night*BW$83/(BW$98*BW183),0)^NBPuff_B_Night</f>
        <v>0</v>
      </c>
      <c r="BX194" s="81"/>
      <c r="BY194" s="2985">
        <f>IF(BY193&gt;0,NBPuff_A_Night*BY$83/(BY$98*BY183),0)^NBPuff_B_Night</f>
        <v>0</v>
      </c>
      <c r="BZ194" s="81"/>
      <c r="CA194" s="2985">
        <f>IF(CA193&gt;0,NBPuff_A_Night*CA$83/(CA$98*CA183),0)^NBPuff_B_Night</f>
        <v>0</v>
      </c>
      <c r="CB194" s="81"/>
      <c r="CC194" s="2985">
        <f>IF(CC193&gt;0,NBPuff_A_Night*CC$83/(CC$98*CC183),0)^NBPuff_B_Night</f>
        <v>0</v>
      </c>
      <c r="CD194" s="81"/>
      <c r="CE194" s="23"/>
      <c r="CF194" s="81"/>
      <c r="CG194" s="83"/>
      <c r="CH194" s="23" t="s">
        <v>3707</v>
      </c>
      <c r="CI194" s="83"/>
      <c r="CJ194" s="1206">
        <f>IF(OR(CJ$139=0,CJ$149="",CJ$25=0),0,IF(Zone1_Input="",0,IF(CJ17="Instantaneous",Dispersion_I,Dispersion_D)*CJ$25^(2*IF(CJ17="Instantaneous",CJ$79,CJ$53))*CJ149^2*(0-EXP(CJ$137+CJ$139*MAX(CJ190,Zone_1)^2/(CJ$25^(2*IF(CJ17="Instantaneous",CJ$79,CJ$53))*CJ149^2)))/CJ$139))</f>
        <v>0</v>
      </c>
      <c r="CK194" s="83"/>
      <c r="CL194" s="23" t="s">
        <v>2196</v>
      </c>
      <c r="CM194" s="83"/>
      <c r="CN194" s="7"/>
    </row>
    <row r="195" spans="1:92" s="26" customFormat="1" ht="15" customHeight="1" x14ac:dyDescent="0.25">
      <c r="A195" s="2"/>
      <c r="B195" s="512" t="s">
        <v>5099</v>
      </c>
      <c r="C195" s="83"/>
      <c r="D195" s="2981">
        <f>IF(D$83&gt;0,LN(IF(D$193&gt;=10,D$99*D$191*10^D$192,NBPuff_A_Night*D$83/D$98/(10-D$193+D$194)^(1/NBPuff_B_Night))),0)</f>
        <v>0</v>
      </c>
      <c r="E195" s="83"/>
      <c r="F195" s="2981">
        <f>IF(F$83&gt;0,LN(IF(F$193&gt;=10,F$99*F$191*10^F$192,NBPuff_A_Night*F$83/F$98/(10-F$193+F$194)^(1/NBPuff_B_Night))),0)</f>
        <v>0</v>
      </c>
      <c r="G195" s="83"/>
      <c r="H195" s="2981">
        <f>IF(H$83&gt;0,LN(IF(H$193&gt;=10,H$99*H$191*10^H$192,NBPuff_A_Night*H$83/H$98/(10-H$193+H$194)^(1/NBPuff_B_Night))),0)</f>
        <v>0</v>
      </c>
      <c r="I195" s="83"/>
      <c r="J195" s="2981">
        <f>IF(J$83&gt;0,LN(IF(J$193&gt;=10,J$99*J$191*10^J$192,NBPuff_A_Night*J$83/J$98/(10-J$193+J$194)^(1/NBPuff_B_Night))),0)</f>
        <v>0</v>
      </c>
      <c r="K195" s="83"/>
      <c r="L195" s="2981">
        <f>IF(L$83&gt;0,LN(IF(L$193&gt;=10,L$99*L$191*10^L$192,NBPuff_A_Night*L$83/L$98/(10-L$193+L$194)^(1/NBPuff_B_Night))),0)</f>
        <v>0</v>
      </c>
      <c r="M195" s="83"/>
      <c r="N195" s="2981">
        <f>IF(N$83&gt;0,LN(IF(N$193&gt;=10,N$99*N$191*10^N$192,NBPuff_A_Night*N$83/N$98/(10-N$193+N$194)^(1/NBPuff_B_Night))),0)</f>
        <v>0</v>
      </c>
      <c r="O195" s="83"/>
      <c r="P195" s="2981">
        <f>IF(P$83&gt;0,LN(IF(P$193&gt;=10,P$99*P$191*10^P$192,NBPuff_A_Night*P$83/P$98/(10-P$193+P$194)^(1/NBPuff_B_Night))),0)</f>
        <v>0</v>
      </c>
      <c r="Q195" s="83"/>
      <c r="R195" s="2981">
        <f>IF(R$83&gt;0,LN(IF(R$193&gt;=10,R$99*R$191*10^R$192,NBPuff_A_Night*R$83/R$98/(10-R$193+R$194)^(1/NBPuff_B_Night))),0)</f>
        <v>0</v>
      </c>
      <c r="S195" s="83"/>
      <c r="T195" s="2981">
        <f>IF(T$83&gt;0,LN(IF(T$193&gt;=10,T$99*T$191*10^T$192,NBPuff_A_Night*T$83/T$98/(10-T$193+T$194)^(1/NBPuff_B_Night))),0)</f>
        <v>0</v>
      </c>
      <c r="U195" s="83"/>
      <c r="V195" s="2981">
        <f>IF(V$83&gt;0,LN(IF(V$193&gt;=10,V$99*V$191*10^V$192,NBPuff_A_Night*V$83/V$98/(10-V$193+V$194)^(1/NBPuff_B_Night))),0)</f>
        <v>0</v>
      </c>
      <c r="W195" s="83"/>
      <c r="X195" s="2981">
        <f>IF(X$83&gt;0,LN(IF(X$193&gt;=10,X$99*X$191*10^X$192,NBPuff_A_Night*X$83/X$98/(10-X$193+X$194)^(1/NBPuff_B_Night))),0)</f>
        <v>0</v>
      </c>
      <c r="Y195" s="83"/>
      <c r="Z195" s="2987"/>
      <c r="AA195" s="83"/>
      <c r="AB195" s="81"/>
      <c r="AC195" s="1691" t="s">
        <v>5064</v>
      </c>
      <c r="AD195" s="81"/>
      <c r="AE195" s="1288">
        <f>IF(AE104&gt;0,(AE104*AE103^0.333/Wind_Night^2)^0.5,0)</f>
        <v>0</v>
      </c>
      <c r="AF195" s="81"/>
      <c r="AG195" s="1288">
        <f>IF(AG104&gt;0,(AG104*AG103^0.333/Wind_Night^2)^0.5,0)</f>
        <v>0</v>
      </c>
      <c r="AH195" s="81"/>
      <c r="AI195" s="1288">
        <f>IF(AI104&gt;0,(AI104*AI103^0.333/Wind_Night^2)^0.5,0)</f>
        <v>0</v>
      </c>
      <c r="AJ195" s="81"/>
      <c r="AK195" s="1288">
        <f>IF(AK104&gt;0,(AK104*AK103^0.333/Wind_Night^2)^0.5,0)</f>
        <v>0</v>
      </c>
      <c r="AL195" s="81"/>
      <c r="AM195" s="1288">
        <f>IF(AM104&gt;0,(AM104*AM103^0.333/Wind_Night^2)^0.5,0)</f>
        <v>0</v>
      </c>
      <c r="AN195" s="81"/>
      <c r="AO195" s="1288">
        <f>IF(AO104&gt;0,(AO104*AO103^0.333/Wind_Night^2)^0.5,0)</f>
        <v>0</v>
      </c>
      <c r="AP195" s="81"/>
      <c r="AQ195" s="85"/>
      <c r="AR195" s="81"/>
      <c r="AS195" s="83"/>
      <c r="AT195" s="512" t="s">
        <v>5102</v>
      </c>
      <c r="AU195" s="83"/>
      <c r="AV195" s="2981">
        <f>IF(AV$67&gt;0,LN(IF(AV$190&gt;=100,AV$83*AV$188*100^AV$189,NBPuff_A_Night*AV$67/AV$82/(100-AV$190+AV$191)^(1/NBPuff_B_Night))),0)</f>
        <v>0</v>
      </c>
      <c r="AW195" s="269"/>
      <c r="AX195" s="2981">
        <f>IF(AX$67&gt;0,LN(IF(AX$190&gt;=100,AX$83*AX$188*100^AX$189,NBPuff_A_Night*AX$67/AX$82/(100-AX$190+AX$191)^(1/NBPuff_B_Night))),0)</f>
        <v>0</v>
      </c>
      <c r="AY195" s="269"/>
      <c r="AZ195" s="2981">
        <f>IF(AZ$67&gt;0,LN(IF(AZ$190&gt;=100,AZ$83*AZ$188*100^AZ$189,NBPuff_A_Night*AZ$67/AZ$82/(100-AZ$190+AZ$191)^(1/NBPuff_B_Night))),0)</f>
        <v>0</v>
      </c>
      <c r="BA195" s="269"/>
      <c r="BB195" s="2981">
        <f>IF(BB$67&gt;0,LN(IF(BB$190&gt;=100,BB$83*BB$188*100^BB$189,NBPuff_A_Night*BB$67/BB$82/(100-BB$190+BB$191)^(1/NBPuff_B_Night))),0)</f>
        <v>0</v>
      </c>
      <c r="BC195" s="269"/>
      <c r="BD195" s="2981">
        <f>IF(BD$67&gt;0,LN(IF(BD$190&gt;=100,BD$83*BD$188*100^BD$189,NBPuff_A_Night*BD$67/BD$82/(100-BD$190+BD$191)^(1/NBPuff_B_Night))),0)</f>
        <v>0</v>
      </c>
      <c r="BE195" s="269"/>
      <c r="BF195" s="2981">
        <f>IF(BF$67&gt;0,LN(IF(BF$190&gt;=100,BF$83*BF$188*100^BF$189,NBPuff_A_Night*BF$67/BF$82/(100-BF$190+BF$191)^(1/NBPuff_B_Night))),0)</f>
        <v>0</v>
      </c>
      <c r="BG195" s="269"/>
      <c r="BH195" s="2981">
        <f>IF(BH$67&gt;0,LN(IF(BH$190&gt;=100,BH$83*BH$188*100^BH$189,NBPuff_A_Night*BH$67/BH$82/(100-BH$190+BH$191)^(1/NBPuff_B_Night))),0)</f>
        <v>0</v>
      </c>
      <c r="BI195" s="269"/>
      <c r="BJ195" s="2981">
        <f>IF(BJ$67&gt;0,LN(IF(BJ$190&gt;=100,BJ$83*BJ$188*100^BJ$189,NBPuff_A_Night*BJ$67/BJ$82/(100-BJ$190+BJ$191)^(1/NBPuff_B_Night))),0)</f>
        <v>0</v>
      </c>
      <c r="BK195" s="269"/>
      <c r="BL195" s="2981">
        <f>IF(BL$67&gt;0,LN(IF(BL$190&gt;=100,BL$83*BL$188*100^BL$189,NBPuff_A_Night*BL$67/BL$82/(100-BL$190+BL$191)^(1/NBPuff_B_Night))),0)</f>
        <v>0</v>
      </c>
      <c r="BM195" s="269"/>
      <c r="BN195" s="2981">
        <f>IF(BN$67&gt;0,LN(IF(BN$190&gt;=100,BN$83*BN$188*100^BN$189,NBPuff_A_Night*BN$67/BN$82/(100-BN$190+BN$191)^(1/NBPuff_B_Night))),0)</f>
        <v>0</v>
      </c>
      <c r="BO195" s="269"/>
      <c r="BP195" s="1835"/>
      <c r="BQ195" s="83"/>
      <c r="BR195" s="81"/>
      <c r="BS195" s="512" t="s">
        <v>5099</v>
      </c>
      <c r="BT195" s="81"/>
      <c r="BU195" s="2981">
        <f>IF(BU$83&gt;0,LN(IF(BU$193&gt;=10,BU$99*BU$191*10^BU$192,NBPuff_A_Night*BU$83/BU$98/(10-BU$193+BU$194)^(1/NBPuff_B_Night))),0)</f>
        <v>0</v>
      </c>
      <c r="BV195" s="81"/>
      <c r="BW195" s="2981">
        <f>IF(BW$83&gt;0,LN(IF(BW$193&gt;=10,BW$99*BW$191*10^BW$192,NBPuff_A_Night*BW$83/BW$98/(10-BW$193+BW$194)^(1/NBPuff_B_Night))),0)</f>
        <v>0</v>
      </c>
      <c r="BX195" s="81"/>
      <c r="BY195" s="2981">
        <f>IF(BY$83&gt;0,LN(IF(BY$193&gt;=10,BY$99*BY$191*10^BY$192,NBPuff_A_Night*BY$83/BY$98/(10-BY$193+BY$194)^(1/NBPuff_B_Night))),0)</f>
        <v>0</v>
      </c>
      <c r="BZ195" s="81"/>
      <c r="CA195" s="2981">
        <f>IF(CA$83&gt;0,LN(IF(CA$193&gt;=10,CA$99*CA$191*10^CA$192,NBPuff_A_Night*CA$83/CA$98/(10-CA$193+CA$194)^(1/NBPuff_B_Night))),0)</f>
        <v>0</v>
      </c>
      <c r="CB195" s="81"/>
      <c r="CC195" s="2981">
        <f>IF(CC$83&gt;0,LN(IF(CC$193&gt;=10,CC$99*CC$191*10^CC$192,NBPuff_A_Night*CC$83/CC$98/(10-CC$193+CC$194)^(1/NBPuff_B_Night))),0)</f>
        <v>0</v>
      </c>
      <c r="CD195" s="81"/>
      <c r="CE195" s="23"/>
      <c r="CF195" s="81"/>
      <c r="CG195" s="83"/>
      <c r="CH195" s="23" t="s">
        <v>5295</v>
      </c>
      <c r="CI195" s="83"/>
      <c r="CJ195" s="1206">
        <f>IF(AND(CJ149&lt;&gt;"",CJ25&gt;0),IF(CJ17="Instantaneous",CJ149*(ConcFract_Indoor*CJ140/CJ25)^CJ$79,CJ149*(ConcFract_Indoor*CJ140/CJ25)^CJ$53),0.1)</f>
        <v>0.1</v>
      </c>
      <c r="CK195" s="83"/>
      <c r="CL195" s="23" t="s">
        <v>1068</v>
      </c>
      <c r="CM195" s="83"/>
      <c r="CN195" s="7"/>
    </row>
    <row r="196" spans="1:92" s="26" customFormat="1" ht="15" customHeight="1" x14ac:dyDescent="0.25">
      <c r="A196" s="2"/>
      <c r="B196" s="512" t="s">
        <v>5100</v>
      </c>
      <c r="C196" s="83"/>
      <c r="D196" s="2981">
        <f>IF(D$83&gt;0,LN(IF(D$193&gt;=20,D$99*D$191*20^D$192,NBPuff_A_Night*D$83/D$98/(20-D$193+D$194)^(1/NBPuff_B_Night))),0)</f>
        <v>0</v>
      </c>
      <c r="E196" s="83"/>
      <c r="F196" s="2981">
        <f>IF(F$83&gt;0,LN(IF(F$193&gt;=20,F$99*F$191*20^F$192,NBPuff_A_Night*F$83/F$98/(20-F$193+F$194)^(1/NBPuff_B_Night))),0)</f>
        <v>0</v>
      </c>
      <c r="G196" s="83"/>
      <c r="H196" s="2981">
        <f>IF(H$83&gt;0,LN(IF(H$193&gt;=20,H$99*H$191*20^H$192,NBPuff_A_Night*H$83/H$98/(20-H$193+H$194)^(1/NBPuff_B_Night))),0)</f>
        <v>0</v>
      </c>
      <c r="I196" s="83"/>
      <c r="J196" s="2981">
        <f>IF(J$83&gt;0,LN(IF(J$193&gt;=20,J$99*J$191*20^J$192,NBPuff_A_Night*J$83/J$98/(20-J$193+J$194)^(1/NBPuff_B_Night))),0)</f>
        <v>0</v>
      </c>
      <c r="K196" s="83"/>
      <c r="L196" s="2981">
        <f>IF(L$83&gt;0,LN(IF(L$193&gt;=20,L$99*L$191*20^L$192,NBPuff_A_Night*L$83/L$98/(20-L$193+L$194)^(1/NBPuff_B_Night))),0)</f>
        <v>0</v>
      </c>
      <c r="M196" s="83"/>
      <c r="N196" s="2981">
        <f>IF(N$83&gt;0,LN(IF(N$193&gt;=20,N$99*N$191*20^N$192,NBPuff_A_Night*N$83/N$98/(20-N$193+N$194)^(1/NBPuff_B_Night))),0)</f>
        <v>0</v>
      </c>
      <c r="O196" s="83"/>
      <c r="P196" s="2981">
        <f>IF(P$83&gt;0,LN(IF(P$193&gt;=20,P$99*P$191*20^P$192,NBPuff_A_Night*P$83/P$98/(20-P$193+P$194)^(1/NBPuff_B_Night))),0)</f>
        <v>0</v>
      </c>
      <c r="Q196" s="83"/>
      <c r="R196" s="2981">
        <f>IF(R$83&gt;0,LN(IF(R$193&gt;=20,R$99*R$191*20^R$192,NBPuff_A_Night*R$83/R$98/(20-R$193+R$194)^(1/NBPuff_B_Night))),0)</f>
        <v>0</v>
      </c>
      <c r="S196" s="83"/>
      <c r="T196" s="2981">
        <f>IF(T$83&gt;0,LN(IF(T$193&gt;=20,T$99*T$191*20^T$192,NBPuff_A_Night*T$83/T$98/(20-T$193+T$194)^(1/NBPuff_B_Night))),0)</f>
        <v>0</v>
      </c>
      <c r="U196" s="83"/>
      <c r="V196" s="2981">
        <f>IF(V$83&gt;0,LN(IF(V$193&gt;=20,V$99*V$191*20^V$192,NBPuff_A_Night*V$83/V$98/(20-V$193+V$194)^(1/NBPuff_B_Night))),0)</f>
        <v>0</v>
      </c>
      <c r="W196" s="83"/>
      <c r="X196" s="2981">
        <f>IF(X$83&gt;0,LN(IF(X$193&gt;=20,X$99*X$191*20^X$192,NBPuff_A_Night*X$83/X$98/(20-X$193+X$194)^(1/NBPuff_B_Night))),0)</f>
        <v>0</v>
      </c>
      <c r="Y196" s="83"/>
      <c r="Z196" s="2987"/>
      <c r="AA196" s="83"/>
      <c r="AB196" s="81"/>
      <c r="AC196" s="1691" t="s">
        <v>5065</v>
      </c>
      <c r="AD196" s="81"/>
      <c r="AE196" s="3000">
        <f>IF(AND(AE$104&gt;0,AE195&gt;0),AE99*(0.2/AE195)^3,1)</f>
        <v>1</v>
      </c>
      <c r="AF196" s="81"/>
      <c r="AG196" s="3000">
        <f>IF(AND(AG$104&gt;0,AG195&gt;0),AG99*(0.2/AG195)^3,1)</f>
        <v>1</v>
      </c>
      <c r="AH196" s="81"/>
      <c r="AI196" s="3000">
        <f>IF(AND(AI$104&gt;0,AI195&gt;0),AI99*(0.2/AI195)^3,1)</f>
        <v>1</v>
      </c>
      <c r="AJ196" s="81"/>
      <c r="AK196" s="3000">
        <f>IF(AND(AK$104&gt;0,AK195&gt;0),AK99*(0.2/AK195)^3,1)</f>
        <v>1</v>
      </c>
      <c r="AL196" s="81"/>
      <c r="AM196" s="3000">
        <f>IF(AND(AM$104&gt;0,AM195&gt;0),AM99*(0.2/AM195)^3,1)</f>
        <v>1</v>
      </c>
      <c r="AN196" s="81"/>
      <c r="AO196" s="3000">
        <f>IF(AND(AO$104&gt;0,AO195&gt;0),AO99*(0.2/AO195)^3,1)</f>
        <v>1</v>
      </c>
      <c r="AP196" s="81"/>
      <c r="AQ196" s="85"/>
      <c r="AR196" s="81"/>
      <c r="AS196" s="83"/>
      <c r="AT196" s="512" t="s">
        <v>5103</v>
      </c>
      <c r="AU196" s="83"/>
      <c r="AV196" s="2981">
        <f>IF(AV$67&gt;0,LN(IF(AV$190&gt;=200,AV$83*AV$188*200^AV$189,NBPuff_A_Night*AV$67/AV$82/(200-AV$190+AV$191)^(1/NBPuff_B_Night))),0)</f>
        <v>0</v>
      </c>
      <c r="AW196" s="269"/>
      <c r="AX196" s="2981">
        <f>IF(AX$67&gt;0,LN(IF(AX$190&gt;=200,AX$83*AX$188*200^AX$189,NBPuff_A_Night*AX$67/AX$82/(200-AX$190+AX$191)^(1/NBPuff_B_Night))),0)</f>
        <v>0</v>
      </c>
      <c r="AY196" s="269"/>
      <c r="AZ196" s="2981">
        <f>IF(AZ$67&gt;0,LN(IF(AZ$190&gt;=200,AZ$83*AZ$188*200^AZ$189,NBPuff_A_Night*AZ$67/AZ$82/(200-AZ$190+AZ$191)^(1/NBPuff_B_Night))),0)</f>
        <v>0</v>
      </c>
      <c r="BA196" s="269"/>
      <c r="BB196" s="2981">
        <f>IF(BB$67&gt;0,LN(IF(BB$190&gt;=200,BB$83*BB$188*200^BB$189,NBPuff_A_Night*BB$67/BB$82/(200-BB$190+BB$191)^(1/NBPuff_B_Night))),0)</f>
        <v>0</v>
      </c>
      <c r="BC196" s="269"/>
      <c r="BD196" s="2981">
        <f>IF(BD$67&gt;0,LN(IF(BD$190&gt;=200,BD$83*BD$188*200^BD$189,NBPuff_A_Night*BD$67/BD$82/(200-BD$190+BD$191)^(1/NBPuff_B_Night))),0)</f>
        <v>0</v>
      </c>
      <c r="BE196" s="269"/>
      <c r="BF196" s="2981">
        <f>IF(BF$67&gt;0,LN(IF(BF$190&gt;=200,BF$83*BF$188*200^BF$189,NBPuff_A_Night*BF$67/BF$82/(200-BF$190+BF$191)^(1/NBPuff_B_Night))),0)</f>
        <v>0</v>
      </c>
      <c r="BG196" s="269"/>
      <c r="BH196" s="2981">
        <f>IF(BH$67&gt;0,LN(IF(BH$190&gt;=200,BH$83*BH$188*200^BH$189,NBPuff_A_Night*BH$67/BH$82/(200-BH$190+BH$191)^(1/NBPuff_B_Night))),0)</f>
        <v>0</v>
      </c>
      <c r="BI196" s="269"/>
      <c r="BJ196" s="2981">
        <f>IF(BJ$67&gt;0,LN(IF(BJ$190&gt;=200,BJ$83*BJ$188*200^BJ$189,NBPuff_A_Night*BJ$67/BJ$82/(200-BJ$190+BJ$191)^(1/NBPuff_B_Night))),0)</f>
        <v>0</v>
      </c>
      <c r="BK196" s="269"/>
      <c r="BL196" s="2981">
        <f>IF(BL$67&gt;0,LN(IF(BL$190&gt;=200,BL$83*BL$188*200^BL$189,NBPuff_A_Night*BL$67/BL$82/(200-BL$190+BL$191)^(1/NBPuff_B_Night))),0)</f>
        <v>0</v>
      </c>
      <c r="BM196" s="269"/>
      <c r="BN196" s="2981">
        <f>IF(BN$67&gt;0,LN(IF(BN$190&gt;=200,BN$83*BN$188*200^BN$189,NBPuff_A_Night*BN$67/BN$82/(200-BN$190+BN$191)^(1/NBPuff_B_Night))),0)</f>
        <v>0</v>
      </c>
      <c r="BO196" s="269"/>
      <c r="BP196" s="1835"/>
      <c r="BQ196" s="83"/>
      <c r="BR196" s="81"/>
      <c r="BS196" s="512" t="s">
        <v>5100</v>
      </c>
      <c r="BT196" s="81"/>
      <c r="BU196" s="2981">
        <f>IF(BU$83&gt;0,LN(IF(BU$193&gt;=20,BU$99*BU$191*20^BU$192,NBPuff_A_Night*BU$83/BU$98/(20-BU$193+BU$194)^(1/NBPuff_B_Night))),0)</f>
        <v>0</v>
      </c>
      <c r="BV196" s="81"/>
      <c r="BW196" s="2981">
        <f>IF(BW$83&gt;0,LN(IF(BW$193&gt;=20,BW$99*BW$191*20^BW$192,NBPuff_A_Night*BW$83/BW$98/(20-BW$193+BW$194)^(1/NBPuff_B_Night))),0)</f>
        <v>0</v>
      </c>
      <c r="BX196" s="81"/>
      <c r="BY196" s="2981">
        <f>IF(BY$83&gt;0,LN(IF(BY$193&gt;=20,BY$99*BY$191*20^BY$192,NBPuff_A_Night*BY$83/BY$98/(20-BY$193+BY$194)^(1/NBPuff_B_Night))),0)</f>
        <v>0</v>
      </c>
      <c r="BZ196" s="81"/>
      <c r="CA196" s="2981">
        <f>IF(CA$83&gt;0,LN(IF(CA$193&gt;=20,CA$99*CA$191*20^CA$192,NBPuff_A_Night*CA$83/CA$98/(20-CA$193+CA$194)^(1/NBPuff_B_Night))),0)</f>
        <v>0</v>
      </c>
      <c r="CB196" s="81"/>
      <c r="CC196" s="2981">
        <f>IF(CC$83&gt;0,LN(IF(CC$193&gt;=20,CC$99*CC$191*20^CC$192,NBPuff_A_Night*CC$83/CC$98/(20-CC$193+CC$194)^(1/NBPuff_B_Night))),0)</f>
        <v>0</v>
      </c>
      <c r="CD196" s="81"/>
      <c r="CE196" s="23"/>
      <c r="CF196" s="81"/>
      <c r="CG196" s="83"/>
      <c r="CH196" s="23" t="s">
        <v>3708</v>
      </c>
      <c r="CI196" s="83"/>
      <c r="CJ196" s="1206">
        <f>IF(CJ17="Instantaneous",Dispersion_I,Dispersion_D)*(MAX(CJ195,Public)^2-Public^2)+2*(MAX(CJ195,Public)-Public)*CJ14</f>
        <v>3.0000000000000005E-3</v>
      </c>
      <c r="CK196" s="83"/>
      <c r="CL196" s="23" t="s">
        <v>2196</v>
      </c>
      <c r="CM196" s="83"/>
      <c r="CN196" s="7"/>
    </row>
    <row r="197" spans="1:92" s="26" customFormat="1" ht="15" customHeight="1" x14ac:dyDescent="0.25">
      <c r="A197" s="2"/>
      <c r="B197" s="512" t="s">
        <v>5101</v>
      </c>
      <c r="C197" s="83"/>
      <c r="D197" s="2981">
        <f>IF(D$83&gt;0,LN(IF(D$193&gt;=50,D$99*D$191*50^D$192,NBPuff_A_Night*D$83/D$98/(50-D$193+D$194)^(1/NBPuff_B_Night))),0)</f>
        <v>0</v>
      </c>
      <c r="E197" s="83"/>
      <c r="F197" s="2981">
        <f>IF(F$83&gt;0,LN(IF(F$193&gt;=50,F$99*F$191*50^F$192,NBPuff_A_Night*F$83/F$98/(50-F$193+F$194)^(1/NBPuff_B_Night))),0)</f>
        <v>0</v>
      </c>
      <c r="G197" s="83"/>
      <c r="H197" s="2981">
        <f>IF(H$83&gt;0,LN(IF(H$193&gt;=50,H$99*H$191*50^H$192,NBPuff_A_Night*H$83/H$98/(50-H$193+H$194)^(1/NBPuff_B_Night))),0)</f>
        <v>0</v>
      </c>
      <c r="I197" s="83"/>
      <c r="J197" s="2981">
        <f>IF(J$83&gt;0,LN(IF(J$193&gt;=50,J$99*J$191*50^J$192,NBPuff_A_Night*J$83/J$98/(50-J$193+J$194)^(1/NBPuff_B_Night))),0)</f>
        <v>0</v>
      </c>
      <c r="K197" s="83"/>
      <c r="L197" s="2981">
        <f>IF(L$83&gt;0,LN(IF(L$193&gt;=50,L$99*L$191*50^L$192,NBPuff_A_Night*L$83/L$98/(50-L$193+L$194)^(1/NBPuff_B_Night))),0)</f>
        <v>0</v>
      </c>
      <c r="M197" s="83"/>
      <c r="N197" s="2981">
        <f>IF(N$83&gt;0,LN(IF(N$193&gt;=50,N$99*N$191*50^N$192,NBPuff_A_Night*N$83/N$98/(50-N$193+N$194)^(1/NBPuff_B_Night))),0)</f>
        <v>0</v>
      </c>
      <c r="O197" s="83"/>
      <c r="P197" s="2981">
        <f>IF(P$83&gt;0,LN(IF(P$193&gt;=50,P$99*P$191*50^P$192,NBPuff_A_Night*P$83/P$98/(50-P$193+P$194)^(1/NBPuff_B_Night))),0)</f>
        <v>0</v>
      </c>
      <c r="Q197" s="83"/>
      <c r="R197" s="2981">
        <f>IF(R$83&gt;0,LN(IF(R$193&gt;=50,R$99*R$191*50^R$192,NBPuff_A_Night*R$83/R$98/(50-R$193+R$194)^(1/NBPuff_B_Night))),0)</f>
        <v>0</v>
      </c>
      <c r="S197" s="83"/>
      <c r="T197" s="2981">
        <f>IF(T$83&gt;0,LN(IF(T$193&gt;=50,T$99*T$191*50^T$192,NBPuff_A_Night*T$83/T$98/(50-T$193+T$194)^(1/NBPuff_B_Night))),0)</f>
        <v>0</v>
      </c>
      <c r="U197" s="83"/>
      <c r="V197" s="2981">
        <f>IF(V$83&gt;0,LN(IF(V$193&gt;=50,V$99*V$191*50^V$192,NBPuff_A_Night*V$83/V$98/(50-V$193+V$194)^(1/NBPuff_B_Night))),0)</f>
        <v>0</v>
      </c>
      <c r="W197" s="83"/>
      <c r="X197" s="2981">
        <f>IF(X$83&gt;0,LN(IF(X$193&gt;=50,X$99*X$191*50^X$192,NBPuff_A_Night*X$83/X$98/(50-X$193+X$194)^(1/NBPuff_B_Night))),0)</f>
        <v>0</v>
      </c>
      <c r="Y197" s="83"/>
      <c r="Z197" s="2987"/>
      <c r="AA197" s="83"/>
      <c r="AB197" s="81"/>
      <c r="AC197" s="512" t="s">
        <v>5115</v>
      </c>
      <c r="AD197" s="81"/>
      <c r="AE197" s="3000">
        <f>LN(IF(AE$196&lt;AE$99,IF(LOG(AE$195)&lt;-0.44,5.01,IF(LOG(AE$195)&lt;0.43,10^(0.81+0.26*LOG(AE$195)),8.51))*AE103^0.333,1))</f>
        <v>0</v>
      </c>
      <c r="AF197" s="81"/>
      <c r="AG197" s="3000">
        <f>LN(IF(AG$196&lt;AG$99,IF(LOG(AG$195)&lt;-0.44,5.01,IF(LOG(AG$195)&lt;0.43,10^(0.81+0.26*LOG(AG$195)),8.51))*AG103^0.333,1))</f>
        <v>0</v>
      </c>
      <c r="AH197" s="81"/>
      <c r="AI197" s="3000">
        <f>LN(IF(AI$196&lt;AI$99,IF(LOG(AI$195)&lt;-0.44,5.01,IF(LOG(AI$195)&lt;0.43,10^(0.81+0.26*LOG(AI$195)),8.51))*AI103^0.333,1))</f>
        <v>0</v>
      </c>
      <c r="AJ197" s="81"/>
      <c r="AK197" s="3000">
        <f>LN(IF(AK$196&lt;AK$99,IF(LOG(AK$195)&lt;-0.44,5.01,IF(LOG(AK$195)&lt;0.43,10^(0.81+0.26*LOG(AK$195)),8.51))*AK103^0.333,1))</f>
        <v>0</v>
      </c>
      <c r="AL197" s="81"/>
      <c r="AM197" s="3000">
        <f>LN(IF(AM$196&lt;AM$99,IF(LOG(AM$195)&lt;-0.44,5.01,IF(LOG(AM$195)&lt;0.43,10^(0.81+0.26*LOG(AM$195)),8.51))*AM103^0.333,1))</f>
        <v>0</v>
      </c>
      <c r="AN197" s="81"/>
      <c r="AO197" s="3000">
        <f>LN(IF(AO$196&lt;AO$99,IF(LOG(AO$195)&lt;-0.44,5.01,IF(LOG(AO$195)&lt;0.43,10^(0.81+0.26*LOG(AO$195)),8.51))*AO103^0.333,1))</f>
        <v>0</v>
      </c>
      <c r="AP197" s="81"/>
      <c r="AQ197" s="85"/>
      <c r="AR197" s="81"/>
      <c r="AS197" s="83"/>
      <c r="AT197" s="512" t="s">
        <v>5104</v>
      </c>
      <c r="AU197" s="83"/>
      <c r="AV197" s="2981">
        <f>IF(AV$67&gt;0,LN(IF(AV$190&gt;=500,AV$83*AV$188*500^AV$189,NBPuff_A_Night*AV$67/AV$82/(500-AV$190+AV$191)^(1/NBPuff_B_Night))),0)</f>
        <v>0</v>
      </c>
      <c r="AW197" s="269"/>
      <c r="AX197" s="2981">
        <f>IF(AX$67&gt;0,LN(IF(AX$190&gt;=500,AX$83*AX$188*500^AX$189,NBPuff_A_Night*AX$67/AX$82/(500-AX$190+AX$191)^(1/NBPuff_B_Night))),0)</f>
        <v>0</v>
      </c>
      <c r="AY197" s="269"/>
      <c r="AZ197" s="2981">
        <f>IF(AZ$67&gt;0,LN(IF(AZ$190&gt;=500,AZ$83*AZ$188*500^AZ$189,NBPuff_A_Night*AZ$67/AZ$82/(500-AZ$190+AZ$191)^(1/NBPuff_B_Night))),0)</f>
        <v>0</v>
      </c>
      <c r="BA197" s="269"/>
      <c r="BB197" s="2981">
        <f>IF(BB$67&gt;0,LN(IF(BB$190&gt;=500,BB$83*BB$188*500^BB$189,NBPuff_A_Night*BB$67/BB$82/(500-BB$190+BB$191)^(1/NBPuff_B_Night))),0)</f>
        <v>0</v>
      </c>
      <c r="BC197" s="269"/>
      <c r="BD197" s="2981">
        <f>IF(BD$67&gt;0,LN(IF(BD$190&gt;=500,BD$83*BD$188*500^BD$189,NBPuff_A_Night*BD$67/BD$82/(500-BD$190+BD$191)^(1/NBPuff_B_Night))),0)</f>
        <v>0</v>
      </c>
      <c r="BE197" s="269"/>
      <c r="BF197" s="2981">
        <f>IF(BF$67&gt;0,LN(IF(BF$190&gt;=500,BF$83*BF$188*500^BF$189,NBPuff_A_Night*BF$67/BF$82/(500-BF$190+BF$191)^(1/NBPuff_B_Night))),0)</f>
        <v>0</v>
      </c>
      <c r="BG197" s="269"/>
      <c r="BH197" s="2981">
        <f>IF(BH$67&gt;0,LN(IF(BH$190&gt;=500,BH$83*BH$188*500^BH$189,NBPuff_A_Night*BH$67/BH$82/(500-BH$190+BH$191)^(1/NBPuff_B_Night))),0)</f>
        <v>0</v>
      </c>
      <c r="BI197" s="269"/>
      <c r="BJ197" s="2981">
        <f>IF(BJ$67&gt;0,LN(IF(BJ$190&gt;=500,BJ$83*BJ$188*500^BJ$189,NBPuff_A_Night*BJ$67/BJ$82/(500-BJ$190+BJ$191)^(1/NBPuff_B_Night))),0)</f>
        <v>0</v>
      </c>
      <c r="BK197" s="269"/>
      <c r="BL197" s="2981">
        <f>IF(BL$67&gt;0,LN(IF(BL$190&gt;=500,BL$83*BL$188*500^BL$189,NBPuff_A_Night*BL$67/BL$82/(500-BL$190+BL$191)^(1/NBPuff_B_Night))),0)</f>
        <v>0</v>
      </c>
      <c r="BM197" s="269"/>
      <c r="BN197" s="2981">
        <f>IF(BN$67&gt;0,LN(IF(BN$190&gt;=500,BN$83*BN$188*500^BN$189,NBPuff_A_Night*BN$67/BN$82/(500-BN$190+BN$191)^(1/NBPuff_B_Night))),0)</f>
        <v>0</v>
      </c>
      <c r="BO197" s="269"/>
      <c r="BP197" s="1835"/>
      <c r="BQ197" s="83"/>
      <c r="BR197" s="81"/>
      <c r="BS197" s="512" t="s">
        <v>5101</v>
      </c>
      <c r="BT197" s="81"/>
      <c r="BU197" s="2981">
        <f>IF(BU$83&gt;0,LN(IF(BU$193&gt;=50,BU$99*BU$191*50^BU$192,NBPuff_A_Night*BU$83/BU$98/(50-BU$193+BU$194)^(1/NBPuff_B_Night))),0)</f>
        <v>0</v>
      </c>
      <c r="BV197" s="81"/>
      <c r="BW197" s="2981">
        <f>IF(BW$83&gt;0,LN(IF(BW$193&gt;=50,BW$99*BW$191*50^BW$192,NBPuff_A_Night*BW$83/BW$98/(50-BW$193+BW$194)^(1/NBPuff_B_Night))),0)</f>
        <v>0</v>
      </c>
      <c r="BX197" s="81"/>
      <c r="BY197" s="2981">
        <f>IF(BY$83&gt;0,LN(IF(BY$193&gt;=50,BY$99*BY$191*50^BY$192,NBPuff_A_Night*BY$83/BY$98/(50-BY$193+BY$194)^(1/NBPuff_B_Night))),0)</f>
        <v>0</v>
      </c>
      <c r="BZ197" s="81"/>
      <c r="CA197" s="2981">
        <f>IF(CA$83&gt;0,LN(IF(CA$193&gt;=50,CA$99*CA$191*50^CA$192,NBPuff_A_Night*CA$83/CA$98/(50-CA$193+CA$194)^(1/NBPuff_B_Night))),0)</f>
        <v>0</v>
      </c>
      <c r="CB197" s="81"/>
      <c r="CC197" s="2981">
        <f>IF(CC$83&gt;0,LN(IF(CC$193&gt;=50,CC$99*CC$191*50^CC$192,NBPuff_A_Night*CC$83/CC$98/(50-CC$193+CC$194)^(1/NBPuff_B_Night))),0)</f>
        <v>0</v>
      </c>
      <c r="CD197" s="81"/>
      <c r="CE197" s="23"/>
      <c r="CF197" s="81"/>
      <c r="CG197" s="83"/>
      <c r="CH197" s="23" t="s">
        <v>3709</v>
      </c>
      <c r="CI197" s="83"/>
      <c r="CJ197" s="1206">
        <f>IF(OR(CJ$139=0,CJ$150="",CJ$25=0),0,IF(CJ190&gt;Zone_1,IF(CJ17="Instantaneous",Dispersion_I,Dispersion_D)*(IF(Zone1_Input="",CJ190,Zone_1)^2-CJ190^2)+2*(IF(Zone1_Input="",CJ190,Zone_1)-CJ190)*CJ14,IF(CJ17="Instantaneous",Dispersion_I,Dispersion_D)*CJ$25^(2*IF(CJ17="Instantaneous",CJ$79,CJ$53))*CJ150^2*(IF(Zone1_Input="",0,EXP(CJ$137+CJ$139*Zone_1^2/(CJ$25^(2*IF(CJ17="Instantaneous",CJ$79,CJ$53))*CJ150^2)))-EXP(CJ$137+CJ$139*CJ190^2/(CJ$25^(2*IF(CJ17="Instantaneous",CJ$79,CJ$53))*CJ150^2)))/CJ$139))</f>
        <v>0</v>
      </c>
      <c r="CK197" s="83"/>
      <c r="CL197" s="23" t="s">
        <v>2196</v>
      </c>
      <c r="CM197" s="83"/>
      <c r="CN197" s="7"/>
    </row>
    <row r="198" spans="1:92" s="26" customFormat="1" ht="15" customHeight="1" x14ac:dyDescent="0.25">
      <c r="A198" s="2"/>
      <c r="B198" s="512" t="s">
        <v>5102</v>
      </c>
      <c r="C198" s="83"/>
      <c r="D198" s="2981">
        <f>IF(D$83&gt;0,LN(IF(D$193&gt;=100,D$99*D$191*100^D$192,NBPuff_A_Night*D$83/D$98/(100-D$193+D$194)^(1/NBPuff_B_Night))),0)</f>
        <v>0</v>
      </c>
      <c r="E198" s="83"/>
      <c r="F198" s="2981">
        <f>IF(F$83&gt;0,LN(IF(F$193&gt;=100,F$99*F$191*100^F$192,NBPuff_A_Night*F$83/F$98/(100-F$193+F$194)^(1/NBPuff_B_Night))),0)</f>
        <v>0</v>
      </c>
      <c r="G198" s="83"/>
      <c r="H198" s="2981">
        <f>IF(H$83&gt;0,LN(IF(H$193&gt;=100,H$99*H$191*100^H$192,NBPuff_A_Night*H$83/H$98/(100-H$193+H$194)^(1/NBPuff_B_Night))),0)</f>
        <v>0</v>
      </c>
      <c r="I198" s="83"/>
      <c r="J198" s="2981">
        <f>IF(J$83&gt;0,LN(IF(J$193&gt;=100,J$99*J$191*100^J$192,NBPuff_A_Night*J$83/J$98/(100-J$193+J$194)^(1/NBPuff_B_Night))),0)</f>
        <v>0</v>
      </c>
      <c r="K198" s="83"/>
      <c r="L198" s="2981">
        <f>IF(L$83&gt;0,LN(IF(L$193&gt;=100,L$99*L$191*100^L$192,NBPuff_A_Night*L$83/L$98/(100-L$193+L$194)^(1/NBPuff_B_Night))),0)</f>
        <v>0</v>
      </c>
      <c r="M198" s="83"/>
      <c r="N198" s="2981">
        <f>IF(N$83&gt;0,LN(IF(N$193&gt;=100,N$99*N$191*100^N$192,NBPuff_A_Night*N$83/N$98/(100-N$193+N$194)^(1/NBPuff_B_Night))),0)</f>
        <v>0</v>
      </c>
      <c r="O198" s="83"/>
      <c r="P198" s="2981">
        <f>IF(P$83&gt;0,LN(IF(P$193&gt;=100,P$99*P$191*100^P$192,NBPuff_A_Night*P$83/P$98/(100-P$193+P$194)^(1/NBPuff_B_Night))),0)</f>
        <v>0</v>
      </c>
      <c r="Q198" s="83"/>
      <c r="R198" s="2981">
        <f>IF(R$83&gt;0,LN(IF(R$193&gt;=100,R$99*R$191*100^R$192,NBPuff_A_Night*R$83/R$98/(100-R$193+R$194)^(1/NBPuff_B_Night))),0)</f>
        <v>0</v>
      </c>
      <c r="S198" s="83"/>
      <c r="T198" s="2981">
        <f>IF(T$83&gt;0,LN(IF(T$193&gt;=100,T$99*T$191*100^T$192,NBPuff_A_Night*T$83/T$98/(100-T$193+T$194)^(1/NBPuff_B_Night))),0)</f>
        <v>0</v>
      </c>
      <c r="U198" s="83"/>
      <c r="V198" s="2981">
        <f>IF(V$83&gt;0,LN(IF(V$193&gt;=100,V$99*V$191*100^V$192,NBPuff_A_Night*V$83/V$98/(100-V$193+V$194)^(1/NBPuff_B_Night))),0)</f>
        <v>0</v>
      </c>
      <c r="W198" s="83"/>
      <c r="X198" s="2981">
        <f>IF(X$83&gt;0,LN(IF(X$193&gt;=100,X$99*X$191*100^X$192,NBPuff_A_Night*X$83/X$98/(100-X$193+X$194)^(1/NBPuff_B_Night))),0)</f>
        <v>0</v>
      </c>
      <c r="Y198" s="83"/>
      <c r="Z198" s="2987"/>
      <c r="AA198" s="83"/>
      <c r="AB198" s="81"/>
      <c r="AC198" s="512" t="s">
        <v>5116</v>
      </c>
      <c r="AD198" s="81"/>
      <c r="AE198" s="3000">
        <f>LN(IF(AE$196&lt;AE$99,IF(LOG(AE$195)&lt;-0.56,7.08,IF(LOG(AE$195)&lt;0.31,10^(1+0.26*LOG(AE$195)),10^(1.12-0.12*LOG(AE$195))))*AE103^0.333,1))</f>
        <v>0</v>
      </c>
      <c r="AF198" s="81"/>
      <c r="AG198" s="3000">
        <f>LN(IF(AG$196&lt;AG$99,IF(LOG(AG$195)&lt;-0.56,7.08,IF(LOG(AG$195)&lt;0.31,10^(1+0.26*LOG(AG$195)),10^(1.12-0.12*LOG(AG$195))))*AG103^0.333,1))</f>
        <v>0</v>
      </c>
      <c r="AH198" s="81"/>
      <c r="AI198" s="3000">
        <f>LN(IF(AI$196&lt;AI$99,IF(LOG(AI$195)&lt;-0.56,7.08,IF(LOG(AI$195)&lt;0.31,10^(1+0.26*LOG(AI$195)),10^(1.12-0.12*LOG(AI$195))))*AI103^0.333,1))</f>
        <v>0</v>
      </c>
      <c r="AJ198" s="81"/>
      <c r="AK198" s="3000">
        <f>LN(IF(AK$196&lt;AK$99,IF(LOG(AK$195)&lt;-0.56,7.08,IF(LOG(AK$195)&lt;0.31,10^(1+0.26*LOG(AK$195)),10^(1.12-0.12*LOG(AK$195))))*AK103^0.333,1))</f>
        <v>0</v>
      </c>
      <c r="AL198" s="81"/>
      <c r="AM198" s="3000">
        <f>LN(IF(AM$196&lt;AM$99,IF(LOG(AM$195)&lt;-0.56,7.08,IF(LOG(AM$195)&lt;0.31,10^(1+0.26*LOG(AM$195)),10^(1.12-0.12*LOG(AM$195))))*AM103^0.333,1))</f>
        <v>0</v>
      </c>
      <c r="AN198" s="81"/>
      <c r="AO198" s="3000">
        <f>LN(IF(AO$196&lt;AO$99,IF(LOG(AO$195)&lt;-0.56,7.08,IF(LOG(AO$195)&lt;0.31,10^(1+0.26*LOG(AO$195)),10^(1.12-0.12*LOG(AO$195))))*AO103^0.333,1))</f>
        <v>0</v>
      </c>
      <c r="AP198" s="81"/>
      <c r="AQ198" s="85"/>
      <c r="AR198" s="81"/>
      <c r="AS198" s="83"/>
      <c r="AT198" s="512" t="s">
        <v>5105</v>
      </c>
      <c r="AU198" s="83"/>
      <c r="AV198" s="2981">
        <f>IF(AV$67&gt;0,LN(IF(AV$190&gt;=1000,AV$83*AV$188*1000^AV$189,NBPuff_A_Night*AV$67/AV$82/(1000-AV$190+AV$191)^(1/NBPuff_B_Night))),0)</f>
        <v>0</v>
      </c>
      <c r="AW198" s="269"/>
      <c r="AX198" s="2981">
        <f>IF(AX$67&gt;0,LN(IF(AX$190&gt;=1000,AX$83*AX$188*1000^AX$189,NBPuff_A_Night*AX$67/AX$82/(1000-AX$190+AX$191)^(1/NBPuff_B_Night))),0)</f>
        <v>0</v>
      </c>
      <c r="AY198" s="269"/>
      <c r="AZ198" s="2981">
        <f>IF(AZ$67&gt;0,LN(IF(AZ$190&gt;=1000,AZ$83*AZ$188*1000^AZ$189,NBPuff_A_Night*AZ$67/AZ$82/(1000-AZ$190+AZ$191)^(1/NBPuff_B_Night))),0)</f>
        <v>0</v>
      </c>
      <c r="BA198" s="269"/>
      <c r="BB198" s="2981">
        <f>IF(BB$67&gt;0,LN(IF(BB$190&gt;=1000,BB$83*BB$188*1000^BB$189,NBPuff_A_Night*BB$67/BB$82/(1000-BB$190+BB$191)^(1/NBPuff_B_Night))),0)</f>
        <v>0</v>
      </c>
      <c r="BC198" s="269"/>
      <c r="BD198" s="2981">
        <f>IF(BD$67&gt;0,LN(IF(BD$190&gt;=1000,BD$83*BD$188*1000^BD$189,NBPuff_A_Night*BD$67/BD$82/(1000-BD$190+BD$191)^(1/NBPuff_B_Night))),0)</f>
        <v>0</v>
      </c>
      <c r="BE198" s="269"/>
      <c r="BF198" s="2981">
        <f>IF(BF$67&gt;0,LN(IF(BF$190&gt;=1000,BF$83*BF$188*1000^BF$189,NBPuff_A_Night*BF$67/BF$82/(1000-BF$190+BF$191)^(1/NBPuff_B_Night))),0)</f>
        <v>0</v>
      </c>
      <c r="BG198" s="269"/>
      <c r="BH198" s="2981">
        <f>IF(BH$67&gt;0,LN(IF(BH$190&gt;=1000,BH$83*BH$188*1000^BH$189,NBPuff_A_Night*BH$67/BH$82/(1000-BH$190+BH$191)^(1/NBPuff_B_Night))),0)</f>
        <v>0</v>
      </c>
      <c r="BI198" s="269"/>
      <c r="BJ198" s="2981">
        <f>IF(BJ$67&gt;0,LN(IF(BJ$190&gt;=1000,BJ$83*BJ$188*1000^BJ$189,NBPuff_A_Night*BJ$67/BJ$82/(1000-BJ$190+BJ$191)^(1/NBPuff_B_Night))),0)</f>
        <v>0</v>
      </c>
      <c r="BK198" s="269"/>
      <c r="BL198" s="2981">
        <f>IF(BL$67&gt;0,LN(IF(BL$190&gt;=1000,BL$83*BL$188*1000^BL$189,NBPuff_A_Night*BL$67/BL$82/(1000-BL$190+BL$191)^(1/NBPuff_B_Night))),0)</f>
        <v>0</v>
      </c>
      <c r="BM198" s="269"/>
      <c r="BN198" s="2981">
        <f>IF(BN$67&gt;0,LN(IF(BN$190&gt;=1000,BN$83*BN$188*1000^BN$189,NBPuff_A_Night*BN$67/BN$82/(1000-BN$190+BN$191)^(1/NBPuff_B_Night))),0)</f>
        <v>0</v>
      </c>
      <c r="BO198" s="269"/>
      <c r="BP198" s="1835"/>
      <c r="BQ198" s="83"/>
      <c r="BR198" s="81"/>
      <c r="BS198" s="512" t="s">
        <v>5102</v>
      </c>
      <c r="BT198" s="81"/>
      <c r="BU198" s="2981">
        <f>IF(BU$83&gt;0,LN(IF(BU$193&gt;=100,BU$99*BU$191*100^BU$192,NBPuff_A_Night*BU$83/BU$98/(100-BU$193+BU$194)^(1/NBPuff_B_Night))),0)</f>
        <v>0</v>
      </c>
      <c r="BV198" s="81"/>
      <c r="BW198" s="2981">
        <f>IF(BW$83&gt;0,LN(IF(BW$193&gt;=100,BW$99*BW$191*100^BW$192,NBPuff_A_Night*BW$83/BW$98/(100-BW$193+BW$194)^(1/NBPuff_B_Night))),0)</f>
        <v>0</v>
      </c>
      <c r="BX198" s="81"/>
      <c r="BY198" s="2981">
        <f>IF(BY$83&gt;0,LN(IF(BY$193&gt;=100,BY$99*BY$191*100^BY$192,NBPuff_A_Night*BY$83/BY$98/(100-BY$193+BY$194)^(1/NBPuff_B_Night))),0)</f>
        <v>0</v>
      </c>
      <c r="BZ198" s="81"/>
      <c r="CA198" s="2981">
        <f>IF(CA$83&gt;0,LN(IF(CA$193&gt;=100,CA$99*CA$191*100^CA$192,NBPuff_A_Night*CA$83/CA$98/(100-CA$193+CA$194)^(1/NBPuff_B_Night))),0)</f>
        <v>0</v>
      </c>
      <c r="CB198" s="81"/>
      <c r="CC198" s="2981">
        <f>IF(CC$83&gt;0,LN(IF(CC$193&gt;=100,CC$99*CC$191*100^CC$192,NBPuff_A_Night*CC$83/CC$98/(100-CC$193+CC$194)^(1/NBPuff_B_Night))),0)</f>
        <v>0</v>
      </c>
      <c r="CD198" s="81"/>
      <c r="CE198" s="23"/>
      <c r="CF198" s="81"/>
      <c r="CG198" s="83"/>
      <c r="CH198" s="23" t="s">
        <v>3710</v>
      </c>
      <c r="CI198" s="83"/>
      <c r="CJ198" s="1206">
        <f>IF(CJ17="Instantaneous",Dispersion_I,Dispersion_D)*(MAX(CJ195,Zone_1)^2-Zone_1^2)+2*(MAX(CJ195,Zone_1)-Zone_1)*CJ14</f>
        <v>3.0000000000000005E-3</v>
      </c>
      <c r="CK198" s="83"/>
      <c r="CL198" s="23" t="s">
        <v>2196</v>
      </c>
      <c r="CM198" s="83"/>
      <c r="CN198" s="7"/>
    </row>
    <row r="199" spans="1:92" s="26" customFormat="1" ht="15" customHeight="1" x14ac:dyDescent="0.25">
      <c r="A199" s="2"/>
      <c r="B199" s="512" t="s">
        <v>5103</v>
      </c>
      <c r="C199" s="83"/>
      <c r="D199" s="2981">
        <f>IF(D$83&gt;0,LN(IF(D$193&gt;=200,D$99*D$191*200^D$192,NBPuff_A_Night*D$83/D$98/(200-D$193+D$194)^(1/NBPuff_B_Night))),0)</f>
        <v>0</v>
      </c>
      <c r="E199" s="83"/>
      <c r="F199" s="2981">
        <f>IF(F$83&gt;0,LN(IF(F$193&gt;=200,F$99*F$191*200^F$192,NBPuff_A_Night*F$83/F$98/(200-F$193+F$194)^(1/NBPuff_B_Night))),0)</f>
        <v>0</v>
      </c>
      <c r="G199" s="83"/>
      <c r="H199" s="2981">
        <f>IF(H$83&gt;0,LN(IF(H$193&gt;=200,H$99*H$191*200^H$192,NBPuff_A_Night*H$83/H$98/(200-H$193+H$194)^(1/NBPuff_B_Night))),0)</f>
        <v>0</v>
      </c>
      <c r="I199" s="83"/>
      <c r="J199" s="2981">
        <f>IF(J$83&gt;0,LN(IF(J$193&gt;=200,J$99*J$191*200^J$192,NBPuff_A_Night*J$83/J$98/(200-J$193+J$194)^(1/NBPuff_B_Night))),0)</f>
        <v>0</v>
      </c>
      <c r="K199" s="83"/>
      <c r="L199" s="2981">
        <f>IF(L$83&gt;0,LN(IF(L$193&gt;=200,L$99*L$191*200^L$192,NBPuff_A_Night*L$83/L$98/(200-L$193+L$194)^(1/NBPuff_B_Night))),0)</f>
        <v>0</v>
      </c>
      <c r="M199" s="83"/>
      <c r="N199" s="2981">
        <f>IF(N$83&gt;0,LN(IF(N$193&gt;=200,N$99*N$191*200^N$192,NBPuff_A_Night*N$83/N$98/(200-N$193+N$194)^(1/NBPuff_B_Night))),0)</f>
        <v>0</v>
      </c>
      <c r="O199" s="83"/>
      <c r="P199" s="2981">
        <f>IF(P$83&gt;0,LN(IF(P$193&gt;=200,P$99*P$191*200^P$192,NBPuff_A_Night*P$83/P$98/(200-P$193+P$194)^(1/NBPuff_B_Night))),0)</f>
        <v>0</v>
      </c>
      <c r="Q199" s="83"/>
      <c r="R199" s="2981">
        <f>IF(R$83&gt;0,LN(IF(R$193&gt;=200,R$99*R$191*200^R$192,NBPuff_A_Night*R$83/R$98/(200-R$193+R$194)^(1/NBPuff_B_Night))),0)</f>
        <v>0</v>
      </c>
      <c r="S199" s="83"/>
      <c r="T199" s="2981">
        <f>IF(T$83&gt;0,LN(IF(T$193&gt;=200,T$99*T$191*200^T$192,NBPuff_A_Night*T$83/T$98/(200-T$193+T$194)^(1/NBPuff_B_Night))),0)</f>
        <v>0</v>
      </c>
      <c r="U199" s="83"/>
      <c r="V199" s="2981">
        <f>IF(V$83&gt;0,LN(IF(V$193&gt;=200,V$99*V$191*200^V$192,NBPuff_A_Night*V$83/V$98/(200-V$193+V$194)^(1/NBPuff_B_Night))),0)</f>
        <v>0</v>
      </c>
      <c r="W199" s="83"/>
      <c r="X199" s="2981">
        <f>IF(X$83&gt;0,LN(IF(X$193&gt;=200,X$99*X$191*200^X$192,NBPuff_A_Night*X$83/X$98/(200-X$193+X$194)^(1/NBPuff_B_Night))),0)</f>
        <v>0</v>
      </c>
      <c r="Y199" s="83"/>
      <c r="Z199" s="2987"/>
      <c r="AA199" s="83"/>
      <c r="AB199" s="81"/>
      <c r="AC199" s="512" t="s">
        <v>5117</v>
      </c>
      <c r="AD199" s="81"/>
      <c r="AE199" s="3000">
        <f>LN(IF(AE$196&lt;AE$99,IF(LOG(AE$195)&lt;-0.66,8.91,IF(LOG(AE$195)&lt;0.32,10^(1.19+0.36*LOG(AE$195)),10^(1.38-0.26*LOG(AE$195))))*AE103^0.333,1))</f>
        <v>0</v>
      </c>
      <c r="AF199" s="81"/>
      <c r="AG199" s="3000">
        <f>LN(IF(AG$196&lt;AG$99,IF(LOG(AG$195)&lt;-0.66,8.91,IF(LOG(AG$195)&lt;0.32,10^(1.19+0.36*LOG(AG$195)),10^(1.38-0.26*LOG(AG$195))))*AG103^0.333,1))</f>
        <v>0</v>
      </c>
      <c r="AH199" s="81"/>
      <c r="AI199" s="3000">
        <f>LN(IF(AI$196&lt;AI$99,IF(LOG(AI$195)&lt;-0.66,8.91,IF(LOG(AI$195)&lt;0.32,10^(1.19+0.36*LOG(AI$195)),10^(1.38-0.26*LOG(AI$195))))*AI103^0.333,1))</f>
        <v>0</v>
      </c>
      <c r="AJ199" s="81"/>
      <c r="AK199" s="3000">
        <f>LN(IF(AK$196&lt;AK$99,IF(LOG(AK$195)&lt;-0.66,8.91,IF(LOG(AK$195)&lt;0.32,10^(1.19+0.36*LOG(AK$195)),10^(1.38-0.26*LOG(AK$195))))*AK103^0.333,1))</f>
        <v>0</v>
      </c>
      <c r="AL199" s="81"/>
      <c r="AM199" s="3000">
        <f>LN(IF(AM$196&lt;AM$99,IF(LOG(AM$195)&lt;-0.66,8.91,IF(LOG(AM$195)&lt;0.32,10^(1.19+0.36*LOG(AM$195)),10^(1.38-0.26*LOG(AM$195))))*AM103^0.333,1))</f>
        <v>0</v>
      </c>
      <c r="AN199" s="81"/>
      <c r="AO199" s="3000">
        <f>LN(IF(AO$196&lt;AO$99,IF(LOG(AO$195)&lt;-0.66,8.91,IF(LOG(AO$195)&lt;0.32,10^(1.19+0.36*LOG(AO$195)),10^(1.38-0.26*LOG(AO$195))))*AO103^0.333,1))</f>
        <v>0</v>
      </c>
      <c r="AP199" s="81"/>
      <c r="AQ199" s="85"/>
      <c r="AR199" s="81"/>
      <c r="AS199" s="83"/>
      <c r="AT199" s="512" t="s">
        <v>5106</v>
      </c>
      <c r="AU199" s="83"/>
      <c r="AV199" s="2981">
        <f>IF(AV$67&gt;0,LN(IF(AV$190&gt;=2000,AV$83*AV$188*2000^AV$189,NBPuff_A_Night*AV$67/AV$82/(2000-AV$190+AV$191)^(1/NBPuff_B_Night))),0)</f>
        <v>0</v>
      </c>
      <c r="AW199" s="269"/>
      <c r="AX199" s="2981">
        <f>IF(AX$67&gt;0,LN(IF(AX$190&gt;=2000,AX$83*AX$188*2000^AX$189,NBPuff_A_Night*AX$67/AX$82/(2000-AX$190+AX$191)^(1/NBPuff_B_Night))),0)</f>
        <v>0</v>
      </c>
      <c r="AY199" s="269"/>
      <c r="AZ199" s="2981">
        <f>IF(AZ$67&gt;0,LN(IF(AZ$190&gt;=2000,AZ$83*AZ$188*2000^AZ$189,NBPuff_A_Night*AZ$67/AZ$82/(2000-AZ$190+AZ$191)^(1/NBPuff_B_Night))),0)</f>
        <v>0</v>
      </c>
      <c r="BA199" s="269"/>
      <c r="BB199" s="2981">
        <f>IF(BB$67&gt;0,LN(IF(BB$190&gt;=2000,BB$83*BB$188*2000^BB$189,NBPuff_A_Night*BB$67/BB$82/(2000-BB$190+BB$191)^(1/NBPuff_B_Night))),0)</f>
        <v>0</v>
      </c>
      <c r="BC199" s="269"/>
      <c r="BD199" s="2981">
        <f>IF(BD$67&gt;0,LN(IF(BD$190&gt;=2000,BD$83*BD$188*2000^BD$189,NBPuff_A_Night*BD$67/BD$82/(2000-BD$190+BD$191)^(1/NBPuff_B_Night))),0)</f>
        <v>0</v>
      </c>
      <c r="BE199" s="269"/>
      <c r="BF199" s="2981">
        <f>IF(BF$67&gt;0,LN(IF(BF$190&gt;=2000,BF$83*BF$188*2000^BF$189,NBPuff_A_Night*BF$67/BF$82/(2000-BF$190+BF$191)^(1/NBPuff_B_Night))),0)</f>
        <v>0</v>
      </c>
      <c r="BG199" s="269"/>
      <c r="BH199" s="2981">
        <f>IF(BH$67&gt;0,LN(IF(BH$190&gt;=2000,BH$83*BH$188*2000^BH$189,NBPuff_A_Night*BH$67/BH$82/(2000-BH$190+BH$191)^(1/NBPuff_B_Night))),0)</f>
        <v>0</v>
      </c>
      <c r="BI199" s="269"/>
      <c r="BJ199" s="2981">
        <f>IF(BJ$67&gt;0,LN(IF(BJ$190&gt;=2000,BJ$83*BJ$188*2000^BJ$189,NBPuff_A_Night*BJ$67/BJ$82/(2000-BJ$190+BJ$191)^(1/NBPuff_B_Night))),0)</f>
        <v>0</v>
      </c>
      <c r="BK199" s="269"/>
      <c r="BL199" s="2981">
        <f>IF(BL$67&gt;0,LN(IF(BL$190&gt;=2000,BL$83*BL$188*2000^BL$189,NBPuff_A_Night*BL$67/BL$82/(2000-BL$190+BL$191)^(1/NBPuff_B_Night))),0)</f>
        <v>0</v>
      </c>
      <c r="BM199" s="269"/>
      <c r="BN199" s="2981">
        <f>IF(BN$67&gt;0,LN(IF(BN$190&gt;=2000,BN$83*BN$188*2000^BN$189,NBPuff_A_Night*BN$67/BN$82/(2000-BN$190+BN$191)^(1/NBPuff_B_Night))),0)</f>
        <v>0</v>
      </c>
      <c r="BO199" s="269"/>
      <c r="BP199" s="1835"/>
      <c r="BQ199" s="83"/>
      <c r="BR199" s="81"/>
      <c r="BS199" s="512" t="s">
        <v>5103</v>
      </c>
      <c r="BT199" s="81"/>
      <c r="BU199" s="2981">
        <f>IF(BU$83&gt;0,LN(IF(BU$193&gt;=200,BU$99*BU$191*200^BU$192,NBPuff_A_Night*BU$83/BU$98/(200-BU$193+BU$194)^(1/NBPuff_B_Night))),0)</f>
        <v>0</v>
      </c>
      <c r="BV199" s="81"/>
      <c r="BW199" s="2981">
        <f>IF(BW$83&gt;0,LN(IF(BW$193&gt;=200,BW$99*BW$191*200^BW$192,NBPuff_A_Night*BW$83/BW$98/(200-BW$193+BW$194)^(1/NBPuff_B_Night))),0)</f>
        <v>0</v>
      </c>
      <c r="BX199" s="81"/>
      <c r="BY199" s="2981">
        <f>IF(BY$83&gt;0,LN(IF(BY$193&gt;=200,BY$99*BY$191*200^BY$192,NBPuff_A_Night*BY$83/BY$98/(200-BY$193+BY$194)^(1/NBPuff_B_Night))),0)</f>
        <v>0</v>
      </c>
      <c r="BZ199" s="81"/>
      <c r="CA199" s="2981">
        <f>IF(CA$83&gt;0,LN(IF(CA$193&gt;=200,CA$99*CA$191*200^CA$192,NBPuff_A_Night*CA$83/CA$98/(200-CA$193+CA$194)^(1/NBPuff_B_Night))),0)</f>
        <v>0</v>
      </c>
      <c r="CB199" s="81"/>
      <c r="CC199" s="2981">
        <f>IF(CC$83&gt;0,LN(IF(CC$193&gt;=200,CC$99*CC$191*200^CC$192,NBPuff_A_Night*CC$83/CC$98/(200-CC$193+CC$194)^(1/NBPuff_B_Night))),0)</f>
        <v>0</v>
      </c>
      <c r="CD199" s="81"/>
      <c r="CE199" s="23"/>
      <c r="CF199" s="81"/>
      <c r="CG199" s="83"/>
      <c r="CH199" s="23" t="s">
        <v>3711</v>
      </c>
      <c r="CI199" s="83"/>
      <c r="CJ199" s="1206">
        <f>IF(OR(CJ$139=0,CJ$150="",CJ$25=0),0,IF(Zone1_Input="",0,IF(CJ17="Instantaneous",Dispersion_I,Dispersion_D)*CJ$25^(2*IF(CJ17="Instantaneous",CJ$79,CJ$53))*CJ150^2*(0-EXP(CJ$137+CJ$139*MAX(CJ190,Zone_1)^2/(CJ$25^(2*IF(CJ17="Instantaneous",CJ$79,CJ$53))*CJ150^2)))/CJ$139))</f>
        <v>0</v>
      </c>
      <c r="CK199" s="83"/>
      <c r="CL199" s="23" t="s">
        <v>2196</v>
      </c>
      <c r="CM199" s="83"/>
      <c r="CN199" s="7"/>
    </row>
    <row r="200" spans="1:92" s="26" customFormat="1" ht="15" customHeight="1" x14ac:dyDescent="0.25">
      <c r="A200" s="2"/>
      <c r="B200" s="512" t="s">
        <v>5104</v>
      </c>
      <c r="C200" s="83"/>
      <c r="D200" s="2981">
        <f>IF(D$83&gt;0,LN(IF(D$193&gt;=500,D$99*D$191*500^D$192,NBPuff_A_Night*D$83/D$98/(500-D$193+D$194)^(1/NBPuff_B_Night))),0)</f>
        <v>0</v>
      </c>
      <c r="E200" s="83"/>
      <c r="F200" s="2981">
        <f>IF(F$83&gt;0,LN(IF(F$193&gt;=500,F$99*F$191*500^F$192,NBPuff_A_Night*F$83/F$98/(500-F$193+F$194)^(1/NBPuff_B_Night))),0)</f>
        <v>0</v>
      </c>
      <c r="G200" s="83"/>
      <c r="H200" s="2981">
        <f>IF(H$83&gt;0,LN(IF(H$193&gt;=500,H$99*H$191*500^H$192,NBPuff_A_Night*H$83/H$98/(500-H$193+H$194)^(1/NBPuff_B_Night))),0)</f>
        <v>0</v>
      </c>
      <c r="I200" s="83"/>
      <c r="J200" s="2981">
        <f>IF(J$83&gt;0,LN(IF(J$193&gt;=500,J$99*J$191*500^J$192,NBPuff_A_Night*J$83/J$98/(500-J$193+J$194)^(1/NBPuff_B_Night))),0)</f>
        <v>0</v>
      </c>
      <c r="K200" s="83"/>
      <c r="L200" s="2981">
        <f>IF(L$83&gt;0,LN(IF(L$193&gt;=500,L$99*L$191*500^L$192,NBPuff_A_Night*L$83/L$98/(500-L$193+L$194)^(1/NBPuff_B_Night))),0)</f>
        <v>0</v>
      </c>
      <c r="M200" s="83"/>
      <c r="N200" s="2981">
        <f>IF(N$83&gt;0,LN(IF(N$193&gt;=500,N$99*N$191*500^N$192,NBPuff_A_Night*N$83/N$98/(500-N$193+N$194)^(1/NBPuff_B_Night))),0)</f>
        <v>0</v>
      </c>
      <c r="O200" s="83"/>
      <c r="P200" s="2981">
        <f>IF(P$83&gt;0,LN(IF(P$193&gt;=500,P$99*P$191*500^P$192,NBPuff_A_Night*P$83/P$98/(500-P$193+P$194)^(1/NBPuff_B_Night))),0)</f>
        <v>0</v>
      </c>
      <c r="Q200" s="83"/>
      <c r="R200" s="2981">
        <f>IF(R$83&gt;0,LN(IF(R$193&gt;=500,R$99*R$191*500^R$192,NBPuff_A_Night*R$83/R$98/(500-R$193+R$194)^(1/NBPuff_B_Night))),0)</f>
        <v>0</v>
      </c>
      <c r="S200" s="83"/>
      <c r="T200" s="2981">
        <f>IF(T$83&gt;0,LN(IF(T$193&gt;=500,T$99*T$191*500^T$192,NBPuff_A_Night*T$83/T$98/(500-T$193+T$194)^(1/NBPuff_B_Night))),0)</f>
        <v>0</v>
      </c>
      <c r="U200" s="83"/>
      <c r="V200" s="2981">
        <f>IF(V$83&gt;0,LN(IF(V$193&gt;=500,V$99*V$191*500^V$192,NBPuff_A_Night*V$83/V$98/(500-V$193+V$194)^(1/NBPuff_B_Night))),0)</f>
        <v>0</v>
      </c>
      <c r="W200" s="83"/>
      <c r="X200" s="2981">
        <f>IF(X$83&gt;0,LN(IF(X$193&gt;=500,X$99*X$191*500^X$192,NBPuff_A_Night*X$83/X$98/(500-X$193+X$194)^(1/NBPuff_B_Night))),0)</f>
        <v>0</v>
      </c>
      <c r="Y200" s="83"/>
      <c r="Z200" s="2987"/>
      <c r="AA200" s="83"/>
      <c r="AB200" s="81"/>
      <c r="AC200" s="512" t="s">
        <v>5118</v>
      </c>
      <c r="AD200" s="81"/>
      <c r="AE200" s="3000">
        <f>LN(IF(AE$196&lt;AE$99,IF(LOG(AE$195)&lt;-0.71,14.1,IF(LOG(AE$195)&lt;0.37,10^(1.39+0.34*LOG(AE$195)),10^(1.66-0.38*LOG(AE$195))))*AE103^0.333,1))</f>
        <v>0</v>
      </c>
      <c r="AF200" s="81"/>
      <c r="AG200" s="3000">
        <f>LN(IF(AG$196&lt;AG$99,IF(LOG(AG$195)&lt;-0.71,14.1,IF(LOG(AG$195)&lt;0.37,10^(1.39+0.34*LOG(AG$195)),10^(1.66-0.38*LOG(AG$195))))*AG103^0.333,1))</f>
        <v>0</v>
      </c>
      <c r="AH200" s="81"/>
      <c r="AI200" s="3000">
        <f>LN(IF(AI$196&lt;AI$99,IF(LOG(AI$195)&lt;-0.71,14.1,IF(LOG(AI$195)&lt;0.37,10^(1.39+0.34*LOG(AI$195)),10^(1.66-0.38*LOG(AI$195))))*AI103^0.333,1))</f>
        <v>0</v>
      </c>
      <c r="AJ200" s="81"/>
      <c r="AK200" s="3000">
        <f>LN(IF(AK$196&lt;AK$99,IF(LOG(AK$195)&lt;-0.71,14.1,IF(LOG(AK$195)&lt;0.37,10^(1.39+0.34*LOG(AK$195)),10^(1.66-0.38*LOG(AK$195))))*AK103^0.333,1))</f>
        <v>0</v>
      </c>
      <c r="AL200" s="81"/>
      <c r="AM200" s="3000">
        <f>LN(IF(AM$196&lt;AM$99,IF(LOG(AM$195)&lt;-0.71,14.1,IF(LOG(AM$195)&lt;0.37,10^(1.39+0.34*LOG(AM$195)),10^(1.66-0.38*LOG(AM$195))))*AM103^0.333,1))</f>
        <v>0</v>
      </c>
      <c r="AN200" s="81"/>
      <c r="AO200" s="3000">
        <f>LN(IF(AO$196&lt;AO$99,IF(LOG(AO$195)&lt;-0.71,14.1,IF(LOG(AO$195)&lt;0.37,10^(1.39+0.34*LOG(AO$195)),10^(1.66-0.38*LOG(AO$195))))*AO103^0.333,1))</f>
        <v>0</v>
      </c>
      <c r="AP200" s="81"/>
      <c r="AQ200" s="85"/>
      <c r="AR200" s="81"/>
      <c r="AS200" s="83"/>
      <c r="AT200" s="512" t="s">
        <v>5107</v>
      </c>
      <c r="AU200" s="83"/>
      <c r="AV200" s="2981">
        <f>IF(AV$67&gt;0,LN(IF(AV$190&gt;=5000,AV$83*AV$188*5000^AV$189,NBPuff_A_Night*AV$67/AV$82/(5000-AV$190+AV$191)^(1/NBPuff_B_Night))),0)</f>
        <v>0</v>
      </c>
      <c r="AW200" s="269"/>
      <c r="AX200" s="2981">
        <f>IF(AX$67&gt;0,LN(IF(AX$190&gt;=5000,AX$83*AX$188*5000^AX$189,NBPuff_A_Night*AX$67/AX$82/(5000-AX$190+AX$191)^(1/NBPuff_B_Night))),0)</f>
        <v>0</v>
      </c>
      <c r="AY200" s="269"/>
      <c r="AZ200" s="2981">
        <f>IF(AZ$67&gt;0,LN(IF(AZ$190&gt;=5000,AZ$83*AZ$188*5000^AZ$189,NBPuff_A_Night*AZ$67/AZ$82/(5000-AZ$190+AZ$191)^(1/NBPuff_B_Night))),0)</f>
        <v>0</v>
      </c>
      <c r="BA200" s="269"/>
      <c r="BB200" s="2981">
        <f>IF(BB$67&gt;0,LN(IF(BB$190&gt;=5000,BB$83*BB$188*5000^BB$189,NBPuff_A_Night*BB$67/BB$82/(5000-BB$190+BB$191)^(1/NBPuff_B_Night))),0)</f>
        <v>0</v>
      </c>
      <c r="BC200" s="269"/>
      <c r="BD200" s="2981">
        <f>IF(BD$67&gt;0,LN(IF(BD$190&gt;=5000,BD$83*BD$188*5000^BD$189,NBPuff_A_Night*BD$67/BD$82/(5000-BD$190+BD$191)^(1/NBPuff_B_Night))),0)</f>
        <v>0</v>
      </c>
      <c r="BE200" s="269"/>
      <c r="BF200" s="2981">
        <f>IF(BF$67&gt;0,LN(IF(BF$190&gt;=5000,BF$83*BF$188*5000^BF$189,NBPuff_A_Night*BF$67/BF$82/(5000-BF$190+BF$191)^(1/NBPuff_B_Night))),0)</f>
        <v>0</v>
      </c>
      <c r="BG200" s="269"/>
      <c r="BH200" s="2981">
        <f>IF(BH$67&gt;0,LN(IF(BH$190&gt;=5000,BH$83*BH$188*5000^BH$189,NBPuff_A_Night*BH$67/BH$82/(5000-BH$190+BH$191)^(1/NBPuff_B_Night))),0)</f>
        <v>0</v>
      </c>
      <c r="BI200" s="269"/>
      <c r="BJ200" s="2981">
        <f>IF(BJ$67&gt;0,LN(IF(BJ$190&gt;=5000,BJ$83*BJ$188*5000^BJ$189,NBPuff_A_Night*BJ$67/BJ$82/(5000-BJ$190+BJ$191)^(1/NBPuff_B_Night))),0)</f>
        <v>0</v>
      </c>
      <c r="BK200" s="269"/>
      <c r="BL200" s="2981">
        <f>IF(BL$67&gt;0,LN(IF(BL$190&gt;=5000,BL$83*BL$188*5000^BL$189,NBPuff_A_Night*BL$67/BL$82/(5000-BL$190+BL$191)^(1/NBPuff_B_Night))),0)</f>
        <v>0</v>
      </c>
      <c r="BM200" s="269"/>
      <c r="BN200" s="2981">
        <f>IF(BN$67&gt;0,LN(IF(BN$190&gt;=5000,BN$83*BN$188*5000^BN$189,NBPuff_A_Night*BN$67/BN$82/(5000-BN$190+BN$191)^(1/NBPuff_B_Night))),0)</f>
        <v>0</v>
      </c>
      <c r="BO200" s="269"/>
      <c r="BP200" s="1835"/>
      <c r="BQ200" s="83"/>
      <c r="BR200" s="81"/>
      <c r="BS200" s="512" t="s">
        <v>5104</v>
      </c>
      <c r="BT200" s="81"/>
      <c r="BU200" s="2981">
        <f>IF(BU$83&gt;0,LN(IF(BU$193&gt;=500,BU$99*BU$191*500^BU$192,NBPuff_A_Night*BU$83/BU$98/(500-BU$193+BU$194)^(1/NBPuff_B_Night))),0)</f>
        <v>0</v>
      </c>
      <c r="BV200" s="81"/>
      <c r="BW200" s="2981">
        <f>IF(BW$83&gt;0,LN(IF(BW$193&gt;=500,BW$99*BW$191*500^BW$192,NBPuff_A_Night*BW$83/BW$98/(500-BW$193+BW$194)^(1/NBPuff_B_Night))),0)</f>
        <v>0</v>
      </c>
      <c r="BX200" s="81"/>
      <c r="BY200" s="2981">
        <f>IF(BY$83&gt;0,LN(IF(BY$193&gt;=500,BY$99*BY$191*500^BY$192,NBPuff_A_Night*BY$83/BY$98/(500-BY$193+BY$194)^(1/NBPuff_B_Night))),0)</f>
        <v>0</v>
      </c>
      <c r="BZ200" s="81"/>
      <c r="CA200" s="2981">
        <f>IF(CA$83&gt;0,LN(IF(CA$193&gt;=500,CA$99*CA$191*500^CA$192,NBPuff_A_Night*CA$83/CA$98/(500-CA$193+CA$194)^(1/NBPuff_B_Night))),0)</f>
        <v>0</v>
      </c>
      <c r="CB200" s="81"/>
      <c r="CC200" s="2981">
        <f>IF(CC$83&gt;0,LN(IF(CC$193&gt;=500,CC$99*CC$191*500^CC$192,NBPuff_A_Night*CC$83/CC$98/(500-CC$193+CC$194)^(1/NBPuff_B_Night))),0)</f>
        <v>0</v>
      </c>
      <c r="CD200" s="81"/>
      <c r="CE200" s="23"/>
      <c r="CF200" s="81"/>
      <c r="CG200" s="83"/>
      <c r="CH200" s="23" t="s">
        <v>5296</v>
      </c>
      <c r="CI200" s="83"/>
      <c r="CJ200" s="1861">
        <f>Outdoor_Fract*((CJ191+CJ192)*IF(Offsite_PD1="",Offsite_PD,1000000*Offsite_PD1)+(CJ193+CJ194)*IF(Offsite_PD2="",Offsite_PD,1000000*Offsite_PD2))/1000000+(1-Outdoor_Fract)*((CJ196+CJ197)*IF(Offsite_PD1="",Offsite_PD,1000000*Offsite_PD1)+(CJ198+CJ199)*IF(Offsite_PD2="",Offsite_PD,1000000*Offsite_PD2))/1000000</f>
        <v>9.0000000000000019E-6</v>
      </c>
      <c r="CK200" s="83"/>
      <c r="CL200" s="23"/>
      <c r="CM200" s="83"/>
      <c r="CN200" s="7"/>
    </row>
    <row r="201" spans="1:92" s="26" customFormat="1" ht="15" customHeight="1" thickBot="1" x14ac:dyDescent="0.3">
      <c r="A201" s="2"/>
      <c r="B201" s="512" t="s">
        <v>5105</v>
      </c>
      <c r="C201" s="83"/>
      <c r="D201" s="2981">
        <f>IF(D$83&gt;0,LN(IF(D$193&gt;=1000,D$99*D$191*1000^D$192,NBPuff_A_Night*D$83/D$98/(1000-D$193+D$194)^(1/NBPuff_B_Night))),0)</f>
        <v>0</v>
      </c>
      <c r="E201" s="83"/>
      <c r="F201" s="2981">
        <f>IF(F$83&gt;0,LN(IF(F$193&gt;=1000,F$99*F$191*1000^F$192,NBPuff_A_Night*F$83/F$98/(1000-F$193+F$194)^(1/NBPuff_B_Night))),0)</f>
        <v>0</v>
      </c>
      <c r="G201" s="83"/>
      <c r="H201" s="2981">
        <f>IF(H$83&gt;0,LN(IF(H$193&gt;=1000,H$99*H$191*1000^H$192,NBPuff_A_Night*H$83/H$98/(1000-H$193+H$194)^(1/NBPuff_B_Night))),0)</f>
        <v>0</v>
      </c>
      <c r="I201" s="83"/>
      <c r="J201" s="2981">
        <f>IF(J$83&gt;0,LN(IF(J$193&gt;=1000,J$99*J$191*1000^J$192,NBPuff_A_Night*J$83/J$98/(1000-J$193+J$194)^(1/NBPuff_B_Night))),0)</f>
        <v>0</v>
      </c>
      <c r="K201" s="83"/>
      <c r="L201" s="2981">
        <f>IF(L$83&gt;0,LN(IF(L$193&gt;=1000,L$99*L$191*1000^L$192,NBPuff_A_Night*L$83/L$98/(1000-L$193+L$194)^(1/NBPuff_B_Night))),0)</f>
        <v>0</v>
      </c>
      <c r="M201" s="83"/>
      <c r="N201" s="2981">
        <f>IF(N$83&gt;0,LN(IF(N$193&gt;=1000,N$99*N$191*1000^N$192,NBPuff_A_Night*N$83/N$98/(1000-N$193+N$194)^(1/NBPuff_B_Night))),0)</f>
        <v>0</v>
      </c>
      <c r="O201" s="83"/>
      <c r="P201" s="2981">
        <f>IF(P$83&gt;0,LN(IF(P$193&gt;=1000,P$99*P$191*1000^P$192,NBPuff_A_Night*P$83/P$98/(1000-P$193+P$194)^(1/NBPuff_B_Night))),0)</f>
        <v>0</v>
      </c>
      <c r="Q201" s="83"/>
      <c r="R201" s="2981">
        <f>IF(R$83&gt;0,LN(IF(R$193&gt;=1000,R$99*R$191*1000^R$192,NBPuff_A_Night*R$83/R$98/(1000-R$193+R$194)^(1/NBPuff_B_Night))),0)</f>
        <v>0</v>
      </c>
      <c r="S201" s="83"/>
      <c r="T201" s="2981">
        <f>IF(T$83&gt;0,LN(IF(T$193&gt;=1000,T$99*T$191*1000^T$192,NBPuff_A_Night*T$83/T$98/(1000-T$193+T$194)^(1/NBPuff_B_Night))),0)</f>
        <v>0</v>
      </c>
      <c r="U201" s="83"/>
      <c r="V201" s="2981">
        <f>IF(V$83&gt;0,LN(IF(V$193&gt;=1000,V$99*V$191*1000^V$192,NBPuff_A_Night*V$83/V$98/(1000-V$193+V$194)^(1/NBPuff_B_Night))),0)</f>
        <v>0</v>
      </c>
      <c r="W201" s="83"/>
      <c r="X201" s="2981">
        <f>IF(X$83&gt;0,LN(IF(X$193&gt;=1000,X$99*X$191*1000^X$192,NBPuff_A_Night*X$83/X$98/(1000-X$193+X$194)^(1/NBPuff_B_Night))),0)</f>
        <v>0</v>
      </c>
      <c r="Y201" s="83"/>
      <c r="Z201" s="2987"/>
      <c r="AA201" s="83"/>
      <c r="AB201" s="81"/>
      <c r="AC201" s="512" t="s">
        <v>5119</v>
      </c>
      <c r="AD201" s="81"/>
      <c r="AE201" s="3000">
        <f>LN(IF(AE$196&lt;AE$99,IF(LOG(AE$195)&lt;-0.52,30.2,IF(LOG(AE$195)&lt;0.24,10^(1.62+0.26*LOG(AE$195)),10^(1.75-0.3*LOG(AE$195))))*AE103^0.333,1))</f>
        <v>0</v>
      </c>
      <c r="AF201" s="81"/>
      <c r="AG201" s="3000">
        <f>LN(IF(AG$196&lt;AG$99,IF(LOG(AG$195)&lt;-0.52,30.2,IF(LOG(AG$195)&lt;0.24,10^(1.62+0.26*LOG(AG$195)),10^(1.75-0.3*LOG(AG$195))))*AG103^0.333,1))</f>
        <v>0</v>
      </c>
      <c r="AH201" s="81"/>
      <c r="AI201" s="3000">
        <f>LN(IF(AI$196&lt;AI$99,IF(LOG(AI$195)&lt;-0.52,30.2,IF(LOG(AI$195)&lt;0.24,10^(1.62+0.26*LOG(AI$195)),10^(1.75-0.3*LOG(AI$195))))*AI103^0.333,1))</f>
        <v>0</v>
      </c>
      <c r="AJ201" s="81"/>
      <c r="AK201" s="3000">
        <f>LN(IF(AK$196&lt;AK$99,IF(LOG(AK$195)&lt;-0.52,30.2,IF(LOG(AK$195)&lt;0.24,10^(1.62+0.26*LOG(AK$195)),10^(1.75-0.3*LOG(AK$195))))*AK103^0.333,1))</f>
        <v>0</v>
      </c>
      <c r="AL201" s="81"/>
      <c r="AM201" s="3000">
        <f>LN(IF(AM$196&lt;AM$99,IF(LOG(AM$195)&lt;-0.52,30.2,IF(LOG(AM$195)&lt;0.24,10^(1.62+0.26*LOG(AM$195)),10^(1.75-0.3*LOG(AM$195))))*AM103^0.333,1))</f>
        <v>0</v>
      </c>
      <c r="AN201" s="81"/>
      <c r="AO201" s="3000">
        <f>LN(IF(AO$196&lt;AO$99,IF(LOG(AO$195)&lt;-0.52,30.2,IF(LOG(AO$195)&lt;0.24,10^(1.62+0.26*LOG(AO$195)),10^(1.75-0.3*LOG(AO$195))))*AO103^0.333,1))</f>
        <v>0</v>
      </c>
      <c r="AP201" s="81"/>
      <c r="AQ201" s="85"/>
      <c r="AR201" s="81"/>
      <c r="AS201" s="83"/>
      <c r="AT201" s="512" t="s">
        <v>5108</v>
      </c>
      <c r="AU201" s="83"/>
      <c r="AV201" s="2982">
        <f>IF(AV$67&gt;0,LN(IF(AV$190&gt;=10000,AV$83*AV$188*10000^AV$189,NBPuff_A_Night*AV$67/AV$82/(10000-AV$190+AV$191)^(1/NBPuff_B_Night))),0)</f>
        <v>0</v>
      </c>
      <c r="AW201" s="269"/>
      <c r="AX201" s="2982">
        <f>IF(AX$67&gt;0,LN(IF(AX$190&gt;=10000,AX$83*AX$188*10000^AX$189,NBPuff_A_Night*AX$67/AX$82/(10000-AX$190+AX$191)^(1/NBPuff_B_Night))),0)</f>
        <v>0</v>
      </c>
      <c r="AY201" s="269"/>
      <c r="AZ201" s="2982">
        <f>IF(AZ$67&gt;0,LN(IF(AZ$190&gt;=10000,AZ$83*AZ$188*10000^AZ$189,NBPuff_A_Night*AZ$67/AZ$82/(10000-AZ$190+AZ$191)^(1/NBPuff_B_Night))),0)</f>
        <v>0</v>
      </c>
      <c r="BA201" s="269"/>
      <c r="BB201" s="2982">
        <f>IF(BB$67&gt;0,LN(IF(BB$190&gt;=10000,BB$83*BB$188*10000^BB$189,NBPuff_A_Night*BB$67/BB$82/(10000-BB$190+BB$191)^(1/NBPuff_B_Night))),0)</f>
        <v>0</v>
      </c>
      <c r="BC201" s="269"/>
      <c r="BD201" s="2982">
        <f>IF(BD$67&gt;0,LN(IF(BD$190&gt;=10000,BD$83*BD$188*10000^BD$189,NBPuff_A_Night*BD$67/BD$82/(10000-BD$190+BD$191)^(1/NBPuff_B_Night))),0)</f>
        <v>0</v>
      </c>
      <c r="BE201" s="269"/>
      <c r="BF201" s="2982">
        <f>IF(BF$67&gt;0,LN(IF(BF$190&gt;=10000,BF$83*BF$188*10000^BF$189,NBPuff_A_Night*BF$67/BF$82/(10000-BF$190+BF$191)^(1/NBPuff_B_Night))),0)</f>
        <v>0</v>
      </c>
      <c r="BG201" s="269"/>
      <c r="BH201" s="2982">
        <f>IF(BH$67&gt;0,LN(IF(BH$190&gt;=10000,BH$83*BH$188*10000^BH$189,NBPuff_A_Night*BH$67/BH$82/(10000-BH$190+BH$191)^(1/NBPuff_B_Night))),0)</f>
        <v>0</v>
      </c>
      <c r="BI201" s="269"/>
      <c r="BJ201" s="2982">
        <f>IF(BJ$67&gt;0,LN(IF(BJ$190&gt;=10000,BJ$83*BJ$188*10000^BJ$189,NBPuff_A_Night*BJ$67/BJ$82/(10000-BJ$190+BJ$191)^(1/NBPuff_B_Night))),0)</f>
        <v>0</v>
      </c>
      <c r="BK201" s="269"/>
      <c r="BL201" s="2982">
        <f>IF(BL$67&gt;0,LN(IF(BL$190&gt;=10000,BL$83*BL$188*10000^BL$189,NBPuff_A_Night*BL$67/BL$82/(10000-BL$190+BL$191)^(1/NBPuff_B_Night))),0)</f>
        <v>0</v>
      </c>
      <c r="BM201" s="269"/>
      <c r="BN201" s="2982">
        <f>IF(BN$67&gt;0,LN(IF(BN$190&gt;=10000,BN$83*BN$188*10000^BN$189,NBPuff_A_Night*BN$67/BN$82/(10000-BN$190+BN$191)^(1/NBPuff_B_Night))),0)</f>
        <v>0</v>
      </c>
      <c r="BO201" s="269"/>
      <c r="BP201" s="1835"/>
      <c r="BQ201" s="83"/>
      <c r="BR201" s="81"/>
      <c r="BS201" s="512" t="s">
        <v>5105</v>
      </c>
      <c r="BT201" s="81"/>
      <c r="BU201" s="2981">
        <f>IF(BU$83&gt;0,LN(IF(BU$193&gt;=1000,BU$99*BU$191*1000^BU$192,NBPuff_A_Night*BU$83/BU$98/(1000-BU$193+BU$194)^(1/NBPuff_B_Night))),0)</f>
        <v>0</v>
      </c>
      <c r="BV201" s="81"/>
      <c r="BW201" s="2981">
        <f>IF(BW$83&gt;0,LN(IF(BW$193&gt;=1000,BW$99*BW$191*1000^BW$192,NBPuff_A_Night*BW$83/BW$98/(1000-BW$193+BW$194)^(1/NBPuff_B_Night))),0)</f>
        <v>0</v>
      </c>
      <c r="BX201" s="81"/>
      <c r="BY201" s="2981">
        <f>IF(BY$83&gt;0,LN(IF(BY$193&gt;=1000,BY$99*BY$191*1000^BY$192,NBPuff_A_Night*BY$83/BY$98/(1000-BY$193+BY$194)^(1/NBPuff_B_Night))),0)</f>
        <v>0</v>
      </c>
      <c r="BZ201" s="81"/>
      <c r="CA201" s="2981">
        <f>IF(CA$83&gt;0,LN(IF(CA$193&gt;=1000,CA$99*CA$191*1000^CA$192,NBPuff_A_Night*CA$83/CA$98/(1000-CA$193+CA$194)^(1/NBPuff_B_Night))),0)</f>
        <v>0</v>
      </c>
      <c r="CB201" s="81"/>
      <c r="CC201" s="2981">
        <f>IF(CC$83&gt;0,LN(IF(CC$193&gt;=1000,CC$99*CC$191*1000^CC$192,NBPuff_A_Night*CC$83/CC$98/(1000-CC$193+CC$194)^(1/NBPuff_B_Night))),0)</f>
        <v>0</v>
      </c>
      <c r="CD201" s="81"/>
      <c r="CE201" s="23"/>
      <c r="CF201" s="81"/>
      <c r="CG201" s="83"/>
      <c r="CH201" s="23" t="s">
        <v>3528</v>
      </c>
      <c r="CI201" s="83"/>
      <c r="CJ201" s="1206">
        <f>IF(AND(CJ149&lt;&gt;"",CJ25&gt;0),IF(CJ17="Instantaneous",CJ149*(CJ140/CJ25)^CJ$131,CJ149*(CJ140/CJ25)^CJ$105),0.1)</f>
        <v>0.1</v>
      </c>
      <c r="CK201" s="83"/>
      <c r="CL201" s="23" t="s">
        <v>1068</v>
      </c>
      <c r="CM201" s="83"/>
      <c r="CN201" s="7"/>
    </row>
    <row r="202" spans="1:92" s="26" customFormat="1" ht="15" customHeight="1" x14ac:dyDescent="0.25">
      <c r="A202" s="2"/>
      <c r="B202" s="512" t="s">
        <v>5106</v>
      </c>
      <c r="C202" s="83"/>
      <c r="D202" s="2981">
        <f>IF(D$83&gt;0,LN(IF(D$193&gt;=2000,D$99*D$191*2000^D$192,NBPuff_A_Night*D$83/D$98/(2000-D$193+D$194)^(1/NBPuff_B_Night))),0)</f>
        <v>0</v>
      </c>
      <c r="E202" s="83"/>
      <c r="F202" s="2981">
        <f>IF(F$83&gt;0,LN(IF(F$193&gt;=2000,F$99*F$191*2000^F$192,NBPuff_A_Night*F$83/F$98/(2000-F$193+F$194)^(1/NBPuff_B_Night))),0)</f>
        <v>0</v>
      </c>
      <c r="G202" s="83"/>
      <c r="H202" s="2981">
        <f>IF(H$83&gt;0,LN(IF(H$193&gt;=2000,H$99*H$191*2000^H$192,NBPuff_A_Night*H$83/H$98/(2000-H$193+H$194)^(1/NBPuff_B_Night))),0)</f>
        <v>0</v>
      </c>
      <c r="I202" s="83"/>
      <c r="J202" s="2981">
        <f>IF(J$83&gt;0,LN(IF(J$193&gt;=2000,J$99*J$191*2000^J$192,NBPuff_A_Night*J$83/J$98/(2000-J$193+J$194)^(1/NBPuff_B_Night))),0)</f>
        <v>0</v>
      </c>
      <c r="K202" s="83"/>
      <c r="L202" s="2981">
        <f>IF(L$83&gt;0,LN(IF(L$193&gt;=2000,L$99*L$191*2000^L$192,NBPuff_A_Night*L$83/L$98/(2000-L$193+L$194)^(1/NBPuff_B_Night))),0)</f>
        <v>0</v>
      </c>
      <c r="M202" s="83"/>
      <c r="N202" s="2981">
        <f>IF(N$83&gt;0,LN(IF(N$193&gt;=2000,N$99*N$191*2000^N$192,NBPuff_A_Night*N$83/N$98/(2000-N$193+N$194)^(1/NBPuff_B_Night))),0)</f>
        <v>0</v>
      </c>
      <c r="O202" s="83"/>
      <c r="P202" s="2981">
        <f>IF(P$83&gt;0,LN(IF(P$193&gt;=2000,P$99*P$191*2000^P$192,NBPuff_A_Night*P$83/P$98/(2000-P$193+P$194)^(1/NBPuff_B_Night))),0)</f>
        <v>0</v>
      </c>
      <c r="Q202" s="83"/>
      <c r="R202" s="2981">
        <f>IF(R$83&gt;0,LN(IF(R$193&gt;=2000,R$99*R$191*2000^R$192,NBPuff_A_Night*R$83/R$98/(2000-R$193+R$194)^(1/NBPuff_B_Night))),0)</f>
        <v>0</v>
      </c>
      <c r="S202" s="83"/>
      <c r="T202" s="2981">
        <f>IF(T$83&gt;0,LN(IF(T$193&gt;=2000,T$99*T$191*2000^T$192,NBPuff_A_Night*T$83/T$98/(2000-T$193+T$194)^(1/NBPuff_B_Night))),0)</f>
        <v>0</v>
      </c>
      <c r="U202" s="83"/>
      <c r="V202" s="2981">
        <f>IF(V$83&gt;0,LN(IF(V$193&gt;=2000,V$99*V$191*2000^V$192,NBPuff_A_Night*V$83/V$98/(2000-V$193+V$194)^(1/NBPuff_B_Night))),0)</f>
        <v>0</v>
      </c>
      <c r="W202" s="83"/>
      <c r="X202" s="2981">
        <f>IF(X$83&gt;0,LN(IF(X$193&gt;=2000,X$99*X$191*2000^X$192,NBPuff_A_Night*X$83/X$98/(2000-X$193+X$194)^(1/NBPuff_B_Night))),0)</f>
        <v>0</v>
      </c>
      <c r="Y202" s="83"/>
      <c r="Z202" s="2987"/>
      <c r="AA202" s="83"/>
      <c r="AB202" s="81"/>
      <c r="AC202" s="512" t="s">
        <v>5120</v>
      </c>
      <c r="AD202" s="81"/>
      <c r="AE202" s="3000">
        <f>LN(IF(AE$196&lt;AE$99,IF(LOG(AE$195)&lt;0.27,67.6,10^(1.92-0.32*LOG(AE$195)))*AE103^0.333,1))</f>
        <v>0</v>
      </c>
      <c r="AF202" s="81"/>
      <c r="AG202" s="3000">
        <f>LN(IF(AG$196&lt;AG$99,IF(LOG(AG$195)&lt;0.27,67.6,10^(1.92-0.32*LOG(AG$195)))*AG103^0.333,1))</f>
        <v>0</v>
      </c>
      <c r="AH202" s="81"/>
      <c r="AI202" s="3000">
        <f>LN(IF(AI$196&lt;AI$99,IF(LOG(AI$195)&lt;0.27,67.6,10^(1.92-0.32*LOG(AI$195)))*AI103^0.333,1))</f>
        <v>0</v>
      </c>
      <c r="AJ202" s="81"/>
      <c r="AK202" s="3000">
        <f>LN(IF(AK$196&lt;AK$99,IF(LOG(AK$195)&lt;0.27,67.6,10^(1.92-0.32*LOG(AK$195)))*AK103^0.333,1))</f>
        <v>0</v>
      </c>
      <c r="AL202" s="81"/>
      <c r="AM202" s="3000">
        <f>LN(IF(AM$196&lt;AM$99,IF(LOG(AM$195)&lt;0.27,67.6,10^(1.92-0.32*LOG(AM$195)))*AM103^0.333,1))</f>
        <v>0</v>
      </c>
      <c r="AN202" s="81"/>
      <c r="AO202" s="3000">
        <f>LN(IF(AO$196&lt;AO$99,IF(LOG(AO$195)&lt;0.27,67.6,10^(1.92-0.32*LOG(AO$195)))*AO103^0.333,1))</f>
        <v>0</v>
      </c>
      <c r="AP202" s="81"/>
      <c r="AQ202" s="85"/>
      <c r="AR202" s="81"/>
      <c r="AS202" s="83"/>
      <c r="AT202" s="2975" t="s">
        <v>5113</v>
      </c>
      <c r="AU202" s="83"/>
      <c r="AV202" s="3005">
        <f>IF(AV$67&gt;0,(EXP(INDEX(LINEST(AV192:AV201,$CJ$286:$CJ$295),2))*AV$82/AV$67)^AV203,0)</f>
        <v>0</v>
      </c>
      <c r="AW202" s="269"/>
      <c r="AX202" s="3005">
        <f>IF(AX$67&gt;0,(EXP(INDEX(LINEST(AX192:AX201,$CJ$286:$CJ$295),2))*AX$82/AX$67)^AX203,0)</f>
        <v>0</v>
      </c>
      <c r="AY202" s="269"/>
      <c r="AZ202" s="3005">
        <f>IF(AZ$67&gt;0,(EXP(INDEX(LINEST(AZ192:AZ201,$CJ$286:$CJ$295),2))*AZ$82/AZ$67)^AZ203,0)</f>
        <v>0</v>
      </c>
      <c r="BA202" s="269"/>
      <c r="BB202" s="3005">
        <f>IF(BB$67&gt;0,(EXP(INDEX(LINEST(BB192:BB201,$CJ$286:$CJ$295),2))*BB$82/BB$67)^BB203,0)</f>
        <v>0</v>
      </c>
      <c r="BC202" s="269"/>
      <c r="BD202" s="3005">
        <f>IF(BD$67&gt;0,(EXP(INDEX(LINEST(BD192:BD201,$CJ$286:$CJ$295),2))*BD$82/BD$67)^BD203,0)</f>
        <v>0</v>
      </c>
      <c r="BE202" s="269"/>
      <c r="BF202" s="3005">
        <f>IF(BF$67&gt;0,(EXP(INDEX(LINEST(BF192:BF201,$CJ$286:$CJ$295),2))*BF$82/BF$67)^BF203,0)</f>
        <v>0</v>
      </c>
      <c r="BG202" s="269"/>
      <c r="BH202" s="3005">
        <f>IF(BH$67&gt;0,(EXP(INDEX(LINEST(BH192:BH201,$CJ$286:$CJ$295),2))*BH$82/BH$67)^BH203,0)</f>
        <v>0</v>
      </c>
      <c r="BI202" s="269"/>
      <c r="BJ202" s="3005">
        <f>IF(BJ$67&gt;0,(EXP(INDEX(LINEST(BJ192:BJ201,$CJ$286:$CJ$295),2))*BJ$82/BJ$67)^BJ203,0)</f>
        <v>0</v>
      </c>
      <c r="BK202" s="269"/>
      <c r="BL202" s="3005">
        <f>IF(BL$67&gt;0,(EXP(INDEX(LINEST(BL192:BL201,$CJ$286:$CJ$295),2))*BL$82/BL$67)^BL203,0)</f>
        <v>0</v>
      </c>
      <c r="BM202" s="269"/>
      <c r="BN202" s="3005">
        <f>IF(BN$67&gt;0,(EXP(INDEX(LINEST(BN192:BN201,$CJ$286:$CJ$295),2))*BN$82/BN$67)^BN203,0)</f>
        <v>0</v>
      </c>
      <c r="BO202" s="269"/>
      <c r="BP202" s="1834"/>
      <c r="BQ202" s="83"/>
      <c r="BR202" s="81"/>
      <c r="BS202" s="512" t="s">
        <v>5106</v>
      </c>
      <c r="BT202" s="81"/>
      <c r="BU202" s="2981">
        <f>IF(BU$83&gt;0,LN(IF(BU$193&gt;=2000,BU$99*BU$191*2000^BU$192,NBPuff_A_Night*BU$83/BU$98/(2000-BU$193+BU$194)^(1/NBPuff_B_Night))),0)</f>
        <v>0</v>
      </c>
      <c r="BV202" s="81"/>
      <c r="BW202" s="2981">
        <f>IF(BW$83&gt;0,LN(IF(BW$193&gt;=2000,BW$99*BW$191*2000^BW$192,NBPuff_A_Night*BW$83/BW$98/(2000-BW$193+BW$194)^(1/NBPuff_B_Night))),0)</f>
        <v>0</v>
      </c>
      <c r="BX202" s="81"/>
      <c r="BY202" s="2981">
        <f>IF(BY$83&gt;0,LN(IF(BY$193&gt;=2000,BY$99*BY$191*2000^BY$192,NBPuff_A_Night*BY$83/BY$98/(2000-BY$193+BY$194)^(1/NBPuff_B_Night))),0)</f>
        <v>0</v>
      </c>
      <c r="BZ202" s="81"/>
      <c r="CA202" s="2981">
        <f>IF(CA$83&gt;0,LN(IF(CA$193&gt;=2000,CA$99*CA$191*2000^CA$192,NBPuff_A_Night*CA$83/CA$98/(2000-CA$193+CA$194)^(1/NBPuff_B_Night))),0)</f>
        <v>0</v>
      </c>
      <c r="CB202" s="81"/>
      <c r="CC202" s="2981">
        <f>IF(CC$83&gt;0,LN(IF(CC$193&gt;=2000,CC$99*CC$191*2000^CC$192,NBPuff_A_Night*CC$83/CC$98/(2000-CC$193+CC$194)^(1/NBPuff_B_Night))),0)</f>
        <v>0</v>
      </c>
      <c r="CD202" s="81"/>
      <c r="CE202" s="23"/>
      <c r="CF202" s="81"/>
      <c r="CG202" s="83"/>
      <c r="CH202" s="23" t="s">
        <v>3529</v>
      </c>
      <c r="CI202" s="83"/>
      <c r="CJ202" s="1206">
        <f>IF(CJ17="Instantaneous",Dispersion_R,Dispersion_M)*(MAX(CJ201,Public)^2-Public^2)+2*(MAX(CJ201,Public)-Public)*CJ14</f>
        <v>3.0000000000000005E-3</v>
      </c>
      <c r="CK202" s="83"/>
      <c r="CL202" s="23" t="s">
        <v>2196</v>
      </c>
      <c r="CM202" s="83"/>
      <c r="CN202" s="7"/>
    </row>
    <row r="203" spans="1:92" s="26" customFormat="1" ht="15" customHeight="1" x14ac:dyDescent="0.25">
      <c r="A203" s="2"/>
      <c r="B203" s="512" t="s">
        <v>5107</v>
      </c>
      <c r="C203" s="83"/>
      <c r="D203" s="2981">
        <f>IF(D$83&gt;0,LN(IF(D$193&gt;=5000,D$99*D$191*5000^D$192,NBPuff_A_Night*D$83/D$98/(5000-D$193+D$194)^(1/NBPuff_B_Night))),0)</f>
        <v>0</v>
      </c>
      <c r="E203" s="83"/>
      <c r="F203" s="2981">
        <f>IF(F$83&gt;0,LN(IF(F$193&gt;=5000,F$99*F$191*5000^F$192,NBPuff_A_Night*F$83/F$98/(5000-F$193+F$194)^(1/NBPuff_B_Night))),0)</f>
        <v>0</v>
      </c>
      <c r="G203" s="83"/>
      <c r="H203" s="2981">
        <f>IF(H$83&gt;0,LN(IF(H$193&gt;=5000,H$99*H$191*5000^H$192,NBPuff_A_Night*H$83/H$98/(5000-H$193+H$194)^(1/NBPuff_B_Night))),0)</f>
        <v>0</v>
      </c>
      <c r="I203" s="83"/>
      <c r="J203" s="2981">
        <f>IF(J$83&gt;0,LN(IF(J$193&gt;=5000,J$99*J$191*5000^J$192,NBPuff_A_Night*J$83/J$98/(5000-J$193+J$194)^(1/NBPuff_B_Night))),0)</f>
        <v>0</v>
      </c>
      <c r="K203" s="83"/>
      <c r="L203" s="2981">
        <f>IF(L$83&gt;0,LN(IF(L$193&gt;=5000,L$99*L$191*5000^L$192,NBPuff_A_Night*L$83/L$98/(5000-L$193+L$194)^(1/NBPuff_B_Night))),0)</f>
        <v>0</v>
      </c>
      <c r="M203" s="83"/>
      <c r="N203" s="2981">
        <f>IF(N$83&gt;0,LN(IF(N$193&gt;=5000,N$99*N$191*5000^N$192,NBPuff_A_Night*N$83/N$98/(5000-N$193+N$194)^(1/NBPuff_B_Night))),0)</f>
        <v>0</v>
      </c>
      <c r="O203" s="83"/>
      <c r="P203" s="2981">
        <f>IF(P$83&gt;0,LN(IF(P$193&gt;=5000,P$99*P$191*5000^P$192,NBPuff_A_Night*P$83/P$98/(5000-P$193+P$194)^(1/NBPuff_B_Night))),0)</f>
        <v>0</v>
      </c>
      <c r="Q203" s="83"/>
      <c r="R203" s="2981">
        <f>IF(R$83&gt;0,LN(IF(R$193&gt;=5000,R$99*R$191*5000^R$192,NBPuff_A_Night*R$83/R$98/(5000-R$193+R$194)^(1/NBPuff_B_Night))),0)</f>
        <v>0</v>
      </c>
      <c r="S203" s="83"/>
      <c r="T203" s="2981">
        <f>IF(T$83&gt;0,LN(IF(T$193&gt;=5000,T$99*T$191*5000^T$192,NBPuff_A_Night*T$83/T$98/(5000-T$193+T$194)^(1/NBPuff_B_Night))),0)</f>
        <v>0</v>
      </c>
      <c r="U203" s="83"/>
      <c r="V203" s="2981">
        <f>IF(V$83&gt;0,LN(IF(V$193&gt;=5000,V$99*V$191*5000^V$192,NBPuff_A_Night*V$83/V$98/(5000-V$193+V$194)^(1/NBPuff_B_Night))),0)</f>
        <v>0</v>
      </c>
      <c r="W203" s="83"/>
      <c r="X203" s="2981">
        <f>IF(X$83&gt;0,LN(IF(X$193&gt;=5000,X$99*X$191*5000^X$192,NBPuff_A_Night*X$83/X$98/(5000-X$193+X$194)^(1/NBPuff_B_Night))),0)</f>
        <v>0</v>
      </c>
      <c r="Y203" s="83"/>
      <c r="Z203" s="2987"/>
      <c r="AA203" s="83"/>
      <c r="AB203" s="81"/>
      <c r="AC203" s="512" t="s">
        <v>5122</v>
      </c>
      <c r="AD203" s="81"/>
      <c r="AE203" s="3000">
        <f>LN(IF(AE$196&lt;AE$99,IF(LOG(AE$195)&lt;-0.1,118.9,10^(2.05-0.27*LOG(AE$195)))*AE103^0.333,1))</f>
        <v>0</v>
      </c>
      <c r="AF203" s="81"/>
      <c r="AG203" s="3000">
        <f>LN(IF(AG$196&lt;AG$99,IF(LOG(AG$195)&lt;-0.1,118.9,10^(2.05-0.27*LOG(AG$195)))*AG103^0.333,1))</f>
        <v>0</v>
      </c>
      <c r="AH203" s="81"/>
      <c r="AI203" s="3000">
        <f>LN(IF(AI$196&lt;AI$99,IF(LOG(AI$195)&lt;-0.1,118.9,10^(2.05-0.27*LOG(AI$195)))*AI103^0.333,1))</f>
        <v>0</v>
      </c>
      <c r="AJ203" s="81"/>
      <c r="AK203" s="3000">
        <f>LN(IF(AK$196&lt;AK$99,IF(LOG(AK$195)&lt;-0.1,118.9,10^(2.05-0.27*LOG(AK$195)))*AK103^0.333,1))</f>
        <v>0</v>
      </c>
      <c r="AL203" s="81"/>
      <c r="AM203" s="3000">
        <f>LN(IF(AM$196&lt;AM$99,IF(LOG(AM$195)&lt;-0.1,118.9,10^(2.05-0.27*LOG(AM$195)))*AM103^0.333,1))</f>
        <v>0</v>
      </c>
      <c r="AN203" s="81"/>
      <c r="AO203" s="3000">
        <f>LN(IF(AO$196&lt;AO$99,IF(LOG(AO$195)&lt;-0.1,118.9,10^(2.05-0.27*LOG(AO$195)))*AO103^0.333,1))</f>
        <v>0</v>
      </c>
      <c r="AP203" s="81"/>
      <c r="AQ203" s="85"/>
      <c r="AR203" s="81"/>
      <c r="AS203" s="83"/>
      <c r="AT203" s="2977" t="s">
        <v>5114</v>
      </c>
      <c r="AU203" s="83"/>
      <c r="AV203" s="3032">
        <f>IF(AV$67&gt;0,-1/INDEX(LINEST(AV192:AV201,$CJ$286:$CJ$295),1),0)</f>
        <v>0</v>
      </c>
      <c r="AW203" s="269"/>
      <c r="AX203" s="3032">
        <f>IF(AX$67&gt;0,-1/INDEX(LINEST(AX192:AX201,$CJ$286:$CJ$295),1),0)</f>
        <v>0</v>
      </c>
      <c r="AY203" s="269"/>
      <c r="AZ203" s="3032">
        <f>IF(AZ$67&gt;0,-1/INDEX(LINEST(AZ192:AZ201,$CJ$286:$CJ$295),1),0)</f>
        <v>0</v>
      </c>
      <c r="BA203" s="269"/>
      <c r="BB203" s="3032">
        <f>IF(BB$67&gt;0,-1/INDEX(LINEST(BB192:BB201,$CJ$286:$CJ$295),1),0)</f>
        <v>0</v>
      </c>
      <c r="BC203" s="269"/>
      <c r="BD203" s="3032">
        <f>IF(BD$67&gt;0,-1/INDEX(LINEST(BD192:BD201,$CJ$286:$CJ$295),1),0)</f>
        <v>0</v>
      </c>
      <c r="BE203" s="269"/>
      <c r="BF203" s="3032">
        <f>IF(BF$67&gt;0,-1/INDEX(LINEST(BF192:BF201,$CJ$286:$CJ$295),1),0)</f>
        <v>0</v>
      </c>
      <c r="BG203" s="269"/>
      <c r="BH203" s="3032">
        <f>IF(BH$67&gt;0,-1/INDEX(LINEST(BH192:BH201,$CJ$286:$CJ$295),1),0)</f>
        <v>0</v>
      </c>
      <c r="BI203" s="269"/>
      <c r="BJ203" s="3032">
        <f>IF(BJ$67&gt;0,-1/INDEX(LINEST(BJ192:BJ201,$CJ$286:$CJ$295),1),0)</f>
        <v>0</v>
      </c>
      <c r="BK203" s="269"/>
      <c r="BL203" s="3032">
        <f>IF(BL$67&gt;0,-1/INDEX(LINEST(BL192:BL201,$CJ$286:$CJ$295),1),0)</f>
        <v>0</v>
      </c>
      <c r="BM203" s="269"/>
      <c r="BN203" s="3032">
        <f>IF(BN$67&gt;0,-1/INDEX(LINEST(BN192:BN201,$CJ$286:$CJ$295),1),0)</f>
        <v>0</v>
      </c>
      <c r="BO203" s="269"/>
      <c r="BP203" s="1835"/>
      <c r="BQ203" s="83"/>
      <c r="BR203" s="81"/>
      <c r="BS203" s="512" t="s">
        <v>5107</v>
      </c>
      <c r="BT203" s="81"/>
      <c r="BU203" s="2981">
        <f>IF(BU$83&gt;0,LN(IF(BU$193&gt;=5000,BU$99*BU$191*5000^BU$192,NBPuff_A_Night*BU$83/BU$98/(5000-BU$193+BU$194)^(1/NBPuff_B_Night))),0)</f>
        <v>0</v>
      </c>
      <c r="BV203" s="81"/>
      <c r="BW203" s="2981">
        <f>IF(BW$83&gt;0,LN(IF(BW$193&gt;=5000,BW$99*BW$191*5000^BW$192,NBPuff_A_Night*BW$83/BW$98/(5000-BW$193+BW$194)^(1/NBPuff_B_Night))),0)</f>
        <v>0</v>
      </c>
      <c r="BX203" s="81"/>
      <c r="BY203" s="2981">
        <f>IF(BY$83&gt;0,LN(IF(BY$193&gt;=5000,BY$99*BY$191*5000^BY$192,NBPuff_A_Night*BY$83/BY$98/(5000-BY$193+BY$194)^(1/NBPuff_B_Night))),0)</f>
        <v>0</v>
      </c>
      <c r="BZ203" s="81"/>
      <c r="CA203" s="2981">
        <f>IF(CA$83&gt;0,LN(IF(CA$193&gt;=5000,CA$99*CA$191*5000^CA$192,NBPuff_A_Night*CA$83/CA$98/(5000-CA$193+CA$194)^(1/NBPuff_B_Night))),0)</f>
        <v>0</v>
      </c>
      <c r="CB203" s="81"/>
      <c r="CC203" s="2981">
        <f>IF(CC$83&gt;0,LN(IF(CC$193&gt;=5000,CC$99*CC$191*5000^CC$192,NBPuff_A_Night*CC$83/CC$98/(5000-CC$193+CC$194)^(1/NBPuff_B_Night))),0)</f>
        <v>0</v>
      </c>
      <c r="CD203" s="81"/>
      <c r="CE203" s="23"/>
      <c r="CF203" s="81"/>
      <c r="CG203" s="83"/>
      <c r="CH203" s="23" t="s">
        <v>3530</v>
      </c>
      <c r="CI203" s="83"/>
      <c r="CJ203" s="1206">
        <f>IF(OR(CJ$139=0,CJ$151="",CJ$25=0),0,IF(CJ190&gt;Zone_1,IF(CJ17="Instantaneous",Dispersion_R,Dispersion_M)*(IF(Zone1_Input="",CJ190,Zone_1)^2-CJ190^2)+2*(IF(Zone1_Input="",CJ190,Zone_1)-CJ190)*CJ14,IF(CJ17="Instantaneous",Dispersion_R,Dispersion_M)*CJ$25^(2*IF(CJ17="Instantaneous",CJ$131,CJ$105))*CJ151^2*(IF(Zone1_Input="",0,EXP(CJ$137+CJ$139*Zone_1^2/(CJ$25^(2*IF(CJ17="Instantaneous",CJ$131,CJ$105))*CJ151^2)))-EXP(CJ$137+CJ$139*CJ190^2/(CJ$25^(2*IF(CJ17="Instantaneous",CJ$131,CJ$105))*CJ151^2)))/CJ$139))</f>
        <v>0</v>
      </c>
      <c r="CK203" s="83"/>
      <c r="CL203" s="23" t="s">
        <v>2196</v>
      </c>
      <c r="CM203" s="83"/>
      <c r="CN203" s="7"/>
    </row>
    <row r="204" spans="1:92" s="26" customFormat="1" ht="15" customHeight="1" thickBot="1" x14ac:dyDescent="0.3">
      <c r="A204" s="2"/>
      <c r="B204" s="512" t="s">
        <v>5108</v>
      </c>
      <c r="C204" s="83"/>
      <c r="D204" s="2982">
        <f>IF(D$83&gt;0,LN(IF(D$193&gt;=10000,D$99*D$191*10000^D$192,NBPuff_A_Night*D$83/D$98/(10000-D$193+D$194)^(1/NBPuff_B_Night))),0)</f>
        <v>0</v>
      </c>
      <c r="E204" s="83"/>
      <c r="F204" s="2982">
        <f>IF(F$83&gt;0,LN(IF(F$193&gt;=10000,F$99*F$191*10000^F$192,NBPuff_A_Night*F$83/F$98/(10000-F$193+F$194)^(1/NBPuff_B_Night))),0)</f>
        <v>0</v>
      </c>
      <c r="G204" s="83"/>
      <c r="H204" s="2982">
        <f>IF(H$83&gt;0,LN(IF(H$193&gt;=10000,H$99*H$191*10000^H$192,NBPuff_A_Night*H$83/H$98/(10000-H$193+H$194)^(1/NBPuff_B_Night))),0)</f>
        <v>0</v>
      </c>
      <c r="I204" s="83"/>
      <c r="J204" s="2982">
        <f>IF(J$83&gt;0,LN(IF(J$193&gt;=10000,J$99*J$191*10000^J$192,NBPuff_A_Night*J$83/J$98/(10000-J$193+J$194)^(1/NBPuff_B_Night))),0)</f>
        <v>0</v>
      </c>
      <c r="K204" s="83"/>
      <c r="L204" s="2982">
        <f>IF(L$83&gt;0,LN(IF(L$193&gt;=10000,L$99*L$191*10000^L$192,NBPuff_A_Night*L$83/L$98/(10000-L$193+L$194)^(1/NBPuff_B_Night))),0)</f>
        <v>0</v>
      </c>
      <c r="M204" s="83"/>
      <c r="N204" s="2982">
        <f>IF(N$83&gt;0,LN(IF(N$193&gt;=10000,N$99*N$191*10000^N$192,NBPuff_A_Night*N$83/N$98/(10000-N$193+N$194)^(1/NBPuff_B_Night))),0)</f>
        <v>0</v>
      </c>
      <c r="O204" s="83"/>
      <c r="P204" s="2982">
        <f>IF(P$83&gt;0,LN(IF(P$193&gt;=10000,P$99*P$191*10000^P$192,NBPuff_A_Night*P$83/P$98/(10000-P$193+P$194)^(1/NBPuff_B_Night))),0)</f>
        <v>0</v>
      </c>
      <c r="Q204" s="83"/>
      <c r="R204" s="2982">
        <f>IF(R$83&gt;0,LN(IF(R$193&gt;=10000,R$99*R$191*10000^R$192,NBPuff_A_Night*R$83/R$98/(10000-R$193+R$194)^(1/NBPuff_B_Night))),0)</f>
        <v>0</v>
      </c>
      <c r="S204" s="83"/>
      <c r="T204" s="2982">
        <f>IF(T$83&gt;0,LN(IF(T$193&gt;=10000,T$99*T$191*10000^T$192,NBPuff_A_Night*T$83/T$98/(10000-T$193+T$194)^(1/NBPuff_B_Night))),0)</f>
        <v>0</v>
      </c>
      <c r="U204" s="83"/>
      <c r="V204" s="2982">
        <f>IF(V$83&gt;0,LN(IF(V$193&gt;=10000,V$99*V$191*10000^V$192,NBPuff_A_Night*V$83/V$98/(10000-V$193+V$194)^(1/NBPuff_B_Night))),0)</f>
        <v>0</v>
      </c>
      <c r="W204" s="83"/>
      <c r="X204" s="2982">
        <f>IF(X$83&gt;0,LN(IF(X$193&gt;=10000,X$99*X$191*10000^X$192,NBPuff_A_Night*X$83/X$98/(10000-X$193+X$194)^(1/NBPuff_B_Night))),0)</f>
        <v>0</v>
      </c>
      <c r="Y204" s="83"/>
      <c r="Z204" s="2987"/>
      <c r="AA204" s="83"/>
      <c r="AB204" s="81"/>
      <c r="AC204" s="2977" t="s">
        <v>5054</v>
      </c>
      <c r="AD204" s="81"/>
      <c r="AE204" s="1230">
        <f>EXP(INDEX(LINEST($CJ$277:$CJ$283,AE197:AE203),2))*((Ambient_Temp+273)/(AE9+273))*Roughness_A</f>
        <v>5.4578754578754546E-3</v>
      </c>
      <c r="AF204" s="81"/>
      <c r="AG204" s="1230">
        <f>EXP(INDEX(LINEST($CJ$277:$CJ$283,AG197:AG203),2))*((Ambient_Temp+273)/(AG9+273))*Roughness_A</f>
        <v>5.4578754578754546E-3</v>
      </c>
      <c r="AH204" s="81"/>
      <c r="AI204" s="1230">
        <f>EXP(INDEX(LINEST($CJ$277:$CJ$283,AI197:AI203),2))*((Ambient_Temp+273)/(AI9+273))*Roughness_A</f>
        <v>5.4578754578754546E-3</v>
      </c>
      <c r="AJ204" s="81"/>
      <c r="AK204" s="1230">
        <f>EXP(INDEX(LINEST($CJ$277:$CJ$283,AK197:AK203),2))*((Ambient_Temp+273)/(AK9+273))*Roughness_A</f>
        <v>5.4578754578754546E-3</v>
      </c>
      <c r="AL204" s="81"/>
      <c r="AM204" s="1230">
        <f>EXP(INDEX(LINEST($CJ$277:$CJ$283,AM197:AM203),2))*((Ambient_Temp+273)/(AM9+273))*Roughness_A</f>
        <v>5.4578754578754546E-3</v>
      </c>
      <c r="AN204" s="81"/>
      <c r="AO204" s="1230">
        <f>EXP(INDEX(LINEST($CJ$277:$CJ$283,AO197:AO203),2))*((Ambient_Temp+273)/(AO9+273))*Roughness_A</f>
        <v>5.4578754578754546E-3</v>
      </c>
      <c r="AP204" s="81"/>
      <c r="AQ204" s="85"/>
      <c r="AR204" s="81"/>
      <c r="AS204" s="83"/>
      <c r="AT204" s="2976" t="s">
        <v>5125</v>
      </c>
      <c r="AU204" s="83"/>
      <c r="AV204" s="2105">
        <f>IF(AND(AV67&gt;0,AV$84&gt;0),AV202*(AV$67/(AV$82*AV$84))^AV203,0)</f>
        <v>0</v>
      </c>
      <c r="AW204" s="269"/>
      <c r="AX204" s="2105">
        <f>IF(AND(AX67&gt;0,AX$84&gt;0),AX202*(AX$67/(AX$82*AX$84))^AX203,0)</f>
        <v>0</v>
      </c>
      <c r="AY204" s="269"/>
      <c r="AZ204" s="2105">
        <f>IF(AND(AZ67&gt;0,AZ$84&gt;0),AZ202*(AZ$67/(AZ$82*AZ$84))^AZ203,0)</f>
        <v>0</v>
      </c>
      <c r="BA204" s="269"/>
      <c r="BB204" s="2105">
        <f>IF(AND(BB67&gt;0,BB$84&gt;0),BB202*(BB$67/(BB$82*BB$84))^BB203,0)</f>
        <v>0</v>
      </c>
      <c r="BC204" s="269"/>
      <c r="BD204" s="2105">
        <f>IF(AND(BD67&gt;0,BD$84&gt;0),BD202*(BD$67/(BD$82*BD$84))^BD203,0)</f>
        <v>0</v>
      </c>
      <c r="BE204" s="269"/>
      <c r="BF204" s="2105">
        <f>IF(AND(BF67&gt;0,BF$84&gt;0),BF202*(BF$67/(BF$82*BF$84))^BF203,0)</f>
        <v>0</v>
      </c>
      <c r="BG204" s="269"/>
      <c r="BH204" s="2105">
        <f>IF(AND(BH67&gt;0,BH$84&gt;0),BH202*(BH$67/(BH$82*BH$84))^BH203,0)</f>
        <v>0</v>
      </c>
      <c r="BI204" s="269"/>
      <c r="BJ204" s="2105">
        <f>IF(AND(BJ67&gt;0,BJ$84&gt;0),BJ202*(BJ$67/(BJ$82*BJ$84))^BJ203,0)</f>
        <v>0</v>
      </c>
      <c r="BK204" s="269"/>
      <c r="BL204" s="2105">
        <f>IF(AND(BL67&gt;0,BL$84&gt;0),BL202*(BL$67/(BL$82*BL$84))^BL203,0)</f>
        <v>0</v>
      </c>
      <c r="BM204" s="269"/>
      <c r="BN204" s="2105">
        <f>IF(AND(BN67&gt;0,BN$84&gt;0),BN202*(BN$67/(BN$82*BN$84))^BN203,0)</f>
        <v>0</v>
      </c>
      <c r="BO204" s="269"/>
      <c r="BP204" s="1835"/>
      <c r="BQ204" s="83"/>
      <c r="BR204" s="81"/>
      <c r="BS204" s="512" t="s">
        <v>5108</v>
      </c>
      <c r="BT204" s="81"/>
      <c r="BU204" s="2982">
        <f>IF(BU$83&gt;0,LN(IF(BU$193&gt;=10000,BU$99*BU$191*10000^BU$192,NBPuff_A_Night*BU$83/BU$98/(10000-BU$193+BU$194)^(1/NBPuff_B_Night))),0)</f>
        <v>0</v>
      </c>
      <c r="BV204" s="81"/>
      <c r="BW204" s="2982">
        <f>IF(BW$83&gt;0,LN(IF(BW$193&gt;=10000,BW$99*BW$191*10000^BW$192,NBPuff_A_Night*BW$83/BW$98/(10000-BW$193+BW$194)^(1/NBPuff_B_Night))),0)</f>
        <v>0</v>
      </c>
      <c r="BX204" s="81"/>
      <c r="BY204" s="2982">
        <f>IF(BY$83&gt;0,LN(IF(BY$193&gt;=10000,BY$99*BY$191*10000^BY$192,NBPuff_A_Night*BY$83/BY$98/(10000-BY$193+BY$194)^(1/NBPuff_B_Night))),0)</f>
        <v>0</v>
      </c>
      <c r="BZ204" s="81"/>
      <c r="CA204" s="2982">
        <f>IF(CA$83&gt;0,LN(IF(CA$193&gt;=10000,CA$99*CA$191*10000^CA$192,NBPuff_A_Night*CA$83/CA$98/(10000-CA$193+CA$194)^(1/NBPuff_B_Night))),0)</f>
        <v>0</v>
      </c>
      <c r="CB204" s="81"/>
      <c r="CC204" s="2982">
        <f>IF(CC$83&gt;0,LN(IF(CC$193&gt;=10000,CC$99*CC$191*10000^CC$192,NBPuff_A_Night*CC$83/CC$98/(10000-CC$193+CC$194)^(1/NBPuff_B_Night))),0)</f>
        <v>0</v>
      </c>
      <c r="CD204" s="81"/>
      <c r="CE204" s="23"/>
      <c r="CF204" s="81"/>
      <c r="CG204" s="83"/>
      <c r="CH204" s="23" t="s">
        <v>3534</v>
      </c>
      <c r="CI204" s="83"/>
      <c r="CJ204" s="1206">
        <f>IF(CJ17="Instantaneous",Dispersion_R,Dispersion_M)*(MAX(CJ201,Zone_1)^2-Zone_1^2)+2*(MAX(CJ201,Zone_1)-Zone_1)*CJ14</f>
        <v>3.0000000000000005E-3</v>
      </c>
      <c r="CK204" s="83"/>
      <c r="CL204" s="23" t="s">
        <v>2196</v>
      </c>
      <c r="CM204" s="83"/>
      <c r="CN204" s="7"/>
    </row>
    <row r="205" spans="1:92" s="26" customFormat="1" ht="15" customHeight="1" thickBot="1" x14ac:dyDescent="0.3">
      <c r="A205" s="2"/>
      <c r="B205" s="2975" t="s">
        <v>5113</v>
      </c>
      <c r="C205" s="83"/>
      <c r="D205" s="3005">
        <f>IF(D$83&gt;0,(EXP(INDEX(LINEST(D195:D204,$CJ$286:$CJ$295),2))*D$98/D$83)^D206,0)</f>
        <v>0</v>
      </c>
      <c r="E205" s="83"/>
      <c r="F205" s="3005">
        <f>IF(F$83&gt;0,(EXP(INDEX(LINEST(F195:F204,$CJ$286:$CJ$295),2))*F$98/F$83)^F206,0)</f>
        <v>0</v>
      </c>
      <c r="G205" s="83"/>
      <c r="H205" s="3005">
        <f>IF(H$83&gt;0,(EXP(INDEX(LINEST(H195:H204,$CJ$286:$CJ$295),2))*H$98/H$83)^H206,0)</f>
        <v>0</v>
      </c>
      <c r="I205" s="83"/>
      <c r="J205" s="3005">
        <f>IF(J$83&gt;0,(EXP(INDEX(LINEST(J195:J204,$CJ$286:$CJ$295),2))*J$98/J$83)^J206,0)</f>
        <v>0</v>
      </c>
      <c r="K205" s="83"/>
      <c r="L205" s="3005">
        <f>IF(L$83&gt;0,(EXP(INDEX(LINEST(L195:L204,$CJ$286:$CJ$295),2))*L$98/L$83)^L206,0)</f>
        <v>0</v>
      </c>
      <c r="M205" s="83"/>
      <c r="N205" s="3005">
        <f>IF(N$83&gt;0,(EXP(INDEX(LINEST(N195:N204,$CJ$286:$CJ$295),2))*N$98/N$83)^N206,0)</f>
        <v>0</v>
      </c>
      <c r="O205" s="83"/>
      <c r="P205" s="3005">
        <f>IF(P$83&gt;0,(EXP(INDEX(LINEST(P195:P204,$CJ$286:$CJ$295),2))*P$98/P$83)^P206,0)</f>
        <v>0</v>
      </c>
      <c r="Q205" s="83"/>
      <c r="R205" s="3005">
        <f>IF(R$83&gt;0,(EXP(INDEX(LINEST(R195:R204,$CJ$286:$CJ$295),2))*R$98/R$83)^R206,0)</f>
        <v>0</v>
      </c>
      <c r="S205" s="83"/>
      <c r="T205" s="3005">
        <f>IF(T$83&gt;0,(EXP(INDEX(LINEST(T195:T204,$CJ$286:$CJ$295),2))*T$98/T$83)^T206,0)</f>
        <v>0</v>
      </c>
      <c r="U205" s="83"/>
      <c r="V205" s="3005">
        <f>IF(V$83&gt;0,(EXP(INDEX(LINEST(V195:V204,$CJ$286:$CJ$295),2))*V$98/V$83)^V206,0)</f>
        <v>0</v>
      </c>
      <c r="W205" s="83"/>
      <c r="X205" s="3005">
        <f>IF(X$83&gt;0,(EXP(INDEX(LINEST(X195:X204,$CJ$286:$CJ$295),2))*X$98/X$83)^X206,0)</f>
        <v>0</v>
      </c>
      <c r="Y205" s="83"/>
      <c r="Z205" s="2987"/>
      <c r="AA205" s="83"/>
      <c r="AB205" s="81"/>
      <c r="AC205" s="2977" t="s">
        <v>5055</v>
      </c>
      <c r="AD205" s="81"/>
      <c r="AE205" s="1230">
        <f>INDEX(LINEST($CJ$277:$CJ$283,AE197:AE203),1)+Roughness_B</f>
        <v>0</v>
      </c>
      <c r="AF205" s="81"/>
      <c r="AG205" s="1230">
        <f>INDEX(LINEST($CJ$277:$CJ$283,AG197:AG203),1)+Roughness_B</f>
        <v>0</v>
      </c>
      <c r="AH205" s="81"/>
      <c r="AI205" s="1230">
        <f>INDEX(LINEST($CJ$277:$CJ$283,AI197:AI203),1)+Roughness_B</f>
        <v>0</v>
      </c>
      <c r="AJ205" s="81"/>
      <c r="AK205" s="1230">
        <f>INDEX(LINEST($CJ$277:$CJ$283,AK197:AK203),1)+Roughness_B</f>
        <v>0</v>
      </c>
      <c r="AL205" s="81"/>
      <c r="AM205" s="1230">
        <f>INDEX(LINEST($CJ$277:$CJ$283,AM197:AM203),1)+Roughness_B</f>
        <v>0</v>
      </c>
      <c r="AN205" s="81"/>
      <c r="AO205" s="1230">
        <f>INDEX(LINEST($CJ$277:$CJ$283,AO197:AO203),1)+Roughness_B</f>
        <v>0</v>
      </c>
      <c r="AP205" s="81"/>
      <c r="AQ205" s="85"/>
      <c r="AR205" s="81"/>
      <c r="AS205" s="83"/>
      <c r="AT205" s="85" t="s">
        <v>5080</v>
      </c>
      <c r="AU205" s="83"/>
      <c r="AV205" s="2568" t="str">
        <f>IF(AV$67&gt;AV$73,IF(AV$73&gt;AV$67*(AV202^(1/AV203)/AV176^(1/AV177))*Wind_Night*(1*Wind_Night*AV$67/AV$73)^(1/AV177-1/AV203),"Instantaneous","Continuous"),"Continuous")</f>
        <v>Continuous</v>
      </c>
      <c r="AW205" s="269"/>
      <c r="AX205" s="2568" t="str">
        <f>IF(AX$67&gt;AX$73,IF(AX$73&gt;AX$67*(AX202^(1/AX203)/AX176^(1/AX177))*Wind_Night*(1*Wind_Night*AX$67/AX$73)^(1/AX177-1/AX203),"Instantaneous","Continuous"),"Continuous")</f>
        <v>Continuous</v>
      </c>
      <c r="AY205" s="269"/>
      <c r="AZ205" s="2568" t="str">
        <f>IF(AZ$67&gt;AZ$73,IF(AZ$73&gt;AZ$67*(AZ202^(1/AZ203)/AZ176^(1/AZ177))*Wind_Night*(1*Wind_Night*AZ$67/AZ$73)^(1/AZ177-1/AZ203),"Instantaneous","Continuous"),"Continuous")</f>
        <v>Continuous</v>
      </c>
      <c r="BA205" s="269"/>
      <c r="BB205" s="2568" t="str">
        <f>IF(BB$67&gt;BB$73,IF(BB$73&gt;BB$67*(BB202^(1/BB203)/BB176^(1/BB177))*Wind_Night*(1*Wind_Night*BB$67/BB$73)^(1/BB177-1/BB203),"Instantaneous","Continuous"),"Continuous")</f>
        <v>Continuous</v>
      </c>
      <c r="BC205" s="269"/>
      <c r="BD205" s="2568" t="str">
        <f>IF(BD$67&gt;BD$73,IF(BD$73&gt;BD$67*(BD202^(1/BD203)/BD176^(1/BD177))*Wind_Night*(1*Wind_Night*BD$67/BD$73)^(1/BD177-1/BD203),"Instantaneous","Continuous"),"Continuous")</f>
        <v>Continuous</v>
      </c>
      <c r="BE205" s="269"/>
      <c r="BF205" s="2568" t="str">
        <f>IF(BF$67&gt;BF$73,IF(BF$73&gt;BF$67*(BF202^(1/BF203)/BF176^(1/BF177))*Wind_Night*(1*Wind_Night*BF$67/BF$73)^(1/BF177-1/BF203),"Instantaneous","Continuous"),"Continuous")</f>
        <v>Continuous</v>
      </c>
      <c r="BG205" s="269"/>
      <c r="BH205" s="2568" t="str">
        <f>IF(BH$67&gt;BH$73,IF(BH$73&gt;BH$67*(BH202^(1/BH203)/BH176^(1/BH177))*Wind_Night*(1*Wind_Night*BH$67/BH$73)^(1/BH177-1/BH203),"Instantaneous","Continuous"),"Continuous")</f>
        <v>Continuous</v>
      </c>
      <c r="BI205" s="269"/>
      <c r="BJ205" s="2568" t="str">
        <f>IF(BJ$67&gt;BJ$73,IF(BJ$73&gt;BJ$67*(BJ202^(1/BJ203)/BJ176^(1/BJ177))*Wind_Night*(1*Wind_Night*BJ$67/BJ$73)^(1/BJ177-1/BJ203),"Instantaneous","Continuous"),"Continuous")</f>
        <v>Continuous</v>
      </c>
      <c r="BK205" s="269"/>
      <c r="BL205" s="2568" t="str">
        <f>IF(BL$67&gt;BL$73,IF(BL$73&gt;BL$67*(BL202^(1/BL203)/BL176^(1/BL177))*Wind_Night*(1*Wind_Night*BL$67/BL$73)^(1/BL177-1/BL203),"Instantaneous","Continuous"),"Continuous")</f>
        <v>Continuous</v>
      </c>
      <c r="BM205" s="269"/>
      <c r="BN205" s="2568" t="str">
        <f>IF(BN$67&gt;BN$73,IF(BN$73&gt;BN$67*(BN202^(1/BN203)/BN176^(1/BN177))*Wind_Night*(1*Wind_Night*BN$67/BN$73)^(1/BN177-1/BN203),"Instantaneous","Continuous"),"Continuous")</f>
        <v>Continuous</v>
      </c>
      <c r="BO205" s="269"/>
      <c r="BP205" s="1835"/>
      <c r="BQ205" s="83"/>
      <c r="BR205" s="81"/>
      <c r="BS205" s="2975" t="s">
        <v>5113</v>
      </c>
      <c r="BT205" s="81"/>
      <c r="BU205" s="3005">
        <f>IF(BU$83&gt;0,(EXP(INDEX(LINEST(BU195:BU204,$CJ$286:$CJ$295),2))*BU$98/BU$83)^BU206,0)</f>
        <v>0</v>
      </c>
      <c r="BV205" s="81"/>
      <c r="BW205" s="3005">
        <f>IF(BW$83&gt;0,(EXP(INDEX(LINEST(BW195:BW204,$CJ$286:$CJ$295),2))*BW$98/BW$83)^BW206,0)</f>
        <v>0</v>
      </c>
      <c r="BX205" s="81"/>
      <c r="BY205" s="3005">
        <f>IF(BY$83&gt;0,(EXP(INDEX(LINEST(BY195:BY204,$CJ$286:$CJ$295),2))*BY$98/BY$83)^BY206,0)</f>
        <v>0</v>
      </c>
      <c r="BZ205" s="81"/>
      <c r="CA205" s="3005">
        <f>IF(CA$83&gt;0,(EXP(INDEX(LINEST(CA195:CA204,$CJ$286:$CJ$295),2))*CA$98/CA$83)^CA206,0)</f>
        <v>0</v>
      </c>
      <c r="CB205" s="81"/>
      <c r="CC205" s="3005">
        <f>IF(CC$83&gt;0,(EXP(INDEX(LINEST(CC195:CC204,$CJ$286:$CJ$295),2))*CC$98/CC$83)^CC206,0)</f>
        <v>0</v>
      </c>
      <c r="CD205" s="81"/>
      <c r="CE205" s="23"/>
      <c r="CF205" s="81"/>
      <c r="CG205" s="83"/>
      <c r="CH205" s="23" t="s">
        <v>3535</v>
      </c>
      <c r="CI205" s="83"/>
      <c r="CJ205" s="1206">
        <f>IF(OR(CJ$139=0,CJ$151="",CJ$25=0),0,IF(Zone1_Input="",0,IF(CJ17="Instantaneous",Dispersion_R,Dispersion_M)*CJ$25^(2*IF(CJ17="Instantaneous",CJ$131,CJ$105))*CJ151^2*(0-EXP(CJ$137+CJ$139*MAX(CJ190,Zone_1)^2/(CJ$25^(2*IF(CJ17="Instantaneous",CJ$131,CJ$105))*CJ151^2)))/CJ$139))</f>
        <v>0</v>
      </c>
      <c r="CK205" s="83"/>
      <c r="CL205" s="23" t="s">
        <v>2196</v>
      </c>
      <c r="CM205" s="83"/>
      <c r="CN205" s="7"/>
    </row>
    <row r="206" spans="1:92" s="26" customFormat="1" ht="15" customHeight="1" thickBot="1" x14ac:dyDescent="0.3">
      <c r="A206" s="2"/>
      <c r="B206" s="2977" t="s">
        <v>5114</v>
      </c>
      <c r="C206" s="83"/>
      <c r="D206" s="2089">
        <f>IF(D$83&gt;0,-1/INDEX(LINEST(D195:D204,$CJ$286:$CJ$295),1),0)</f>
        <v>0</v>
      </c>
      <c r="E206" s="83"/>
      <c r="F206" s="2089">
        <f>IF(F$83&gt;0,-1/INDEX(LINEST(F195:F204,$CJ$286:$CJ$295),1),0)</f>
        <v>0</v>
      </c>
      <c r="G206" s="83"/>
      <c r="H206" s="2089">
        <f>IF(H$83&gt;0,-1/INDEX(LINEST(H195:H204,$CJ$286:$CJ$295),1),0)</f>
        <v>0</v>
      </c>
      <c r="I206" s="83"/>
      <c r="J206" s="2089">
        <f>IF(J$83&gt;0,-1/INDEX(LINEST(J195:J204,$CJ$286:$CJ$295),1),0)</f>
        <v>0</v>
      </c>
      <c r="K206" s="83"/>
      <c r="L206" s="2089">
        <f>IF(L$83&gt;0,-1/INDEX(LINEST(L195:L204,$CJ$286:$CJ$295),1),0)</f>
        <v>0</v>
      </c>
      <c r="M206" s="83"/>
      <c r="N206" s="2089">
        <f>IF(N$83&gt;0,-1/INDEX(LINEST(N195:N204,$CJ$286:$CJ$295),1),0)</f>
        <v>0</v>
      </c>
      <c r="O206" s="83"/>
      <c r="P206" s="2089">
        <f>IF(P$83&gt;0,-1/INDEX(LINEST(P195:P204,$CJ$286:$CJ$295),1),0)</f>
        <v>0</v>
      </c>
      <c r="Q206" s="83"/>
      <c r="R206" s="2089">
        <f>IF(R$83&gt;0,-1/INDEX(LINEST(R195:R204,$CJ$286:$CJ$295),1),0)</f>
        <v>0</v>
      </c>
      <c r="S206" s="83"/>
      <c r="T206" s="2089">
        <f>IF(T$83&gt;0,-1/INDEX(LINEST(T195:T204,$CJ$286:$CJ$295),1),0)</f>
        <v>0</v>
      </c>
      <c r="U206" s="83"/>
      <c r="V206" s="2089">
        <f>IF(V$83&gt;0,-1/INDEX(LINEST(V195:V204,$CJ$286:$CJ$295),1),0)</f>
        <v>0</v>
      </c>
      <c r="W206" s="83"/>
      <c r="X206" s="2089">
        <f>IF(X$83&gt;0,-1/INDEX(LINEST(X195:X204,$CJ$286:$CJ$295),1),0)</f>
        <v>0</v>
      </c>
      <c r="Y206" s="83"/>
      <c r="Z206" s="2987"/>
      <c r="AA206" s="83"/>
      <c r="AB206" s="81"/>
      <c r="AC206" s="1691" t="s">
        <v>5069</v>
      </c>
      <c r="AD206" s="81"/>
      <c r="AE206" s="2401">
        <f>IF(AE196&lt;AE$99,(AE204/(AE196/AE$99))^(-1/AE205),0)</f>
        <v>0</v>
      </c>
      <c r="AF206" s="81"/>
      <c r="AG206" s="2401">
        <f>IF(AG196&lt;AG$99,(AG204/(AG196/AG$99))^(-1/AG205),0)</f>
        <v>0</v>
      </c>
      <c r="AH206" s="81"/>
      <c r="AI206" s="2401">
        <f>IF(AI196&lt;AI$99,(AI204/(AI196/AI$99))^(-1/AI205),0)</f>
        <v>0</v>
      </c>
      <c r="AJ206" s="81"/>
      <c r="AK206" s="2401">
        <f>IF(AK196&lt;AK$99,(AK204/(AK196/AK$99))^(-1/AK205),0)</f>
        <v>0</v>
      </c>
      <c r="AL206" s="81"/>
      <c r="AM206" s="2401">
        <f>IF(AM196&lt;AM$99,(AM204/(AM196/AM$99))^(-1/AM205),0)</f>
        <v>0</v>
      </c>
      <c r="AN206" s="81"/>
      <c r="AO206" s="2401">
        <f>IF(AO196&lt;AO$99,(AO204/(AO196/AO$99))^(-1/AO205),0)</f>
        <v>0</v>
      </c>
      <c r="AP206" s="81"/>
      <c r="AQ206" s="85"/>
      <c r="AR206" s="81"/>
      <c r="AS206" s="83"/>
      <c r="AT206" s="494" t="s">
        <v>5193</v>
      </c>
      <c r="AU206" s="83"/>
      <c r="AV206" s="3144">
        <f>IF(AV252="",IF(AV246="",0.001,AV246/1000),AV252/1000000)</f>
        <v>1E-3</v>
      </c>
      <c r="AW206" s="269"/>
      <c r="AX206" s="3144">
        <f>IF(AX252="",IF(AX246="",0.001,AX246/1000),AX252/1000000)</f>
        <v>1E-3</v>
      </c>
      <c r="AY206" s="269"/>
      <c r="AZ206" s="3144">
        <f>IF(AZ252="",IF(AZ246="",0.001,AZ246/1000),AZ252/1000000)</f>
        <v>1E-3</v>
      </c>
      <c r="BA206" s="269"/>
      <c r="BB206" s="3144">
        <f>IF(BB252="",IF(BB246="",0.001,BB246/1000),BB252/1000000)</f>
        <v>1E-3</v>
      </c>
      <c r="BC206" s="269"/>
      <c r="BD206" s="3144">
        <f>IF(BD252="",IF(BD246="",0.001,BD246/1000),BD252/1000000)</f>
        <v>1E-3</v>
      </c>
      <c r="BE206" s="269"/>
      <c r="BF206" s="3144">
        <f>IF(BF252="",IF(BF246="",0.001,BF246/1000),BF252/1000000)</f>
        <v>1E-3</v>
      </c>
      <c r="BG206" s="269"/>
      <c r="BH206" s="3144">
        <f>IF(BH252="",IF(BH246="",0.001,BH246/1000),BH252/1000000)</f>
        <v>1E-3</v>
      </c>
      <c r="BI206" s="269"/>
      <c r="BJ206" s="3144">
        <f>IF(BJ252="",IF(BJ246="",0.001,BJ246/1000),BJ252/1000000)</f>
        <v>1E-3</v>
      </c>
      <c r="BK206" s="269"/>
      <c r="BL206" s="3144">
        <f>IF(BL252="",IF(BL246="",0.001,BL246/1000),BL252/1000000)</f>
        <v>1E-3</v>
      </c>
      <c r="BM206" s="269"/>
      <c r="BN206" s="3144">
        <f>IF(BN252="",IF(BN246="",0.001,BN246/1000),BN252/1000000)</f>
        <v>1E-3</v>
      </c>
      <c r="BO206" s="269"/>
      <c r="BP206" s="1835"/>
      <c r="BQ206" s="83"/>
      <c r="BR206" s="81"/>
      <c r="BS206" s="2977" t="s">
        <v>5114</v>
      </c>
      <c r="BT206" s="81"/>
      <c r="BU206" s="3032">
        <f>IF(BU$83&gt;0,-1/INDEX(LINEST(BU195:BU204,$CJ$286:$CJ$295),1),0)</f>
        <v>0</v>
      </c>
      <c r="BV206" s="81"/>
      <c r="BW206" s="3032">
        <f>IF(BW$83&gt;0,-1/INDEX(LINEST(BW195:BW204,$CJ$286:$CJ$295),1),0)</f>
        <v>0</v>
      </c>
      <c r="BX206" s="81"/>
      <c r="BY206" s="3032">
        <f>IF(BY$83&gt;0,-1/INDEX(LINEST(BY195:BY204,$CJ$286:$CJ$295),1),0)</f>
        <v>0</v>
      </c>
      <c r="BZ206" s="81"/>
      <c r="CA206" s="3032">
        <f>IF(CA$83&gt;0,-1/INDEX(LINEST(CA195:CA204,$CJ$286:$CJ$295),1),0)</f>
        <v>0</v>
      </c>
      <c r="CB206" s="81"/>
      <c r="CC206" s="3032">
        <f>IF(CC$83&gt;0,-1/INDEX(LINEST(CC195:CC204,$CJ$286:$CJ$295),1),0)</f>
        <v>0</v>
      </c>
      <c r="CD206" s="81"/>
      <c r="CE206" s="23"/>
      <c r="CF206" s="81"/>
      <c r="CG206" s="83"/>
      <c r="CH206" s="23" t="s">
        <v>3531</v>
      </c>
      <c r="CI206" s="83"/>
      <c r="CJ206" s="1206">
        <f>IF(AND(CJ149&lt;&gt;"",CJ25&gt;0),IF(CJ17="Instantaneous",CJ149*(ConcFract_Indoor*CJ140/CJ25)^CJ$131,CJ149*(ConcFract_Indoor*CJ140/CJ25)^CJ$105),0.1)</f>
        <v>0.1</v>
      </c>
      <c r="CK206" s="83"/>
      <c r="CL206" s="23" t="s">
        <v>1068</v>
      </c>
      <c r="CM206" s="83"/>
      <c r="CN206" s="7"/>
    </row>
    <row r="207" spans="1:92" s="26" customFormat="1" ht="15" customHeight="1" thickBot="1" x14ac:dyDescent="0.3">
      <c r="A207" s="2"/>
      <c r="B207" s="2976" t="s">
        <v>5125</v>
      </c>
      <c r="C207" s="83"/>
      <c r="D207" s="2105">
        <f>IF(AND(D83&gt;0,D$100&gt;0),D205*(D$83/(D$98*D$100))^D206,0)</f>
        <v>0</v>
      </c>
      <c r="E207" s="83"/>
      <c r="F207" s="2105">
        <f>IF(AND(F83&gt;0,F$100&gt;0),F205*(F$83/(F$98*F$100))^F206,0)</f>
        <v>0</v>
      </c>
      <c r="G207" s="83"/>
      <c r="H207" s="2105">
        <f>IF(AND(H83&gt;0,H$100&gt;0),H205*(H$83/(H$98*H$100))^H206,0)</f>
        <v>0</v>
      </c>
      <c r="I207" s="83"/>
      <c r="J207" s="2105">
        <f>IF(AND(J83&gt;0,J$100&gt;0),J205*(J$83/(J$98*J$100))^J206,0)</f>
        <v>0</v>
      </c>
      <c r="K207" s="83"/>
      <c r="L207" s="2105">
        <f>IF(AND(L83&gt;0,L$100&gt;0),L205*(L$83/(L$98*L$100))^L206,0)</f>
        <v>0</v>
      </c>
      <c r="M207" s="83"/>
      <c r="N207" s="2105">
        <f>IF(AND(N83&gt;0,N$100&gt;0),N205*(N$83/(N$98*N$100))^N206,0)</f>
        <v>0</v>
      </c>
      <c r="O207" s="83"/>
      <c r="P207" s="2105">
        <f>IF(AND(P83&gt;0,P$100&gt;0),P205*(P$83/(P$98*P$100))^P206,0)</f>
        <v>0</v>
      </c>
      <c r="Q207" s="83"/>
      <c r="R207" s="2105">
        <f>IF(AND(R83&gt;0,R$100&gt;0),R205*(R$83/(R$98*R$100))^R206,0)</f>
        <v>0</v>
      </c>
      <c r="S207" s="83"/>
      <c r="T207" s="2105">
        <f>IF(AND(T83&gt;0,T$100&gt;0),T205*(T$83/(T$98*T$100))^T206,0)</f>
        <v>0</v>
      </c>
      <c r="U207" s="83"/>
      <c r="V207" s="2105">
        <f>IF(AND(V83&gt;0,V$100&gt;0),V205*(V$83/(V$98*V$100))^V206,0)</f>
        <v>0</v>
      </c>
      <c r="W207" s="83"/>
      <c r="X207" s="2105">
        <f>IF(AND(X83&gt;0,X$100&gt;0),X205*(X$83/(X$98*X$100))^X206,0)</f>
        <v>0</v>
      </c>
      <c r="Y207" s="83"/>
      <c r="Z207" s="2987"/>
      <c r="AA207" s="83"/>
      <c r="AB207" s="81"/>
      <c r="AC207" s="1691" t="s">
        <v>5073</v>
      </c>
      <c r="AD207" s="81"/>
      <c r="AE207" s="2985">
        <f>IF(AE206&gt;0,NBPuff_A_Night*AE$83/(AE$98*AE196),0)^NBPuff_B_Night</f>
        <v>0</v>
      </c>
      <c r="AF207" s="81"/>
      <c r="AG207" s="2985">
        <f>IF(AG206&gt;0,NBPuff_A_Night*AG$83/(AG$98*AG196),0)^NBPuff_B_Night</f>
        <v>0</v>
      </c>
      <c r="AH207" s="81"/>
      <c r="AI207" s="2985">
        <f>IF(AI206&gt;0,NBPuff_A_Night*AI$83/(AI$98*AI196),0)^NBPuff_B_Night</f>
        <v>0</v>
      </c>
      <c r="AJ207" s="81"/>
      <c r="AK207" s="2985">
        <f>IF(AK206&gt;0,NBPuff_A_Night*AK$83/(AK$98*AK196),0)^NBPuff_B_Night</f>
        <v>0</v>
      </c>
      <c r="AL207" s="81"/>
      <c r="AM207" s="2985">
        <f>IF(AM206&gt;0,NBPuff_A_Night*AM$83/(AM$98*AM196),0)^NBPuff_B_Night</f>
        <v>0</v>
      </c>
      <c r="AN207" s="81"/>
      <c r="AO207" s="2985">
        <f>IF(AO206&gt;0,NBPuff_A_Night*AO$83/(AO$98*AO196),0)^NBPuff_B_Night</f>
        <v>0</v>
      </c>
      <c r="AP207" s="81"/>
      <c r="AQ207" s="85"/>
      <c r="AR207" s="81"/>
      <c r="AS207" s="83"/>
      <c r="AT207" s="92" t="s">
        <v>2208</v>
      </c>
      <c r="AU207" s="83"/>
      <c r="AV207" s="3041">
        <f>IF(OR(AV67=0,AV73=0,AV82=0),1,IF(AV278="Outdoors",IF(AV67/AV73&gt;Max_Duration,1,IF(AV153="Instantaneous",MAX(3.29*(AV67/(AV82*AV206))^0.37/(Wind*3600),(AV67/Max_Duration)/AV73),(AV67/Max_Duration)/AV73)),1))</f>
        <v>1</v>
      </c>
      <c r="AW207" s="269"/>
      <c r="AX207" s="3041">
        <f>IF(OR(AX67=0,AX73=0,AX82=0),1,IF(AX278="Outdoors",IF(AX67/AX73&gt;Max_Duration,1,IF(AX153="Instantaneous",MAX(3.29*(AX67/(AX82*AX206))^0.37/(Wind*3600),(AX67/Max_Duration)/AX73),(AX67/Max_Duration)/AX73)),1))</f>
        <v>1</v>
      </c>
      <c r="AY207" s="269"/>
      <c r="AZ207" s="3041">
        <f>IF(OR(AZ67=0,AZ73=0,AZ82=0),1,IF(AZ278="Outdoors",IF(AZ67/AZ73&gt;Max_Duration,1,IF(AZ153="Instantaneous",MAX(3.29*(AZ67/(AZ82*AZ206))^0.37/(Wind*3600),(AZ67/Max_Duration)/AZ73),(AZ67/Max_Duration)/AZ73)),1))</f>
        <v>1</v>
      </c>
      <c r="BA207" s="269"/>
      <c r="BB207" s="3041">
        <f>IF(OR(BB67=0,BB73=0,BB82=0),1,IF(BB278="Outdoors",IF(BB67/BB73&gt;Max_Duration,1,IF(BB153="Instantaneous",MAX(3.29*(BB67/(BB82*BB206))^0.37/(Wind*3600),(BB67/Max_Duration)/BB73),(BB67/Max_Duration)/BB73)),1))</f>
        <v>1</v>
      </c>
      <c r="BC207" s="269"/>
      <c r="BD207" s="3041">
        <f>IF(OR(BD67=0,BD73=0,BD82=0),1,IF(BD278="Outdoors",IF(BD67/BD73&gt;Max_Duration,1,IF(BD153="Instantaneous",MAX(3.29*(BD67/(BD82*BD206))^0.37/(Wind*3600),(BD67/Max_Duration)/BD73),(BD67/Max_Duration)/BD73)),1))</f>
        <v>1</v>
      </c>
      <c r="BE207" s="269"/>
      <c r="BF207" s="3041">
        <f>IF(OR(BF67=0,BF73=0,BF82=0),1,IF(BF278="Outdoors",IF(BF67/BF73&gt;Max_Duration,1,IF(BF153="Instantaneous",MAX(3.29*(BF67/(BF82*BF206))^0.37/(Wind*3600),(BF67/Max_Duration)/BF73),(BF67/Max_Duration)/BF73)),1))</f>
        <v>1</v>
      </c>
      <c r="BG207" s="269"/>
      <c r="BH207" s="3041">
        <f>IF(OR(BH67=0,BH73=0,BH82=0),1,IF(BH278="Outdoors",IF(BH67/BH73&gt;Max_Duration,1,IF(BH153="Instantaneous",MAX(3.29*(BH67/(BH82*BH206))^0.37/(Wind*3600),(BH67/Max_Duration)/BH73),(BH67/Max_Duration)/BH73)),1))</f>
        <v>1</v>
      </c>
      <c r="BI207" s="269"/>
      <c r="BJ207" s="3041">
        <f>IF(OR(BJ67=0,BJ73=0,BJ82=0),1,IF(BJ278="Outdoors",IF(BJ67/BJ73&gt;Max_Duration,1,IF(BJ153="Instantaneous",MAX(3.29*(BJ67/(BJ82*BJ206))^0.37/(Wind*3600),(BJ67/Max_Duration)/BJ73),(BJ67/Max_Duration)/BJ73)),1))</f>
        <v>1</v>
      </c>
      <c r="BK207" s="269"/>
      <c r="BL207" s="3041">
        <f>IF(OR(BL67=0,BL73=0,BL82=0),1,IF(BL278="Outdoors",IF(BL67/BL73&gt;Max_Duration,1,IF(BL153="Instantaneous",MAX(3.29*(BL67/(BL82*BL206))^0.37/(Wind*3600),(BL67/Max_Duration)/BL73),(BL67/Max_Duration)/BL73)),1))</f>
        <v>1</v>
      </c>
      <c r="BM207" s="269"/>
      <c r="BN207" s="3041">
        <f>IF(OR(BN67=0,BN73=0,BN82=0),1,IF(BN278="Outdoors",IF(BN67/BN73&gt;Max_Duration,1,IF(BN153="Instantaneous",MAX(3.29*(BN67/(BN82*BN206))^0.37/(Wind*3600),(BN67/Max_Duration)/BN73),(BN67/Max_Duration)/BN73)),1))</f>
        <v>1</v>
      </c>
      <c r="BO207" s="269"/>
      <c r="BP207" s="1835"/>
      <c r="BQ207" s="83"/>
      <c r="BR207" s="81"/>
      <c r="BS207" s="2976" t="s">
        <v>5125</v>
      </c>
      <c r="BT207" s="81"/>
      <c r="BU207" s="2105" t="e">
        <f>IF(BU$100&gt;0,BU205*(BU$83/(BU$98*BU$100))^BU206,0)</f>
        <v>#DIV/0!</v>
      </c>
      <c r="BV207" s="81"/>
      <c r="BW207" s="2105" t="e">
        <f>IF(BW$100&gt;0,BW205*(BW$83/(BW$98*BW$100))^BW206,0)</f>
        <v>#DIV/0!</v>
      </c>
      <c r="BX207" s="81"/>
      <c r="BY207" s="2105" t="e">
        <f>IF(BY$100&gt;0,BY205*(BY$83/(BY$98*BY$100))^BY206,0)</f>
        <v>#DIV/0!</v>
      </c>
      <c r="BZ207" s="81"/>
      <c r="CA207" s="2105" t="e">
        <f>IF(CA$100&gt;0,CA205*(CA$83/(CA$98*CA$100))^CA206,0)</f>
        <v>#DIV/0!</v>
      </c>
      <c r="CB207" s="81"/>
      <c r="CC207" s="2105" t="e">
        <f>IF(CC$100&gt;0,CC205*(CC$83/(CC$98*CC$100))^CC206,0)</f>
        <v>#DIV/0!</v>
      </c>
      <c r="CD207" s="81"/>
      <c r="CE207" s="23"/>
      <c r="CF207" s="81"/>
      <c r="CG207" s="83"/>
      <c r="CH207" s="23" t="s">
        <v>3536</v>
      </c>
      <c r="CI207" s="83"/>
      <c r="CJ207" s="1206">
        <f>IF(CJ17="Instantaneous",Dispersion_R,Dispersion_M)*(MAX(CJ206,Public)^2-Public^2)+2*(MAX(CJ206,Public)-Public)*CJ14</f>
        <v>3.0000000000000005E-3</v>
      </c>
      <c r="CK207" s="83"/>
      <c r="CL207" s="23" t="s">
        <v>2196</v>
      </c>
      <c r="CM207" s="83"/>
      <c r="CN207" s="7"/>
    </row>
    <row r="208" spans="1:92" s="26" customFormat="1" ht="15" customHeight="1" thickBot="1" x14ac:dyDescent="0.3">
      <c r="A208" s="2"/>
      <c r="B208" s="85" t="s">
        <v>5080</v>
      </c>
      <c r="C208" s="83"/>
      <c r="D208" s="2568" t="str">
        <f>IF(D$83&gt;D$89,IF(D$89&gt;D$83*(D205^(1/D206)/D179^(1/D180))*Wind_Night*(1*Wind_Night*D$83/D$89)^(1/D180-1/D206),"Instantaneous","Continuous"),"Continuous")</f>
        <v>Continuous</v>
      </c>
      <c r="E208" s="83"/>
      <c r="F208" s="2568" t="str">
        <f>IF(F$83&gt;F$89,IF(F$89&gt;F$83*(F205^(1/F206)/F179^(1/F180))*Wind_Night*(1*Wind_Night*F$83/F$89)^(1/F180-1/F206),"Instantaneous","Continuous"),"Continuous")</f>
        <v>Continuous</v>
      </c>
      <c r="G208" s="83"/>
      <c r="H208" s="2568" t="str">
        <f>IF(H$83&gt;H$89,IF(H$89&gt;H$83*(H205^(1/H206)/H179^(1/H180))*Wind_Night*(1*Wind_Night*H$83/H$89)^(1/H180-1/H206),"Instantaneous","Continuous"),"Continuous")</f>
        <v>Continuous</v>
      </c>
      <c r="I208" s="83"/>
      <c r="J208" s="2568" t="str">
        <f>IF(J$83&gt;J$89,IF(J$89&gt;J$83*(J205^(1/J206)/J179^(1/J180))*Wind_Night*(1*Wind_Night*J$83/J$89)^(1/J180-1/J206),"Instantaneous","Continuous"),"Continuous")</f>
        <v>Continuous</v>
      </c>
      <c r="K208" s="83"/>
      <c r="L208" s="2568" t="str">
        <f>IF(L$83&gt;L$89,IF(L$89&gt;L$83*(L205^(1/L206)/L179^(1/L180))*Wind_Night*(1*Wind_Night*L$83/L$89)^(1/L180-1/L206),"Instantaneous","Continuous"),"Continuous")</f>
        <v>Continuous</v>
      </c>
      <c r="M208" s="83"/>
      <c r="N208" s="2568" t="str">
        <f>IF(N$83&gt;N$89,IF(N$89&gt;N$83*(N205^(1/N206)/N179^(1/N180))*Wind_Night*(1*Wind_Night*N$83/N$89)^(1/N180-1/N206),"Instantaneous","Continuous"),"Continuous")</f>
        <v>Continuous</v>
      </c>
      <c r="O208" s="83"/>
      <c r="P208" s="2568" t="str">
        <f>IF(P$83&gt;P$89,IF(P$89&gt;P$83*(P205^(1/P206)/P179^(1/P180))*Wind_Night*(1*Wind_Night*P$83/P$89)^(1/P180-1/P206),"Instantaneous","Continuous"),"Continuous")</f>
        <v>Continuous</v>
      </c>
      <c r="Q208" s="83"/>
      <c r="R208" s="2568" t="str">
        <f>IF(R$83&gt;R$89,IF(R$89&gt;R$83*(R205^(1/R206)/R179^(1/R180))*Wind_Night*(1*Wind_Night*R$83/R$89)^(1/R180-1/R206),"Instantaneous","Continuous"),"Continuous")</f>
        <v>Continuous</v>
      </c>
      <c r="S208" s="83"/>
      <c r="T208" s="2568" t="str">
        <f>IF(T$83&gt;T$89,IF(T$89&gt;T$83*(T205^(1/T206)/T179^(1/T180))*Wind_Night*(1*Wind_Night*T$83/T$89)^(1/T180-1/T206),"Instantaneous","Continuous"),"Continuous")</f>
        <v>Continuous</v>
      </c>
      <c r="U208" s="83"/>
      <c r="V208" s="2568" t="str">
        <f>IF(V$83&gt;V$89,IF(V$89&gt;V$83*(V205^(1/V206)/V179^(1/V180))*Wind_Night*(1*Wind_Night*V$83/V$89)^(1/V180-1/V206),"Instantaneous","Continuous"),"Continuous")</f>
        <v>Continuous</v>
      </c>
      <c r="W208" s="83"/>
      <c r="X208" s="2568" t="str">
        <f>IF(X$83&gt;X$89,IF(X$89&gt;X$83*(X205^(1/X206)/X179^(1/X180))*Wind_Night*(1*Wind_Night*X$83/X$89)^(1/X180-1/X206),"Instantaneous","Continuous"),"Continuous")</f>
        <v>Continuous</v>
      </c>
      <c r="Y208" s="83"/>
      <c r="Z208" s="92"/>
      <c r="AA208" s="83"/>
      <c r="AB208" s="81"/>
      <c r="AC208" s="512" t="s">
        <v>5099</v>
      </c>
      <c r="AD208" s="81"/>
      <c r="AE208" s="2981">
        <f>IF(AE$83&gt;0,LN(IF(AE$206&gt;=10,AE$99*AE$204*10^AE$205,NBPuff_A_Night*AE$83/AE$98/(10-AE$206+AE$207)^(1/NBPuff_B_Night))),0)</f>
        <v>0</v>
      </c>
      <c r="AF208" s="81"/>
      <c r="AG208" s="2981">
        <f>IF(AG$83&gt;0,LN(IF(AG$206&gt;=10,AG$99*AG$204*10^AG$205,NBPuff_A_Night*AG$83/AG$98/(10-AG$206+AG$207)^(1/NBPuff_B_Night))),0)</f>
        <v>0</v>
      </c>
      <c r="AH208" s="81"/>
      <c r="AI208" s="2981">
        <f>IF(AI$83&gt;0,LN(IF(AI$206&gt;=10,AI$99*AI$204*10^AI$205,NBPuff_A_Night*AI$83/AI$98/(10-AI$206+AI$207)^(1/NBPuff_B_Night))),0)</f>
        <v>0</v>
      </c>
      <c r="AJ208" s="81"/>
      <c r="AK208" s="2981">
        <f>IF(AK$83&gt;0,LN(IF(AK$206&gt;=10,AK$99*AK$204*10^AK$205,NBPuff_A_Night*AK$83/AK$98/(10-AK$206+AK$207)^(1/NBPuff_B_Night))),0)</f>
        <v>0</v>
      </c>
      <c r="AL208" s="81"/>
      <c r="AM208" s="2981">
        <f>IF(AM$83&gt;0,LN(IF(AM$206&gt;=10,AM$99*AM$204*10^AM$205,NBPuff_A_Night*AM$83/AM$98/(10-AM$206+AM$207)^(1/NBPuff_B_Night))),0)</f>
        <v>0</v>
      </c>
      <c r="AN208" s="81"/>
      <c r="AO208" s="2981">
        <f>IF(AO$83&gt;0,LN(IF(AO$206&gt;=10,AO$99*AO$204*10^AO$205,NBPuff_A_Night*AO$83/AO$98/(10-AO$206+AO$207)^(1/NBPuff_B_Night))),0)</f>
        <v>0</v>
      </c>
      <c r="AP208" s="81"/>
      <c r="AQ208" s="85"/>
      <c r="AR208" s="81"/>
      <c r="AS208" s="83"/>
      <c r="AT208" s="25" t="s">
        <v>3703</v>
      </c>
      <c r="AU208" s="83"/>
      <c r="AV208" s="2989">
        <f>IF(OR(AV67=0,AV73=0,AV82=0),1,IF(AV278="Outdoors",IF(AV67/AV73&gt;Max_Duration,1,IF(AV205="Instantaneous",MAX(3.29*(AV67/(AV82*AV206))^0.37/(Wind_Night*3600),(AV67/Max_Duration)/AV73),(AV67/Max_Duration)/AV73)),1))</f>
        <v>1</v>
      </c>
      <c r="AW208" s="269"/>
      <c r="AX208" s="2989">
        <f>IF(OR(AX67=0,AX73=0,AX82=0),1,IF(AX278="Outdoors",IF(AX67/AX73&gt;Max_Duration,1,IF(AX205="Instantaneous",MAX(3.29*(AX67/(AX82*AX206))^0.37/(Wind_Night*3600),(AX67/Max_Duration)/AX73),(AX67/Max_Duration)/AX73)),1))</f>
        <v>1</v>
      </c>
      <c r="AY208" s="269"/>
      <c r="AZ208" s="2989">
        <f>IF(OR(AZ67=0,AZ73=0,AZ82=0),1,IF(AZ278="Outdoors",IF(AZ67/AZ73&gt;Max_Duration,1,IF(AZ205="Instantaneous",MAX(3.29*(AZ67/(AZ82*AZ206))^0.37/(Wind_Night*3600),(AZ67/Max_Duration)/AZ73),(AZ67/Max_Duration)/AZ73)),1))</f>
        <v>1</v>
      </c>
      <c r="BA208" s="269"/>
      <c r="BB208" s="2989">
        <f>IF(OR(BB67=0,BB73=0,BB82=0),1,IF(BB278="Outdoors",IF(BB67/BB73&gt;Max_Duration,1,IF(BB205="Instantaneous",MAX(3.29*(BB67/(BB82*BB206))^0.37/(Wind_Night*3600),(BB67/Max_Duration)/BB73),(BB67/Max_Duration)/BB73)),1))</f>
        <v>1</v>
      </c>
      <c r="BC208" s="269"/>
      <c r="BD208" s="2989">
        <f>IF(OR(BD67=0,BD73=0,BD82=0),1,IF(BD278="Outdoors",IF(BD67/BD73&gt;Max_Duration,1,IF(BD205="Instantaneous",MAX(3.29*(BD67/(BD82*BD206))^0.37/(Wind_Night*3600),(BD67/Max_Duration)/BD73),(BD67/Max_Duration)/BD73)),1))</f>
        <v>1</v>
      </c>
      <c r="BE208" s="269"/>
      <c r="BF208" s="2989">
        <f>IF(OR(BF67=0,BF73=0,BF82=0),1,IF(BF278="Outdoors",IF(BF67/BF73&gt;Max_Duration,1,IF(BF205="Instantaneous",MAX(3.29*(BF67/(BF82*BF206))^0.37/(Wind_Night*3600),(BF67/Max_Duration)/BF73),(BF67/Max_Duration)/BF73)),1))</f>
        <v>1</v>
      </c>
      <c r="BG208" s="269"/>
      <c r="BH208" s="2989">
        <f>IF(OR(BH67=0,BH73=0,BH82=0),1,IF(BH278="Outdoors",IF(BH67/BH73&gt;Max_Duration,1,IF(BH205="Instantaneous",MAX(3.29*(BH67/(BH82*BH206))^0.37/(Wind_Night*3600),(BH67/Max_Duration)/BH73),(BH67/Max_Duration)/BH73)),1))</f>
        <v>1</v>
      </c>
      <c r="BI208" s="269"/>
      <c r="BJ208" s="2989">
        <f>IF(OR(BJ67=0,BJ73=0,BJ82=0),1,IF(BJ278="Outdoors",IF(BJ67/BJ73&gt;Max_Duration,1,IF(BJ205="Instantaneous",MAX(3.29*(BJ67/(BJ82*BJ206))^0.37/(Wind_Night*3600),(BJ67/Max_Duration)/BJ73),(BJ67/Max_Duration)/BJ73)),1))</f>
        <v>1</v>
      </c>
      <c r="BK208" s="269"/>
      <c r="BL208" s="2989">
        <f>IF(OR(BL67=0,BL73=0,BL82=0),1,IF(BL278="Outdoors",IF(BL67/BL73&gt;Max_Duration,1,IF(BL205="Instantaneous",MAX(3.29*(BL67/(BL82*BL206))^0.37/(Wind_Night*3600),(BL67/Max_Duration)/BL73),(BL67/Max_Duration)/BL73)),1))</f>
        <v>1</v>
      </c>
      <c r="BM208" s="269"/>
      <c r="BN208" s="2989">
        <f>IF(OR(BN67=0,BN73=0,BN82=0),1,IF(BN278="Outdoors",IF(BN67/BN73&gt;Max_Duration,1,IF(BN205="Instantaneous",MAX(3.29*(BN67/(BN82*BN206))^0.37/(Wind_Night*3600),(BN67/Max_Duration)/BN73),(BN67/Max_Duration)/BN73)),1))</f>
        <v>1</v>
      </c>
      <c r="BO208" s="269"/>
      <c r="BP208" s="1833"/>
      <c r="BQ208" s="83"/>
      <c r="BR208" s="81"/>
      <c r="BS208" s="85" t="s">
        <v>5080</v>
      </c>
      <c r="BT208" s="81"/>
      <c r="BU208" s="2568" t="str">
        <f>IF(OR(State="Solid",AND(BU$89="",BU$23="Instantaneous")),"Instantaneous",IF(BU$89&lt;&gt;"",IF(BU$89&gt;BU$83*(BU205^(1/BU206)/BU179^(1/BU180))*Wind_Night*(1*Wind_Night*BU$83/BU$89)^(1/BU180-1/BU206),"Instantaneous","Continuous"),"Instantaneous"))</f>
        <v>Instantaneous</v>
      </c>
      <c r="BV208" s="81"/>
      <c r="BW208" s="2568" t="str">
        <f>IF(OR(State="Solid",AND(BW$89="",BW$23="Instantaneous")),"Instantaneous",IF(BW$89&lt;&gt;"",IF(BW$89&gt;BW$83*(BW205^(1/BW206)/BW179^(1/BW180))*Wind_Night*(1*Wind_Night*BW$83/BW$89)^(1/BW180-1/BW206),"Instantaneous","Continuous"),"Instantaneous"))</f>
        <v>Instantaneous</v>
      </c>
      <c r="BX208" s="81"/>
      <c r="BY208" s="2568" t="str">
        <f>IF(OR(State="Solid",AND(BY$89="",BY$23="Instantaneous")),"Instantaneous",IF(BY$89&lt;&gt;"",IF(BY$89&gt;BY$83*(BY205^(1/BY206)/BY179^(1/BY180))*Wind_Night*(1*Wind_Night*BY$83/BY$89)^(1/BY180-1/BY206),"Instantaneous","Continuous"),"Instantaneous"))</f>
        <v>Instantaneous</v>
      </c>
      <c r="BZ208" s="81"/>
      <c r="CA208" s="2568" t="str">
        <f>IF(OR(State="Solid",AND(CA$89="",CA$23="Instantaneous")),"Instantaneous",IF(CA$89&lt;&gt;"",IF(CA$89&gt;CA$83*(CA205^(1/CA206)/CA179^(1/CA180))*Wind_Night*(1*Wind_Night*CA$83/CA$89)^(1/CA180-1/CA206),"Instantaneous","Continuous"),"Instantaneous"))</f>
        <v>Instantaneous</v>
      </c>
      <c r="CB208" s="81"/>
      <c r="CC208" s="2568" t="str">
        <f>IF(OR(State="Solid",AND(CC$89="",CC$23="Instantaneous")),"Instantaneous",IF(CC$89&lt;&gt;"",IF(CC$89&gt;CC$83*(CC205^(1/CC206)/CC179^(1/CC180))*Wind_Night*(1*Wind_Night*CC$83/CC$89)^(1/CC180-1/CC206),"Instantaneous","Continuous"),"Instantaneous"))</f>
        <v>Instantaneous</v>
      </c>
      <c r="CD208" s="81"/>
      <c r="CE208" s="23"/>
      <c r="CF208" s="81"/>
      <c r="CG208" s="83"/>
      <c r="CH208" s="23" t="s">
        <v>3537</v>
      </c>
      <c r="CI208" s="83"/>
      <c r="CJ208" s="1206">
        <f>IF(OR(CJ$139=0,CJ$152="",CJ$25=0),0,IF(CJ190&gt;Zone_1,IF(CJ17="Instantaneous",Dispersion_R,Dispersion_M)*(IF(Zone1_Input="",CJ190,Zone_1)^2-CJ190^2)+2*(IF(Zone1_Input="",CJ190,Zone_1)-CJ190)*CJ14,IF(CJ17="Instantaneous",Dispersion_R,Dispersion_M)*CJ$25^(2*IF(CJ17="Instantaneous",CJ$131,CJ$105))*CJ152^2*(IF(Zone1_Input="",0,EXP(CJ$137+CJ$139*Zone_1^2/(CJ$25^(2*IF(CJ17="Instantaneous",CJ$131,CJ$105))*CJ152^2)))-EXP(CJ$137+CJ$139*CJ190^2/(CJ$25^(2*IF(CJ17="Instantaneous",CJ$131,CJ$105))*CJ152^2)))/CJ$139))</f>
        <v>0</v>
      </c>
      <c r="CK208" s="83"/>
      <c r="CL208" s="23" t="s">
        <v>2196</v>
      </c>
      <c r="CM208" s="83"/>
      <c r="CN208" s="7"/>
    </row>
    <row r="209" spans="1:92" s="26" customFormat="1" ht="15" customHeight="1" thickBot="1" x14ac:dyDescent="0.3">
      <c r="A209" s="2"/>
      <c r="B209" s="494" t="s">
        <v>5193</v>
      </c>
      <c r="C209" s="83"/>
      <c r="D209" s="3143">
        <f>IF(D255="",IF(D249="",0.001,D249/1000),D255/1000000)</f>
        <v>1E-3</v>
      </c>
      <c r="E209" s="83"/>
      <c r="F209" s="3143">
        <f>IF(F255="",IF(F249="",0.001,F249/1000),F255/1000000)</f>
        <v>1E-3</v>
      </c>
      <c r="G209" s="83"/>
      <c r="H209" s="3143">
        <f>IF(H255="",IF(H249="",0.001,H249/1000),H255/1000000)</f>
        <v>1E-3</v>
      </c>
      <c r="I209" s="83"/>
      <c r="J209" s="3143">
        <f>IF(J255="",IF(J249="",0.001,J249/1000),J255/1000000)</f>
        <v>1E-3</v>
      </c>
      <c r="K209" s="83"/>
      <c r="L209" s="3143">
        <f>IF(L255="",IF(L249="",0.001,L249/1000),L255/1000000)</f>
        <v>1E-3</v>
      </c>
      <c r="M209" s="83"/>
      <c r="N209" s="3143">
        <f>IF(N255="",IF(N249="",0.001,N249/1000),N255/1000000)</f>
        <v>1E-3</v>
      </c>
      <c r="O209" s="83"/>
      <c r="P209" s="3143">
        <f>IF(P255="",IF(P249="",0.001,P249/1000),P255/1000000)</f>
        <v>1E-3</v>
      </c>
      <c r="Q209" s="83"/>
      <c r="R209" s="3143">
        <f>IF(R255="",IF(R249="",0.001,R249/1000),R255/1000000)</f>
        <v>1E-3</v>
      </c>
      <c r="S209" s="83"/>
      <c r="T209" s="3143">
        <f>IF(T255="",IF(T249="",0.001,T249/1000),T255/1000000)</f>
        <v>1E-3</v>
      </c>
      <c r="U209" s="83"/>
      <c r="V209" s="3143">
        <f>IF(V255="",IF(V249="",0.001,V249/1000),V255/1000000)</f>
        <v>1E-3</v>
      </c>
      <c r="W209" s="83"/>
      <c r="X209" s="3143">
        <f>IF(X255="",IF(X249="",0.001,X249/1000),X255/1000000)</f>
        <v>1E-3</v>
      </c>
      <c r="Y209" s="83"/>
      <c r="Z209" s="85" t="s">
        <v>1068</v>
      </c>
      <c r="AA209" s="83"/>
      <c r="AB209" s="81"/>
      <c r="AC209" s="512" t="s">
        <v>5100</v>
      </c>
      <c r="AD209" s="81"/>
      <c r="AE209" s="2981">
        <f>IF(AE$83&gt;0,LN(IF(AE$206&gt;=20,AE$99*AE$204*20^AE$205,NBPuff_A_Night*AE$83/AE$98/(20-AE$206+AE$207)^(1/NBPuff_B_Night))),0)</f>
        <v>0</v>
      </c>
      <c r="AF209" s="81"/>
      <c r="AG209" s="2981">
        <f>IF(AG$83&gt;0,LN(IF(AG$206&gt;=20,AG$99*AG$204*20^AG$205,NBPuff_A_Night*AG$83/AG$98/(20-AG$206+AG$207)^(1/NBPuff_B_Night))),0)</f>
        <v>0</v>
      </c>
      <c r="AH209" s="81"/>
      <c r="AI209" s="2981">
        <f>IF(AI$83&gt;0,LN(IF(AI$206&gt;=20,AI$99*AI$204*20^AI$205,NBPuff_A_Night*AI$83/AI$98/(20-AI$206+AI$207)^(1/NBPuff_B_Night))),0)</f>
        <v>0</v>
      </c>
      <c r="AJ209" s="81"/>
      <c r="AK209" s="2981">
        <f>IF(AK$83&gt;0,LN(IF(AK$206&gt;=20,AK$99*AK$204*20^AK$205,NBPuff_A_Night*AK$83/AK$98/(20-AK$206+AK$207)^(1/NBPuff_B_Night))),0)</f>
        <v>0</v>
      </c>
      <c r="AL209" s="81"/>
      <c r="AM209" s="2981">
        <f>IF(AM$83&gt;0,LN(IF(AM$206&gt;=20,AM$99*AM$204*20^AM$205,NBPuff_A_Night*AM$83/AM$98/(20-AM$206+AM$207)^(1/NBPuff_B_Night))),0)</f>
        <v>0</v>
      </c>
      <c r="AN209" s="81"/>
      <c r="AO209" s="2981">
        <f>IF(AO$83&gt;0,LN(IF(AO$206&gt;=20,AO$99*AO$204*20^AO$205,NBPuff_A_Night*AO$83/AO$98/(20-AO$206+AO$207)^(1/NBPuff_B_Night))),0)</f>
        <v>0</v>
      </c>
      <c r="AP209" s="81"/>
      <c r="AQ209" s="85"/>
      <c r="AR209" s="81"/>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1"/>
      <c r="BS209" s="494" t="s">
        <v>5193</v>
      </c>
      <c r="BT209" s="81"/>
      <c r="BU209" s="3143">
        <f>IF(BU255="",IF(BU249="",0.001,BU249/1000),BU255/1000000)</f>
        <v>1E-3</v>
      </c>
      <c r="BV209" s="81"/>
      <c r="BW209" s="3143">
        <f>IF(BW255="",IF(BW249="",0.001,BW249/1000),BW255/1000000)</f>
        <v>1E-3</v>
      </c>
      <c r="BX209" s="81"/>
      <c r="BY209" s="3143">
        <f>IF(BY255="",IF(BY249="",0.001,BY249/1000),BY255/1000000)</f>
        <v>1E-3</v>
      </c>
      <c r="BZ209" s="81"/>
      <c r="CA209" s="3143">
        <f>IF(CA255="",IF(CA249="",0.001,CA249/1000),CA255/1000000)</f>
        <v>1E-3</v>
      </c>
      <c r="CB209" s="81"/>
      <c r="CC209" s="3143">
        <f>IF(CC255="",IF(CC249="",0.001,CC249/1000),CC255/1000000)</f>
        <v>1E-3</v>
      </c>
      <c r="CD209" s="81"/>
      <c r="CE209" s="23"/>
      <c r="CF209" s="81"/>
      <c r="CG209" s="83"/>
      <c r="CH209" s="23" t="s">
        <v>3538</v>
      </c>
      <c r="CI209" s="83"/>
      <c r="CJ209" s="1206">
        <f>IF(CJ17="Instantaneous",Dispersion_R,Dispersion_M)*(MAX(CJ206,Zone_1)^2-Zone_1^2)+2*(MAX(CJ206,Zone_1)-Zone_1)*CJ14</f>
        <v>3.0000000000000005E-3</v>
      </c>
      <c r="CK209" s="83"/>
      <c r="CL209" s="23" t="s">
        <v>2196</v>
      </c>
      <c r="CM209" s="83"/>
      <c r="CN209" s="7"/>
    </row>
    <row r="210" spans="1:92" s="26" customFormat="1" ht="15" customHeight="1" thickBot="1" x14ac:dyDescent="0.3">
      <c r="A210" s="2"/>
      <c r="B210" s="85" t="s">
        <v>3799</v>
      </c>
      <c r="C210" s="83"/>
      <c r="D210" s="3006">
        <f>IF(OR(D83=0,D89=0,D98=0),1,IF(Location="Outdoors",IF(D83/D89&gt;Max_Duration,1,IF(D156="Instantaneous",MAX(3.29*(D83/(D98*D209))^0.37/(Wind*3600),(D83/Max_Duration)/D89),(D83/Max_Duration)/D89)),1))</f>
        <v>1</v>
      </c>
      <c r="E210" s="83"/>
      <c r="F210" s="3006">
        <f>IF(OR(F83=0,F89=0,F98=0),1,IF(Location="Outdoors",IF(F83/F89&gt;Max_Duration,1,IF(F156="Instantaneous",MAX(3.29*(F83/(F98*F209))^0.37/(Wind*3600),(F83/Max_Duration)/F89),(F83/Max_Duration)/F89)),1))</f>
        <v>1</v>
      </c>
      <c r="G210" s="83"/>
      <c r="H210" s="3006">
        <f>IF(OR(H83=0,H89=0,H98=0),1,IF(Location="Outdoors",IF(H83/H89&gt;Max_Duration,1,IF(H156="Instantaneous",MAX(3.29*(H83/(H98*H209))^0.37/(Wind*3600),(H83/Max_Duration)/H89),(H83/Max_Duration)/H89)),1))</f>
        <v>1</v>
      </c>
      <c r="I210" s="83"/>
      <c r="J210" s="3006">
        <f>IF(OR(J83=0,J89=0,J98=0),1,IF(Location="Outdoors",IF(J83/J89&gt;Max_Duration,1,IF(J156="Instantaneous",MAX(3.29*(J83/(J98*J209))^0.37/(Wind*3600),(J83/Max_Duration)/J89),(J83/Max_Duration)/J89)),1))</f>
        <v>1</v>
      </c>
      <c r="K210" s="83"/>
      <c r="L210" s="3006">
        <f>IF(OR(L83=0,L89=0,L98=0),1,IF(Location="Outdoors",IF(L83/L89&gt;Max_Duration,1,IF(L156="Instantaneous",MAX(3.29*(L83/(L98*L209))^0.37/(Wind*3600),(L83/Max_Duration)/L89),(L83/Max_Duration)/L89)),1))</f>
        <v>1</v>
      </c>
      <c r="M210" s="83"/>
      <c r="N210" s="3006">
        <f>IF(OR(N83=0,N89=0,N98=0),1,IF(Location="Outdoors",IF(N83/N89&gt;Max_Duration,1,IF(N156="Instantaneous",MAX(3.29*(N83/(N98*N209))^0.37/(Wind*3600),(N83/Max_Duration)/N89),(N83/Max_Duration)/N89)),1))</f>
        <v>1</v>
      </c>
      <c r="O210" s="83"/>
      <c r="P210" s="3006">
        <f>IF(OR(P83=0,P89=0,P98=0),1,IF(Location="Outdoors",IF(P83/P89&gt;Max_Duration,1,IF(P156="Instantaneous",MAX(3.29*(P83/(P98*P209))^0.37/(Wind*3600),(P83/Max_Duration)/P89),(P83/Max_Duration)/P89)),1))</f>
        <v>1</v>
      </c>
      <c r="Q210" s="83"/>
      <c r="R210" s="3006">
        <f>IF(OR(R83=0,R89=0,R98=0),1,IF(Location="Outdoors",IF(R83/R89&gt;Max_Duration,1,IF(R156="Instantaneous",MAX(3.29*(R83/(R98*R209))^0.37/(Wind*3600),(R83/Max_Duration)/R89),(R83/Max_Duration)/R89)),1))</f>
        <v>1</v>
      </c>
      <c r="S210" s="83"/>
      <c r="T210" s="3006">
        <f>IF(OR(T83=0,T89=0,T98=0),1,IF(Location="Outdoors",IF(T83/T89&gt;Max_Duration,1,IF(T156="Instantaneous",MAX(3.29*(T83/(T98*T209))^0.37/(Wind*3600),(T83/Max_Duration)/T89),(T83/Max_Duration)/T89)),1))</f>
        <v>1</v>
      </c>
      <c r="U210" s="83"/>
      <c r="V210" s="3006">
        <f>IF(OR(V83=0,V89=0,V98=0),1,IF(Location="Outdoors",IF(V83/V89&gt;Max_Duration,1,IF(V156="Instantaneous",MAX(3.29*(V83/(V98*V209))^0.37/(Wind*3600),(V83/Max_Duration)/V89),(V83/Max_Duration)/V89)),1))</f>
        <v>1</v>
      </c>
      <c r="W210" s="83"/>
      <c r="X210" s="3006">
        <f>IF(OR(X83=0,X89=0,X98=0),1,IF(Location="Outdoors",IF(X83/X89&gt;Max_Duration,1,IF(X156="Instantaneous",MAX(3.29*(X83/(X98*X209))^0.37/(Wind*3600),(X83/Max_Duration)/X89),(X83/Max_Duration)/X89)),1))</f>
        <v>1</v>
      </c>
      <c r="Y210" s="83"/>
      <c r="Z210" s="85" t="s">
        <v>1592</v>
      </c>
      <c r="AA210" s="83"/>
      <c r="AB210" s="81"/>
      <c r="AC210" s="512" t="s">
        <v>5101</v>
      </c>
      <c r="AD210" s="81"/>
      <c r="AE210" s="2981">
        <f>IF(AE$83&gt;0,LN(IF(AE$206&gt;=50,AE$99*AE$204*50^AE$205,NBPuff_A_Night*AE$83/AE$98/(50-AE$206+AE$207)^(1/NBPuff_B_Night))),0)</f>
        <v>0</v>
      </c>
      <c r="AF210" s="81"/>
      <c r="AG210" s="2981">
        <f>IF(AG$83&gt;0,LN(IF(AG$206&gt;=50,AG$99*AG$204*50^AG$205,NBPuff_A_Night*AG$83/AG$98/(50-AG$206+AG$207)^(1/NBPuff_B_Night))),0)</f>
        <v>0</v>
      </c>
      <c r="AH210" s="81"/>
      <c r="AI210" s="2981">
        <f>IF(AI$83&gt;0,LN(IF(AI$206&gt;=50,AI$99*AI$204*50^AI$205,NBPuff_A_Night*AI$83/AI$98/(50-AI$206+AI$207)^(1/NBPuff_B_Night))),0)</f>
        <v>0</v>
      </c>
      <c r="AJ210" s="81"/>
      <c r="AK210" s="2981">
        <f>IF(AK$83&gt;0,LN(IF(AK$206&gt;=50,AK$99*AK$204*50^AK$205,NBPuff_A_Night*AK$83/AK$98/(50-AK$206+AK$207)^(1/NBPuff_B_Night))),0)</f>
        <v>0</v>
      </c>
      <c r="AL210" s="81"/>
      <c r="AM210" s="2981">
        <f>IF(AM$83&gt;0,LN(IF(AM$206&gt;=50,AM$99*AM$204*50^AM$205,NBPuff_A_Night*AM$83/AM$98/(50-AM$206+AM$207)^(1/NBPuff_B_Night))),0)</f>
        <v>0</v>
      </c>
      <c r="AN210" s="81"/>
      <c r="AO210" s="2981">
        <f>IF(AO$83&gt;0,LN(IF(AO$206&gt;=50,AO$99*AO$204*50^AO$205,NBPuff_A_Night*AO$83/AO$98/(50-AO$206+AO$207)^(1/NBPuff_B_Night))),0)</f>
        <v>0</v>
      </c>
      <c r="AP210" s="81"/>
      <c r="AQ210" s="85"/>
      <c r="AR210" s="81"/>
      <c r="AS210" s="83"/>
      <c r="AT210" s="1403" t="s">
        <v>1870</v>
      </c>
      <c r="AU210" s="83"/>
      <c r="AV210" s="83"/>
      <c r="AW210" s="269"/>
      <c r="AX210" s="83"/>
      <c r="AY210" s="269"/>
      <c r="AZ210" s="83"/>
      <c r="BA210" s="269"/>
      <c r="BB210" s="83"/>
      <c r="BC210" s="269"/>
      <c r="BD210" s="83"/>
      <c r="BE210" s="269"/>
      <c r="BF210" s="83"/>
      <c r="BG210" s="269"/>
      <c r="BH210" s="83"/>
      <c r="BI210" s="269"/>
      <c r="BJ210" s="83"/>
      <c r="BK210" s="269"/>
      <c r="BL210" s="83"/>
      <c r="BM210" s="269"/>
      <c r="BN210" s="83"/>
      <c r="BO210" s="269"/>
      <c r="BP210" s="83"/>
      <c r="BQ210" s="83"/>
      <c r="BR210" s="81"/>
      <c r="BS210" s="848" t="s">
        <v>2208</v>
      </c>
      <c r="BT210" s="81"/>
      <c r="BU210" s="3074">
        <f>IF(OR(BU83=0,BU98=0),1,IF(Location="Outdoors",IF(BU156="Instantaneous",MAX(3.29*(BU83/(BU98*BU209))^0.37/(Wind*3600),IF(BU89&lt;&gt;"",(BU83/Max_Duration)/BU89,0)),IF(BU83/BU89&gt;Max_Duration,1,(BU83/Max_Duration)/BU89)),1))</f>
        <v>1</v>
      </c>
      <c r="BV210" s="81"/>
      <c r="BW210" s="3074">
        <f>IF(OR(BW83=0,BW98=0),1,IF(Location="Outdoors",IF(BW156="Instantaneous",MAX(3.29*(BW83/(BW98*BW209))^0.37/(Wind*3600),IF(BW89&lt;&gt;"",(BW83/Max_Duration)/BW89,0)),IF(BW83/BW89&gt;Max_Duration,1,(BW83/Max_Duration)/BW89)),1))</f>
        <v>1</v>
      </c>
      <c r="BX210" s="3076"/>
      <c r="BY210" s="3074">
        <f>IF(OR(BY83=0,BY98=0),1,IF(Location="Outdoors",IF(BY156="Instantaneous",MAX(3.29*(BY83/(BY98*BY209))^0.37/(Wind*3600),IF(BY89&lt;&gt;"",(BY83/Max_Duration)/BY89,0)),IF(BY83/BY89&gt;Max_Duration,1,(BY83/Max_Duration)/BY89)),1))</f>
        <v>1</v>
      </c>
      <c r="BZ210" s="3076"/>
      <c r="CA210" s="3074">
        <f>IF(OR(CA83=0,CA98=0),1,IF(Location="Outdoors",IF(CA156="Instantaneous",MAX(3.29*(CA83/(CA98*CA209))^0.37/(Wind*3600),IF(CA89&lt;&gt;"",(CA83/Max_Duration)/CA89,0)),IF(CA83/CA89&gt;Max_Duration,1,(CA83/Max_Duration)/CA89)),1))</f>
        <v>1</v>
      </c>
      <c r="CB210" s="3076"/>
      <c r="CC210" s="3074">
        <f>IF(OR(CC83=0,CC98=0),1,IF(Location="Outdoors",IF(CC156="Instantaneous",MAX(3.29*(CC83/(CC98*CC209))^0.37/(Wind*3600),IF(CC89&lt;&gt;"",(CC83/Max_Duration)/CC89,0)),IF(CC83/CC89&gt;Max_Duration,1,(CC83/Max_Duration)/CC89)),1))</f>
        <v>1</v>
      </c>
      <c r="CD210" s="81"/>
      <c r="CE210" s="23"/>
      <c r="CF210" s="81"/>
      <c r="CG210" s="83"/>
      <c r="CH210" s="23" t="s">
        <v>3539</v>
      </c>
      <c r="CI210" s="83"/>
      <c r="CJ210" s="1206">
        <f>IF(OR(CJ$139=0,CJ$152="",CJ$25=0),0,IF(Zone1_Input="",0,IF(CJ17="Instantaneous",Dispersion_R,Dispersion_M)*CJ$25^(2*IF(CJ17="Instantaneous",CJ$131,CJ$105))*CJ152^2*(0-EXP(CJ$137+CJ$139*MAX(CJ190,Zone_1)^2/(CJ$25^(2*IF(CJ17="Instantaneous",CJ$131,CJ$105))*CJ152^2)))/CJ$139))</f>
        <v>0</v>
      </c>
      <c r="CK210" s="83"/>
      <c r="CL210" s="23" t="s">
        <v>2196</v>
      </c>
      <c r="CM210" s="83"/>
      <c r="CN210" s="7"/>
    </row>
    <row r="211" spans="1:92" s="26" customFormat="1" ht="15" customHeight="1" thickBot="1" x14ac:dyDescent="0.3">
      <c r="A211" s="2"/>
      <c r="B211" s="25" t="s">
        <v>3800</v>
      </c>
      <c r="C211" s="83"/>
      <c r="D211" s="2989">
        <f>IF(OR(D83=0,D89=0,D98=0),1,IF(Location="Outdoors",IF(D83/D89&gt;Max_Duration,1,IF(D208="Instantaneous",MAX(3.29*(D83/(D98*D209))^0.37/(Wind_Night*3600),(D83/Max_Duration)/D89),(D83/Max_Duration)/D89)),1))</f>
        <v>1</v>
      </c>
      <c r="E211" s="83"/>
      <c r="F211" s="2989">
        <f>IF(OR(F83=0,F89=0,F98=0),1,IF(Location="Outdoors",IF(F83/F89&gt;Max_Duration,1,IF(F208="Instantaneous",MAX(3.29*(F83/(F98*F209))^0.37/(Wind_Night*3600),(F83/Max_Duration)/F89),(F83/Max_Duration)/F89)),1))</f>
        <v>1</v>
      </c>
      <c r="G211" s="83"/>
      <c r="H211" s="2989">
        <f>IF(OR(H83=0,H89=0,H98=0),1,IF(Location="Outdoors",IF(H83/H89&gt;Max_Duration,1,IF(H208="Instantaneous",MAX(3.29*(H83/(H98*H209))^0.37/(Wind_Night*3600),(H83/Max_Duration)/H89),(H83/Max_Duration)/H89)),1))</f>
        <v>1</v>
      </c>
      <c r="I211" s="83"/>
      <c r="J211" s="2989">
        <f>IF(OR(J83=0,J89=0,J98=0),1,IF(Location="Outdoors",IF(J83/J89&gt;Max_Duration,1,IF(J208="Instantaneous",MAX(3.29*(J83/(J98*J209))^0.37/(Wind_Night*3600),(J83/Max_Duration)/J89),(J83/Max_Duration)/J89)),1))</f>
        <v>1</v>
      </c>
      <c r="K211" s="83"/>
      <c r="L211" s="2989">
        <f>IF(OR(L83=0,L89=0,L98=0),1,IF(Location="Outdoors",IF(L83/L89&gt;Max_Duration,1,IF(L208="Instantaneous",MAX(3.29*(L83/(L98*L209))^0.37/(Wind_Night*3600),(L83/Max_Duration)/L89),(L83/Max_Duration)/L89)),1))</f>
        <v>1</v>
      </c>
      <c r="M211" s="83"/>
      <c r="N211" s="2989">
        <f>IF(OR(N83=0,N89=0,N98=0),1,IF(Location="Outdoors",IF(N83/N89&gt;Max_Duration,1,IF(N208="Instantaneous",MAX(3.29*(N83/(N98*N209))^0.37/(Wind_Night*3600),(N83/Max_Duration)/N89),(N83/Max_Duration)/N89)),1))</f>
        <v>1</v>
      </c>
      <c r="O211" s="83"/>
      <c r="P211" s="2989">
        <f>IF(OR(P83=0,P89=0,P98=0),1,IF(Location="Outdoors",IF(P83/P89&gt;Max_Duration,1,IF(P208="Instantaneous",MAX(3.29*(P83/(P98*P209))^0.37/(Wind_Night*3600),(P83/Max_Duration)/P89),(P83/Max_Duration)/P89)),1))</f>
        <v>1</v>
      </c>
      <c r="Q211" s="83"/>
      <c r="R211" s="2989">
        <f>IF(OR(R83=0,R89=0,R98=0),1,IF(Location="Outdoors",IF(R83/R89&gt;Max_Duration,1,IF(R208="Instantaneous",MAX(3.29*(R83/(R98*R209))^0.37/(Wind_Night*3600),(R83/Max_Duration)/R89),(R83/Max_Duration)/R89)),1))</f>
        <v>1</v>
      </c>
      <c r="S211" s="83"/>
      <c r="T211" s="2989">
        <f>IF(OR(T83=0,T89=0,T98=0),1,IF(Location="Outdoors",IF(T83/T89&gt;Max_Duration,1,IF(T208="Instantaneous",MAX(3.29*(T83/(T98*T209))^0.37/(Wind_Night*3600),(T83/Max_Duration)/T89),(T83/Max_Duration)/T89)),1))</f>
        <v>1</v>
      </c>
      <c r="U211" s="83"/>
      <c r="V211" s="2989">
        <f>IF(OR(V83=0,V89=0,V98=0),1,IF(Location="Outdoors",IF(V83/V89&gt;Max_Duration,1,IF(V208="Instantaneous",MAX(3.29*(V83/(V98*V209))^0.37/(Wind_Night*3600),(V83/Max_Duration)/V89),(V83/Max_Duration)/V89)),1))</f>
        <v>1</v>
      </c>
      <c r="W211" s="83"/>
      <c r="X211" s="2989">
        <f>IF(OR(X83=0,X89=0,X98=0),1,IF(Location="Outdoors",IF(X83/X89&gt;Max_Duration,1,IF(X208="Instantaneous",MAX(3.29*(X83/(X98*X209))^0.37/(Wind_Night*3600),(X83/Max_Duration)/X89),(X83/Max_Duration)/X89)),1))</f>
        <v>1</v>
      </c>
      <c r="Y211" s="83"/>
      <c r="Z211" s="25" t="s">
        <v>1592</v>
      </c>
      <c r="AA211" s="83"/>
      <c r="AB211" s="81"/>
      <c r="AC211" s="512" t="s">
        <v>5102</v>
      </c>
      <c r="AD211" s="81"/>
      <c r="AE211" s="2981">
        <f>IF(AE$83&gt;0,LN(IF(AE$206&gt;=100,AE$99*AE$204*100^AE$205,NBPuff_A_Night*AE$83/AE$98/(100-AE$206+AE$207)^(1/NBPuff_B_Night))),0)</f>
        <v>0</v>
      </c>
      <c r="AF211" s="81"/>
      <c r="AG211" s="2981">
        <f>IF(AG$83&gt;0,LN(IF(AG$206&gt;=100,AG$99*AG$204*100^AG$205,NBPuff_A_Night*AG$83/AG$98/(100-AG$206+AG$207)^(1/NBPuff_B_Night))),0)</f>
        <v>0</v>
      </c>
      <c r="AH211" s="81"/>
      <c r="AI211" s="2981">
        <f>IF(AI$83&gt;0,LN(IF(AI$206&gt;=100,AI$99*AI$204*100^AI$205,NBPuff_A_Night*AI$83/AI$98/(100-AI$206+AI$207)^(1/NBPuff_B_Night))),0)</f>
        <v>0</v>
      </c>
      <c r="AJ211" s="81"/>
      <c r="AK211" s="2981">
        <f>IF(AK$83&gt;0,LN(IF(AK$206&gt;=100,AK$99*AK$204*100^AK$205,NBPuff_A_Night*AK$83/AK$98/(100-AK$206+AK$207)^(1/NBPuff_B_Night))),0)</f>
        <v>0</v>
      </c>
      <c r="AL211" s="81"/>
      <c r="AM211" s="2981">
        <f>IF(AM$83&gt;0,LN(IF(AM$206&gt;=100,AM$99*AM$204*100^AM$205,NBPuff_A_Night*AM$83/AM$98/(100-AM$206+AM$207)^(1/NBPuff_B_Night))),0)</f>
        <v>0</v>
      </c>
      <c r="AN211" s="81"/>
      <c r="AO211" s="2981">
        <f>IF(AO$83&gt;0,LN(IF(AO$206&gt;=100,AO$99*AO$204*100^AO$205,NBPuff_A_Night*AO$83/AO$98/(100-AO$206+AO$207)^(1/NBPuff_B_Night))),0)</f>
        <v>0</v>
      </c>
      <c r="AP211" s="81"/>
      <c r="AQ211" s="85"/>
      <c r="AR211" s="81"/>
      <c r="AS211" s="83"/>
      <c r="AT211" s="846" t="str">
        <f>B214</f>
        <v/>
      </c>
      <c r="AU211" s="83"/>
      <c r="AV211" s="3007">
        <f>IF(SUM(AV$77:AV$81)&gt;0,AV77/SUM(AV$77:AV$81),0)</f>
        <v>0</v>
      </c>
      <c r="AW211" s="269"/>
      <c r="AX211" s="3007">
        <f>IF(SUM(AX$77:AX$81)&gt;0,AX77/SUM(AX$77:AX$81),0)</f>
        <v>0</v>
      </c>
      <c r="AY211" s="269"/>
      <c r="AZ211" s="3007">
        <f>IF(SUM(AZ$77:AZ$81)&gt;0,AZ77/SUM(AZ$77:AZ$81),0)</f>
        <v>0</v>
      </c>
      <c r="BA211" s="269"/>
      <c r="BB211" s="3007">
        <f>IF(SUM(BB$77:BB$81)&gt;0,BB77/SUM(BB$77:BB$81),0)</f>
        <v>0</v>
      </c>
      <c r="BC211" s="269"/>
      <c r="BD211" s="3007">
        <f>IF(SUM(BD$77:BD$81)&gt;0,BD77/SUM(BD$77:BD$81),0)</f>
        <v>0</v>
      </c>
      <c r="BE211" s="269"/>
      <c r="BF211" s="3007">
        <f>IF(SUM(BF$77:BF$81)&gt;0,BF77/SUM(BF$77:BF$81),0)</f>
        <v>0</v>
      </c>
      <c r="BG211" s="269"/>
      <c r="BH211" s="3007">
        <f>IF(SUM(BH$77:BH$81)&gt;0,BH77/SUM(BH$77:BH$81),0)</f>
        <v>0</v>
      </c>
      <c r="BI211" s="269"/>
      <c r="BJ211" s="3007">
        <f>IF(SUM(BJ$77:BJ$81)&gt;0,BJ77/SUM(BJ$77:BJ$81),0)</f>
        <v>0</v>
      </c>
      <c r="BK211" s="269"/>
      <c r="BL211" s="3007">
        <f>IF(SUM(BL$77:BL$81)&gt;0,BL77/SUM(BL$77:BL$81),0)</f>
        <v>0</v>
      </c>
      <c r="BM211" s="269"/>
      <c r="BN211" s="3007">
        <f>IF(SUM(BN$77:BN$81)&gt;0,BN77/SUM(BN$77:BN$81),0)</f>
        <v>0</v>
      </c>
      <c r="BO211" s="269"/>
      <c r="BP211" s="1834"/>
      <c r="BQ211" s="83"/>
      <c r="BR211" s="81"/>
      <c r="BS211" s="848" t="s">
        <v>3703</v>
      </c>
      <c r="BT211" s="81"/>
      <c r="BU211" s="3075">
        <f>IF(OR(BU83=0,BU98=0),1,IF(Location="Outdoors",IF(BU208="Instantaneous",MAX(3.29*(BU83/(BU98*BU209))^0.37/(Wind_Night*3600),IF(BU89&lt;&gt;"",(BU83/Max_Duration)/BU89,0)),IF(BU$83/BU$89&gt;Max_Duration,1,(BU$83/Max_Duration)/BU89)),1))</f>
        <v>1</v>
      </c>
      <c r="BV211" s="81"/>
      <c r="BW211" s="3075">
        <f>IF(OR(BW83=0,BW98=0),1,IF(Location="Outdoors",IF(BW208="Instantaneous",MAX(3.29*(BW83/(BW98*BW209))^0.37/(Wind_Night*3600),IF(BW89&lt;&gt;"",(BW83/Max_Duration)/BW89,0)),IF(BW$83/BW$89&gt;Max_Duration,1,(BW$83/Max_Duration)/BW89)),1))</f>
        <v>1</v>
      </c>
      <c r="BX211" s="3076"/>
      <c r="BY211" s="3075">
        <f>IF(OR(BY83=0,BY98=0),1,IF(Location="Outdoors",IF(BY208="Instantaneous",MAX(3.29*(BY83/(BY98*BY209))^0.37/(Wind_Night*3600),IF(BY89&lt;&gt;"",(BY83/Max_Duration)/BY89,0)),IF(BY$83/BY$89&gt;Max_Duration,1,(BY$83/Max_Duration)/BY89)),1))</f>
        <v>1</v>
      </c>
      <c r="BZ211" s="3076"/>
      <c r="CA211" s="3075">
        <f>IF(OR(CA83=0,CA98=0),1,IF(Location="Outdoors",IF(CA208="Instantaneous",MAX(3.29*(CA83/(CA98*CA209))^0.37/(Wind_Night*3600),IF(CA89&lt;&gt;"",(CA83/Max_Duration)/CA89,0)),IF(CA$83/CA$89&gt;Max_Duration,1,(CA$83/Max_Duration)/CA89)),1))</f>
        <v>1</v>
      </c>
      <c r="CB211" s="3076"/>
      <c r="CC211" s="3075">
        <f>IF(OR(CC83=0,CC98=0),1,IF(Location="Outdoors",IF(CC208="Instantaneous",MAX(3.29*(CC83/(CC98*CC209))^0.37/(Wind_Night*3600),IF(CC89&lt;&gt;"",(CC83/Max_Duration)/CC89,0)),IF(CC$83/CC$89&gt;Max_Duration,1,(CC$83/Max_Duration)/CC89)),1))</f>
        <v>1</v>
      </c>
      <c r="CD211" s="81"/>
      <c r="CE211" s="23"/>
      <c r="CF211" s="81"/>
      <c r="CG211" s="83"/>
      <c r="CH211" s="23" t="s">
        <v>3532</v>
      </c>
      <c r="CI211" s="83"/>
      <c r="CJ211" s="1861">
        <f>Outdoor_Fract_Night*((CJ202+CJ203)*IF(Offsite_PD1="",Offsite_PD,1000000*Offsite_PD1)+(CJ204+CJ205)*IF(Offsite_PD2="",Offsite_PD,1000000*Offsite_PD2))/1000000+(1-Outdoor_Fract_Night)*((CJ207+CJ208)*IF(Offsite_PD1="",Offsite_PD,1000000*Offsite_PD1)+(CJ209+CJ210)*IF(Offsite_PD2="",Offsite_PD,1000000*Offsite_PD2))/1000000</f>
        <v>9.0000000000000019E-6</v>
      </c>
      <c r="CK211" s="83"/>
      <c r="CL211" s="23" t="s">
        <v>2196</v>
      </c>
      <c r="CM211" s="83"/>
      <c r="CN211" s="7"/>
    </row>
    <row r="212" spans="1:92" s="26" customFormat="1" ht="15" customHeight="1" thickBot="1" x14ac:dyDescent="0.3">
      <c r="A212" s="2"/>
      <c r="B212" s="83"/>
      <c r="C212" s="83"/>
      <c r="D212" s="2"/>
      <c r="E212" s="83"/>
      <c r="F212" s="2"/>
      <c r="G212" s="83"/>
      <c r="H212" s="2"/>
      <c r="I212" s="83"/>
      <c r="J212" s="2"/>
      <c r="K212" s="83"/>
      <c r="L212" s="2"/>
      <c r="M212" s="83"/>
      <c r="N212" s="2"/>
      <c r="O212" s="83"/>
      <c r="P212" s="2"/>
      <c r="Q212" s="83"/>
      <c r="R212" s="2"/>
      <c r="S212" s="83"/>
      <c r="T212" s="2"/>
      <c r="U212" s="83"/>
      <c r="V212" s="2"/>
      <c r="W212" s="83"/>
      <c r="X212" s="2"/>
      <c r="Y212" s="83"/>
      <c r="Z212" s="83"/>
      <c r="AA212" s="83"/>
      <c r="AB212" s="81"/>
      <c r="AC212" s="512" t="s">
        <v>5103</v>
      </c>
      <c r="AD212" s="81"/>
      <c r="AE212" s="2981">
        <f>IF(AE$83&gt;0,LN(IF(AE$206&gt;=200,AE$99*AE$204*200^AE$205,NBPuff_A_Night*AE$83/AE$98/(200-AE$206+AE$207)^(1/NBPuff_B_Night))),0)</f>
        <v>0</v>
      </c>
      <c r="AF212" s="81"/>
      <c r="AG212" s="2981">
        <f>IF(AG$83&gt;0,LN(IF(AG$206&gt;=200,AG$99*AG$204*200^AG$205,NBPuff_A_Night*AG$83/AG$98/(200-AG$206+AG$207)^(1/NBPuff_B_Night))),0)</f>
        <v>0</v>
      </c>
      <c r="AH212" s="81"/>
      <c r="AI212" s="2981">
        <f>IF(AI$83&gt;0,LN(IF(AI$206&gt;=200,AI$99*AI$204*200^AI$205,NBPuff_A_Night*AI$83/AI$98/(200-AI$206+AI$207)^(1/NBPuff_B_Night))),0)</f>
        <v>0</v>
      </c>
      <c r="AJ212" s="81"/>
      <c r="AK212" s="2981">
        <f>IF(AK$83&gt;0,LN(IF(AK$206&gt;=200,AK$99*AK$204*200^AK$205,NBPuff_A_Night*AK$83/AK$98/(200-AK$206+AK$207)^(1/NBPuff_B_Night))),0)</f>
        <v>0</v>
      </c>
      <c r="AL212" s="81"/>
      <c r="AM212" s="2981">
        <f>IF(AM$83&gt;0,LN(IF(AM$206&gt;=200,AM$99*AM$204*200^AM$205,NBPuff_A_Night*AM$83/AM$98/(200-AM$206+AM$207)^(1/NBPuff_B_Night))),0)</f>
        <v>0</v>
      </c>
      <c r="AN212" s="81"/>
      <c r="AO212" s="2981">
        <f>IF(AO$83&gt;0,LN(IF(AO$206&gt;=200,AO$99*AO$204*200^AO$205,NBPuff_A_Night*AO$83/AO$98/(200-AO$206+AO$207)^(1/NBPuff_B_Night))),0)</f>
        <v>0</v>
      </c>
      <c r="AP212" s="81"/>
      <c r="AQ212" s="85"/>
      <c r="AR212" s="81"/>
      <c r="AS212" s="83"/>
      <c r="AT212" s="846" t="str">
        <f>B215</f>
        <v/>
      </c>
      <c r="AU212" s="83"/>
      <c r="AV212" s="3007">
        <f>IF(SUM(AV$77:AV$81)&gt;0,AV78/SUM(AV$77:AV$81),0)</f>
        <v>0</v>
      </c>
      <c r="AW212" s="269"/>
      <c r="AX212" s="3007">
        <f>IF(SUM(AX$77:AX$81)&gt;0,AX78/SUM(AX$77:AX$81),0)</f>
        <v>0</v>
      </c>
      <c r="AY212" s="269"/>
      <c r="AZ212" s="3007">
        <f>IF(SUM(AZ$77:AZ$81)&gt;0,AZ78/SUM(AZ$77:AZ$81),0)</f>
        <v>0</v>
      </c>
      <c r="BA212" s="269"/>
      <c r="BB212" s="3007">
        <f>IF(SUM(BB$77:BB$81)&gt;0,BB78/SUM(BB$77:BB$81),0)</f>
        <v>0</v>
      </c>
      <c r="BC212" s="269"/>
      <c r="BD212" s="3007">
        <f>IF(SUM(BD$77:BD$81)&gt;0,BD78/SUM(BD$77:BD$81),0)</f>
        <v>0</v>
      </c>
      <c r="BE212" s="269"/>
      <c r="BF212" s="3007">
        <f>IF(SUM(BF$77:BF$81)&gt;0,BF78/SUM(BF$77:BF$81),0)</f>
        <v>0</v>
      </c>
      <c r="BG212" s="269"/>
      <c r="BH212" s="3007">
        <f>IF(SUM(BH$77:BH$81)&gt;0,BH78/SUM(BH$77:BH$81),0)</f>
        <v>0</v>
      </c>
      <c r="BI212" s="269"/>
      <c r="BJ212" s="3007">
        <f>IF(SUM(BJ$77:BJ$81)&gt;0,BJ78/SUM(BJ$77:BJ$81),0)</f>
        <v>0</v>
      </c>
      <c r="BK212" s="269"/>
      <c r="BL212" s="3007">
        <f>IF(SUM(BL$77:BL$81)&gt;0,BL78/SUM(BL$77:BL$81),0)</f>
        <v>0</v>
      </c>
      <c r="BM212" s="269"/>
      <c r="BN212" s="3007">
        <f>IF(SUM(BN$77:BN$81)&gt;0,BN78/SUM(BN$77:BN$81),0)</f>
        <v>0</v>
      </c>
      <c r="BO212" s="269"/>
      <c r="BP212" s="1835"/>
      <c r="BQ212" s="83"/>
      <c r="BR212" s="81"/>
      <c r="BS212" s="81"/>
      <c r="BT212" s="81"/>
      <c r="BU212" s="81"/>
      <c r="BV212" s="81"/>
      <c r="BW212" s="81"/>
      <c r="BX212" s="81"/>
      <c r="BY212" s="81"/>
      <c r="BZ212" s="81"/>
      <c r="CA212" s="81"/>
      <c r="CB212" s="81"/>
      <c r="CC212" s="81"/>
      <c r="CD212" s="81"/>
      <c r="CE212" s="81"/>
      <c r="CF212" s="81"/>
      <c r="CG212" s="83"/>
      <c r="CH212" s="23" t="s">
        <v>3533</v>
      </c>
      <c r="CI212" s="83"/>
      <c r="CJ212" s="1839">
        <f>Lethality_Correction*((1-Fract_1.5_F)*CJ200+Fract_1.5_F*CJ211)</f>
        <v>4.500000000000001E-6</v>
      </c>
      <c r="CK212" s="83"/>
      <c r="CL212" s="23"/>
      <c r="CM212" s="83"/>
      <c r="CN212" s="7"/>
    </row>
    <row r="213" spans="1:92" s="26" customFormat="1" ht="15" customHeight="1" thickBot="1" x14ac:dyDescent="0.3">
      <c r="A213" s="2"/>
      <c r="B213" s="139" t="s">
        <v>1870</v>
      </c>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1"/>
      <c r="AC213" s="512" t="s">
        <v>5104</v>
      </c>
      <c r="AD213" s="81"/>
      <c r="AE213" s="2981">
        <f>IF(AE$83&gt;0,LN(IF(AE$206&gt;=500,AE$99*AE$204*500^AE$205,NBPuff_A_Night*AE$83/AE$98/(500-AE$206+AE$207)^(1/NBPuff_B_Night))),0)</f>
        <v>0</v>
      </c>
      <c r="AF213" s="81"/>
      <c r="AG213" s="2981">
        <f>IF(AG$83&gt;0,LN(IF(AG$206&gt;=500,AG$99*AG$204*500^AG$205,NBPuff_A_Night*AG$83/AG$98/(500-AG$206+AG$207)^(1/NBPuff_B_Night))),0)</f>
        <v>0</v>
      </c>
      <c r="AH213" s="81"/>
      <c r="AI213" s="2981">
        <f>IF(AI$83&gt;0,LN(IF(AI$206&gt;=500,AI$99*AI$204*500^AI$205,NBPuff_A_Night*AI$83/AI$98/(500-AI$206+AI$207)^(1/NBPuff_B_Night))),0)</f>
        <v>0</v>
      </c>
      <c r="AJ213" s="81"/>
      <c r="AK213" s="2981">
        <f>IF(AK$83&gt;0,LN(IF(AK$206&gt;=500,AK$99*AK$204*500^AK$205,NBPuff_A_Night*AK$83/AK$98/(500-AK$206+AK$207)^(1/NBPuff_B_Night))),0)</f>
        <v>0</v>
      </c>
      <c r="AL213" s="81"/>
      <c r="AM213" s="2981">
        <f>IF(AM$83&gt;0,LN(IF(AM$206&gt;=500,AM$99*AM$204*500^AM$205,NBPuff_A_Night*AM$83/AM$98/(500-AM$206+AM$207)^(1/NBPuff_B_Night))),0)</f>
        <v>0</v>
      </c>
      <c r="AN213" s="81"/>
      <c r="AO213" s="2981">
        <f>IF(AO$83&gt;0,LN(IF(AO$206&gt;=500,AO$99*AO$204*500^AO$205,NBPuff_A_Night*AO$83/AO$98/(500-AO$206+AO$207)^(1/NBPuff_B_Night))),0)</f>
        <v>0</v>
      </c>
      <c r="AP213" s="81"/>
      <c r="AQ213" s="85"/>
      <c r="AR213" s="81"/>
      <c r="AS213" s="83"/>
      <c r="AT213" s="846" t="str">
        <f>B216</f>
        <v/>
      </c>
      <c r="AU213" s="83"/>
      <c r="AV213" s="3007">
        <f>IF(SUM(AV$77:AV$81)&gt;0,AV79/SUM(AV$77:AV$81),0)</f>
        <v>0</v>
      </c>
      <c r="AW213" s="269"/>
      <c r="AX213" s="3007">
        <f>IF(SUM(AX$77:AX$81)&gt;0,AX79/SUM(AX$77:AX$81),0)</f>
        <v>0</v>
      </c>
      <c r="AY213" s="269"/>
      <c r="AZ213" s="3007">
        <f>IF(SUM(AZ$77:AZ$81)&gt;0,AZ79/SUM(AZ$77:AZ$81),0)</f>
        <v>0</v>
      </c>
      <c r="BA213" s="269"/>
      <c r="BB213" s="3007">
        <f>IF(SUM(BB$77:BB$81)&gt;0,BB79/SUM(BB$77:BB$81),0)</f>
        <v>0</v>
      </c>
      <c r="BC213" s="269"/>
      <c r="BD213" s="3007">
        <f>IF(SUM(BD$77:BD$81)&gt;0,BD79/SUM(BD$77:BD$81),0)</f>
        <v>0</v>
      </c>
      <c r="BE213" s="269"/>
      <c r="BF213" s="3007">
        <f>IF(SUM(BF$77:BF$81)&gt;0,BF79/SUM(BF$77:BF$81),0)</f>
        <v>0</v>
      </c>
      <c r="BG213" s="269"/>
      <c r="BH213" s="3007">
        <f>IF(SUM(BH$77:BH$81)&gt;0,BH79/SUM(BH$77:BH$81),0)</f>
        <v>0</v>
      </c>
      <c r="BI213" s="269"/>
      <c r="BJ213" s="3007">
        <f>IF(SUM(BJ$77:BJ$81)&gt;0,BJ79/SUM(BJ$77:BJ$81),0)</f>
        <v>0</v>
      </c>
      <c r="BK213" s="269"/>
      <c r="BL213" s="3007">
        <f>IF(SUM(BL$77:BL$81)&gt;0,BL79/SUM(BL$77:BL$81),0)</f>
        <v>0</v>
      </c>
      <c r="BM213" s="269"/>
      <c r="BN213" s="3007">
        <f>IF(SUM(BN$77:BN$81)&gt;0,BN79/SUM(BN$77:BN$81),0)</f>
        <v>0</v>
      </c>
      <c r="BO213" s="269"/>
      <c r="BP213" s="1835"/>
      <c r="BQ213" s="83"/>
      <c r="BR213" s="81"/>
      <c r="BS213" s="476" t="s">
        <v>1361</v>
      </c>
      <c r="BT213" s="81"/>
      <c r="BU213" s="81"/>
      <c r="BV213" s="81"/>
      <c r="BW213" s="81"/>
      <c r="BX213" s="81"/>
      <c r="BY213" s="81"/>
      <c r="BZ213" s="81"/>
      <c r="CA213" s="81"/>
      <c r="CB213" s="81"/>
      <c r="CC213" s="81"/>
      <c r="CD213" s="81"/>
      <c r="CE213" s="23"/>
      <c r="CF213" s="81"/>
      <c r="CG213" s="83"/>
      <c r="CH213" s="25" t="s">
        <v>4788</v>
      </c>
      <c r="CI213" s="83"/>
      <c r="CJ213" s="1286" t="str">
        <f>IF(CJ145="No","NA",IF(CJ151-Public&lt;HD_VeryLow_Offsite,Conseq_VeryLow_Offsite+N_OffSite,IF(CJ151-Public&lt;HD_Low_Offsite,Conseq_Low+N_OffSite,IF(CJ151-Public&lt;HD_Moderate_Offsite,Conseq_Moderate+IF(Conseq_Moderate&lt;Conseq_GT_ExtremeHigh,N_OffSite,0),IF(CJ151-Public&lt;HD_High_Offsite,Conseq_High+IF(Conseq_High&lt;Conseq_GT_ExtremeHigh,N_OffSite,0),IF(CJ151-Public&lt;HD_VeryHigh_Offsite,Conseq_VeryHigh+IF(Conseq_VeryHigh&lt;Conseq_GT_ExtremeHigh,N_OffSite,0),Conseq_ExtremeHigh+IF(Conseq_ExtremeHigh&lt;Conseq_GT_ExtremeHigh,N_OffSite,0)))))))</f>
        <v>NA</v>
      </c>
      <c r="CK213" s="83"/>
      <c r="CL213" s="23"/>
      <c r="CM213" s="83"/>
      <c r="CN213" s="7"/>
    </row>
    <row r="214" spans="1:92" s="26" customFormat="1" ht="15" customHeight="1" thickBot="1" x14ac:dyDescent="0.3">
      <c r="A214" s="2"/>
      <c r="B214" s="846" t="str">
        <f>IF(B17="","","Vapor Mole Fraction "&amp;B17)</f>
        <v/>
      </c>
      <c r="C214" s="83"/>
      <c r="D214" s="3007">
        <f>IF(SUM(D$93:D$97)&gt;0,D93/SUM(D$93:D$97),0)</f>
        <v>0</v>
      </c>
      <c r="E214" s="83"/>
      <c r="F214" s="3007">
        <f>IF(SUM(F$93:F$97)&gt;0,F93/SUM(F$93:F$97),0)</f>
        <v>0</v>
      </c>
      <c r="G214" s="83"/>
      <c r="H214" s="3007">
        <f>IF(SUM(H$93:H$97)&gt;0,H93/SUM(H$93:H$97),0)</f>
        <v>0</v>
      </c>
      <c r="I214" s="83"/>
      <c r="J214" s="3007">
        <f>IF(SUM(J$93:J$97)&gt;0,J93/SUM(J$93:J$97),0)</f>
        <v>0</v>
      </c>
      <c r="K214" s="83"/>
      <c r="L214" s="3007">
        <f>IF(SUM(L$93:L$97)&gt;0,L93/SUM(L$93:L$97),0)</f>
        <v>0</v>
      </c>
      <c r="M214" s="83"/>
      <c r="N214" s="3007">
        <f>IF(SUM(N$93:N$97)&gt;0,N93/SUM(N$93:N$97),0)</f>
        <v>0</v>
      </c>
      <c r="O214" s="83"/>
      <c r="P214" s="3007">
        <f>IF(SUM(P$93:P$97)&gt;0,P93/SUM(P$93:P$97),0)</f>
        <v>0</v>
      </c>
      <c r="Q214" s="83"/>
      <c r="R214" s="3007">
        <f>IF(SUM(R$93:R$97)&gt;0,R93/SUM(R$93:R$97),0)</f>
        <v>0</v>
      </c>
      <c r="S214" s="83"/>
      <c r="T214" s="3007">
        <f>IF(SUM(T$93:T$97)&gt;0,T93/SUM(T$93:T$97),0)</f>
        <v>0</v>
      </c>
      <c r="U214" s="83"/>
      <c r="V214" s="3007">
        <f>IF(SUM(V$93:V$97)&gt;0,V93/SUM(V$93:V$97),0)</f>
        <v>0</v>
      </c>
      <c r="W214" s="83"/>
      <c r="X214" s="3007">
        <f>IF(SUM(X$93:X$97)&gt;0,X93/SUM(X$93:X$97),0)</f>
        <v>0</v>
      </c>
      <c r="Y214" s="83"/>
      <c r="Z214" s="85"/>
      <c r="AA214" s="83"/>
      <c r="AB214" s="81"/>
      <c r="AC214" s="512" t="s">
        <v>5105</v>
      </c>
      <c r="AD214" s="81"/>
      <c r="AE214" s="2981">
        <f>IF(AE$83&gt;0,LN(IF(AE$206&gt;=1000,AE$99*AE$204*1000^AE$205,NBPuff_A_Night*AE$83/AE$98/(1000-AE$206+AE$207)^(1/NBPuff_B_Night))),0)</f>
        <v>0</v>
      </c>
      <c r="AF214" s="81"/>
      <c r="AG214" s="2981">
        <f>IF(AG$83&gt;0,LN(IF(AG$206&gt;=1000,AG$99*AG$204*1000^AG$205,NBPuff_A_Night*AG$83/AG$98/(1000-AG$206+AG$207)^(1/NBPuff_B_Night))),0)</f>
        <v>0</v>
      </c>
      <c r="AH214" s="81"/>
      <c r="AI214" s="2981">
        <f>IF(AI$83&gt;0,LN(IF(AI$206&gt;=1000,AI$99*AI$204*1000^AI$205,NBPuff_A_Night*AI$83/AI$98/(1000-AI$206+AI$207)^(1/NBPuff_B_Night))),0)</f>
        <v>0</v>
      </c>
      <c r="AJ214" s="81"/>
      <c r="AK214" s="2981">
        <f>IF(AK$83&gt;0,LN(IF(AK$206&gt;=1000,AK$99*AK$204*1000^AK$205,NBPuff_A_Night*AK$83/AK$98/(1000-AK$206+AK$207)^(1/NBPuff_B_Night))),0)</f>
        <v>0</v>
      </c>
      <c r="AL214" s="81"/>
      <c r="AM214" s="2981">
        <f>IF(AM$83&gt;0,LN(IF(AM$206&gt;=1000,AM$99*AM$204*1000^AM$205,NBPuff_A_Night*AM$83/AM$98/(1000-AM$206+AM$207)^(1/NBPuff_B_Night))),0)</f>
        <v>0</v>
      </c>
      <c r="AN214" s="81"/>
      <c r="AO214" s="2981">
        <f>IF(AO$83&gt;0,LN(IF(AO$206&gt;=1000,AO$99*AO$204*1000^AO$205,NBPuff_A_Night*AO$83/AO$98/(1000-AO$206+AO$207)^(1/NBPuff_B_Night))),0)</f>
        <v>0</v>
      </c>
      <c r="AP214" s="81"/>
      <c r="AQ214" s="85"/>
      <c r="AR214" s="81"/>
      <c r="AS214" s="83"/>
      <c r="AT214" s="846" t="str">
        <f>B217</f>
        <v/>
      </c>
      <c r="AU214" s="83"/>
      <c r="AV214" s="3007">
        <f>IF(SUM(AV$77:AV$81)&gt;0,AV80/SUM(AV$77:AV$81),0)</f>
        <v>0</v>
      </c>
      <c r="AW214" s="269"/>
      <c r="AX214" s="3007">
        <f>IF(SUM(AX$77:AX$81)&gt;0,AX80/SUM(AX$77:AX$81),0)</f>
        <v>0</v>
      </c>
      <c r="AY214" s="269"/>
      <c r="AZ214" s="3007">
        <f>IF(SUM(AZ$77:AZ$81)&gt;0,AZ80/SUM(AZ$77:AZ$81),0)</f>
        <v>0</v>
      </c>
      <c r="BA214" s="269"/>
      <c r="BB214" s="3007">
        <f>IF(SUM(BB$77:BB$81)&gt;0,BB80/SUM(BB$77:BB$81),0)</f>
        <v>0</v>
      </c>
      <c r="BC214" s="269"/>
      <c r="BD214" s="3007">
        <f>IF(SUM(BD$77:BD$81)&gt;0,BD80/SUM(BD$77:BD$81),0)</f>
        <v>0</v>
      </c>
      <c r="BE214" s="269"/>
      <c r="BF214" s="3007">
        <f>IF(SUM(BF$77:BF$81)&gt;0,BF80/SUM(BF$77:BF$81),0)</f>
        <v>0</v>
      </c>
      <c r="BG214" s="269"/>
      <c r="BH214" s="3007">
        <f>IF(SUM(BH$77:BH$81)&gt;0,BH80/SUM(BH$77:BH$81),0)</f>
        <v>0</v>
      </c>
      <c r="BI214" s="269"/>
      <c r="BJ214" s="3007">
        <f>IF(SUM(BJ$77:BJ$81)&gt;0,BJ80/SUM(BJ$77:BJ$81),0)</f>
        <v>0</v>
      </c>
      <c r="BK214" s="269"/>
      <c r="BL214" s="3007">
        <f>IF(SUM(BL$77:BL$81)&gt;0,BL80/SUM(BL$77:BL$81),0)</f>
        <v>0</v>
      </c>
      <c r="BM214" s="269"/>
      <c r="BN214" s="3007">
        <f>IF(SUM(BN$77:BN$81)&gt;0,BN80/SUM(BN$77:BN$81),0)</f>
        <v>0</v>
      </c>
      <c r="BO214" s="269"/>
      <c r="BP214" s="1835"/>
      <c r="BQ214" s="83"/>
      <c r="BR214" s="81"/>
      <c r="BS214" s="845" t="str">
        <f>B214</f>
        <v/>
      </c>
      <c r="BT214" s="81"/>
      <c r="BU214" s="3007">
        <f>IF(SUM(BU$93:BU$97)&gt;0,BU93/SUM(BU$93:BU$97),0)</f>
        <v>0</v>
      </c>
      <c r="BV214" s="81"/>
      <c r="BW214" s="3007">
        <f>IF(SUM(BW$93:BW$97)&gt;0,BW93/SUM(BW$93:BW$97),0)</f>
        <v>0</v>
      </c>
      <c r="BX214" s="81"/>
      <c r="BY214" s="3007">
        <f>IF(SUM(BY$93:BY$97)&gt;0,BY93/SUM(BY$93:BY$97),0)</f>
        <v>0</v>
      </c>
      <c r="BZ214" s="81"/>
      <c r="CA214" s="3007">
        <f>IF(SUM(CA$93:CA$97)&gt;0,CA93/SUM(CA$93:CA$97),0)</f>
        <v>0</v>
      </c>
      <c r="CB214" s="81"/>
      <c r="CC214" s="3007">
        <f>IF(SUM(CC$93:CC$97)&gt;0,CC93/SUM(CC$93:CC$97),0)</f>
        <v>0</v>
      </c>
      <c r="CD214" s="81"/>
      <c r="CE214" s="92"/>
      <c r="CF214" s="81"/>
      <c r="CG214" s="83"/>
      <c r="CH214" s="25" t="s">
        <v>4223</v>
      </c>
      <c r="CI214" s="83"/>
      <c r="CJ214" s="873" t="str">
        <f>IF(CJ212&lt;N_Screening,IF(CJ147="Yes",Conseq_Low_Offsite,IF(CJ145="Yes",Conseq_VeryLow_Offsite,"NA")),IF(CJ212&lt;N_VeryLow,Conseq_VeryLow+N_OffSite,IF(CJ212&lt;N_Low,Conseq_Low+N_OffSite,IF(CJ212&lt;N_Moderate,Conseq_Moderate+IF(Conseq_Moderate&lt;Conseq_GT_ExtremeHigh,N_OffSite,0),IF(CJ212&lt;N_High,Conseq_High+IF(Conseq_High&lt;Conseq_GT_ExtremeHigh,N_OffSite,0),IF(CJ212&lt;Conseq_VeryHigh,Conseq_VeryHigh+IF(Conseq_VeryHigh&lt;Conseq_GT_ExtremeHigh,N_OffSite,0),Conseq_ExtremeHigh+IF(Conseq_ExtremeHigh&lt;Conseq_GT_ExtremeHigh,N_OffSite,0)))))))</f>
        <v>NA</v>
      </c>
      <c r="CK214" s="83"/>
      <c r="CL214" s="89"/>
      <c r="CM214" s="83"/>
      <c r="CN214" s="7"/>
    </row>
    <row r="215" spans="1:92" s="26" customFormat="1" ht="15" customHeight="1" x14ac:dyDescent="0.25">
      <c r="A215" s="2"/>
      <c r="B215" s="846" t="str">
        <f>IF(B18="","","Vapor Mole Fraction "&amp;B18)</f>
        <v/>
      </c>
      <c r="C215" s="83"/>
      <c r="D215" s="3007">
        <f>IF(SUM(D$93:D$97)&gt;0,D94/SUM(D$93:D$97),0)</f>
        <v>0</v>
      </c>
      <c r="E215" s="83"/>
      <c r="F215" s="3007">
        <f>IF(SUM(F$93:F$97)&gt;0,F94/SUM(F$93:F$97),0)</f>
        <v>0</v>
      </c>
      <c r="G215" s="83"/>
      <c r="H215" s="3007">
        <f>IF(SUM(H$93:H$97)&gt;0,H94/SUM(H$93:H$97),0)</f>
        <v>0</v>
      </c>
      <c r="I215" s="83"/>
      <c r="J215" s="3007">
        <f>IF(SUM(J$93:J$97)&gt;0,J94/SUM(J$93:J$97),0)</f>
        <v>0</v>
      </c>
      <c r="K215" s="83"/>
      <c r="L215" s="3007">
        <f>IF(SUM(L$93:L$97)&gt;0,L94/SUM(L$93:L$97),0)</f>
        <v>0</v>
      </c>
      <c r="M215" s="83"/>
      <c r="N215" s="3007">
        <f>IF(SUM(N$93:N$97)&gt;0,N94/SUM(N$93:N$97),0)</f>
        <v>0</v>
      </c>
      <c r="O215" s="83"/>
      <c r="P215" s="3007">
        <f>IF(SUM(P$93:P$97)&gt;0,P94/SUM(P$93:P$97),0)</f>
        <v>0</v>
      </c>
      <c r="Q215" s="83"/>
      <c r="R215" s="3007">
        <f>IF(SUM(R$93:R$97)&gt;0,R94/SUM(R$93:R$97),0)</f>
        <v>0</v>
      </c>
      <c r="S215" s="83"/>
      <c r="T215" s="3007">
        <f>IF(SUM(T$93:T$97)&gt;0,T94/SUM(T$93:T$97),0)</f>
        <v>0</v>
      </c>
      <c r="U215" s="83"/>
      <c r="V215" s="3007">
        <f>IF(SUM(V$93:V$97)&gt;0,V94/SUM(V$93:V$97),0)</f>
        <v>0</v>
      </c>
      <c r="W215" s="83"/>
      <c r="X215" s="3007">
        <f>IF(SUM(X$93:X$97)&gt;0,X94/SUM(X$93:X$97),0)</f>
        <v>0</v>
      </c>
      <c r="Y215" s="83"/>
      <c r="Z215" s="85"/>
      <c r="AA215" s="83"/>
      <c r="AB215" s="81"/>
      <c r="AC215" s="512" t="s">
        <v>5106</v>
      </c>
      <c r="AD215" s="81"/>
      <c r="AE215" s="2981">
        <f>IF(AE$83&gt;0,LN(IF(AE$206&gt;=2000,AE$99*AE$204*2000^AE$205,NBPuff_A_Night*AE$83/AE$98/(2000-AE$206+AE$207)^(1/NBPuff_B_Night))),0)</f>
        <v>0</v>
      </c>
      <c r="AF215" s="81"/>
      <c r="AG215" s="2981">
        <f>IF(AG$83&gt;0,LN(IF(AG$206&gt;=2000,AG$99*AG$204*2000^AG$205,NBPuff_A_Night*AG$83/AG$98/(2000-AG$206+AG$207)^(1/NBPuff_B_Night))),0)</f>
        <v>0</v>
      </c>
      <c r="AH215" s="81"/>
      <c r="AI215" s="2981">
        <f>IF(AI$83&gt;0,LN(IF(AI$206&gt;=2000,AI$99*AI$204*2000^AI$205,NBPuff_A_Night*AI$83/AI$98/(2000-AI$206+AI$207)^(1/NBPuff_B_Night))),0)</f>
        <v>0</v>
      </c>
      <c r="AJ215" s="81"/>
      <c r="AK215" s="2981">
        <f>IF(AK$83&gt;0,LN(IF(AK$206&gt;=2000,AK$99*AK$204*2000^AK$205,NBPuff_A_Night*AK$83/AK$98/(2000-AK$206+AK$207)^(1/NBPuff_B_Night))),0)</f>
        <v>0</v>
      </c>
      <c r="AL215" s="81"/>
      <c r="AM215" s="2981">
        <f>IF(AM$83&gt;0,LN(IF(AM$206&gt;=2000,AM$99*AM$204*2000^AM$205,NBPuff_A_Night*AM$83/AM$98/(2000-AM$206+AM$207)^(1/NBPuff_B_Night))),0)</f>
        <v>0</v>
      </c>
      <c r="AN215" s="81"/>
      <c r="AO215" s="2981">
        <f>IF(AO$83&gt;0,LN(IF(AO$206&gt;=2000,AO$99*AO$204*2000^AO$205,NBPuff_A_Night*AO$83/AO$98/(2000-AO$206+AO$207)^(1/NBPuff_B_Night))),0)</f>
        <v>0</v>
      </c>
      <c r="AP215" s="81"/>
      <c r="AQ215" s="85"/>
      <c r="AR215" s="81"/>
      <c r="AS215" s="83"/>
      <c r="AT215" s="846" t="str">
        <f>B218</f>
        <v/>
      </c>
      <c r="AU215" s="83"/>
      <c r="AV215" s="3007">
        <f>IF(SUM(AV$77:AV$81)&gt;0,AV81/SUM(AV$77:AV$81),0)</f>
        <v>0</v>
      </c>
      <c r="AW215" s="269"/>
      <c r="AX215" s="3007">
        <f>IF(SUM(AX$77:AX$81)&gt;0,AX81/SUM(AX$77:AX$81),0)</f>
        <v>0</v>
      </c>
      <c r="AY215" s="269"/>
      <c r="AZ215" s="3007">
        <f>IF(SUM(AZ$77:AZ$81)&gt;0,AZ81/SUM(AZ$77:AZ$81),0)</f>
        <v>0</v>
      </c>
      <c r="BA215" s="269"/>
      <c r="BB215" s="3007">
        <f>IF(SUM(BB$77:BB$81)&gt;0,BB81/SUM(BB$77:BB$81),0)</f>
        <v>0</v>
      </c>
      <c r="BC215" s="269"/>
      <c r="BD215" s="3007">
        <f>IF(SUM(BD$77:BD$81)&gt;0,BD81/SUM(BD$77:BD$81),0)</f>
        <v>0</v>
      </c>
      <c r="BE215" s="269"/>
      <c r="BF215" s="3007">
        <f>IF(SUM(BF$77:BF$81)&gt;0,BF81/SUM(BF$77:BF$81),0)</f>
        <v>0</v>
      </c>
      <c r="BG215" s="269"/>
      <c r="BH215" s="3007">
        <f>IF(SUM(BH$77:BH$81)&gt;0,BH81/SUM(BH$77:BH$81),0)</f>
        <v>0</v>
      </c>
      <c r="BI215" s="269"/>
      <c r="BJ215" s="3007">
        <f>IF(SUM(BJ$77:BJ$81)&gt;0,BJ81/SUM(BJ$77:BJ$81),0)</f>
        <v>0</v>
      </c>
      <c r="BK215" s="269"/>
      <c r="BL215" s="3007">
        <f>IF(SUM(BL$77:BL$81)&gt;0,BL81/SUM(BL$77:BL$81),0)</f>
        <v>0</v>
      </c>
      <c r="BM215" s="269"/>
      <c r="BN215" s="3007">
        <f>IF(SUM(BN$77:BN$81)&gt;0,BN81/SUM(BN$77:BN$81),0)</f>
        <v>0</v>
      </c>
      <c r="BO215" s="269"/>
      <c r="BP215" s="1835"/>
      <c r="BQ215" s="83"/>
      <c r="BR215" s="81"/>
      <c r="BS215" s="846" t="str">
        <f>B215</f>
        <v/>
      </c>
      <c r="BT215" s="81"/>
      <c r="BU215" s="3007">
        <f>IF(SUM(BU$93:BU$97)&gt;0,BU94/SUM(BU$93:BU$97),0)</f>
        <v>0</v>
      </c>
      <c r="BV215" s="81"/>
      <c r="BW215" s="3007">
        <f>IF(SUM(BW$93:BW$97)&gt;0,BW94/SUM(BW$93:BW$97),0)</f>
        <v>0</v>
      </c>
      <c r="BX215" s="81"/>
      <c r="BY215" s="3007">
        <f>IF(SUM(BY$93:BY$97)&gt;0,BY94/SUM(BY$93:BY$97),0)</f>
        <v>0</v>
      </c>
      <c r="BZ215" s="81"/>
      <c r="CA215" s="3007">
        <f>IF(SUM(CA$93:CA$97)&gt;0,CA94/SUM(CA$93:CA$97),0)</f>
        <v>0</v>
      </c>
      <c r="CB215" s="81"/>
      <c r="CC215" s="3007">
        <f>IF(SUM(CC$93:CC$97)&gt;0,CC94/SUM(CC$93:CC$97),0)</f>
        <v>0</v>
      </c>
      <c r="CD215" s="81"/>
      <c r="CE215" s="85"/>
      <c r="CF215" s="81"/>
      <c r="CG215" s="83"/>
      <c r="CH215" s="23" t="s">
        <v>2735</v>
      </c>
      <c r="CI215" s="83"/>
      <c r="CJ215" s="489">
        <f>IF(CJ13&lt;&gt;"",IF(CJ16/(Max_Duration*CJ13)&gt;1,1,CJ16/(Max_Duration*CJ13)),0)</f>
        <v>0</v>
      </c>
      <c r="CK215" s="83"/>
      <c r="CL215" s="23" t="s">
        <v>1592</v>
      </c>
      <c r="CM215" s="83"/>
      <c r="CN215" s="7"/>
    </row>
    <row r="216" spans="1:92" s="26" customFormat="1" ht="15" customHeight="1" thickBot="1" x14ac:dyDescent="0.3">
      <c r="A216" s="2"/>
      <c r="B216" s="846" t="str">
        <f>IF(B19="","","Vapor Mole Fraction "&amp;B19)</f>
        <v/>
      </c>
      <c r="C216" s="83"/>
      <c r="D216" s="3007">
        <f>IF(SUM(D$93:D$97)&gt;0,D95/SUM(D$93:D$97),0)</f>
        <v>0</v>
      </c>
      <c r="E216" s="83"/>
      <c r="F216" s="3007">
        <f>IF(SUM(F$93:F$97)&gt;0,F95/SUM(F$93:F$97),0)</f>
        <v>0</v>
      </c>
      <c r="G216" s="83"/>
      <c r="H216" s="3007">
        <f>IF(SUM(H$93:H$97)&gt;0,H95/SUM(H$93:H$97),0)</f>
        <v>0</v>
      </c>
      <c r="I216" s="83"/>
      <c r="J216" s="3007">
        <f>IF(SUM(J$93:J$97)&gt;0,J95/SUM(J$93:J$97),0)</f>
        <v>0</v>
      </c>
      <c r="K216" s="83"/>
      <c r="L216" s="3007">
        <f>IF(SUM(L$93:L$97)&gt;0,L95/SUM(L$93:L$97),0)</f>
        <v>0</v>
      </c>
      <c r="M216" s="83"/>
      <c r="N216" s="3007">
        <f>IF(SUM(N$93:N$97)&gt;0,N95/SUM(N$93:N$97),0)</f>
        <v>0</v>
      </c>
      <c r="O216" s="83"/>
      <c r="P216" s="3007">
        <f>IF(SUM(P$93:P$97)&gt;0,P95/SUM(P$93:P$97),0)</f>
        <v>0</v>
      </c>
      <c r="Q216" s="83"/>
      <c r="R216" s="3007">
        <f>IF(SUM(R$93:R$97)&gt;0,R95/SUM(R$93:R$97),0)</f>
        <v>0</v>
      </c>
      <c r="S216" s="83"/>
      <c r="T216" s="3007">
        <f>IF(SUM(T$93:T$97)&gt;0,T95/SUM(T$93:T$97),0)</f>
        <v>0</v>
      </c>
      <c r="U216" s="83"/>
      <c r="V216" s="3007">
        <f>IF(SUM(V$93:V$97)&gt;0,V95/SUM(V$93:V$97),0)</f>
        <v>0</v>
      </c>
      <c r="W216" s="83"/>
      <c r="X216" s="3007">
        <f>IF(SUM(X$93:X$97)&gt;0,X95/SUM(X$93:X$97),0)</f>
        <v>0</v>
      </c>
      <c r="Y216" s="83"/>
      <c r="Z216" s="85"/>
      <c r="AA216" s="83"/>
      <c r="AB216" s="81"/>
      <c r="AC216" s="512" t="s">
        <v>5107</v>
      </c>
      <c r="AD216" s="81"/>
      <c r="AE216" s="2981">
        <f>IF(AE$83&gt;0,LN(IF(AE$206&gt;=5000,AE$99*AE$204*5000^AE$205,NBPuff_A_Night*AE$83/AE$98/(5000-AE$206+AE$207)^(1/NBPuff_B_Night))),0)</f>
        <v>0</v>
      </c>
      <c r="AF216" s="81"/>
      <c r="AG216" s="2981">
        <f>IF(AG$83&gt;0,LN(IF(AG$206&gt;=5000,AG$99*AG$204*5000^AG$205,NBPuff_A_Night*AG$83/AG$98/(5000-AG$206+AG$207)^(1/NBPuff_B_Night))),0)</f>
        <v>0</v>
      </c>
      <c r="AH216" s="81"/>
      <c r="AI216" s="2981">
        <f>IF(AI$83&gt;0,LN(IF(AI$206&gt;=5000,AI$99*AI$204*5000^AI$205,NBPuff_A_Night*AI$83/AI$98/(5000-AI$206+AI$207)^(1/NBPuff_B_Night))),0)</f>
        <v>0</v>
      </c>
      <c r="AJ216" s="81"/>
      <c r="AK216" s="2981">
        <f>IF(AK$83&gt;0,LN(IF(AK$206&gt;=5000,AK$99*AK$204*5000^AK$205,NBPuff_A_Night*AK$83/AK$98/(5000-AK$206+AK$207)^(1/NBPuff_B_Night))),0)</f>
        <v>0</v>
      </c>
      <c r="AL216" s="81"/>
      <c r="AM216" s="2981">
        <f>IF(AM$83&gt;0,LN(IF(AM$206&gt;=5000,AM$99*AM$204*5000^AM$205,NBPuff_A_Night*AM$83/AM$98/(5000-AM$206+AM$207)^(1/NBPuff_B_Night))),0)</f>
        <v>0</v>
      </c>
      <c r="AN216" s="81"/>
      <c r="AO216" s="2981">
        <f>IF(AO$83&gt;0,LN(IF(AO$206&gt;=5000,AO$99*AO$204*5000^AO$205,NBPuff_A_Night*AO$83/AO$98/(5000-AO$206+AO$207)^(1/NBPuff_B_Night))),0)</f>
        <v>0</v>
      </c>
      <c r="AP216" s="81"/>
      <c r="AQ216" s="85"/>
      <c r="AR216" s="81"/>
      <c r="AS216" s="83"/>
      <c r="AT216" s="2994" t="s">
        <v>3828</v>
      </c>
      <c r="AU216" s="269"/>
      <c r="AV216" s="2095">
        <f>IF(EXP(VP_A-VP_B/(Ambient_Temp+Approach_dT+273.15-VP_C))*(AV211*Act_1*(Rel_1*EXP(dRel_1*(Ambient_Temp+Approach_dT-T)))+AV212*Act_2*(Rel_2*EXP(dRel_2*(Ambient_Temp+Approach_dT-T)))+AV213*Act_3*(Rel_3*EXP(dRel_3*(Ambient_Temp+Approach_dT-T)))+AV214*Act_4*(Rel_4*EXP(dRel_4*(Ambient_Temp+Approach_dT-T)))+AV215*Act_5*(Rel_5*EXP(dRel_5*(Ambient_Temp+Approach_dT-T))))&lt;0.5,2000000*EXP(VP_A-VP_B/(Ambient_Temp+Approach_dT+273.15-VP_C))*(AV211*Act_1*(Rel_1*EXP(dRel_1*(Ambient_Temp+Approach_dT-T)))+AV212*Act_2*(Rel_2*EXP(dRel_2*(Ambient_Temp+Approach_dT-T)))+AV213*Act_3*(Rel_3*EXP(dRel_3*(Ambient_Temp+Approach_dT-T)))+AV214*Act_4*(Rel_4*EXP(dRel_4*(Ambient_Temp+Approach_dT-T)))+AV215*Act_5*(Rel_5*EXP(dRel_5*(Ambient_Temp+Approach_dT-T)))),1000000)</f>
        <v>0</v>
      </c>
      <c r="AW216" s="269"/>
      <c r="AX216" s="2095">
        <f>IF(EXP(VP_A-VP_B/(Ambient_Temp+Approach_dT+273.15-VP_C))*(AX211*Act_1*(Rel_1*EXP(dRel_1*(Ambient_Temp+Approach_dT-T)))+AX212*Act_2*(Rel_2*EXP(dRel_2*(Ambient_Temp+Approach_dT-T)))+AX213*Act_3*(Rel_3*EXP(dRel_3*(Ambient_Temp+Approach_dT-T)))+AX214*Act_4*(Rel_4*EXP(dRel_4*(Ambient_Temp+Approach_dT-T)))+AX215*Act_5*(Rel_5*EXP(dRel_5*(Ambient_Temp+Approach_dT-T))))&lt;0.5,2000000*EXP(VP_A-VP_B/(Ambient_Temp+Approach_dT+273.15-VP_C))*(AX211*Act_1*(Rel_1*EXP(dRel_1*(Ambient_Temp+Approach_dT-T)))+AX212*Act_2*(Rel_2*EXP(dRel_2*(Ambient_Temp+Approach_dT-T)))+AX213*Act_3*(Rel_3*EXP(dRel_3*(Ambient_Temp+Approach_dT-T)))+AX214*Act_4*(Rel_4*EXP(dRel_4*(Ambient_Temp+Approach_dT-T)))+AX215*Act_5*(Rel_5*EXP(dRel_5*(Ambient_Temp+Approach_dT-T)))),1000000)</f>
        <v>0</v>
      </c>
      <c r="AY216" s="269"/>
      <c r="AZ216" s="2095">
        <f>IF(EXP(VP_A-VP_B/(Ambient_Temp+Approach_dT+273.15-VP_C))*(AZ211*Act_1*(Rel_1*EXP(dRel_1*(Ambient_Temp+Approach_dT-T)))+AZ212*Act_2*(Rel_2*EXP(dRel_2*(Ambient_Temp+Approach_dT-T)))+AZ213*Act_3*(Rel_3*EXP(dRel_3*(Ambient_Temp+Approach_dT-T)))+AZ214*Act_4*(Rel_4*EXP(dRel_4*(Ambient_Temp+Approach_dT-T)))+AZ215*Act_5*(Rel_5*EXP(dRel_5*(Ambient_Temp+Approach_dT-T))))&lt;0.5,2000000*EXP(VP_A-VP_B/(Ambient_Temp+Approach_dT+273.15-VP_C))*(AZ211*Act_1*(Rel_1*EXP(dRel_1*(Ambient_Temp+Approach_dT-T)))+AZ212*Act_2*(Rel_2*EXP(dRel_2*(Ambient_Temp+Approach_dT-T)))+AZ213*Act_3*(Rel_3*EXP(dRel_3*(Ambient_Temp+Approach_dT-T)))+AZ214*Act_4*(Rel_4*EXP(dRel_4*(Ambient_Temp+Approach_dT-T)))+AZ215*Act_5*(Rel_5*EXP(dRel_5*(Ambient_Temp+Approach_dT-T)))),1000000)</f>
        <v>0</v>
      </c>
      <c r="BA216" s="269"/>
      <c r="BB216" s="2095">
        <f>IF(EXP(VP_A-VP_B/(Ambient_Temp+Approach_dT+273.15-VP_C))*(BB211*Act_1*(Rel_1*EXP(dRel_1*(Ambient_Temp+Approach_dT-T)))+BB212*Act_2*(Rel_2*EXP(dRel_2*(Ambient_Temp+Approach_dT-T)))+BB213*Act_3*(Rel_3*EXP(dRel_3*(Ambient_Temp+Approach_dT-T)))+BB214*Act_4*(Rel_4*EXP(dRel_4*(Ambient_Temp+Approach_dT-T)))+BB215*Act_5*(Rel_5*EXP(dRel_5*(Ambient_Temp+Approach_dT-T))))&lt;0.5,2000000*EXP(VP_A-VP_B/(Ambient_Temp+Approach_dT+273.15-VP_C))*(BB211*Act_1*(Rel_1*EXP(dRel_1*(Ambient_Temp+Approach_dT-T)))+BB212*Act_2*(Rel_2*EXP(dRel_2*(Ambient_Temp+Approach_dT-T)))+BB213*Act_3*(Rel_3*EXP(dRel_3*(Ambient_Temp+Approach_dT-T)))+BB214*Act_4*(Rel_4*EXP(dRel_4*(Ambient_Temp+Approach_dT-T)))+BB215*Act_5*(Rel_5*EXP(dRel_5*(Ambient_Temp+Approach_dT-T)))),1000000)</f>
        <v>0</v>
      </c>
      <c r="BC216" s="269"/>
      <c r="BD216" s="2095">
        <f>IF(EXP(VP_A-VP_B/(Ambient_Temp+Approach_dT+273.15-VP_C))*(BD211*Act_1*(Rel_1*EXP(dRel_1*(Ambient_Temp+Approach_dT-T)))+BD212*Act_2*(Rel_2*EXP(dRel_2*(Ambient_Temp+Approach_dT-T)))+BD213*Act_3*(Rel_3*EXP(dRel_3*(Ambient_Temp+Approach_dT-T)))+BD214*Act_4*(Rel_4*EXP(dRel_4*(Ambient_Temp+Approach_dT-T)))+BD215*Act_5*(Rel_5*EXP(dRel_5*(Ambient_Temp+Approach_dT-T))))&lt;0.5,2000000*EXP(VP_A-VP_B/(Ambient_Temp+Approach_dT+273.15-VP_C))*(BD211*Act_1*(Rel_1*EXP(dRel_1*(Ambient_Temp+Approach_dT-T)))+BD212*Act_2*(Rel_2*EXP(dRel_2*(Ambient_Temp+Approach_dT-T)))+BD213*Act_3*(Rel_3*EXP(dRel_3*(Ambient_Temp+Approach_dT-T)))+BD214*Act_4*(Rel_4*EXP(dRel_4*(Ambient_Temp+Approach_dT-T)))+BD215*Act_5*(Rel_5*EXP(dRel_5*(Ambient_Temp+Approach_dT-T)))),1000000)</f>
        <v>0</v>
      </c>
      <c r="BE216" s="269"/>
      <c r="BF216" s="2095">
        <f>IF(EXP(VP_A-VP_B/(Ambient_Temp+Approach_dT+273.15-VP_C))*(BF211*Act_1*(Rel_1*EXP(dRel_1*(Ambient_Temp+Approach_dT-T)))+BF212*Act_2*(Rel_2*EXP(dRel_2*(Ambient_Temp+Approach_dT-T)))+BF213*Act_3*(Rel_3*EXP(dRel_3*(Ambient_Temp+Approach_dT-T)))+BF214*Act_4*(Rel_4*EXP(dRel_4*(Ambient_Temp+Approach_dT-T)))+BF215*Act_5*(Rel_5*EXP(dRel_5*(Ambient_Temp+Approach_dT-T))))&lt;0.5,2000000*EXP(VP_A-VP_B/(Ambient_Temp+Approach_dT+273.15-VP_C))*(BF211*Act_1*(Rel_1*EXP(dRel_1*(Ambient_Temp+Approach_dT-T)))+BF212*Act_2*(Rel_2*EXP(dRel_2*(Ambient_Temp+Approach_dT-T)))+BF213*Act_3*(Rel_3*EXP(dRel_3*(Ambient_Temp+Approach_dT-T)))+BF214*Act_4*(Rel_4*EXP(dRel_4*(Ambient_Temp+Approach_dT-T)))+BF215*Act_5*(Rel_5*EXP(dRel_5*(Ambient_Temp+Approach_dT-T)))),1000000)</f>
        <v>0</v>
      </c>
      <c r="BG216" s="269"/>
      <c r="BH216" s="2095">
        <f>IF(EXP(VP_A-VP_B/(Ambient_Temp+Approach_dT+273.15-VP_C))*(BH211*Act_1*(Rel_1*EXP(dRel_1*(Ambient_Temp+Approach_dT-T)))+BH212*Act_2*(Rel_2*EXP(dRel_2*(Ambient_Temp+Approach_dT-T)))+BH213*Act_3*(Rel_3*EXP(dRel_3*(Ambient_Temp+Approach_dT-T)))+BH214*Act_4*(Rel_4*EXP(dRel_4*(Ambient_Temp+Approach_dT-T)))+BH215*Act_5*(Rel_5*EXP(dRel_5*(Ambient_Temp+Approach_dT-T))))&lt;0.5,2000000*EXP(VP_A-VP_B/(Ambient_Temp+Approach_dT+273.15-VP_C))*(BH211*Act_1*(Rel_1*EXP(dRel_1*(Ambient_Temp+Approach_dT-T)))+BH212*Act_2*(Rel_2*EXP(dRel_2*(Ambient_Temp+Approach_dT-T)))+BH213*Act_3*(Rel_3*EXP(dRel_3*(Ambient_Temp+Approach_dT-T)))+BH214*Act_4*(Rel_4*EXP(dRel_4*(Ambient_Temp+Approach_dT-T)))+BH215*Act_5*(Rel_5*EXP(dRel_5*(Ambient_Temp+Approach_dT-T)))),1000000)</f>
        <v>0</v>
      </c>
      <c r="BI216" s="269"/>
      <c r="BJ216" s="2095">
        <f>IF(EXP(VP_A-VP_B/(Ambient_Temp+Approach_dT+273.15-VP_C))*(BJ211*Act_1*(Rel_1*EXP(dRel_1*(Ambient_Temp+Approach_dT-T)))+BJ212*Act_2*(Rel_2*EXP(dRel_2*(Ambient_Temp+Approach_dT-T)))+BJ213*Act_3*(Rel_3*EXP(dRel_3*(Ambient_Temp+Approach_dT-T)))+BJ214*Act_4*(Rel_4*EXP(dRel_4*(Ambient_Temp+Approach_dT-T)))+BJ215*Act_5*(Rel_5*EXP(dRel_5*(Ambient_Temp+Approach_dT-T))))&lt;0.5,2000000*EXP(VP_A-VP_B/(Ambient_Temp+Approach_dT+273.15-VP_C))*(BJ211*Act_1*(Rel_1*EXP(dRel_1*(Ambient_Temp+Approach_dT-T)))+BJ212*Act_2*(Rel_2*EXP(dRel_2*(Ambient_Temp+Approach_dT-T)))+BJ213*Act_3*(Rel_3*EXP(dRel_3*(Ambient_Temp+Approach_dT-T)))+BJ214*Act_4*(Rel_4*EXP(dRel_4*(Ambient_Temp+Approach_dT-T)))+BJ215*Act_5*(Rel_5*EXP(dRel_5*(Ambient_Temp+Approach_dT-T)))),1000000)</f>
        <v>0</v>
      </c>
      <c r="BK216" s="269"/>
      <c r="BL216" s="2095">
        <f>IF(EXP(VP_A-VP_B/(Ambient_Temp+Approach_dT+273.15-VP_C))*(BL211*Act_1*(Rel_1*EXP(dRel_1*(Ambient_Temp+Approach_dT-T)))+BL212*Act_2*(Rel_2*EXP(dRel_2*(Ambient_Temp+Approach_dT-T)))+BL213*Act_3*(Rel_3*EXP(dRel_3*(Ambient_Temp+Approach_dT-T)))+BL214*Act_4*(Rel_4*EXP(dRel_4*(Ambient_Temp+Approach_dT-T)))+BL215*Act_5*(Rel_5*EXP(dRel_5*(Ambient_Temp+Approach_dT-T))))&lt;0.5,2000000*EXP(VP_A-VP_B/(Ambient_Temp+Approach_dT+273.15-VP_C))*(BL211*Act_1*(Rel_1*EXP(dRel_1*(Ambient_Temp+Approach_dT-T)))+BL212*Act_2*(Rel_2*EXP(dRel_2*(Ambient_Temp+Approach_dT-T)))+BL213*Act_3*(Rel_3*EXP(dRel_3*(Ambient_Temp+Approach_dT-T)))+BL214*Act_4*(Rel_4*EXP(dRel_4*(Ambient_Temp+Approach_dT-T)))+BL215*Act_5*(Rel_5*EXP(dRel_5*(Ambient_Temp+Approach_dT-T)))),1000000)</f>
        <v>0</v>
      </c>
      <c r="BM216" s="269"/>
      <c r="BN216" s="2095">
        <f>IF(EXP(VP_A-VP_B/(Ambient_Temp+Approach_dT+273.15-VP_C))*(BN211*Act_1*(Rel_1*EXP(dRel_1*(Ambient_Temp+Approach_dT-T)))+BN212*Act_2*(Rel_2*EXP(dRel_2*(Ambient_Temp+Approach_dT-T)))+BN213*Act_3*(Rel_3*EXP(dRel_3*(Ambient_Temp+Approach_dT-T)))+BN214*Act_4*(Rel_4*EXP(dRel_4*(Ambient_Temp+Approach_dT-T)))+BN215*Act_5*(Rel_5*EXP(dRel_5*(Ambient_Temp+Approach_dT-T))))&lt;0.5,2000000*EXP(VP_A-VP_B/(Ambient_Temp+Approach_dT+273.15-VP_C))*(BN211*Act_1*(Rel_1*EXP(dRel_1*(Ambient_Temp+Approach_dT-T)))+BN212*Act_2*(Rel_2*EXP(dRel_2*(Ambient_Temp+Approach_dT-T)))+BN213*Act_3*(Rel_3*EXP(dRel_3*(Ambient_Temp+Approach_dT-T)))+BN214*Act_4*(Rel_4*EXP(dRel_4*(Ambient_Temp+Approach_dT-T)))+BN215*Act_5*(Rel_5*EXP(dRel_5*(Ambient_Temp+Approach_dT-T)))),1000000)</f>
        <v>0</v>
      </c>
      <c r="BO216" s="269"/>
      <c r="BP216" s="1833" t="s">
        <v>1506</v>
      </c>
      <c r="BQ216" s="83"/>
      <c r="BR216" s="81"/>
      <c r="BS216" s="846" t="str">
        <f>B216</f>
        <v/>
      </c>
      <c r="BT216" s="81"/>
      <c r="BU216" s="3007">
        <f>IF(SUM(BU$93:BU$97)&gt;0,BU95/SUM(BU$93:BU$97),0)</f>
        <v>0</v>
      </c>
      <c r="BV216" s="81"/>
      <c r="BW216" s="3007">
        <f>IF(SUM(BW$93:BW$97)&gt;0,BW95/SUM(BW$93:BW$97),0)</f>
        <v>0</v>
      </c>
      <c r="BX216" s="81"/>
      <c r="BY216" s="3007">
        <f>IF(SUM(BY$93:BY$97)&gt;0,BY95/SUM(BY$93:BY$97),0)</f>
        <v>0</v>
      </c>
      <c r="BZ216" s="81"/>
      <c r="CA216" s="3007">
        <f>IF(SUM(CA$93:CA$97)&gt;0,CA95/SUM(CA$93:CA$97),0)</f>
        <v>0</v>
      </c>
      <c r="CB216" s="81"/>
      <c r="CC216" s="3007">
        <f>IF(SUM(CC$93:CC$97)&gt;0,CC95/SUM(CC$93:CC$97),0)</f>
        <v>0</v>
      </c>
      <c r="CD216" s="81"/>
      <c r="CE216" s="85"/>
      <c r="CF216" s="81"/>
      <c r="CG216" s="83"/>
      <c r="CH216" s="23" t="s">
        <v>3562</v>
      </c>
      <c r="CI216" s="83"/>
      <c r="CJ216" s="1495" t="str">
        <f>IF(CJ148&lt;&gt;"",IF(Public2&gt;0,IF(Public2&gt;CJ148,Dispersion_D*CJ148^2,Dispersion_D*Public2^2),Dispersion_D*CJ148^2),"")</f>
        <v/>
      </c>
      <c r="CK216" s="83"/>
      <c r="CL216" s="23" t="s">
        <v>2196</v>
      </c>
      <c r="CM216" s="83"/>
      <c r="CN216" s="7"/>
    </row>
    <row r="217" spans="1:92" s="26" customFormat="1" ht="15" customHeight="1" thickBot="1" x14ac:dyDescent="0.3">
      <c r="A217" s="2"/>
      <c r="B217" s="846" t="str">
        <f>IF(B20="","","Vapor Mole Fraction "&amp;B20)</f>
        <v/>
      </c>
      <c r="C217" s="83"/>
      <c r="D217" s="3007">
        <f>IF(SUM(D$93:D$97)&gt;0,D96/SUM(D$93:D$97),0)</f>
        <v>0</v>
      </c>
      <c r="E217" s="83"/>
      <c r="F217" s="3007">
        <f>IF(SUM(F$93:F$97)&gt;0,F96/SUM(F$93:F$97),0)</f>
        <v>0</v>
      </c>
      <c r="G217" s="83"/>
      <c r="H217" s="3007">
        <f>IF(SUM(H$93:H$97)&gt;0,H96/SUM(H$93:H$97),0)</f>
        <v>0</v>
      </c>
      <c r="I217" s="83"/>
      <c r="J217" s="3007">
        <f>IF(SUM(J$93:J$97)&gt;0,J96/SUM(J$93:J$97),0)</f>
        <v>0</v>
      </c>
      <c r="K217" s="83"/>
      <c r="L217" s="3007">
        <f>IF(SUM(L$93:L$97)&gt;0,L96/SUM(L$93:L$97),0)</f>
        <v>0</v>
      </c>
      <c r="M217" s="83"/>
      <c r="N217" s="3007">
        <f>IF(SUM(N$93:N$97)&gt;0,N96/SUM(N$93:N$97),0)</f>
        <v>0</v>
      </c>
      <c r="O217" s="83"/>
      <c r="P217" s="3007">
        <f>IF(SUM(P$93:P$97)&gt;0,P96/SUM(P$93:P$97),0)</f>
        <v>0</v>
      </c>
      <c r="Q217" s="83"/>
      <c r="R217" s="3007">
        <f>IF(SUM(R$93:R$97)&gt;0,R96/SUM(R$93:R$97),0)</f>
        <v>0</v>
      </c>
      <c r="S217" s="83"/>
      <c r="T217" s="3007">
        <f>IF(SUM(T$93:T$97)&gt;0,T96/SUM(T$93:T$97),0)</f>
        <v>0</v>
      </c>
      <c r="U217" s="83"/>
      <c r="V217" s="3007">
        <f>IF(SUM(V$93:V$97)&gt;0,V96/SUM(V$93:V$97),0)</f>
        <v>0</v>
      </c>
      <c r="W217" s="83"/>
      <c r="X217" s="3007">
        <f>IF(SUM(X$93:X$97)&gt;0,X96/SUM(X$93:X$97),0)</f>
        <v>0</v>
      </c>
      <c r="Y217" s="83"/>
      <c r="Z217" s="85"/>
      <c r="AA217" s="83"/>
      <c r="AB217" s="81"/>
      <c r="AC217" s="512" t="s">
        <v>5108</v>
      </c>
      <c r="AD217" s="81"/>
      <c r="AE217" s="2982">
        <f>IF(AE$83&gt;0,LN(IF(AE$206&gt;=10000,AE$99*AE$204*10000^AE$205,NBPuff_A_Night*AE$83/AE$98/(10000-AE$206+AE$207)^(1/NBPuff_B_Night))),0)</f>
        <v>0</v>
      </c>
      <c r="AF217" s="81"/>
      <c r="AG217" s="2982">
        <f>IF(AG$83&gt;0,LN(IF(AG$206&gt;=10000,AG$99*AG$204*10000^AG$205,NBPuff_A_Night*AG$83/AG$98/(10000-AG$206+AG$207)^(1/NBPuff_B_Night))),0)</f>
        <v>0</v>
      </c>
      <c r="AH217" s="81"/>
      <c r="AI217" s="2982">
        <f>IF(AI$83&gt;0,LN(IF(AI$206&gt;=10000,AI$99*AI$204*10000^AI$205,NBPuff_A_Night*AI$83/AI$98/(10000-AI$206+AI$207)^(1/NBPuff_B_Night))),0)</f>
        <v>0</v>
      </c>
      <c r="AJ217" s="81"/>
      <c r="AK217" s="2982">
        <f>IF(AK$83&gt;0,LN(IF(AK$206&gt;=10000,AK$99*AK$204*10000^AK$205,NBPuff_A_Night*AK$83/AK$98/(10000-AK$206+AK$207)^(1/NBPuff_B_Night))),0)</f>
        <v>0</v>
      </c>
      <c r="AL217" s="81"/>
      <c r="AM217" s="2982">
        <f>IF(AM$83&gt;0,LN(IF(AM$206&gt;=10000,AM$99*AM$204*10000^AM$205,NBPuff_A_Night*AM$83/AM$98/(10000-AM$206+AM$207)^(1/NBPuff_B_Night))),0)</f>
        <v>0</v>
      </c>
      <c r="AN217" s="81"/>
      <c r="AO217" s="2982">
        <f>IF(AO$83&gt;0,LN(IF(AO$206&gt;=10000,AO$99*AO$204*10000^AO$205,NBPuff_A_Night*AO$83/AO$98/(10000-AO$206+AO$207)^(1/NBPuff_B_Night))),0)</f>
        <v>0</v>
      </c>
      <c r="AP217" s="81"/>
      <c r="AQ217" s="85"/>
      <c r="AR217" s="81"/>
      <c r="AS217" s="83"/>
      <c r="AT217" s="512" t="str">
        <f>B220</f>
        <v/>
      </c>
      <c r="AU217" s="83"/>
      <c r="AV217" s="2091">
        <f>IF(AND(AV$211&gt;0,ER2_1&lt;&gt;""),AV$211/(ER2_1/AV$207^(1/Pn_1)),0)</f>
        <v>0</v>
      </c>
      <c r="AW217" s="269"/>
      <c r="AX217" s="2091">
        <f>IF(AND(AX$211&gt;0,ER2_1&lt;&gt;""),AX$211/(ER2_1/AX$207^(1/Pn_1)),0)</f>
        <v>0</v>
      </c>
      <c r="AY217" s="269"/>
      <c r="AZ217" s="2091">
        <f>IF(AND(AZ$211&gt;0,ER2_1&lt;&gt;""),AZ$211/(ER2_1/AZ$207^(1/Pn_1)),0)</f>
        <v>0</v>
      </c>
      <c r="BA217" s="269"/>
      <c r="BB217" s="2091">
        <f>IF(AND(BB$211&gt;0,ER2_1&lt;&gt;""),BB$211/(ER2_1/BB$207^(1/Pn_1)),0)</f>
        <v>0</v>
      </c>
      <c r="BC217" s="269"/>
      <c r="BD217" s="2091">
        <f>IF(AND(BD$211&gt;0,ER2_1&lt;&gt;""),BD$211/(ER2_1/BD$207^(1/Pn_1)),0)</f>
        <v>0</v>
      </c>
      <c r="BE217" s="269"/>
      <c r="BF217" s="2091">
        <f>IF(AND(BF$211&gt;0,ER2_1&lt;&gt;""),BF$211/(ER2_1/BF$207^(1/Pn_1)),0)</f>
        <v>0</v>
      </c>
      <c r="BG217" s="269"/>
      <c r="BH217" s="2091">
        <f>IF(AND(BH$211&gt;0,ER2_1&lt;&gt;""),BH$211/(ER2_1/BH$207^(1/Pn_1)),0)</f>
        <v>0</v>
      </c>
      <c r="BI217" s="269"/>
      <c r="BJ217" s="2091">
        <f>IF(AND(BJ$211&gt;0,ER2_1&lt;&gt;""),BJ$211/(ER2_1/BJ$207^(1/Pn_1)),0)</f>
        <v>0</v>
      </c>
      <c r="BK217" s="269"/>
      <c r="BL217" s="2091">
        <f>IF(AND(BL$211&gt;0,ER2_1&lt;&gt;""),BL$211/(ER2_1/BL$207^(1/Pn_1)),0)</f>
        <v>0</v>
      </c>
      <c r="BM217" s="269"/>
      <c r="BN217" s="2091">
        <f>IF(AND(BN$211&gt;0,ER2_1&lt;&gt;""),BN$211/(ER2_1/BN$207^(1/Pn_1)),0)</f>
        <v>0</v>
      </c>
      <c r="BO217" s="269"/>
      <c r="BP217" s="1834"/>
      <c r="BQ217" s="83"/>
      <c r="BR217" s="81"/>
      <c r="BS217" s="846" t="str">
        <f>B217</f>
        <v/>
      </c>
      <c r="BT217" s="81"/>
      <c r="BU217" s="3007">
        <f>IF(SUM(BU$93:BU$97)&gt;0,BU96/SUM(BU$93:BU$97),0)</f>
        <v>0</v>
      </c>
      <c r="BV217" s="81"/>
      <c r="BW217" s="3007">
        <f>IF(SUM(BW$93:BW$97)&gt;0,BW96/SUM(BW$93:BW$97),0)</f>
        <v>0</v>
      </c>
      <c r="BX217" s="81"/>
      <c r="BY217" s="3007">
        <f>IF(SUM(BY$93:BY$97)&gt;0,BY96/SUM(BY$93:BY$97),0)</f>
        <v>0</v>
      </c>
      <c r="BZ217" s="81"/>
      <c r="CA217" s="3007">
        <f>IF(SUM(CA$93:CA$97)&gt;0,CA96/SUM(CA$93:CA$97),0)</f>
        <v>0</v>
      </c>
      <c r="CB217" s="81"/>
      <c r="CC217" s="3007">
        <f>IF(SUM(CC$93:CC$97)&gt;0,CC96/SUM(CC$93:CC$97),0)</f>
        <v>0</v>
      </c>
      <c r="CD217" s="81"/>
      <c r="CE217" s="85"/>
      <c r="CF217" s="81"/>
      <c r="CG217" s="83"/>
      <c r="CH217" s="23" t="s">
        <v>294</v>
      </c>
      <c r="CI217" s="83"/>
      <c r="CJ217" s="241">
        <f>IF(CJ216&lt;&gt;"",CJ216*Onsite_PD/1000000,0)+IF(AND(Attended="Yes",CJ148&gt;HD_Severe_Impact),0.9,0)</f>
        <v>0</v>
      </c>
      <c r="CK217" s="83"/>
      <c r="CL217" s="91"/>
      <c r="CM217" s="83"/>
      <c r="CN217" s="7"/>
    </row>
    <row r="218" spans="1:92" s="26" customFormat="1" ht="15" customHeight="1" thickBot="1" x14ac:dyDescent="0.3">
      <c r="A218" s="2"/>
      <c r="B218" s="846" t="str">
        <f>IF(B21="","","Vapor Mole Fraction "&amp;B21)</f>
        <v/>
      </c>
      <c r="C218" s="83"/>
      <c r="D218" s="3007">
        <f>IF(SUM(D$93:D$97)&gt;0,D97/SUM(D$93:D$97),0)</f>
        <v>0</v>
      </c>
      <c r="E218" s="83"/>
      <c r="F218" s="3007">
        <f>IF(SUM(F$93:F$97)&gt;0,F97/SUM(F$93:F$97),0)</f>
        <v>0</v>
      </c>
      <c r="G218" s="83"/>
      <c r="H218" s="3007">
        <f>IF(SUM(H$93:H$97)&gt;0,H97/SUM(H$93:H$97),0)</f>
        <v>0</v>
      </c>
      <c r="I218" s="83"/>
      <c r="J218" s="3007">
        <f>IF(SUM(J$93:J$97)&gt;0,J97/SUM(J$93:J$97),0)</f>
        <v>0</v>
      </c>
      <c r="K218" s="83"/>
      <c r="L218" s="3007">
        <f>IF(SUM(L$93:L$97)&gt;0,L97/SUM(L$93:L$97),0)</f>
        <v>0</v>
      </c>
      <c r="M218" s="83"/>
      <c r="N218" s="3007">
        <f>IF(SUM(N$93:N$97)&gt;0,N97/SUM(N$93:N$97),0)</f>
        <v>0</v>
      </c>
      <c r="O218" s="83"/>
      <c r="P218" s="3007">
        <f>IF(SUM(P$93:P$97)&gt;0,P97/SUM(P$93:P$97),0)</f>
        <v>0</v>
      </c>
      <c r="Q218" s="83"/>
      <c r="R218" s="3007">
        <f>IF(SUM(R$93:R$97)&gt;0,R97/SUM(R$93:R$97),0)</f>
        <v>0</v>
      </c>
      <c r="S218" s="83"/>
      <c r="T218" s="3007">
        <f>IF(SUM(T$93:T$97)&gt;0,T97/SUM(T$93:T$97),0)</f>
        <v>0</v>
      </c>
      <c r="U218" s="83"/>
      <c r="V218" s="3007">
        <f>IF(SUM(V$93:V$97)&gt;0,V97/SUM(V$93:V$97),0)</f>
        <v>0</v>
      </c>
      <c r="W218" s="83"/>
      <c r="X218" s="3007">
        <f>IF(SUM(X$93:X$97)&gt;0,X97/SUM(X$93:X$97),0)</f>
        <v>0</v>
      </c>
      <c r="Y218" s="83"/>
      <c r="Z218" s="85"/>
      <c r="AA218" s="83"/>
      <c r="AB218" s="81"/>
      <c r="AC218" s="2975" t="s">
        <v>5113</v>
      </c>
      <c r="AD218" s="81"/>
      <c r="AE218" s="3005">
        <f>IF(AE$83&gt;0,(EXP(INDEX(LINEST(AE208:AE217,$CJ$286:$CJ$295),2))*AE$98/AE$83)^AE219,0)</f>
        <v>0</v>
      </c>
      <c r="AF218" s="81"/>
      <c r="AG218" s="3005">
        <f>IF(AG$83&gt;0,(EXP(INDEX(LINEST(AG208:AG217,$CJ$286:$CJ$295),2))*AG$98/AG$83)^AG219,0)</f>
        <v>0</v>
      </c>
      <c r="AH218" s="81"/>
      <c r="AI218" s="3005">
        <f>IF(AI$83&gt;0,(EXP(INDEX(LINEST(AI208:AI217,$CJ$286:$CJ$295),2))*AI$98/AI$83)^AI219,0)</f>
        <v>0</v>
      </c>
      <c r="AJ218" s="81"/>
      <c r="AK218" s="3005">
        <f>IF(AK$83&gt;0,(EXP(INDEX(LINEST(AK208:AK217,$CJ$286:$CJ$295),2))*AK$98/AK$83)^AK219,0)</f>
        <v>0</v>
      </c>
      <c r="AL218" s="81"/>
      <c r="AM218" s="3005">
        <f>IF(AM$83&gt;0,(EXP(INDEX(LINEST(AM208:AM217,$CJ$286:$CJ$295),2))*AM$98/AM$83)^AM219,0)</f>
        <v>0</v>
      </c>
      <c r="AN218" s="81"/>
      <c r="AO218" s="3005">
        <f>IF(AO$83&gt;0,(EXP(INDEX(LINEST(AO208:AO217,$CJ$286:$CJ$295),2))*AO$98/AO$83)^AO219,0)</f>
        <v>0</v>
      </c>
      <c r="AP218" s="81"/>
      <c r="AQ218" s="85"/>
      <c r="AR218" s="81"/>
      <c r="AS218" s="83"/>
      <c r="AT218" s="512" t="str">
        <f>B221</f>
        <v/>
      </c>
      <c r="AU218" s="83"/>
      <c r="AV218" s="2091">
        <f>IF(AND(AV$212&gt;0,ER2_2&lt;&gt;""),AV$212/(ER2_2/AV$207^(1/Pn_2)),0)</f>
        <v>0</v>
      </c>
      <c r="AW218" s="269"/>
      <c r="AX218" s="2091">
        <f>IF(AND(AX$212&gt;0,ER2_2&lt;&gt;""),AX$212/(ER2_2/AX$207^(1/Pn_2)),0)</f>
        <v>0</v>
      </c>
      <c r="AY218" s="269"/>
      <c r="AZ218" s="2091">
        <f>IF(AND(AZ$212&gt;0,ER2_2&lt;&gt;""),AZ$212/(ER2_2/AZ$207^(1/Pn_2)),0)</f>
        <v>0</v>
      </c>
      <c r="BA218" s="269"/>
      <c r="BB218" s="2091">
        <f>IF(AND(BB$212&gt;0,ER2_2&lt;&gt;""),BB$212/(ER2_2/BB$207^(1/Pn_2)),0)</f>
        <v>0</v>
      </c>
      <c r="BC218" s="269"/>
      <c r="BD218" s="2091">
        <f>IF(AND(BD$212&gt;0,ER2_2&lt;&gt;""),BD$212/(ER2_2/BD$207^(1/Pn_2)),0)</f>
        <v>0</v>
      </c>
      <c r="BE218" s="269"/>
      <c r="BF218" s="2091">
        <f>IF(AND(BF$212&gt;0,ER2_2&lt;&gt;""),BF$212/(ER2_2/BF$207^(1/Pn_2)),0)</f>
        <v>0</v>
      </c>
      <c r="BG218" s="269"/>
      <c r="BH218" s="2091">
        <f>IF(AND(BH$212&gt;0,ER2_2&lt;&gt;""),BH$212/(ER2_2/BH$207^(1/Pn_2)),0)</f>
        <v>0</v>
      </c>
      <c r="BI218" s="269"/>
      <c r="BJ218" s="2091">
        <f>IF(AND(BJ$212&gt;0,ER2_2&lt;&gt;""),BJ$212/(ER2_2/BJ$207^(1/Pn_2)),0)</f>
        <v>0</v>
      </c>
      <c r="BK218" s="269"/>
      <c r="BL218" s="2091">
        <f>IF(AND(BL$212&gt;0,ER2_2&lt;&gt;""),BL$212/(ER2_2/BL$207^(1/Pn_2)),0)</f>
        <v>0</v>
      </c>
      <c r="BM218" s="269"/>
      <c r="BN218" s="2091">
        <f>IF(AND(BN$212&gt;0,ER2_2&lt;&gt;""),BN$212/(ER2_2/BN$207^(1/Pn_2)),0)</f>
        <v>0</v>
      </c>
      <c r="BO218" s="269"/>
      <c r="BP218" s="1835"/>
      <c r="BQ218" s="83"/>
      <c r="BR218" s="81"/>
      <c r="BS218" s="1037" t="str">
        <f>B218</f>
        <v/>
      </c>
      <c r="BT218" s="81"/>
      <c r="BU218" s="3007">
        <f>IF(SUM(BU$93:BU$97)&gt;0,BU97/SUM(BU$93:BU$97),0)</f>
        <v>0</v>
      </c>
      <c r="BV218" s="81"/>
      <c r="BW218" s="3007">
        <f>IF(SUM(BW$93:BW$97)&gt;0,BW97/SUM(BW$93:BW$97),0)</f>
        <v>0</v>
      </c>
      <c r="BX218" s="81"/>
      <c r="BY218" s="3007">
        <f>IF(SUM(BY$93:BY$97)&gt;0,BY97/SUM(BY$93:BY$97),0)</f>
        <v>0</v>
      </c>
      <c r="BZ218" s="81"/>
      <c r="CA218" s="3007">
        <f>IF(SUM(CA$93:CA$97)&gt;0,CA97/SUM(CA$93:CA$97),0)</f>
        <v>0</v>
      </c>
      <c r="CB218" s="81"/>
      <c r="CC218" s="3007">
        <f>IF(SUM(CC$93:CC$97)&gt;0,CC97/SUM(CC$93:CC$97),0)</f>
        <v>0</v>
      </c>
      <c r="CD218" s="81"/>
      <c r="CE218" s="85"/>
      <c r="CF218" s="81"/>
      <c r="CG218" s="83"/>
      <c r="CH218" s="85" t="s">
        <v>1638</v>
      </c>
      <c r="CI218" s="83"/>
      <c r="CJ218" s="876">
        <v>0</v>
      </c>
      <c r="CK218" s="83"/>
      <c r="CL218" s="91"/>
      <c r="CM218" s="83"/>
      <c r="CN218" s="7"/>
    </row>
    <row r="219" spans="1:92" s="26" customFormat="1" ht="15" customHeight="1" thickBot="1" x14ac:dyDescent="0.3">
      <c r="A219" s="2"/>
      <c r="B219" s="2994" t="s">
        <v>3828</v>
      </c>
      <c r="C219" s="83"/>
      <c r="D219" s="2095">
        <f>IF(EXP(VP_A-VP_B/(Ambient_Temp+Approach_dT+273.15-VP_C))*(D214*Act_1*(Rel_1*EXP(dRel_1*(Ambient_Temp+Approach_dT-T)))+D215*Act_2*(Rel_2*EXP(dRel_2*(Ambient_Temp+Approach_dT-T)))+D216*Act_3*(Rel_3*EXP(dRel_3*(Ambient_Temp+Approach_dT-T)))+D217*Act_4*(Rel_4*EXP(dRel_4*(Ambient_Temp+Approach_dT-T)))+D218*Act_5*(Rel_5*EXP(dRel_5*(Ambient_Temp+Approach_dT-T))))&lt;0.5,2000000*EXP(VP_A-VP_B/(Ambient_Temp+Approach_dT+273.15-VP_C))*(D214*Act_1*(Rel_1*EXP(dRel_1*(Ambient_Temp+Approach_dT-T)))+D215*Act_2*(Rel_2*EXP(dRel_2*(Ambient_Temp+Approach_dT-T)))+D216*Act_3*(Rel_3*EXP(dRel_3*(Ambient_Temp+Approach_dT-T)))+D217*Act_4*(Rel_4*EXP(dRel_4*(Ambient_Temp+Approach_dT-T)))+D218*Act_5*(Rel_5*EXP(dRel_5*(Ambient_Temp+Approach_dT-T)))),1000000)</f>
        <v>0</v>
      </c>
      <c r="E219" s="83"/>
      <c r="F219" s="2095">
        <f>IF(EXP(VP_A-VP_B/(Ambient_Temp+Approach_dT+273.15-VP_C))*(F214*Act_1*(Rel_1*EXP(dRel_1*(Ambient_Temp+Approach_dT-T)))+F215*Act_2*(Rel_2*EXP(dRel_2*(Ambient_Temp+Approach_dT-T)))+F216*Act_3*(Rel_3*EXP(dRel_3*(Ambient_Temp+Approach_dT-T)))+F217*Act_4*(Rel_4*EXP(dRel_4*(Ambient_Temp+Approach_dT-T)))+F218*Act_5*(Rel_5*EXP(dRel_5*(Ambient_Temp+Approach_dT-T))))&lt;0.5,2000000*EXP(VP_A-VP_B/(Ambient_Temp+Approach_dT+273.15-VP_C))*(F214*Act_1*(Rel_1*EXP(dRel_1*(Ambient_Temp+Approach_dT-T)))+F215*Act_2*(Rel_2*EXP(dRel_2*(Ambient_Temp+Approach_dT-T)))+F216*Act_3*(Rel_3*EXP(dRel_3*(Ambient_Temp+Approach_dT-T)))+F217*Act_4*(Rel_4*EXP(dRel_4*(Ambient_Temp+Approach_dT-T)))+F218*Act_5*(Rel_5*EXP(dRel_5*(Ambient_Temp+Approach_dT-T)))),1000000)</f>
        <v>0</v>
      </c>
      <c r="G219" s="83"/>
      <c r="H219" s="2095">
        <f>IF(EXP(VP_A-VP_B/(Ambient_Temp+Approach_dT+273.15-VP_C))*(H214*Act_1*(Rel_1*EXP(dRel_1*(Ambient_Temp+Approach_dT-T)))+H215*Act_2*(Rel_2*EXP(dRel_2*(Ambient_Temp+Approach_dT-T)))+H216*Act_3*(Rel_3*EXP(dRel_3*(Ambient_Temp+Approach_dT-T)))+H217*Act_4*(Rel_4*EXP(dRel_4*(Ambient_Temp+Approach_dT-T)))+H218*Act_5*(Rel_5*EXP(dRel_5*(Ambient_Temp+Approach_dT-T))))&lt;0.5,2000000*EXP(VP_A-VP_B/(Ambient_Temp+Approach_dT+273.15-VP_C))*(H214*Act_1*(Rel_1*EXP(dRel_1*(Ambient_Temp+Approach_dT-T)))+H215*Act_2*(Rel_2*EXP(dRel_2*(Ambient_Temp+Approach_dT-T)))+H216*Act_3*(Rel_3*EXP(dRel_3*(Ambient_Temp+Approach_dT-T)))+H217*Act_4*(Rel_4*EXP(dRel_4*(Ambient_Temp+Approach_dT-T)))+H218*Act_5*(Rel_5*EXP(dRel_5*(Ambient_Temp+Approach_dT-T)))),1000000)</f>
        <v>0</v>
      </c>
      <c r="I219" s="83"/>
      <c r="J219" s="2095">
        <f>IF(EXP(VP_A-VP_B/(Ambient_Temp+Approach_dT+273.15-VP_C))*(J214*Act_1*(Rel_1*EXP(dRel_1*(Ambient_Temp+Approach_dT-T)))+J215*Act_2*(Rel_2*EXP(dRel_2*(Ambient_Temp+Approach_dT-T)))+J216*Act_3*(Rel_3*EXP(dRel_3*(Ambient_Temp+Approach_dT-T)))+J217*Act_4*(Rel_4*EXP(dRel_4*(Ambient_Temp+Approach_dT-T)))+J218*Act_5*(Rel_5*EXP(dRel_5*(Ambient_Temp+Approach_dT-T))))&lt;0.5,2000000*EXP(VP_A-VP_B/(Ambient_Temp+Approach_dT+273.15-VP_C))*(J214*Act_1*(Rel_1*EXP(dRel_1*(Ambient_Temp+Approach_dT-T)))+J215*Act_2*(Rel_2*EXP(dRel_2*(Ambient_Temp+Approach_dT-T)))+J216*Act_3*(Rel_3*EXP(dRel_3*(Ambient_Temp+Approach_dT-T)))+J217*Act_4*(Rel_4*EXP(dRel_4*(Ambient_Temp+Approach_dT-T)))+J218*Act_5*(Rel_5*EXP(dRel_5*(Ambient_Temp+Approach_dT-T)))),1000000)</f>
        <v>0</v>
      </c>
      <c r="K219" s="83"/>
      <c r="L219" s="2095">
        <f>IF(EXP(VP_A-VP_B/(Ambient_Temp+Approach_dT+273.15-VP_C))*(L214*Act_1*(Rel_1*EXP(dRel_1*(Ambient_Temp+Approach_dT-T)))+L215*Act_2*(Rel_2*EXP(dRel_2*(Ambient_Temp+Approach_dT-T)))+L216*Act_3*(Rel_3*EXP(dRel_3*(Ambient_Temp+Approach_dT-T)))+L217*Act_4*(Rel_4*EXP(dRel_4*(Ambient_Temp+Approach_dT-T)))+L218*Act_5*(Rel_5*EXP(dRel_5*(Ambient_Temp+Approach_dT-T))))&lt;0.5,2000000*EXP(VP_A-VP_B/(Ambient_Temp+Approach_dT+273.15-VP_C))*(L214*Act_1*(Rel_1*EXP(dRel_1*(Ambient_Temp+Approach_dT-T)))+L215*Act_2*(Rel_2*EXP(dRel_2*(Ambient_Temp+Approach_dT-T)))+L216*Act_3*(Rel_3*EXP(dRel_3*(Ambient_Temp+Approach_dT-T)))+L217*Act_4*(Rel_4*EXP(dRel_4*(Ambient_Temp+Approach_dT-T)))+L218*Act_5*(Rel_5*EXP(dRel_5*(Ambient_Temp+Approach_dT-T)))),1000000)</f>
        <v>0</v>
      </c>
      <c r="M219" s="83"/>
      <c r="N219" s="2095">
        <f>IF(EXP(VP_A-VP_B/(Ambient_Temp+Approach_dT+273.15-VP_C))*(N214*Act_1*(Rel_1*EXP(dRel_1*(Ambient_Temp+Approach_dT-T)))+N215*Act_2*(Rel_2*EXP(dRel_2*(Ambient_Temp+Approach_dT-T)))+N216*Act_3*(Rel_3*EXP(dRel_3*(Ambient_Temp+Approach_dT-T)))+N217*Act_4*(Rel_4*EXP(dRel_4*(Ambient_Temp+Approach_dT-T)))+N218*Act_5*(Rel_5*EXP(dRel_5*(Ambient_Temp+Approach_dT-T))))&lt;0.5,2000000*EXP(VP_A-VP_B/(Ambient_Temp+Approach_dT+273.15-VP_C))*(N214*Act_1*(Rel_1*EXP(dRel_1*(Ambient_Temp+Approach_dT-T)))+N215*Act_2*(Rel_2*EXP(dRel_2*(Ambient_Temp+Approach_dT-T)))+N216*Act_3*(Rel_3*EXP(dRel_3*(Ambient_Temp+Approach_dT-T)))+N217*Act_4*(Rel_4*EXP(dRel_4*(Ambient_Temp+Approach_dT-T)))+N218*Act_5*(Rel_5*EXP(dRel_5*(Ambient_Temp+Approach_dT-T)))),1000000)</f>
        <v>0</v>
      </c>
      <c r="O219" s="83"/>
      <c r="P219" s="2095">
        <f>IF(EXP(VP_A-VP_B/(Ambient_Temp+Approach_dT+273.15-VP_C))*(P214*Act_1*(Rel_1*EXP(dRel_1*(Ambient_Temp+Approach_dT-T)))+P215*Act_2*(Rel_2*EXP(dRel_2*(Ambient_Temp+Approach_dT-T)))+P216*Act_3*(Rel_3*EXP(dRel_3*(Ambient_Temp+Approach_dT-T)))+P217*Act_4*(Rel_4*EXP(dRel_4*(Ambient_Temp+Approach_dT-T)))+P218*Act_5*(Rel_5*EXP(dRel_5*(Ambient_Temp+Approach_dT-T))))&lt;0.5,2000000*EXP(VP_A-VP_B/(Ambient_Temp+Approach_dT+273.15-VP_C))*(P214*Act_1*(Rel_1*EXP(dRel_1*(Ambient_Temp+Approach_dT-T)))+P215*Act_2*(Rel_2*EXP(dRel_2*(Ambient_Temp+Approach_dT-T)))+P216*Act_3*(Rel_3*EXP(dRel_3*(Ambient_Temp+Approach_dT-T)))+P217*Act_4*(Rel_4*EXP(dRel_4*(Ambient_Temp+Approach_dT-T)))+P218*Act_5*(Rel_5*EXP(dRel_5*(Ambient_Temp+Approach_dT-T)))),1000000)</f>
        <v>0</v>
      </c>
      <c r="Q219" s="83"/>
      <c r="R219" s="2095">
        <f>IF(EXP(VP_A-VP_B/(Ambient_Temp+Approach_dT+273.15-VP_C))*(R214*Act_1*(Rel_1*EXP(dRel_1*(Ambient_Temp+Approach_dT-T)))+R215*Act_2*(Rel_2*EXP(dRel_2*(Ambient_Temp+Approach_dT-T)))+R216*Act_3*(Rel_3*EXP(dRel_3*(Ambient_Temp+Approach_dT-T)))+R217*Act_4*(Rel_4*EXP(dRel_4*(Ambient_Temp+Approach_dT-T)))+R218*Act_5*(Rel_5*EXP(dRel_5*(Ambient_Temp+Approach_dT-T))))&lt;0.5,2000000*EXP(VP_A-VP_B/(Ambient_Temp+Approach_dT+273.15-VP_C))*(R214*Act_1*(Rel_1*EXP(dRel_1*(Ambient_Temp+Approach_dT-T)))+R215*Act_2*(Rel_2*EXP(dRel_2*(Ambient_Temp+Approach_dT-T)))+R216*Act_3*(Rel_3*EXP(dRel_3*(Ambient_Temp+Approach_dT-T)))+R217*Act_4*(Rel_4*EXP(dRel_4*(Ambient_Temp+Approach_dT-T)))+R218*Act_5*(Rel_5*EXP(dRel_5*(Ambient_Temp+Approach_dT-T)))),1000000)</f>
        <v>0</v>
      </c>
      <c r="S219" s="83"/>
      <c r="T219" s="2095">
        <f>IF(EXP(VP_A-VP_B/(Ambient_Temp+Approach_dT+273.15-VP_C))*(T214*Act_1*(Rel_1*EXP(dRel_1*(Ambient_Temp+Approach_dT-T)))+T215*Act_2*(Rel_2*EXP(dRel_2*(Ambient_Temp+Approach_dT-T)))+T216*Act_3*(Rel_3*EXP(dRel_3*(Ambient_Temp+Approach_dT-T)))+T217*Act_4*(Rel_4*EXP(dRel_4*(Ambient_Temp+Approach_dT-T)))+T218*Act_5*(Rel_5*EXP(dRel_5*(Ambient_Temp+Approach_dT-T))))&lt;0.5,2000000*EXP(VP_A-VP_B/(Ambient_Temp+Approach_dT+273.15-VP_C))*(T214*Act_1*(Rel_1*EXP(dRel_1*(Ambient_Temp+Approach_dT-T)))+T215*Act_2*(Rel_2*EXP(dRel_2*(Ambient_Temp+Approach_dT-T)))+T216*Act_3*(Rel_3*EXP(dRel_3*(Ambient_Temp+Approach_dT-T)))+T217*Act_4*(Rel_4*EXP(dRel_4*(Ambient_Temp+Approach_dT-T)))+T218*Act_5*(Rel_5*EXP(dRel_5*(Ambient_Temp+Approach_dT-T)))),1000000)</f>
        <v>0</v>
      </c>
      <c r="U219" s="83"/>
      <c r="V219" s="2095">
        <f>IF(EXP(VP_A-VP_B/(Ambient_Temp+Approach_dT+273.15-VP_C))*(V214*Act_1*(Rel_1*EXP(dRel_1*(Ambient_Temp+Approach_dT-T)))+V215*Act_2*(Rel_2*EXP(dRel_2*(Ambient_Temp+Approach_dT-T)))+V216*Act_3*(Rel_3*EXP(dRel_3*(Ambient_Temp+Approach_dT-T)))+V217*Act_4*(Rel_4*EXP(dRel_4*(Ambient_Temp+Approach_dT-T)))+V218*Act_5*(Rel_5*EXP(dRel_5*(Ambient_Temp+Approach_dT-T))))&lt;0.5,2000000*EXP(VP_A-VP_B/(Ambient_Temp+Approach_dT+273.15-VP_C))*(V214*Act_1*(Rel_1*EXP(dRel_1*(Ambient_Temp+Approach_dT-T)))+V215*Act_2*(Rel_2*EXP(dRel_2*(Ambient_Temp+Approach_dT-T)))+V216*Act_3*(Rel_3*EXP(dRel_3*(Ambient_Temp+Approach_dT-T)))+V217*Act_4*(Rel_4*EXP(dRel_4*(Ambient_Temp+Approach_dT-T)))+V218*Act_5*(Rel_5*EXP(dRel_5*(Ambient_Temp+Approach_dT-T)))),1000000)</f>
        <v>0</v>
      </c>
      <c r="W219" s="83"/>
      <c r="X219" s="2095">
        <f>IF(EXP(VP_A-VP_B/(Ambient_Temp+Approach_dT+273.15-VP_C))*(X214*Act_1*(Rel_1*EXP(dRel_1*(Ambient_Temp+Approach_dT-T)))+X215*Act_2*(Rel_2*EXP(dRel_2*(Ambient_Temp+Approach_dT-T)))+X216*Act_3*(Rel_3*EXP(dRel_3*(Ambient_Temp+Approach_dT-T)))+X217*Act_4*(Rel_4*EXP(dRel_4*(Ambient_Temp+Approach_dT-T)))+X218*Act_5*(Rel_5*EXP(dRel_5*(Ambient_Temp+Approach_dT-T))))&lt;0.5,2000000*EXP(VP_A-VP_B/(Ambient_Temp+Approach_dT+273.15-VP_C))*(X214*Act_1*(Rel_1*EXP(dRel_1*(Ambient_Temp+Approach_dT-T)))+X215*Act_2*(Rel_2*EXP(dRel_2*(Ambient_Temp+Approach_dT-T)))+X216*Act_3*(Rel_3*EXP(dRel_3*(Ambient_Temp+Approach_dT-T)))+X217*Act_4*(Rel_4*EXP(dRel_4*(Ambient_Temp+Approach_dT-T)))+X218*Act_5*(Rel_5*EXP(dRel_5*(Ambient_Temp+Approach_dT-T)))),1000000)</f>
        <v>0</v>
      </c>
      <c r="Y219" s="83"/>
      <c r="Z219" s="85" t="s">
        <v>1506</v>
      </c>
      <c r="AA219" s="83"/>
      <c r="AB219" s="81"/>
      <c r="AC219" s="2977" t="s">
        <v>5114</v>
      </c>
      <c r="AD219" s="81"/>
      <c r="AE219" s="3032">
        <f>IF(AE$83&gt;0,-1/INDEX(LINEST(AE208:AE217,$CJ$286:$CJ$295),1),0)</f>
        <v>0</v>
      </c>
      <c r="AF219" s="81"/>
      <c r="AG219" s="3032">
        <f>IF(AG$83&gt;0,-1/INDEX(LINEST(AG208:AG217,$CJ$286:$CJ$295),1),0)</f>
        <v>0</v>
      </c>
      <c r="AH219" s="81"/>
      <c r="AI219" s="3032">
        <f>IF(AI$83&gt;0,-1/INDEX(LINEST(AI208:AI217,$CJ$286:$CJ$295),1),0)</f>
        <v>0</v>
      </c>
      <c r="AJ219" s="81"/>
      <c r="AK219" s="3032">
        <f>IF(AK$83&gt;0,-1/INDEX(LINEST(AK208:AK217,$CJ$286:$CJ$295),1),0)</f>
        <v>0</v>
      </c>
      <c r="AL219" s="81"/>
      <c r="AM219" s="3032">
        <f>IF(AM$83&gt;0,-1/INDEX(LINEST(AM208:AM217,$CJ$286:$CJ$295),1),0)</f>
        <v>0</v>
      </c>
      <c r="AN219" s="81"/>
      <c r="AO219" s="3032">
        <f>IF(AO$83&gt;0,-1/INDEX(LINEST(AO208:AO217,$CJ$286:$CJ$295),1),0)</f>
        <v>0</v>
      </c>
      <c r="AP219" s="81"/>
      <c r="AQ219" s="85"/>
      <c r="AR219" s="81"/>
      <c r="AS219" s="83"/>
      <c r="AT219" s="512" t="str">
        <f>B222</f>
        <v/>
      </c>
      <c r="AU219" s="83"/>
      <c r="AV219" s="2091">
        <f>IF(AND(AV$213&gt;0,ER2_3&lt;&gt;""),AV$213/(ER2_3/AV$207^(1/Pn_3)),0)</f>
        <v>0</v>
      </c>
      <c r="AW219" s="269"/>
      <c r="AX219" s="2091">
        <f>IF(AND(AX$213&gt;0,ER2_3&lt;&gt;""),AX$213/(ER2_3/AX$207^(1/Pn_3)),0)</f>
        <v>0</v>
      </c>
      <c r="AY219" s="269"/>
      <c r="AZ219" s="2091">
        <f>IF(AND(AZ$213&gt;0,ER2_3&lt;&gt;""),AZ$213/(ER2_3/AZ$207^(1/Pn_3)),0)</f>
        <v>0</v>
      </c>
      <c r="BA219" s="269"/>
      <c r="BB219" s="2091">
        <f>IF(AND(BB$213&gt;0,ER2_3&lt;&gt;""),BB$213/(ER2_3/BB$207^(1/Pn_3)),0)</f>
        <v>0</v>
      </c>
      <c r="BC219" s="269"/>
      <c r="BD219" s="2091">
        <f>IF(AND(BD$213&gt;0,ER2_3&lt;&gt;""),BD$213/(ER2_3/BD$207^(1/Pn_3)),0)</f>
        <v>0</v>
      </c>
      <c r="BE219" s="269"/>
      <c r="BF219" s="2091">
        <f>IF(AND(BF$213&gt;0,ER2_3&lt;&gt;""),BF$213/(ER2_3/BF$207^(1/Pn_3)),0)</f>
        <v>0</v>
      </c>
      <c r="BG219" s="269"/>
      <c r="BH219" s="2091">
        <f>IF(AND(BH$213&gt;0,ER2_3&lt;&gt;""),BH$213/(ER2_3/BH$207^(1/Pn_3)),0)</f>
        <v>0</v>
      </c>
      <c r="BI219" s="269"/>
      <c r="BJ219" s="2091">
        <f>IF(AND(BJ$213&gt;0,ER2_3&lt;&gt;""),BJ$213/(ER2_3/BJ$207^(1/Pn_3)),0)</f>
        <v>0</v>
      </c>
      <c r="BK219" s="269"/>
      <c r="BL219" s="2091">
        <f>IF(AND(BL$213&gt;0,ER2_3&lt;&gt;""),BL$213/(ER2_3/BL$207^(1/Pn_3)),0)</f>
        <v>0</v>
      </c>
      <c r="BM219" s="269"/>
      <c r="BN219" s="2091">
        <f>IF(AND(BN$213&gt;0,ER2_3&lt;&gt;""),BN$213/(ER2_3/BN$207^(1/Pn_3)),0)</f>
        <v>0</v>
      </c>
      <c r="BO219" s="269"/>
      <c r="BP219" s="1835"/>
      <c r="BQ219" s="83"/>
      <c r="BR219" s="81"/>
      <c r="BS219" s="3102" t="s">
        <v>3828</v>
      </c>
      <c r="BT219" s="81"/>
      <c r="BU219" s="2095">
        <f>IF(EXP(VP_A-VP_B/(Ambient_Temp+Approach_dT+273.15-VP_C))*(BU214*Act_1*(Rel_1*EXP(dRel_1*(Ambient_Temp+Approach_dT-T)))+BU215*Act_2*(Rel_2*EXP(dRel_2*(Ambient_Temp+Approach_dT-T)))+BU216*Act_3*(Rel_3*EXP(dRel_3*(Ambient_Temp+Approach_dT-T)))+BU217*Act_4*(Rel_4*EXP(dRel_4*(Ambient_Temp+Approach_dT-T)))+BU218*Act_5*(Rel_5*EXP(dRel_5*(Ambient_Temp+Approach_dT-T))))&lt;0.5,2000000*EXP(VP_A-VP_B/(Ambient_Temp+Approach_dT+273.15-VP_C))*(BU214*Act_1*(Rel_1*EXP(dRel_1*(Ambient_Temp+Approach_dT-T)))+BU215*Act_2*(Rel_2*EXP(dRel_2*(Ambient_Temp+Approach_dT-T)))+BU216*Act_3*(Rel_3*EXP(dRel_3*(Ambient_Temp+Approach_dT-T)))+BU217*Act_4*(Rel_4*EXP(dRel_4*(Ambient_Temp+Approach_dT-T)))+BU218*Act_5*(Rel_5*EXP(dRel_5*(Ambient_Temp+Approach_dT-T)))),1000000)</f>
        <v>0</v>
      </c>
      <c r="BV219" s="81"/>
      <c r="BW219" s="2095">
        <f>IF(EXP(VP_A-VP_B/(Ambient_Temp+Approach_dT+273.15-VP_C))*(BW214*Act_1*(Rel_1*EXP(dRel_1*(Ambient_Temp+Approach_dT-T)))+BW215*Act_2*(Rel_2*EXP(dRel_2*(Ambient_Temp+Approach_dT-T)))+BW216*Act_3*(Rel_3*EXP(dRel_3*(Ambient_Temp+Approach_dT-T)))+BW217*Act_4*(Rel_4*EXP(dRel_4*(Ambient_Temp+Approach_dT-T)))+BW218*Act_5*(Rel_5*EXP(dRel_5*(Ambient_Temp+Approach_dT-T))))&lt;0.5,2000000*EXP(VP_A-VP_B/(Ambient_Temp+Approach_dT+273.15-VP_C))*(BW214*Act_1*(Rel_1*EXP(dRel_1*(Ambient_Temp+Approach_dT-T)))+BW215*Act_2*(Rel_2*EXP(dRel_2*(Ambient_Temp+Approach_dT-T)))+BW216*Act_3*(Rel_3*EXP(dRel_3*(Ambient_Temp+Approach_dT-T)))+BW217*Act_4*(Rel_4*EXP(dRel_4*(Ambient_Temp+Approach_dT-T)))+BW218*Act_5*(Rel_5*EXP(dRel_5*(Ambient_Temp+Approach_dT-T)))),1000000)</f>
        <v>0</v>
      </c>
      <c r="BX219" s="81"/>
      <c r="BY219" s="2095">
        <f>IF(EXP(VP_A-VP_B/(Ambient_Temp+Approach_dT+273.15-VP_C))*(BY214*Act_1*(Rel_1*EXP(dRel_1*(Ambient_Temp+Approach_dT-T)))+BY215*Act_2*(Rel_2*EXP(dRel_2*(Ambient_Temp+Approach_dT-T)))+BY216*Act_3*(Rel_3*EXP(dRel_3*(Ambient_Temp+Approach_dT-T)))+BY217*Act_4*(Rel_4*EXP(dRel_4*(Ambient_Temp+Approach_dT-T)))+BY218*Act_5*(Rel_5*EXP(dRel_5*(Ambient_Temp+Approach_dT-T))))&lt;0.5,2000000*EXP(VP_A-VP_B/(Ambient_Temp+Approach_dT+273.15-VP_C))*(BY214*Act_1*(Rel_1*EXP(dRel_1*(Ambient_Temp+Approach_dT-T)))+BY215*Act_2*(Rel_2*EXP(dRel_2*(Ambient_Temp+Approach_dT-T)))+BY216*Act_3*(Rel_3*EXP(dRel_3*(Ambient_Temp+Approach_dT-T)))+BY217*Act_4*(Rel_4*EXP(dRel_4*(Ambient_Temp+Approach_dT-T)))+BY218*Act_5*(Rel_5*EXP(dRel_5*(Ambient_Temp+Approach_dT-T)))),1000000)</f>
        <v>0</v>
      </c>
      <c r="BZ219" s="81"/>
      <c r="CA219" s="2095">
        <f>IF(EXP(VP_A-VP_B/(Ambient_Temp+Approach_dT+273.15-VP_C))*(CA214*Act_1*(Rel_1*EXP(dRel_1*(Ambient_Temp+Approach_dT-T)))+CA215*Act_2*(Rel_2*EXP(dRel_2*(Ambient_Temp+Approach_dT-T)))+CA216*Act_3*(Rel_3*EXP(dRel_3*(Ambient_Temp+Approach_dT-T)))+CA217*Act_4*(Rel_4*EXP(dRel_4*(Ambient_Temp+Approach_dT-T)))+CA218*Act_5*(Rel_5*EXP(dRel_5*(Ambient_Temp+Approach_dT-T))))&lt;0.5,2000000*EXP(VP_A-VP_B/(Ambient_Temp+Approach_dT+273.15-VP_C))*(CA214*Act_1*(Rel_1*EXP(dRel_1*(Ambient_Temp+Approach_dT-T)))+CA215*Act_2*(Rel_2*EXP(dRel_2*(Ambient_Temp+Approach_dT-T)))+CA216*Act_3*(Rel_3*EXP(dRel_3*(Ambient_Temp+Approach_dT-T)))+CA217*Act_4*(Rel_4*EXP(dRel_4*(Ambient_Temp+Approach_dT-T)))+CA218*Act_5*(Rel_5*EXP(dRel_5*(Ambient_Temp+Approach_dT-T)))),1000000)</f>
        <v>0</v>
      </c>
      <c r="CB219" s="81"/>
      <c r="CC219" s="2095">
        <f>IF(EXP(VP_A-VP_B/(Ambient_Temp+Approach_dT+273.15-VP_C))*(CC214*Act_1*(Rel_1*EXP(dRel_1*(Ambient_Temp+Approach_dT-T)))+CC215*Act_2*(Rel_2*EXP(dRel_2*(Ambient_Temp+Approach_dT-T)))+CC216*Act_3*(Rel_3*EXP(dRel_3*(Ambient_Temp+Approach_dT-T)))+CC217*Act_4*(Rel_4*EXP(dRel_4*(Ambient_Temp+Approach_dT-T)))+CC218*Act_5*(Rel_5*EXP(dRel_5*(Ambient_Temp+Approach_dT-T))))&lt;0.5,2000000*EXP(VP_A-VP_B/(Ambient_Temp+Approach_dT+273.15-VP_C))*(CC214*Act_1*(Rel_1*EXP(dRel_1*(Ambient_Temp+Approach_dT-T)))+CC215*Act_2*(Rel_2*EXP(dRel_2*(Ambient_Temp+Approach_dT-T)))+CC216*Act_3*(Rel_3*EXP(dRel_3*(Ambient_Temp+Approach_dT-T)))+CC217*Act_4*(Rel_4*EXP(dRel_4*(Ambient_Temp+Approach_dT-T)))+CC218*Act_5*(Rel_5*EXP(dRel_5*(Ambient_Temp+Approach_dT-T)))),1000000)</f>
        <v>0</v>
      </c>
      <c r="CD219" s="81"/>
      <c r="CE219" s="25" t="s">
        <v>1506</v>
      </c>
      <c r="CF219" s="81"/>
      <c r="CG219" s="83"/>
      <c r="CH219" s="25" t="s">
        <v>4809</v>
      </c>
      <c r="CI219" s="83"/>
      <c r="CJ219" s="1208" t="str">
        <f>IF(OR(AND(Regulatory_Tox&lt;&gt;"Yes",ER3_Min&gt;Toxic_Limit),CJ148="",CJ519&lt;HD_Screening_Limit),"NA",IF(CJ148&lt;HD_VeryLow_OnSite,Conseq_VeryLow,IF(CJ148&lt;HD_Low_OnSite,Conseq_Low,IF(CJ148&lt;HD_Moderate_OnSite,Conseq_Moderate,IF(CJ148&lt;HD_High_OnSite,Conseq_High,IF(CJ148&lt;HD_VeryHigh_OnSite,Conseq_VeryHigh,Conseq_ExtremeHigh))))))</f>
        <v>NA</v>
      </c>
      <c r="CK219" s="83"/>
      <c r="CL219" s="91"/>
      <c r="CM219" s="83"/>
      <c r="CN219" s="7"/>
    </row>
    <row r="220" spans="1:92" s="26" customFormat="1" ht="15" customHeight="1" thickBot="1" x14ac:dyDescent="0.3">
      <c r="A220" s="2"/>
      <c r="B220" s="846" t="str">
        <f>IF(B17="","","Vapor Mole Fraction "&amp;B17&amp;" / Time-Scaled ERPG-2")</f>
        <v/>
      </c>
      <c r="C220" s="83"/>
      <c r="D220" s="2091">
        <f>IF(AND(D$214&gt;0,ER2_1&lt;&gt;""),D$214/(ER2_1/D$210^(1/Pn_1)),0)</f>
        <v>0</v>
      </c>
      <c r="E220" s="83"/>
      <c r="F220" s="2091">
        <f>IF(AND(F$214&gt;0,ER2_1&lt;&gt;""),F$214/(ER2_1/F$210^(1/Pn_1)),0)</f>
        <v>0</v>
      </c>
      <c r="G220" s="83"/>
      <c r="H220" s="2091">
        <f>IF(AND(H$214&gt;0,ER2_1&lt;&gt;""),H$214/(ER2_1/H$210^(1/Pn_1)),0)</f>
        <v>0</v>
      </c>
      <c r="I220" s="83"/>
      <c r="J220" s="2091">
        <f>IF(AND(J$214&gt;0,ER2_1&lt;&gt;""),J$214/(ER2_1/J$210^(1/Pn_1)),0)</f>
        <v>0</v>
      </c>
      <c r="K220" s="83"/>
      <c r="L220" s="2091">
        <f>IF(AND(L$214&gt;0,ER2_1&lt;&gt;""),L$214/(ER2_1/L$210^(1/Pn_1)),0)</f>
        <v>0</v>
      </c>
      <c r="M220" s="83"/>
      <c r="N220" s="2091">
        <f>IF(AND(N$214&gt;0,ER2_1&lt;&gt;""),N$214/(ER2_1/N$210^(1/Pn_1)),0)</f>
        <v>0</v>
      </c>
      <c r="O220" s="83"/>
      <c r="P220" s="2091">
        <f>IF(AND(P$214&gt;0,ER2_1&lt;&gt;""),P$214/(ER2_1/P$210^(1/Pn_1)),0)</f>
        <v>0</v>
      </c>
      <c r="Q220" s="83"/>
      <c r="R220" s="2091">
        <f>IF(AND(R$214&gt;0,ER2_1&lt;&gt;""),R$214/(ER2_1/R$210^(1/Pn_1)),0)</f>
        <v>0</v>
      </c>
      <c r="S220" s="83"/>
      <c r="T220" s="2091">
        <f>IF(AND(T$214&gt;0,ER2_1&lt;&gt;""),T$214/(ER2_1/T$210^(1/Pn_1)),0)</f>
        <v>0</v>
      </c>
      <c r="U220" s="83"/>
      <c r="V220" s="2091">
        <f>IF(AND(V$214&gt;0,ER2_1&lt;&gt;""),V$214/(ER2_1/V$210^(1/Pn_1)),0)</f>
        <v>0</v>
      </c>
      <c r="W220" s="83"/>
      <c r="X220" s="2091">
        <f>IF(AND(X$214&gt;0,ER2_1&lt;&gt;""),X$214/(ER2_1/X$210^(1/Pn_1)),0)</f>
        <v>0</v>
      </c>
      <c r="Y220" s="83"/>
      <c r="Z220" s="23"/>
      <c r="AA220" s="83"/>
      <c r="AB220" s="81"/>
      <c r="AC220" s="2976" t="s">
        <v>5125</v>
      </c>
      <c r="AD220" s="81"/>
      <c r="AE220" s="2105">
        <f>IF(AND(AE83&gt;0,AE$100&gt;0),AE218*(AE$83/(AE$98*AE$100))^AE219,0)</f>
        <v>0</v>
      </c>
      <c r="AF220" s="81"/>
      <c r="AG220" s="2105">
        <f>IF(AND(AG83&gt;0,AG$100&gt;0),AG218*(AG$83/(AG$98*AG$100))^AG219,0)</f>
        <v>0</v>
      </c>
      <c r="AH220" s="81"/>
      <c r="AI220" s="2105">
        <f>IF(AND(AI83&gt;0,AI$100&gt;0),AI218*(AI$83/(AI$98*AI$100))^AI219,0)</f>
        <v>0</v>
      </c>
      <c r="AJ220" s="81"/>
      <c r="AK220" s="2105">
        <f>IF(AND(AK83&gt;0,AK$100&gt;0),AK218*(AK$83/(AK$98*AK$100))^AK219,0)</f>
        <v>0</v>
      </c>
      <c r="AL220" s="81"/>
      <c r="AM220" s="2105">
        <f>IF(AND(AM83&gt;0,AM$100&gt;0),AM218*(AM$83/(AM$98*AM$100))^AM219,0)</f>
        <v>0</v>
      </c>
      <c r="AN220" s="81"/>
      <c r="AO220" s="2105">
        <f>IF(AND(AO83&gt;0,AO$100&gt;0),AO218*(AO$83/(AO$98*AO$100))^AO219,0)</f>
        <v>0</v>
      </c>
      <c r="AP220" s="81"/>
      <c r="AQ220" s="85"/>
      <c r="AR220" s="81"/>
      <c r="AS220" s="83"/>
      <c r="AT220" s="512" t="str">
        <f>B223</f>
        <v/>
      </c>
      <c r="AU220" s="83"/>
      <c r="AV220" s="2091">
        <f>IF(AND(AV$214&gt;0,ER2_4&lt;&gt;""),AV$214/(ER2_4/AV$207^(1/Pn_4)),0)</f>
        <v>0</v>
      </c>
      <c r="AW220" s="269"/>
      <c r="AX220" s="2091">
        <f>IF(AND(AX$214&gt;0,ER2_4&lt;&gt;""),AX$214/(ER2_4/AX$207^(1/Pn_4)),0)</f>
        <v>0</v>
      </c>
      <c r="AY220" s="269"/>
      <c r="AZ220" s="2091">
        <f>IF(AND(AZ$214&gt;0,ER2_4&lt;&gt;""),AZ$214/(ER2_4/AZ$207^(1/Pn_4)),0)</f>
        <v>0</v>
      </c>
      <c r="BA220" s="269"/>
      <c r="BB220" s="2091">
        <f>IF(AND(BB$214&gt;0,ER2_4&lt;&gt;""),BB$214/(ER2_4/BB$207^(1/Pn_4)),0)</f>
        <v>0</v>
      </c>
      <c r="BC220" s="269"/>
      <c r="BD220" s="2091">
        <f>IF(AND(BD$214&gt;0,ER2_4&lt;&gt;""),BD$214/(ER2_4/BD$207^(1/Pn_4)),0)</f>
        <v>0</v>
      </c>
      <c r="BE220" s="269"/>
      <c r="BF220" s="2091">
        <f>IF(AND(BF$214&gt;0,ER2_4&lt;&gt;""),BF$214/(ER2_4/BF$207^(1/Pn_4)),0)</f>
        <v>0</v>
      </c>
      <c r="BG220" s="269"/>
      <c r="BH220" s="2091">
        <f>IF(AND(BH$214&gt;0,ER2_4&lt;&gt;""),BH$214/(ER2_4/BH$207^(1/Pn_4)),0)</f>
        <v>0</v>
      </c>
      <c r="BI220" s="269"/>
      <c r="BJ220" s="2091">
        <f>IF(AND(BJ$214&gt;0,ER2_4&lt;&gt;""),BJ$214/(ER2_4/BJ$207^(1/Pn_4)),0)</f>
        <v>0</v>
      </c>
      <c r="BK220" s="269"/>
      <c r="BL220" s="2091">
        <f>IF(AND(BL$214&gt;0,ER2_4&lt;&gt;""),BL$214/(ER2_4/BL$207^(1/Pn_4)),0)</f>
        <v>0</v>
      </c>
      <c r="BM220" s="269"/>
      <c r="BN220" s="2091">
        <f>IF(AND(BN$214&gt;0,ER2_4&lt;&gt;""),BN$214/(ER2_4/BN$207^(1/Pn_4)),0)</f>
        <v>0</v>
      </c>
      <c r="BO220" s="269"/>
      <c r="BP220" s="1835"/>
      <c r="BQ220" s="83"/>
      <c r="BR220" s="81"/>
      <c r="BS220" s="845" t="str">
        <f>B220</f>
        <v/>
      </c>
      <c r="BT220" s="81"/>
      <c r="BU220" s="2091">
        <f>IF(AND(BU$214&gt;0,ER2_1&lt;&gt;""),BU$214/(ER2_1/BU$210^(1/Pn_1)),0)</f>
        <v>0</v>
      </c>
      <c r="BV220" s="81"/>
      <c r="BW220" s="2091">
        <f>IF(AND(BW$214&gt;0,ER2_1&lt;&gt;""),BW$214/(ER2_1/BW$210^(1/Pn_1)),0)</f>
        <v>0</v>
      </c>
      <c r="BX220" s="81"/>
      <c r="BY220" s="2091">
        <f>IF(AND(BY$214&gt;0,ER2_1&lt;&gt;""),BY$214/(ER2_1/BY$210^(1/Pn_1)),0)</f>
        <v>0</v>
      </c>
      <c r="BZ220" s="81"/>
      <c r="CA220" s="2091">
        <f>IF(AND(CA$214&gt;0,ER2_1&lt;&gt;""),CA$214/(ER2_1/CA$210^(1/Pn_1)),0)</f>
        <v>0</v>
      </c>
      <c r="CB220" s="81"/>
      <c r="CC220" s="2091">
        <f>IF(AND(CC$214&gt;0,ER2_1&lt;&gt;""),CC$214/(ER2_1/CC$210^(1/Pn_1)),0)</f>
        <v>0</v>
      </c>
      <c r="CD220" s="81"/>
      <c r="CE220" s="84"/>
      <c r="CF220" s="81"/>
      <c r="CG220" s="83"/>
      <c r="CH220" s="25" t="s">
        <v>4224</v>
      </c>
      <c r="CI220" s="83"/>
      <c r="CJ220" s="2110" t="str">
        <f>IF(Conseq_Criteria="Hazard Distance",CJ219,IF(OR(AND(Regulatory_Tox&lt;&gt;"Yes",ER3_Min&gt;Toxic_Limit),CJ148&lt;HD_Screening_Limit,CJ217=0),"NA",IF(AND(CJ148&lt;HD_Severe_Impact,CJ217&lt;N_VeryLow),Conseq_VeryLow,IF(CJ217&lt;N_Low,Conseq_Low,IF(CJ217&lt;N_Moderate,Conseq_Moderate,IF(CJ217&lt;N_High,Conseq_High,IF(CJ217&lt;N_VeryHigh,Conseq_VeryHigh,Conseq_ExtremeHigh)))))))</f>
        <v>NA</v>
      </c>
      <c r="CK220" s="83"/>
      <c r="CL220" s="104"/>
      <c r="CM220" s="83"/>
      <c r="CN220" s="7"/>
    </row>
    <row r="221" spans="1:92" s="26" customFormat="1" ht="15" customHeight="1" thickBot="1" x14ac:dyDescent="0.3">
      <c r="A221" s="2"/>
      <c r="B221" s="846" t="str">
        <f>IF(B18="","","Vapor Mole Fraction "&amp;B18&amp;" / Time-Scaled ERPG-2")</f>
        <v/>
      </c>
      <c r="C221" s="83"/>
      <c r="D221" s="2091">
        <f>IF(AND(D$215&gt;0,ER2_2&lt;&gt;""),D$215/(ER2_2/D$210^(1/Pn_2)),0)</f>
        <v>0</v>
      </c>
      <c r="E221" s="83"/>
      <c r="F221" s="2091">
        <f>IF(AND(F$215&gt;0,ER2_2&lt;&gt;""),F$215/(ER2_2/F$210^(1/Pn_2)),0)</f>
        <v>0</v>
      </c>
      <c r="G221" s="83"/>
      <c r="H221" s="2091">
        <f>IF(AND(H$215&gt;0,ER2_2&lt;&gt;""),H$215/(ER2_2/H$210^(1/Pn_2)),0)</f>
        <v>0</v>
      </c>
      <c r="I221" s="83"/>
      <c r="J221" s="2091">
        <f>IF(AND(J$215&gt;0,ER2_2&lt;&gt;""),J$215/(ER2_2/J$210^(1/Pn_2)),0)</f>
        <v>0</v>
      </c>
      <c r="K221" s="83"/>
      <c r="L221" s="2091">
        <f>IF(AND(L$215&gt;0,ER2_2&lt;&gt;""),L$215/(ER2_2/L$210^(1/Pn_2)),0)</f>
        <v>0</v>
      </c>
      <c r="M221" s="83"/>
      <c r="N221" s="2091">
        <f>IF(AND(N$215&gt;0,ER2_2&lt;&gt;""),N$215/(ER2_2/N$210^(1/Pn_2)),0)</f>
        <v>0</v>
      </c>
      <c r="O221" s="83"/>
      <c r="P221" s="2091">
        <f>IF(AND(P$215&gt;0,ER2_2&lt;&gt;""),P$215/(ER2_2/P$210^(1/Pn_2)),0)</f>
        <v>0</v>
      </c>
      <c r="Q221" s="83"/>
      <c r="R221" s="2091">
        <f>IF(AND(R$215&gt;0,ER2_2&lt;&gt;""),R$215/(ER2_2/R$210^(1/Pn_2)),0)</f>
        <v>0</v>
      </c>
      <c r="S221" s="83"/>
      <c r="T221" s="2091">
        <f>IF(AND(T$215&gt;0,ER2_2&lt;&gt;""),T$215/(ER2_2/T$210^(1/Pn_2)),0)</f>
        <v>0</v>
      </c>
      <c r="U221" s="83"/>
      <c r="V221" s="2091">
        <f>IF(AND(V$215&gt;0,ER2_2&lt;&gt;""),V$215/(ER2_2/V$210^(1/Pn_2)),0)</f>
        <v>0</v>
      </c>
      <c r="W221" s="83"/>
      <c r="X221" s="2091">
        <f>IF(AND(X$215&gt;0,ER2_2&lt;&gt;""),X$215/(ER2_2/X$210^(1/Pn_2)),0)</f>
        <v>0</v>
      </c>
      <c r="Y221" s="83"/>
      <c r="Z221" s="23"/>
      <c r="AA221" s="83"/>
      <c r="AB221" s="81"/>
      <c r="AC221" s="85" t="s">
        <v>5080</v>
      </c>
      <c r="AD221" s="81"/>
      <c r="AE221" s="2568" t="str">
        <f>IF(AE$83&gt;AE$89,IF(AE$89&gt;AE$83*(AE218^(1/AE219)/AE192^(1/AE193))*Wind_Night*(1*Wind_Night*AE$83/AE$89)^(1/AE193-1/AE219),"Instantaneous","Continuous"),"Continuous")</f>
        <v>Continuous</v>
      </c>
      <c r="AF221" s="81"/>
      <c r="AG221" s="2568" t="str">
        <f>IF(AG$83&gt;AG$89,IF(AG$89&gt;AG$83*(AG218^(1/AG219)/AG192^(1/AG193))*Wind_Night*(1*Wind_Night*AG$83/AG$89)^(1/AG193-1/AG219),"Instantaneous","Continuous"),"Continuous")</f>
        <v>Continuous</v>
      </c>
      <c r="AH221" s="81"/>
      <c r="AI221" s="2568" t="str">
        <f>IF(AI$83&gt;AI$89,IF(AI$89&gt;AI$83*(AI218^(1/AI219)/AI192^(1/AI193))*Wind_Night*(1*Wind_Night*AI$83/AI$89)^(1/AI193-1/AI219),"Instantaneous","Continuous"),"Continuous")</f>
        <v>Continuous</v>
      </c>
      <c r="AJ221" s="81"/>
      <c r="AK221" s="2568" t="str">
        <f>IF(AK$83&gt;AK$89,IF(AK$89&gt;AK$83*(AK218^(1/AK219)/AK192^(1/AK193))*Wind_Night*(1*Wind_Night*AK$83/AK$89)^(1/AK193-1/AK219),"Instantaneous","Continuous"),"Continuous")</f>
        <v>Continuous</v>
      </c>
      <c r="AL221" s="81"/>
      <c r="AM221" s="2568" t="str">
        <f>IF(AM$83&gt;AM$89,IF(AM$89&gt;AM$83*(AM218^(1/AM219)/AM192^(1/AM193))*Wind_Night*(1*Wind_Night*AM$83/AM$89)^(1/AM193-1/AM219),"Instantaneous","Continuous"),"Continuous")</f>
        <v>Continuous</v>
      </c>
      <c r="AN221" s="81"/>
      <c r="AO221" s="2568" t="str">
        <f>IF(AO$83&gt;AO$89,IF(AO$89&gt;AO$83*(AO218^(1/AO219)/AO192^(1/AO193))*Wind_Night*(1*Wind_Night*AO$83/AO$89)^(1/AO193-1/AO219),"Instantaneous","Continuous"),"Continuous")</f>
        <v>Continuous</v>
      </c>
      <c r="AP221" s="81"/>
      <c r="AQ221" s="85"/>
      <c r="AR221" s="81"/>
      <c r="AS221" s="83"/>
      <c r="AT221" s="512" t="str">
        <f>B224</f>
        <v/>
      </c>
      <c r="AU221" s="83"/>
      <c r="AV221" s="2091">
        <f>IF(AND(AV$215&gt;0,ER2_5&lt;&gt;""),AV$215/(ER2_5/AV$207^(1/Pn_5)),0)</f>
        <v>0</v>
      </c>
      <c r="AW221" s="269"/>
      <c r="AX221" s="2091">
        <f>IF(AND(AX$215&gt;0,ER2_5&lt;&gt;""),AX$215/(ER2_5/AX$207^(1/Pn_5)),0)</f>
        <v>0</v>
      </c>
      <c r="AY221" s="269"/>
      <c r="AZ221" s="2091">
        <f>IF(AND(AZ$215&gt;0,ER2_5&lt;&gt;""),AZ$215/(ER2_5/AZ$207^(1/Pn_5)),0)</f>
        <v>0</v>
      </c>
      <c r="BA221" s="269"/>
      <c r="BB221" s="2091">
        <f>IF(AND(BB$215&gt;0,ER2_5&lt;&gt;""),BB$215/(ER2_5/BB$207^(1/Pn_5)),0)</f>
        <v>0</v>
      </c>
      <c r="BC221" s="269"/>
      <c r="BD221" s="2091">
        <f>IF(AND(BD$215&gt;0,ER2_5&lt;&gt;""),BD$215/(ER2_5/BD$207^(1/Pn_5)),0)</f>
        <v>0</v>
      </c>
      <c r="BE221" s="269"/>
      <c r="BF221" s="2091">
        <f>IF(AND(BF$215&gt;0,ER2_5&lt;&gt;""),BF$215/(ER2_5/BF$207^(1/Pn_5)),0)</f>
        <v>0</v>
      </c>
      <c r="BG221" s="269"/>
      <c r="BH221" s="2091">
        <f>IF(AND(BH$215&gt;0,ER2_5&lt;&gt;""),BH$215/(ER2_5/BH$207^(1/Pn_5)),0)</f>
        <v>0</v>
      </c>
      <c r="BI221" s="269"/>
      <c r="BJ221" s="2091">
        <f>IF(AND(BJ$215&gt;0,ER2_5&lt;&gt;""),BJ$215/(ER2_5/BJ$207^(1/Pn_5)),0)</f>
        <v>0</v>
      </c>
      <c r="BK221" s="269"/>
      <c r="BL221" s="2091">
        <f>IF(AND(BL$215&gt;0,ER2_5&lt;&gt;""),BL$215/(ER2_5/BL$207^(1/Pn_5)),0)</f>
        <v>0</v>
      </c>
      <c r="BM221" s="269"/>
      <c r="BN221" s="2091">
        <f>IF(AND(BN$215&gt;0,ER2_5&lt;&gt;""),BN$215/(ER2_5/BN$207^(1/Pn_5)),0)</f>
        <v>0</v>
      </c>
      <c r="BO221" s="269"/>
      <c r="BP221" s="1835"/>
      <c r="BQ221" s="83"/>
      <c r="BR221" s="81"/>
      <c r="BS221" s="846" t="str">
        <f>B221</f>
        <v/>
      </c>
      <c r="BT221" s="81"/>
      <c r="BU221" s="2091">
        <f>IF(AND(BU$215&gt;0,ER2_2&lt;&gt;""),BU$215/(ER2_2/BU$210^(1/Pn_2)),0)</f>
        <v>0</v>
      </c>
      <c r="BV221" s="81"/>
      <c r="BW221" s="2091">
        <f>IF(AND(BW$215&gt;0,ER2_2&lt;&gt;""),BW$215/(ER2_2/BW$210^(1/Pn_2)),0)</f>
        <v>0</v>
      </c>
      <c r="BX221" s="81"/>
      <c r="BY221" s="2091">
        <f>IF(AND(BY$215&gt;0,ER2_2&lt;&gt;""),BY$215/(ER2_2/BY$210^(1/Pn_2)),0)</f>
        <v>0</v>
      </c>
      <c r="BZ221" s="81"/>
      <c r="CA221" s="2091">
        <f>IF(AND(CA$215&gt;0,ER2_2&lt;&gt;""),CA$215/(ER2_2/CA$210^(1/Pn_2)),0)</f>
        <v>0</v>
      </c>
      <c r="CB221" s="81"/>
      <c r="CC221" s="2091">
        <f>IF(AND(CC$215&gt;0,ER2_2&lt;&gt;""),CC$215/(ER2_2/CC$210^(1/Pn_2)),0)</f>
        <v>0</v>
      </c>
      <c r="CD221" s="81"/>
      <c r="CE221" s="23"/>
      <c r="CF221" s="81"/>
      <c r="CG221" s="83"/>
      <c r="CH221" s="23" t="s">
        <v>4723</v>
      </c>
      <c r="CI221" s="83"/>
      <c r="CJ221" s="86">
        <f>IF(CJ159="No",IF(CJ160="No",0,IF(CJ158&gt;1000000*(0.21-Asp_Limit)/0.21,1,CJ158*0.21/(1000000*(0.21-Asp_Limit)))),IF(CJ24=0,0,MIN(1,CJ158/CJ24)))</f>
        <v>0</v>
      </c>
      <c r="CK221" s="83"/>
      <c r="CL221" s="23"/>
      <c r="CM221" s="83"/>
      <c r="CN221" s="7"/>
    </row>
    <row r="222" spans="1:92" s="26" customFormat="1" ht="15" customHeight="1" thickBot="1" x14ac:dyDescent="0.3">
      <c r="A222" s="2"/>
      <c r="B222" s="846" t="str">
        <f>IF(B19="","","Vapor Mole Fraction "&amp;B19&amp;" / Time-Scaled ERPG-2")</f>
        <v/>
      </c>
      <c r="C222" s="83"/>
      <c r="D222" s="2091">
        <f>IF(AND(D$216&gt;0,ER2_3&lt;&gt;""),D$216/(ER2_3/D$210^(1/Pn_3)),0)</f>
        <v>0</v>
      </c>
      <c r="E222" s="83"/>
      <c r="F222" s="2091">
        <f>IF(AND(F$216&gt;0,ER2_3&lt;&gt;""),F$216/(ER2_3/F$210^(1/Pn_3)),0)</f>
        <v>0</v>
      </c>
      <c r="G222" s="83"/>
      <c r="H222" s="2091">
        <f>IF(AND(H$216&gt;0,ER2_3&lt;&gt;""),H$216/(ER2_3/H$210^(1/Pn_3)),0)</f>
        <v>0</v>
      </c>
      <c r="I222" s="83"/>
      <c r="J222" s="2091">
        <f>IF(AND(J$216&gt;0,ER2_3&lt;&gt;""),J$216/(ER2_3/J$210^(1/Pn_3)),0)</f>
        <v>0</v>
      </c>
      <c r="K222" s="83"/>
      <c r="L222" s="2091">
        <f>IF(AND(L$216&gt;0,ER2_3&lt;&gt;""),L$216/(ER2_3/L$210^(1/Pn_3)),0)</f>
        <v>0</v>
      </c>
      <c r="M222" s="83"/>
      <c r="N222" s="2091">
        <f>IF(AND(N$216&gt;0,ER2_3&lt;&gt;""),N$216/(ER2_3/N$210^(1/Pn_3)),0)</f>
        <v>0</v>
      </c>
      <c r="O222" s="83"/>
      <c r="P222" s="2091">
        <f>IF(AND(P$216&gt;0,ER2_3&lt;&gt;""),P$216/(ER2_3/P$210^(1/Pn_3)),0)</f>
        <v>0</v>
      </c>
      <c r="Q222" s="83"/>
      <c r="R222" s="2091">
        <f>IF(AND(R$216&gt;0,ER2_3&lt;&gt;""),R$216/(ER2_3/R$210^(1/Pn_3)),0)</f>
        <v>0</v>
      </c>
      <c r="S222" s="83"/>
      <c r="T222" s="2091">
        <f>IF(AND(T$216&gt;0,ER2_3&lt;&gt;""),T$216/(ER2_3/T$210^(1/Pn_3)),0)</f>
        <v>0</v>
      </c>
      <c r="U222" s="83"/>
      <c r="V222" s="2091">
        <f>IF(AND(V$216&gt;0,ER2_3&lt;&gt;""),V$216/(ER2_3/V$210^(1/Pn_3)),0)</f>
        <v>0</v>
      </c>
      <c r="W222" s="83"/>
      <c r="X222" s="2091">
        <f>IF(AND(X$216&gt;0,ER2_3&lt;&gt;""),X$216/(ER2_3/X$210^(1/Pn_3)),0)</f>
        <v>0</v>
      </c>
      <c r="Y222" s="83"/>
      <c r="Z222" s="23"/>
      <c r="AA222" s="83"/>
      <c r="AB222" s="81"/>
      <c r="AC222" s="494" t="s">
        <v>5193</v>
      </c>
      <c r="AD222" s="81"/>
      <c r="AE222" s="3143">
        <f>IF(AE268="",IF(AE262="",0.001,AE262/1000),AE268/1000000)</f>
        <v>1E-3</v>
      </c>
      <c r="AF222" s="81"/>
      <c r="AG222" s="3143">
        <f>IF(AG268="",IF(AG262="",0.001,AG262/1000),AG268/1000000)</f>
        <v>1E-3</v>
      </c>
      <c r="AH222" s="81"/>
      <c r="AI222" s="3143">
        <f>IF(AI268="",IF(AI262="",0.001,AI262/1000),AI268/1000000)</f>
        <v>1E-3</v>
      </c>
      <c r="AJ222" s="81"/>
      <c r="AK222" s="3143">
        <f>IF(AK268="",IF(AK262="",0.001,AK262/1000),AK268/1000000)</f>
        <v>1E-3</v>
      </c>
      <c r="AL222" s="81"/>
      <c r="AM222" s="3143">
        <f>IF(AM268="",IF(AM262="",0.001,AM262/1000),AM268/1000000)</f>
        <v>1E-3</v>
      </c>
      <c r="AN222" s="81"/>
      <c r="AO222" s="3143">
        <f>IF(AO268="",IF(AO262="",0.001,AO262/1000),AO268/1000000)</f>
        <v>1E-3</v>
      </c>
      <c r="AP222" s="81"/>
      <c r="AQ222" s="85"/>
      <c r="AR222" s="81"/>
      <c r="AS222" s="83"/>
      <c r="AT222" s="2994" t="s">
        <v>2209</v>
      </c>
      <c r="AU222" s="83"/>
      <c r="AV222" s="2101" t="str">
        <f>IF(AND(AV$207&gt;0,SUM(AV217:AV221)&gt;0),IF(1/SUM(AV217:AV221)&lt;1000000,1/SUM(AV217:AV221),1000000),"")</f>
        <v/>
      </c>
      <c r="AW222" s="83"/>
      <c r="AX222" s="2101" t="str">
        <f>IF(AND(AX$207&gt;0,SUM(AX217:AX221)&gt;0),IF(1/SUM(AX217:AX221)&lt;1000000,1/SUM(AX217:AX221),1000000),"")</f>
        <v/>
      </c>
      <c r="AY222" s="83"/>
      <c r="AZ222" s="2101" t="str">
        <f>IF(AND(AZ$207&gt;0,SUM(AZ217:AZ221)&gt;0),IF(1/SUM(AZ217:AZ221)&lt;1000000,1/SUM(AZ217:AZ221),1000000),"")</f>
        <v/>
      </c>
      <c r="BA222" s="83"/>
      <c r="BB222" s="2101" t="str">
        <f>IF(AND(BB$207&gt;0,SUM(BB217:BB221)&gt;0),IF(1/SUM(BB217:BB221)&lt;1000000,1/SUM(BB217:BB221),1000000),"")</f>
        <v/>
      </c>
      <c r="BC222" s="83"/>
      <c r="BD222" s="2101" t="str">
        <f>IF(AND(BD$207&gt;0,SUM(BD217:BD221)&gt;0),IF(1/SUM(BD217:BD221)&lt;1000000,1/SUM(BD217:BD221),1000000),"")</f>
        <v/>
      </c>
      <c r="BE222" s="83"/>
      <c r="BF222" s="2101" t="str">
        <f>IF(AND(BF$207&gt;0,SUM(BF217:BF221)&gt;0),IF(1/SUM(BF217:BF221)&lt;1000000,1/SUM(BF217:BF221),1000000),"")</f>
        <v/>
      </c>
      <c r="BG222" s="83"/>
      <c r="BH222" s="2101" t="str">
        <f>IF(AND(BH$207&gt;0,SUM(BH217:BH221)&gt;0),IF(1/SUM(BH217:BH221)&lt;1000000,1/SUM(BH217:BH221),1000000),"")</f>
        <v/>
      </c>
      <c r="BI222" s="83"/>
      <c r="BJ222" s="2101" t="str">
        <f>IF(AND(BJ$207&gt;0,SUM(BJ217:BJ221)&gt;0),IF(1/SUM(BJ217:BJ221)&lt;1000000,1/SUM(BJ217:BJ221),1000000),"")</f>
        <v/>
      </c>
      <c r="BK222" s="83"/>
      <c r="BL222" s="2101" t="str">
        <f>IF(AND(BL$207&gt;0,SUM(BL217:BL221)&gt;0),IF(1/SUM(BL217:BL221)&lt;1000000,1/SUM(BL217:BL221),1000000),"")</f>
        <v/>
      </c>
      <c r="BM222" s="83"/>
      <c r="BN222" s="2101" t="str">
        <f>IF(AND(BN$207&gt;0,SUM(BN217:BN221)&gt;0),IF(1/SUM(BN217:BN221)&lt;1000000,1/SUM(BN217:BN221),1000000),"")</f>
        <v/>
      </c>
      <c r="BO222" s="83"/>
      <c r="BP222" s="1833" t="s">
        <v>1506</v>
      </c>
      <c r="BQ222" s="83"/>
      <c r="BR222" s="81"/>
      <c r="BS222" s="846" t="str">
        <f>B222</f>
        <v/>
      </c>
      <c r="BT222" s="81"/>
      <c r="BU222" s="2091">
        <f>IF(AND(BU$216&gt;0,ER2_3&lt;&gt;""),BU$216/(ER2_3/BU$210^(1/Pn_3)),0)</f>
        <v>0</v>
      </c>
      <c r="BV222" s="81"/>
      <c r="BW222" s="2091">
        <f>IF(AND(BW$216&gt;0,ER2_3&lt;&gt;""),BW$216/(ER2_3/BW$210^(1/Pn_3)),0)</f>
        <v>0</v>
      </c>
      <c r="BX222" s="81"/>
      <c r="BY222" s="2091">
        <f>IF(AND(BY$216&gt;0,ER2_3&lt;&gt;""),BY$216/(ER2_3/BY$210^(1/Pn_3)),0)</f>
        <v>0</v>
      </c>
      <c r="BZ222" s="81"/>
      <c r="CA222" s="2091">
        <f>IF(AND(CA$216&gt;0,ER2_3&lt;&gt;""),CA$216/(ER2_3/CA$210^(1/Pn_3)),0)</f>
        <v>0</v>
      </c>
      <c r="CB222" s="81"/>
      <c r="CC222" s="2091">
        <f>IF(AND(CC$216&gt;0,ER2_3&lt;&gt;""),CC$216/(ER2_3/CC$210^(1/Pn_3)),0)</f>
        <v>0</v>
      </c>
      <c r="CD222" s="81"/>
      <c r="CE222" s="23"/>
      <c r="CF222" s="81"/>
      <c r="CG222" s="83"/>
      <c r="CH222" s="23" t="s">
        <v>1054</v>
      </c>
      <c r="CI222" s="83"/>
      <c r="CJ222" s="86">
        <f>Op_Indoors*CJ221+IF(AND(Attended="Yes",OR(CJ159="Yes",CJ160="Yes")),0.9,0)</f>
        <v>0</v>
      </c>
      <c r="CK222" s="83"/>
      <c r="CL222" s="23"/>
      <c r="CM222" s="83"/>
      <c r="CN222" s="7"/>
    </row>
    <row r="223" spans="1:92" s="26" customFormat="1" ht="15" customHeight="1" x14ac:dyDescent="0.25">
      <c r="A223" s="2"/>
      <c r="B223" s="846" t="str">
        <f>IF(B20="","","Vapor Mole Fraction "&amp;B20&amp;" / Time-Scaled ERPG-2")</f>
        <v/>
      </c>
      <c r="C223" s="83"/>
      <c r="D223" s="2091">
        <f>IF(AND(D$217&gt;0,ER2_4&lt;&gt;""),D$217/(ER2_4/D$210^(1/Pn_4)),0)</f>
        <v>0</v>
      </c>
      <c r="E223" s="83"/>
      <c r="F223" s="2091">
        <f>IF(AND(F$217&gt;0,ER2_4&lt;&gt;""),F$217/(ER2_4/F$210^(1/Pn_4)),0)</f>
        <v>0</v>
      </c>
      <c r="G223" s="83"/>
      <c r="H223" s="2091">
        <f>IF(AND(H$217&gt;0,ER2_4&lt;&gt;""),H$217/(ER2_4/H$210^(1/Pn_4)),0)</f>
        <v>0</v>
      </c>
      <c r="I223" s="83"/>
      <c r="J223" s="2091">
        <f>IF(AND(J$217&gt;0,ER2_4&lt;&gt;""),J$217/(ER2_4/J$210^(1/Pn_4)),0)</f>
        <v>0</v>
      </c>
      <c r="K223" s="83"/>
      <c r="L223" s="2091">
        <f>IF(AND(L$217&gt;0,ER2_4&lt;&gt;""),L$217/(ER2_4/L$210^(1/Pn_4)),0)</f>
        <v>0</v>
      </c>
      <c r="M223" s="83"/>
      <c r="N223" s="2091">
        <f>IF(AND(N$217&gt;0,ER2_4&lt;&gt;""),N$217/(ER2_4/N$210^(1/Pn_4)),0)</f>
        <v>0</v>
      </c>
      <c r="O223" s="83"/>
      <c r="P223" s="2091">
        <f>IF(AND(P$217&gt;0,ER2_4&lt;&gt;""),P$217/(ER2_4/P$210^(1/Pn_4)),0)</f>
        <v>0</v>
      </c>
      <c r="Q223" s="83"/>
      <c r="R223" s="2091">
        <f>IF(AND(R$217&gt;0,ER2_4&lt;&gt;""),R$217/(ER2_4/R$210^(1/Pn_4)),0)</f>
        <v>0</v>
      </c>
      <c r="S223" s="83"/>
      <c r="T223" s="2091">
        <f>IF(AND(T$217&gt;0,ER2_4&lt;&gt;""),T$217/(ER2_4/T$210^(1/Pn_4)),0)</f>
        <v>0</v>
      </c>
      <c r="U223" s="83"/>
      <c r="V223" s="2091">
        <f>IF(AND(V$217&gt;0,ER2_4&lt;&gt;""),V$217/(ER2_4/V$210^(1/Pn_4)),0)</f>
        <v>0</v>
      </c>
      <c r="W223" s="83"/>
      <c r="X223" s="2091">
        <f>IF(AND(X$217&gt;0,ER2_4&lt;&gt;""),X$217/(ER2_4/X$210^(1/Pn_4)),0)</f>
        <v>0</v>
      </c>
      <c r="Y223" s="83"/>
      <c r="Z223" s="23"/>
      <c r="AA223" s="83"/>
      <c r="AB223" s="81"/>
      <c r="AC223" s="2586" t="s">
        <v>3799</v>
      </c>
      <c r="AD223" s="81"/>
      <c r="AE223" s="2096">
        <f>IF(OR(AE$83=0,AE$89=0,AE$98=0),1,IF(AE294="Outdoors",IF(AE83/AE89&gt;Max_Duration,1,IF(AE$169="Instantaneous",MAX(3.29*(AE83/(AE98*AE222))^0.37/(Wind*3600),(AE$83/Max_Duration)/AE$89),(AE$83/Max_Duration)/AE$89)),1))</f>
        <v>1</v>
      </c>
      <c r="AF223" s="81"/>
      <c r="AG223" s="2096">
        <f>IF(OR(AG$83=0,AG$89=0,AG$98=0),1,IF(AG294="Outdoors",IF(AG83/AG89&gt;Max_Duration,1,IF(AG$169="Instantaneous",MAX(3.29*(AG83/(AG98*AG222))^0.37/(Wind*3600),(AG$83/Max_Duration)/AG$89),(AG$83/Max_Duration)/AG$89)),1))</f>
        <v>1</v>
      </c>
      <c r="AH223" s="81"/>
      <c r="AI223" s="2096">
        <f>IF(OR(AI$83=0,AI$89=0,AI$98=0),1,IF(AI294="Outdoors",IF(AI83/AI89&gt;Max_Duration,1,IF(AI$169="Instantaneous",MAX(3.29*(AI83/(AI98*AI222))^0.37/(Wind*3600),(AI$83/Max_Duration)/AI$89),(AI$83/Max_Duration)/AI$89)),1))</f>
        <v>1</v>
      </c>
      <c r="AJ223" s="81"/>
      <c r="AK223" s="2096">
        <f>IF(OR(AK$83=0,AK$89=0,AK$98=0),1,IF(AK294="Outdoors",IF(AK83/AK89&gt;Max_Duration,1,IF(AK$169="Instantaneous",MAX(3.29*(AK83/(AK98*AK222))^0.37/(Wind*3600),(AK$83/Max_Duration)/AK$89),(AK$83/Max_Duration)/AK$89)),1))</f>
        <v>1</v>
      </c>
      <c r="AL223" s="81"/>
      <c r="AM223" s="2096">
        <f>IF(OR(AM$83=0,AM$89=0,AM$98=0),1,IF(AM294="Outdoors",IF(AM83/AM89&gt;Max_Duration,1,IF(AM$169="Instantaneous",MAX(3.29*(AM83/(AM98*AM222))^0.37/(Wind*3600),(AM$83/Max_Duration)/AM$89),(AM$83/Max_Duration)/AM$89)),1))</f>
        <v>1</v>
      </c>
      <c r="AN223" s="81"/>
      <c r="AO223" s="2096">
        <f>IF(OR(AO$83=0,AO$89=0,AO$98=0),1,IF(AO294="Outdoors",IF(AO83/AO89&gt;Max_Duration,1,IF(AO$169="Instantaneous",MAX(3.29*(AO83/(AO98*AO222))^0.37/(Wind*3600),(AO$83/Max_Duration)/AO$89),(AO$83/Max_Duration)/AO$89)),1))</f>
        <v>1</v>
      </c>
      <c r="AP223" s="81"/>
      <c r="AQ223" s="85"/>
      <c r="AR223" s="81"/>
      <c r="AS223" s="83"/>
      <c r="AT223" s="512" t="str">
        <f>B226</f>
        <v/>
      </c>
      <c r="AU223" s="83"/>
      <c r="AV223" s="2091">
        <f>IF(AND(AV$211&gt;0,ER3_1&lt;&gt;""),AV$211/(ER3_1/AV$207^(1/Pn_1)),0)</f>
        <v>0</v>
      </c>
      <c r="AW223" s="83"/>
      <c r="AX223" s="2091">
        <f>IF(AND(AX$211&gt;0,ER3_1&lt;&gt;""),AX$211/(ER3_1/AX$207^(1/Pn_1)),0)</f>
        <v>0</v>
      </c>
      <c r="AY223" s="83"/>
      <c r="AZ223" s="2091">
        <f>IF(AND(AZ$211&gt;0,ER3_1&lt;&gt;""),AZ$211/(ER3_1/AZ$207^(1/Pn_1)),0)</f>
        <v>0</v>
      </c>
      <c r="BA223" s="83"/>
      <c r="BB223" s="2091">
        <f>IF(AND(BB$211&gt;0,ER3_1&lt;&gt;""),BB$211/(ER3_1/BB$207^(1/Pn_1)),0)</f>
        <v>0</v>
      </c>
      <c r="BC223" s="83"/>
      <c r="BD223" s="2091">
        <f>IF(AND(BD$211&gt;0,ER3_1&lt;&gt;""),BD$211/(ER3_1/BD$207^(1/Pn_1)),0)</f>
        <v>0</v>
      </c>
      <c r="BE223" s="83"/>
      <c r="BF223" s="2091">
        <f>IF(AND(BF$211&gt;0,ER3_1&lt;&gt;""),BF$211/(ER3_1/BF$207^(1/Pn_1)),0)</f>
        <v>0</v>
      </c>
      <c r="BG223" s="83"/>
      <c r="BH223" s="2091">
        <f>IF(AND(BH$211&gt;0,ER3_1&lt;&gt;""),BH$211/(ER3_1/BH$207^(1/Pn_1)),0)</f>
        <v>0</v>
      </c>
      <c r="BI223" s="83"/>
      <c r="BJ223" s="2091">
        <f>IF(AND(BJ$211&gt;0,ER3_1&lt;&gt;""),BJ$211/(ER3_1/BJ$207^(1/Pn_1)),0)</f>
        <v>0</v>
      </c>
      <c r="BK223" s="83"/>
      <c r="BL223" s="2091">
        <f>IF(AND(BL$211&gt;0,ER3_1&lt;&gt;""),BL$211/(ER3_1/BL$207^(1/Pn_1)),0)</f>
        <v>0</v>
      </c>
      <c r="BM223" s="83"/>
      <c r="BN223" s="2091">
        <f>IF(AND(BN$211&gt;0,ER3_1&lt;&gt;""),BN$211/(ER3_1/BN$207^(1/Pn_1)),0)</f>
        <v>0</v>
      </c>
      <c r="BO223" s="83"/>
      <c r="BP223" s="1834"/>
      <c r="BQ223" s="83"/>
      <c r="BR223" s="81"/>
      <c r="BS223" s="846" t="str">
        <f>B223</f>
        <v/>
      </c>
      <c r="BT223" s="81"/>
      <c r="BU223" s="2091">
        <f>IF(AND(BU$217&gt;0,ER2_4&lt;&gt;""),BU$217/(ER2_4/BU$210^(1/Pn_4)),0)</f>
        <v>0</v>
      </c>
      <c r="BV223" s="81"/>
      <c r="BW223" s="2091">
        <f>IF(AND(BW$217&gt;0,ER2_4&lt;&gt;""),BW$217/(ER2_4/BW$210^(1/Pn_4)),0)</f>
        <v>0</v>
      </c>
      <c r="BX223" s="81"/>
      <c r="BY223" s="2091">
        <f>IF(AND(BY$217&gt;0,ER2_4&lt;&gt;""),BY$217/(ER2_4/BY$210^(1/Pn_4)),0)</f>
        <v>0</v>
      </c>
      <c r="BZ223" s="81"/>
      <c r="CA223" s="2091">
        <f>IF(AND(CA$217&gt;0,ER2_4&lt;&gt;""),CA$217/(ER2_4/CA$210^(1/Pn_4)),0)</f>
        <v>0</v>
      </c>
      <c r="CB223" s="81"/>
      <c r="CC223" s="2091">
        <f>IF(AND(CC$217&gt;0,ER2_4&lt;&gt;""),CC$217/(ER2_4/CC$210^(1/Pn_4)),0)</f>
        <v>0</v>
      </c>
      <c r="CD223" s="81"/>
      <c r="CE223" s="23"/>
      <c r="CF223" s="81"/>
      <c r="CG223" s="83"/>
      <c r="CH223" s="85" t="s">
        <v>1414</v>
      </c>
      <c r="CI223" s="83"/>
      <c r="CJ223" s="242">
        <v>0</v>
      </c>
      <c r="CK223" s="83"/>
      <c r="CL223" s="23"/>
      <c r="CM223" s="83"/>
      <c r="CN223" s="7"/>
    </row>
    <row r="224" spans="1:92" s="26" customFormat="1" ht="15" customHeight="1" thickBot="1" x14ac:dyDescent="0.3">
      <c r="A224" s="2"/>
      <c r="B224" s="846" t="str">
        <f>IF(B21="","","Vapor Mole Fraction "&amp;B21&amp;" / Time-Scaled ERPG-2")</f>
        <v/>
      </c>
      <c r="C224" s="83"/>
      <c r="D224" s="2091">
        <f>IF(AND(D$218&gt;0,ER2_5&lt;&gt;""),D$218/(ER2_5/D$210^(1/Pn_5)),0)</f>
        <v>0</v>
      </c>
      <c r="E224" s="83"/>
      <c r="F224" s="2091">
        <f>IF(AND(F$218&gt;0,ER2_5&lt;&gt;""),F$218/(ER2_5/F$210^(1/Pn_5)),0)</f>
        <v>0</v>
      </c>
      <c r="G224" s="83"/>
      <c r="H224" s="2091">
        <f>IF(AND(H$218&gt;0,ER2_5&lt;&gt;""),H$218/(ER2_5/H$210^(1/Pn_5)),0)</f>
        <v>0</v>
      </c>
      <c r="I224" s="83"/>
      <c r="J224" s="2091">
        <f>IF(AND(J$218&gt;0,ER2_5&lt;&gt;""),J$218/(ER2_5/J$210^(1/Pn_5)),0)</f>
        <v>0</v>
      </c>
      <c r="K224" s="83"/>
      <c r="L224" s="2091">
        <f>IF(AND(L$218&gt;0,ER2_5&lt;&gt;""),L$218/(ER2_5/L$210^(1/Pn_5)),0)</f>
        <v>0</v>
      </c>
      <c r="M224" s="83"/>
      <c r="N224" s="2091">
        <f>IF(AND(N$218&gt;0,ER2_5&lt;&gt;""),N$218/(ER2_5/N$210^(1/Pn_5)),0)</f>
        <v>0</v>
      </c>
      <c r="O224" s="83"/>
      <c r="P224" s="2091">
        <f>IF(AND(P$218&gt;0,ER2_5&lt;&gt;""),P$218/(ER2_5/P$210^(1/Pn_5)),0)</f>
        <v>0</v>
      </c>
      <c r="Q224" s="83"/>
      <c r="R224" s="2091">
        <f>IF(AND(R$218&gt;0,ER2_5&lt;&gt;""),R$218/(ER2_5/R$210^(1/Pn_5)),0)</f>
        <v>0</v>
      </c>
      <c r="S224" s="83"/>
      <c r="T224" s="2091">
        <f>IF(AND(T$218&gt;0,ER2_5&lt;&gt;""),T$218/(ER2_5/T$210^(1/Pn_5)),0)</f>
        <v>0</v>
      </c>
      <c r="U224" s="83"/>
      <c r="V224" s="2091">
        <f>IF(AND(V$218&gt;0,ER2_5&lt;&gt;""),V$218/(ER2_5/V$210^(1/Pn_5)),0)</f>
        <v>0</v>
      </c>
      <c r="W224" s="83"/>
      <c r="X224" s="2091">
        <f>IF(AND(X$218&gt;0,ER2_5&lt;&gt;""),X$218/(ER2_5/X$210^(1/Pn_5)),0)</f>
        <v>0</v>
      </c>
      <c r="Y224" s="83"/>
      <c r="Z224" s="23"/>
      <c r="AA224" s="83"/>
      <c r="AB224" s="81"/>
      <c r="AC224" s="2586" t="s">
        <v>3800</v>
      </c>
      <c r="AD224" s="81"/>
      <c r="AE224" s="2989">
        <f>IF(OR(AE$83=0,AE$89=0,AE$98=0),1,IF(AE294="Outdoors",IF(AE$83/AE$89&gt;Max_Duration,1,IF(AE$221="Instantaneous",MAX(3.29*(AE83/(AE98*AE222))^0.37/(Wind_Night*3600),(AE$83/Max_Duration)/AE$89),(AE$83/Max_Duration)/AE$89)),1))</f>
        <v>1</v>
      </c>
      <c r="AF224" s="81"/>
      <c r="AG224" s="2989">
        <f>IF(OR(AG$83=0,AG$89=0,AG$98=0),1,IF(AG294="Outdoors",IF(AG$83/AG$89&gt;Max_Duration,1,IF(AG$221="Instantaneous",MAX(3.29*(AG83/(AG98*AG222))^0.37/(Wind_Night*3600),(AG$83/Max_Duration)/AG$89),(AG$83/Max_Duration)/AG$89)),1))</f>
        <v>1</v>
      </c>
      <c r="AH224" s="81"/>
      <c r="AI224" s="2989">
        <f>IF(OR(AI$83=0,AI$89=0,AI$98=0),1,IF(AI294="Outdoors",IF(AI$83/AI$89&gt;Max_Duration,1,IF(AI$221="Instantaneous",MAX(3.29*(AI83/(AI98*AI222))^0.37/(Wind_Night*3600),(AI$83/Max_Duration)/AI$89),(AI$83/Max_Duration)/AI$89)),1))</f>
        <v>1</v>
      </c>
      <c r="AJ224" s="81"/>
      <c r="AK224" s="2989">
        <f>IF(OR(AK$83=0,AK$89=0,AK$98=0),1,IF(AK294="Outdoors",IF(AK$83/AK$89&gt;Max_Duration,1,IF(AK$221="Instantaneous",MAX(3.29*(AK83/(AK98*AK222))^0.37/(Wind_Night*3600),(AK$83/Max_Duration)/AK$89),(AK$83/Max_Duration)/AK$89)),1))</f>
        <v>1</v>
      </c>
      <c r="AL224" s="81"/>
      <c r="AM224" s="2989">
        <f>IF(OR(AM$83=0,AM$89=0,AM$98=0),1,IF(AM294="Outdoors",IF(AM$83/AM$89&gt;Max_Duration,1,IF(AM$221="Instantaneous",MAX(3.29*(AM83/(AM98*AM222))^0.37/(Wind_Night*3600),(AM$83/Max_Duration)/AM$89),(AM$83/Max_Duration)/AM$89)),1))</f>
        <v>1</v>
      </c>
      <c r="AN224" s="81"/>
      <c r="AO224" s="2989">
        <f>IF(OR(AO$83=0,AO$89=0,AO$98=0),1,IF(AO294="Outdoors",IF(AO$83/AO$89&gt;Max_Duration,1,IF(AO$221="Instantaneous",MAX(3.29*(AO83/(AO98*AO222))^0.37/(Wind_Night*3600),(AO$83/Max_Duration)/AO$89),(AO$83/Max_Duration)/AO$89)),1))</f>
        <v>1</v>
      </c>
      <c r="AP224" s="81"/>
      <c r="AQ224" s="85"/>
      <c r="AR224" s="81"/>
      <c r="AS224" s="83"/>
      <c r="AT224" s="512" t="str">
        <f>B227</f>
        <v/>
      </c>
      <c r="AU224" s="83"/>
      <c r="AV224" s="2091">
        <f>IF(AND(AV$212&gt;0,ER3_2&lt;&gt;""),AV$212/(ER3_2/AV$207^(1/Pn_2)),0)</f>
        <v>0</v>
      </c>
      <c r="AW224" s="83"/>
      <c r="AX224" s="2091">
        <f>IF(AND(AX$212&gt;0,ER3_2&lt;&gt;""),AX$212/(ER3_2/AX$207^(1/Pn_2)),0)</f>
        <v>0</v>
      </c>
      <c r="AY224" s="83"/>
      <c r="AZ224" s="2091">
        <f>IF(AND(AZ$212&gt;0,ER3_2&lt;&gt;""),AZ$212/(ER3_2/AZ$207^(1/Pn_2)),0)</f>
        <v>0</v>
      </c>
      <c r="BA224" s="83"/>
      <c r="BB224" s="2091">
        <f>IF(AND(BB$212&gt;0,ER3_2&lt;&gt;""),BB$212/(ER3_2/BB$207^(1/Pn_2)),0)</f>
        <v>0</v>
      </c>
      <c r="BC224" s="83"/>
      <c r="BD224" s="2091">
        <f>IF(AND(BD$212&gt;0,ER3_2&lt;&gt;""),BD$212/(ER3_2/BD$207^(1/Pn_2)),0)</f>
        <v>0</v>
      </c>
      <c r="BE224" s="83"/>
      <c r="BF224" s="2091">
        <f>IF(AND(BF$212&gt;0,ER3_2&lt;&gt;""),BF$212/(ER3_2/BF$207^(1/Pn_2)),0)</f>
        <v>0</v>
      </c>
      <c r="BG224" s="83"/>
      <c r="BH224" s="2091">
        <f>IF(AND(BH$212&gt;0,ER3_2&lt;&gt;""),BH$212/(ER3_2/BH$207^(1/Pn_2)),0)</f>
        <v>0</v>
      </c>
      <c r="BI224" s="83"/>
      <c r="BJ224" s="2091">
        <f>IF(AND(BJ$212&gt;0,ER3_2&lt;&gt;""),BJ$212/(ER3_2/BJ$207^(1/Pn_2)),0)</f>
        <v>0</v>
      </c>
      <c r="BK224" s="83"/>
      <c r="BL224" s="2091">
        <f>IF(AND(BL$212&gt;0,ER3_2&lt;&gt;""),BL$212/(ER3_2/BL$207^(1/Pn_2)),0)</f>
        <v>0</v>
      </c>
      <c r="BM224" s="83"/>
      <c r="BN224" s="2091">
        <f>IF(AND(BN$212&gt;0,ER3_2&lt;&gt;""),BN$212/(ER3_2/BN$207^(1/Pn_2)),0)</f>
        <v>0</v>
      </c>
      <c r="BO224" s="83"/>
      <c r="BP224" s="1835"/>
      <c r="BQ224" s="83"/>
      <c r="BR224" s="81"/>
      <c r="BS224" s="1037" t="str">
        <f>B224</f>
        <v/>
      </c>
      <c r="BT224" s="81"/>
      <c r="BU224" s="2091">
        <f>IF(AND(BU$218&gt;0,ER2_5&lt;&gt;""),BU$218/(ER2_5/BU$210^(1/Pn_5)),0)</f>
        <v>0</v>
      </c>
      <c r="BV224" s="81"/>
      <c r="BW224" s="2091">
        <f>IF(AND(BW$218&gt;0,ER2_5&lt;&gt;""),BW$218/(ER2_5/BW$210^(1/Pn_5)),0)</f>
        <v>0</v>
      </c>
      <c r="BX224" s="81"/>
      <c r="BY224" s="2091">
        <f>IF(AND(BY$218&gt;0,ER2_5&lt;&gt;""),BY$218/(ER2_5/BY$210^(1/Pn_5)),0)</f>
        <v>0</v>
      </c>
      <c r="BZ224" s="81"/>
      <c r="CA224" s="2091">
        <f>IF(AND(CA$218&gt;0,ER2_5&lt;&gt;""),CA$218/(ER2_5/CA$210^(1/Pn_5)),0)</f>
        <v>0</v>
      </c>
      <c r="CB224" s="81"/>
      <c r="CC224" s="2091">
        <f>IF(AND(CC$218&gt;0,ER2_5&lt;&gt;""),CC$218/(ER2_5/CC$210^(1/Pn_5)),0)</f>
        <v>0</v>
      </c>
      <c r="CD224" s="81"/>
      <c r="CE224" s="23"/>
      <c r="CF224" s="81"/>
      <c r="CG224" s="83"/>
      <c r="CH224" s="25" t="s">
        <v>4790</v>
      </c>
      <c r="CI224" s="83"/>
      <c r="CJ224" s="1208" t="str">
        <f>IF(CJ221=0,"NA",IF(CJ221&lt;HD_VeryLow_Indoor,Conseq_VeryLow,IF(CJ221&lt;HD_Low_Indoor,Conseq_Low,IF(CJ221&lt;HD_Moderate_Indoor,Conseq_Moderate,IF(CJ221&lt;HD_High_Indoor,Conseq_High,IF(CJ221&lt;HD_VeryHigh_Indoor,Conseq_VeryHigh,Conseq_ExtremeHigh))))))</f>
        <v>NA</v>
      </c>
      <c r="CK224" s="83"/>
      <c r="CL224" s="23"/>
      <c r="CM224" s="83"/>
      <c r="CN224" s="7"/>
    </row>
    <row r="225" spans="1:92" s="26" customFormat="1" ht="15" customHeight="1" thickBot="1" x14ac:dyDescent="0.3">
      <c r="A225" s="2"/>
      <c r="B225" s="2586" t="s">
        <v>2209</v>
      </c>
      <c r="C225" s="83"/>
      <c r="D225" s="2101" t="str">
        <f>IF(AND(D$210&gt;0,SUM(D220:D224)&gt;0),IF(1/SUM(D220:D224)&lt;1000000,1/SUM(D220:D224),1000000),"")</f>
        <v/>
      </c>
      <c r="E225" s="1679"/>
      <c r="F225" s="2101" t="str">
        <f>IF(AND(F$210&gt;0,SUM(F220:F224)&gt;0),IF(1/SUM(F220:F224)&lt;1000000,1/SUM(F220:F224),1000000),"")</f>
        <v/>
      </c>
      <c r="G225" s="83"/>
      <c r="H225" s="2101" t="str">
        <f>IF(AND(H$210&gt;0,SUM(H220:H224)&gt;0),IF(1/SUM(H220:H224)&lt;1000000,1/SUM(H220:H224),1000000),"")</f>
        <v/>
      </c>
      <c r="I225" s="83"/>
      <c r="J225" s="2101" t="str">
        <f>IF(AND(J$210&gt;0,SUM(J220:J224)&gt;0),IF(1/SUM(J220:J224)&lt;1000000,1/SUM(J220:J224),1000000),"")</f>
        <v/>
      </c>
      <c r="K225" s="83"/>
      <c r="L225" s="2101" t="str">
        <f>IF(AND(L$210&gt;0,SUM(L220:L224)&gt;0),IF(1/SUM(L220:L224)&lt;1000000,1/SUM(L220:L224),1000000),"")</f>
        <v/>
      </c>
      <c r="M225" s="83"/>
      <c r="N225" s="2101" t="str">
        <f>IF(AND(N$210&gt;0,SUM(N220:N224)&gt;0),IF(1/SUM(N220:N224)&lt;1000000,1/SUM(N220:N224),1000000),"")</f>
        <v/>
      </c>
      <c r="O225" s="83"/>
      <c r="P225" s="2101" t="str">
        <f>IF(AND(P$210&gt;0,SUM(P220:P224)&gt;0),IF(1/SUM(P220:P224)&lt;1000000,1/SUM(P220:P224),1000000),"")</f>
        <v/>
      </c>
      <c r="Q225" s="83"/>
      <c r="R225" s="2101" t="str">
        <f>IF(AND(R$210&gt;0,SUM(R220:R224)&gt;0),IF(1/SUM(R220:R224)&lt;1000000,1/SUM(R220:R224),1000000),"")</f>
        <v/>
      </c>
      <c r="S225" s="83"/>
      <c r="T225" s="2101" t="str">
        <f>IF(AND(T$210&gt;0,SUM(T220:T224)&gt;0),IF(1/SUM(T220:T224)&lt;1000000,1/SUM(T220:T224),1000000),"")</f>
        <v/>
      </c>
      <c r="U225" s="83"/>
      <c r="V225" s="2101" t="str">
        <f>IF(AND(V$210&gt;0,SUM(V220:V224)&gt;0),IF(1/SUM(V220:V224)&lt;1000000,1/SUM(V220:V224),1000000),"")</f>
        <v/>
      </c>
      <c r="W225" s="83"/>
      <c r="X225" s="2101" t="str">
        <f>IF(AND(X$210&gt;0,SUM(X220:X224)&gt;0),IF(1/SUM(X220:X224)&lt;1000000,1/SUM(X220:X224),1000000),"")</f>
        <v/>
      </c>
      <c r="Y225" s="83"/>
      <c r="Z225" s="85" t="s">
        <v>1506</v>
      </c>
      <c r="AA225" s="83"/>
      <c r="AB225" s="81"/>
      <c r="AC225" s="81"/>
      <c r="AD225" s="81"/>
      <c r="AE225" s="81"/>
      <c r="AF225" s="81"/>
      <c r="AG225" s="81"/>
      <c r="AH225" s="81"/>
      <c r="AI225" s="81"/>
      <c r="AJ225" s="81"/>
      <c r="AK225" s="81"/>
      <c r="AL225" s="81"/>
      <c r="AM225" s="81"/>
      <c r="AN225" s="81"/>
      <c r="AO225" s="81"/>
      <c r="AP225" s="81"/>
      <c r="AQ225" s="81"/>
      <c r="AR225" s="81"/>
      <c r="AS225" s="83"/>
      <c r="AT225" s="512" t="str">
        <f>B228</f>
        <v/>
      </c>
      <c r="AU225" s="83"/>
      <c r="AV225" s="2091">
        <f>IF(AND(AV$213&gt;0,ER3_3&lt;&gt;""),AV$213/(ER3_3/AV$207^(1/Pn_3)),0)</f>
        <v>0</v>
      </c>
      <c r="AW225" s="83"/>
      <c r="AX225" s="2091">
        <f>IF(AND(AX$213&gt;0,ER3_3&lt;&gt;""),AX$213/(ER3_3/AX$207^(1/Pn_3)),0)</f>
        <v>0</v>
      </c>
      <c r="AY225" s="83"/>
      <c r="AZ225" s="2091">
        <f>IF(AND(AZ$213&gt;0,ER3_3&lt;&gt;""),AZ$213/(ER3_3/AZ$207^(1/Pn_3)),0)</f>
        <v>0</v>
      </c>
      <c r="BA225" s="83"/>
      <c r="BB225" s="2091">
        <f>IF(AND(BB$213&gt;0,ER3_3&lt;&gt;""),BB$213/(ER3_3/BB$207^(1/Pn_3)),0)</f>
        <v>0</v>
      </c>
      <c r="BC225" s="83"/>
      <c r="BD225" s="2091">
        <f>IF(AND(BD$213&gt;0,ER3_3&lt;&gt;""),BD$213/(ER3_3/BD$207^(1/Pn_3)),0)</f>
        <v>0</v>
      </c>
      <c r="BE225" s="83"/>
      <c r="BF225" s="2091">
        <f>IF(AND(BF$213&gt;0,ER3_3&lt;&gt;""),BF$213/(ER3_3/BF$207^(1/Pn_3)),0)</f>
        <v>0</v>
      </c>
      <c r="BG225" s="83"/>
      <c r="BH225" s="2091">
        <f>IF(AND(BH$213&gt;0,ER3_3&lt;&gt;""),BH$213/(ER3_3/BH$207^(1/Pn_3)),0)</f>
        <v>0</v>
      </c>
      <c r="BI225" s="83"/>
      <c r="BJ225" s="2091">
        <f>IF(AND(BJ$213&gt;0,ER3_3&lt;&gt;""),BJ$213/(ER3_3/BJ$207^(1/Pn_3)),0)</f>
        <v>0</v>
      </c>
      <c r="BK225" s="83"/>
      <c r="BL225" s="2091">
        <f>IF(AND(BL$213&gt;0,ER3_3&lt;&gt;""),BL$213/(ER3_3/BL$207^(1/Pn_3)),0)</f>
        <v>0</v>
      </c>
      <c r="BM225" s="83"/>
      <c r="BN225" s="2091">
        <f>IF(AND(BN$213&gt;0,ER3_3&lt;&gt;""),BN$213/(ER3_3/BN$207^(1/Pn_3)),0)</f>
        <v>0</v>
      </c>
      <c r="BO225" s="83"/>
      <c r="BP225" s="1835"/>
      <c r="BQ225" s="83"/>
      <c r="BR225" s="81"/>
      <c r="BS225" s="849" t="s">
        <v>2209</v>
      </c>
      <c r="BT225" s="81"/>
      <c r="BU225" s="2101" t="str">
        <f>IF(AND(BU$210&gt;0,SUM(BU220:BU224)&gt;0),IF(1/SUM(BU220:BU224)&lt;1000000,1/SUM(BU220:BU224),1000000),"")</f>
        <v/>
      </c>
      <c r="BV225" s="81"/>
      <c r="BW225" s="2101" t="str">
        <f>IF(AND(BW$210&gt;0,SUM(BW220:BW224)&gt;0),IF(1/SUM(BW220:BW224)&lt;1000000,1/SUM(BW220:BW224),1000000),"")</f>
        <v/>
      </c>
      <c r="BX225" s="81"/>
      <c r="BY225" s="2101" t="str">
        <f>IF(AND(BY$210&gt;0,SUM(BY220:BY224)&gt;0),IF(1/SUM(BY220:BY224)&lt;1000000,1/SUM(BY220:BY224),1000000),"")</f>
        <v/>
      </c>
      <c r="BZ225" s="81"/>
      <c r="CA225" s="2101" t="str">
        <f>IF(AND(CA$210&gt;0,SUM(CA220:CA224)&gt;0),IF(1/SUM(CA220:CA224)&lt;1000000,1/SUM(CA220:CA224),1000000),"")</f>
        <v/>
      </c>
      <c r="CB225" s="81"/>
      <c r="CC225" s="2101" t="str">
        <f>IF(AND(CC$210&gt;0,SUM(CC220:CC224)&gt;0),IF(1/SUM(CC220:CC224)&lt;1000000,1/SUM(CC220:CC224),1000000),"")</f>
        <v/>
      </c>
      <c r="CD225" s="81"/>
      <c r="CE225" s="25" t="s">
        <v>1506</v>
      </c>
      <c r="CF225" s="81"/>
      <c r="CG225" s="83"/>
      <c r="CH225" s="25" t="s">
        <v>4225</v>
      </c>
      <c r="CI225" s="83"/>
      <c r="CJ225" s="2133" t="str">
        <f>IF(Conseq_Criteria="Hazard Distance",CJ224,IF(AND(CJ159="No",CJ160="No"),"NA",IF(CJ222&lt;N_VeryLow,Conseq_VeryLow,IF(CJ222&lt;N_Low,Conseq_Low,IF(CJ222&lt;N_Moderate,Conseq_Moderate,IF(CJ222&lt;N_High,Conseq_High,IF(CJ222&lt;N_VeryHigh,Conseq_VeryHigh,Conseq_ExtremeHigh)))))))</f>
        <v>NA</v>
      </c>
      <c r="CK225" s="83"/>
      <c r="CL225" s="89"/>
      <c r="CM225" s="83"/>
      <c r="CN225" s="7"/>
    </row>
    <row r="226" spans="1:92" s="26" customFormat="1" ht="15" customHeight="1" x14ac:dyDescent="0.25">
      <c r="A226" s="2"/>
      <c r="B226" s="846" t="str">
        <f>IF(B17="","","Vapor Mole Fraction "&amp;B17&amp;" / Time-Scaled ERPG-3")</f>
        <v/>
      </c>
      <c r="C226" s="83"/>
      <c r="D226" s="2091">
        <f>IF(AND(D$214&gt;0,ER3_1&lt;&gt;""),D$214/(ER3_1/D$210^(1/Pn_1)),0)</f>
        <v>0</v>
      </c>
      <c r="E226" s="83"/>
      <c r="F226" s="2091">
        <f>IF(AND(F$214&gt;0,ER3_1&lt;&gt;""),F$214/(ER3_1/F$210^(1/Pn_1)),0)</f>
        <v>0</v>
      </c>
      <c r="G226" s="83"/>
      <c r="H226" s="2091">
        <f>IF(AND(H$214&gt;0,ER3_1&lt;&gt;""),H$214/(ER3_1/H$210^(1/Pn_1)),0)</f>
        <v>0</v>
      </c>
      <c r="I226" s="83"/>
      <c r="J226" s="2091">
        <f>IF(AND(J$214&gt;0,ER3_1&lt;&gt;""),J$214/(ER3_1/J$210^(1/Pn_1)),0)</f>
        <v>0</v>
      </c>
      <c r="K226" s="83"/>
      <c r="L226" s="2091">
        <f>IF(AND(L$214&gt;0,ER3_1&lt;&gt;""),L$214/(ER3_1/L$210^(1/Pn_1)),0)</f>
        <v>0</v>
      </c>
      <c r="M226" s="83"/>
      <c r="N226" s="2091">
        <f>IF(AND(N$214&gt;0,ER3_1&lt;&gt;""),N$214/(ER3_1/N$210^(1/Pn_1)),0)</f>
        <v>0</v>
      </c>
      <c r="O226" s="83"/>
      <c r="P226" s="2091">
        <f>IF(AND(P$214&gt;0,ER3_1&lt;&gt;""),P$214/(ER3_1/P$210^(1/Pn_1)),0)</f>
        <v>0</v>
      </c>
      <c r="Q226" s="83"/>
      <c r="R226" s="2091">
        <f>IF(AND(R$214&gt;0,ER3_1&lt;&gt;""),R$214/(ER3_1/R$210^(1/Pn_1)),0)</f>
        <v>0</v>
      </c>
      <c r="S226" s="83"/>
      <c r="T226" s="2091">
        <f>IF(AND(T$214&gt;0,ER3_1&lt;&gt;""),T$214/(ER3_1/T$210^(1/Pn_1)),0)</f>
        <v>0</v>
      </c>
      <c r="U226" s="83"/>
      <c r="V226" s="2091">
        <f>IF(AND(V$214&gt;0,ER3_1&lt;&gt;""),V$214/(ER3_1/V$210^(1/Pn_1)),0)</f>
        <v>0</v>
      </c>
      <c r="W226" s="83"/>
      <c r="X226" s="2091">
        <f>IF(AND(X$214&gt;0,ER3_1&lt;&gt;""),X$214/(ER3_1/X$210^(1/Pn_1)),0)</f>
        <v>0</v>
      </c>
      <c r="Y226" s="83"/>
      <c r="Z226" s="23"/>
      <c r="AA226" s="83"/>
      <c r="AB226" s="81"/>
      <c r="AC226" s="476" t="s">
        <v>1361</v>
      </c>
      <c r="AD226" s="81"/>
      <c r="AE226" s="81"/>
      <c r="AF226" s="81"/>
      <c r="AG226" s="81"/>
      <c r="AH226" s="81"/>
      <c r="AI226" s="81"/>
      <c r="AJ226" s="81"/>
      <c r="AK226" s="81"/>
      <c r="AL226" s="81"/>
      <c r="AM226" s="81"/>
      <c r="AN226" s="81"/>
      <c r="AO226" s="81"/>
      <c r="AP226" s="81"/>
      <c r="AQ226" s="85"/>
      <c r="AR226" s="81"/>
      <c r="AS226" s="83"/>
      <c r="AT226" s="512" t="str">
        <f>B229</f>
        <v/>
      </c>
      <c r="AU226" s="83"/>
      <c r="AV226" s="2091">
        <f>IF(AND(AV$214&gt;0,ER3_4&lt;&gt;""),AV$214/(ER3_4/AV$207^(1/Pn_4)),0)</f>
        <v>0</v>
      </c>
      <c r="AW226" s="83"/>
      <c r="AX226" s="2091">
        <f>IF(AND(AX$214&gt;0,ER3_4&lt;&gt;""),AX$214/(ER3_4/AX$207^(1/Pn_4)),0)</f>
        <v>0</v>
      </c>
      <c r="AY226" s="83"/>
      <c r="AZ226" s="2091">
        <f>IF(AND(AZ$214&gt;0,ER3_4&lt;&gt;""),AZ$214/(ER3_4/AZ$207^(1/Pn_4)),0)</f>
        <v>0</v>
      </c>
      <c r="BA226" s="83"/>
      <c r="BB226" s="2091">
        <f>IF(AND(BB$214&gt;0,ER3_4&lt;&gt;""),BB$214/(ER3_4/BB$207^(1/Pn_4)),0)</f>
        <v>0</v>
      </c>
      <c r="BC226" s="83"/>
      <c r="BD226" s="2091">
        <f>IF(AND(BD$214&gt;0,ER3_4&lt;&gt;""),BD$214/(ER3_4/BD$207^(1/Pn_4)),0)</f>
        <v>0</v>
      </c>
      <c r="BE226" s="83"/>
      <c r="BF226" s="2091">
        <f>IF(AND(BF$214&gt;0,ER3_4&lt;&gt;""),BF$214/(ER3_4/BF$207^(1/Pn_4)),0)</f>
        <v>0</v>
      </c>
      <c r="BG226" s="83"/>
      <c r="BH226" s="2091">
        <f>IF(AND(BH$214&gt;0,ER3_4&lt;&gt;""),BH$214/(ER3_4/BH$207^(1/Pn_4)),0)</f>
        <v>0</v>
      </c>
      <c r="BI226" s="83"/>
      <c r="BJ226" s="2091">
        <f>IF(AND(BJ$214&gt;0,ER3_4&lt;&gt;""),BJ$214/(ER3_4/BJ$207^(1/Pn_4)),0)</f>
        <v>0</v>
      </c>
      <c r="BK226" s="83"/>
      <c r="BL226" s="2091">
        <f>IF(AND(BL$214&gt;0,ER3_4&lt;&gt;""),BL$214/(ER3_4/BL$207^(1/Pn_4)),0)</f>
        <v>0</v>
      </c>
      <c r="BM226" s="83"/>
      <c r="BN226" s="2091">
        <f>IF(AND(BN$214&gt;0,ER3_4&lt;&gt;""),BN$214/(ER3_4/BN$207^(1/Pn_4)),0)</f>
        <v>0</v>
      </c>
      <c r="BO226" s="83"/>
      <c r="BP226" s="1835"/>
      <c r="BQ226" s="83"/>
      <c r="BR226" s="81"/>
      <c r="BS226" s="845" t="str">
        <f>B226</f>
        <v/>
      </c>
      <c r="BT226" s="81"/>
      <c r="BU226" s="2091">
        <f>IF(AND(BU$214&gt;0,ER3_1&lt;&gt;""),BU$214/(ER3_1/BU$210^(1/Pn_1)),0)</f>
        <v>0</v>
      </c>
      <c r="BV226" s="81"/>
      <c r="BW226" s="2091">
        <f>IF(AND(BW$214&gt;0,ER3_1&lt;&gt;""),BW$214/(ER3_1/BW$210^(1/Pn_1)),0)</f>
        <v>0</v>
      </c>
      <c r="BX226" s="81"/>
      <c r="BY226" s="2091">
        <f>IF(AND(BY$214&gt;0,ER3_1&lt;&gt;""),BY$214/(ER3_1/BY$210^(1/Pn_1)),0)</f>
        <v>0</v>
      </c>
      <c r="BZ226" s="81"/>
      <c r="CA226" s="2091">
        <f>IF(AND(CA$214&gt;0,ER3_1&lt;&gt;""),CA$214/(ER3_1/CA$210^(1/Pn_1)),0)</f>
        <v>0</v>
      </c>
      <c r="CB226" s="81"/>
      <c r="CC226" s="2091">
        <f>IF(AND(CC$214&gt;0,ER3_1&lt;&gt;""),CC$214/(ER3_1/CC$210^(1/Pn_1)),0)</f>
        <v>0</v>
      </c>
      <c r="CD226" s="81"/>
      <c r="CE226" s="84"/>
      <c r="CF226" s="81"/>
      <c r="CG226" s="83"/>
      <c r="CH226" s="23" t="s">
        <v>3760</v>
      </c>
      <c r="CI226" s="83"/>
      <c r="CJ226" s="86">
        <f>IF(AND(CJ$137&lt;&gt;0,CJ155&gt;0),MIN(1,EXP(CJ$137+CJ$138/(ConcFract_Indoor*CJ155)^(2*CJ$53))),0)</f>
        <v>0</v>
      </c>
      <c r="CK226" s="83"/>
      <c r="CL226" s="23"/>
      <c r="CM226" s="83"/>
      <c r="CN226" s="7"/>
    </row>
    <row r="227" spans="1:92" s="26" customFormat="1" ht="15" customHeight="1" thickBot="1" x14ac:dyDescent="0.3">
      <c r="A227" s="2"/>
      <c r="B227" s="846" t="str">
        <f>IF(B18="","","Vapor Mole Fraction "&amp;B18&amp;" / Time-Scaled ERPG-3")</f>
        <v/>
      </c>
      <c r="C227" s="83"/>
      <c r="D227" s="2091">
        <f>IF(AND(D$215&gt;0,ER3_2&lt;&gt;""),D$215/(ER3_2/D$210^(1/Pn_2)),0)</f>
        <v>0</v>
      </c>
      <c r="E227" s="83"/>
      <c r="F227" s="2091">
        <f>IF(AND(F$215&gt;0,ER3_2&lt;&gt;""),F$215/(ER3_2/F$210^(1/Pn_2)),0)</f>
        <v>0</v>
      </c>
      <c r="G227" s="83"/>
      <c r="H227" s="2091">
        <f>IF(AND(H$215&gt;0,ER3_2&lt;&gt;""),H$215/(ER3_2/H$210^(1/Pn_2)),0)</f>
        <v>0</v>
      </c>
      <c r="I227" s="83"/>
      <c r="J227" s="2091">
        <f>IF(AND(J$215&gt;0,ER3_2&lt;&gt;""),J$215/(ER3_2/J$210^(1/Pn_2)),0)</f>
        <v>0</v>
      </c>
      <c r="K227" s="83"/>
      <c r="L227" s="2091">
        <f>IF(AND(L$215&gt;0,ER3_2&lt;&gt;""),L$215/(ER3_2/L$210^(1/Pn_2)),0)</f>
        <v>0</v>
      </c>
      <c r="M227" s="83"/>
      <c r="N227" s="2091">
        <f>IF(AND(N$215&gt;0,ER3_2&lt;&gt;""),N$215/(ER3_2/N$210^(1/Pn_2)),0)</f>
        <v>0</v>
      </c>
      <c r="O227" s="83"/>
      <c r="P227" s="2091">
        <f>IF(AND(P$215&gt;0,ER3_2&lt;&gt;""),P$215/(ER3_2/P$210^(1/Pn_2)),0)</f>
        <v>0</v>
      </c>
      <c r="Q227" s="83"/>
      <c r="R227" s="2091">
        <f>IF(AND(R$215&gt;0,ER3_2&lt;&gt;""),R$215/(ER3_2/R$210^(1/Pn_2)),0)</f>
        <v>0</v>
      </c>
      <c r="S227" s="83"/>
      <c r="T227" s="2091">
        <f>IF(AND(T$215&gt;0,ER3_2&lt;&gt;""),T$215/(ER3_2/T$210^(1/Pn_2)),0)</f>
        <v>0</v>
      </c>
      <c r="U227" s="83"/>
      <c r="V227" s="2091">
        <f>IF(AND(V$215&gt;0,ER3_2&lt;&gt;""),V$215/(ER3_2/V$210^(1/Pn_2)),0)</f>
        <v>0</v>
      </c>
      <c r="W227" s="83"/>
      <c r="X227" s="2091">
        <f>IF(AND(X$215&gt;0,ER3_2&lt;&gt;""),X$215/(ER3_2/X$210^(1/Pn_2)),0)</f>
        <v>0</v>
      </c>
      <c r="Y227" s="83"/>
      <c r="Z227" s="23"/>
      <c r="AA227" s="83"/>
      <c r="AB227" s="81"/>
      <c r="AC227" s="846" t="str">
        <f>B214</f>
        <v/>
      </c>
      <c r="AD227" s="81"/>
      <c r="AE227" s="3007">
        <f>IF(SUM(AE$93:AE$97)&gt;0,AE93/SUM(AE$93:AE$97),0)</f>
        <v>0</v>
      </c>
      <c r="AF227" s="81"/>
      <c r="AG227" s="3007">
        <f>IF(SUM(AG$93:AG$97)&gt;0,AG93/SUM(AG$93:AG$97),0)</f>
        <v>0</v>
      </c>
      <c r="AH227" s="81"/>
      <c r="AI227" s="3007">
        <f>IF(SUM(AI$93:AI$97)&gt;0,AI93/SUM(AI$93:AI$97),0)</f>
        <v>0</v>
      </c>
      <c r="AJ227" s="81"/>
      <c r="AK227" s="3007">
        <f>IF(SUM(AK$93:AK$97)&gt;0,AK93/SUM(AK$93:AK$97),0)</f>
        <v>0</v>
      </c>
      <c r="AL227" s="81"/>
      <c r="AM227" s="3007">
        <f>IF(SUM(AM$93:AM$97)&gt;0,AM93/SUM(AM$93:AM$97),0)</f>
        <v>0</v>
      </c>
      <c r="AN227" s="81"/>
      <c r="AO227" s="3007">
        <f>IF(SUM(AO$93:AO$97)&gt;0,AO93/SUM(AO$93:AO$97),0)</f>
        <v>0</v>
      </c>
      <c r="AP227" s="81"/>
      <c r="AQ227" s="85"/>
      <c r="AR227" s="81"/>
      <c r="AS227" s="83"/>
      <c r="AT227" s="512" t="str">
        <f>B230</f>
        <v/>
      </c>
      <c r="AU227" s="83"/>
      <c r="AV227" s="2091">
        <f>IF(AND(AV$215&gt;0,ER3_5&lt;&gt;""),AV$215/(ER3_5/AV$207^(1/Pn_5)),0)</f>
        <v>0</v>
      </c>
      <c r="AW227" s="83"/>
      <c r="AX227" s="2091">
        <f>IF(AND(AX$215&gt;0,ER3_5&lt;&gt;""),AX$215/(ER3_5/AX$207^(1/Pn_5)),0)</f>
        <v>0</v>
      </c>
      <c r="AY227" s="83"/>
      <c r="AZ227" s="2091">
        <f>IF(AND(AZ$215&gt;0,ER3_5&lt;&gt;""),AZ$215/(ER3_5/AZ$207^(1/Pn_5)),0)</f>
        <v>0</v>
      </c>
      <c r="BA227" s="83"/>
      <c r="BB227" s="2091">
        <f>IF(AND(BB$215&gt;0,ER3_5&lt;&gt;""),BB$215/(ER3_5/BB$207^(1/Pn_5)),0)</f>
        <v>0</v>
      </c>
      <c r="BC227" s="83"/>
      <c r="BD227" s="2091">
        <f>IF(AND(BD$215&gt;0,ER3_5&lt;&gt;""),BD$215/(ER3_5/BD$207^(1/Pn_5)),0)</f>
        <v>0</v>
      </c>
      <c r="BE227" s="83"/>
      <c r="BF227" s="2091">
        <f>IF(AND(BF$215&gt;0,ER3_5&lt;&gt;""),BF$215/(ER3_5/BF$207^(1/Pn_5)),0)</f>
        <v>0</v>
      </c>
      <c r="BG227" s="83"/>
      <c r="BH227" s="2091">
        <f>IF(AND(BH$215&gt;0,ER3_5&lt;&gt;""),BH$215/(ER3_5/BH$207^(1/Pn_5)),0)</f>
        <v>0</v>
      </c>
      <c r="BI227" s="83"/>
      <c r="BJ227" s="2091">
        <f>IF(AND(BJ$215&gt;0,ER3_5&lt;&gt;""),BJ$215/(ER3_5/BJ$207^(1/Pn_5)),0)</f>
        <v>0</v>
      </c>
      <c r="BK227" s="83"/>
      <c r="BL227" s="2091">
        <f>IF(AND(BL$215&gt;0,ER3_5&lt;&gt;""),BL$215/(ER3_5/BL$207^(1/Pn_5)),0)</f>
        <v>0</v>
      </c>
      <c r="BM227" s="83"/>
      <c r="BN227" s="2091">
        <f>IF(AND(BN$215&gt;0,ER3_5&lt;&gt;""),BN$215/(ER3_5/BN$207^(1/Pn_5)),0)</f>
        <v>0</v>
      </c>
      <c r="BO227" s="83"/>
      <c r="BP227" s="1835"/>
      <c r="BQ227" s="83"/>
      <c r="BR227" s="81"/>
      <c r="BS227" s="846" t="str">
        <f>B227</f>
        <v/>
      </c>
      <c r="BT227" s="81"/>
      <c r="BU227" s="2091">
        <f>IF(AND(BU$215&gt;0,ER3_2&lt;&gt;""),BU$215/(ER3_2/BU$210^(1/Pn_2)),0)</f>
        <v>0</v>
      </c>
      <c r="BV227" s="81"/>
      <c r="BW227" s="2091">
        <f>IF(AND(BW$215&gt;0,ER3_2&lt;&gt;""),BW$215/(ER3_2/BW$210^(1/Pn_2)),0)</f>
        <v>0</v>
      </c>
      <c r="BX227" s="81"/>
      <c r="BY227" s="2091">
        <f>IF(AND(BY$215&gt;0,ER3_2&lt;&gt;""),BY$215/(ER3_2/BY$210^(1/Pn_2)),0)</f>
        <v>0</v>
      </c>
      <c r="BZ227" s="81"/>
      <c r="CA227" s="2091">
        <f>IF(AND(CA$215&gt;0,ER3_2&lt;&gt;""),CA$215/(ER3_2/CA$210^(1/Pn_2)),0)</f>
        <v>0</v>
      </c>
      <c r="CB227" s="81"/>
      <c r="CC227" s="2091">
        <f>IF(AND(CC$215&gt;0,ER3_2&lt;&gt;""),CC$215/(ER3_2/CC$210^(1/Pn_2)),0)</f>
        <v>0</v>
      </c>
      <c r="CD227" s="81"/>
      <c r="CE227" s="23"/>
      <c r="CF227" s="81"/>
      <c r="CG227" s="83"/>
      <c r="CH227" s="23" t="s">
        <v>3761</v>
      </c>
      <c r="CI227" s="83"/>
      <c r="CJ227" s="86">
        <f>IF(AND(CJ$137&lt;&gt;0,CJ156&gt;0),MIN(1,EXP(CJ$137+CJ$138/(ConcFract_Indoor*CJ156)^(2*CJ$53))),0)</f>
        <v>0</v>
      </c>
      <c r="CK227" s="83"/>
      <c r="CL227" s="23"/>
      <c r="CM227" s="83"/>
      <c r="CN227" s="7"/>
    </row>
    <row r="228" spans="1:92" s="26" customFormat="1" ht="15" customHeight="1" thickBot="1" x14ac:dyDescent="0.3">
      <c r="A228" s="2"/>
      <c r="B228" s="846" t="str">
        <f>IF(B19="","","Vapor Mole Fraction "&amp;B19&amp;" / Time-Scaled ERPG-3")</f>
        <v/>
      </c>
      <c r="C228" s="83"/>
      <c r="D228" s="2091">
        <f>IF(AND(D$216&gt;0,ER3_3&lt;&gt;""),D$216/(ER3_3/D$210^(1/Pn_3)),0)</f>
        <v>0</v>
      </c>
      <c r="E228" s="83"/>
      <c r="F228" s="2091">
        <f>IF(AND(F$216&gt;0,ER3_3&lt;&gt;""),F$216/(ER3_3/F$210^(1/Pn_3)),0)</f>
        <v>0</v>
      </c>
      <c r="G228" s="83"/>
      <c r="H228" s="2091">
        <f>IF(AND(H$216&gt;0,ER3_3&lt;&gt;""),H$216/(ER3_3/H$210^(1/Pn_3)),0)</f>
        <v>0</v>
      </c>
      <c r="I228" s="83"/>
      <c r="J228" s="2091">
        <f>IF(AND(J$216&gt;0,ER3_3&lt;&gt;""),J$216/(ER3_3/J$210^(1/Pn_3)),0)</f>
        <v>0</v>
      </c>
      <c r="K228" s="83"/>
      <c r="L228" s="2091">
        <f>IF(AND(L$216&gt;0,ER3_3&lt;&gt;""),L$216/(ER3_3/L$210^(1/Pn_3)),0)</f>
        <v>0</v>
      </c>
      <c r="M228" s="83"/>
      <c r="N228" s="2091">
        <f>IF(AND(N$216&gt;0,ER3_3&lt;&gt;""),N$216/(ER3_3/N$210^(1/Pn_3)),0)</f>
        <v>0</v>
      </c>
      <c r="O228" s="83"/>
      <c r="P228" s="2091">
        <f>IF(AND(P$216&gt;0,ER3_3&lt;&gt;""),P$216/(ER3_3/P$210^(1/Pn_3)),0)</f>
        <v>0</v>
      </c>
      <c r="Q228" s="83"/>
      <c r="R228" s="2091">
        <f>IF(AND(R$216&gt;0,ER3_3&lt;&gt;""),R$216/(ER3_3/R$210^(1/Pn_3)),0)</f>
        <v>0</v>
      </c>
      <c r="S228" s="83"/>
      <c r="T228" s="2091">
        <f>IF(AND(T$216&gt;0,ER3_3&lt;&gt;""),T$216/(ER3_3/T$210^(1/Pn_3)),0)</f>
        <v>0</v>
      </c>
      <c r="U228" s="83"/>
      <c r="V228" s="2091">
        <f>IF(AND(V$216&gt;0,ER3_3&lt;&gt;""),V$216/(ER3_3/V$210^(1/Pn_3)),0)</f>
        <v>0</v>
      </c>
      <c r="W228" s="83"/>
      <c r="X228" s="2091">
        <f>IF(AND(X$216&gt;0,ER3_3&lt;&gt;""),X$216/(ER3_3/X$210^(1/Pn_3)),0)</f>
        <v>0</v>
      </c>
      <c r="Y228" s="83"/>
      <c r="Z228" s="23"/>
      <c r="AA228" s="83"/>
      <c r="AB228" s="81"/>
      <c r="AC228" s="846" t="str">
        <f>B215</f>
        <v/>
      </c>
      <c r="AD228" s="81"/>
      <c r="AE228" s="3007">
        <f>IF(SUM(AE$93:AE$97)&gt;0,AE94/SUM(AE$93:AE$97),0)</f>
        <v>0</v>
      </c>
      <c r="AF228" s="81"/>
      <c r="AG228" s="3007">
        <f>IF(SUM(AG$93:AG$97)&gt;0,AG94/SUM(AG$93:AG$97),0)</f>
        <v>0</v>
      </c>
      <c r="AH228" s="81"/>
      <c r="AI228" s="3007">
        <f>IF(SUM(AI$93:AI$97)&gt;0,AI94/SUM(AI$93:AI$97),0)</f>
        <v>0</v>
      </c>
      <c r="AJ228" s="81"/>
      <c r="AK228" s="3007">
        <f>IF(SUM(AK$93:AK$97)&gt;0,AK94/SUM(AK$93:AK$97),0)</f>
        <v>0</v>
      </c>
      <c r="AL228" s="81"/>
      <c r="AM228" s="3007">
        <f>IF(SUM(AM$93:AM$97)&gt;0,AM94/SUM(AM$93:AM$97),0)</f>
        <v>0</v>
      </c>
      <c r="AN228" s="81"/>
      <c r="AO228" s="3007">
        <f>IF(SUM(AO$93:AO$97)&gt;0,AO94/SUM(AO$93:AO$97),0)</f>
        <v>0</v>
      </c>
      <c r="AP228" s="81"/>
      <c r="AQ228" s="85"/>
      <c r="AR228" s="81"/>
      <c r="AS228" s="83"/>
      <c r="AT228" s="1836" t="s">
        <v>2210</v>
      </c>
      <c r="AU228" s="83"/>
      <c r="AV228" s="2101" t="str">
        <f>IF(AND(AV$207&gt;0,SUM(AV223:AV227)&gt;0),IF(1/SUM(AV223:AV227)&lt;1000000,1/SUM(AV223:AV227),1000000),"")</f>
        <v/>
      </c>
      <c r="AW228" s="83"/>
      <c r="AX228" s="2101" t="str">
        <f>IF(AND(AX$207&gt;0,SUM(AX223:AX227)&gt;0),IF(1/SUM(AX223:AX227)&lt;1000000,1/SUM(AX223:AX227),1000000),"")</f>
        <v/>
      </c>
      <c r="AY228" s="83"/>
      <c r="AZ228" s="2101" t="str">
        <f>IF(AND(AZ$207&gt;0,SUM(AZ223:AZ227)&gt;0),IF(1/SUM(AZ223:AZ227)&lt;1000000,1/SUM(AZ223:AZ227),1000000),"")</f>
        <v/>
      </c>
      <c r="BA228" s="83"/>
      <c r="BB228" s="2101" t="str">
        <f>IF(AND(BB$207&gt;0,SUM(BB223:BB227)&gt;0),IF(1/SUM(BB223:BB227)&lt;1000000,1/SUM(BB223:BB227),1000000),"")</f>
        <v/>
      </c>
      <c r="BC228" s="83"/>
      <c r="BD228" s="2101" t="str">
        <f>IF(AND(BD$207&gt;0,SUM(BD223:BD227)&gt;0),IF(1/SUM(BD223:BD227)&lt;1000000,1/SUM(BD223:BD227),1000000),"")</f>
        <v/>
      </c>
      <c r="BE228" s="83"/>
      <c r="BF228" s="2101" t="str">
        <f>IF(AND(BF$207&gt;0,SUM(BF223:BF227)&gt;0),IF(1/SUM(BF223:BF227)&lt;1000000,1/SUM(BF223:BF227),1000000),"")</f>
        <v/>
      </c>
      <c r="BG228" s="83"/>
      <c r="BH228" s="2101" t="str">
        <f>IF(AND(BH$207&gt;0,SUM(BH223:BH227)&gt;0),IF(1/SUM(BH223:BH227)&lt;1000000,1/SUM(BH223:BH227),1000000),"")</f>
        <v/>
      </c>
      <c r="BI228" s="83"/>
      <c r="BJ228" s="2101" t="str">
        <f>IF(AND(BJ$207&gt;0,SUM(BJ223:BJ227)&gt;0),IF(1/SUM(BJ223:BJ227)&lt;1000000,1/SUM(BJ223:BJ227),1000000),"")</f>
        <v/>
      </c>
      <c r="BK228" s="83"/>
      <c r="BL228" s="2101" t="str">
        <f>IF(AND(BL$207&gt;0,SUM(BL223:BL227)&gt;0),IF(1/SUM(BL223:BL227)&lt;1000000,1/SUM(BL223:BL227),1000000),"")</f>
        <v/>
      </c>
      <c r="BM228" s="83"/>
      <c r="BN228" s="2101" t="str">
        <f>IF(AND(BN$207&gt;0,SUM(BN223:BN227)&gt;0),IF(1/SUM(BN223:BN227)&lt;1000000,1/SUM(BN223:BN227),1000000),"")</f>
        <v/>
      </c>
      <c r="BO228" s="83"/>
      <c r="BP228" s="1833" t="s">
        <v>1506</v>
      </c>
      <c r="BQ228" s="83"/>
      <c r="BR228" s="81"/>
      <c r="BS228" s="846" t="str">
        <f>B228</f>
        <v/>
      </c>
      <c r="BT228" s="81"/>
      <c r="BU228" s="2091">
        <f>IF(AND(BU$216&gt;0,ER3_3&lt;&gt;""),BU$216/(ER3_3/BU$210^(1/Pn_3)),0)</f>
        <v>0</v>
      </c>
      <c r="BV228" s="81"/>
      <c r="BW228" s="2091">
        <f>IF(AND(BW$216&gt;0,ER3_3&lt;&gt;""),BW$216/(ER3_3/BW$210^(1/Pn_3)),0)</f>
        <v>0</v>
      </c>
      <c r="BX228" s="81"/>
      <c r="BY228" s="2091">
        <f>IF(AND(BY$216&gt;0,ER3_3&lt;&gt;""),BY$216/(ER3_3/BY$210^(1/Pn_3)),0)</f>
        <v>0</v>
      </c>
      <c r="BZ228" s="81"/>
      <c r="CA228" s="2091">
        <f>IF(AND(CA$216&gt;0,ER3_3&lt;&gt;""),CA$216/(ER3_3/CA$210^(1/Pn_3)),0)</f>
        <v>0</v>
      </c>
      <c r="CB228" s="81"/>
      <c r="CC228" s="2091">
        <f>IF(AND(CC$216&gt;0,ER3_3&lt;&gt;""),CC$216/(ER3_3/CC$210^(1/Pn_3)),0)</f>
        <v>0</v>
      </c>
      <c r="CD228" s="81"/>
      <c r="CE228" s="23"/>
      <c r="CF228" s="81"/>
      <c r="CG228" s="83"/>
      <c r="CH228" s="23" t="s">
        <v>2007</v>
      </c>
      <c r="CI228" s="83"/>
      <c r="CJ228" s="86">
        <f>Occupants_atRisk*CJ226+IF(CJ157="Yes",Occupants_atRisk2*CJ227,0)+CJ217</f>
        <v>0</v>
      </c>
      <c r="CK228" s="83"/>
      <c r="CL228" s="23"/>
      <c r="CM228" s="83"/>
      <c r="CN228" s="7"/>
    </row>
    <row r="229" spans="1:92" s="26" customFormat="1" ht="15" customHeight="1" thickBot="1" x14ac:dyDescent="0.3">
      <c r="A229" s="2"/>
      <c r="B229" s="846" t="str">
        <f>IF(B20="","","Vapor Mole Fraction "&amp;B20&amp;" / Time-Scaled ERPG-3")</f>
        <v/>
      </c>
      <c r="C229" s="83"/>
      <c r="D229" s="2091">
        <f>IF(AND(D$217&gt;0,ER3_4&lt;&gt;""),D$217/(ER3_4/D$210^(1/Pn_4)),0)</f>
        <v>0</v>
      </c>
      <c r="E229" s="83"/>
      <c r="F229" s="2091">
        <f>IF(AND(F$217&gt;0,ER3_4&lt;&gt;""),F$217/(ER3_4/F$210^(1/Pn_4)),0)</f>
        <v>0</v>
      </c>
      <c r="G229" s="83"/>
      <c r="H229" s="2091">
        <f>IF(AND(H$217&gt;0,ER3_4&lt;&gt;""),H$217/(ER3_4/H$210^(1/Pn_4)),0)</f>
        <v>0</v>
      </c>
      <c r="I229" s="83"/>
      <c r="J229" s="2091">
        <f>IF(AND(J$217&gt;0,ER3_4&lt;&gt;""),J$217/(ER3_4/J$210^(1/Pn_4)),0)</f>
        <v>0</v>
      </c>
      <c r="K229" s="83"/>
      <c r="L229" s="2091">
        <f>IF(AND(L$217&gt;0,ER3_4&lt;&gt;""),L$217/(ER3_4/L$210^(1/Pn_4)),0)</f>
        <v>0</v>
      </c>
      <c r="M229" s="83"/>
      <c r="N229" s="2091">
        <f>IF(AND(N$217&gt;0,ER3_4&lt;&gt;""),N$217/(ER3_4/N$210^(1/Pn_4)),0)</f>
        <v>0</v>
      </c>
      <c r="O229" s="83"/>
      <c r="P229" s="2091">
        <f>IF(AND(P$217&gt;0,ER3_4&lt;&gt;""),P$217/(ER3_4/P$210^(1/Pn_4)),0)</f>
        <v>0</v>
      </c>
      <c r="Q229" s="83"/>
      <c r="R229" s="2091">
        <f>IF(AND(R$217&gt;0,ER3_4&lt;&gt;""),R$217/(ER3_4/R$210^(1/Pn_4)),0)</f>
        <v>0</v>
      </c>
      <c r="S229" s="83"/>
      <c r="T229" s="2091">
        <f>IF(AND(T$217&gt;0,ER3_4&lt;&gt;""),T$217/(ER3_4/T$210^(1/Pn_4)),0)</f>
        <v>0</v>
      </c>
      <c r="U229" s="83"/>
      <c r="V229" s="2091">
        <f>IF(AND(V$217&gt;0,ER3_4&lt;&gt;""),V$217/(ER3_4/V$210^(1/Pn_4)),0)</f>
        <v>0</v>
      </c>
      <c r="W229" s="83"/>
      <c r="X229" s="2091">
        <f>IF(AND(X$217&gt;0,ER3_4&lt;&gt;""),X$217/(ER3_4/X$210^(1/Pn_4)),0)</f>
        <v>0</v>
      </c>
      <c r="Y229" s="83"/>
      <c r="Z229" s="23"/>
      <c r="AA229" s="83"/>
      <c r="AB229" s="81"/>
      <c r="AC229" s="846" t="str">
        <f>B216</f>
        <v/>
      </c>
      <c r="AD229" s="81"/>
      <c r="AE229" s="3007">
        <f>IF(SUM(AE$93:AE$97)&gt;0,AE95/SUM(AE$93:AE$97),0)</f>
        <v>0</v>
      </c>
      <c r="AF229" s="81"/>
      <c r="AG229" s="3007">
        <f>IF(SUM(AG$93:AG$97)&gt;0,AG95/SUM(AG$93:AG$97),0)</f>
        <v>0</v>
      </c>
      <c r="AH229" s="81"/>
      <c r="AI229" s="3007">
        <f>IF(SUM(AI$93:AI$97)&gt;0,AI95/SUM(AI$93:AI$97),0)</f>
        <v>0</v>
      </c>
      <c r="AJ229" s="81"/>
      <c r="AK229" s="3007">
        <f>IF(SUM(AK$93:AK$97)&gt;0,AK95/SUM(AK$93:AK$97),0)</f>
        <v>0</v>
      </c>
      <c r="AL229" s="81"/>
      <c r="AM229" s="3007">
        <f>IF(SUM(AM$93:AM$97)&gt;0,AM95/SUM(AM$93:AM$97),0)</f>
        <v>0</v>
      </c>
      <c r="AN229" s="81"/>
      <c r="AO229" s="3007">
        <f>IF(SUM(AO$93:AO$97)&gt;0,AO95/SUM(AO$93:AO$97),0)</f>
        <v>0</v>
      </c>
      <c r="AP229" s="81"/>
      <c r="AQ229" s="85"/>
      <c r="AR229" s="81"/>
      <c r="AS229" s="83"/>
      <c r="AT229" s="512" t="str">
        <f>B232</f>
        <v/>
      </c>
      <c r="AU229" s="83"/>
      <c r="AV229" s="2091">
        <f>IF(AND(AV$211&gt;0,LC50_1&lt;&gt;0),AV$211/(LC50_1/IF(AV$207&lt;OnSite_Limit/60,AV$207,OnSite_Limit/60)^(1/Pn_1)),0)</f>
        <v>0</v>
      </c>
      <c r="AW229" s="83"/>
      <c r="AX229" s="2091">
        <f>IF(AND(AX$211&gt;0,LC50_1&lt;&gt;0),AX$211/(LC50_1/IF(AX$207&lt;OnSite_Limit/60,AX$207,OnSite_Limit/60)^(1/Pn_1)),0)</f>
        <v>0</v>
      </c>
      <c r="AY229" s="83"/>
      <c r="AZ229" s="2091">
        <f>IF(AND(AZ$211&gt;0,LC50_1&lt;&gt;0),AZ$211/(LC50_1/IF(AZ$207&lt;OnSite_Limit/60,AZ$207,OnSite_Limit/60)^(1/Pn_1)),0)</f>
        <v>0</v>
      </c>
      <c r="BA229" s="83"/>
      <c r="BB229" s="2091">
        <f>IF(AND(BB$211&gt;0,LC50_1&lt;&gt;0),BB$211/(LC50_1/IF(BB$207&lt;OnSite_Limit/60,BB$207,OnSite_Limit/60)^(1/Pn_1)),0)</f>
        <v>0</v>
      </c>
      <c r="BC229" s="83"/>
      <c r="BD229" s="2091">
        <f>IF(AND(BD$211&gt;0,LC50_1&lt;&gt;0),BD$211/(LC50_1/IF(BD$207&lt;OnSite_Limit/60,BD$207,OnSite_Limit/60)^(1/Pn_1)),0)</f>
        <v>0</v>
      </c>
      <c r="BE229" s="83"/>
      <c r="BF229" s="2091">
        <f>IF(AND(BF$211&gt;0,LC50_1&lt;&gt;0),BF$211/(LC50_1/IF(BF$207&lt;OnSite_Limit/60,BF$207,OnSite_Limit/60)^(1/Pn_1)),0)</f>
        <v>0</v>
      </c>
      <c r="BG229" s="83"/>
      <c r="BH229" s="2091">
        <f>IF(AND(BH$211&gt;0,LC50_1&lt;&gt;0),BH$211/(LC50_1/IF(BH$207&lt;OnSite_Limit/60,BH$207,OnSite_Limit/60)^(1/Pn_1)),0)</f>
        <v>0</v>
      </c>
      <c r="BI229" s="83"/>
      <c r="BJ229" s="2091">
        <f>IF(AND(BJ$211&gt;0,LC50_1&lt;&gt;0),BJ$211/(LC50_1/IF(BJ$207&lt;OnSite_Limit/60,BJ$207,OnSite_Limit/60)^(1/Pn_1)),0)</f>
        <v>0</v>
      </c>
      <c r="BK229" s="83"/>
      <c r="BL229" s="2091">
        <f>IF(AND(BL$211&gt;0,LC50_1&lt;&gt;0),BL$211/(LC50_1/IF(BL$207&lt;OnSite_Limit/60,BL$207,OnSite_Limit/60)^(1/Pn_1)),0)</f>
        <v>0</v>
      </c>
      <c r="BM229" s="83"/>
      <c r="BN229" s="2091">
        <f>IF(AND(BN$211&gt;0,LC50_1&lt;&gt;0),BN$211/(LC50_1/IF(BN$207&lt;OnSite_Limit/60,BN$207,OnSite_Limit/60)^(1/Pn_1)),0)</f>
        <v>0</v>
      </c>
      <c r="BO229" s="83"/>
      <c r="BP229" s="1834"/>
      <c r="BQ229" s="83"/>
      <c r="BR229" s="81"/>
      <c r="BS229" s="846" t="str">
        <f>B229</f>
        <v/>
      </c>
      <c r="BT229" s="81"/>
      <c r="BU229" s="2091">
        <f>IF(AND(BU$217&gt;0,ER3_4&lt;&gt;""),BU$217/(ER3_4/BU$210^(1/Pn_4)),0)</f>
        <v>0</v>
      </c>
      <c r="BV229" s="81"/>
      <c r="BW229" s="2091">
        <f>IF(AND(BW$217&gt;0,ER3_4&lt;&gt;""),BW$217/(ER3_4/BW$210^(1/Pn_4)),0)</f>
        <v>0</v>
      </c>
      <c r="BX229" s="81"/>
      <c r="BY229" s="2091">
        <f>IF(AND(BY$217&gt;0,ER3_4&lt;&gt;""),BY$217/(ER3_4/BY$210^(1/Pn_4)),0)</f>
        <v>0</v>
      </c>
      <c r="BZ229" s="81"/>
      <c r="CA229" s="2091">
        <f>IF(AND(CA$217&gt;0,ER3_4&lt;&gt;""),CA$217/(ER3_4/CA$210^(1/Pn_4)),0)</f>
        <v>0</v>
      </c>
      <c r="CB229" s="81"/>
      <c r="CC229" s="2091">
        <f>IF(AND(CC$217&gt;0,ER3_4&lt;&gt;""),CC$217/(ER3_4/CC$210^(1/Pn_4)),0)</f>
        <v>0</v>
      </c>
      <c r="CD229" s="81"/>
      <c r="CE229" s="23"/>
      <c r="CF229" s="81"/>
      <c r="CG229" s="83"/>
      <c r="CH229" s="25" t="s">
        <v>4791</v>
      </c>
      <c r="CI229" s="83"/>
      <c r="CJ229" s="1286" t="str">
        <f>IF(OR(AND(Regulatory_Tox&lt;&gt;"Yes",ER3_Min&gt;Toxic_Limit),CJ23="",AND(CJ155&lt;=IF(CJ22&lt;&gt;"",CJ22,1000000),CJ156&lt;=IF(CJ22&lt;&gt;"",CJ22,1000000))),"NA",IF(MAX(CJ155,CJ156)/CJ23&lt;HD_VeryLow_Infiltration,Conseq_VeryLow,IF(MAX(CJ155,CJ156)/CJ23&lt;HD_Low_Infiltration,Conseq_Low,IF(MAX(CJ155,CJ156)/CJ23&lt;HD_Moderate_Infiltration,Conseq_Moderate,IF(MAX(CJ155,CJ156)/CJ23&lt;HD_High_Infiltration,Conseq_High,IF(MAX(CJ155,CJ156)/CJ23&lt;HD_VeryHigh_Infiltration,Conseq_VeryHigh,Conseq_ExtremeHigh))))))</f>
        <v>NA</v>
      </c>
      <c r="CK229" s="83"/>
      <c r="CL229" s="23"/>
      <c r="CM229" s="83"/>
      <c r="CN229" s="7"/>
    </row>
    <row r="230" spans="1:92" s="26" customFormat="1" ht="15" customHeight="1" thickBot="1" x14ac:dyDescent="0.3">
      <c r="A230" s="2"/>
      <c r="B230" s="846" t="str">
        <f>IF(B21="","","Vapor Mole Fraction "&amp;B21&amp;" / Time-Scaled ERPG-3")</f>
        <v/>
      </c>
      <c r="C230" s="83"/>
      <c r="D230" s="2091">
        <f>IF(AND(D$218&gt;0,ER3_5&lt;&gt;""),D$218/(ER3_5/D$210^(1/Pn_5)),0)</f>
        <v>0</v>
      </c>
      <c r="E230" s="83"/>
      <c r="F230" s="2091">
        <f>IF(AND(F$218&gt;0,ER3_5&lt;&gt;""),F$218/(ER3_5/F$210^(1/Pn_5)),0)</f>
        <v>0</v>
      </c>
      <c r="G230" s="83"/>
      <c r="H230" s="2091">
        <f>IF(AND(H$218&gt;0,ER3_5&lt;&gt;""),H$218/(ER3_5/H$210^(1/Pn_5)),0)</f>
        <v>0</v>
      </c>
      <c r="I230" s="83"/>
      <c r="J230" s="2091">
        <f>IF(AND(J$218&gt;0,ER3_5&lt;&gt;""),J$218/(ER3_5/J$210^(1/Pn_5)),0)</f>
        <v>0</v>
      </c>
      <c r="K230" s="83"/>
      <c r="L230" s="2091">
        <f>IF(AND(L$218&gt;0,ER3_5&lt;&gt;""),L$218/(ER3_5/L$210^(1/Pn_5)),0)</f>
        <v>0</v>
      </c>
      <c r="M230" s="83"/>
      <c r="N230" s="2091">
        <f>IF(AND(N$218&gt;0,ER3_5&lt;&gt;""),N$218/(ER3_5/N$210^(1/Pn_5)),0)</f>
        <v>0</v>
      </c>
      <c r="O230" s="83"/>
      <c r="P230" s="2091">
        <f>IF(AND(P$218&gt;0,ER3_5&lt;&gt;""),P$218/(ER3_5/P$210^(1/Pn_5)),0)</f>
        <v>0</v>
      </c>
      <c r="Q230" s="83"/>
      <c r="R230" s="2091">
        <f>IF(AND(R$218&gt;0,ER3_5&lt;&gt;""),R$218/(ER3_5/R$210^(1/Pn_5)),0)</f>
        <v>0</v>
      </c>
      <c r="S230" s="83"/>
      <c r="T230" s="2091">
        <f>IF(AND(T$218&gt;0,ER3_5&lt;&gt;""),T$218/(ER3_5/T$210^(1/Pn_5)),0)</f>
        <v>0</v>
      </c>
      <c r="U230" s="83"/>
      <c r="V230" s="2091">
        <f>IF(AND(V$218&gt;0,ER3_5&lt;&gt;""),V$218/(ER3_5/V$210^(1/Pn_5)),0)</f>
        <v>0</v>
      </c>
      <c r="W230" s="83"/>
      <c r="X230" s="2091">
        <f>IF(AND(X$218&gt;0,ER3_5&lt;&gt;""),X$218/(ER3_5/X$210^(1/Pn_5)),0)</f>
        <v>0</v>
      </c>
      <c r="Y230" s="83"/>
      <c r="Z230" s="23"/>
      <c r="AA230" s="83"/>
      <c r="AB230" s="81"/>
      <c r="AC230" s="846" t="str">
        <f>B217</f>
        <v/>
      </c>
      <c r="AD230" s="81"/>
      <c r="AE230" s="3007">
        <f>IF(SUM(AE$93:AE$97)&gt;0,AE96/SUM(AE$93:AE$97),0)</f>
        <v>0</v>
      </c>
      <c r="AF230" s="81"/>
      <c r="AG230" s="3007">
        <f>IF(SUM(AG$93:AG$97)&gt;0,AG96/SUM(AG$93:AG$97),0)</f>
        <v>0</v>
      </c>
      <c r="AH230" s="81"/>
      <c r="AI230" s="3007">
        <f>IF(SUM(AI$93:AI$97)&gt;0,AI96/SUM(AI$93:AI$97),0)</f>
        <v>0</v>
      </c>
      <c r="AJ230" s="81"/>
      <c r="AK230" s="3007">
        <f>IF(SUM(AK$93:AK$97)&gt;0,AK96/SUM(AK$93:AK$97),0)</f>
        <v>0</v>
      </c>
      <c r="AL230" s="81"/>
      <c r="AM230" s="3007">
        <f>IF(SUM(AM$93:AM$97)&gt;0,AM96/SUM(AM$93:AM$97),0)</f>
        <v>0</v>
      </c>
      <c r="AN230" s="81"/>
      <c r="AO230" s="3007">
        <f>IF(SUM(AO$93:AO$97)&gt;0,AO96/SUM(AO$93:AO$97),0)</f>
        <v>0</v>
      </c>
      <c r="AP230" s="81"/>
      <c r="AQ230" s="85"/>
      <c r="AR230" s="81"/>
      <c r="AS230" s="83"/>
      <c r="AT230" s="512" t="str">
        <f>B233</f>
        <v/>
      </c>
      <c r="AU230" s="83"/>
      <c r="AV230" s="2091">
        <f>IF(AND(AV$212&gt;0,LC50_2&lt;&gt;0),AV$212/(LC50_2/IF(AV$207&lt;OnSite_Limit/60,AV$207,OnSite_Limit/60)^(1/Pn_2)),0)</f>
        <v>0</v>
      </c>
      <c r="AW230" s="83"/>
      <c r="AX230" s="2091">
        <f>IF(AND(AX$212&gt;0,LC50_2&lt;&gt;0),AX$212/(LC50_2/IF(AX$207&lt;OnSite_Limit/60,AX$207,OnSite_Limit/60)^(1/Pn_2)),0)</f>
        <v>0</v>
      </c>
      <c r="AY230" s="83"/>
      <c r="AZ230" s="2091">
        <f>IF(AND(AZ$212&gt;0,LC50_2&lt;&gt;0),AZ$212/(LC50_2/IF(AZ$207&lt;OnSite_Limit/60,AZ$207,OnSite_Limit/60)^(1/Pn_2)),0)</f>
        <v>0</v>
      </c>
      <c r="BA230" s="83"/>
      <c r="BB230" s="2091">
        <f>IF(AND(BB$212&gt;0,LC50_2&lt;&gt;0),BB$212/(LC50_2/IF(BB$207&lt;OnSite_Limit/60,BB$207,OnSite_Limit/60)^(1/Pn_2)),0)</f>
        <v>0</v>
      </c>
      <c r="BC230" s="83"/>
      <c r="BD230" s="2091">
        <f>IF(AND(BD$212&gt;0,LC50_2&lt;&gt;0),BD$212/(LC50_2/IF(BD$207&lt;OnSite_Limit/60,BD$207,OnSite_Limit/60)^(1/Pn_2)),0)</f>
        <v>0</v>
      </c>
      <c r="BE230" s="83"/>
      <c r="BF230" s="2091">
        <f>IF(AND(BF$212&gt;0,LC50_2&lt;&gt;0),BF$212/(LC50_2/IF(BF$207&lt;OnSite_Limit/60,BF$207,OnSite_Limit/60)^(1/Pn_2)),0)</f>
        <v>0</v>
      </c>
      <c r="BG230" s="83"/>
      <c r="BH230" s="2091">
        <f>IF(AND(BH$212&gt;0,LC50_2&lt;&gt;0),BH$212/(LC50_2/IF(BH$207&lt;OnSite_Limit/60,BH$207,OnSite_Limit/60)^(1/Pn_2)),0)</f>
        <v>0</v>
      </c>
      <c r="BI230" s="83"/>
      <c r="BJ230" s="2091">
        <f>IF(AND(BJ$212&gt;0,LC50_2&lt;&gt;0),BJ$212/(LC50_2/IF(BJ$207&lt;OnSite_Limit/60,BJ$207,OnSite_Limit/60)^(1/Pn_2)),0)</f>
        <v>0</v>
      </c>
      <c r="BK230" s="83"/>
      <c r="BL230" s="2091">
        <f>IF(AND(BL$212&gt;0,LC50_2&lt;&gt;0),BL$212/(LC50_2/IF(BL$207&lt;OnSite_Limit/60,BL$207,OnSite_Limit/60)^(1/Pn_2)),0)</f>
        <v>0</v>
      </c>
      <c r="BM230" s="83"/>
      <c r="BN230" s="2091">
        <f>IF(AND(BN$212&gt;0,LC50_2&lt;&gt;0),BN$212/(LC50_2/IF(BN$207&lt;OnSite_Limit/60,BN$207,OnSite_Limit/60)^(1/Pn_2)),0)</f>
        <v>0</v>
      </c>
      <c r="BO230" s="83"/>
      <c r="BP230" s="1835"/>
      <c r="BQ230" s="83"/>
      <c r="BR230" s="81"/>
      <c r="BS230" s="1037" t="str">
        <f>B230</f>
        <v/>
      </c>
      <c r="BT230" s="81"/>
      <c r="BU230" s="2091">
        <f>IF(AND(BU$218&gt;0,ER3_5&lt;&gt;""),BU$218/(ER3_5/BU$210^(1/Pn_5)),0)</f>
        <v>0</v>
      </c>
      <c r="BV230" s="81"/>
      <c r="BW230" s="2091">
        <f>IF(AND(BW$218&gt;0,ER3_5&lt;&gt;""),BW$218/(ER3_5/BW$210^(1/Pn_5)),0)</f>
        <v>0</v>
      </c>
      <c r="BX230" s="81"/>
      <c r="BY230" s="2091">
        <f>IF(AND(BY$218&gt;0,ER3_5&lt;&gt;""),BY$218/(ER3_5/BY$210^(1/Pn_5)),0)</f>
        <v>0</v>
      </c>
      <c r="BZ230" s="81"/>
      <c r="CA230" s="2091">
        <f>IF(AND(CA$218&gt;0,ER3_5&lt;&gt;""),CA$218/(ER3_5/CA$210^(1/Pn_5)),0)</f>
        <v>0</v>
      </c>
      <c r="CB230" s="81"/>
      <c r="CC230" s="2091">
        <f>IF(AND(CC$218&gt;0,ER3_5&lt;&gt;""),CC$218/(ER3_5/CC$210^(1/Pn_5)),0)</f>
        <v>0</v>
      </c>
      <c r="CD230" s="81"/>
      <c r="CE230" s="23"/>
      <c r="CF230" s="81"/>
      <c r="CG230" s="83"/>
      <c r="CH230" s="25" t="s">
        <v>4226</v>
      </c>
      <c r="CI230" s="83"/>
      <c r="CJ230" s="2133" t="str">
        <f>IF(Conseq_Criteria="Hazard Distance",CJ229,IF(CJ155&lt;CJ22,"NA",IF(CJ228&lt;N_VeryLow,Conseq_VeryLow,IF(CJ228&lt;N_Low,Conseq_Low,IF(CJ228&lt;N_Moderate,Conseq_Moderate,IF(CJ228&lt;N_High,Conseq_High,IF(CJ228&lt;N_VeryHigh,Conseq_VeryHigh,Conseq_ExtremeHigh)))))))</f>
        <v>NA</v>
      </c>
      <c r="CK230" s="83"/>
      <c r="CL230" s="104"/>
      <c r="CM230" s="83"/>
      <c r="CN230" s="7"/>
    </row>
    <row r="231" spans="1:92" s="26" customFormat="1" ht="15" customHeight="1" thickBot="1" x14ac:dyDescent="0.3">
      <c r="A231" s="2"/>
      <c r="B231" s="2586" t="s">
        <v>2210</v>
      </c>
      <c r="C231" s="83"/>
      <c r="D231" s="2101" t="str">
        <f>IF(AND(D$210&gt;0,SUM(D226:D230)&gt;0),IF(1/SUM(D226:D230)&lt;1000000,1/SUM(D226:D230),1000000),"")</f>
        <v/>
      </c>
      <c r="E231" s="1679"/>
      <c r="F231" s="2101" t="str">
        <f>IF(AND(F$210&gt;0,SUM(F226:F230)&gt;0),IF(1/SUM(F226:F230)&lt;1000000,1/SUM(F226:F230),1000000),"")</f>
        <v/>
      </c>
      <c r="G231" s="83"/>
      <c r="H231" s="2101" t="str">
        <f>IF(AND(H$210&gt;0,SUM(H226:H230)&gt;0),IF(1/SUM(H226:H230)&lt;1000000,1/SUM(H226:H230),1000000),"")</f>
        <v/>
      </c>
      <c r="I231" s="83"/>
      <c r="J231" s="2101" t="str">
        <f>IF(AND(J$210&gt;0,SUM(J226:J230)&gt;0),IF(1/SUM(J226:J230)&lt;1000000,1/SUM(J226:J230),1000000),"")</f>
        <v/>
      </c>
      <c r="K231" s="83"/>
      <c r="L231" s="2101" t="str">
        <f>IF(AND(L$210&gt;0,SUM(L226:L230)&gt;0),IF(1/SUM(L226:L230)&lt;1000000,1/SUM(L226:L230),1000000),"")</f>
        <v/>
      </c>
      <c r="M231" s="83"/>
      <c r="N231" s="2101" t="str">
        <f>IF(AND(N$210&gt;0,SUM(N226:N230)&gt;0),IF(1/SUM(N226:N230)&lt;1000000,1/SUM(N226:N230),1000000),"")</f>
        <v/>
      </c>
      <c r="O231" s="83"/>
      <c r="P231" s="2101" t="str">
        <f>IF(AND(P$210&gt;0,SUM(P226:P230)&gt;0),IF(1/SUM(P226:P230)&lt;1000000,1/SUM(P226:P230),1000000),"")</f>
        <v/>
      </c>
      <c r="Q231" s="83"/>
      <c r="R231" s="2101" t="str">
        <f>IF(AND(R$210&gt;0,SUM(R226:R230)&gt;0),IF(1/SUM(R226:R230)&lt;1000000,1/SUM(R226:R230),1000000),"")</f>
        <v/>
      </c>
      <c r="S231" s="83"/>
      <c r="T231" s="2101" t="str">
        <f>IF(AND(T$210&gt;0,SUM(T226:T230)&gt;0),IF(1/SUM(T226:T230)&lt;1000000,1/SUM(T226:T230),1000000),"")</f>
        <v/>
      </c>
      <c r="U231" s="83"/>
      <c r="V231" s="2101" t="str">
        <f>IF(AND(V$210&gt;0,SUM(V226:V230)&gt;0),IF(1/SUM(V226:V230)&lt;1000000,1/SUM(V226:V230),1000000),"")</f>
        <v/>
      </c>
      <c r="W231" s="83"/>
      <c r="X231" s="2101" t="str">
        <f>IF(AND(X$210&gt;0,SUM(X226:X230)&gt;0),IF(1/SUM(X226:X230)&lt;1000000,1/SUM(X226:X230),1000000),"")</f>
        <v/>
      </c>
      <c r="Y231" s="83"/>
      <c r="Z231" s="85" t="s">
        <v>1506</v>
      </c>
      <c r="AA231" s="83"/>
      <c r="AB231" s="81"/>
      <c r="AC231" s="846" t="str">
        <f>B218</f>
        <v/>
      </c>
      <c r="AD231" s="81"/>
      <c r="AE231" s="3007">
        <f>IF(SUM(AE$93:AE$97)&gt;0,AE97/SUM(AE$93:AE$97),0)</f>
        <v>0</v>
      </c>
      <c r="AF231" s="81"/>
      <c r="AG231" s="3007">
        <f>IF(SUM(AG$93:AG$97)&gt;0,AG97/SUM(AG$93:AG$97),0)</f>
        <v>0</v>
      </c>
      <c r="AH231" s="81"/>
      <c r="AI231" s="3007">
        <f>IF(SUM(AI$93:AI$97)&gt;0,AI97/SUM(AI$93:AI$97),0)</f>
        <v>0</v>
      </c>
      <c r="AJ231" s="81"/>
      <c r="AK231" s="3007">
        <f>IF(SUM(AK$93:AK$97)&gt;0,AK97/SUM(AK$93:AK$97),0)</f>
        <v>0</v>
      </c>
      <c r="AL231" s="81"/>
      <c r="AM231" s="3007">
        <f>IF(SUM(AM$93:AM$97)&gt;0,AM97/SUM(AM$93:AM$97),0)</f>
        <v>0</v>
      </c>
      <c r="AN231" s="81"/>
      <c r="AO231" s="3007">
        <f>IF(SUM(AO$93:AO$97)&gt;0,AO97/SUM(AO$93:AO$97),0)</f>
        <v>0</v>
      </c>
      <c r="AP231" s="81"/>
      <c r="AQ231" s="85"/>
      <c r="AR231" s="81"/>
      <c r="AS231" s="83"/>
      <c r="AT231" s="512" t="str">
        <f>B234</f>
        <v/>
      </c>
      <c r="AU231" s="83"/>
      <c r="AV231" s="2091">
        <f>IF(AND(AV$213&gt;0,LC50_3&lt;&gt;0),AV$213/(LC50_3/IF(AV$207&lt;OnSite_Limit/60,AV$207,OnSite_Limit/60)^(1/Pn_3)),0)</f>
        <v>0</v>
      </c>
      <c r="AW231" s="83"/>
      <c r="AX231" s="2091">
        <f>IF(AND(AX$213&gt;0,LC50_3&lt;&gt;0),AX$213/(LC50_3/IF(AX$207&lt;OnSite_Limit/60,AX$207,OnSite_Limit/60)^(1/Pn_3)),0)</f>
        <v>0</v>
      </c>
      <c r="AY231" s="83"/>
      <c r="AZ231" s="2091">
        <f>IF(AND(AZ$213&gt;0,LC50_3&lt;&gt;0),AZ$213/(LC50_3/IF(AZ$207&lt;OnSite_Limit/60,AZ$207,OnSite_Limit/60)^(1/Pn_3)),0)</f>
        <v>0</v>
      </c>
      <c r="BA231" s="83"/>
      <c r="BB231" s="2091">
        <f>IF(AND(BB$213&gt;0,LC50_3&lt;&gt;0),BB$213/(LC50_3/IF(BB$207&lt;OnSite_Limit/60,BB$207,OnSite_Limit/60)^(1/Pn_3)),0)</f>
        <v>0</v>
      </c>
      <c r="BC231" s="83"/>
      <c r="BD231" s="2091">
        <f>IF(AND(BD$213&gt;0,LC50_3&lt;&gt;0),BD$213/(LC50_3/IF(BD$207&lt;OnSite_Limit/60,BD$207,OnSite_Limit/60)^(1/Pn_3)),0)</f>
        <v>0</v>
      </c>
      <c r="BE231" s="83"/>
      <c r="BF231" s="2091">
        <f>IF(AND(BF$213&gt;0,LC50_3&lt;&gt;0),BF$213/(LC50_3/IF(BF$207&lt;OnSite_Limit/60,BF$207,OnSite_Limit/60)^(1/Pn_3)),0)</f>
        <v>0</v>
      </c>
      <c r="BG231" s="83"/>
      <c r="BH231" s="2091">
        <f>IF(AND(BH$213&gt;0,LC50_3&lt;&gt;0),BH$213/(LC50_3/IF(BH$207&lt;OnSite_Limit/60,BH$207,OnSite_Limit/60)^(1/Pn_3)),0)</f>
        <v>0</v>
      </c>
      <c r="BI231" s="83"/>
      <c r="BJ231" s="2091">
        <f>IF(AND(BJ$213&gt;0,LC50_3&lt;&gt;0),BJ$213/(LC50_3/IF(BJ$207&lt;OnSite_Limit/60,BJ$207,OnSite_Limit/60)^(1/Pn_3)),0)</f>
        <v>0</v>
      </c>
      <c r="BK231" s="83"/>
      <c r="BL231" s="2091">
        <f>IF(AND(BL$213&gt;0,LC50_3&lt;&gt;0),BL$213/(LC50_3/IF(BL$207&lt;OnSite_Limit/60,BL$207,OnSite_Limit/60)^(1/Pn_3)),0)</f>
        <v>0</v>
      </c>
      <c r="BM231" s="83"/>
      <c r="BN231" s="2091">
        <f>IF(AND(BN$213&gt;0,LC50_3&lt;&gt;0),BN$213/(LC50_3/IF(BN$207&lt;OnSite_Limit/60,BN$207,OnSite_Limit/60)^(1/Pn_3)),0)</f>
        <v>0</v>
      </c>
      <c r="BO231" s="83"/>
      <c r="BP231" s="1835"/>
      <c r="BQ231" s="83"/>
      <c r="BR231" s="81"/>
      <c r="BS231" s="3095" t="s">
        <v>2210</v>
      </c>
      <c r="BT231" s="81"/>
      <c r="BU231" s="2101" t="str">
        <f>IF(AND(BU$210&gt;0,SUM(BU226:BU230)&gt;0),IF(1/SUM(BU226:BU230)&lt;1000000,1/SUM(BU226:BU230),1000000),"")</f>
        <v/>
      </c>
      <c r="BV231" s="81"/>
      <c r="BW231" s="2101" t="str">
        <f>IF(AND(BW$210&gt;0,SUM(BW226:BW230)&gt;0),IF(1/SUM(BW226:BW230)&lt;1000000,1/SUM(BW226:BW230),1000000),"")</f>
        <v/>
      </c>
      <c r="BX231" s="81"/>
      <c r="BY231" s="2101" t="str">
        <f>IF(AND(BY$210&gt;0,SUM(BY226:BY230)&gt;0),IF(1/SUM(BY226:BY230)&lt;1000000,1/SUM(BY226:BY230),1000000),"")</f>
        <v/>
      </c>
      <c r="BZ231" s="81"/>
      <c r="CA231" s="2101" t="str">
        <f>IF(AND(CA$210&gt;0,SUM(CA226:CA230)&gt;0),IF(1/SUM(CA226:CA230)&lt;1000000,1/SUM(CA226:CA230),1000000),"")</f>
        <v/>
      </c>
      <c r="CB231" s="81"/>
      <c r="CC231" s="2101" t="str">
        <f>IF(AND(CC$210&gt;0,SUM(CC226:CC230)&gt;0),IF(1/SUM(CC226:CC230)&lt;1000000,1/SUM(CC226:CC230),1000000),"")</f>
        <v/>
      </c>
      <c r="CD231" s="81"/>
      <c r="CE231" s="25" t="s">
        <v>1506</v>
      </c>
      <c r="CF231" s="81"/>
      <c r="CG231" s="83"/>
      <c r="CH231" s="85" t="s">
        <v>958</v>
      </c>
      <c r="CI231" s="83"/>
      <c r="CJ231" s="2113">
        <f>IF(State="Vapor",Spray_Distance*1,Spray_Distance)</f>
        <v>1</v>
      </c>
      <c r="CK231" s="83"/>
      <c r="CL231" s="84" t="s">
        <v>1068</v>
      </c>
      <c r="CM231" s="83"/>
      <c r="CN231" s="7"/>
    </row>
    <row r="232" spans="1:92" s="26" customFormat="1" ht="15" customHeight="1" x14ac:dyDescent="0.25">
      <c r="A232" s="2"/>
      <c r="B232" s="23" t="str">
        <f>IF(B17="","","Vapor Mole Fraction "&amp;B17&amp;" / Time-Scaled LC-50")</f>
        <v/>
      </c>
      <c r="C232" s="83"/>
      <c r="D232" s="2097">
        <f>IF(AND(D$214&gt;0,LC50_1&lt;&gt;0),D$214/(LC50_1/IF(D$210&lt;OnSite_Limit/60,D$210,OnSite_Limit/60)^(1/Pn_1)),0)</f>
        <v>0</v>
      </c>
      <c r="E232" s="1679"/>
      <c r="F232" s="2097">
        <f>IF(AND(F$214&gt;0,LC50_1&lt;&gt;0),F$214/(LC50_1/IF(F$210&lt;OnSite_Limit/60,F$210,OnSite_Limit/60)^(1/Pn_1)),0)</f>
        <v>0</v>
      </c>
      <c r="G232" s="83"/>
      <c r="H232" s="2097">
        <f>IF(AND(H$214&gt;0,LC50_1&lt;&gt;0),H$214/(LC50_1/IF(H$210&lt;OnSite_Limit/60,H$210,OnSite_Limit/60)^(1/Pn_1)),0)</f>
        <v>0</v>
      </c>
      <c r="I232" s="83"/>
      <c r="J232" s="2097">
        <f>IF(AND(J$214&gt;0,LC50_1&lt;&gt;0),J$214/(LC50_1/IF(J$210&lt;OnSite_Limit/60,J$210,OnSite_Limit/60)^(1/Pn_1)),0)</f>
        <v>0</v>
      </c>
      <c r="K232" s="83"/>
      <c r="L232" s="2097">
        <f>IF(AND(L$214&gt;0,LC50_1&lt;&gt;0),L$214/(LC50_1/IF(L$210&lt;OnSite_Limit/60,L$210,OnSite_Limit/60)^(1/Pn_1)),0)</f>
        <v>0</v>
      </c>
      <c r="M232" s="83"/>
      <c r="N232" s="2097">
        <f>IF(AND(N$214&gt;0,LC50_1&lt;&gt;0),N$214/(LC50_1/IF(N$210&lt;OnSite_Limit/60,N$210,OnSite_Limit/60)^(1/Pn_1)),0)</f>
        <v>0</v>
      </c>
      <c r="O232" s="83"/>
      <c r="P232" s="2097">
        <f>IF(AND(P$214&gt;0,LC50_1&lt;&gt;0),P$214/(LC50_1/IF(P$210&lt;OnSite_Limit/60,P$210,OnSite_Limit/60)^(1/Pn_1)),0)</f>
        <v>0</v>
      </c>
      <c r="Q232" s="83"/>
      <c r="R232" s="2097">
        <f>IF(AND(R$214&gt;0,LC50_1&lt;&gt;0),R$214/(LC50_1/IF(R$210&lt;OnSite_Limit/60,R$210,OnSite_Limit/60)^(1/Pn_1)),0)</f>
        <v>0</v>
      </c>
      <c r="S232" s="83"/>
      <c r="T232" s="2097">
        <f>IF(AND(T$214&gt;0,LC50_1&lt;&gt;0),T$214/(LC50_1/IF(T$210&lt;OnSite_Limit/60,T$210,OnSite_Limit/60)^(1/Pn_1)),0)</f>
        <v>0</v>
      </c>
      <c r="U232" s="83"/>
      <c r="V232" s="2097">
        <f>IF(AND(V$214&gt;0,LC50_1&lt;&gt;0),V$214/(LC50_1/IF(V$210&lt;OnSite_Limit/60,V$210,OnSite_Limit/60)^(1/Pn_1)),0)</f>
        <v>0</v>
      </c>
      <c r="W232" s="83"/>
      <c r="X232" s="2097">
        <f>IF(AND(X$214&gt;0,LC50_1&lt;&gt;0),X$214/(LC50_1/IF(X$210&lt;OnSite_Limit/60,X$210,OnSite_Limit/60)^(1/Pn_1)),0)</f>
        <v>0</v>
      </c>
      <c r="Y232" s="83"/>
      <c r="Z232" s="85"/>
      <c r="AA232" s="83"/>
      <c r="AB232" s="81"/>
      <c r="AC232" s="2197" t="s">
        <v>3828</v>
      </c>
      <c r="AD232" s="81"/>
      <c r="AE232" s="2095">
        <f>IF(EXP(VP_A-VP_B/(Ambient_Temp+Approach_dT+273.15-VP_C))*(AE227*Act_1*(Rel_1*EXP(dRel_1*(Ambient_Temp+Approach_dT-T)))+AE228*Act_2*(Rel_2*EXP(dRel_2*(Ambient_Temp+Approach_dT-T)))+AE229*Act_3*(Rel_3*EXP(dRel_3*(Ambient_Temp+Approach_dT-T)))+AE230*Act_4*(Rel_4*EXP(dRel_4*(Ambient_Temp+Approach_dT-T)))+AE231*Act_5*(Rel_5*EXP(dRel_5*(Ambient_Temp+Approach_dT-T))))&lt;0.5,2000000*EXP(VP_A-VP_B/(Ambient_Temp+Approach_dT+273.15-VP_C))*(AE227*Act_1*(Rel_1*EXP(dRel_1*(Ambient_Temp+Approach_dT-T)))+AE228*Act_2*(Rel_2*EXP(dRel_2*(Ambient_Temp+Approach_dT-T)))+AE229*Act_3*(Rel_3*EXP(dRel_3*(Ambient_Temp+Approach_dT-T)))+AE230*Act_4*(Rel_4*EXP(dRel_4*(Ambient_Temp+Approach_dT-T)))+AE231*Act_5*(Rel_5*EXP(dRel_5*(Ambient_Temp+Approach_dT-T)))),1000000)</f>
        <v>0</v>
      </c>
      <c r="AF232" s="81"/>
      <c r="AG232" s="2095">
        <f>IF(EXP(VP_A-VP_B/(Ambient_Temp+Approach_dT+273.15-VP_C))*(AG227*Act_1*(Rel_1*EXP(dRel_1*(Ambient_Temp+Approach_dT-T)))+AG228*Act_2*(Rel_2*EXP(dRel_2*(Ambient_Temp+Approach_dT-T)))+AG229*Act_3*(Rel_3*EXP(dRel_3*(Ambient_Temp+Approach_dT-T)))+AG230*Act_4*(Rel_4*EXP(dRel_4*(Ambient_Temp+Approach_dT-T)))+AG231*Act_5*(Rel_5*EXP(dRel_5*(Ambient_Temp+Approach_dT-T))))&lt;0.5,2000000*EXP(VP_A-VP_B/(Ambient_Temp+Approach_dT+273.15-VP_C))*(AG227*Act_1*(Rel_1*EXP(dRel_1*(Ambient_Temp+Approach_dT-T)))+AG228*Act_2*(Rel_2*EXP(dRel_2*(Ambient_Temp+Approach_dT-T)))+AG229*Act_3*(Rel_3*EXP(dRel_3*(Ambient_Temp+Approach_dT-T)))+AG230*Act_4*(Rel_4*EXP(dRel_4*(Ambient_Temp+Approach_dT-T)))+AG231*Act_5*(Rel_5*EXP(dRel_5*(Ambient_Temp+Approach_dT-T)))),1000000)</f>
        <v>0</v>
      </c>
      <c r="AH232" s="81"/>
      <c r="AI232" s="2095">
        <f>IF(EXP(VP_A-VP_B/(Ambient_Temp+Approach_dT+273.15-VP_C))*(AI227*Act_1*(Rel_1*EXP(dRel_1*(Ambient_Temp+Approach_dT-T)))+AI228*Act_2*(Rel_2*EXP(dRel_2*(Ambient_Temp+Approach_dT-T)))+AI229*Act_3*(Rel_3*EXP(dRel_3*(Ambient_Temp+Approach_dT-T)))+AI230*Act_4*(Rel_4*EXP(dRel_4*(Ambient_Temp+Approach_dT-T)))+AI231*Act_5*(Rel_5*EXP(dRel_5*(Ambient_Temp+Approach_dT-T))))&lt;0.5,2000000*EXP(VP_A-VP_B/(Ambient_Temp+Approach_dT+273.15-VP_C))*(AI227*Act_1*(Rel_1*EXP(dRel_1*(Ambient_Temp+Approach_dT-T)))+AI228*Act_2*(Rel_2*EXP(dRel_2*(Ambient_Temp+Approach_dT-T)))+AI229*Act_3*(Rel_3*EXP(dRel_3*(Ambient_Temp+Approach_dT-T)))+AI230*Act_4*(Rel_4*EXP(dRel_4*(Ambient_Temp+Approach_dT-T)))+AI231*Act_5*(Rel_5*EXP(dRel_5*(Ambient_Temp+Approach_dT-T)))),1000000)</f>
        <v>0</v>
      </c>
      <c r="AJ232" s="81"/>
      <c r="AK232" s="2095">
        <f>IF(EXP(VP_A-VP_B/(Ambient_Temp+Approach_dT+273.15-VP_C))*(AK227*Act_1*(Rel_1*EXP(dRel_1*(Ambient_Temp+Approach_dT-T)))+AK228*Act_2*(Rel_2*EXP(dRel_2*(Ambient_Temp+Approach_dT-T)))+AK229*Act_3*(Rel_3*EXP(dRel_3*(Ambient_Temp+Approach_dT-T)))+AK230*Act_4*(Rel_4*EXP(dRel_4*(Ambient_Temp+Approach_dT-T)))+AK231*Act_5*(Rel_5*EXP(dRel_5*(Ambient_Temp+Approach_dT-T))))&lt;0.5,2000000*EXP(VP_A-VP_B/(Ambient_Temp+Approach_dT+273.15-VP_C))*(AK227*Act_1*(Rel_1*EXP(dRel_1*(Ambient_Temp+Approach_dT-T)))+AK228*Act_2*(Rel_2*EXP(dRel_2*(Ambient_Temp+Approach_dT-T)))+AK229*Act_3*(Rel_3*EXP(dRel_3*(Ambient_Temp+Approach_dT-T)))+AK230*Act_4*(Rel_4*EXP(dRel_4*(Ambient_Temp+Approach_dT-T)))+AK231*Act_5*(Rel_5*EXP(dRel_5*(Ambient_Temp+Approach_dT-T)))),1000000)</f>
        <v>0</v>
      </c>
      <c r="AL232" s="81"/>
      <c r="AM232" s="2095">
        <f>IF(EXP(VP_A-VP_B/(Ambient_Temp+Approach_dT+273.15-VP_C))*(AM227*Act_1*(Rel_1*EXP(dRel_1*(Ambient_Temp+Approach_dT-T)))+AM228*Act_2*(Rel_2*EXP(dRel_2*(Ambient_Temp+Approach_dT-T)))+AM229*Act_3*(Rel_3*EXP(dRel_3*(Ambient_Temp+Approach_dT-T)))+AM230*Act_4*(Rel_4*EXP(dRel_4*(Ambient_Temp+Approach_dT-T)))+AM231*Act_5*(Rel_5*EXP(dRel_5*(Ambient_Temp+Approach_dT-T))))&lt;0.5,2000000*EXP(VP_A-VP_B/(Ambient_Temp+Approach_dT+273.15-VP_C))*(AM227*Act_1*(Rel_1*EXP(dRel_1*(Ambient_Temp+Approach_dT-T)))+AM228*Act_2*(Rel_2*EXP(dRel_2*(Ambient_Temp+Approach_dT-T)))+AM229*Act_3*(Rel_3*EXP(dRel_3*(Ambient_Temp+Approach_dT-T)))+AM230*Act_4*(Rel_4*EXP(dRel_4*(Ambient_Temp+Approach_dT-T)))+AM231*Act_5*(Rel_5*EXP(dRel_5*(Ambient_Temp+Approach_dT-T)))),1000000)</f>
        <v>0</v>
      </c>
      <c r="AN232" s="81"/>
      <c r="AO232" s="2095">
        <f>IF(AO98=0,0,IF(EXP(VPHT_A-VPHT_B/(Ambient_Temp+Approach_dT+273.15-VPHT_C))*(AO227*ActHT_1*RelHT_1+AO228*ActHT_2*RelHT_2+AO229*ActHT_3*RelHT_3+AO230*ActHT_4*RelHT_4+AO231*ActHT_5*RelHT_5)&lt;0.5,2000000*EXP(VPHT_A-VPHT_B/(Ambient_Temp+Approach_dT+273.15-VPHT_C))*(AO227*ActHT_1*RelHT_1+AO228*ActHT_2*RelHT_2+AO229*ActHT_3*RelHT_3+AO230*ActHT_4*RelHT_4+AO231*ActHT_5*RelHT_5),1000000))</f>
        <v>0</v>
      </c>
      <c r="AP232" s="81"/>
      <c r="AQ232" s="85" t="s">
        <v>1506</v>
      </c>
      <c r="AR232" s="81"/>
      <c r="AS232" s="83"/>
      <c r="AT232" s="512" t="str">
        <f>B235</f>
        <v/>
      </c>
      <c r="AU232" s="83"/>
      <c r="AV232" s="2091">
        <f>IF(AND(AV$214&gt;0,LC50_4&lt;&gt;0),AV$214/(LC50_4/IF(AV$207&lt;OnSite_Limit/60,AV$207,OnSite_Limit/60)^(1/Pn_4)),0)</f>
        <v>0</v>
      </c>
      <c r="AW232" s="83"/>
      <c r="AX232" s="2091">
        <f>IF(AND(AX$214&gt;0,LC50_4&lt;&gt;0),AX$214/(LC50_4/IF(AX$207&lt;OnSite_Limit/60,AX$207,OnSite_Limit/60)^(1/Pn_4)),0)</f>
        <v>0</v>
      </c>
      <c r="AY232" s="83"/>
      <c r="AZ232" s="2091">
        <f>IF(AND(AZ$214&gt;0,LC50_4&lt;&gt;0),AZ$214/(LC50_4/IF(AZ$207&lt;OnSite_Limit/60,AZ$207,OnSite_Limit/60)^(1/Pn_4)),0)</f>
        <v>0</v>
      </c>
      <c r="BA232" s="83"/>
      <c r="BB232" s="2091">
        <f>IF(AND(BB$214&gt;0,LC50_4&lt;&gt;0),BB$214/(LC50_4/IF(BB$207&lt;OnSite_Limit/60,BB$207,OnSite_Limit/60)^(1/Pn_4)),0)</f>
        <v>0</v>
      </c>
      <c r="BC232" s="83"/>
      <c r="BD232" s="2091">
        <f>IF(AND(BD$214&gt;0,LC50_4&lt;&gt;0),BD$214/(LC50_4/IF(BD$207&lt;OnSite_Limit/60,BD$207,OnSite_Limit/60)^(1/Pn_4)),0)</f>
        <v>0</v>
      </c>
      <c r="BE232" s="83"/>
      <c r="BF232" s="2091">
        <f>IF(AND(BF$214&gt;0,LC50_4&lt;&gt;0),BF$214/(LC50_4/IF(BF$207&lt;OnSite_Limit/60,BF$207,OnSite_Limit/60)^(1/Pn_4)),0)</f>
        <v>0</v>
      </c>
      <c r="BG232" s="83"/>
      <c r="BH232" s="2091">
        <f>IF(AND(BH$214&gt;0,LC50_4&lt;&gt;0),BH$214/(LC50_4/IF(BH$207&lt;OnSite_Limit/60,BH$207,OnSite_Limit/60)^(1/Pn_4)),0)</f>
        <v>0</v>
      </c>
      <c r="BI232" s="83"/>
      <c r="BJ232" s="2091">
        <f>IF(AND(BJ$214&gt;0,LC50_4&lt;&gt;0),BJ$214/(LC50_4/IF(BJ$207&lt;OnSite_Limit/60,BJ$207,OnSite_Limit/60)^(1/Pn_4)),0)</f>
        <v>0</v>
      </c>
      <c r="BK232" s="83"/>
      <c r="BL232" s="2091">
        <f>IF(AND(BL$214&gt;0,LC50_4&lt;&gt;0),BL$214/(LC50_4/IF(BL$207&lt;OnSite_Limit/60,BL$207,OnSite_Limit/60)^(1/Pn_4)),0)</f>
        <v>0</v>
      </c>
      <c r="BM232" s="83"/>
      <c r="BN232" s="2091">
        <f>IF(AND(BN$214&gt;0,LC50_4&lt;&gt;0),BN$214/(LC50_4/IF(BN$207&lt;OnSite_Limit/60,BN$207,OnSite_Limit/60)^(1/Pn_4)),0)</f>
        <v>0</v>
      </c>
      <c r="BO232" s="83"/>
      <c r="BP232" s="1835"/>
      <c r="BQ232" s="83"/>
      <c r="BR232" s="81"/>
      <c r="BS232" s="851" t="str">
        <f>B232</f>
        <v/>
      </c>
      <c r="BT232" s="81"/>
      <c r="BU232" s="2097">
        <f>IF(AND(BU$214&gt;0,LC50_1&lt;&gt;0),BU$214/(LC50_1/IF(BU$210&lt;OnSite_Limit/60,BU$210,OnSite_Limit/60)^(1/Pn_1)),0)</f>
        <v>0</v>
      </c>
      <c r="BV232" s="81"/>
      <c r="BW232" s="2097">
        <f>IF(AND(BW$214&gt;0,LC50_1&lt;&gt;0),BW$214/(LC50_1/IF(BW$210&lt;OnSite_Limit/60,BW$210,OnSite_Limit/60)^(1/Pn_1)),0)</f>
        <v>0</v>
      </c>
      <c r="BX232" s="81"/>
      <c r="BY232" s="2097">
        <f>IF(AND(BY$214&gt;0,LC50_1&lt;&gt;0),BY$214/(LC50_1/IF(BY$210&lt;OnSite_Limit/60,BY$210,OnSite_Limit/60)^(1/Pn_1)),0)</f>
        <v>0</v>
      </c>
      <c r="BZ232" s="81"/>
      <c r="CA232" s="2097">
        <f>IF(AND(CA$214&gt;0,LC50_1&lt;&gt;0),CA$214/(LC50_1/IF(CA$210&lt;OnSite_Limit/60,CA$210,OnSite_Limit/60)^(1/Pn_1)),0)</f>
        <v>0</v>
      </c>
      <c r="CB232" s="81"/>
      <c r="CC232" s="2097">
        <f>IF(AND(CC$214&gt;0,LC50_1&lt;&gt;0),CC$214/(LC50_1/IF(CC$210&lt;OnSite_Limit/60,CC$210,OnSite_Limit/60)^(1/Pn_1)),0)</f>
        <v>0</v>
      </c>
      <c r="CD232" s="81"/>
      <c r="CE232" s="84"/>
      <c r="CF232" s="81"/>
      <c r="CG232" s="83"/>
      <c r="CH232" s="85" t="s">
        <v>1062</v>
      </c>
      <c r="CI232" s="83"/>
      <c r="CJ232" s="2113">
        <f>0.4*CJ231^2</f>
        <v>0.4</v>
      </c>
      <c r="CK232" s="83"/>
      <c r="CL232" s="23" t="s">
        <v>2196</v>
      </c>
      <c r="CM232" s="83"/>
      <c r="CN232" s="7"/>
    </row>
    <row r="233" spans="1:92" s="26" customFormat="1" ht="15" customHeight="1" thickBot="1" x14ac:dyDescent="0.3">
      <c r="A233" s="2"/>
      <c r="B233" s="23" t="str">
        <f>IF(B18="","","Vapor Mole Fraction "&amp;B18&amp;" / Time-Scaled LC-50")</f>
        <v/>
      </c>
      <c r="C233" s="83"/>
      <c r="D233" s="2097">
        <f>IF(AND(D$215&gt;0,LC50_2&lt;&gt;0),D$215/(LC50_2/IF(D$210&lt;OnSite_Limit/60,D$210,OnSite_Limit/60)^(1/Pn_2)),0)</f>
        <v>0</v>
      </c>
      <c r="E233" s="1679"/>
      <c r="F233" s="2097">
        <f>IF(AND(F$215&gt;0,LC50_2&lt;&gt;0),F$215/(LC50_2/IF(F$210&lt;OnSite_Limit/60,F$210,OnSite_Limit/60)^(1/Pn_2)),0)</f>
        <v>0</v>
      </c>
      <c r="G233" s="83"/>
      <c r="H233" s="2097">
        <f>IF(AND(H$215&gt;0,LC50_2&lt;&gt;0),H$215/(LC50_2/IF(H$210&lt;OnSite_Limit/60,H$210,OnSite_Limit/60)^(1/Pn_2)),0)</f>
        <v>0</v>
      </c>
      <c r="I233" s="83"/>
      <c r="J233" s="2097">
        <f>IF(AND(J$215&gt;0,LC50_2&lt;&gt;0),J$215/(LC50_2/IF(J$210&lt;OnSite_Limit/60,J$210,OnSite_Limit/60)^(1/Pn_2)),0)</f>
        <v>0</v>
      </c>
      <c r="K233" s="83"/>
      <c r="L233" s="2097">
        <f>IF(AND(L$215&gt;0,LC50_2&lt;&gt;0),L$215/(LC50_2/IF(L$210&lt;OnSite_Limit/60,L$210,OnSite_Limit/60)^(1/Pn_2)),0)</f>
        <v>0</v>
      </c>
      <c r="M233" s="83"/>
      <c r="N233" s="2097">
        <f>IF(AND(N$215&gt;0,LC50_2&lt;&gt;0),N$215/(LC50_2/IF(N$210&lt;OnSite_Limit/60,N$210,OnSite_Limit/60)^(1/Pn_2)),0)</f>
        <v>0</v>
      </c>
      <c r="O233" s="83"/>
      <c r="P233" s="2097">
        <f>IF(AND(P$215&gt;0,LC50_2&lt;&gt;0),P$215/(LC50_2/IF(P$210&lt;OnSite_Limit/60,P$210,OnSite_Limit/60)^(1/Pn_2)),0)</f>
        <v>0</v>
      </c>
      <c r="Q233" s="83"/>
      <c r="R233" s="2097">
        <f>IF(AND(R$215&gt;0,LC50_2&lt;&gt;0),R$215/(LC50_2/IF(R$210&lt;OnSite_Limit/60,R$210,OnSite_Limit/60)^(1/Pn_2)),0)</f>
        <v>0</v>
      </c>
      <c r="S233" s="83"/>
      <c r="T233" s="2097">
        <f>IF(AND(T$215&gt;0,LC50_2&lt;&gt;0),T$215/(LC50_2/IF(T$210&lt;OnSite_Limit/60,T$210,OnSite_Limit/60)^(1/Pn_2)),0)</f>
        <v>0</v>
      </c>
      <c r="U233" s="83"/>
      <c r="V233" s="2097">
        <f>IF(AND(V$215&gt;0,LC50_2&lt;&gt;0),V$215/(LC50_2/IF(V$210&lt;OnSite_Limit/60,V$210,OnSite_Limit/60)^(1/Pn_2)),0)</f>
        <v>0</v>
      </c>
      <c r="W233" s="83"/>
      <c r="X233" s="2097">
        <f>IF(AND(X$215&gt;0,LC50_2&lt;&gt;0),X$215/(LC50_2/IF(X$210&lt;OnSite_Limit/60,X$210,OnSite_Limit/60)^(1/Pn_2)),0)</f>
        <v>0</v>
      </c>
      <c r="Y233" s="83"/>
      <c r="Z233" s="85"/>
      <c r="AA233" s="83"/>
      <c r="AB233" s="81"/>
      <c r="AC233" s="846" t="str">
        <f>B220</f>
        <v/>
      </c>
      <c r="AD233" s="81"/>
      <c r="AE233" s="2091">
        <f>IF(AND(AE$227&gt;0,ER2_1&lt;&gt;""),AE$227/(ER2_1/AE$223^(1/Pn_1)),0)</f>
        <v>0</v>
      </c>
      <c r="AF233" s="81"/>
      <c r="AG233" s="2091">
        <f>IF(AND(AG$227&gt;0,ER2_1&lt;&gt;""),AG$227/(ER2_1/AG$223^(1/Pn_1)),0)</f>
        <v>0</v>
      </c>
      <c r="AH233" s="81"/>
      <c r="AI233" s="2091">
        <f>IF(AND(AI$227&gt;0,ER2_1&lt;&gt;""),AI$227/(ER2_1/AI$223^(1/Pn_1)),0)</f>
        <v>0</v>
      </c>
      <c r="AJ233" s="81"/>
      <c r="AK233" s="2091">
        <f>IF(AND(AK$227&gt;0,ER2_1&lt;&gt;""),AK$227/(ER2_1/AK$223^(1/Pn_1)),0)</f>
        <v>0</v>
      </c>
      <c r="AL233" s="81"/>
      <c r="AM233" s="2091">
        <f>IF(AND(AM$227&gt;0,ER2_1&lt;&gt;""),AM$227/(ER2_1/AM$223^(1/Pn_1)),0)</f>
        <v>0</v>
      </c>
      <c r="AN233" s="81"/>
      <c r="AO233" s="2091">
        <f>IF(AND(AO$227&gt;0,ER2HT_1&lt;&gt;""),AO$227/(ER2HT_1/AO$223^(1/PnHT_1)),0)</f>
        <v>0</v>
      </c>
      <c r="AP233" s="81"/>
      <c r="AQ233" s="23"/>
      <c r="AR233" s="81"/>
      <c r="AS233" s="83"/>
      <c r="AT233" s="615" t="str">
        <f>B236</f>
        <v/>
      </c>
      <c r="AU233" s="83"/>
      <c r="AV233" s="2091">
        <f>IF(AND(AV$215&gt;0,LC50_5&lt;&gt;0),AV$215/(LC50_5/IF(AV$207&lt;OnSite_Limit/60,AV$207,OnSite_Limit/60)^(1/Pn_5)),0)</f>
        <v>0</v>
      </c>
      <c r="AW233" s="83"/>
      <c r="AX233" s="2091">
        <f>IF(AND(AX$215&gt;0,LC50_5&lt;&gt;0),AX$215/(LC50_5/IF(AX$207&lt;OnSite_Limit/60,AX$207,OnSite_Limit/60)^(1/Pn_5)),0)</f>
        <v>0</v>
      </c>
      <c r="AY233" s="83"/>
      <c r="AZ233" s="2091">
        <f>IF(AND(AZ$215&gt;0,LC50_5&lt;&gt;0),AZ$215/(LC50_5/IF(AZ$207&lt;OnSite_Limit/60,AZ$207,OnSite_Limit/60)^(1/Pn_5)),0)</f>
        <v>0</v>
      </c>
      <c r="BA233" s="83"/>
      <c r="BB233" s="2091">
        <f>IF(AND(BB$215&gt;0,LC50_5&lt;&gt;0),BB$215/(LC50_5/IF(BB$207&lt;OnSite_Limit/60,BB$207,OnSite_Limit/60)^(1/Pn_5)),0)</f>
        <v>0</v>
      </c>
      <c r="BC233" s="83"/>
      <c r="BD233" s="2091">
        <f>IF(AND(BD$215&gt;0,LC50_5&lt;&gt;0),BD$215/(LC50_5/IF(BD$207&lt;OnSite_Limit/60,BD$207,OnSite_Limit/60)^(1/Pn_5)),0)</f>
        <v>0</v>
      </c>
      <c r="BE233" s="83"/>
      <c r="BF233" s="2091">
        <f>IF(AND(BF$215&gt;0,LC50_5&lt;&gt;0),BF$215/(LC50_5/IF(BF$207&lt;OnSite_Limit/60,BF$207,OnSite_Limit/60)^(1/Pn_5)),0)</f>
        <v>0</v>
      </c>
      <c r="BG233" s="83"/>
      <c r="BH233" s="2091">
        <f>IF(AND(BH$215&gt;0,LC50_5&lt;&gt;0),BH$215/(LC50_5/IF(BH$207&lt;OnSite_Limit/60,BH$207,OnSite_Limit/60)^(1/Pn_5)),0)</f>
        <v>0</v>
      </c>
      <c r="BI233" s="83"/>
      <c r="BJ233" s="2091">
        <f>IF(AND(BJ$215&gt;0,LC50_5&lt;&gt;0),BJ$215/(LC50_5/IF(BJ$207&lt;OnSite_Limit/60,BJ$207,OnSite_Limit/60)^(1/Pn_5)),0)</f>
        <v>0</v>
      </c>
      <c r="BK233" s="83"/>
      <c r="BL233" s="2091">
        <f>IF(AND(BL$215&gt;0,LC50_5&lt;&gt;0),BL$215/(LC50_5/IF(BL$207&lt;OnSite_Limit/60,BL$207,OnSite_Limit/60)^(1/Pn_5)),0)</f>
        <v>0</v>
      </c>
      <c r="BM233" s="83"/>
      <c r="BN233" s="2091">
        <f>IF(AND(BN$215&gt;0,LC50_5&lt;&gt;0),BN$215/(LC50_5/IF(BN$207&lt;OnSite_Limit/60,BN$207,OnSite_Limit/60)^(1/Pn_5)),0)</f>
        <v>0</v>
      </c>
      <c r="BO233" s="83"/>
      <c r="BP233" s="1835"/>
      <c r="BQ233" s="83"/>
      <c r="BR233" s="81"/>
      <c r="BS233" s="851" t="str">
        <f>B233</f>
        <v/>
      </c>
      <c r="BT233" s="81"/>
      <c r="BU233" s="2097">
        <f>IF(AND(BU$215&gt;0,LC50_2&lt;&gt;0),BU$215/(LC50_2/IF(BU$210&lt;OnSite_Limit/60,BU$210,OnSite_Limit/60)^(1/Pn_2)),0)</f>
        <v>0</v>
      </c>
      <c r="BV233" s="81"/>
      <c r="BW233" s="2097">
        <f>IF(AND(BW$215&gt;0,LC50_2&lt;&gt;0),BW$215/(LC50_2/IF(BW$210&lt;OnSite_Limit/60,BW$210,OnSite_Limit/60)^(1/Pn_2)),0)</f>
        <v>0</v>
      </c>
      <c r="BX233" s="81"/>
      <c r="BY233" s="2097">
        <f>IF(AND(BY$215&gt;0,LC50_2&lt;&gt;0),BY$215/(LC50_2/IF(BY$210&lt;OnSite_Limit/60,BY$210,OnSite_Limit/60)^(1/Pn_2)),0)</f>
        <v>0</v>
      </c>
      <c r="BZ233" s="81"/>
      <c r="CA233" s="2097">
        <f>IF(AND(CA$215&gt;0,LC50_2&lt;&gt;0),CA$215/(LC50_2/IF(CA$210&lt;OnSite_Limit/60,CA$210,OnSite_Limit/60)^(1/Pn_2)),0)</f>
        <v>0</v>
      </c>
      <c r="CB233" s="81"/>
      <c r="CC233" s="2097">
        <f>IF(AND(CC$215&gt;0,LC50_2&lt;&gt;0),CC$215/(LC50_2/IF(CC$210&lt;OnSite_Limit/60,CC$210,OnSite_Limit/60)^(1/Pn_2)),0)</f>
        <v>0</v>
      </c>
      <c r="CD233" s="81"/>
      <c r="CE233" s="23"/>
      <c r="CF233" s="81"/>
      <c r="CG233" s="83"/>
      <c r="CH233" s="23" t="s">
        <v>843</v>
      </c>
      <c r="CI233" s="83"/>
      <c r="CJ233" s="2114">
        <f>IF(AND(Location="Indoors",CJ7&gt;ChemExp_Flow_Limit),IF(CJ232&lt;Enclosed_Process_Volume^0.67/2,CJ232*Op_Indoors/Enclosed_Process_Volume^0.67/2,Op_Indoors/2),IF(CJ7&gt;0.2,CJ232*Onsite_PD/1000000,0))+IF(Attended="Yes",0.9,0)</f>
        <v>8.0000000000000007E-5</v>
      </c>
      <c r="CK233" s="83"/>
      <c r="CL233" s="23"/>
      <c r="CM233" s="83"/>
      <c r="CN233" s="7"/>
    </row>
    <row r="234" spans="1:92" s="26" customFormat="1" ht="15" customHeight="1" thickBot="1" x14ac:dyDescent="0.3">
      <c r="A234" s="2"/>
      <c r="B234" s="23" t="str">
        <f>IF(B19="","","Vapor Mole Fraction "&amp;B19&amp;" / Time-Scaled LC-50")</f>
        <v/>
      </c>
      <c r="C234" s="83"/>
      <c r="D234" s="2097">
        <f>IF(AND(D$216&gt;0,LC50_3&lt;&gt;0),D$216/(LC50_3/IF(D$210&lt;OnSite_Limit/60,D$210,OnSite_Limit/60)^(1/Pn_2)),0)</f>
        <v>0</v>
      </c>
      <c r="E234" s="1679"/>
      <c r="F234" s="2097">
        <f>IF(AND(F$216&gt;0,LC50_3&lt;&gt;0),F$216/(LC50_3/IF(F$210&lt;OnSite_Limit/60,F$210,OnSite_Limit/60)^(1/Pn_2)),0)</f>
        <v>0</v>
      </c>
      <c r="G234" s="83"/>
      <c r="H234" s="2097">
        <f>IF(AND(H$216&gt;0,LC50_3&lt;&gt;0),H$216/(LC50_3/IF(H$210&lt;OnSite_Limit/60,H$210,OnSite_Limit/60)^(1/Pn_2)),0)</f>
        <v>0</v>
      </c>
      <c r="I234" s="83"/>
      <c r="J234" s="2097">
        <f>IF(AND(J$216&gt;0,LC50_3&lt;&gt;0),J$216/(LC50_3/IF(J$210&lt;OnSite_Limit/60,J$210,OnSite_Limit/60)^(1/Pn_2)),0)</f>
        <v>0</v>
      </c>
      <c r="K234" s="83"/>
      <c r="L234" s="2097">
        <f>IF(AND(L$216&gt;0,LC50_3&lt;&gt;0),L$216/(LC50_3/IF(L$210&lt;OnSite_Limit/60,L$210,OnSite_Limit/60)^(1/Pn_2)),0)</f>
        <v>0</v>
      </c>
      <c r="M234" s="83"/>
      <c r="N234" s="2097">
        <f>IF(AND(N$216&gt;0,LC50_3&lt;&gt;0),N$216/(LC50_3/IF(N$210&lt;OnSite_Limit/60,N$210,OnSite_Limit/60)^(1/Pn_2)),0)</f>
        <v>0</v>
      </c>
      <c r="O234" s="83"/>
      <c r="P234" s="2097">
        <f>IF(AND(P$216&gt;0,LC50_3&lt;&gt;0),P$216/(LC50_3/IF(P$210&lt;OnSite_Limit/60,P$210,OnSite_Limit/60)^(1/Pn_2)),0)</f>
        <v>0</v>
      </c>
      <c r="Q234" s="83"/>
      <c r="R234" s="2097">
        <f>IF(AND(R$216&gt;0,LC50_3&lt;&gt;0),R$216/(LC50_3/IF(R$210&lt;OnSite_Limit/60,R$210,OnSite_Limit/60)^(1/Pn_2)),0)</f>
        <v>0</v>
      </c>
      <c r="S234" s="83"/>
      <c r="T234" s="2097">
        <f>IF(AND(T$216&gt;0,LC50_3&lt;&gt;0),T$216/(LC50_3/IF(T$210&lt;OnSite_Limit/60,T$210,OnSite_Limit/60)^(1/Pn_2)),0)</f>
        <v>0</v>
      </c>
      <c r="U234" s="83"/>
      <c r="V234" s="2097">
        <f>IF(AND(V$216&gt;0,LC50_3&lt;&gt;0),V$216/(LC50_3/IF(V$210&lt;OnSite_Limit/60,V$210,OnSite_Limit/60)^(1/Pn_2)),0)</f>
        <v>0</v>
      </c>
      <c r="W234" s="83"/>
      <c r="X234" s="2097">
        <f>IF(AND(X$216&gt;0,LC50_3&lt;&gt;0),X$216/(LC50_3/IF(X$210&lt;OnSite_Limit/60,X$210,OnSite_Limit/60)^(1/Pn_2)),0)</f>
        <v>0</v>
      </c>
      <c r="Y234" s="83"/>
      <c r="Z234" s="85"/>
      <c r="AA234" s="83"/>
      <c r="AB234" s="81"/>
      <c r="AC234" s="846" t="str">
        <f>B221</f>
        <v/>
      </c>
      <c r="AD234" s="81"/>
      <c r="AE234" s="2091">
        <f>IF(AND(AE$228&gt;0,ER2_2&lt;&gt;""),AE$228/(ER2_2/AE$223^(1/Pn_2)),0)</f>
        <v>0</v>
      </c>
      <c r="AF234" s="81"/>
      <c r="AG234" s="2091">
        <f>IF(AND(AG$228&gt;0,ER2_2&lt;&gt;""),AG$228/(ER2_2/AG$223^(1/Pn_2)),0)</f>
        <v>0</v>
      </c>
      <c r="AH234" s="81"/>
      <c r="AI234" s="2091">
        <f>IF(AND(AI$228&gt;0,ER2_2&lt;&gt;""),AI$228/(ER2_2/AI$223^(1/Pn_2)),0)</f>
        <v>0</v>
      </c>
      <c r="AJ234" s="81"/>
      <c r="AK234" s="2091">
        <f>IF(AND(AK$228&gt;0,ER2_2&lt;&gt;""),AK$228/(ER2_2/AK$223^(1/Pn_2)),0)</f>
        <v>0</v>
      </c>
      <c r="AL234" s="81"/>
      <c r="AM234" s="2091">
        <f>IF(AND(AM$228&gt;0,ER2_2&lt;&gt;""),AM$228/(ER2_2/AM$223^(1/Pn_2)),0)</f>
        <v>0</v>
      </c>
      <c r="AN234" s="81"/>
      <c r="AO234" s="2091">
        <f>IF(AND(AO$228&gt;0,ER2HT_2&lt;&gt;""),AO$228/(ER2HT_2/AO$223^(1/PnHT_2)),0)</f>
        <v>0</v>
      </c>
      <c r="AP234" s="81"/>
      <c r="AQ234" s="23"/>
      <c r="AR234" s="81"/>
      <c r="AS234" s="83"/>
      <c r="AT234" s="2197" t="s">
        <v>5126</v>
      </c>
      <c r="AU234" s="83"/>
      <c r="AV234" s="2101" t="str">
        <f>IF(AND(AV$207&gt;0,SUM(AV229:AV233)&gt;0),IF(1/SUM(AV229:AV233)&lt;1000000,1/SUM(AV229:AV233),1000000),"")</f>
        <v/>
      </c>
      <c r="AW234" s="83"/>
      <c r="AX234" s="2101" t="str">
        <f>IF(AND(AX$207&gt;0,SUM(AX229:AX233)&gt;0),IF(1/SUM(AX229:AX233)&lt;1000000,1/SUM(AX229:AX233),1000000),"")</f>
        <v/>
      </c>
      <c r="AY234" s="83"/>
      <c r="AZ234" s="2101" t="str">
        <f>IF(AND(AZ$207&gt;0,SUM(AZ229:AZ233)&gt;0),IF(1/SUM(AZ229:AZ233)&lt;1000000,1/SUM(AZ229:AZ233),1000000),"")</f>
        <v/>
      </c>
      <c r="BA234" s="83"/>
      <c r="BB234" s="2101" t="str">
        <f>IF(AND(BB$207&gt;0,SUM(BB229:BB233)&gt;0),IF(1/SUM(BB229:BB233)&lt;1000000,1/SUM(BB229:BB233),1000000),"")</f>
        <v/>
      </c>
      <c r="BC234" s="83"/>
      <c r="BD234" s="2101" t="str">
        <f>IF(AND(BD$207&gt;0,SUM(BD229:BD233)&gt;0),IF(1/SUM(BD229:BD233)&lt;1000000,1/SUM(BD229:BD233),1000000),"")</f>
        <v/>
      </c>
      <c r="BE234" s="83"/>
      <c r="BF234" s="2101" t="str">
        <f>IF(AND(BF$207&gt;0,SUM(BF229:BF233)&gt;0),IF(1/SUM(BF229:BF233)&lt;1000000,1/SUM(BF229:BF233),1000000),"")</f>
        <v/>
      </c>
      <c r="BG234" s="83"/>
      <c r="BH234" s="2101" t="str">
        <f>IF(AND(BH$207&gt;0,SUM(BH229:BH233)&gt;0),IF(1/SUM(BH229:BH233)&lt;1000000,1/SUM(BH229:BH233),1000000),"")</f>
        <v/>
      </c>
      <c r="BI234" s="83"/>
      <c r="BJ234" s="2101" t="str">
        <f>IF(AND(BJ$207&gt;0,SUM(BJ229:BJ233)&gt;0),IF(1/SUM(BJ229:BJ233)&lt;1000000,1/SUM(BJ229:BJ233),1000000),"")</f>
        <v/>
      </c>
      <c r="BK234" s="83"/>
      <c r="BL234" s="2101" t="str">
        <f>IF(AND(BL$207&gt;0,SUM(BL229:BL233)&gt;0),IF(1/SUM(BL229:BL233)&lt;1000000,1/SUM(BL229:BL233),1000000),"")</f>
        <v/>
      </c>
      <c r="BM234" s="83"/>
      <c r="BN234" s="2101" t="str">
        <f>IF(AND(BN$207&gt;0,SUM(BN229:BN233)&gt;0),IF(1/SUM(BN229:BN233)&lt;1000000,1/SUM(BN229:BN233),1000000),"")</f>
        <v/>
      </c>
      <c r="BO234" s="83"/>
      <c r="BP234" s="1833" t="s">
        <v>1506</v>
      </c>
      <c r="BQ234" s="83"/>
      <c r="BR234" s="81"/>
      <c r="BS234" s="851" t="str">
        <f>B234</f>
        <v/>
      </c>
      <c r="BT234" s="81"/>
      <c r="BU234" s="2097">
        <f>IF(AND(BU$216&gt;0,LC50_3&lt;&gt;0),BU$216/(LC50_3/IF(BU$210&lt;OnSite_Limit/60,BU$210,OnSite_Limit/60)^(1/Pn_2)),0)</f>
        <v>0</v>
      </c>
      <c r="BV234" s="81"/>
      <c r="BW234" s="2097">
        <f>IF(AND(BW$216&gt;0,LC50_3&lt;&gt;0),BW$216/(LC50_3/IF(BW$210&lt;OnSite_Limit/60,BW$210,OnSite_Limit/60)^(1/Pn_2)),0)</f>
        <v>0</v>
      </c>
      <c r="BX234" s="81"/>
      <c r="BY234" s="2097">
        <f>IF(AND(BY$216&gt;0,LC50_3&lt;&gt;0),BY$216/(LC50_3/IF(BY$210&lt;OnSite_Limit/60,BY$210,OnSite_Limit/60)^(1/Pn_2)),0)</f>
        <v>0</v>
      </c>
      <c r="BZ234" s="81"/>
      <c r="CA234" s="2097">
        <f>IF(AND(CA$216&gt;0,LC50_3&lt;&gt;0),CA$216/(LC50_3/IF(CA$210&lt;OnSite_Limit/60,CA$210,OnSite_Limit/60)^(1/Pn_2)),0)</f>
        <v>0</v>
      </c>
      <c r="CB234" s="81"/>
      <c r="CC234" s="2097">
        <f>IF(AND(CC$216&gt;0,LC50_3&lt;&gt;0),CC$216/(LC50_3/IF(CC$210&lt;OnSite_Limit/60,CC$210,OnSite_Limit/60)^(1/Pn_2)),0)</f>
        <v>0</v>
      </c>
      <c r="CD234" s="81"/>
      <c r="CE234" s="23"/>
      <c r="CF234" s="81"/>
      <c r="CG234" s="83"/>
      <c r="CH234" s="85" t="s">
        <v>1793</v>
      </c>
      <c r="CI234" s="83"/>
      <c r="CJ234" s="1838">
        <v>0</v>
      </c>
      <c r="CK234" s="83"/>
      <c r="CL234" s="23"/>
      <c r="CM234" s="83"/>
      <c r="CN234" s="7"/>
    </row>
    <row r="235" spans="1:92" s="26" customFormat="1" ht="15" customHeight="1" thickBot="1" x14ac:dyDescent="0.3">
      <c r="A235" s="2"/>
      <c r="B235" s="23" t="str">
        <f>IF(B20="","","Vapor Mole Fraction "&amp;B20&amp;" / Time-Scaled LC-50")</f>
        <v/>
      </c>
      <c r="C235" s="83"/>
      <c r="D235" s="2097">
        <f>IF(AND(D$217&gt;0,LC50_4&lt;&gt;0),D$217/(LC50_4/IF(D$210&lt;OnSite_Limit/60,D$210,OnSite_Limit/60)^(1/Pn_4)),0)</f>
        <v>0</v>
      </c>
      <c r="E235" s="1679"/>
      <c r="F235" s="2097">
        <f>IF(AND(F$217&gt;0,LC50_4&lt;&gt;0),F$217/(LC50_4/IF(F$210&lt;OnSite_Limit/60,F$210,OnSite_Limit/60)^(1/Pn_4)),0)</f>
        <v>0</v>
      </c>
      <c r="G235" s="83"/>
      <c r="H235" s="2097">
        <f>IF(AND(H$217&gt;0,LC50_4&lt;&gt;0),H$217/(LC50_4/IF(H$210&lt;OnSite_Limit/60,H$210,OnSite_Limit/60)^(1/Pn_4)),0)</f>
        <v>0</v>
      </c>
      <c r="I235" s="83"/>
      <c r="J235" s="2097">
        <f>IF(AND(J$217&gt;0,LC50_4&lt;&gt;0),J$217/(LC50_4/IF(J$210&lt;OnSite_Limit/60,J$210,OnSite_Limit/60)^(1/Pn_4)),0)</f>
        <v>0</v>
      </c>
      <c r="K235" s="83"/>
      <c r="L235" s="2097">
        <f>IF(AND(L$217&gt;0,LC50_4&lt;&gt;0),L$217/(LC50_4/IF(L$210&lt;OnSite_Limit/60,L$210,OnSite_Limit/60)^(1/Pn_4)),0)</f>
        <v>0</v>
      </c>
      <c r="M235" s="83"/>
      <c r="N235" s="2097">
        <f>IF(AND(N$217&gt;0,LC50_4&lt;&gt;0),N$217/(LC50_4/IF(N$210&lt;OnSite_Limit/60,N$210,OnSite_Limit/60)^(1/Pn_4)),0)</f>
        <v>0</v>
      </c>
      <c r="O235" s="83"/>
      <c r="P235" s="2097">
        <f>IF(AND(P$217&gt;0,LC50_4&lt;&gt;0),P$217/(LC50_4/IF(P$210&lt;OnSite_Limit/60,P$210,OnSite_Limit/60)^(1/Pn_4)),0)</f>
        <v>0</v>
      </c>
      <c r="Q235" s="83"/>
      <c r="R235" s="2097">
        <f>IF(AND(R$217&gt;0,LC50_4&lt;&gt;0),R$217/(LC50_4/IF(R$210&lt;OnSite_Limit/60,R$210,OnSite_Limit/60)^(1/Pn_4)),0)</f>
        <v>0</v>
      </c>
      <c r="S235" s="83"/>
      <c r="T235" s="2097">
        <f>IF(AND(T$217&gt;0,LC50_4&lt;&gt;0),T$217/(LC50_4/IF(T$210&lt;OnSite_Limit/60,T$210,OnSite_Limit/60)^(1/Pn_4)),0)</f>
        <v>0</v>
      </c>
      <c r="U235" s="83"/>
      <c r="V235" s="2097">
        <f>IF(AND(V$217&gt;0,LC50_4&lt;&gt;0),V$217/(LC50_4/IF(V$210&lt;OnSite_Limit/60,V$210,OnSite_Limit/60)^(1/Pn_4)),0)</f>
        <v>0</v>
      </c>
      <c r="W235" s="83"/>
      <c r="X235" s="2097">
        <f>IF(AND(X$217&gt;0,LC50_4&lt;&gt;0),X$217/(LC50_4/IF(X$210&lt;OnSite_Limit/60,X$210,OnSite_Limit/60)^(1/Pn_4)),0)</f>
        <v>0</v>
      </c>
      <c r="Y235" s="83"/>
      <c r="Z235" s="85"/>
      <c r="AA235" s="83"/>
      <c r="AB235" s="81"/>
      <c r="AC235" s="846" t="str">
        <f>B222</f>
        <v/>
      </c>
      <c r="AD235" s="81"/>
      <c r="AE235" s="2091">
        <f>IF(AND(AE$229&gt;0,ER2_3&lt;&gt;""),AE$229/(ER2_3/AE$223^(1/Pn_3)),0)</f>
        <v>0</v>
      </c>
      <c r="AF235" s="81"/>
      <c r="AG235" s="2091">
        <f>IF(AND(AG$229&gt;0,ER2_3&lt;&gt;""),AG$229/(ER2_3/AG$223^(1/Pn_3)),0)</f>
        <v>0</v>
      </c>
      <c r="AH235" s="81"/>
      <c r="AI235" s="2091">
        <f>IF(AND(AI$229&gt;0,ER2_3&lt;&gt;""),AI$229/(ER2_3/AI$223^(1/Pn_3)),0)</f>
        <v>0</v>
      </c>
      <c r="AJ235" s="81"/>
      <c r="AK235" s="2091">
        <f>IF(AND(AK$229&gt;0,ER2_3&lt;&gt;""),AK$229/(ER2_3/AK$223^(1/Pn_3)),0)</f>
        <v>0</v>
      </c>
      <c r="AL235" s="81"/>
      <c r="AM235" s="2091">
        <f>IF(AND(AM$229&gt;0,ER2_3&lt;&gt;""),AM$229/(ER2_3/AM$223^(1/Pn_3)),0)</f>
        <v>0</v>
      </c>
      <c r="AN235" s="81"/>
      <c r="AO235" s="2091">
        <f>IF(AND(AO$229&gt;0,ER2HT_3&lt;&gt;""),AO$229/(ER2HT_3/AO$223^(1/PnHT_3)),0)</f>
        <v>0</v>
      </c>
      <c r="AP235" s="81"/>
      <c r="AQ235" s="23"/>
      <c r="AR235" s="81"/>
      <c r="AS235" s="83"/>
      <c r="AT235" s="23" t="str">
        <f>B238</f>
        <v/>
      </c>
      <c r="AU235" s="83"/>
      <c r="AV235" s="2091">
        <f>IF(ER3_1&lt;&gt;"",AV$211/ER3_1,0)</f>
        <v>0</v>
      </c>
      <c r="AW235" s="83"/>
      <c r="AX235" s="2091">
        <f>IF(ER3_1&lt;&gt;"",AX$211/ER3_1,0)</f>
        <v>0</v>
      </c>
      <c r="AY235" s="83"/>
      <c r="AZ235" s="2091">
        <f>IF(ER3_1&lt;&gt;"",AZ$211/ER3_1,0)</f>
        <v>0</v>
      </c>
      <c r="BA235" s="83"/>
      <c r="BB235" s="2091">
        <f>IF(ER3_1&lt;&gt;"",BB$211/ER3_1,0)</f>
        <v>0</v>
      </c>
      <c r="BC235" s="83"/>
      <c r="BD235" s="2091">
        <f>IF(ER3_1&lt;&gt;"",BD$211/ER3_1,0)</f>
        <v>0</v>
      </c>
      <c r="BE235" s="83"/>
      <c r="BF235" s="2091">
        <f>IF(ER3_1&lt;&gt;"",BF$211/ER3_1,0)</f>
        <v>0</v>
      </c>
      <c r="BG235" s="83"/>
      <c r="BH235" s="2091">
        <f>IF(ER3_1&lt;&gt;"",BH$211/ER3_1,0)</f>
        <v>0</v>
      </c>
      <c r="BI235" s="83"/>
      <c r="BJ235" s="2091">
        <f>IF(ER3_1&lt;&gt;"",BJ$211/ER3_1,0)</f>
        <v>0</v>
      </c>
      <c r="BK235" s="83"/>
      <c r="BL235" s="2091">
        <f>IF(ER3_1&lt;&gt;"",BL$211/ER3_1,0)</f>
        <v>0</v>
      </c>
      <c r="BM235" s="83"/>
      <c r="BN235" s="2091">
        <f>IF(ER3_1&lt;&gt;"",BN$211/ER3_1,0)</f>
        <v>0</v>
      </c>
      <c r="BO235" s="83"/>
      <c r="BP235" s="1834"/>
      <c r="BQ235" s="83"/>
      <c r="BR235" s="81"/>
      <c r="BS235" s="851" t="str">
        <f>B235</f>
        <v/>
      </c>
      <c r="BT235" s="81"/>
      <c r="BU235" s="2097">
        <f>IF(AND(BU$217&gt;0,LC50_4&lt;&gt;0),BU$217/(LC50_4/IF(BU$210&lt;OnSite_Limit/60,BU$210,OnSite_Limit/60)^(1/Pn_4)),0)</f>
        <v>0</v>
      </c>
      <c r="BV235" s="81"/>
      <c r="BW235" s="2097">
        <f>IF(AND(BW$217&gt;0,LC50_4&lt;&gt;0),BW$217/(LC50_4/IF(BW$210&lt;OnSite_Limit/60,BW$210,OnSite_Limit/60)^(1/Pn_4)),0)</f>
        <v>0</v>
      </c>
      <c r="BX235" s="81"/>
      <c r="BY235" s="2097">
        <f>IF(AND(BY$217&gt;0,LC50_4&lt;&gt;0),BY$217/(LC50_4/IF(BY$210&lt;OnSite_Limit/60,BY$210,OnSite_Limit/60)^(1/Pn_4)),0)</f>
        <v>0</v>
      </c>
      <c r="BZ235" s="81"/>
      <c r="CA235" s="2097">
        <f>IF(AND(CA$217&gt;0,LC50_4&lt;&gt;0),CA$217/(LC50_4/IF(CA$210&lt;OnSite_Limit/60,CA$210,OnSite_Limit/60)^(1/Pn_4)),0)</f>
        <v>0</v>
      </c>
      <c r="CB235" s="81"/>
      <c r="CC235" s="2097">
        <f>IF(AND(CC$217&gt;0,LC50_4&lt;&gt;0),CC$217/(LC50_4/IF(CC$210&lt;OnSite_Limit/60,CC$210,OnSite_Limit/60)^(1/Pn_4)),0)</f>
        <v>0</v>
      </c>
      <c r="CD235" s="81"/>
      <c r="CE235" s="23"/>
      <c r="CF235" s="81"/>
      <c r="CG235" s="83"/>
      <c r="CH235" s="25" t="s">
        <v>4794</v>
      </c>
      <c r="CI235" s="83"/>
      <c r="CJ235" s="1208" t="str">
        <f>IF(OR(Chem_ExposureHazard="NA",CJ231&lt;HD_Screening_Limit,CJ7&lt;ChemExp_Flow_Limit),"NA",IF(AND(Chem_ExposureHazard="Potential Fatality",CJ231&lt;HD_Moderate_CE),Conseq_Moderate,IF(Chem_ExposureHazard="Potential Fatality",Conseq_High,IF(Chem_ExposureHazard="Serious Injury",Conseq_Low,Conseq_VeryLow))))</f>
        <v>NA</v>
      </c>
      <c r="CK235" s="83"/>
      <c r="CL235" s="23"/>
      <c r="CM235" s="83"/>
      <c r="CN235" s="7"/>
    </row>
    <row r="236" spans="1:92" s="26" customFormat="1" ht="15" customHeight="1" thickBot="1" x14ac:dyDescent="0.3">
      <c r="A236" s="2"/>
      <c r="B236" s="23" t="str">
        <f>IF(B21="","","Vapor Mole Fraction "&amp;B21&amp;" / Time-Scaled LC-50")</f>
        <v/>
      </c>
      <c r="C236" s="83"/>
      <c r="D236" s="2097">
        <f>IF(AND(D$218&gt;0,LC50_5&lt;&gt;0),D$218/(LC50_5/IF(D$210&lt;OnSite_Limit/60,D$210,OnSite_Limit/60)^(1/Pn_5)),0)</f>
        <v>0</v>
      </c>
      <c r="E236" s="1679"/>
      <c r="F236" s="2097">
        <f>IF(AND(F$218&gt;0,LC50_5&lt;&gt;0),F$218/(LC50_5/IF(F$210&lt;OnSite_Limit/60,F$210,OnSite_Limit/60)^(1/Pn_5)),0)</f>
        <v>0</v>
      </c>
      <c r="G236" s="83"/>
      <c r="H236" s="2097">
        <f>IF(AND(H$218&gt;0,LC50_5&lt;&gt;0),H$218/(LC50_5/IF(H$210&lt;OnSite_Limit/60,H$210,OnSite_Limit/60)^(1/Pn_5)),0)</f>
        <v>0</v>
      </c>
      <c r="I236" s="83"/>
      <c r="J236" s="2097">
        <f>IF(AND(J$218&gt;0,LC50_5&lt;&gt;0),J$218/(LC50_5/IF(J$210&lt;OnSite_Limit/60,J$210,OnSite_Limit/60)^(1/Pn_5)),0)</f>
        <v>0</v>
      </c>
      <c r="K236" s="83"/>
      <c r="L236" s="2097">
        <f>IF(AND(L$218&gt;0,LC50_5&lt;&gt;0),L$218/(LC50_5/IF(L$210&lt;OnSite_Limit/60,L$210,OnSite_Limit/60)^(1/Pn_5)),0)</f>
        <v>0</v>
      </c>
      <c r="M236" s="83"/>
      <c r="N236" s="2097">
        <f>IF(AND(N$218&gt;0,LC50_5&lt;&gt;0),N$218/(LC50_5/IF(N$210&lt;OnSite_Limit/60,N$210,OnSite_Limit/60)^(1/Pn_5)),0)</f>
        <v>0</v>
      </c>
      <c r="O236" s="83"/>
      <c r="P236" s="2097">
        <f>IF(AND(P$218&gt;0,LC50_5&lt;&gt;0),P$218/(LC50_5/IF(P$210&lt;OnSite_Limit/60,P$210,OnSite_Limit/60)^(1/Pn_5)),0)</f>
        <v>0</v>
      </c>
      <c r="Q236" s="83"/>
      <c r="R236" s="2097">
        <f>IF(AND(R$218&gt;0,LC50_5&lt;&gt;0),R$218/(LC50_5/IF(R$210&lt;OnSite_Limit/60,R$210,OnSite_Limit/60)^(1/Pn_5)),0)</f>
        <v>0</v>
      </c>
      <c r="S236" s="83"/>
      <c r="T236" s="2097">
        <f>IF(AND(T$218&gt;0,LC50_5&lt;&gt;0),T$218/(LC50_5/IF(T$210&lt;OnSite_Limit/60,T$210,OnSite_Limit/60)^(1/Pn_5)),0)</f>
        <v>0</v>
      </c>
      <c r="U236" s="83"/>
      <c r="V236" s="2097">
        <f>IF(AND(V$218&gt;0,LC50_5&lt;&gt;0),V$218/(LC50_5/IF(V$210&lt;OnSite_Limit/60,V$210,OnSite_Limit/60)^(1/Pn_5)),0)</f>
        <v>0</v>
      </c>
      <c r="W236" s="83"/>
      <c r="X236" s="2097">
        <f>IF(AND(X$218&gt;0,LC50_5&lt;&gt;0),X$218/(LC50_5/IF(X$210&lt;OnSite_Limit/60,X$210,OnSite_Limit/60)^(1/Pn_5)),0)</f>
        <v>0</v>
      </c>
      <c r="Y236" s="83"/>
      <c r="Z236" s="85"/>
      <c r="AA236" s="83"/>
      <c r="AB236" s="81"/>
      <c r="AC236" s="846" t="str">
        <f>B223</f>
        <v/>
      </c>
      <c r="AD236" s="81"/>
      <c r="AE236" s="2091">
        <f>IF(AND(AE$230&gt;0,ER2_4&lt;&gt;""),AE$230/(ER2_4/AE$223^(1/Pn_4)),0)</f>
        <v>0</v>
      </c>
      <c r="AF236" s="81"/>
      <c r="AG236" s="2091">
        <f>IF(AND(AG$230&gt;0,ER2_4&lt;&gt;""),AG$230/(ER2_4/AG$223^(1/Pn_4)),0)</f>
        <v>0</v>
      </c>
      <c r="AH236" s="81"/>
      <c r="AI236" s="2091">
        <f>IF(AND(AI$230&gt;0,ER2_4&lt;&gt;""),AI$230/(ER2_4/AI$223^(1/Pn_4)),0)</f>
        <v>0</v>
      </c>
      <c r="AJ236" s="81"/>
      <c r="AK236" s="2091">
        <f>IF(AND(AK$230&gt;0,ER2_4&lt;&gt;""),AK$230/(ER2_4/AK$223^(1/Pn_4)),0)</f>
        <v>0</v>
      </c>
      <c r="AL236" s="81"/>
      <c r="AM236" s="2091">
        <f>IF(AND(AM$230&gt;0,ER2_4&lt;&gt;""),AM$230/(ER2_4/AM$223^(1/Pn_4)),0)</f>
        <v>0</v>
      </c>
      <c r="AN236" s="81"/>
      <c r="AO236" s="2091">
        <f>IF(AND(AO$230&gt;0,ER2HT_4&lt;&gt;""),AO$230/(ER2HT_4/AO$223^(1/PnHT_4)),0)</f>
        <v>0</v>
      </c>
      <c r="AP236" s="81"/>
      <c r="AQ236" s="23"/>
      <c r="AR236" s="81"/>
      <c r="AS236" s="83"/>
      <c r="AT236" s="23" t="str">
        <f>B239</f>
        <v/>
      </c>
      <c r="AU236" s="83"/>
      <c r="AV236" s="2091">
        <f>IF(ER3_2&lt;&gt;"",AV$212/ER3_2,0)</f>
        <v>0</v>
      </c>
      <c r="AW236" s="83"/>
      <c r="AX236" s="2091">
        <f>IF(ER3_2&lt;&gt;"",AX$212/ER3_2,0)</f>
        <v>0</v>
      </c>
      <c r="AY236" s="83"/>
      <c r="AZ236" s="2091">
        <f>IF(ER3_2&lt;&gt;"",AZ$212/ER3_2,0)</f>
        <v>0</v>
      </c>
      <c r="BA236" s="83"/>
      <c r="BB236" s="2091">
        <f>IF(ER3_2&lt;&gt;"",BB$212/ER3_2,0)</f>
        <v>0</v>
      </c>
      <c r="BC236" s="83"/>
      <c r="BD236" s="2091">
        <f>IF(ER3_2&lt;&gt;"",BD$212/ER3_2,0)</f>
        <v>0</v>
      </c>
      <c r="BE236" s="83"/>
      <c r="BF236" s="2091">
        <f>IF(ER3_2&lt;&gt;"",BF$212/ER3_2,0)</f>
        <v>0</v>
      </c>
      <c r="BG236" s="83"/>
      <c r="BH236" s="2091">
        <f>IF(ER3_2&lt;&gt;"",BH$212/ER3_2,0)</f>
        <v>0</v>
      </c>
      <c r="BI236" s="83"/>
      <c r="BJ236" s="2091">
        <f>IF(ER3_2&lt;&gt;"",BJ$212/ER3_2,0)</f>
        <v>0</v>
      </c>
      <c r="BK236" s="83"/>
      <c r="BL236" s="2091">
        <f>IF(ER3_2&lt;&gt;"",BL$212/ER3_2,0)</f>
        <v>0</v>
      </c>
      <c r="BM236" s="83"/>
      <c r="BN236" s="2091">
        <f>IF(ER3_2&lt;&gt;"",BN$212/ER3_2,0)</f>
        <v>0</v>
      </c>
      <c r="BO236" s="83"/>
      <c r="BP236" s="1835"/>
      <c r="BQ236" s="83"/>
      <c r="BR236" s="81"/>
      <c r="BS236" s="851" t="str">
        <f>B236</f>
        <v/>
      </c>
      <c r="BT236" s="81"/>
      <c r="BU236" s="2097">
        <f>IF(AND(BU$218&gt;0,LC50_5&lt;&gt;0),BU$218/(LC50_5/IF(BU$210&lt;OnSite_Limit/60,BU$210,OnSite_Limit/60)^(1/Pn_5)),0)</f>
        <v>0</v>
      </c>
      <c r="BV236" s="81"/>
      <c r="BW236" s="2097">
        <f>IF(AND(BW$218&gt;0,LC50_5&lt;&gt;0),BW$218/(LC50_5/IF(BW$210&lt;OnSite_Limit/60,BW$210,OnSite_Limit/60)^(1/Pn_5)),0)</f>
        <v>0</v>
      </c>
      <c r="BX236" s="81"/>
      <c r="BY236" s="2097">
        <f>IF(AND(BY$218&gt;0,LC50_5&lt;&gt;0),BY$218/(LC50_5/IF(BY$210&lt;OnSite_Limit/60,BY$210,OnSite_Limit/60)^(1/Pn_5)),0)</f>
        <v>0</v>
      </c>
      <c r="BZ236" s="81"/>
      <c r="CA236" s="2097">
        <f>IF(AND(CA$218&gt;0,LC50_5&lt;&gt;0),CA$218/(LC50_5/IF(CA$210&lt;OnSite_Limit/60,CA$210,OnSite_Limit/60)^(1/Pn_5)),0)</f>
        <v>0</v>
      </c>
      <c r="CB236" s="81"/>
      <c r="CC236" s="2097">
        <f>IF(AND(CC$218&gt;0,LC50_5&lt;&gt;0),CC$218/(LC50_5/IF(CC$210&lt;OnSite_Limit/60,CC$210,OnSite_Limit/60)^(1/Pn_5)),0)</f>
        <v>0</v>
      </c>
      <c r="CD236" s="81"/>
      <c r="CE236" s="23"/>
      <c r="CF236" s="81"/>
      <c r="CG236" s="83"/>
      <c r="CH236" s="25" t="s">
        <v>4227</v>
      </c>
      <c r="CI236" s="83"/>
      <c r="CJ236" s="2110" t="str">
        <f>IF(Conseq_Criteria="Hazard Distance",CJ235,IF(OR(Chem_ExposureHazard="NA",Spray_Distance&lt;HD_Screening_Limit,CJ7&lt;ChemExp_Flow_Limit),"NA",IF(AND(Chem_ExposureHazard="Potential Fatality",CJ233&lt;N_Moderate),Conseq_Moderate,IF(Chem_ExposureHazard="Potential Fatality",Conseq_High,IF(Chem_ExposureHazard="Serious Injury",Conseq_Low,Conseq_VeryLow)))))</f>
        <v>NA</v>
      </c>
      <c r="CK236" s="83"/>
      <c r="CL236" s="23"/>
      <c r="CM236" s="83"/>
      <c r="CN236" s="7"/>
    </row>
    <row r="237" spans="1:92" s="26" customFormat="1" ht="15" customHeight="1" thickBot="1" x14ac:dyDescent="0.3">
      <c r="A237" s="2"/>
      <c r="B237" s="2197" t="s">
        <v>5126</v>
      </c>
      <c r="C237" s="83"/>
      <c r="D237" s="2101" t="str">
        <f>IF(AND(D$210&gt;0,SUM(D232:D236)&gt;0),IF(1/SUM(D232:D236)&lt;1000000,1/SUM(D232:D236),1000000),"")</f>
        <v/>
      </c>
      <c r="E237" s="1679"/>
      <c r="F237" s="2101" t="str">
        <f>IF(AND(F$210&gt;0,SUM(F232:F236)&gt;0),IF(1/SUM(F232:F236)&lt;1000000,1/SUM(F232:F236),1000000),"")</f>
        <v/>
      </c>
      <c r="G237" s="83"/>
      <c r="H237" s="2101" t="str">
        <f>IF(AND(H$210&gt;0,SUM(H232:H236)&gt;0),IF(1/SUM(H232:H236)&lt;1000000,1/SUM(H232:H236),1000000),"")</f>
        <v/>
      </c>
      <c r="I237" s="83"/>
      <c r="J237" s="2101" t="str">
        <f>IF(AND(J$210&gt;0,SUM(J232:J236)&gt;0),IF(1/SUM(J232:J236)&lt;1000000,1/SUM(J232:J236),1000000),"")</f>
        <v/>
      </c>
      <c r="K237" s="83"/>
      <c r="L237" s="2101" t="str">
        <f>IF(AND(L$210&gt;0,SUM(L232:L236)&gt;0),IF(1/SUM(L232:L236)&lt;1000000,1/SUM(L232:L236),1000000),"")</f>
        <v/>
      </c>
      <c r="M237" s="83"/>
      <c r="N237" s="2101" t="str">
        <f>IF(AND(N$210&gt;0,SUM(N232:N236)&gt;0),IF(1/SUM(N232:N236)&lt;1000000,1/SUM(N232:N236),1000000),"")</f>
        <v/>
      </c>
      <c r="O237" s="83"/>
      <c r="P237" s="2101" t="str">
        <f>IF(AND(P$210&gt;0,SUM(P232:P236)&gt;0),IF(1/SUM(P232:P236)&lt;1000000,1/SUM(P232:P236),1000000),"")</f>
        <v/>
      </c>
      <c r="Q237" s="83"/>
      <c r="R237" s="2101" t="str">
        <f>IF(AND(R$210&gt;0,SUM(R232:R236)&gt;0),IF(1/SUM(R232:R236)&lt;1000000,1/SUM(R232:R236),1000000),"")</f>
        <v/>
      </c>
      <c r="S237" s="83"/>
      <c r="T237" s="2101" t="str">
        <f>IF(AND(T$210&gt;0,SUM(T232:T236)&gt;0),IF(1/SUM(T232:T236)&lt;1000000,1/SUM(T232:T236),1000000),"")</f>
        <v/>
      </c>
      <c r="U237" s="83"/>
      <c r="V237" s="2101" t="str">
        <f>IF(AND(V$210&gt;0,SUM(V232:V236)&gt;0),IF(1/SUM(V232:V236)&lt;1000000,1/SUM(V232:V236),1000000),"")</f>
        <v/>
      </c>
      <c r="W237" s="83"/>
      <c r="X237" s="2101" t="str">
        <f>IF(AND(X$210&gt;0,SUM(X232:X236)&gt;0),IF(1/SUM(X232:X236)&lt;1000000,1/SUM(X232:X236),1000000),"")</f>
        <v/>
      </c>
      <c r="Y237" s="83"/>
      <c r="Z237" s="85" t="s">
        <v>1506</v>
      </c>
      <c r="AA237" s="83"/>
      <c r="AB237" s="81"/>
      <c r="AC237" s="846" t="str">
        <f>B224</f>
        <v/>
      </c>
      <c r="AD237" s="81"/>
      <c r="AE237" s="2091">
        <f>IF(AND(AE$231&gt;0,ER2_5&lt;&gt;""),AE$231/(ER2_5/AE$223^(1/Pn_5)),0)</f>
        <v>0</v>
      </c>
      <c r="AF237" s="81"/>
      <c r="AG237" s="2091">
        <f>IF(AND(AG$231&gt;0,ER2_5&lt;&gt;""),AG$231/(ER2_5/AG$223^(1/Pn_5)),0)</f>
        <v>0</v>
      </c>
      <c r="AH237" s="81"/>
      <c r="AI237" s="2091">
        <f>IF(AND(AI$231&gt;0,ER2_5&lt;&gt;""),AI$231/(ER2_5/AI$223^(1/Pn_5)),0)</f>
        <v>0</v>
      </c>
      <c r="AJ237" s="81"/>
      <c r="AK237" s="2091">
        <f>IF(AND(AK$231&gt;0,ER2_5&lt;&gt;""),AK$231/(ER2_5/AK$223^(1/Pn_5)),0)</f>
        <v>0</v>
      </c>
      <c r="AL237" s="81"/>
      <c r="AM237" s="2091">
        <f>IF(AND(AM$231&gt;0,ER2_5&lt;&gt;""),AM$231/(ER2_5/AM$223^(1/Pn_5)),0)</f>
        <v>0</v>
      </c>
      <c r="AN237" s="81"/>
      <c r="AO237" s="2091">
        <f>IF(AND(AO$231&gt;0,ER2HT_5&lt;&gt;""),AO$231/(ER2HT_5/AO$223^(1/PnHT_5)),0)</f>
        <v>0</v>
      </c>
      <c r="AP237" s="81"/>
      <c r="AQ237" s="23"/>
      <c r="AR237" s="81"/>
      <c r="AS237" s="83"/>
      <c r="AT237" s="23" t="str">
        <f>B240</f>
        <v/>
      </c>
      <c r="AU237" s="83"/>
      <c r="AV237" s="2091">
        <f>IF(ER3_3&lt;&gt;"",AV$213/ER3_3,0)</f>
        <v>0</v>
      </c>
      <c r="AW237" s="83"/>
      <c r="AX237" s="2091">
        <f>IF(ER3_3&lt;&gt;"",AX$213/ER3_3,0)</f>
        <v>0</v>
      </c>
      <c r="AY237" s="83"/>
      <c r="AZ237" s="2091">
        <f>IF(ER3_3&lt;&gt;"",AZ$213/ER3_3,0)</f>
        <v>0</v>
      </c>
      <c r="BA237" s="83"/>
      <c r="BB237" s="2091">
        <f>IF(ER3_3&lt;&gt;"",BB$213/ER3_3,0)</f>
        <v>0</v>
      </c>
      <c r="BC237" s="83"/>
      <c r="BD237" s="2091">
        <f>IF(ER3_3&lt;&gt;"",BD$213/ER3_3,0)</f>
        <v>0</v>
      </c>
      <c r="BE237" s="83"/>
      <c r="BF237" s="2091">
        <f>IF(ER3_3&lt;&gt;"",BF$213/ER3_3,0)</f>
        <v>0</v>
      </c>
      <c r="BG237" s="83"/>
      <c r="BH237" s="2091">
        <f>IF(ER3_3&lt;&gt;"",BH$213/ER3_3,0)</f>
        <v>0</v>
      </c>
      <c r="BI237" s="83"/>
      <c r="BJ237" s="2091">
        <f>IF(ER3_3&lt;&gt;"",BJ$213/ER3_3,0)</f>
        <v>0</v>
      </c>
      <c r="BK237" s="83"/>
      <c r="BL237" s="2091">
        <f>IF(ER3_3&lt;&gt;"",BL$213/ER3_3,0)</f>
        <v>0</v>
      </c>
      <c r="BM237" s="83"/>
      <c r="BN237" s="2091">
        <f>IF(ER3_3&lt;&gt;"",BN$213/ER3_3,0)</f>
        <v>0</v>
      </c>
      <c r="BO237" s="83"/>
      <c r="BP237" s="1835"/>
      <c r="BQ237" s="83"/>
      <c r="BR237" s="81"/>
      <c r="BS237" s="1038" t="s">
        <v>5126</v>
      </c>
      <c r="BT237" s="81"/>
      <c r="BU237" s="2101" t="str">
        <f>IF(AND(BU$210&gt;0,SUM(BU232:BU236)&gt;0),IF(1/SUM(BU232:BU236)&lt;1000000,1/SUM(BU232:BU236),1000000),"")</f>
        <v/>
      </c>
      <c r="BV237" s="81"/>
      <c r="BW237" s="2101" t="str">
        <f>IF(AND(BW$210&gt;0,SUM(BW232:BW236)&gt;0),IF(1/SUM(BW232:BW236)&lt;1000000,1/SUM(BW232:BW236),1000000),"")</f>
        <v/>
      </c>
      <c r="BX237" s="81"/>
      <c r="BY237" s="2101" t="str">
        <f>IF(AND(BY$210&gt;0,SUM(BY232:BY236)&gt;0),IF(1/SUM(BY232:BY236)&lt;1000000,1/SUM(BY232:BY236),1000000),"")</f>
        <v/>
      </c>
      <c r="BZ237" s="81"/>
      <c r="CA237" s="2101" t="str">
        <f>IF(AND(CA$210&gt;0,SUM(CA232:CA236)&gt;0),IF(1/SUM(CA232:CA236)&lt;1000000,1/SUM(CA232:CA236),1000000),"")</f>
        <v/>
      </c>
      <c r="CB237" s="81"/>
      <c r="CC237" s="2101" t="str">
        <f>IF(AND(CC$210&gt;0,SUM(CC232:CC236)&gt;0),IF(1/SUM(CC232:CC236)&lt;1000000,1/SUM(CC232:CC236),1000000),"")</f>
        <v/>
      </c>
      <c r="CD237" s="81"/>
      <c r="CE237" s="25" t="s">
        <v>1506</v>
      </c>
      <c r="CF237" s="81"/>
      <c r="CG237" s="83"/>
      <c r="CH237" s="23" t="str">
        <f>LFL_Fract_FlashFIre&amp;" LFL Onsite Impact Area ="</f>
        <v>0.5 LFL Onsite Impact Area =</v>
      </c>
      <c r="CI237" s="83"/>
      <c r="CJ237" s="87">
        <f>IF(OR(CJ170="",CJ26=0,CJ26&gt;76),0,IF(Location="Indoors",IF(2*CJ158&gt;LFL_Fract_FlashFIre*10000*CJ26,Enclosed_Process_Volume^(2/3),2*CJ158/(LFL_Fract_FlashFIre*10000*CJ26)*Enclosed_Process_Volume^(2/3)),Dispersion_D*CJ170^2))</f>
        <v>0</v>
      </c>
      <c r="CK237" s="83"/>
      <c r="CL237" s="84" t="s">
        <v>2196</v>
      </c>
      <c r="CM237" s="83"/>
      <c r="CN237" s="7"/>
    </row>
    <row r="238" spans="1:92" s="26" customFormat="1" ht="15" customHeight="1" x14ac:dyDescent="0.25">
      <c r="A238" s="2"/>
      <c r="B238" s="851" t="str">
        <f>IF(B17="","","Vapor Mole Fraction "&amp;B17&amp;" / ERPG-3")</f>
        <v/>
      </c>
      <c r="C238" s="83"/>
      <c r="D238" s="2098">
        <f>IF(ER3_1&lt;&gt;"",D$214/ER3_1,0)</f>
        <v>0</v>
      </c>
      <c r="E238" s="1679"/>
      <c r="F238" s="2098">
        <f>IF(ER3_1&lt;&gt;"",F$214/ER3_1,0)</f>
        <v>0</v>
      </c>
      <c r="G238" s="83"/>
      <c r="H238" s="2098">
        <f>IF(ER3_1&lt;&gt;"",H$214/ER3_1,0)</f>
        <v>0</v>
      </c>
      <c r="I238" s="83"/>
      <c r="J238" s="2098">
        <f>IF(ER3_1&lt;&gt;"",J$214/ER3_1,0)</f>
        <v>0</v>
      </c>
      <c r="K238" s="83"/>
      <c r="L238" s="2098">
        <f>IF(ER3_1&lt;&gt;"",L$214/ER3_1,0)</f>
        <v>0</v>
      </c>
      <c r="M238" s="83"/>
      <c r="N238" s="2098">
        <f>IF(ER3_1&lt;&gt;"",N$214/ER3_1,0)</f>
        <v>0</v>
      </c>
      <c r="O238" s="83"/>
      <c r="P238" s="2098">
        <f>IF(ER3_1&lt;&gt;"",P$214/ER3_1,0)</f>
        <v>0</v>
      </c>
      <c r="Q238" s="83"/>
      <c r="R238" s="2098">
        <f>IF(ER3_1&lt;&gt;"",R$214/ER3_1,0)</f>
        <v>0</v>
      </c>
      <c r="S238" s="83"/>
      <c r="T238" s="2098">
        <f>IF(ER3_1&lt;&gt;"",T$214/ER3_1,0)</f>
        <v>0</v>
      </c>
      <c r="U238" s="83"/>
      <c r="V238" s="2098">
        <f>IF(ER3_1&lt;&gt;"",V$214/ER3_1,0)</f>
        <v>0</v>
      </c>
      <c r="W238" s="83"/>
      <c r="X238" s="2098">
        <f>IF(ER3_1&lt;&gt;"",X$214/ER3_1,0)</f>
        <v>0</v>
      </c>
      <c r="Y238" s="83"/>
      <c r="Z238" s="85"/>
      <c r="AA238" s="83"/>
      <c r="AB238" s="81"/>
      <c r="AC238" s="2586" t="s">
        <v>2209</v>
      </c>
      <c r="AD238" s="81"/>
      <c r="AE238" s="2101" t="str">
        <f>IF(AND(AE$223&gt;0,SUM(AE233:AE237)&gt;0),IF(1/SUM(AE233:AE237)&lt;1000000,1/SUM(AE233:AE237),1000000),"")</f>
        <v/>
      </c>
      <c r="AF238" s="81"/>
      <c r="AG238" s="2101" t="str">
        <f>IF(AND(AG$223&gt;0,SUM(AG233:AG237)&gt;0),IF(1/SUM(AG233:AG237)&lt;1000000,1/SUM(AG233:AG237),1000000),"")</f>
        <v/>
      </c>
      <c r="AH238" s="81"/>
      <c r="AI238" s="2101" t="str">
        <f>IF(AND(AI$223&gt;0,SUM(AI233:AI237)&gt;0),IF(1/SUM(AI233:AI237)&lt;1000000,1/SUM(AI233:AI237),1000000),"")</f>
        <v/>
      </c>
      <c r="AJ238" s="81"/>
      <c r="AK238" s="2101" t="str">
        <f>IF(AND(AK$223&gt;0,SUM(AK233:AK237)&gt;0),IF(1/SUM(AK233:AK237)&lt;1000000,1/SUM(AK233:AK237),1000000),"")</f>
        <v/>
      </c>
      <c r="AL238" s="81"/>
      <c r="AM238" s="2101" t="str">
        <f>IF(AND(AM$223&gt;0,SUM(AM233:AM237)&gt;0),IF(1/SUM(AM233:AM237)&lt;1000000,1/SUM(AM233:AM237),1000000),"")</f>
        <v/>
      </c>
      <c r="AN238" s="81"/>
      <c r="AO238" s="2101" t="str">
        <f>IF(AND(AO$223&gt;0,SUM(AO233:AO237)&gt;0),IF(1/SUM(AO233:AO237)&lt;1000000,1/SUM(AO233:AO237),1000000),"")</f>
        <v/>
      </c>
      <c r="AP238" s="81"/>
      <c r="AQ238" s="85" t="s">
        <v>1506</v>
      </c>
      <c r="AR238" s="81"/>
      <c r="AS238" s="83"/>
      <c r="AT238" s="23" t="str">
        <f>B241</f>
        <v/>
      </c>
      <c r="AU238" s="83"/>
      <c r="AV238" s="2091">
        <f>IF(ER3_4&lt;&gt;"",AV$214/ER3_4,0)</f>
        <v>0</v>
      </c>
      <c r="AW238" s="83"/>
      <c r="AX238" s="2091">
        <f>IF(ER3_4&lt;&gt;"",AX$214/ER3_4,0)</f>
        <v>0</v>
      </c>
      <c r="AY238" s="83"/>
      <c r="AZ238" s="2091">
        <f>IF(ER3_4&lt;&gt;"",AZ$214/ER3_4,0)</f>
        <v>0</v>
      </c>
      <c r="BA238" s="83"/>
      <c r="BB238" s="2091">
        <f>IF(ER3_4&lt;&gt;"",BB$214/ER3_4,0)</f>
        <v>0</v>
      </c>
      <c r="BC238" s="83"/>
      <c r="BD238" s="2091">
        <f>IF(ER3_4&lt;&gt;"",BD$214/ER3_4,0)</f>
        <v>0</v>
      </c>
      <c r="BE238" s="83"/>
      <c r="BF238" s="2091">
        <f>IF(ER3_4&lt;&gt;"",BF$214/ER3_4,0)</f>
        <v>0</v>
      </c>
      <c r="BG238" s="83"/>
      <c r="BH238" s="2091">
        <f>IF(ER3_4&lt;&gt;"",BH$214/ER3_4,0)</f>
        <v>0</v>
      </c>
      <c r="BI238" s="83"/>
      <c r="BJ238" s="2091">
        <f>IF(ER3_4&lt;&gt;"",BJ$214/ER3_4,0)</f>
        <v>0</v>
      </c>
      <c r="BK238" s="83"/>
      <c r="BL238" s="2091">
        <f>IF(ER3_4&lt;&gt;"",BL$214/ER3_4,0)</f>
        <v>0</v>
      </c>
      <c r="BM238" s="83"/>
      <c r="BN238" s="2091">
        <f>IF(ER3_4&lt;&gt;"",BN$214/ER3_4,0)</f>
        <v>0</v>
      </c>
      <c r="BO238" s="83"/>
      <c r="BP238" s="1835"/>
      <c r="BQ238" s="83"/>
      <c r="BR238" s="81"/>
      <c r="BS238" s="851" t="str">
        <f>B238</f>
        <v/>
      </c>
      <c r="BT238" s="81"/>
      <c r="BU238" s="2091">
        <f>IF(ER3_1&lt;&gt;"",BU$214/ER3_1,0)</f>
        <v>0</v>
      </c>
      <c r="BV238" s="81"/>
      <c r="BW238" s="2091">
        <f>IF(ER3_1&lt;&gt;"",BW$214/ER3_1,0)</f>
        <v>0</v>
      </c>
      <c r="BX238" s="81"/>
      <c r="BY238" s="2091">
        <f>IF(ER3_1&lt;&gt;"",BY$214/ER3_1,0)</f>
        <v>0</v>
      </c>
      <c r="BZ238" s="81"/>
      <c r="CA238" s="2091">
        <f>IF(ER3_1&lt;&gt;"",CA$214/ER3_1,0)</f>
        <v>0</v>
      </c>
      <c r="CB238" s="81"/>
      <c r="CC238" s="2091">
        <f>IF(ER3_1&lt;&gt;"",CC$214/ER3_1,0)</f>
        <v>0</v>
      </c>
      <c r="CD238" s="81"/>
      <c r="CE238" s="84"/>
      <c r="CF238" s="81"/>
      <c r="CG238" s="83"/>
      <c r="CH238" s="23" t="s">
        <v>611</v>
      </c>
      <c r="CI238" s="83"/>
      <c r="CJ238" s="234">
        <f>IF(AND(CJ26&lt;&gt;"",CJ26&lt;&gt;0,Location="Indoors"),IF(CJ161="Yes",Op_Indoors,IF(CJ158/(10000*CJ26)&lt;1,Op_Indoors*CJ158/(20000*CJ26),Op_Indoors/2)),CJ237*Onsite_PD/1000000)+IF(AND(Attended="Yes",CJ170&gt;HD_Severe_Impact),0.9,0)</f>
        <v>0</v>
      </c>
      <c r="CK238" s="83"/>
      <c r="CL238" s="23"/>
      <c r="CM238" s="83"/>
      <c r="CN238" s="7"/>
    </row>
    <row r="239" spans="1:92" s="26" customFormat="1" ht="15" customHeight="1" thickBot="1" x14ac:dyDescent="0.3">
      <c r="A239" s="2"/>
      <c r="B239" s="851" t="str">
        <f>IF(B18="","","Vapor Mole Fraction "&amp;B18&amp;" / ERPG-3")</f>
        <v/>
      </c>
      <c r="C239" s="83"/>
      <c r="D239" s="2098">
        <f>IF(ER3_2&lt;&gt;"",D$215/ER3_2,0)</f>
        <v>0</v>
      </c>
      <c r="E239" s="1679"/>
      <c r="F239" s="2098">
        <f>IF(ER3_2&lt;&gt;"",F$215/ER3_2,0)</f>
        <v>0</v>
      </c>
      <c r="G239" s="83"/>
      <c r="H239" s="2098">
        <f>IF(ER3_2&lt;&gt;"",H$215/ER3_2,0)</f>
        <v>0</v>
      </c>
      <c r="I239" s="83"/>
      <c r="J239" s="2098">
        <f>IF(ER3_2&lt;&gt;"",J$215/ER3_2,0)</f>
        <v>0</v>
      </c>
      <c r="K239" s="83"/>
      <c r="L239" s="2098">
        <f>IF(ER3_2&lt;&gt;"",L$215/ER3_2,0)</f>
        <v>0</v>
      </c>
      <c r="M239" s="83"/>
      <c r="N239" s="2098">
        <f>IF(ER3_2&lt;&gt;"",N$215/ER3_2,0)</f>
        <v>0</v>
      </c>
      <c r="O239" s="83"/>
      <c r="P239" s="2098">
        <f>IF(ER3_2&lt;&gt;"",P$215/ER3_2,0)</f>
        <v>0</v>
      </c>
      <c r="Q239" s="83"/>
      <c r="R239" s="2098">
        <f>IF(ER3_2&lt;&gt;"",R$215/ER3_2,0)</f>
        <v>0</v>
      </c>
      <c r="S239" s="83"/>
      <c r="T239" s="2098">
        <f>IF(ER3_2&lt;&gt;"",T$215/ER3_2,0)</f>
        <v>0</v>
      </c>
      <c r="U239" s="83"/>
      <c r="V239" s="2098">
        <f>IF(ER3_2&lt;&gt;"",V$215/ER3_2,0)</f>
        <v>0</v>
      </c>
      <c r="W239" s="83"/>
      <c r="X239" s="2098">
        <f>IF(ER3_2&lt;&gt;"",X$215/ER3_2,0)</f>
        <v>0</v>
      </c>
      <c r="Y239" s="83"/>
      <c r="Z239" s="85"/>
      <c r="AA239" s="83"/>
      <c r="AB239" s="81"/>
      <c r="AC239" s="846" t="str">
        <f>B226</f>
        <v/>
      </c>
      <c r="AD239" s="81"/>
      <c r="AE239" s="2091">
        <f>IF(AND(AE$227&gt;0,ER3_1&lt;&gt;""),AE$227/(ER3_1/AE$223^(1/Pn_1)),0)</f>
        <v>0</v>
      </c>
      <c r="AF239" s="81"/>
      <c r="AG239" s="2091">
        <f>IF(AND(AG$227&gt;0,ER3_1&lt;&gt;""),AG$227/(ER3_1/AG$223^(1/Pn_1)),0)</f>
        <v>0</v>
      </c>
      <c r="AH239" s="81"/>
      <c r="AI239" s="2091">
        <f>IF(AND(AI$227&gt;0,ER3_1&lt;&gt;""),AI$227/(ER3_1/AI$223^(1/Pn_1)),0)</f>
        <v>0</v>
      </c>
      <c r="AJ239" s="81"/>
      <c r="AK239" s="2091">
        <f>IF(AND(AK$227&gt;0,ER3_1&lt;&gt;""),AK$227/(ER3_1/AK$223^(1/Pn_1)),0)</f>
        <v>0</v>
      </c>
      <c r="AL239" s="81"/>
      <c r="AM239" s="2091">
        <f>IF(AND(AM$227&gt;0,ER3_1&lt;&gt;""),AM$227/(ER3_1/AM$223^(1/Pn_1)),0)</f>
        <v>0</v>
      </c>
      <c r="AN239" s="81"/>
      <c r="AO239" s="2091">
        <f>IF(AND(AO$227&gt;0,ER3HT_1&lt;&gt;""),AO$227/(ER3HT_1/AO$223^(1/PnHT_1)),0)</f>
        <v>0</v>
      </c>
      <c r="AP239" s="81"/>
      <c r="AQ239" s="23"/>
      <c r="AR239" s="81"/>
      <c r="AS239" s="83"/>
      <c r="AT239" s="23" t="str">
        <f>B242</f>
        <v/>
      </c>
      <c r="AU239" s="83"/>
      <c r="AV239" s="2091">
        <f>IF(ER3_5&lt;&gt;"",AV$215/ER3_5,0)</f>
        <v>0</v>
      </c>
      <c r="AW239" s="83"/>
      <c r="AX239" s="2091">
        <f>IF(ER3_5&lt;&gt;"",AX$215/ER3_5,0)</f>
        <v>0</v>
      </c>
      <c r="AY239" s="83"/>
      <c r="AZ239" s="2091">
        <f>IF(ER3_5&lt;&gt;"",AZ$215/ER3_5,0)</f>
        <v>0</v>
      </c>
      <c r="BA239" s="83"/>
      <c r="BB239" s="2091">
        <f>IF(ER3_5&lt;&gt;"",BB$215/ER3_5,0)</f>
        <v>0</v>
      </c>
      <c r="BC239" s="83"/>
      <c r="BD239" s="2091">
        <f>IF(ER3_5&lt;&gt;"",BD$215/ER3_5,0)</f>
        <v>0</v>
      </c>
      <c r="BE239" s="83"/>
      <c r="BF239" s="2091">
        <f>IF(ER3_5&lt;&gt;"",BF$215/ER3_5,0)</f>
        <v>0</v>
      </c>
      <c r="BG239" s="83"/>
      <c r="BH239" s="2091">
        <f>IF(ER3_5&lt;&gt;"",BH$215/ER3_5,0)</f>
        <v>0</v>
      </c>
      <c r="BI239" s="83"/>
      <c r="BJ239" s="2091">
        <f>IF(ER3_5&lt;&gt;"",BJ$215/ER3_5,0)</f>
        <v>0</v>
      </c>
      <c r="BK239" s="83"/>
      <c r="BL239" s="2091">
        <f>IF(ER3_5&lt;&gt;"",BL$215/ER3_5,0)</f>
        <v>0</v>
      </c>
      <c r="BM239" s="83"/>
      <c r="BN239" s="2091">
        <f>IF(ER3_5&lt;&gt;"",BN$215/ER3_5,0)</f>
        <v>0</v>
      </c>
      <c r="BO239" s="83"/>
      <c r="BP239" s="1835"/>
      <c r="BQ239" s="83"/>
      <c r="BR239" s="81"/>
      <c r="BS239" s="851" t="str">
        <f>B239</f>
        <v/>
      </c>
      <c r="BT239" s="81"/>
      <c r="BU239" s="2091">
        <f>IF(ER3_2&lt;&gt;"",BU$215/ER3_2,0)</f>
        <v>0</v>
      </c>
      <c r="BV239" s="81"/>
      <c r="BW239" s="2091">
        <f>IF(ER3_2&lt;&gt;"",BW$215/ER3_2,0)</f>
        <v>0</v>
      </c>
      <c r="BX239" s="81"/>
      <c r="BY239" s="2091">
        <f>IF(ER3_2&lt;&gt;"",BY$215/ER3_2,0)</f>
        <v>0</v>
      </c>
      <c r="BZ239" s="81"/>
      <c r="CA239" s="2091">
        <f>IF(ER3_2&lt;&gt;"",CA$215/ER3_2,0)</f>
        <v>0</v>
      </c>
      <c r="CB239" s="81"/>
      <c r="CC239" s="2091">
        <f>IF(ER3_2&lt;&gt;"",CC$215/ER3_2,0)</f>
        <v>0</v>
      </c>
      <c r="CD239" s="81"/>
      <c r="CE239" s="23"/>
      <c r="CF239" s="81"/>
      <c r="CG239" s="83"/>
      <c r="CH239" s="85" t="s">
        <v>1794</v>
      </c>
      <c r="CI239" s="83"/>
      <c r="CJ239" s="242">
        <v>0</v>
      </c>
      <c r="CK239" s="83"/>
      <c r="CL239" s="23"/>
      <c r="CM239" s="83"/>
      <c r="CN239" s="7"/>
    </row>
    <row r="240" spans="1:92" s="26" customFormat="1" ht="15" customHeight="1" thickBot="1" x14ac:dyDescent="0.3">
      <c r="A240" s="2"/>
      <c r="B240" s="851" t="str">
        <f>IF(B19="","","Vapor Mole Fraction "&amp;B19&amp;" / ERPG-3")</f>
        <v/>
      </c>
      <c r="C240" s="83"/>
      <c r="D240" s="2098">
        <f>IF(ER3_3&lt;&gt;"",D$216/ER3_3,0)</f>
        <v>0</v>
      </c>
      <c r="E240" s="1679"/>
      <c r="F240" s="2098">
        <f>IF(ER3_3&lt;&gt;"",F$216/ER3_3,0)</f>
        <v>0</v>
      </c>
      <c r="G240" s="83"/>
      <c r="H240" s="2098">
        <f>IF(ER3_3&lt;&gt;"",H$216/ER3_3,0)</f>
        <v>0</v>
      </c>
      <c r="I240" s="83"/>
      <c r="J240" s="2098">
        <f>IF(ER3_3&lt;&gt;"",J$216/ER3_3,0)</f>
        <v>0</v>
      </c>
      <c r="K240" s="83"/>
      <c r="L240" s="2098">
        <f>IF(ER3_3&lt;&gt;"",L$216/ER3_3,0)</f>
        <v>0</v>
      </c>
      <c r="M240" s="83"/>
      <c r="N240" s="2098">
        <f>IF(ER3_3&lt;&gt;"",N$216/ER3_3,0)</f>
        <v>0</v>
      </c>
      <c r="O240" s="83"/>
      <c r="P240" s="2098">
        <f>IF(ER3_3&lt;&gt;"",P$216/ER3_3,0)</f>
        <v>0</v>
      </c>
      <c r="Q240" s="83"/>
      <c r="R240" s="2098">
        <f>IF(ER3_3&lt;&gt;"",R$216/ER3_3,0)</f>
        <v>0</v>
      </c>
      <c r="S240" s="83"/>
      <c r="T240" s="2098">
        <f>IF(ER3_3&lt;&gt;"",T$216/ER3_3,0)</f>
        <v>0</v>
      </c>
      <c r="U240" s="83"/>
      <c r="V240" s="2098">
        <f>IF(ER3_3&lt;&gt;"",V$216/ER3_3,0)</f>
        <v>0</v>
      </c>
      <c r="W240" s="83"/>
      <c r="X240" s="2098">
        <f>IF(ER3_3&lt;&gt;"",X$216/ER3_3,0)</f>
        <v>0</v>
      </c>
      <c r="Y240" s="83"/>
      <c r="Z240" s="85"/>
      <c r="AA240" s="83"/>
      <c r="AB240" s="81"/>
      <c r="AC240" s="846" t="str">
        <f>B227</f>
        <v/>
      </c>
      <c r="AD240" s="81"/>
      <c r="AE240" s="2091">
        <f>IF(AND(AE$228&gt;0,ER3_2&lt;&gt;""),AE$228/(ER3_2/AE$223^(1/Pn_2)),0)</f>
        <v>0</v>
      </c>
      <c r="AF240" s="81"/>
      <c r="AG240" s="2091">
        <f>IF(AND(AG$228&gt;0,ER3_2&lt;&gt;""),AG$228/(ER3_2/AG$223^(1/Pn_2)),0)</f>
        <v>0</v>
      </c>
      <c r="AH240" s="81"/>
      <c r="AI240" s="2091">
        <f>IF(AND(AI$228&gt;0,ER3_2&lt;&gt;""),AI$228/(ER3_2/AI$223^(1/Pn_2)),0)</f>
        <v>0</v>
      </c>
      <c r="AJ240" s="81"/>
      <c r="AK240" s="2091">
        <f>IF(AND(AK$228&gt;0,ER3_2&lt;&gt;""),AK$228/(ER3_2/AK$223^(1/Pn_2)),0)</f>
        <v>0</v>
      </c>
      <c r="AL240" s="81"/>
      <c r="AM240" s="2091">
        <f>IF(AND(AM$228&gt;0,ER3_2&lt;&gt;""),AM$228/(ER3_2/AM$223^(1/Pn_2)),0)</f>
        <v>0</v>
      </c>
      <c r="AN240" s="81"/>
      <c r="AO240" s="2091">
        <f>IF(AND(AO$228&gt;0,ER3HT_2&lt;&gt;""),AO$228/(ER3HT_2/AO$223^(1/PnHT_2)),0)</f>
        <v>0</v>
      </c>
      <c r="AP240" s="81"/>
      <c r="AQ240" s="23"/>
      <c r="AR240" s="81"/>
      <c r="AS240" s="83"/>
      <c r="AT240" s="119" t="s">
        <v>3673</v>
      </c>
      <c r="AU240" s="83"/>
      <c r="AV240" s="2101" t="str">
        <f>IF(SUM(AV235:AV239)&gt;0,IF(1/SUM(AV235:AV239)&lt;1000000,1/SUM(AV235:AV239),1000000),"")</f>
        <v/>
      </c>
      <c r="AW240" s="83"/>
      <c r="AX240" s="2101" t="str">
        <f>IF(SUM(AX235:AX239)&gt;0,IF(1/SUM(AX235:AX239)&lt;1000000,1/SUM(AX235:AX239),1000000),"")</f>
        <v/>
      </c>
      <c r="AY240" s="83"/>
      <c r="AZ240" s="2101" t="str">
        <f>IF(SUM(AZ235:AZ239)&gt;0,IF(1/SUM(AZ235:AZ239)&lt;1000000,1/SUM(AZ235:AZ239),1000000),"")</f>
        <v/>
      </c>
      <c r="BA240" s="83"/>
      <c r="BB240" s="2101" t="str">
        <f>IF(SUM(BB235:BB239)&gt;0,IF(1/SUM(BB235:BB239)&lt;1000000,1/SUM(BB235:BB239),1000000),"")</f>
        <v/>
      </c>
      <c r="BC240" s="83"/>
      <c r="BD240" s="2101" t="str">
        <f>IF(SUM(BD235:BD239)&gt;0,IF(1/SUM(BD235:BD239)&lt;1000000,1/SUM(BD235:BD239),1000000),"")</f>
        <v/>
      </c>
      <c r="BE240" s="83"/>
      <c r="BF240" s="2101" t="str">
        <f>IF(SUM(BF235:BF239)&gt;0,IF(1/SUM(BF235:BF239)&lt;1000000,1/SUM(BF235:BF239),1000000),"")</f>
        <v/>
      </c>
      <c r="BG240" s="83"/>
      <c r="BH240" s="2101" t="str">
        <f>IF(SUM(BH235:BH239)&gt;0,IF(1/SUM(BH235:BH239)&lt;1000000,1/SUM(BH235:BH239),1000000),"")</f>
        <v/>
      </c>
      <c r="BI240" s="83"/>
      <c r="BJ240" s="2101" t="str">
        <f>IF(SUM(BJ235:BJ239)&gt;0,IF(1/SUM(BJ235:BJ239)&lt;1000000,1/SUM(BJ235:BJ239),1000000),"")</f>
        <v/>
      </c>
      <c r="BK240" s="83"/>
      <c r="BL240" s="2101" t="str">
        <f>IF(SUM(BL235:BL239)&gt;0,IF(1/SUM(BL235:BL239)&lt;1000000,1/SUM(BL235:BL239),1000000),"")</f>
        <v/>
      </c>
      <c r="BM240" s="83"/>
      <c r="BN240" s="2101" t="str">
        <f>IF(SUM(BN235:BN239)&gt;0,IF(1/SUM(BN235:BN239)&lt;1000000,1/SUM(BN235:BN239),1000000),"")</f>
        <v/>
      </c>
      <c r="BO240" s="83"/>
      <c r="BP240" s="1833" t="s">
        <v>1506</v>
      </c>
      <c r="BQ240" s="83"/>
      <c r="BR240" s="81"/>
      <c r="BS240" s="851" t="str">
        <f>B240</f>
        <v/>
      </c>
      <c r="BT240" s="81"/>
      <c r="BU240" s="2091">
        <f>IF(ER3_3&lt;&gt;"",BU$216/ER3_3,0)</f>
        <v>0</v>
      </c>
      <c r="BV240" s="81"/>
      <c r="BW240" s="2091">
        <f>IF(ER3_3&lt;&gt;"",BW$216/ER3_3,0)</f>
        <v>0</v>
      </c>
      <c r="BX240" s="81"/>
      <c r="BY240" s="2091">
        <f>IF(ER3_3&lt;&gt;"",BY$216/ER3_3,0)</f>
        <v>0</v>
      </c>
      <c r="BZ240" s="81"/>
      <c r="CA240" s="2091">
        <f>IF(ER3_3&lt;&gt;"",CA$216/ER3_3,0)</f>
        <v>0</v>
      </c>
      <c r="CB240" s="81"/>
      <c r="CC240" s="2091">
        <f>IF(ER3_3&lt;&gt;"",CC$216/ER3_3,0)</f>
        <v>0</v>
      </c>
      <c r="CD240" s="81"/>
      <c r="CE240" s="23"/>
      <c r="CF240" s="81"/>
      <c r="CG240" s="83"/>
      <c r="CH240" s="25" t="s">
        <v>4792</v>
      </c>
      <c r="CI240" s="83"/>
      <c r="CJ240" s="1208" t="str">
        <f>IF(OR(Flash_Pt_Feed="",CJ26="",AND(Location="Outdoors",CJ170&lt;HD_Screening_Limit)),"NA",IF(Location="Indoors",IF(AND(Ease_of_Ignition_Feed&lt;&gt;"High",0.0001*CJ158/CJ26&lt;HD_VeryLow_IndoorFF),Conseq_VeryLow,IF(0.0001*CJ158/CJ26&lt;HD_Low_IndoorFF,Conseq_Low,IF(0.0001*CJ158/CJ26&lt;HD_Moderate_IndoorFF,Conseq_Moderate,Conseq_High))),IF(AND(Ease_of_Ignition_Feed&lt;&gt;"High",CJ170&lt;HD_VeryLow_FF),Conseq_VeryLow,IF(CJ170&lt;HD_Low_FF,Conseq_Low,IF(CJ170&lt;HD_Moderate_FF,Conseq_Moderate,IF(CJ170&lt;HD_High_FF,Conseq_High,IF(CJ170&lt;HD_VeryHigh_FF,Conseq_VeryHigh,Conseq_ExtremeHigh)))))))</f>
        <v>NA</v>
      </c>
      <c r="CK240" s="83"/>
      <c r="CL240" s="23"/>
      <c r="CM240" s="83"/>
      <c r="CN240" s="7"/>
    </row>
    <row r="241" spans="1:109" s="26" customFormat="1" ht="15" customHeight="1" thickBot="1" x14ac:dyDescent="0.3">
      <c r="A241" s="2"/>
      <c r="B241" s="851" t="str">
        <f>IF(B20="","","Vapor Mole Fraction "&amp;B20&amp;" / ERPG-3")</f>
        <v/>
      </c>
      <c r="C241" s="83"/>
      <c r="D241" s="2098">
        <f>IF(ER3_4&lt;&gt;"",D$217/ER3_4,0)</f>
        <v>0</v>
      </c>
      <c r="E241" s="1679"/>
      <c r="F241" s="2098">
        <f>IF(ER3_4&lt;&gt;"",F$217/ER3_4,0)</f>
        <v>0</v>
      </c>
      <c r="G241" s="83"/>
      <c r="H241" s="2098">
        <f>IF(ER3_4&lt;&gt;"",H$217/ER3_4,0)</f>
        <v>0</v>
      </c>
      <c r="I241" s="83"/>
      <c r="J241" s="2098">
        <f>IF(ER3_4&lt;&gt;"",J$217/ER3_4,0)</f>
        <v>0</v>
      </c>
      <c r="K241" s="83"/>
      <c r="L241" s="2098">
        <f>IF(ER3_4&lt;&gt;"",L$217/ER3_4,0)</f>
        <v>0</v>
      </c>
      <c r="M241" s="83"/>
      <c r="N241" s="2098">
        <f>IF(ER3_4&lt;&gt;"",N$217/ER3_4,0)</f>
        <v>0</v>
      </c>
      <c r="O241" s="83"/>
      <c r="P241" s="2098">
        <f>IF(ER3_4&lt;&gt;"",P$217/ER3_4,0)</f>
        <v>0</v>
      </c>
      <c r="Q241" s="83"/>
      <c r="R241" s="2098">
        <f>IF(ER3_4&lt;&gt;"",R$217/ER3_4,0)</f>
        <v>0</v>
      </c>
      <c r="S241" s="83"/>
      <c r="T241" s="2098">
        <f>IF(ER3_4&lt;&gt;"",T$217/ER3_4,0)</f>
        <v>0</v>
      </c>
      <c r="U241" s="83"/>
      <c r="V241" s="2098">
        <f>IF(ER3_4&lt;&gt;"",V$217/ER3_4,0)</f>
        <v>0</v>
      </c>
      <c r="W241" s="83"/>
      <c r="X241" s="2098">
        <f>IF(ER3_4&lt;&gt;"",X$217/ER3_4,0)</f>
        <v>0</v>
      </c>
      <c r="Y241" s="83"/>
      <c r="Z241" s="85"/>
      <c r="AA241" s="83"/>
      <c r="AB241" s="81"/>
      <c r="AC241" s="846" t="str">
        <f>B228</f>
        <v/>
      </c>
      <c r="AD241" s="81"/>
      <c r="AE241" s="2091">
        <f>IF(AND(AE$229&gt;0,ER3_3&lt;&gt;""),AE$229/(ER3_3/AE$223^(1/Pn_3)),0)</f>
        <v>0</v>
      </c>
      <c r="AF241" s="81"/>
      <c r="AG241" s="2091">
        <f>IF(AND(AG$229&gt;0,ER3_3&lt;&gt;""),AG$229/(ER3_3/AG$223^(1/Pn_3)),0)</f>
        <v>0</v>
      </c>
      <c r="AH241" s="81"/>
      <c r="AI241" s="2091">
        <f>IF(AND(AI$229&gt;0,ER3_3&lt;&gt;""),AI$229/(ER3_3/AI$223^(1/Pn_3)),0)</f>
        <v>0</v>
      </c>
      <c r="AJ241" s="81"/>
      <c r="AK241" s="2091">
        <f>IF(AND(AK$229&gt;0,ER3_3&lt;&gt;""),AK$229/(ER3_3/AK$223^(1/Pn_3)),0)</f>
        <v>0</v>
      </c>
      <c r="AL241" s="81"/>
      <c r="AM241" s="2091">
        <f>IF(AND(AM$229&gt;0,ER3_3&lt;&gt;""),AM$229/(ER3_3/AM$223^(1/Pn_3)),0)</f>
        <v>0</v>
      </c>
      <c r="AN241" s="81"/>
      <c r="AO241" s="2091">
        <f>IF(AND(AO$229&gt;0,ER3HT_3&lt;&gt;""),AO$229/(ER3HT_3/AO$223^(1/PnHT_3)),0)</f>
        <v>0</v>
      </c>
      <c r="AP241" s="81"/>
      <c r="AQ241" s="23"/>
      <c r="AR241" s="81"/>
      <c r="AS241" s="83"/>
      <c r="AT241" s="512" t="str">
        <f>B244</f>
        <v/>
      </c>
      <c r="AU241" s="83"/>
      <c r="AV241" s="2091">
        <f>IF(AND(AV$211&gt;0,LFL_1&lt;&gt;""),AV$211/LFL_1,0)</f>
        <v>0</v>
      </c>
      <c r="AW241" s="83"/>
      <c r="AX241" s="2091">
        <f>IF(AND(AX$211&gt;0,LFL_1&lt;&gt;""),AX$211/LFL_1,0)</f>
        <v>0</v>
      </c>
      <c r="AY241" s="83"/>
      <c r="AZ241" s="2091">
        <f>IF(AND(AZ$211&gt;0,LFL_1&lt;&gt;""),AZ$211/LFL_1,0)</f>
        <v>0</v>
      </c>
      <c r="BA241" s="83"/>
      <c r="BB241" s="2091">
        <f>IF(AND(BB$211&gt;0,LFL_1&lt;&gt;""),BB$211/LFL_1,0)</f>
        <v>0</v>
      </c>
      <c r="BC241" s="83"/>
      <c r="BD241" s="2091">
        <f>IF(AND(BD$211&gt;0,LFL_1&lt;&gt;""),BD$211/LFL_1,0)</f>
        <v>0</v>
      </c>
      <c r="BE241" s="83"/>
      <c r="BF241" s="2091">
        <f>IF(AND(BF$211&gt;0,LFL_1&lt;&gt;""),BF$211/LFL_1,0)</f>
        <v>0</v>
      </c>
      <c r="BG241" s="83"/>
      <c r="BH241" s="2091">
        <f>IF(AND(BH$211&gt;0,LFL_1&lt;&gt;""),BH$211/LFL_1,0)</f>
        <v>0</v>
      </c>
      <c r="BI241" s="83"/>
      <c r="BJ241" s="2091">
        <f>IF(AND(BJ$211&gt;0,LFL_1&lt;&gt;""),BJ$211/LFL_1,0)</f>
        <v>0</v>
      </c>
      <c r="BK241" s="83"/>
      <c r="BL241" s="2091">
        <f>IF(AND(BL$211&gt;0,LFL_1&lt;&gt;""),BL$211/LFL_1,0)</f>
        <v>0</v>
      </c>
      <c r="BM241" s="83"/>
      <c r="BN241" s="2091">
        <f>IF(AND(BN$211&gt;0,LFL_1&lt;&gt;""),BN$211/LFL_1,0)</f>
        <v>0</v>
      </c>
      <c r="BO241" s="83"/>
      <c r="BP241" s="1834"/>
      <c r="BQ241" s="83"/>
      <c r="BR241" s="81"/>
      <c r="BS241" s="851" t="str">
        <f>B241</f>
        <v/>
      </c>
      <c r="BT241" s="81"/>
      <c r="BU241" s="2091">
        <f>IF(ER3_4&lt;&gt;"",BU$217/ER3_4,0)</f>
        <v>0</v>
      </c>
      <c r="BV241" s="81"/>
      <c r="BW241" s="2091">
        <f>IF(ER3_4&lt;&gt;"",BW$217/ER3_4,0)</f>
        <v>0</v>
      </c>
      <c r="BX241" s="81"/>
      <c r="BY241" s="2091">
        <f>IF(ER3_4&lt;&gt;"",BY$217/ER3_4,0)</f>
        <v>0</v>
      </c>
      <c r="BZ241" s="81"/>
      <c r="CA241" s="2091">
        <f>IF(ER3_4&lt;&gt;"",CA$217/ER3_4,0)</f>
        <v>0</v>
      </c>
      <c r="CB241" s="81"/>
      <c r="CC241" s="2091">
        <f>IF(ER3_4&lt;&gt;"",CC$217/ER3_4,0)</f>
        <v>0</v>
      </c>
      <c r="CD241" s="81"/>
      <c r="CE241" s="23"/>
      <c r="CF241" s="81"/>
      <c r="CG241" s="83"/>
      <c r="CH241" s="25" t="s">
        <v>4228</v>
      </c>
      <c r="CI241" s="83"/>
      <c r="CJ241" s="2133" t="str">
        <f>IF(Conseq_Criteria="Hazard Distance",CJ240,IF(AND(Ease_of_Ignition_Feed&lt;&gt;"High",OR(CJ238&lt;N_Screening,AND(Location="Outdoors",CJ170&lt;HD_Screening_Limit))),"NA",IF(OR(AND(Location="Indoors",CJ238&lt;N_Low),AND(Location="Outdoors",CJ170&lt;HD_Severe_Impact)),Conseq_Low,IF(CJ238&lt;N_Moderate,Conseq_Moderate,IF(CJ238&lt;N_High,Conseq_High,IF(CJ238&lt;N_VeryHigh,Conseq_VeryHigh,Conseq_ExtremeHigh))))))</f>
        <v>NA</v>
      </c>
      <c r="CK241" s="83"/>
      <c r="CL241" s="104"/>
      <c r="CM241" s="83"/>
      <c r="CN241" s="7"/>
    </row>
    <row r="242" spans="1:109" s="26" customFormat="1" ht="15" customHeight="1" thickBot="1" x14ac:dyDescent="0.3">
      <c r="A242" s="2"/>
      <c r="B242" s="851" t="str">
        <f>IF(B21="","","Vapor Mole Fraction "&amp;B21&amp;" / ERPG-3")</f>
        <v/>
      </c>
      <c r="C242" s="83"/>
      <c r="D242" s="2098">
        <f>IF(ER3_5&lt;&gt;"",D$218/ER3_5,0)</f>
        <v>0</v>
      </c>
      <c r="E242" s="1679"/>
      <c r="F242" s="2098">
        <f>IF(ER3_5&lt;&gt;"",F$218/ER3_5,0)</f>
        <v>0</v>
      </c>
      <c r="G242" s="83"/>
      <c r="H242" s="2098">
        <f>IF(ER3_5&lt;&gt;"",H$218/ER3_5,0)</f>
        <v>0</v>
      </c>
      <c r="I242" s="83"/>
      <c r="J242" s="2098">
        <f>IF(ER3_5&lt;&gt;"",J$218/ER3_5,0)</f>
        <v>0</v>
      </c>
      <c r="K242" s="83"/>
      <c r="L242" s="2098">
        <f>IF(ER3_5&lt;&gt;"",L$218/ER3_5,0)</f>
        <v>0</v>
      </c>
      <c r="M242" s="83"/>
      <c r="N242" s="2098">
        <f>IF(ER3_5&lt;&gt;"",N$218/ER3_5,0)</f>
        <v>0</v>
      </c>
      <c r="O242" s="83"/>
      <c r="P242" s="2098">
        <f>IF(ER3_5&lt;&gt;"",P$218/ER3_5,0)</f>
        <v>0</v>
      </c>
      <c r="Q242" s="83"/>
      <c r="R242" s="2098">
        <f>IF(ER3_5&lt;&gt;"",R$218/ER3_5,0)</f>
        <v>0</v>
      </c>
      <c r="S242" s="83"/>
      <c r="T242" s="2098">
        <f>IF(ER3_5&lt;&gt;"",T$218/ER3_5,0)</f>
        <v>0</v>
      </c>
      <c r="U242" s="83"/>
      <c r="V242" s="2098">
        <f>IF(ER3_5&lt;&gt;"",V$218/ER3_5,0)</f>
        <v>0</v>
      </c>
      <c r="W242" s="83"/>
      <c r="X242" s="2098">
        <f>IF(ER3_5&lt;&gt;"",X$218/ER3_5,0)</f>
        <v>0</v>
      </c>
      <c r="Y242" s="83"/>
      <c r="Z242" s="85"/>
      <c r="AA242" s="83"/>
      <c r="AB242" s="81"/>
      <c r="AC242" s="846" t="str">
        <f>B229</f>
        <v/>
      </c>
      <c r="AD242" s="81"/>
      <c r="AE242" s="2091">
        <f>IF(AND(AE$230&gt;0,ER3_4&lt;&gt;""),AE$230/(ER3_4/AE$223^(1/Pn_4)),0)</f>
        <v>0</v>
      </c>
      <c r="AF242" s="81"/>
      <c r="AG242" s="2091">
        <f>IF(AND(AG$230&gt;0,ER3_4&lt;&gt;""),AG$230/(ER3_4/AG$223^(1/Pn_4)),0)</f>
        <v>0</v>
      </c>
      <c r="AH242" s="81"/>
      <c r="AI242" s="2091">
        <f>IF(AND(AI$230&gt;0,ER3_4&lt;&gt;""),AI$230/(ER3_4/AI$223^(1/Pn_4)),0)</f>
        <v>0</v>
      </c>
      <c r="AJ242" s="81"/>
      <c r="AK242" s="2091">
        <f>IF(AND(AK$230&gt;0,ER3_4&lt;&gt;""),AK$230/(ER3_4/AK$223^(1/Pn_4)),0)</f>
        <v>0</v>
      </c>
      <c r="AL242" s="81"/>
      <c r="AM242" s="2091">
        <f>IF(AND(AM$230&gt;0,ER3_4&lt;&gt;""),AM$230/(ER3_4/AM$223^(1/Pn_4)),0)</f>
        <v>0</v>
      </c>
      <c r="AN242" s="81"/>
      <c r="AO242" s="2091">
        <f>IF(AND(AO$230&gt;0,ER3HT_4&lt;&gt;""),AO$230/(ER3HT_4/AO$223^(1/PnHT_4)),0)</f>
        <v>0</v>
      </c>
      <c r="AP242" s="81"/>
      <c r="AQ242" s="23"/>
      <c r="AR242" s="81"/>
      <c r="AS242" s="83"/>
      <c r="AT242" s="512" t="str">
        <f>B245</f>
        <v/>
      </c>
      <c r="AU242" s="83"/>
      <c r="AV242" s="2091">
        <f>IF(AND(AV$212&gt;0,LFL_2&lt;&gt;""),AV$212/LFL_2,0)</f>
        <v>0</v>
      </c>
      <c r="AW242" s="83"/>
      <c r="AX242" s="2091">
        <f>IF(AND(AX$212&gt;0,LFL_2&lt;&gt;""),AX$212/LFL_2,0)</f>
        <v>0</v>
      </c>
      <c r="AY242" s="83"/>
      <c r="AZ242" s="2091">
        <f>IF(AND(AZ$212&gt;0,LFL_2&lt;&gt;""),AZ$212/LFL_2,0)</f>
        <v>0</v>
      </c>
      <c r="BA242" s="83"/>
      <c r="BB242" s="2091">
        <f>IF(AND(BB$212&gt;0,LFL_2&lt;&gt;""),BB$212/LFL_2,0)</f>
        <v>0</v>
      </c>
      <c r="BC242" s="83"/>
      <c r="BD242" s="2091">
        <f>IF(AND(BD$212&gt;0,LFL_2&lt;&gt;""),BD$212/LFL_2,0)</f>
        <v>0</v>
      </c>
      <c r="BE242" s="83"/>
      <c r="BF242" s="2091">
        <f>IF(AND(BF$212&gt;0,LFL_2&lt;&gt;""),BF$212/LFL_2,0)</f>
        <v>0</v>
      </c>
      <c r="BG242" s="83"/>
      <c r="BH242" s="2091">
        <f>IF(AND(BH$212&gt;0,LFL_2&lt;&gt;""),BH$212/LFL_2,0)</f>
        <v>0</v>
      </c>
      <c r="BI242" s="83"/>
      <c r="BJ242" s="2091">
        <f>IF(AND(BJ$212&gt;0,LFL_2&lt;&gt;""),BJ$212/LFL_2,0)</f>
        <v>0</v>
      </c>
      <c r="BK242" s="83"/>
      <c r="BL242" s="2091">
        <f>IF(AND(BL$212&gt;0,LFL_2&lt;&gt;""),BL$212/LFL_2,0)</f>
        <v>0</v>
      </c>
      <c r="BM242" s="83"/>
      <c r="BN242" s="2091">
        <f>IF(AND(BN$212&gt;0,LFL_2&lt;&gt;""),BN$212/LFL_2,0)</f>
        <v>0</v>
      </c>
      <c r="BO242" s="83"/>
      <c r="BP242" s="1835"/>
      <c r="BQ242" s="83"/>
      <c r="BR242" s="81"/>
      <c r="BS242" s="851" t="str">
        <f>B242</f>
        <v/>
      </c>
      <c r="BT242" s="81"/>
      <c r="BU242" s="2091">
        <f>IF(ER3_5&lt;&gt;"",BU$218/ER3_5,0)</f>
        <v>0</v>
      </c>
      <c r="BV242" s="81"/>
      <c r="BW242" s="2091">
        <f>IF(ER3_5&lt;&gt;"",BW$218/ER3_5,0)</f>
        <v>0</v>
      </c>
      <c r="BX242" s="81"/>
      <c r="BY242" s="2091">
        <f>IF(ER3_5&lt;&gt;"",BY$218/ER3_5,0)</f>
        <v>0</v>
      </c>
      <c r="BZ242" s="81"/>
      <c r="CA242" s="2091">
        <f>IF(ER3_5&lt;&gt;"",CA$218/ER3_5,0)</f>
        <v>0</v>
      </c>
      <c r="CB242" s="81"/>
      <c r="CC242" s="2091">
        <f>IF(ER3_5&lt;&gt;"",CC$218/ER3_5,0)</f>
        <v>0</v>
      </c>
      <c r="CD242" s="81"/>
      <c r="CE242" s="23"/>
      <c r="CF242" s="81"/>
      <c r="CG242" s="83"/>
      <c r="CH242" s="23" t="s">
        <v>3665</v>
      </c>
      <c r="CI242" s="83"/>
      <c r="CJ242" s="97">
        <f>IF(OR(CJ166=0,CJ168&lt;&gt;"Yes"),0,EXP(-Bldg_Type_Coefficient*(Bldg_Type_Correction/CJ166)^Bldg_Type_Exponent))</f>
        <v>0</v>
      </c>
      <c r="CK242" s="83"/>
      <c r="CL242" s="23"/>
      <c r="CM242" s="83"/>
      <c r="CN242" s="7"/>
    </row>
    <row r="243" spans="1:109" s="26" customFormat="1" ht="15" customHeight="1" thickBot="1" x14ac:dyDescent="0.3">
      <c r="A243" s="2"/>
      <c r="B243" s="2586" t="s">
        <v>3673</v>
      </c>
      <c r="C243" s="83"/>
      <c r="D243" s="2101" t="str">
        <f>IF(SUM(D238:D242)&gt;0,IF(1/SUM(D238:D242)&lt;1000000,1/SUM(D238:D242),1000000),"")</f>
        <v/>
      </c>
      <c r="E243" s="1679"/>
      <c r="F243" s="2101" t="str">
        <f>IF(SUM(F238:F242)&gt;0,IF(1/SUM(F238:F242)&lt;1000000,1/SUM(F238:F242),1000000),"")</f>
        <v/>
      </c>
      <c r="G243" s="83"/>
      <c r="H243" s="2101" t="str">
        <f>IF(SUM(H238:H242)&gt;0,IF(1/SUM(H238:H242)&lt;1000000,1/SUM(H238:H242),1000000),"")</f>
        <v/>
      </c>
      <c r="I243" s="83"/>
      <c r="J243" s="2101" t="str">
        <f>IF(SUM(J238:J242)&gt;0,IF(1/SUM(J238:J242)&lt;1000000,1/SUM(J238:J242),1000000),"")</f>
        <v/>
      </c>
      <c r="K243" s="83"/>
      <c r="L243" s="2101" t="str">
        <f>IF(SUM(L238:L242)&gt;0,IF(1/SUM(L238:L242)&lt;1000000,1/SUM(L238:L242),1000000),"")</f>
        <v/>
      </c>
      <c r="M243" s="83"/>
      <c r="N243" s="2101" t="str">
        <f>IF(SUM(N238:N242)&gt;0,IF(1/SUM(N238:N242)&lt;1000000,1/SUM(N238:N242),1000000),"")</f>
        <v/>
      </c>
      <c r="O243" s="83"/>
      <c r="P243" s="2101" t="str">
        <f>IF(SUM(P238:P242)&gt;0,IF(1/SUM(P238:P242)&lt;1000000,1/SUM(P238:P242),1000000),"")</f>
        <v/>
      </c>
      <c r="Q243" s="83"/>
      <c r="R243" s="2101" t="str">
        <f>IF(SUM(R238:R242)&gt;0,IF(1/SUM(R238:R242)&lt;1000000,1/SUM(R238:R242),1000000),"")</f>
        <v/>
      </c>
      <c r="S243" s="83"/>
      <c r="T243" s="2101" t="str">
        <f>IF(SUM(T238:T242)&gt;0,IF(1/SUM(T238:T242)&lt;1000000,1/SUM(T238:T242),1000000),"")</f>
        <v/>
      </c>
      <c r="U243" s="83"/>
      <c r="V243" s="2101" t="str">
        <f>IF(SUM(V238:V242)&gt;0,IF(1/SUM(V238:V242)&lt;1000000,1/SUM(V238:V242),1000000),"")</f>
        <v/>
      </c>
      <c r="W243" s="83"/>
      <c r="X243" s="2101" t="str">
        <f>IF(SUM(X238:X242)&gt;0,IF(1/SUM(X238:X242)&lt;1000000,1/SUM(X238:X242),1000000),"")</f>
        <v/>
      </c>
      <c r="Y243" s="83"/>
      <c r="Z243" s="85" t="s">
        <v>1506</v>
      </c>
      <c r="AA243" s="83"/>
      <c r="AB243" s="81"/>
      <c r="AC243" s="846" t="str">
        <f>B230</f>
        <v/>
      </c>
      <c r="AD243" s="81"/>
      <c r="AE243" s="2091">
        <f>IF(AND(AE$231&gt;0,ER3_5&lt;&gt;""),AE$231/(ER3_5/AE$223^(1/Pn_5)),0)</f>
        <v>0</v>
      </c>
      <c r="AF243" s="81"/>
      <c r="AG243" s="2091">
        <f>IF(AND(AG$231&gt;0,ER3_5&lt;&gt;""),AG$231/(ER3_5/AG$223^(1/Pn_5)),0)</f>
        <v>0</v>
      </c>
      <c r="AH243" s="81"/>
      <c r="AI243" s="2091">
        <f>IF(AND(AI$231&gt;0,ER3_5&lt;&gt;""),AI$231/(ER3_5/AI$223^(1/Pn_5)),0)</f>
        <v>0</v>
      </c>
      <c r="AJ243" s="81"/>
      <c r="AK243" s="2091">
        <f>IF(AND(AK$231&gt;0,ER3_5&lt;&gt;""),AK$231/(ER3_5/AK$223^(1/Pn_5)),0)</f>
        <v>0</v>
      </c>
      <c r="AL243" s="81"/>
      <c r="AM243" s="2091">
        <f>IF(AND(AM$231&gt;0,ER3_5&lt;&gt;""),AM$231/(ER3_5/AM$223^(1/Pn_5)),0)</f>
        <v>0</v>
      </c>
      <c r="AN243" s="81"/>
      <c r="AO243" s="2091">
        <f>IF(AND(AO$231&gt;0,ER3HT_5&lt;&gt;""),AO$231/(ER3HT_5/AO$223^(1/PnHT_5)),0)</f>
        <v>0</v>
      </c>
      <c r="AP243" s="81"/>
      <c r="AQ243" s="23"/>
      <c r="AR243" s="81"/>
      <c r="AS243" s="83"/>
      <c r="AT243" s="512" t="str">
        <f>B246</f>
        <v/>
      </c>
      <c r="AU243" s="83"/>
      <c r="AV243" s="2091">
        <f>IF(AND(AV$213&gt;0,LFL_3&lt;&gt;""),AV$213/LFL_3,0)</f>
        <v>0</v>
      </c>
      <c r="AW243" s="83"/>
      <c r="AX243" s="2091">
        <f>IF(AND(AX$213&gt;0,LFL_3&lt;&gt;""),AX$213/LFL_3,0)</f>
        <v>0</v>
      </c>
      <c r="AY243" s="83"/>
      <c r="AZ243" s="2091">
        <f>IF(AND(AZ$213&gt;0,LFL_3&lt;&gt;""),AZ$213/LFL_3,0)</f>
        <v>0</v>
      </c>
      <c r="BA243" s="83"/>
      <c r="BB243" s="2091">
        <f>IF(AND(BB$213&gt;0,LFL_3&lt;&gt;""),BB$213/LFL_3,0)</f>
        <v>0</v>
      </c>
      <c r="BC243" s="83"/>
      <c r="BD243" s="2091">
        <f>IF(AND(BD$213&gt;0,LFL_3&lt;&gt;""),BD$213/LFL_3,0)</f>
        <v>0</v>
      </c>
      <c r="BE243" s="83"/>
      <c r="BF243" s="2091">
        <f>IF(AND(BF$213&gt;0,LFL_3&lt;&gt;""),BF$213/LFL_3,0)</f>
        <v>0</v>
      </c>
      <c r="BG243" s="83"/>
      <c r="BH243" s="2091">
        <f>IF(AND(BH$213&gt;0,LFL_3&lt;&gt;""),BH$213/LFL_3,0)</f>
        <v>0</v>
      </c>
      <c r="BI243" s="83"/>
      <c r="BJ243" s="2091">
        <f>IF(AND(BJ$213&gt;0,LFL_3&lt;&gt;""),BJ$213/LFL_3,0)</f>
        <v>0</v>
      </c>
      <c r="BK243" s="83"/>
      <c r="BL243" s="2091">
        <f>IF(AND(BL$213&gt;0,LFL_3&lt;&gt;""),BL$213/LFL_3,0)</f>
        <v>0</v>
      </c>
      <c r="BM243" s="83"/>
      <c r="BN243" s="2091">
        <f>IF(AND(BN$213&gt;0,LFL_3&lt;&gt;""),BN$213/LFL_3,0)</f>
        <v>0</v>
      </c>
      <c r="BO243" s="83"/>
      <c r="BP243" s="1835"/>
      <c r="BQ243" s="83"/>
      <c r="BR243" s="81"/>
      <c r="BS243" s="1038" t="s">
        <v>3673</v>
      </c>
      <c r="BT243" s="81"/>
      <c r="BU243" s="2101" t="str">
        <f>IF(SUM(BU238:BU242)&gt;0,IF(1/SUM(BU238:BU242)&lt;1000000,1/SUM(BU238:BU242),1000000),"")</f>
        <v/>
      </c>
      <c r="BV243" s="81"/>
      <c r="BW243" s="2101" t="str">
        <f>IF(SUM(BW238:BW242)&gt;0,IF(1/SUM(BW238:BW242)&lt;1000000,1/SUM(BW238:BW242),1000000),"")</f>
        <v/>
      </c>
      <c r="BX243" s="81"/>
      <c r="BY243" s="2101" t="str">
        <f>IF(SUM(BY238:BY242)&gt;0,IF(1/SUM(BY238:BY242)&lt;1000000,1/SUM(BY238:BY242),1000000),"")</f>
        <v/>
      </c>
      <c r="BZ243" s="81"/>
      <c r="CA243" s="2101" t="str">
        <f>IF(SUM(CA238:CA242)&gt;0,IF(1/SUM(CA238:CA242)&lt;1000000,1/SUM(CA238:CA242),1000000),"")</f>
        <v/>
      </c>
      <c r="CB243" s="81"/>
      <c r="CC243" s="2101" t="str">
        <f>IF(SUM(CC238:CC242)&gt;0,IF(1/SUM(CC238:CC242)&lt;1000000,1/SUM(CC238:CC242),1000000),"")</f>
        <v/>
      </c>
      <c r="CD243" s="81"/>
      <c r="CE243" s="25" t="s">
        <v>1506</v>
      </c>
      <c r="CF243" s="81"/>
      <c r="CG243" s="83"/>
      <c r="CH243" s="23" t="s">
        <v>630</v>
      </c>
      <c r="CI243" s="83"/>
      <c r="CJ243" s="97">
        <f>IF(OR(CJ167=0,CJ168&lt;&gt;"Yes"),0,EXP(-Bldg_Type_Coefficient*(Bldg_Type_Correction/CJ167)^Bldg2_Type_Exponent))</f>
        <v>0</v>
      </c>
      <c r="CK243" s="83"/>
      <c r="CL243" s="23"/>
      <c r="CM243" s="83"/>
      <c r="CN243" s="7"/>
    </row>
    <row r="244" spans="1:109" s="26" customFormat="1" ht="15" customHeight="1" x14ac:dyDescent="0.25">
      <c r="A244" s="2"/>
      <c r="B244" s="846" t="str">
        <f>IF(B17="","","Vapor Mole Fraction "&amp;B17&amp;" / LFL")</f>
        <v/>
      </c>
      <c r="C244" s="83"/>
      <c r="D244" s="2097">
        <f>IF(AND(D$214&gt;0,LFL_1&lt;&gt;""),D$214/LFL_1,0)</f>
        <v>0</v>
      </c>
      <c r="E244" s="83"/>
      <c r="F244" s="2097">
        <f>IF(AND(F$214&gt;0,LFL_1&lt;&gt;""),F$214/LFL_1,0)</f>
        <v>0</v>
      </c>
      <c r="G244" s="83"/>
      <c r="H244" s="2097">
        <f>IF(AND(H$214&gt;0,LFL_1&lt;&gt;""),H$214/LFL_1,0)</f>
        <v>0</v>
      </c>
      <c r="I244" s="83"/>
      <c r="J244" s="2097">
        <f>IF(AND(J$214&gt;0,LFL_1&lt;&gt;""),J$214/LFL_1,0)</f>
        <v>0</v>
      </c>
      <c r="K244" s="83"/>
      <c r="L244" s="2097">
        <f>IF(AND(L$214&gt;0,LFL_1&lt;&gt;""),L$214/LFL_1,0)</f>
        <v>0</v>
      </c>
      <c r="M244" s="83"/>
      <c r="N244" s="2097">
        <f>IF(AND(N$214&gt;0,LFL_1&lt;&gt;""),N$214/LFL_1,0)</f>
        <v>0</v>
      </c>
      <c r="O244" s="83"/>
      <c r="P244" s="2097">
        <f>IF(AND(P$214&gt;0,LFL_1&lt;&gt;""),P$214/LFL_1,0)</f>
        <v>0</v>
      </c>
      <c r="Q244" s="83"/>
      <c r="R244" s="2097">
        <f>IF(AND(R$214&gt;0,LFL_1&lt;&gt;""),R$214/LFL_1,0)</f>
        <v>0</v>
      </c>
      <c r="S244" s="83"/>
      <c r="T244" s="2097">
        <f>IF(AND(T$214&gt;0,LFL_1&lt;&gt;""),T$214/LFL_1,0)</f>
        <v>0</v>
      </c>
      <c r="U244" s="83"/>
      <c r="V244" s="2097">
        <f>IF(AND(V$214&gt;0,LFL_1&lt;&gt;""),V$214/LFL_1,0)</f>
        <v>0</v>
      </c>
      <c r="W244" s="83"/>
      <c r="X244" s="2097">
        <f>IF(AND(X$214&gt;0,LFL_1&lt;&gt;""),X$214/LFL_1,0)</f>
        <v>0</v>
      </c>
      <c r="Y244" s="83"/>
      <c r="Z244" s="23"/>
      <c r="AA244" s="83"/>
      <c r="AB244" s="81"/>
      <c r="AC244" s="3028" t="s">
        <v>2210</v>
      </c>
      <c r="AD244" s="81"/>
      <c r="AE244" s="2101" t="str">
        <f>IF(AND(AE$223&gt;0,SUM(AE239:AE243)&gt;0),IF(1/SUM(AE239:AE243)&lt;1000000,1/SUM(AE239:AE243),1000000),"")</f>
        <v/>
      </c>
      <c r="AF244" s="81"/>
      <c r="AG244" s="2101" t="str">
        <f>IF(AND(AG$223&gt;0,SUM(AG239:AG243)&gt;0),IF(1/SUM(AG239:AG243)&lt;1000000,1/SUM(AG239:AG243),1000000),"")</f>
        <v/>
      </c>
      <c r="AH244" s="81"/>
      <c r="AI244" s="2101" t="str">
        <f>IF(AND(AI$223&gt;0,SUM(AI239:AI243)&gt;0),IF(1/SUM(AI239:AI243)&lt;1000000,1/SUM(AI239:AI243),1000000),"")</f>
        <v/>
      </c>
      <c r="AJ244" s="81"/>
      <c r="AK244" s="2101" t="str">
        <f>IF(AND(AK$223&gt;0,SUM(AK239:AK243)&gt;0),IF(1/SUM(AK239:AK243)&lt;1000000,1/SUM(AK239:AK243),1000000),"")</f>
        <v/>
      </c>
      <c r="AL244" s="81"/>
      <c r="AM244" s="2101" t="str">
        <f>IF(AND(AM$223&gt;0,SUM(AM239:AM243)&gt;0),IF(1/SUM(AM239:AM243)&lt;1000000,1/SUM(AM239:AM243),1000000),"")</f>
        <v/>
      </c>
      <c r="AN244" s="81"/>
      <c r="AO244" s="2101" t="str">
        <f>IF(AND(AO$223&gt;0,SUM(AO239:AO243)&gt;0),IF(1/SUM(AO239:AO243)&lt;1000000,1/SUM(AO239:AO243),1000000),"")</f>
        <v/>
      </c>
      <c r="AP244" s="81"/>
      <c r="AQ244" s="85" t="s">
        <v>1506</v>
      </c>
      <c r="AR244" s="81"/>
      <c r="AS244" s="83"/>
      <c r="AT244" s="512" t="str">
        <f>B247</f>
        <v/>
      </c>
      <c r="AU244" s="83"/>
      <c r="AV244" s="2091">
        <f>IF(AND(AV$214&gt;0,LFL_4&lt;&gt;""),AV$214/LFL_4,0)</f>
        <v>0</v>
      </c>
      <c r="AW244" s="83"/>
      <c r="AX244" s="2091">
        <f>IF(AND(AX$214&gt;0,LFL_4&lt;&gt;""),AX$214/LFL_4,0)</f>
        <v>0</v>
      </c>
      <c r="AY244" s="83"/>
      <c r="AZ244" s="2091">
        <f>IF(AND(AZ$214&gt;0,LFL_4&lt;&gt;""),AZ$214/LFL_4,0)</f>
        <v>0</v>
      </c>
      <c r="BA244" s="83"/>
      <c r="BB244" s="2091">
        <f>IF(AND(BB$214&gt;0,LFL_4&lt;&gt;""),BB$214/LFL_4,0)</f>
        <v>0</v>
      </c>
      <c r="BC244" s="83"/>
      <c r="BD244" s="2091">
        <f>IF(AND(BD$214&gt;0,LFL_4&lt;&gt;""),BD$214/LFL_4,0)</f>
        <v>0</v>
      </c>
      <c r="BE244" s="83"/>
      <c r="BF244" s="2091">
        <f>IF(AND(BF$214&gt;0,LFL_4&lt;&gt;""),BF$214/LFL_4,0)</f>
        <v>0</v>
      </c>
      <c r="BG244" s="83"/>
      <c r="BH244" s="2091">
        <f>IF(AND(BH$214&gt;0,LFL_4&lt;&gt;""),BH$214/LFL_4,0)</f>
        <v>0</v>
      </c>
      <c r="BI244" s="83"/>
      <c r="BJ244" s="2091">
        <f>IF(AND(BJ$214&gt;0,LFL_4&lt;&gt;""),BJ$214/LFL_4,0)</f>
        <v>0</v>
      </c>
      <c r="BK244" s="83"/>
      <c r="BL244" s="2091">
        <f>IF(AND(BL$214&gt;0,LFL_4&lt;&gt;""),BL$214/LFL_4,0)</f>
        <v>0</v>
      </c>
      <c r="BM244" s="83"/>
      <c r="BN244" s="2091">
        <f>IF(AND(BN$214&gt;0,LFL_4&lt;&gt;""),BN$214/LFL_4,0)</f>
        <v>0</v>
      </c>
      <c r="BO244" s="83"/>
      <c r="BP244" s="1835"/>
      <c r="BQ244" s="83"/>
      <c r="BR244" s="81"/>
      <c r="BS244" s="845" t="str">
        <f>B244</f>
        <v/>
      </c>
      <c r="BT244" s="81"/>
      <c r="BU244" s="1181">
        <f>IF(AND(BU$214&gt;0,LFL_1&lt;&gt;""),BU$214/LFL_1,0)</f>
        <v>0</v>
      </c>
      <c r="BV244" s="81"/>
      <c r="BW244" s="1181">
        <f>IF(AND(BW$214&gt;0,LFL_1&lt;&gt;""),BW$214/LFL_1,0)</f>
        <v>0</v>
      </c>
      <c r="BX244" s="81"/>
      <c r="BY244" s="1181">
        <f>IF(AND(BY$214&gt;0,LFL_1&lt;&gt;""),BY$214/LFL_1,0)</f>
        <v>0</v>
      </c>
      <c r="BZ244" s="81"/>
      <c r="CA244" s="1181">
        <f>IF(AND(CA$214&gt;0,LFL_1&lt;&gt;""),CA$214/LFL_1,0)</f>
        <v>0</v>
      </c>
      <c r="CB244" s="81"/>
      <c r="CC244" s="1181">
        <f>IF(AND(CC$214&gt;0,LFL_1&lt;&gt;""),CC$214/LFL_1,0)</f>
        <v>0</v>
      </c>
      <c r="CD244" s="81"/>
      <c r="CE244" s="84"/>
      <c r="CF244" s="81"/>
      <c r="CG244" s="83"/>
      <c r="CH244" s="3223" t="s">
        <v>5215</v>
      </c>
      <c r="CI244" s="83"/>
      <c r="CJ244" s="3169">
        <f>IF(CJ165="No",0,3.14*Offsite_Area_Bldg_Factor*IF(Offsite_PD1="",Offsite_PD/1000000,Offsite_PD1)*CJ164^2*(EXP(-Offsite_Bldg_a*Zone_1^2/CJ164^2)-EXP(-Offsite_Bldg_a*Public^2/CJ164^2))/(-Offsite_Bldg_a))</f>
        <v>0</v>
      </c>
      <c r="CK244" s="83"/>
      <c r="CL244" s="23"/>
      <c r="CM244" s="83"/>
      <c r="CN244" s="7"/>
    </row>
    <row r="245" spans="1:109" s="26" customFormat="1" ht="15" customHeight="1" thickBot="1" x14ac:dyDescent="0.3">
      <c r="A245" s="2"/>
      <c r="B245" s="846" t="str">
        <f>IF(B18="","","Vapor Mole Fraction "&amp;B18&amp;" / LFL")</f>
        <v/>
      </c>
      <c r="C245" s="83"/>
      <c r="D245" s="1181">
        <f>IF(AND(D$215&gt;0,LFL_2&lt;&gt;""),D$215/LFL_2,0)</f>
        <v>0</v>
      </c>
      <c r="E245" s="83"/>
      <c r="F245" s="1181">
        <f>IF(AND(F$215&gt;0,LFL_2&lt;&gt;""),F$215/LFL_2,0)</f>
        <v>0</v>
      </c>
      <c r="G245" s="83"/>
      <c r="H245" s="1181">
        <f>IF(AND(H$215&gt;0,LFL_2&lt;&gt;""),H$215/LFL_2,0)</f>
        <v>0</v>
      </c>
      <c r="I245" s="83"/>
      <c r="J245" s="1181">
        <f>IF(AND(J$215&gt;0,LFL_2&lt;&gt;""),J$215/LFL_2,0)</f>
        <v>0</v>
      </c>
      <c r="K245" s="83"/>
      <c r="L245" s="1181">
        <f>IF(AND(L$215&gt;0,LFL_2&lt;&gt;""),L$215/LFL_2,0)</f>
        <v>0</v>
      </c>
      <c r="M245" s="83"/>
      <c r="N245" s="1181">
        <f>IF(AND(N$215&gt;0,LFL_2&lt;&gt;""),N$215/LFL_2,0)</f>
        <v>0</v>
      </c>
      <c r="O245" s="83"/>
      <c r="P245" s="1181">
        <f>IF(AND(P$215&gt;0,LFL_2&lt;&gt;""),P$215/LFL_2,0)</f>
        <v>0</v>
      </c>
      <c r="Q245" s="83"/>
      <c r="R245" s="1181">
        <f>IF(AND(R$215&gt;0,LFL_2&lt;&gt;""),R$215/LFL_2,0)</f>
        <v>0</v>
      </c>
      <c r="S245" s="83"/>
      <c r="T245" s="1181">
        <f>IF(AND(T$215&gt;0,LFL_2&lt;&gt;""),T$215/LFL_2,0)</f>
        <v>0</v>
      </c>
      <c r="U245" s="83"/>
      <c r="V245" s="1181">
        <f>IF(AND(V$215&gt;0,LFL_2&lt;&gt;""),V$215/LFL_2,0)</f>
        <v>0</v>
      </c>
      <c r="W245" s="83"/>
      <c r="X245" s="1181">
        <f>IF(AND(X$215&gt;0,LFL_2&lt;&gt;""),X$215/LFL_2,0)</f>
        <v>0</v>
      </c>
      <c r="Y245" s="83"/>
      <c r="Z245" s="23"/>
      <c r="AA245" s="83"/>
      <c r="AB245" s="81"/>
      <c r="AC245" s="23" t="str">
        <f>B232</f>
        <v/>
      </c>
      <c r="AD245" s="81"/>
      <c r="AE245" s="2097">
        <f>IF(AND(AE$227&gt;0,LC50_1&lt;&gt;0),AE$227/(LC50_1/IF(AE$223&lt;OnSite_Limit/60,AE$223,OnSite_Limit/60)^(1/Pn_1)),0)</f>
        <v>0</v>
      </c>
      <c r="AF245" s="81"/>
      <c r="AG245" s="2097">
        <f>IF(AND(AG$227&gt;0,LC50_1&lt;&gt;0),AG$227/(LC50_1/IF(AG$223&lt;OnSite_Limit/60,AG$223,OnSite_Limit/60)^(1/Pn_1)),0)</f>
        <v>0</v>
      </c>
      <c r="AH245" s="81"/>
      <c r="AI245" s="2097">
        <f>IF(AND(AI$227&gt;0,LC50_1&lt;&gt;0),AI$227/(LC50_1/IF(AI$223&lt;OnSite_Limit/60,AI$223,OnSite_Limit/60)^(1/Pn_1)),0)</f>
        <v>0</v>
      </c>
      <c r="AJ245" s="81"/>
      <c r="AK245" s="2097">
        <f>IF(AND(AK$227&gt;0,LC50_1&lt;&gt;0),AK$227/(LC50_1/IF(AK$223&lt;OnSite_Limit/60,AK$223,OnSite_Limit/60)^(1/Pn_1)),0)</f>
        <v>0</v>
      </c>
      <c r="AL245" s="81"/>
      <c r="AM245" s="2097">
        <f>IF(AND(AM$227&gt;0,LC50_1&lt;&gt;0),AM$227/(LC50_1/IF(AM$223&lt;OnSite_Limit/60,AM$223,OnSite_Limit/60)^(1/Pn_1)),0)</f>
        <v>0</v>
      </c>
      <c r="AN245" s="81"/>
      <c r="AO245" s="2097">
        <f>IF(AND(AO$227&gt;0,LC50HT_1&lt;&gt;0),AO$227/(LC50HT_1/IF(AO$223&lt;OnSite_Limit/60,AO$223,OnSite_Limit/60)^(1/PnHT_1)),0)</f>
        <v>0</v>
      </c>
      <c r="AP245" s="81"/>
      <c r="AQ245" s="85"/>
      <c r="AR245" s="81"/>
      <c r="AS245" s="83"/>
      <c r="AT245" s="512" t="str">
        <f>B248</f>
        <v/>
      </c>
      <c r="AU245" s="83"/>
      <c r="AV245" s="2091">
        <f>IF(AND(AV$215&gt;0,LFL_5&lt;&gt;""),AV$215/LFL_5,0)</f>
        <v>0</v>
      </c>
      <c r="AW245" s="83"/>
      <c r="AX245" s="2091">
        <f>IF(AND(AX$215&gt;0,LFL_5&lt;&gt;""),AX$215/LFL_5,0)</f>
        <v>0</v>
      </c>
      <c r="AY245" s="83"/>
      <c r="AZ245" s="2091">
        <f>IF(AND(AZ$215&gt;0,LFL_5&lt;&gt;""),AZ$215/LFL_5,0)</f>
        <v>0</v>
      </c>
      <c r="BA245" s="83"/>
      <c r="BB245" s="2091">
        <f>IF(AND(BB$215&gt;0,LFL_5&lt;&gt;""),BB$215/LFL_5,0)</f>
        <v>0</v>
      </c>
      <c r="BC245" s="83"/>
      <c r="BD245" s="2091">
        <f>IF(AND(BD$215&gt;0,LFL_5&lt;&gt;""),BD$215/LFL_5,0)</f>
        <v>0</v>
      </c>
      <c r="BE245" s="83"/>
      <c r="BF245" s="2091">
        <f>IF(AND(BF$215&gt;0,LFL_5&lt;&gt;""),BF$215/LFL_5,0)</f>
        <v>0</v>
      </c>
      <c r="BG245" s="83"/>
      <c r="BH245" s="2091">
        <f>IF(AND(BH$215&gt;0,LFL_5&lt;&gt;""),BH$215/LFL_5,0)</f>
        <v>0</v>
      </c>
      <c r="BI245" s="83"/>
      <c r="BJ245" s="2091">
        <f>IF(AND(BJ$215&gt;0,LFL_5&lt;&gt;""),BJ$215/LFL_5,0)</f>
        <v>0</v>
      </c>
      <c r="BK245" s="83"/>
      <c r="BL245" s="2091">
        <f>IF(AND(BL$215&gt;0,LFL_5&lt;&gt;""),BL$215/LFL_5,0)</f>
        <v>0</v>
      </c>
      <c r="BM245" s="83"/>
      <c r="BN245" s="2091">
        <f>IF(AND(BN$215&gt;0,LFL_5&lt;&gt;""),BN$215/LFL_5,0)</f>
        <v>0</v>
      </c>
      <c r="BO245" s="83"/>
      <c r="BP245" s="1835"/>
      <c r="BQ245" s="83"/>
      <c r="BR245" s="81"/>
      <c r="BS245" s="846" t="str">
        <f>B245</f>
        <v/>
      </c>
      <c r="BT245" s="81"/>
      <c r="BU245" s="1181">
        <f>IF(AND(BU$215&gt;0,LFL_2&lt;&gt;""),BU$215/LFL_2,0)</f>
        <v>0</v>
      </c>
      <c r="BV245" s="81"/>
      <c r="BW245" s="1181">
        <f>IF(AND(BW$215&gt;0,LFL_2&lt;&gt;""),BW$215/LFL_2,0)</f>
        <v>0</v>
      </c>
      <c r="BX245" s="81"/>
      <c r="BY245" s="1181">
        <f>IF(AND(BY$215&gt;0,LFL_2&lt;&gt;""),BY$215/LFL_2,0)</f>
        <v>0</v>
      </c>
      <c r="BZ245" s="81"/>
      <c r="CA245" s="1181">
        <f>IF(AND(CA$215&gt;0,LFL_2&lt;&gt;""),CA$215/LFL_2,0)</f>
        <v>0</v>
      </c>
      <c r="CB245" s="81"/>
      <c r="CC245" s="1181">
        <f>IF(AND(CC$215&gt;0,LFL_2&lt;&gt;""),CC$215/LFL_2,0)</f>
        <v>0</v>
      </c>
      <c r="CD245" s="81"/>
      <c r="CE245" s="23"/>
      <c r="CF245" s="81"/>
      <c r="CG245" s="83"/>
      <c r="CH245" s="3223" t="s">
        <v>5216</v>
      </c>
      <c r="CI245" s="83"/>
      <c r="CJ245" s="3169">
        <f>IF(CJ165="No",0,3.14*Offsite_Area_Bldg_Factor*IF(Offsite_PD2="",Offsite_PD/1000000,Offsite_PD2)*CJ164^2*(0-EXP(-Offsite_Bldg_a*Zone_1^2/CJ164^2))/(-Offsite_Bldg_a))</f>
        <v>0</v>
      </c>
      <c r="CK245" s="83"/>
      <c r="CL245" s="23"/>
      <c r="CM245" s="83"/>
      <c r="CN245" s="7"/>
    </row>
    <row r="246" spans="1:109" s="26" customFormat="1" ht="15" customHeight="1" thickBot="1" x14ac:dyDescent="0.3">
      <c r="A246" s="2"/>
      <c r="B246" s="846" t="str">
        <f>IF(B19="","","Vapor Mole Fraction "&amp;B19&amp;" / LFL")</f>
        <v/>
      </c>
      <c r="C246" s="83"/>
      <c r="D246" s="1181">
        <f>IF(AND(D$216&gt;0,LFL_3&lt;&gt;""),D$216/LFL_3,0)</f>
        <v>0</v>
      </c>
      <c r="E246" s="83"/>
      <c r="F246" s="1181">
        <f>IF(AND(F$216&gt;0,LFL_3&lt;&gt;""),F$216/LFL_3,0)</f>
        <v>0</v>
      </c>
      <c r="G246" s="83"/>
      <c r="H246" s="1181">
        <f>IF(AND(H$216&gt;0,LFL_3&lt;&gt;""),H$216/LFL_3,0)</f>
        <v>0</v>
      </c>
      <c r="I246" s="83"/>
      <c r="J246" s="1181">
        <f>IF(AND(J$216&gt;0,LFL_3&lt;&gt;""),J$216/LFL_3,0)</f>
        <v>0</v>
      </c>
      <c r="K246" s="83"/>
      <c r="L246" s="1181">
        <f>IF(AND(L$216&gt;0,LFL_3&lt;&gt;""),L$216/LFL_3,0)</f>
        <v>0</v>
      </c>
      <c r="M246" s="83"/>
      <c r="N246" s="1181">
        <f>IF(AND(N$216&gt;0,LFL_3&lt;&gt;""),N$216/LFL_3,0)</f>
        <v>0</v>
      </c>
      <c r="O246" s="83"/>
      <c r="P246" s="1181">
        <f>IF(AND(P$216&gt;0,LFL_3&lt;&gt;""),P$216/LFL_3,0)</f>
        <v>0</v>
      </c>
      <c r="Q246" s="83"/>
      <c r="R246" s="1181">
        <f>IF(AND(R$216&gt;0,LFL_3&lt;&gt;""),R$216/LFL_3,0)</f>
        <v>0</v>
      </c>
      <c r="S246" s="83"/>
      <c r="T246" s="1181">
        <f>IF(AND(T$216&gt;0,LFL_3&lt;&gt;""),T$216/LFL_3,0)</f>
        <v>0</v>
      </c>
      <c r="U246" s="83"/>
      <c r="V246" s="1181">
        <f>IF(AND(V$216&gt;0,LFL_3&lt;&gt;""),V$216/LFL_3,0)</f>
        <v>0</v>
      </c>
      <c r="W246" s="83"/>
      <c r="X246" s="1181">
        <f>IF(AND(X$216&gt;0,LFL_3&lt;&gt;""),X$216/LFL_3,0)</f>
        <v>0</v>
      </c>
      <c r="Y246" s="83"/>
      <c r="Z246" s="23"/>
      <c r="AA246" s="83"/>
      <c r="AB246" s="81"/>
      <c r="AC246" s="23" t="str">
        <f>B233</f>
        <v/>
      </c>
      <c r="AD246" s="81"/>
      <c r="AE246" s="2097">
        <f>IF(AND(AE$228&gt;0,LC50_2&lt;&gt;0),AE$228/(LC50_2/IF(AE$223&lt;OnSite_Limit/60,AE$223,OnSite_Limit/60)^(1/Pn_2)),0)</f>
        <v>0</v>
      </c>
      <c r="AF246" s="81"/>
      <c r="AG246" s="2097">
        <f>IF(AND(AG$228&gt;0,LC50_2&lt;&gt;0),AG$228/(LC50_2/IF(AG$223&lt;OnSite_Limit/60,AG$223,OnSite_Limit/60)^(1/Pn_2)),0)</f>
        <v>0</v>
      </c>
      <c r="AH246" s="81"/>
      <c r="AI246" s="2097">
        <f>IF(AND(AI$228&gt;0,LC50_2&lt;&gt;0),AI$228/(LC50_2/IF(AI$223&lt;OnSite_Limit/60,AI$223,OnSite_Limit/60)^(1/Pn_2)),0)</f>
        <v>0</v>
      </c>
      <c r="AJ246" s="81"/>
      <c r="AK246" s="2097">
        <f>IF(AND(AK$228&gt;0,LC50_2&lt;&gt;0),AK$228/(LC50_2/IF(AK$223&lt;OnSite_Limit/60,AK$223,OnSite_Limit/60)^(1/Pn_2)),0)</f>
        <v>0</v>
      </c>
      <c r="AL246" s="81"/>
      <c r="AM246" s="2097">
        <f>IF(AND(AM$228&gt;0,LC50_2&lt;&gt;0),AM$228/(LC50_2/IF(AM$223&lt;OnSite_Limit/60,AM$223,OnSite_Limit/60)^(1/Pn_2)),0)</f>
        <v>0</v>
      </c>
      <c r="AN246" s="81"/>
      <c r="AO246" s="2097">
        <f>IF(AND(AO$228&gt;0,LC50HT_2&lt;&gt;0),AO$228/(LC50HT_2/IF(AO$223&lt;OnSite_Limit/60,AO$223,OnSite_Limit/60)^(1/PnHT_2)),0)</f>
        <v>0</v>
      </c>
      <c r="AP246" s="81"/>
      <c r="AQ246" s="85"/>
      <c r="AR246" s="81"/>
      <c r="AS246" s="83"/>
      <c r="AT246" s="119" t="s">
        <v>2211</v>
      </c>
      <c r="AU246" s="83"/>
      <c r="AV246" s="2103" t="str">
        <f>IF(AND(AV$207&gt;0,SUM(AV241:AV245)&gt;0),IF(1/SUM(AV241:AV245)&lt;100,1/SUM(AV241:AV245),""),"")</f>
        <v/>
      </c>
      <c r="AW246" s="83"/>
      <c r="AX246" s="2103" t="str">
        <f>IF(AND(AX$207&gt;0,SUM(AX241:AX245)&gt;0),IF(1/SUM(AX241:AX245)&lt;100,1/SUM(AX241:AX245),""),"")</f>
        <v/>
      </c>
      <c r="AY246" s="83"/>
      <c r="AZ246" s="2103" t="str">
        <f>IF(AND(AZ$207&gt;0,SUM(AZ241:AZ245)&gt;0),IF(1/SUM(AZ241:AZ245)&lt;100,1/SUM(AZ241:AZ245),""),"")</f>
        <v/>
      </c>
      <c r="BA246" s="83"/>
      <c r="BB246" s="2103" t="str">
        <f>IF(AND(BB$207&gt;0,SUM(BB241:BB245)&gt;0),IF(1/SUM(BB241:BB245)&lt;100,1/SUM(BB241:BB245),""),"")</f>
        <v/>
      </c>
      <c r="BC246" s="83"/>
      <c r="BD246" s="2103" t="str">
        <f>IF(AND(BD$207&gt;0,SUM(BD241:BD245)&gt;0),IF(1/SUM(BD241:BD245)&lt;100,1/SUM(BD241:BD245),""),"")</f>
        <v/>
      </c>
      <c r="BE246" s="83"/>
      <c r="BF246" s="2103" t="str">
        <f>IF(AND(BF$207&gt;0,SUM(BF241:BF245)&gt;0),IF(1/SUM(BF241:BF245)&lt;100,1/SUM(BF241:BF245),""),"")</f>
        <v/>
      </c>
      <c r="BG246" s="83"/>
      <c r="BH246" s="2103" t="str">
        <f>IF(AND(BH$207&gt;0,SUM(BH241:BH245)&gt;0),IF(1/SUM(BH241:BH245)&lt;100,1/SUM(BH241:BH245),""),"")</f>
        <v/>
      </c>
      <c r="BI246" s="83"/>
      <c r="BJ246" s="2103" t="str">
        <f>IF(AND(BJ$207&gt;0,SUM(BJ241:BJ245)&gt;0),IF(1/SUM(BJ241:BJ245)&lt;100,1/SUM(BJ241:BJ245),""),"")</f>
        <v/>
      </c>
      <c r="BK246" s="83"/>
      <c r="BL246" s="2103" t="str">
        <f>IF(AND(BL$207&gt;0,SUM(BL241:BL245)&gt;0),IF(1/SUM(BL241:BL245)&lt;100,1/SUM(BL241:BL245),""),"")</f>
        <v/>
      </c>
      <c r="BM246" s="83"/>
      <c r="BN246" s="2103" t="str">
        <f>IF(AND(BN$207&gt;0,SUM(BN241:BN245)&gt;0),IF(1/SUM(BN241:BN245)&lt;100,1/SUM(BN241:BN245),""),"")</f>
        <v/>
      </c>
      <c r="BO246" s="83"/>
      <c r="BP246" s="1833" t="s">
        <v>3807</v>
      </c>
      <c r="BQ246" s="83"/>
      <c r="BR246" s="81"/>
      <c r="BS246" s="846" t="str">
        <f>B246</f>
        <v/>
      </c>
      <c r="BT246" s="81"/>
      <c r="BU246" s="1181">
        <f>IF(AND(BU$216&gt;0,LFL_3&lt;&gt;""),BU$216/LFL_3,0)</f>
        <v>0</v>
      </c>
      <c r="BV246" s="81"/>
      <c r="BW246" s="1181">
        <f>IF(AND(BW$216&gt;0,LFL_3&lt;&gt;""),BW$216/LFL_3,0)</f>
        <v>0</v>
      </c>
      <c r="BX246" s="81"/>
      <c r="BY246" s="1181">
        <f>IF(AND(BY$216&gt;0,LFL_3&lt;&gt;""),BY$216/LFL_3,0)</f>
        <v>0</v>
      </c>
      <c r="BZ246" s="81"/>
      <c r="CA246" s="1181">
        <f>IF(AND(CA$216&gt;0,LFL_3&lt;&gt;""),CA$216/LFL_3,0)</f>
        <v>0</v>
      </c>
      <c r="CB246" s="81"/>
      <c r="CC246" s="1181">
        <f>IF(AND(CC$216&gt;0,LFL_3&lt;&gt;""),CC$216/LFL_3,0)</f>
        <v>0</v>
      </c>
      <c r="CD246" s="81"/>
      <c r="CE246" s="23"/>
      <c r="CF246" s="81"/>
      <c r="CG246" s="83"/>
      <c r="CH246" s="3170" t="s">
        <v>5217</v>
      </c>
      <c r="CI246" s="83"/>
      <c r="CJ246" s="3169">
        <f>CJ244+CJ245</f>
        <v>0</v>
      </c>
      <c r="CK246" s="83"/>
      <c r="CL246" s="23"/>
      <c r="CM246" s="83"/>
      <c r="CN246" s="7"/>
    </row>
    <row r="247" spans="1:109" ht="15" customHeight="1" x14ac:dyDescent="0.25">
      <c r="A247" s="2"/>
      <c r="B247" s="846" t="str">
        <f>IF(B20="","","Vapor Mole Fraction "&amp;B20&amp;" / LFL")</f>
        <v/>
      </c>
      <c r="C247" s="83"/>
      <c r="D247" s="1181">
        <f>IF(AND(D$217&gt;0,LFL_4&lt;&gt;""),D$217/LFL_4,0)</f>
        <v>0</v>
      </c>
      <c r="E247" s="83"/>
      <c r="F247" s="1181">
        <f>IF(AND(F$217&gt;0,LFL_4&lt;&gt;""),F$217/LFL_4,0)</f>
        <v>0</v>
      </c>
      <c r="G247" s="83"/>
      <c r="H247" s="1181">
        <f>IF(AND(H$217&gt;0,LFL_4&lt;&gt;""),H$217/LFL_4,0)</f>
        <v>0</v>
      </c>
      <c r="I247" s="83"/>
      <c r="J247" s="1181">
        <f>IF(AND(J$217&gt;0,LFL_4&lt;&gt;""),J$217/LFL_4,0)</f>
        <v>0</v>
      </c>
      <c r="K247" s="83"/>
      <c r="L247" s="1181">
        <f>IF(AND(L$217&gt;0,LFL_4&lt;&gt;""),L$217/LFL_4,0)</f>
        <v>0</v>
      </c>
      <c r="M247" s="83"/>
      <c r="N247" s="1181">
        <f>IF(AND(N$217&gt;0,LFL_4&lt;&gt;""),N$217/LFL_4,0)</f>
        <v>0</v>
      </c>
      <c r="O247" s="83"/>
      <c r="P247" s="1181">
        <f>IF(AND(P$217&gt;0,LFL_4&lt;&gt;""),P$217/LFL_4,0)</f>
        <v>0</v>
      </c>
      <c r="Q247" s="83"/>
      <c r="R247" s="1181">
        <f>IF(AND(R$217&gt;0,LFL_4&lt;&gt;""),R$217/LFL_4,0)</f>
        <v>0</v>
      </c>
      <c r="S247" s="83"/>
      <c r="T247" s="1181">
        <f>IF(AND(T$217&gt;0,LFL_4&lt;&gt;""),T$217/LFL_4,0)</f>
        <v>0</v>
      </c>
      <c r="U247" s="83"/>
      <c r="V247" s="1181">
        <f>IF(AND(V$217&gt;0,LFL_4&lt;&gt;""),V$217/LFL_4,0)</f>
        <v>0</v>
      </c>
      <c r="W247" s="83"/>
      <c r="X247" s="1181">
        <f>IF(AND(X$217&gt;0,LFL_4&lt;&gt;""),X$217/LFL_4,0)</f>
        <v>0</v>
      </c>
      <c r="Y247" s="83"/>
      <c r="Z247" s="23"/>
      <c r="AA247" s="83"/>
      <c r="AB247" s="81"/>
      <c r="AC247" s="23" t="str">
        <f>B234</f>
        <v/>
      </c>
      <c r="AD247" s="81"/>
      <c r="AE247" s="2097">
        <f>IF(AND(AE$229&gt;0,LC50_3&lt;&gt;0),AE$229/(LC50_3/IF(AE$223&lt;OnSite_Limit/60,AE$223,OnSite_Limit/60)^(1/Pn_2)),0)</f>
        <v>0</v>
      </c>
      <c r="AF247" s="81"/>
      <c r="AG247" s="2097">
        <f>IF(AND(AG$229&gt;0,LC50_3&lt;&gt;0),AG$229/(LC50_3/IF(AG$223&lt;OnSite_Limit/60,AG$223,OnSite_Limit/60)^(1/Pn_2)),0)</f>
        <v>0</v>
      </c>
      <c r="AH247" s="81"/>
      <c r="AI247" s="2097">
        <f>IF(AND(AI$229&gt;0,LC50_3&lt;&gt;0),AI$229/(LC50_3/IF(AI$223&lt;OnSite_Limit/60,AI$223,OnSite_Limit/60)^(1/Pn_2)),0)</f>
        <v>0</v>
      </c>
      <c r="AJ247" s="81"/>
      <c r="AK247" s="2097">
        <f>IF(AND(AK$229&gt;0,LC50_3&lt;&gt;0),AK$229/(LC50_3/IF(AK$223&lt;OnSite_Limit/60,AK$223,OnSite_Limit/60)^(1/Pn_2)),0)</f>
        <v>0</v>
      </c>
      <c r="AL247" s="81"/>
      <c r="AM247" s="2097">
        <f>IF(AND(AM$229&gt;0,LC50_3&lt;&gt;0),AM$229/(LC50_3/IF(AM$223&lt;OnSite_Limit/60,AM$223,OnSite_Limit/60)^(1/Pn_2)),0)</f>
        <v>0</v>
      </c>
      <c r="AN247" s="81"/>
      <c r="AO247" s="2097">
        <f>IF(AND(AO$229&gt;0,LC50HT_3&lt;&gt;0),AO$229/(LC50HT_3/IF(AO$223&lt;OnSite_Limit/60,AO$223,OnSite_Limit/60)^(1/PnHT_3)),0)</f>
        <v>0</v>
      </c>
      <c r="AP247" s="81"/>
      <c r="AQ247" s="85"/>
      <c r="AR247" s="81"/>
      <c r="AS247" s="83"/>
      <c r="AT247" s="512" t="str">
        <f>B250</f>
        <v/>
      </c>
      <c r="AU247" s="83"/>
      <c r="AV247" s="2091">
        <f>IF(AND(AV$211&gt;0,LC1_1&gt;0),AV$211/(LC1_1),0)</f>
        <v>0</v>
      </c>
      <c r="AW247" s="83"/>
      <c r="AX247" s="2091">
        <f>IF(AND(AX$211&gt;0,LC1_1&gt;0),AX$211/(LC1_1),0)</f>
        <v>0</v>
      </c>
      <c r="AY247" s="83"/>
      <c r="AZ247" s="2091">
        <f>IF(AND(AZ$211&gt;0,LC1_1&gt;0),AZ$211/(LC1_1),0)</f>
        <v>0</v>
      </c>
      <c r="BA247" s="83"/>
      <c r="BB247" s="2091">
        <f>IF(AND(BB$211&gt;0,LC1_1&gt;0),BB$211/(LC1_1),0)</f>
        <v>0</v>
      </c>
      <c r="BC247" s="83"/>
      <c r="BD247" s="2091">
        <f>IF(AND(BD$211&gt;0,LC1_1&gt;0),BD$211/(LC1_1),0)</f>
        <v>0</v>
      </c>
      <c r="BE247" s="83"/>
      <c r="BF247" s="2091">
        <f>IF(AND(BF$211&gt;0,LC1_1&gt;0),BF$211/(LC1_1),0)</f>
        <v>0</v>
      </c>
      <c r="BG247" s="83"/>
      <c r="BH247" s="2091">
        <f>IF(AND(BH$211&gt;0,LC1_1&gt;0),BH$211/(LC1_1),0)</f>
        <v>0</v>
      </c>
      <c r="BI247" s="83"/>
      <c r="BJ247" s="2091">
        <f>IF(AND(BJ$211&gt;0,LC1_1&gt;0),BJ$211/(LC1_1),0)</f>
        <v>0</v>
      </c>
      <c r="BK247" s="83"/>
      <c r="BL247" s="2091">
        <f>IF(AND(BL$211&gt;0,LC1_1&gt;0),BL$211/(LC1_1),0)</f>
        <v>0</v>
      </c>
      <c r="BM247" s="83"/>
      <c r="BN247" s="2091">
        <f>IF(AND(BN$211&gt;0,LC1_1&gt;0),BN$211/(LC1_1),0)</f>
        <v>0</v>
      </c>
      <c r="BO247" s="83"/>
      <c r="BP247" s="1834"/>
      <c r="BQ247" s="83"/>
      <c r="BR247" s="81"/>
      <c r="BS247" s="846" t="str">
        <f>B247</f>
        <v/>
      </c>
      <c r="BT247" s="81"/>
      <c r="BU247" s="1181">
        <f>IF(AND(BU$217&gt;0,LFL_4&lt;&gt;""),BU$217/LFL_4,0)</f>
        <v>0</v>
      </c>
      <c r="BV247" s="81"/>
      <c r="BW247" s="1181">
        <f>IF(AND(BW$217&gt;0,LFL_4&lt;&gt;""),BW$217/LFL_4,0)</f>
        <v>0</v>
      </c>
      <c r="BX247" s="81"/>
      <c r="BY247" s="1181">
        <f>IF(AND(BY$217&gt;0,LFL_4&lt;&gt;""),BY$217/LFL_4,0)</f>
        <v>0</v>
      </c>
      <c r="BZ247" s="81"/>
      <c r="CA247" s="1181">
        <f>IF(AND(CA$217&gt;0,LFL_4&lt;&gt;""),CA$217/LFL_4,0)</f>
        <v>0</v>
      </c>
      <c r="CB247" s="81"/>
      <c r="CC247" s="1181">
        <f>IF(AND(CC$217&gt;0,LFL_4&lt;&gt;""),CC$217/LFL_4,0)</f>
        <v>0</v>
      </c>
      <c r="CD247" s="81"/>
      <c r="CE247" s="23"/>
      <c r="CF247" s="81"/>
      <c r="CG247" s="83"/>
      <c r="CH247" s="23" t="s">
        <v>2009</v>
      </c>
      <c r="CI247" s="83"/>
      <c r="CJ247" s="86">
        <f>Occupants_atRisk*CJ242+Occupants_atRisk2*CJ243+CJ238+CJ246</f>
        <v>0</v>
      </c>
      <c r="CK247" s="83"/>
      <c r="CL247" s="23"/>
      <c r="CM247" s="83"/>
      <c r="CO247" s="26"/>
      <c r="CP247" s="26"/>
      <c r="CQ247" s="26"/>
      <c r="CR247" s="26"/>
      <c r="CS247" s="26"/>
      <c r="CT247" s="26"/>
      <c r="CU247" s="26"/>
      <c r="CV247" s="26"/>
      <c r="CW247" s="26"/>
      <c r="CX247" s="26"/>
      <c r="CY247" s="26"/>
      <c r="CZ247" s="26"/>
      <c r="DA247" s="26"/>
      <c r="DB247" s="26"/>
      <c r="DC247" s="26"/>
      <c r="DD247" s="26"/>
      <c r="DE247" s="26"/>
    </row>
    <row r="248" spans="1:109" ht="15" customHeight="1" thickBot="1" x14ac:dyDescent="0.3">
      <c r="A248" s="2"/>
      <c r="B248" s="846" t="str">
        <f>IF(B21="","","Vapor Mole Fraction "&amp;B21&amp;" / LFL")</f>
        <v/>
      </c>
      <c r="C248" s="83"/>
      <c r="D248" s="1181">
        <f>IF(AND(D229&gt;0,LFL_5&lt;&gt;""),D$218/LFL_5,0)</f>
        <v>0</v>
      </c>
      <c r="E248" s="83"/>
      <c r="F248" s="1181">
        <f>IF(AND(F229&gt;0,LFL_5&lt;&gt;""),F$218/LFL_5,0)</f>
        <v>0</v>
      </c>
      <c r="G248" s="83"/>
      <c r="H248" s="1181">
        <f>IF(AND(H229&gt;0,LFL_5&lt;&gt;""),H$218/LFL_5,0)</f>
        <v>0</v>
      </c>
      <c r="I248" s="83"/>
      <c r="J248" s="1181">
        <f>IF(AND(J229&gt;0,LFL_5&lt;&gt;""),J$218/LFL_5,0)</f>
        <v>0</v>
      </c>
      <c r="K248" s="83"/>
      <c r="L248" s="1181">
        <f>IF(AND(L229&gt;0,LFL_5&lt;&gt;""),L$218/LFL_5,0)</f>
        <v>0</v>
      </c>
      <c r="M248" s="83"/>
      <c r="N248" s="1181">
        <f>IF(AND(N229&gt;0,LFL_5&lt;&gt;""),N$218/LFL_5,0)</f>
        <v>0</v>
      </c>
      <c r="O248" s="83"/>
      <c r="P248" s="1181">
        <f>IF(AND(P229&gt;0,LFL_5&lt;&gt;""),P$218/LFL_5,0)</f>
        <v>0</v>
      </c>
      <c r="Q248" s="83"/>
      <c r="R248" s="1181">
        <f>IF(AND(R229&gt;0,LFL_5&lt;&gt;""),R$218/LFL_5,0)</f>
        <v>0</v>
      </c>
      <c r="S248" s="83"/>
      <c r="T248" s="1181">
        <f>IF(AND(T229&gt;0,LFL_5&lt;&gt;""),T$218/LFL_5,0)</f>
        <v>0</v>
      </c>
      <c r="U248" s="83"/>
      <c r="V248" s="1181">
        <f>IF(AND(V229&gt;0,LFL_5&lt;&gt;""),V$218/LFL_5,0)</f>
        <v>0</v>
      </c>
      <c r="W248" s="83"/>
      <c r="X248" s="1181">
        <f>IF(AND(X229&gt;0,LFL_5&lt;&gt;""),X$218/LFL_5,0)</f>
        <v>0</v>
      </c>
      <c r="Y248" s="83"/>
      <c r="Z248" s="23"/>
      <c r="AA248" s="83"/>
      <c r="AB248" s="81"/>
      <c r="AC248" s="23" t="str">
        <f>B235</f>
        <v/>
      </c>
      <c r="AD248" s="81"/>
      <c r="AE248" s="2097">
        <f>IF(AND(AE$230&gt;0,LC50_4&lt;&gt;0),AE$230/(LC50_4/IF(AE$223&lt;OnSite_Limit/60,AE$223,OnSite_Limit/60)^(1/Pn_4)),0)</f>
        <v>0</v>
      </c>
      <c r="AF248" s="81"/>
      <c r="AG248" s="2097">
        <f>IF(AND(AG$230&gt;0,LC50_4&lt;&gt;0),AG$230/(LC50_4/IF(AG$223&lt;OnSite_Limit/60,AG$223,OnSite_Limit/60)^(1/Pn_4)),0)</f>
        <v>0</v>
      </c>
      <c r="AH248" s="81"/>
      <c r="AI248" s="2097">
        <f>IF(AND(AI$230&gt;0,LC50_4&lt;&gt;0),AI$230/(LC50_4/IF(AI$223&lt;OnSite_Limit/60,AI$223,OnSite_Limit/60)^(1/Pn_4)),0)</f>
        <v>0</v>
      </c>
      <c r="AJ248" s="81"/>
      <c r="AK248" s="2097">
        <f>IF(AND(AK$230&gt;0,LC50_4&lt;&gt;0),AK$230/(LC50_4/IF(AK$223&lt;OnSite_Limit/60,AK$223,OnSite_Limit/60)^(1/Pn_4)),0)</f>
        <v>0</v>
      </c>
      <c r="AL248" s="81"/>
      <c r="AM248" s="2097">
        <f>IF(AND(AM$230&gt;0,LC50_4&lt;&gt;0),AM$230/(LC50_4/IF(AM$223&lt;OnSite_Limit/60,AM$223,OnSite_Limit/60)^(1/Pn_4)),0)</f>
        <v>0</v>
      </c>
      <c r="AN248" s="81"/>
      <c r="AO248" s="2097">
        <f>IF(AND(AO$230&gt;0,LC50HT_4&lt;&gt;0),AO$230/(LC50HT_4/IF(AO$223&lt;OnSite_Limit/60,AO$223,OnSite_Limit/60)^(1/PnHT_4)),0)</f>
        <v>0</v>
      </c>
      <c r="AP248" s="81"/>
      <c r="AQ248" s="85"/>
      <c r="AR248" s="81"/>
      <c r="AS248" s="83"/>
      <c r="AT248" s="512" t="str">
        <f>B251</f>
        <v/>
      </c>
      <c r="AU248" s="83"/>
      <c r="AV248" s="2091">
        <f>IF(AND(AV$212&gt;0,LC1_2&gt;0),AV$212/(LC1_2),0)</f>
        <v>0</v>
      </c>
      <c r="AW248" s="83"/>
      <c r="AX248" s="2091">
        <f>IF(AND(AX$212&gt;0,LC1_2&gt;0),AX$212/(LC1_2),0)</f>
        <v>0</v>
      </c>
      <c r="AY248" s="83"/>
      <c r="AZ248" s="2091">
        <f>IF(AND(AZ$212&gt;0,LC1_2&gt;0),AZ$212/(LC1_2),0)</f>
        <v>0</v>
      </c>
      <c r="BA248" s="83"/>
      <c r="BB248" s="2091">
        <f>IF(AND(BB$212&gt;0,LC1_2&gt;0),BB$212/(LC1_2),0)</f>
        <v>0</v>
      </c>
      <c r="BC248" s="83"/>
      <c r="BD248" s="2091">
        <f>IF(AND(BD$212&gt;0,LC1_2&gt;0),BD$212/(LC1_2),0)</f>
        <v>0</v>
      </c>
      <c r="BE248" s="83"/>
      <c r="BF248" s="2091">
        <f>IF(AND(BF$212&gt;0,LC1_2&gt;0),BF$212/(LC1_2),0)</f>
        <v>0</v>
      </c>
      <c r="BG248" s="83"/>
      <c r="BH248" s="2091">
        <f>IF(AND(BH$212&gt;0,LC1_2&gt;0),BH$212/(LC1_2),0)</f>
        <v>0</v>
      </c>
      <c r="BI248" s="83"/>
      <c r="BJ248" s="2091">
        <f>IF(AND(BJ$212&gt;0,LC1_2&gt;0),BJ$212/(LC1_2),0)</f>
        <v>0</v>
      </c>
      <c r="BK248" s="83"/>
      <c r="BL248" s="2091">
        <f>IF(AND(BL$212&gt;0,LC1_2&gt;0),BL$212/(LC1_2),0)</f>
        <v>0</v>
      </c>
      <c r="BM248" s="83"/>
      <c r="BN248" s="2091">
        <f>IF(AND(BN$212&gt;0,LC1_2&gt;0),BN$212/(LC1_2),0)</f>
        <v>0</v>
      </c>
      <c r="BO248" s="83"/>
      <c r="BP248" s="1835"/>
      <c r="BQ248" s="83"/>
      <c r="BR248" s="81"/>
      <c r="BS248" s="1037" t="str">
        <f>B248</f>
        <v/>
      </c>
      <c r="BT248" s="81"/>
      <c r="BU248" s="1181">
        <f>IF(AND(BU229&gt;0,LFL_5&lt;&gt;""),BU$218/LFL_5,0)</f>
        <v>0</v>
      </c>
      <c r="BV248" s="81"/>
      <c r="BW248" s="1181">
        <f>IF(AND(BW229&gt;0,LFL_5&lt;&gt;""),BW$218/LFL_5,0)</f>
        <v>0</v>
      </c>
      <c r="BX248" s="81"/>
      <c r="BY248" s="1181">
        <f>IF(AND(BY229&gt;0,LFL_5&lt;&gt;""),BY$218/LFL_5,0)</f>
        <v>0</v>
      </c>
      <c r="BZ248" s="81"/>
      <c r="CA248" s="1181">
        <f>IF(AND(CA229&gt;0,LFL_5&lt;&gt;""),CA$218/LFL_5,0)</f>
        <v>0</v>
      </c>
      <c r="CB248" s="81"/>
      <c r="CC248" s="1181">
        <f>IF(AND(CC229&gt;0,LFL_5&lt;&gt;""),CC$218/LFL_5,0)</f>
        <v>0</v>
      </c>
      <c r="CD248" s="81"/>
      <c r="CE248" s="23"/>
      <c r="CF248" s="81"/>
      <c r="CG248" s="83"/>
      <c r="CH248" s="25" t="s">
        <v>4795</v>
      </c>
      <c r="CI248" s="83"/>
      <c r="CJ248" s="1286" t="str">
        <f>IF(CJ161&lt;&gt;"Yes","NA",IF(MAX(CJ166/Bldg_Type_Correction,CJ167/Bldg2_Type_Correction)&lt;HD_Low_Expl,Conseq_Low,IF(MAX(CJ166/Bldg_Type_Correction,CJ167/Bldg2_Type_Correction)&lt;HD_Moderate_Expl,Conseq_Moderate,IF(MAX(CJ166/Bldg_Type_Correction,CJ167/Bldg2_Type_Correction)&lt;HD_High_Expl,Conseq_High,IF(MAX(CJ166/Bldg_Type_Correction,CJ167/Bldg2_Type_Correction)&lt;HD_VeryHigh_Expl,Conseq_VeryHigh,Conseq_ExtremeHigh)))))</f>
        <v>NA</v>
      </c>
      <c r="CK248" s="83"/>
      <c r="CL248" s="23"/>
      <c r="CM248" s="83"/>
      <c r="CO248" s="26"/>
      <c r="CP248" s="26"/>
      <c r="CQ248" s="26"/>
      <c r="CR248" s="26"/>
      <c r="CS248" s="26"/>
      <c r="CT248" s="26"/>
      <c r="CU248" s="26"/>
      <c r="CV248" s="26"/>
      <c r="CW248" s="26"/>
      <c r="CX248" s="26"/>
      <c r="CY248" s="26"/>
      <c r="CZ248" s="26"/>
      <c r="DA248" s="26"/>
      <c r="DB248" s="26"/>
      <c r="DC248" s="26"/>
      <c r="DD248" s="26"/>
      <c r="DE248" s="26"/>
    </row>
    <row r="249" spans="1:109" ht="15" customHeight="1" thickBot="1" x14ac:dyDescent="0.3">
      <c r="A249" s="2"/>
      <c r="B249" s="2587" t="s">
        <v>2211</v>
      </c>
      <c r="C249" s="83"/>
      <c r="D249" s="3008" t="str">
        <f>IF(SUM(D244:D248)&gt;0,IF(1/SUM(D244:D248)&lt;100,1/SUM(D244:D248),""),"")</f>
        <v/>
      </c>
      <c r="E249" s="83"/>
      <c r="F249" s="3008" t="str">
        <f>IF(SUM(F244:F248)&gt;0,IF(1/SUM(F244:F248)&lt;100,1/SUM(F244:F248),""),"")</f>
        <v/>
      </c>
      <c r="G249" s="83"/>
      <c r="H249" s="3008" t="str">
        <f>IF(SUM(H244:H248)&gt;0,IF(1/SUM(H244:H248)&lt;100,1/SUM(H244:H248),""),"")</f>
        <v/>
      </c>
      <c r="I249" s="83"/>
      <c r="J249" s="3008" t="str">
        <f>IF(SUM(J244:J248)&gt;0,IF(1/SUM(J244:J248)&lt;100,1/SUM(J244:J248),""),"")</f>
        <v/>
      </c>
      <c r="K249" s="83"/>
      <c r="L249" s="3008" t="str">
        <f>IF(SUM(L244:L248)&gt;0,IF(1/SUM(L244:L248)&lt;100,1/SUM(L244:L248),""),"")</f>
        <v/>
      </c>
      <c r="M249" s="83"/>
      <c r="N249" s="3008" t="str">
        <f>IF(SUM(N244:N248)&gt;0,IF(1/SUM(N244:N248)&lt;100,1/SUM(N244:N248),""),"")</f>
        <v/>
      </c>
      <c r="O249" s="83"/>
      <c r="P249" s="3008" t="str">
        <f>IF(SUM(P244:P248)&gt;0,IF(1/SUM(P244:P248)&lt;100,1/SUM(P244:P248),""),"")</f>
        <v/>
      </c>
      <c r="Q249" s="83"/>
      <c r="R249" s="3008" t="str">
        <f>IF(SUM(R244:R248)&gt;0,IF(1/SUM(R244:R248)&lt;100,1/SUM(R244:R248),""),"")</f>
        <v/>
      </c>
      <c r="S249" s="83"/>
      <c r="T249" s="3008" t="str">
        <f>IF(SUM(T244:T248)&gt;0,IF(1/SUM(T244:T248)&lt;100,1/SUM(T244:T248),""),"")</f>
        <v/>
      </c>
      <c r="U249" s="83"/>
      <c r="V249" s="3008" t="str">
        <f>IF(SUM(V244:V248)&gt;0,IF(1/SUM(V244:V248)&lt;100,1/SUM(V244:V248),""),"")</f>
        <v/>
      </c>
      <c r="W249" s="83"/>
      <c r="X249" s="3008" t="str">
        <f>IF(SUM(X244:X248)&gt;0,IF(1/SUM(X244:X248)&lt;100,1/SUM(X244:X248),""),"")</f>
        <v/>
      </c>
      <c r="Y249" s="83"/>
      <c r="Z249" s="85" t="s">
        <v>1021</v>
      </c>
      <c r="AA249" s="83"/>
      <c r="AB249" s="81"/>
      <c r="AC249" s="23" t="str">
        <f>B236</f>
        <v/>
      </c>
      <c r="AD249" s="81"/>
      <c r="AE249" s="2097">
        <f>IF(AND(AE$231&gt;0,LC50_5&lt;&gt;0),AE$231/(LC50_5/IF(AE$223&lt;OnSite_Limit/60,AE$223,OnSite_Limit/60)^(1/Pn_5)),0)</f>
        <v>0</v>
      </c>
      <c r="AF249" s="81"/>
      <c r="AG249" s="2097">
        <f>IF(AND(AG$231&gt;0,LC50_5&lt;&gt;0),AG$231/(LC50_5/IF(AG$223&lt;OnSite_Limit/60,AG$223,OnSite_Limit/60)^(1/Pn_5)),0)</f>
        <v>0</v>
      </c>
      <c r="AH249" s="81"/>
      <c r="AI249" s="2097">
        <f>IF(AND(AI$231&gt;0,LC50_5&lt;&gt;0),AI$231/(LC50_5/IF(AI$223&lt;OnSite_Limit/60,AI$223,OnSite_Limit/60)^(1/Pn_5)),0)</f>
        <v>0</v>
      </c>
      <c r="AJ249" s="81"/>
      <c r="AK249" s="2097">
        <f>IF(AND(AK$231&gt;0,LC50_5&lt;&gt;0),AK$231/(LC50_5/IF(AK$223&lt;OnSite_Limit/60,AK$223,OnSite_Limit/60)^(1/Pn_5)),0)</f>
        <v>0</v>
      </c>
      <c r="AL249" s="81"/>
      <c r="AM249" s="2097">
        <f>IF(AND(AM$231&gt;0,LC50_5&lt;&gt;0),AM$231/(LC50_5/IF(AM$223&lt;OnSite_Limit/60,AM$223,OnSite_Limit/60)^(1/Pn_5)),0)</f>
        <v>0</v>
      </c>
      <c r="AN249" s="81"/>
      <c r="AO249" s="2097">
        <f>IF(AND(AO$231&gt;0,LC50HT_5&lt;&gt;0),AO$231/(LC50HT_5/IF(AO$223&lt;OnSite_Limit/60,AO$223,OnSite_Limit/60)^(1/PnHT_5)),0)</f>
        <v>0</v>
      </c>
      <c r="AP249" s="81"/>
      <c r="AQ249" s="85"/>
      <c r="AR249" s="81"/>
      <c r="AS249" s="83"/>
      <c r="AT249" s="512" t="str">
        <f>B252</f>
        <v/>
      </c>
      <c r="AU249" s="83"/>
      <c r="AV249" s="2091">
        <f>IF(AND(AV$213&gt;0,LC1_3&gt;0),AV$213/(LC1_3),0)</f>
        <v>0</v>
      </c>
      <c r="AW249" s="83"/>
      <c r="AX249" s="2091">
        <f>IF(AND(AX$213&gt;0,LC1_3&gt;0),AX$213/(LC1_3),0)</f>
        <v>0</v>
      </c>
      <c r="AY249" s="83"/>
      <c r="AZ249" s="2091">
        <f>IF(AND(AZ$213&gt;0,LC1_3&gt;0),AZ$213/(LC1_3),0)</f>
        <v>0</v>
      </c>
      <c r="BA249" s="83"/>
      <c r="BB249" s="2091">
        <f>IF(AND(BB$213&gt;0,LC1_3&gt;0),BB$213/(LC1_3),0)</f>
        <v>0</v>
      </c>
      <c r="BC249" s="83"/>
      <c r="BD249" s="2091">
        <f>IF(AND(BD$213&gt;0,LC1_3&gt;0),BD$213/(LC1_3),0)</f>
        <v>0</v>
      </c>
      <c r="BE249" s="83"/>
      <c r="BF249" s="2091">
        <f>IF(AND(BF$213&gt;0,LC1_3&gt;0),BF$213/(LC1_3),0)</f>
        <v>0</v>
      </c>
      <c r="BG249" s="83"/>
      <c r="BH249" s="2091">
        <f>IF(AND(BH$213&gt;0,LC1_3&gt;0),BH$213/(LC1_3),0)</f>
        <v>0</v>
      </c>
      <c r="BI249" s="83"/>
      <c r="BJ249" s="2091">
        <f>IF(AND(BJ$213&gt;0,LC1_3&gt;0),BJ$213/(LC1_3),0)</f>
        <v>0</v>
      </c>
      <c r="BK249" s="83"/>
      <c r="BL249" s="2091">
        <f>IF(AND(BL$213&gt;0,LC1_3&gt;0),BL$213/(LC1_3),0)</f>
        <v>0</v>
      </c>
      <c r="BM249" s="83"/>
      <c r="BN249" s="2091">
        <f>IF(AND(BN$213&gt;0,LC1_3&gt;0),BN$213/(LC1_3),0)</f>
        <v>0</v>
      </c>
      <c r="BO249" s="83"/>
      <c r="BP249" s="1835"/>
      <c r="BQ249" s="83"/>
      <c r="BR249" s="81"/>
      <c r="BS249" s="1030" t="s">
        <v>2211</v>
      </c>
      <c r="BT249" s="81"/>
      <c r="BU249" s="3008" t="str">
        <f>IF(SUM(BU244:BU248)&gt;0,IF(1/SUM(BU244:BU248)&lt;100,1/SUM(BU244:BU248),""),"")</f>
        <v/>
      </c>
      <c r="BV249" s="81"/>
      <c r="BW249" s="3008" t="str">
        <f>IF(SUM(BW244:BW248)&gt;0,IF(1/SUM(BW244:BW248)&lt;100,1/SUM(BW244:BW248),""),"")</f>
        <v/>
      </c>
      <c r="BX249" s="81"/>
      <c r="BY249" s="3008" t="str">
        <f>IF(SUM(BY244:BY248)&gt;0,IF(1/SUM(BY244:BY248)&lt;100,1/SUM(BY244:BY248),""),"")</f>
        <v/>
      </c>
      <c r="BZ249" s="81"/>
      <c r="CA249" s="3008" t="str">
        <f>IF(SUM(CA244:CA248)&gt;0,IF(1/SUM(CA244:CA248)&lt;100,1/SUM(CA244:CA248),""),"")</f>
        <v/>
      </c>
      <c r="CB249" s="81"/>
      <c r="CC249" s="3008" t="str">
        <f>IF(SUM(CC244:CC248)&gt;0,IF(1/SUM(CC244:CC248)&lt;100,1/SUM(CC244:CC248),""),"")</f>
        <v/>
      </c>
      <c r="CD249" s="81"/>
      <c r="CE249" s="25" t="s">
        <v>1021</v>
      </c>
      <c r="CF249" s="81"/>
      <c r="CG249" s="83"/>
      <c r="CH249" s="25" t="s">
        <v>4229</v>
      </c>
      <c r="CI249" s="83"/>
      <c r="CJ249" s="2133" t="str">
        <f>IF(Conseq_Criteria="Hazard Distance",CJ248,IF(OR(CJ168&lt;&gt;"Yes",CJ247&lt;N_Screening),"NA",IF(CJ247&lt;N_VeryLow,Conseq_VeryLow,IF(CJ247&lt;N_Low,Conseq_Low,IF(CJ247&lt;N_Moderate,Conseq_Moderate,IF(CJ247&lt;N_High,Conseq_High,IF(CJ247&lt;N_VeryHigh,Conseq_VeryHigh,Conseq_ExtremeHigh)))))))</f>
        <v>NA</v>
      </c>
      <c r="CK249" s="83"/>
      <c r="CL249" s="89"/>
      <c r="CM249" s="83"/>
      <c r="CO249" s="26"/>
      <c r="CP249" s="26"/>
      <c r="CQ249" s="26"/>
      <c r="CR249" s="26"/>
      <c r="CS249" s="26"/>
      <c r="CT249" s="26"/>
      <c r="CU249" s="26"/>
      <c r="CV249" s="26"/>
      <c r="CW249" s="26"/>
      <c r="CX249" s="26"/>
      <c r="CY249" s="26"/>
      <c r="CZ249" s="26"/>
      <c r="DA249" s="26"/>
      <c r="DB249" s="26"/>
      <c r="DC249" s="26"/>
      <c r="DD249" s="26"/>
      <c r="DE249" s="26"/>
    </row>
    <row r="250" spans="1:109" ht="15" customHeight="1" x14ac:dyDescent="0.25">
      <c r="A250" s="2"/>
      <c r="B250" s="851" t="str">
        <f>IF(B17="","","Vapor Mole Fraction "&amp;B17&amp;" / LC-1")</f>
        <v/>
      </c>
      <c r="C250" s="83"/>
      <c r="D250" s="2091">
        <f>IF(AND(D$214&gt;0,LC1_1&gt;0),D$214/(LC1_1),0)</f>
        <v>0</v>
      </c>
      <c r="E250" s="83"/>
      <c r="F250" s="2091">
        <f>IF(AND(F$214&gt;0,LC1_1&gt;0),F$214/(LC1_1),0)</f>
        <v>0</v>
      </c>
      <c r="G250" s="83"/>
      <c r="H250" s="2091">
        <f>IF(AND(H$214&gt;0,LC1_1&gt;0),H$214/(LC1_1),0)</f>
        <v>0</v>
      </c>
      <c r="I250" s="83"/>
      <c r="J250" s="2091">
        <f>IF(AND(J$214&gt;0,LC1_1&gt;0),J$214/(LC1_1),0)</f>
        <v>0</v>
      </c>
      <c r="K250" s="83"/>
      <c r="L250" s="2091">
        <f>IF(AND(L$214&gt;0,LC1_1&gt;0),L$214/(LC1_1),0)</f>
        <v>0</v>
      </c>
      <c r="M250" s="83"/>
      <c r="N250" s="2091">
        <f>IF(AND(N$214&gt;0,LC1_1&gt;0),N$214/(LC1_1),0)</f>
        <v>0</v>
      </c>
      <c r="O250" s="83"/>
      <c r="P250" s="2091">
        <f>IF(AND(P$214&gt;0,LC1_1&gt;0),P$214/(LC1_1),0)</f>
        <v>0</v>
      </c>
      <c r="Q250" s="83"/>
      <c r="R250" s="2091">
        <f>IF(AND(R$214&gt;0,LC1_1&gt;0),R$214/(LC1_1),0)</f>
        <v>0</v>
      </c>
      <c r="S250" s="83"/>
      <c r="T250" s="2091">
        <f>IF(AND(T$214&gt;0,LC1_1&gt;0),T$214/(LC1_1),0)</f>
        <v>0</v>
      </c>
      <c r="U250" s="83"/>
      <c r="V250" s="2091">
        <f>IF(AND(V$214&gt;0,LC1_1&gt;0),V$214/(LC1_1),0)</f>
        <v>0</v>
      </c>
      <c r="W250" s="83"/>
      <c r="X250" s="2091">
        <f>IF(AND(X$214&gt;0,LC1_1&gt;0),X$214/(LC1_1),0)</f>
        <v>0</v>
      </c>
      <c r="Y250" s="83"/>
      <c r="Z250" s="85"/>
      <c r="AA250" s="83"/>
      <c r="AB250" s="81"/>
      <c r="AC250" s="2197" t="s">
        <v>5126</v>
      </c>
      <c r="AD250" s="81"/>
      <c r="AE250" s="2101" t="str">
        <f>IF(AND(AE$223&gt;0,SUM(AE245:AE249)&gt;0),IF(1/SUM(AE245:AE249)&lt;1000000,1/SUM(AE245:AE249),1000000),"")</f>
        <v/>
      </c>
      <c r="AF250" s="81"/>
      <c r="AG250" s="2101" t="str">
        <f>IF(AND(AG$223&gt;0,SUM(AG245:AG249)&gt;0),IF(1/SUM(AG245:AG249)&lt;1000000,1/SUM(AG245:AG249),1000000),"")</f>
        <v/>
      </c>
      <c r="AH250" s="81"/>
      <c r="AI250" s="2101" t="str">
        <f>IF(AND(AI$223&gt;0,SUM(AI245:AI249)&gt;0),IF(1/SUM(AI245:AI249)&lt;1000000,1/SUM(AI245:AI249),1000000),"")</f>
        <v/>
      </c>
      <c r="AJ250" s="81"/>
      <c r="AK250" s="2101" t="str">
        <f>IF(AND(AK$223&gt;0,SUM(AK245:AK249)&gt;0),IF(1/SUM(AK245:AK249)&lt;1000000,1/SUM(AK245:AK249),1000000),"")</f>
        <v/>
      </c>
      <c r="AL250" s="81"/>
      <c r="AM250" s="2101" t="str">
        <f>IF(AND(AM$223&gt;0,SUM(AM245:AM249)&gt;0),IF(1/SUM(AM245:AM249)&lt;1000000,1/SUM(AM245:AM249),1000000),"")</f>
        <v/>
      </c>
      <c r="AN250" s="81"/>
      <c r="AO250" s="2101" t="str">
        <f>IF(AND(AO$223&gt;0,SUM(AO245:AO249)&gt;0),IF(1/SUM(AO245:AO249)&lt;1000000,1/SUM(AO245:AO249),1000000),"")</f>
        <v/>
      </c>
      <c r="AP250" s="81"/>
      <c r="AQ250" s="85" t="s">
        <v>1506</v>
      </c>
      <c r="AR250" s="81"/>
      <c r="AS250" s="83"/>
      <c r="AT250" s="512" t="str">
        <f>B253</f>
        <v/>
      </c>
      <c r="AU250" s="83"/>
      <c r="AV250" s="2091">
        <f>IF(AND(AV$214&gt;0,LC1_4&gt;0),AV$214/(LC1_4),0)</f>
        <v>0</v>
      </c>
      <c r="AW250" s="83"/>
      <c r="AX250" s="2091">
        <f>IF(AND(AX$214&gt;0,LC1_4&gt;0),AX$214/(LC1_4),0)</f>
        <v>0</v>
      </c>
      <c r="AY250" s="83"/>
      <c r="AZ250" s="2091">
        <f>IF(AND(AZ$214&gt;0,LC1_4&gt;0),AZ$214/(LC1_4),0)</f>
        <v>0</v>
      </c>
      <c r="BA250" s="83"/>
      <c r="BB250" s="2091">
        <f>IF(AND(BB$214&gt;0,LC1_4&gt;0),BB$214/(LC1_4),0)</f>
        <v>0</v>
      </c>
      <c r="BC250" s="83"/>
      <c r="BD250" s="2091">
        <f>IF(AND(BD$214&gt;0,LC1_4&gt;0),BD$214/(LC1_4),0)</f>
        <v>0</v>
      </c>
      <c r="BE250" s="83"/>
      <c r="BF250" s="2091">
        <f>IF(AND(BF$214&gt;0,LC1_4&gt;0),BF$214/(LC1_4),0)</f>
        <v>0</v>
      </c>
      <c r="BG250" s="83"/>
      <c r="BH250" s="2091">
        <f>IF(AND(BH$214&gt;0,LC1_4&gt;0),BH$214/(LC1_4),0)</f>
        <v>0</v>
      </c>
      <c r="BI250" s="83"/>
      <c r="BJ250" s="2091">
        <f>IF(AND(BJ$214&gt;0,LC1_4&gt;0),BJ$214/(LC1_4),0)</f>
        <v>0</v>
      </c>
      <c r="BK250" s="83"/>
      <c r="BL250" s="2091">
        <f>IF(AND(BL$214&gt;0,LC1_4&gt;0),BL$214/(LC1_4),0)</f>
        <v>0</v>
      </c>
      <c r="BM250" s="83"/>
      <c r="BN250" s="2091">
        <f>IF(AND(BN$214&gt;0,LC1_4&gt;0),BN$214/(LC1_4),0)</f>
        <v>0</v>
      </c>
      <c r="BO250" s="83"/>
      <c r="BP250" s="1835"/>
      <c r="BQ250" s="83"/>
      <c r="BR250" s="81"/>
      <c r="BS250" s="23" t="str">
        <f>B250</f>
        <v/>
      </c>
      <c r="BT250" s="81"/>
      <c r="BU250" s="2091">
        <f>IF(AND(BU$214&gt;0,LC1_1&gt;0),BU$214/(LC1_1),0)</f>
        <v>0</v>
      </c>
      <c r="BV250" s="81"/>
      <c r="BW250" s="2091">
        <f>IF(AND(BW$214&gt;0,LC1_1&gt;0),BW$214/(LC1_1),0)</f>
        <v>0</v>
      </c>
      <c r="BX250" s="81"/>
      <c r="BY250" s="2091">
        <f>IF(AND(BY$214&gt;0,LC1_1&gt;0),BY$214/(LC1_1),0)</f>
        <v>0</v>
      </c>
      <c r="BZ250" s="81"/>
      <c r="CA250" s="2091">
        <f>IF(AND(CA$214&gt;0,LC1_1&gt;0),CA$214/(LC1_1),0)</f>
        <v>0</v>
      </c>
      <c r="CB250" s="81"/>
      <c r="CC250" s="2091">
        <f>IF(AND(CC$214&gt;0,LC1_1&gt;0),CC$214/(LC1_1),0)</f>
        <v>0</v>
      </c>
      <c r="CD250" s="81"/>
      <c r="CE250" s="84"/>
      <c r="CF250" s="81"/>
      <c r="CG250" s="83"/>
      <c r="CH250" s="23" t="s">
        <v>3665</v>
      </c>
      <c r="CI250" s="83"/>
      <c r="CJ250" s="97">
        <f>IF(OR(CJ176=0,CJ178&lt;&gt;"Yes"),0,EXP(-Bldg_Type_Coefficient*(Bldg_Type_Correction/CJ176)^Bldg_Type_Exponent))</f>
        <v>0</v>
      </c>
      <c r="CK250" s="83"/>
      <c r="CL250" s="107"/>
      <c r="CM250" s="83"/>
      <c r="CO250" s="26"/>
      <c r="CP250" s="26"/>
      <c r="CQ250" s="26"/>
      <c r="CR250" s="26"/>
      <c r="CS250" s="26"/>
      <c r="CT250" s="26"/>
      <c r="CU250" s="26"/>
      <c r="CV250" s="26"/>
      <c r="CW250" s="26"/>
      <c r="CX250" s="26"/>
      <c r="CY250" s="26"/>
      <c r="CZ250" s="26"/>
      <c r="DA250" s="26"/>
      <c r="DB250" s="26"/>
      <c r="DC250" s="26"/>
      <c r="DD250" s="26"/>
      <c r="DE250" s="26"/>
    </row>
    <row r="251" spans="1:109" ht="15" customHeight="1" x14ac:dyDescent="0.25">
      <c r="A251" s="2"/>
      <c r="B251" s="851" t="str">
        <f>IF(B18="","","Vapor Mole Fraction "&amp;B18&amp;" / LC-1")</f>
        <v/>
      </c>
      <c r="C251" s="83"/>
      <c r="D251" s="2091">
        <f>IF(AND(D$215&gt;0,LC1_2&gt;0),D$215/(LC1_2),0)</f>
        <v>0</v>
      </c>
      <c r="E251" s="83"/>
      <c r="F251" s="2091">
        <f>IF(AND(F$215&gt;0,LC1_2&gt;0),F$215/(LC1_2),0)</f>
        <v>0</v>
      </c>
      <c r="G251" s="83"/>
      <c r="H251" s="2091">
        <f>IF(AND(H$215&gt;0,LC1_2&gt;0),H$215/(LC1_2),0)</f>
        <v>0</v>
      </c>
      <c r="I251" s="83"/>
      <c r="J251" s="2091">
        <f>IF(AND(J$215&gt;0,LC1_2&gt;0),J$215/(LC1_2),0)</f>
        <v>0</v>
      </c>
      <c r="K251" s="83"/>
      <c r="L251" s="2091">
        <f>IF(AND(L$215&gt;0,LC1_2&gt;0),L$215/(LC1_2),0)</f>
        <v>0</v>
      </c>
      <c r="M251" s="83"/>
      <c r="N251" s="2091">
        <f>IF(AND(N$215&gt;0,LC1_2&gt;0),N$215/(LC1_2),0)</f>
        <v>0</v>
      </c>
      <c r="O251" s="83"/>
      <c r="P251" s="2091">
        <f>IF(AND(P$215&gt;0,LC1_2&gt;0),P$215/(LC1_2),0)</f>
        <v>0</v>
      </c>
      <c r="Q251" s="83"/>
      <c r="R251" s="2091">
        <f>IF(AND(R$215&gt;0,LC1_2&gt;0),R$215/(LC1_2),0)</f>
        <v>0</v>
      </c>
      <c r="S251" s="83"/>
      <c r="T251" s="2091">
        <f>IF(AND(T$215&gt;0,LC1_2&gt;0),T$215/(LC1_2),0)</f>
        <v>0</v>
      </c>
      <c r="U251" s="83"/>
      <c r="V251" s="2091">
        <f>IF(AND(V$215&gt;0,LC1_2&gt;0),V$215/(LC1_2),0)</f>
        <v>0</v>
      </c>
      <c r="W251" s="83"/>
      <c r="X251" s="2091">
        <f>IF(AND(X$215&gt;0,LC1_2&gt;0),X$215/(LC1_2),0)</f>
        <v>0</v>
      </c>
      <c r="Y251" s="83"/>
      <c r="Z251" s="85"/>
      <c r="AA251" s="83"/>
      <c r="AB251" s="81"/>
      <c r="AC251" s="846" t="str">
        <f>B238</f>
        <v/>
      </c>
      <c r="AD251" s="81"/>
      <c r="AE251" s="2091">
        <f>IF(ER3_1&lt;&gt;"",AE$227/ER3_1,0)</f>
        <v>0</v>
      </c>
      <c r="AF251" s="81"/>
      <c r="AG251" s="2091">
        <f>IF(ER3_1&lt;&gt;"",AG$227/ER3_1,0)</f>
        <v>0</v>
      </c>
      <c r="AH251" s="81"/>
      <c r="AI251" s="2091">
        <f>IF(ER3_1&lt;&gt;"",AI$227/ER3_1,0)</f>
        <v>0</v>
      </c>
      <c r="AJ251" s="81"/>
      <c r="AK251" s="2091">
        <f>IF(ER3_1&lt;&gt;"",AK$227/ER3_1,0)</f>
        <v>0</v>
      </c>
      <c r="AL251" s="81"/>
      <c r="AM251" s="2091">
        <f>IF(ER3_1&lt;&gt;"",AM$227/ER3_1,0)</f>
        <v>0</v>
      </c>
      <c r="AN251" s="81"/>
      <c r="AO251" s="2091">
        <f>IF(ER3HT_1&lt;&gt;"",AO$227/ER3HT_1,0)</f>
        <v>0</v>
      </c>
      <c r="AP251" s="81"/>
      <c r="AQ251" s="85"/>
      <c r="AR251" s="81"/>
      <c r="AS251" s="83"/>
      <c r="AT251" s="512" t="str">
        <f>B254</f>
        <v/>
      </c>
      <c r="AU251" s="83"/>
      <c r="AV251" s="2091">
        <f>IF(AND(AV$215&gt;0,LC1_5&gt;0),AV$215/(LC1_5),0)</f>
        <v>0</v>
      </c>
      <c r="AW251" s="83"/>
      <c r="AX251" s="2091">
        <f>IF(AND(AX$215&gt;0,LC1_5&gt;0),AX$215/(LC1_5),0)</f>
        <v>0</v>
      </c>
      <c r="AY251" s="83"/>
      <c r="AZ251" s="2091">
        <f>IF(AND(AZ$215&gt;0,LC1_5&gt;0),AZ$215/(LC1_5),0)</f>
        <v>0</v>
      </c>
      <c r="BA251" s="83"/>
      <c r="BB251" s="2091">
        <f>IF(AND(BB$215&gt;0,LC1_5&gt;0),BB$215/(LC1_5),0)</f>
        <v>0</v>
      </c>
      <c r="BC251" s="83"/>
      <c r="BD251" s="2091">
        <f>IF(AND(BD$215&gt;0,LC1_5&gt;0),BD$215/(LC1_5),0)</f>
        <v>0</v>
      </c>
      <c r="BE251" s="83"/>
      <c r="BF251" s="2091">
        <f>IF(AND(BF$215&gt;0,LC1_5&gt;0),BF$215/(LC1_5),0)</f>
        <v>0</v>
      </c>
      <c r="BG251" s="83"/>
      <c r="BH251" s="2091">
        <f>IF(AND(BH$215&gt;0,LC1_5&gt;0),BH$215/(LC1_5),0)</f>
        <v>0</v>
      </c>
      <c r="BI251" s="83"/>
      <c r="BJ251" s="2091">
        <f>IF(AND(BJ$215&gt;0,LC1_5&gt;0),BJ$215/(LC1_5),0)</f>
        <v>0</v>
      </c>
      <c r="BK251" s="83"/>
      <c r="BL251" s="2091">
        <f>IF(AND(BL$215&gt;0,LC1_5&gt;0),BL$215/(LC1_5),0)</f>
        <v>0</v>
      </c>
      <c r="BM251" s="83"/>
      <c r="BN251" s="2091">
        <f>IF(AND(BN$215&gt;0,LC1_5&gt;0),BN$215/(LC1_5),0)</f>
        <v>0</v>
      </c>
      <c r="BO251" s="83"/>
      <c r="BP251" s="1835"/>
      <c r="BQ251" s="83"/>
      <c r="BR251" s="81"/>
      <c r="BS251" s="23" t="str">
        <f>B251</f>
        <v/>
      </c>
      <c r="BT251" s="81"/>
      <c r="BU251" s="2091">
        <f>IF(AND(BU$215&gt;0,LC1_2&gt;0),BU$215/(LC1_2),0)</f>
        <v>0</v>
      </c>
      <c r="BV251" s="81"/>
      <c r="BW251" s="2091">
        <f>IF(AND(BW$215&gt;0,LC1_2&gt;0),BW$215/(LC1_2),0)</f>
        <v>0</v>
      </c>
      <c r="BX251" s="81"/>
      <c r="BY251" s="2091">
        <f>IF(AND(BY$215&gt;0,LC1_2&gt;0),BY$215/(LC1_2),0)</f>
        <v>0</v>
      </c>
      <c r="BZ251" s="81"/>
      <c r="CA251" s="2091">
        <f>IF(AND(CA$215&gt;0,LC1_2&gt;0),CA$215/(LC1_2),0)</f>
        <v>0</v>
      </c>
      <c r="CB251" s="81"/>
      <c r="CC251" s="2091">
        <f>IF(AND(CC$215&gt;0,LC1_2&gt;0),CC$215/(LC1_2),0)</f>
        <v>0</v>
      </c>
      <c r="CD251" s="81"/>
      <c r="CE251" s="23"/>
      <c r="CF251" s="81"/>
      <c r="CG251" s="83"/>
      <c r="CH251" s="23" t="s">
        <v>630</v>
      </c>
      <c r="CI251" s="83"/>
      <c r="CJ251" s="97">
        <f>IF(OR(CJ177=0,CJ178&lt;&gt;"Yes"),0,EXP(-Bldg_Type_Coefficient*(Bldg_Type_Correction/CJ177)^Bldg2_Type_Exponent))</f>
        <v>0</v>
      </c>
      <c r="CK251" s="83"/>
      <c r="CL251" s="107"/>
      <c r="CM251" s="83"/>
      <c r="CO251" s="26"/>
      <c r="CP251" s="26"/>
      <c r="CQ251" s="26"/>
      <c r="CR251" s="26"/>
      <c r="CS251" s="26"/>
      <c r="CT251" s="26"/>
      <c r="CU251" s="26"/>
      <c r="CV251" s="26"/>
      <c r="CW251" s="26"/>
      <c r="CX251" s="26"/>
      <c r="CY251" s="26"/>
      <c r="CZ251" s="26"/>
      <c r="DA251" s="26"/>
      <c r="DB251" s="26"/>
      <c r="DC251" s="26"/>
      <c r="DD251" s="26"/>
      <c r="DE251" s="26"/>
    </row>
    <row r="252" spans="1:109" ht="15" customHeight="1" thickBot="1" x14ac:dyDescent="0.3">
      <c r="A252" s="2"/>
      <c r="B252" s="851" t="str">
        <f>IF(B19="","","Vapor Mole Fraction "&amp;B19&amp;" / LC-1")</f>
        <v/>
      </c>
      <c r="C252" s="83"/>
      <c r="D252" s="2091">
        <f>IF(AND(D$216&gt;0,LC1_3&gt;0),D$216/(LC1_3),0)</f>
        <v>0</v>
      </c>
      <c r="E252" s="83"/>
      <c r="F252" s="2091">
        <f>IF(AND(F$216&gt;0,LC1_3&gt;0),F$216/(LC1_3),0)</f>
        <v>0</v>
      </c>
      <c r="G252" s="83"/>
      <c r="H252" s="2091">
        <f>IF(AND(H$216&gt;0,LC1_3&gt;0),H$216/(LC1_3),0)</f>
        <v>0</v>
      </c>
      <c r="I252" s="83"/>
      <c r="J252" s="2091">
        <f>IF(AND(J$216&gt;0,LC1_3&gt;0),J$216/(LC1_3),0)</f>
        <v>0</v>
      </c>
      <c r="K252" s="83"/>
      <c r="L252" s="2091">
        <f>IF(AND(L$216&gt;0,LC1_3&gt;0),L$216/(LC1_3),0)</f>
        <v>0</v>
      </c>
      <c r="M252" s="83"/>
      <c r="N252" s="2091">
        <f>IF(AND(N$216&gt;0,LC1_3&gt;0),N$216/(LC1_3),0)</f>
        <v>0</v>
      </c>
      <c r="O252" s="83"/>
      <c r="P252" s="2091">
        <f>IF(AND(P$216&gt;0,LC1_3&gt;0),P$216/(LC1_3),0)</f>
        <v>0</v>
      </c>
      <c r="Q252" s="83"/>
      <c r="R252" s="2091">
        <f>IF(AND(R$216&gt;0,LC1_3&gt;0),R$216/(LC1_3),0)</f>
        <v>0</v>
      </c>
      <c r="S252" s="83"/>
      <c r="T252" s="2091">
        <f>IF(AND(T$216&gt;0,LC1_3&gt;0),T$216/(LC1_3),0)</f>
        <v>0</v>
      </c>
      <c r="U252" s="83"/>
      <c r="V252" s="2091">
        <f>IF(AND(V$216&gt;0,LC1_3&gt;0),V$216/(LC1_3),0)</f>
        <v>0</v>
      </c>
      <c r="W252" s="83"/>
      <c r="X252" s="2091">
        <f>IF(AND(X$216&gt;0,LC1_3&gt;0),X$216/(LC1_3),0)</f>
        <v>0</v>
      </c>
      <c r="Y252" s="83"/>
      <c r="Z252" s="85"/>
      <c r="AA252" s="83"/>
      <c r="AB252" s="81"/>
      <c r="AC252" s="846" t="str">
        <f>B239</f>
        <v/>
      </c>
      <c r="AD252" s="81"/>
      <c r="AE252" s="2091">
        <f>IF(ER3_2&lt;&gt;"",AE$228/ER3_2,0)</f>
        <v>0</v>
      </c>
      <c r="AF252" s="81"/>
      <c r="AG252" s="2091">
        <f>IF(ER3_2&lt;&gt;"",AG$228/ER3_2,0)</f>
        <v>0</v>
      </c>
      <c r="AH252" s="81"/>
      <c r="AI252" s="2091">
        <f>IF(ER3_2&lt;&gt;"",AI$228/ER3_2,0)</f>
        <v>0</v>
      </c>
      <c r="AJ252" s="81"/>
      <c r="AK252" s="2091">
        <f>IF(ER3_2&lt;&gt;"",AK$228/ER3_2,0)</f>
        <v>0</v>
      </c>
      <c r="AL252" s="81"/>
      <c r="AM252" s="2091">
        <f>IF(ER3_2&lt;&gt;"",AM$228/ER3_2,0)</f>
        <v>0</v>
      </c>
      <c r="AN252" s="81"/>
      <c r="AO252" s="2091">
        <f>IF(ER3HT_2&lt;&gt;"",AO$228/ER3HT_2,0)</f>
        <v>0</v>
      </c>
      <c r="AP252" s="81"/>
      <c r="AQ252" s="85"/>
      <c r="AR252" s="81"/>
      <c r="AS252" s="83"/>
      <c r="AT252" s="2197" t="s">
        <v>3520</v>
      </c>
      <c r="AU252" s="83"/>
      <c r="AV252" s="2101" t="str">
        <f>IF(SUM(AV247:AV251)&gt;0,IF(1/SUM(AV247:AV251)&lt;1000000,1/SUM(AV247:AV251),1000000),"")</f>
        <v/>
      </c>
      <c r="AW252" s="83"/>
      <c r="AX252" s="2101" t="str">
        <f>IF(SUM(AX247:AX251)&gt;0,IF(1/SUM(AX247:AX251)&lt;1000000,1/SUM(AX247:AX251),1000000),"")</f>
        <v/>
      </c>
      <c r="AY252" s="83"/>
      <c r="AZ252" s="2101" t="str">
        <f>IF(SUM(AZ247:AZ251)&gt;0,IF(1/SUM(AZ247:AZ251)&lt;1000000,1/SUM(AZ247:AZ251),1000000),"")</f>
        <v/>
      </c>
      <c r="BA252" s="83"/>
      <c r="BB252" s="2101" t="str">
        <f>IF(SUM(BB247:BB251)&gt;0,IF(1/SUM(BB247:BB251)&lt;1000000,1/SUM(BB247:BB251),1000000),"")</f>
        <v/>
      </c>
      <c r="BC252" s="83"/>
      <c r="BD252" s="2101" t="str">
        <f>IF(SUM(BD247:BD251)&gt;0,IF(1/SUM(BD247:BD251)&lt;1000000,1/SUM(BD247:BD251),1000000),"")</f>
        <v/>
      </c>
      <c r="BE252" s="83"/>
      <c r="BF252" s="2101" t="str">
        <f>IF(SUM(BF247:BF251)&gt;0,IF(1/SUM(BF247:BF251)&lt;1000000,1/SUM(BF247:BF251),1000000),"")</f>
        <v/>
      </c>
      <c r="BG252" s="83"/>
      <c r="BH252" s="2101" t="str">
        <f>IF(SUM(BH247:BH251)&gt;0,IF(1/SUM(BH247:BH251)&lt;1000000,1/SUM(BH247:BH251),1000000),"")</f>
        <v/>
      </c>
      <c r="BI252" s="83"/>
      <c r="BJ252" s="2101" t="str">
        <f>IF(SUM(BJ247:BJ251)&gt;0,IF(1/SUM(BJ247:BJ251)&lt;1000000,1/SUM(BJ247:BJ251),1000000),"")</f>
        <v/>
      </c>
      <c r="BK252" s="83"/>
      <c r="BL252" s="2101" t="str">
        <f>IF(SUM(BL247:BL251)&gt;0,IF(1/SUM(BL247:BL251)&lt;1000000,1/SUM(BL247:BL251),1000000),"")</f>
        <v/>
      </c>
      <c r="BM252" s="83"/>
      <c r="BN252" s="2101" t="str">
        <f>IF(SUM(BN247:BN251)&gt;0,IF(1/SUM(BN247:BN251)&lt;1000000,1/SUM(BN247:BN251),1000000),"")</f>
        <v/>
      </c>
      <c r="BO252" s="83"/>
      <c r="BP252" s="1833" t="s">
        <v>1506</v>
      </c>
      <c r="BQ252" s="83"/>
      <c r="BR252" s="81"/>
      <c r="BS252" s="23" t="str">
        <f>B252</f>
        <v/>
      </c>
      <c r="BT252" s="81"/>
      <c r="BU252" s="2091">
        <f>IF(AND(BU$216&gt;0,LC1_3&gt;0),BU$216/(LC1_3),0)</f>
        <v>0</v>
      </c>
      <c r="BV252" s="81"/>
      <c r="BW252" s="2091">
        <f>IF(AND(BW$216&gt;0,LC1_3&gt;0),BW$216/(LC1_3),0)</f>
        <v>0</v>
      </c>
      <c r="BX252" s="81"/>
      <c r="BY252" s="2091">
        <f>IF(AND(BY$216&gt;0,LC1_3&gt;0),BY$216/(LC1_3),0)</f>
        <v>0</v>
      </c>
      <c r="BZ252" s="81"/>
      <c r="CA252" s="2091">
        <f>IF(AND(CA$216&gt;0,LC1_3&gt;0),CA$216/(LC1_3),0)</f>
        <v>0</v>
      </c>
      <c r="CB252" s="81"/>
      <c r="CC252" s="2091">
        <f>IF(AND(CC$216&gt;0,LC1_3&gt;0),CC$216/(LC1_3),0)</f>
        <v>0</v>
      </c>
      <c r="CD252" s="81"/>
      <c r="CE252" s="23"/>
      <c r="CF252" s="81"/>
      <c r="CG252" s="83"/>
      <c r="CH252" s="3223" t="s">
        <v>5215</v>
      </c>
      <c r="CI252" s="83"/>
      <c r="CJ252" s="3169">
        <f>IF(CJ175="No",0,3.14*Offsite_Area_Bldg_Factor*IF(Offsite_PD1="",Offsite_PD/1000000,Offsite_PD1)*CJ174^2*(EXP(-Offsite_Bldg_a*Zone_1^2/CJ174^2)-EXP(-Offsite_Bldg_a*Public^2/CJ174^2))/(-Offsite_Bldg_a))</f>
        <v>0</v>
      </c>
      <c r="CK252" s="83"/>
      <c r="CL252" s="23"/>
      <c r="CM252" s="83"/>
      <c r="CO252" s="26"/>
      <c r="CP252" s="26"/>
      <c r="CQ252" s="26"/>
      <c r="CR252" s="26"/>
      <c r="CS252" s="26"/>
      <c r="CT252" s="26"/>
      <c r="CU252" s="26"/>
      <c r="CV252" s="26"/>
      <c r="CW252" s="26"/>
      <c r="CX252" s="26"/>
      <c r="CY252" s="26"/>
      <c r="CZ252" s="26"/>
      <c r="DA252" s="26"/>
      <c r="DB252" s="26"/>
      <c r="DC252" s="26"/>
      <c r="DD252" s="26"/>
      <c r="DE252" s="26"/>
    </row>
    <row r="253" spans="1:109" ht="15" customHeight="1" x14ac:dyDescent="0.25">
      <c r="A253" s="2"/>
      <c r="B253" s="851" t="str">
        <f>IF(B20="","","Vapor Mole Fraction "&amp;B20&amp;" / LC-1")</f>
        <v/>
      </c>
      <c r="C253" s="83"/>
      <c r="D253" s="2091">
        <f>IF(AND(D$217&gt;0,LC1_4&gt;0),D$217/(LC1_4),0)</f>
        <v>0</v>
      </c>
      <c r="E253" s="83"/>
      <c r="F253" s="2091">
        <f>IF(AND(F$217&gt;0,LC1_4&gt;0),F$217/(LC1_4),0)</f>
        <v>0</v>
      </c>
      <c r="G253" s="83"/>
      <c r="H253" s="2091">
        <f>IF(AND(H$217&gt;0,LC1_4&gt;0),H$217/(LC1_4),0)</f>
        <v>0</v>
      </c>
      <c r="I253" s="83"/>
      <c r="J253" s="2091">
        <f>IF(AND(J$217&gt;0,LC1_4&gt;0),J$217/(LC1_4),0)</f>
        <v>0</v>
      </c>
      <c r="K253" s="83"/>
      <c r="L253" s="2091">
        <f>IF(AND(L$217&gt;0,LC1_4&gt;0),L$217/(LC1_4),0)</f>
        <v>0</v>
      </c>
      <c r="M253" s="83"/>
      <c r="N253" s="2091">
        <f>IF(AND(N$217&gt;0,LC1_4&gt;0),N$217/(LC1_4),0)</f>
        <v>0</v>
      </c>
      <c r="O253" s="83"/>
      <c r="P253" s="2091">
        <f>IF(AND(P$217&gt;0,LC1_4&gt;0),P$217/(LC1_4),0)</f>
        <v>0</v>
      </c>
      <c r="Q253" s="83"/>
      <c r="R253" s="2091">
        <f>IF(AND(R$217&gt;0,LC1_4&gt;0),R$217/(LC1_4),0)</f>
        <v>0</v>
      </c>
      <c r="S253" s="83"/>
      <c r="T253" s="2091">
        <f>IF(AND(T$217&gt;0,LC1_4&gt;0),T$217/(LC1_4),0)</f>
        <v>0</v>
      </c>
      <c r="U253" s="83"/>
      <c r="V253" s="2091">
        <f>IF(AND(V$217&gt;0,LC1_4&gt;0),V$217/(LC1_4),0)</f>
        <v>0</v>
      </c>
      <c r="W253" s="83"/>
      <c r="X253" s="2091">
        <f>IF(AND(X$217&gt;0,LC1_4&gt;0),X$217/(LC1_4),0)</f>
        <v>0</v>
      </c>
      <c r="Y253" s="83"/>
      <c r="Z253" s="85"/>
      <c r="AA253" s="83"/>
      <c r="AB253" s="81"/>
      <c r="AC253" s="846" t="str">
        <f>B240</f>
        <v/>
      </c>
      <c r="AD253" s="81"/>
      <c r="AE253" s="2091">
        <f>IF(ER3_3&lt;&gt;"",AE$229/ER3_3,0)</f>
        <v>0</v>
      </c>
      <c r="AF253" s="81"/>
      <c r="AG253" s="2091">
        <f>IF(ER3_3&lt;&gt;"",AG$229/ER3_3,0)</f>
        <v>0</v>
      </c>
      <c r="AH253" s="81"/>
      <c r="AI253" s="2091">
        <f>IF(ER3_3&lt;&gt;"",AI$229/ER3_3,0)</f>
        <v>0</v>
      </c>
      <c r="AJ253" s="81"/>
      <c r="AK253" s="2091">
        <f>IF(ER3_3&lt;&gt;"",AK$229/ER3_3,0)</f>
        <v>0</v>
      </c>
      <c r="AL253" s="81"/>
      <c r="AM253" s="2091">
        <f>IF(ER3_3&lt;&gt;"",AM$229/ER3_3,0)</f>
        <v>0</v>
      </c>
      <c r="AN253" s="81"/>
      <c r="AO253" s="2091">
        <f>IF(ER3HT_3&lt;&gt;"",AO$229/ER3HT_3,0)</f>
        <v>0</v>
      </c>
      <c r="AP253" s="81"/>
      <c r="AQ253" s="85"/>
      <c r="AR253" s="81"/>
      <c r="AS253" s="83"/>
      <c r="AT253" s="512" t="str">
        <f>B256</f>
        <v/>
      </c>
      <c r="AU253" s="83"/>
      <c r="AV253" s="2091">
        <f>IF(AND(AV$211&gt;0,LC50_1&gt;0),AV$211/(LC50_1),0)</f>
        <v>0</v>
      </c>
      <c r="AW253" s="83"/>
      <c r="AX253" s="2091">
        <f>IF(AND(AX$211&gt;0,LC50_1&gt;0),AX$211/(LC50_1),0)</f>
        <v>0</v>
      </c>
      <c r="AY253" s="83"/>
      <c r="AZ253" s="2091">
        <f>IF(AND(AZ$211&gt;0,LC50_1&gt;0),AZ$211/(LC50_1),0)</f>
        <v>0</v>
      </c>
      <c r="BA253" s="83"/>
      <c r="BB253" s="2091">
        <f>IF(AND(BB$211&gt;0,LC50_1&gt;0),BB$211/(LC50_1),0)</f>
        <v>0</v>
      </c>
      <c r="BC253" s="83"/>
      <c r="BD253" s="2091">
        <f>IF(AND(BD$211&gt;0,LC50_1&gt;0),BD$211/(LC50_1),0)</f>
        <v>0</v>
      </c>
      <c r="BE253" s="83"/>
      <c r="BF253" s="2091">
        <f>IF(AND(BF$211&gt;0,LC50_1&gt;0),BF$211/(LC50_1),0)</f>
        <v>0</v>
      </c>
      <c r="BG253" s="83"/>
      <c r="BH253" s="2091">
        <f>IF(AND(BH$211&gt;0,LC50_1&gt;0),BH$211/(LC50_1),0)</f>
        <v>0</v>
      </c>
      <c r="BI253" s="83"/>
      <c r="BJ253" s="2091">
        <f>IF(AND(BJ$211&gt;0,LC50_1&gt;0),BJ$211/(LC50_1),0)</f>
        <v>0</v>
      </c>
      <c r="BK253" s="83"/>
      <c r="BL253" s="2091">
        <f>IF(AND(BL$211&gt;0,LC50_1&gt;0),BL$211/(LC50_1),0)</f>
        <v>0</v>
      </c>
      <c r="BM253" s="83"/>
      <c r="BN253" s="2091">
        <f>IF(AND(BN$211&gt;0,LC50_1&gt;0),BN$211/(LC50_1),0)</f>
        <v>0</v>
      </c>
      <c r="BO253" s="83"/>
      <c r="BP253" s="1834"/>
      <c r="BQ253" s="83"/>
      <c r="BR253" s="81"/>
      <c r="BS253" s="23" t="str">
        <f>B253</f>
        <v/>
      </c>
      <c r="BT253" s="81"/>
      <c r="BU253" s="2091">
        <f>IF(AND(BU$217&gt;0,LC1_4&gt;0),BU$217/(LC1_4),0)</f>
        <v>0</v>
      </c>
      <c r="BV253" s="81"/>
      <c r="BW253" s="2091">
        <f>IF(AND(BW$217&gt;0,LC1_4&gt;0),BW$217/(LC1_4),0)</f>
        <v>0</v>
      </c>
      <c r="BX253" s="81"/>
      <c r="BY253" s="2091">
        <f>IF(AND(BY$217&gt;0,LC1_4&gt;0),BY$217/(LC1_4),0)</f>
        <v>0</v>
      </c>
      <c r="BZ253" s="81"/>
      <c r="CA253" s="2091">
        <f>IF(AND(CA$217&gt;0,LC1_4&gt;0),CA$217/(LC1_4),0)</f>
        <v>0</v>
      </c>
      <c r="CB253" s="81"/>
      <c r="CC253" s="2091">
        <f>IF(AND(CC$217&gt;0,LC1_4&gt;0),CC$217/(LC1_4),0)</f>
        <v>0</v>
      </c>
      <c r="CD253" s="81"/>
      <c r="CE253" s="23"/>
      <c r="CF253" s="81"/>
      <c r="CG253" s="83"/>
      <c r="CH253" s="3223" t="s">
        <v>5216</v>
      </c>
      <c r="CI253" s="83"/>
      <c r="CJ253" s="3169">
        <f>IF(CJ175="No",0,3.14*Offsite_Area_Bldg_Factor*IF(Offsite_PD2="",Offsite_PD/1000000,Offsite_PD2)*CJ174^2*(0-EXP(-Offsite_Bldg_a*Zone_1^2/CJ174^2))/(-Offsite_Bldg_a))</f>
        <v>0</v>
      </c>
      <c r="CK253" s="83"/>
      <c r="CL253" s="23"/>
      <c r="CM253" s="83"/>
      <c r="CO253" s="26"/>
      <c r="CP253" s="26"/>
      <c r="CQ253" s="26"/>
      <c r="CR253" s="26"/>
      <c r="CS253" s="26"/>
      <c r="CT253" s="26"/>
      <c r="CU253" s="26"/>
      <c r="CV253" s="26"/>
      <c r="CW253" s="26"/>
      <c r="CX253" s="26"/>
      <c r="CY253" s="26"/>
      <c r="CZ253" s="26"/>
      <c r="DA253" s="26"/>
      <c r="DB253" s="26"/>
      <c r="DC253" s="26"/>
      <c r="DD253" s="26"/>
      <c r="DE253" s="26"/>
    </row>
    <row r="254" spans="1:109" ht="15" customHeight="1" x14ac:dyDescent="0.25">
      <c r="A254" s="2"/>
      <c r="B254" s="851" t="str">
        <f>IF(B21="","","Vapor Mole Fraction "&amp;B21&amp;" / LC-1")</f>
        <v/>
      </c>
      <c r="C254" s="83"/>
      <c r="D254" s="2091">
        <f>IF(AND(D$218&gt;0,LC1_5&gt;0),D$218/(LC1_5),0)</f>
        <v>0</v>
      </c>
      <c r="E254" s="83"/>
      <c r="F254" s="2091">
        <f>IF(AND(F$218&gt;0,LC1_5&gt;0),F$218/(LC1_5),0)</f>
        <v>0</v>
      </c>
      <c r="G254" s="83"/>
      <c r="H254" s="2091">
        <f>IF(AND(H$218&gt;0,LC1_5&gt;0),H$218/(LC1_5),0)</f>
        <v>0</v>
      </c>
      <c r="I254" s="83"/>
      <c r="J254" s="2091">
        <f>IF(AND(J$218&gt;0,LC1_5&gt;0),J$218/(LC1_5),0)</f>
        <v>0</v>
      </c>
      <c r="K254" s="83"/>
      <c r="L254" s="2091">
        <f>IF(AND(L$218&gt;0,LC1_5&gt;0),L$218/(LC1_5),0)</f>
        <v>0</v>
      </c>
      <c r="M254" s="83"/>
      <c r="N254" s="2091">
        <f>IF(AND(N$218&gt;0,LC1_5&gt;0),N$218/(LC1_5),0)</f>
        <v>0</v>
      </c>
      <c r="O254" s="83"/>
      <c r="P254" s="2091">
        <f>IF(AND(P$218&gt;0,LC1_5&gt;0),P$218/(LC1_5),0)</f>
        <v>0</v>
      </c>
      <c r="Q254" s="83"/>
      <c r="R254" s="2091">
        <f>IF(AND(R$218&gt;0,LC1_5&gt;0),R$218/(LC1_5),0)</f>
        <v>0</v>
      </c>
      <c r="S254" s="83"/>
      <c r="T254" s="2091">
        <f>IF(AND(T$218&gt;0,LC1_5&gt;0),T$218/(LC1_5),0)</f>
        <v>0</v>
      </c>
      <c r="U254" s="83"/>
      <c r="V254" s="2091">
        <f>IF(AND(V$218&gt;0,LC1_5&gt;0),V$218/(LC1_5),0)</f>
        <v>0</v>
      </c>
      <c r="W254" s="83"/>
      <c r="X254" s="2091">
        <f>IF(AND(X$218&gt;0,LC1_5&gt;0),X$218/(LC1_5),0)</f>
        <v>0</v>
      </c>
      <c r="Y254" s="83"/>
      <c r="Z254" s="85"/>
      <c r="AA254" s="83"/>
      <c r="AB254" s="81"/>
      <c r="AC254" s="846" t="str">
        <f>B241</f>
        <v/>
      </c>
      <c r="AD254" s="81"/>
      <c r="AE254" s="2091">
        <f>IF(ER3_4&lt;&gt;"",AE$230/ER3_4,0)</f>
        <v>0</v>
      </c>
      <c r="AF254" s="81"/>
      <c r="AG254" s="2091">
        <f>IF(ER3_4&lt;&gt;"",AG$230/ER3_4,0)</f>
        <v>0</v>
      </c>
      <c r="AH254" s="81"/>
      <c r="AI254" s="2091">
        <f>IF(ER3_4&lt;&gt;"",AI$230/ER3_4,0)</f>
        <v>0</v>
      </c>
      <c r="AJ254" s="81"/>
      <c r="AK254" s="2091">
        <f>IF(ER3_4&lt;&gt;"",AK$230/ER3_4,0)</f>
        <v>0</v>
      </c>
      <c r="AL254" s="81"/>
      <c r="AM254" s="2091">
        <f>IF(ER3_4&lt;&gt;"",AM$230/ER3_4,0)</f>
        <v>0</v>
      </c>
      <c r="AN254" s="81"/>
      <c r="AO254" s="2091">
        <f>IF(ER3HT_4&lt;&gt;"",AO$230/ER3HT_4,0)</f>
        <v>0</v>
      </c>
      <c r="AP254" s="81"/>
      <c r="AQ254" s="85"/>
      <c r="AR254" s="81"/>
      <c r="AS254" s="83"/>
      <c r="AT254" s="512" t="str">
        <f>B257</f>
        <v/>
      </c>
      <c r="AU254" s="83"/>
      <c r="AV254" s="2091">
        <f>IF(AND(AV$212&gt;0,LC50_2&gt;0),AV$212/(LC50_2),0)</f>
        <v>0</v>
      </c>
      <c r="AW254" s="83"/>
      <c r="AX254" s="2091">
        <f>IF(AND(AX$212&gt;0,LC50_2&gt;0),AX$212/(LC50_2),0)</f>
        <v>0</v>
      </c>
      <c r="AY254" s="83"/>
      <c r="AZ254" s="2091">
        <f>IF(AND(AZ$212&gt;0,LC50_2&gt;0),AZ$212/(LC50_2),0)</f>
        <v>0</v>
      </c>
      <c r="BA254" s="83"/>
      <c r="BB254" s="2091">
        <f>IF(AND(BB$212&gt;0,LC50_2&gt;0),BB$212/(LC50_2),0)</f>
        <v>0</v>
      </c>
      <c r="BC254" s="83"/>
      <c r="BD254" s="2091">
        <f>IF(AND(BD$212&gt;0,LC50_2&gt;0),BD$212/(LC50_2),0)</f>
        <v>0</v>
      </c>
      <c r="BE254" s="83"/>
      <c r="BF254" s="2091">
        <f>IF(AND(BF$212&gt;0,LC50_2&gt;0),BF$212/(LC50_2),0)</f>
        <v>0</v>
      </c>
      <c r="BG254" s="83"/>
      <c r="BH254" s="2091">
        <f>IF(AND(BH$212&gt;0,LC50_2&gt;0),BH$212/(LC50_2),0)</f>
        <v>0</v>
      </c>
      <c r="BI254" s="83"/>
      <c r="BJ254" s="2091">
        <f>IF(AND(BJ$212&gt;0,LC50_2&gt;0),BJ$212/(LC50_2),0)</f>
        <v>0</v>
      </c>
      <c r="BK254" s="83"/>
      <c r="BL254" s="2091">
        <f>IF(AND(BL$212&gt;0,LC50_2&gt;0),BL$212/(LC50_2),0)</f>
        <v>0</v>
      </c>
      <c r="BM254" s="83"/>
      <c r="BN254" s="2091">
        <f>IF(AND(BN$212&gt;0,LC50_2&gt;0),BN$212/(LC50_2),0)</f>
        <v>0</v>
      </c>
      <c r="BO254" s="83"/>
      <c r="BP254" s="1835"/>
      <c r="BQ254" s="83"/>
      <c r="BR254" s="81"/>
      <c r="BS254" s="23" t="str">
        <f>B254</f>
        <v/>
      </c>
      <c r="BT254" s="81"/>
      <c r="BU254" s="2091">
        <f>IF(AND(BU$218&gt;0,LC1_5&gt;0),BU$218/(LC1_5),0)</f>
        <v>0</v>
      </c>
      <c r="BV254" s="81"/>
      <c r="BW254" s="2091">
        <f>IF(AND(BW$218&gt;0,LC1_5&gt;0),BW$218/(LC1_5),0)</f>
        <v>0</v>
      </c>
      <c r="BX254" s="81"/>
      <c r="BY254" s="2091">
        <f>IF(AND(BY$218&gt;0,LC1_5&gt;0),BY$218/(LC1_5),0)</f>
        <v>0</v>
      </c>
      <c r="BZ254" s="81"/>
      <c r="CA254" s="2091">
        <f>IF(AND(CA$218&gt;0,LC1_5&gt;0),CA$218/(LC1_5),0)</f>
        <v>0</v>
      </c>
      <c r="CB254" s="81"/>
      <c r="CC254" s="2091">
        <f>IF(AND(CC$218&gt;0,LC1_5&gt;0),CC$218/(LC1_5),0)</f>
        <v>0</v>
      </c>
      <c r="CD254" s="81"/>
      <c r="CE254" s="23"/>
      <c r="CF254" s="81"/>
      <c r="CG254" s="83"/>
      <c r="CH254" s="3170" t="s">
        <v>5217</v>
      </c>
      <c r="CI254" s="83"/>
      <c r="CJ254" s="3169">
        <f>CJ252+CJ253</f>
        <v>0</v>
      </c>
      <c r="CK254" s="83"/>
      <c r="CL254" s="23"/>
      <c r="CM254" s="83"/>
      <c r="CO254" s="26"/>
      <c r="CP254" s="26"/>
      <c r="CQ254" s="26"/>
      <c r="CR254" s="26"/>
      <c r="CS254" s="26"/>
      <c r="CT254" s="26"/>
      <c r="CU254" s="26"/>
      <c r="CV254" s="26"/>
      <c r="CW254" s="26"/>
      <c r="CX254" s="26"/>
      <c r="CY254" s="26"/>
      <c r="CZ254" s="26"/>
      <c r="DA254" s="26"/>
      <c r="DB254" s="26"/>
      <c r="DC254" s="26"/>
      <c r="DD254" s="26"/>
      <c r="DE254" s="26"/>
    </row>
    <row r="255" spans="1:109" ht="15" customHeight="1" thickBot="1" x14ac:dyDescent="0.3">
      <c r="A255" s="2"/>
      <c r="B255" s="2197" t="s">
        <v>3520</v>
      </c>
      <c r="C255" s="83"/>
      <c r="D255" s="2101" t="str">
        <f>IF(SUM(D250:D254)&gt;0,IF(1/SUM(D250:D254)&lt;1000000,1/SUM(D250:D254),1000000),"")</f>
        <v/>
      </c>
      <c r="E255" s="83"/>
      <c r="F255" s="2101" t="str">
        <f>IF(SUM(F250:F254)&gt;0,IF(1/SUM(F250:F254)&lt;1000000,1/SUM(F250:F254),1000000),"")</f>
        <v/>
      </c>
      <c r="G255" s="83"/>
      <c r="H255" s="2101" t="str">
        <f>IF(SUM(H250:H254)&gt;0,IF(1/SUM(H250:H254)&lt;1000000,1/SUM(H250:H254),1000000),"")</f>
        <v/>
      </c>
      <c r="I255" s="83"/>
      <c r="J255" s="2101" t="str">
        <f>IF(SUM(J250:J254)&gt;0,IF(1/SUM(J250:J254)&lt;1000000,1/SUM(J250:J254),1000000),"")</f>
        <v/>
      </c>
      <c r="K255" s="83"/>
      <c r="L255" s="2101" t="str">
        <f>IF(SUM(L250:L254)&gt;0,IF(1/SUM(L250:L254)&lt;1000000,1/SUM(L250:L254),1000000),"")</f>
        <v/>
      </c>
      <c r="M255" s="83"/>
      <c r="N255" s="2101" t="str">
        <f>IF(SUM(N250:N254)&gt;0,IF(1/SUM(N250:N254)&lt;1000000,1/SUM(N250:N254),1000000),"")</f>
        <v/>
      </c>
      <c r="O255" s="83"/>
      <c r="P255" s="2101" t="str">
        <f>IF(SUM(P250:P254)&gt;0,IF(1/SUM(P250:P254)&lt;1000000,1/SUM(P250:P254),1000000),"")</f>
        <v/>
      </c>
      <c r="Q255" s="83"/>
      <c r="R255" s="2101" t="str">
        <f>IF(SUM(R250:R254)&gt;0,IF(1/SUM(R250:R254)&lt;1000000,1/SUM(R250:R254),1000000),"")</f>
        <v/>
      </c>
      <c r="S255" s="83"/>
      <c r="T255" s="2101" t="str">
        <f>IF(SUM(T250:T254)&gt;0,IF(1/SUM(T250:T254)&lt;1000000,1/SUM(T250:T254),1000000),"")</f>
        <v/>
      </c>
      <c r="U255" s="83"/>
      <c r="V255" s="2101" t="str">
        <f>IF(SUM(V250:V254)&gt;0,IF(1/SUM(V250:V254)&lt;1000000,1/SUM(V250:V254),1000000),"")</f>
        <v/>
      </c>
      <c r="W255" s="83"/>
      <c r="X255" s="2101" t="str">
        <f>IF(SUM(X250:X254)&gt;0,IF(1/SUM(X250:X254)&lt;1000000,1/SUM(X250:X254),1000000),"")</f>
        <v/>
      </c>
      <c r="Y255" s="83"/>
      <c r="Z255" s="85" t="s">
        <v>1506</v>
      </c>
      <c r="AA255" s="83"/>
      <c r="AB255" s="81"/>
      <c r="AC255" s="846" t="str">
        <f>B242</f>
        <v/>
      </c>
      <c r="AD255" s="81"/>
      <c r="AE255" s="2091">
        <f>IF(ER3_5&lt;&gt;"",AE$231/ER3_5,0)</f>
        <v>0</v>
      </c>
      <c r="AF255" s="81"/>
      <c r="AG255" s="2091">
        <f>IF(ER3_5&lt;&gt;"",AG$231/ER3_5,0)</f>
        <v>0</v>
      </c>
      <c r="AH255" s="81"/>
      <c r="AI255" s="2091">
        <f>IF(ER3_5&lt;&gt;"",AI$231/ER3_5,0)</f>
        <v>0</v>
      </c>
      <c r="AJ255" s="81"/>
      <c r="AK255" s="2091">
        <f>IF(ER3_5&lt;&gt;"",AK$231/ER3_5,0)</f>
        <v>0</v>
      </c>
      <c r="AL255" s="81"/>
      <c r="AM255" s="2091">
        <f>IF(ER3_5&lt;&gt;"",AM$231/ER3_5,0)</f>
        <v>0</v>
      </c>
      <c r="AN255" s="81"/>
      <c r="AO255" s="2091">
        <f>IF(ER3HT_5&lt;&gt;"",AO$231/ER3HT_5,0)</f>
        <v>0</v>
      </c>
      <c r="AP255" s="81"/>
      <c r="AQ255" s="85"/>
      <c r="AR255" s="81"/>
      <c r="AS255" s="83"/>
      <c r="AT255" s="512" t="str">
        <f>B258</f>
        <v/>
      </c>
      <c r="AU255" s="83"/>
      <c r="AV255" s="2091">
        <f>IF(AND(AV$213&gt;0,LC50_3&gt;0),AV$213/(LC50_3),0)</f>
        <v>0</v>
      </c>
      <c r="AW255" s="83"/>
      <c r="AX255" s="2091">
        <f>IF(AND(AX$213&gt;0,LC50_3&gt;0),AX$213/(LC50_3),0)</f>
        <v>0</v>
      </c>
      <c r="AY255" s="83"/>
      <c r="AZ255" s="2091">
        <f>IF(AND(AZ$213&gt;0,LC50_3&gt;0),AZ$213/(LC50_3),0)</f>
        <v>0</v>
      </c>
      <c r="BA255" s="83"/>
      <c r="BB255" s="2091">
        <f>IF(AND(BB$213&gt;0,LC50_3&gt;0),BB$213/(LC50_3),0)</f>
        <v>0</v>
      </c>
      <c r="BC255" s="83"/>
      <c r="BD255" s="2091">
        <f>IF(AND(BD$213&gt;0,LC50_3&gt;0),BD$213/(LC50_3),0)</f>
        <v>0</v>
      </c>
      <c r="BE255" s="83"/>
      <c r="BF255" s="2091">
        <f>IF(AND(BF$213&gt;0,LC50_3&gt;0),BF$213/(LC50_3),0)</f>
        <v>0</v>
      </c>
      <c r="BG255" s="83"/>
      <c r="BH255" s="2091">
        <f>IF(AND(BH$213&gt;0,LC50_3&gt;0),BH$213/(LC50_3),0)</f>
        <v>0</v>
      </c>
      <c r="BI255" s="83"/>
      <c r="BJ255" s="2091">
        <f>IF(AND(BJ$213&gt;0,LC50_3&gt;0),BJ$213/(LC50_3),0)</f>
        <v>0</v>
      </c>
      <c r="BK255" s="83"/>
      <c r="BL255" s="2091">
        <f>IF(AND(BL$213&gt;0,LC50_3&gt;0),BL$213/(LC50_3),0)</f>
        <v>0</v>
      </c>
      <c r="BM255" s="83"/>
      <c r="BN255" s="2091">
        <f>IF(AND(BN$213&gt;0,LC50_3&gt;0),BN$213/(LC50_3),0)</f>
        <v>0</v>
      </c>
      <c r="BO255" s="83"/>
      <c r="BP255" s="1835"/>
      <c r="BQ255" s="83"/>
      <c r="BR255" s="81"/>
      <c r="BS255" s="2586" t="s">
        <v>3520</v>
      </c>
      <c r="BT255" s="81"/>
      <c r="BU255" s="2101" t="str">
        <f>IF(SUM(BU250:BU254)&gt;0,IF(1/SUM(BU250:BU254)&lt;1000000,1/SUM(BU250:BU254),1000000),"")</f>
        <v/>
      </c>
      <c r="BV255" s="81"/>
      <c r="BW255" s="2101" t="str">
        <f>IF(SUM(BW250:BW254)&gt;0,IF(1/SUM(BW250:BW254)&lt;1000000,1/SUM(BW250:BW254),1000000),"")</f>
        <v/>
      </c>
      <c r="BX255" s="81"/>
      <c r="BY255" s="2101" t="str">
        <f>IF(SUM(BY250:BY254)&gt;0,IF(1/SUM(BY250:BY254)&lt;1000000,1/SUM(BY250:BY254),1000000),"")</f>
        <v/>
      </c>
      <c r="BZ255" s="81"/>
      <c r="CA255" s="2101" t="str">
        <f>IF(SUM(CA250:CA254)&gt;0,IF(1/SUM(CA250:CA254)&lt;1000000,1/SUM(CA250:CA254),1000000),"")</f>
        <v/>
      </c>
      <c r="CB255" s="81"/>
      <c r="CC255" s="2101" t="str">
        <f>IF(SUM(CC250:CC254)&gt;0,IF(1/SUM(CC250:CC254)&lt;1000000,1/SUM(CC250:CC254),1000000),"")</f>
        <v/>
      </c>
      <c r="CD255" s="81"/>
      <c r="CE255" s="25" t="s">
        <v>1506</v>
      </c>
      <c r="CF255" s="81"/>
      <c r="CG255" s="83"/>
      <c r="CH255" s="23" t="s">
        <v>2009</v>
      </c>
      <c r="CI255" s="83"/>
      <c r="CJ255" s="86">
        <f>Occupants_atRisk*CJ250+IF(CJ157="Yes",Occupants_atRisk2*CJ251,0)+CJ238+CJ254</f>
        <v>0</v>
      </c>
      <c r="CK255" s="83"/>
      <c r="CL255" s="23"/>
      <c r="CM255" s="83"/>
      <c r="CO255" s="26"/>
      <c r="CP255" s="26"/>
      <c r="CQ255" s="26"/>
      <c r="CR255" s="26"/>
      <c r="CS255" s="26"/>
      <c r="CT255" s="26"/>
      <c r="CU255" s="26"/>
      <c r="CV255" s="26"/>
      <c r="CW255" s="26"/>
      <c r="CX255" s="26"/>
      <c r="CY255" s="26"/>
      <c r="CZ255" s="26"/>
      <c r="DA255" s="26"/>
      <c r="DB255" s="26"/>
      <c r="DC255" s="26"/>
      <c r="DD255" s="26"/>
      <c r="DE255" s="26"/>
    </row>
    <row r="256" spans="1:109" ht="15" customHeight="1" x14ac:dyDescent="0.25">
      <c r="A256" s="2"/>
      <c r="B256" s="851" t="str">
        <f>IF(B17="","","Vapor Mole Fraction "&amp;B17&amp;" / LC-50")</f>
        <v/>
      </c>
      <c r="C256" s="83"/>
      <c r="D256" s="2091">
        <f>IF(AND(D$214&gt;0,LC50_1&gt;0),D$214/(LC50_1),0)</f>
        <v>0</v>
      </c>
      <c r="E256" s="83"/>
      <c r="F256" s="2091">
        <f>IF(AND(F$214&gt;0,LC50_1&gt;0),F$214/(LC50_1),0)</f>
        <v>0</v>
      </c>
      <c r="G256" s="83"/>
      <c r="H256" s="2091">
        <f>IF(AND(H$214&gt;0,LC50_1&gt;0),H$214/(LC50_1),0)</f>
        <v>0</v>
      </c>
      <c r="I256" s="83"/>
      <c r="J256" s="2091">
        <f>IF(AND(J$214&gt;0,LC50_1&gt;0),J$214/(LC50_1),0)</f>
        <v>0</v>
      </c>
      <c r="K256" s="83"/>
      <c r="L256" s="2091">
        <f>IF(AND(L$214&gt;0,LC50_1&gt;0),L$214/(LC50_1),0)</f>
        <v>0</v>
      </c>
      <c r="M256" s="83"/>
      <c r="N256" s="2091">
        <f>IF(AND(N$214&gt;0,LC50_1&gt;0),N$214/(LC50_1),0)</f>
        <v>0</v>
      </c>
      <c r="O256" s="83"/>
      <c r="P256" s="2091">
        <f>IF(AND(P$214&gt;0,LC50_1&gt;0),P$214/(LC50_1),0)</f>
        <v>0</v>
      </c>
      <c r="Q256" s="83"/>
      <c r="R256" s="2091">
        <f>IF(AND(R$214&gt;0,LC50_1&gt;0),R$214/(LC50_1),0)</f>
        <v>0</v>
      </c>
      <c r="S256" s="83"/>
      <c r="T256" s="2091">
        <f>IF(AND(T$214&gt;0,LC50_1&gt;0),T$214/(LC50_1),0)</f>
        <v>0</v>
      </c>
      <c r="U256" s="83"/>
      <c r="V256" s="2091">
        <f>IF(AND(V$214&gt;0,LC50_1&gt;0),V$214/(LC50_1),0)</f>
        <v>0</v>
      </c>
      <c r="W256" s="83"/>
      <c r="X256" s="2091">
        <f>IF(AND(X$214&gt;0,LC50_1&gt;0),X$214/(LC50_1),0)</f>
        <v>0</v>
      </c>
      <c r="Y256" s="83"/>
      <c r="Z256" s="85"/>
      <c r="AA256" s="83"/>
      <c r="AB256" s="81"/>
      <c r="AC256" s="2586" t="s">
        <v>3673</v>
      </c>
      <c r="AD256" s="81"/>
      <c r="AE256" s="2101" t="str">
        <f>IF(SUM(AE251:AE255)&gt;0,IF(1/SUM(AE251:AE255)&lt;1000000,1/SUM(AE251:AE255),1000000),"")</f>
        <v/>
      </c>
      <c r="AF256" s="81"/>
      <c r="AG256" s="2101" t="str">
        <f>IF(SUM(AG251:AG255)&gt;0,IF(1/SUM(AG251:AG255)&lt;1000000,1/SUM(AG251:AG255),1000000),"")</f>
        <v/>
      </c>
      <c r="AH256" s="81"/>
      <c r="AI256" s="2101" t="str">
        <f>IF(SUM(AI251:AI255)&gt;0,IF(1/SUM(AI251:AI255)&lt;1000000,1/SUM(AI251:AI255),1000000),"")</f>
        <v/>
      </c>
      <c r="AJ256" s="81"/>
      <c r="AK256" s="2101" t="str">
        <f>IF(SUM(AK251:AK255)&gt;0,IF(1/SUM(AK251:AK255)&lt;1000000,1/SUM(AK251:AK255),1000000),"")</f>
        <v/>
      </c>
      <c r="AL256" s="81"/>
      <c r="AM256" s="2101" t="str">
        <f>IF(SUM(AM251:AM255)&gt;0,IF(1/SUM(AM251:AM255)&lt;1000000,1/SUM(AM251:AM255),1000000),"")</f>
        <v/>
      </c>
      <c r="AN256" s="81"/>
      <c r="AO256" s="2101" t="str">
        <f>IF(SUM(AO251:AO255)&gt;0,IF(1/SUM(AO251:AO255)&lt;1000000,1/SUM(AO251:AO255),1000000),"")</f>
        <v/>
      </c>
      <c r="AP256" s="81"/>
      <c r="AQ256" s="85" t="s">
        <v>1506</v>
      </c>
      <c r="AR256" s="81"/>
      <c r="AS256" s="83"/>
      <c r="AT256" s="512" t="str">
        <f>B259</f>
        <v/>
      </c>
      <c r="AU256" s="83"/>
      <c r="AV256" s="2091">
        <f>IF(AND(AV$214&gt;0,LC50_4&gt;0),AV$214/(LC50_4),0)</f>
        <v>0</v>
      </c>
      <c r="AW256" s="83"/>
      <c r="AX256" s="2091">
        <f>IF(AND(AX$214&gt;0,LC50_4&gt;0),AX$214/(LC50_4),0)</f>
        <v>0</v>
      </c>
      <c r="AY256" s="83"/>
      <c r="AZ256" s="2091">
        <f>IF(AND(AZ$214&gt;0,LC50_4&gt;0),AZ$214/(LC50_4),0)</f>
        <v>0</v>
      </c>
      <c r="BA256" s="83"/>
      <c r="BB256" s="2091">
        <f>IF(AND(BB$214&gt;0,LC50_4&gt;0),BB$214/(LC50_4),0)</f>
        <v>0</v>
      </c>
      <c r="BC256" s="83"/>
      <c r="BD256" s="2091">
        <f>IF(AND(BD$214&gt;0,LC50_4&gt;0),BD$214/(LC50_4),0)</f>
        <v>0</v>
      </c>
      <c r="BE256" s="83"/>
      <c r="BF256" s="2091">
        <f>IF(AND(BF$214&gt;0,LC50_4&gt;0),BF$214/(LC50_4),0)</f>
        <v>0</v>
      </c>
      <c r="BG256" s="83"/>
      <c r="BH256" s="2091">
        <f>IF(AND(BH$214&gt;0,LC50_4&gt;0),BH$214/(LC50_4),0)</f>
        <v>0</v>
      </c>
      <c r="BI256" s="83"/>
      <c r="BJ256" s="2091">
        <f>IF(AND(BJ$214&gt;0,LC50_4&gt;0),BJ$214/(LC50_4),0)</f>
        <v>0</v>
      </c>
      <c r="BK256" s="83"/>
      <c r="BL256" s="2091">
        <f>IF(AND(BL$214&gt;0,LC50_4&gt;0),BL$214/(LC50_4),0)</f>
        <v>0</v>
      </c>
      <c r="BM256" s="83"/>
      <c r="BN256" s="2091">
        <f>IF(AND(BN$214&gt;0,LC50_4&gt;0),BN$214/(LC50_4),0)</f>
        <v>0</v>
      </c>
      <c r="BO256" s="83"/>
      <c r="BP256" s="1835"/>
      <c r="BQ256" s="83"/>
      <c r="BR256" s="81"/>
      <c r="BS256" s="23" t="str">
        <f>B256</f>
        <v/>
      </c>
      <c r="BT256" s="81"/>
      <c r="BU256" s="2091">
        <f>IF(AND(BU$214&gt;0,LC50_1&gt;0),BU$214/(LC50_1),0)</f>
        <v>0</v>
      </c>
      <c r="BV256" s="81"/>
      <c r="BW256" s="2091">
        <f>IF(AND(BW$214&gt;0,LC50_1&gt;0),BW$214/(LC50_1),0)</f>
        <v>0</v>
      </c>
      <c r="BX256" s="81"/>
      <c r="BY256" s="2091">
        <f>IF(AND(BY$214&gt;0,LC50_1&gt;0),BY$214/(LC50_1),0)</f>
        <v>0</v>
      </c>
      <c r="BZ256" s="81"/>
      <c r="CA256" s="2091">
        <f>IF(AND(CA$214&gt;0,LC50_1&gt;0),CA$214/(LC50_1),0)</f>
        <v>0</v>
      </c>
      <c r="CB256" s="81"/>
      <c r="CC256" s="2091">
        <f>IF(AND(CC$214&gt;0,LC50_1&gt;0),CC$214/(LC50_1),0)</f>
        <v>0</v>
      </c>
      <c r="CD256" s="81"/>
      <c r="CE256" s="84"/>
      <c r="CF256" s="81"/>
      <c r="CG256" s="83"/>
      <c r="CH256" s="23" t="s">
        <v>1979</v>
      </c>
      <c r="CI256" s="83"/>
      <c r="CJ256" s="86">
        <f>CJ255+CJ238</f>
        <v>0</v>
      </c>
      <c r="CK256" s="83"/>
      <c r="CL256" s="91"/>
      <c r="CM256" s="83"/>
      <c r="CO256" s="26"/>
      <c r="CP256" s="26"/>
      <c r="CQ256" s="26"/>
      <c r="CR256" s="26"/>
      <c r="CS256" s="26"/>
      <c r="CT256" s="26"/>
      <c r="CU256" s="26"/>
      <c r="CV256" s="26"/>
      <c r="CW256" s="26"/>
      <c r="CX256" s="26"/>
      <c r="CY256" s="26"/>
      <c r="CZ256" s="26"/>
      <c r="DA256" s="26"/>
      <c r="DB256" s="26"/>
      <c r="DC256" s="26"/>
      <c r="DD256" s="26"/>
      <c r="DE256" s="26"/>
    </row>
    <row r="257" spans="1:109" ht="15" customHeight="1" thickBot="1" x14ac:dyDescent="0.3">
      <c r="A257" s="2"/>
      <c r="B257" s="851" t="str">
        <f>IF(B18="","","Vapor Mole Fraction "&amp;B18&amp;" / LC-50")</f>
        <v/>
      </c>
      <c r="C257" s="83"/>
      <c r="D257" s="2091">
        <f>IF(AND(D$215&gt;0,LC50_2&gt;0),D$215/(LC50_2),0)</f>
        <v>0</v>
      </c>
      <c r="E257" s="83"/>
      <c r="F257" s="2091">
        <f>IF(AND(F$215&gt;0,LC50_2&gt;0),F$215/(LC50_2),0)</f>
        <v>0</v>
      </c>
      <c r="G257" s="83"/>
      <c r="H257" s="2091">
        <f>IF(AND(H$215&gt;0,LC50_2&gt;0),H$215/(LC50_2),0)</f>
        <v>0</v>
      </c>
      <c r="I257" s="83"/>
      <c r="J257" s="2091">
        <f>IF(AND(J$215&gt;0,LC50_2&gt;0),J$215/(LC50_2),0)</f>
        <v>0</v>
      </c>
      <c r="K257" s="83"/>
      <c r="L257" s="2091">
        <f>IF(AND(L$215&gt;0,LC50_2&gt;0),L$215/(LC50_2),0)</f>
        <v>0</v>
      </c>
      <c r="M257" s="83"/>
      <c r="N257" s="2091">
        <f>IF(AND(N$215&gt;0,LC50_2&gt;0),N$215/(LC50_2),0)</f>
        <v>0</v>
      </c>
      <c r="O257" s="83"/>
      <c r="P257" s="2091">
        <f>IF(AND(P$215&gt;0,LC50_2&gt;0),P$215/(LC50_2),0)</f>
        <v>0</v>
      </c>
      <c r="Q257" s="83"/>
      <c r="R257" s="2091">
        <f>IF(AND(R$215&gt;0,LC50_2&gt;0),R$215/(LC50_2),0)</f>
        <v>0</v>
      </c>
      <c r="S257" s="83"/>
      <c r="T257" s="2091">
        <f>IF(AND(T$215&gt;0,LC50_2&gt;0),T$215/(LC50_2),0)</f>
        <v>0</v>
      </c>
      <c r="U257" s="83"/>
      <c r="V257" s="2091">
        <f>IF(AND(V$215&gt;0,LC50_2&gt;0),V$215/(LC50_2),0)</f>
        <v>0</v>
      </c>
      <c r="W257" s="83"/>
      <c r="X257" s="2091">
        <f>IF(AND(X$215&gt;0,LC50_2&gt;0),X$215/(LC50_2),0)</f>
        <v>0</v>
      </c>
      <c r="Y257" s="83"/>
      <c r="Z257" s="85"/>
      <c r="AA257" s="83"/>
      <c r="AB257" s="81"/>
      <c r="AC257" s="846" t="str">
        <f>B244</f>
        <v/>
      </c>
      <c r="AD257" s="81"/>
      <c r="AE257" s="1181">
        <f>IF(AND(AE$227&gt;0,LFL_1&lt;&gt;""),AE$227/LFL_1,0)</f>
        <v>0</v>
      </c>
      <c r="AF257" s="81"/>
      <c r="AG257" s="1181">
        <f>IF(AND(AG$227&gt;0,LFL_1&lt;&gt;""),AG$227/LFL_1,0)</f>
        <v>0</v>
      </c>
      <c r="AH257" s="81"/>
      <c r="AI257" s="1181">
        <f>IF(AND(AI$227&gt;0,LFL_1&lt;&gt;""),AI$227/LFL_1,0)</f>
        <v>0</v>
      </c>
      <c r="AJ257" s="81"/>
      <c r="AK257" s="1181">
        <f>IF(AND(AK$227&gt;0,LFL_1&lt;&gt;""),AK$227/LFL_1,0)</f>
        <v>0</v>
      </c>
      <c r="AL257" s="81"/>
      <c r="AM257" s="1181">
        <f>IF(AND(AM$227&gt;0,LFL_1&lt;&gt;""),AM$227/LFL_1,0)</f>
        <v>0</v>
      </c>
      <c r="AN257" s="81"/>
      <c r="AO257" s="1181">
        <f>IF(AND(AO$227&gt;0,LFLHT_1&lt;&gt;""),AO$227/LFLHT_1,0)</f>
        <v>0</v>
      </c>
      <c r="AP257" s="81"/>
      <c r="AQ257" s="23"/>
      <c r="AR257" s="81"/>
      <c r="AS257" s="83"/>
      <c r="AT257" s="512" t="str">
        <f>B260</f>
        <v/>
      </c>
      <c r="AU257" s="83"/>
      <c r="AV257" s="2091">
        <f>IF(AND(AV$215&gt;0,LC50_5&gt;0),AV$215/(LC50_5),0)</f>
        <v>0</v>
      </c>
      <c r="AW257" s="83"/>
      <c r="AX257" s="2091">
        <f>IF(AND(AX$215&gt;0,LC50_5&gt;0),AX$215/(LC50_5),0)</f>
        <v>0</v>
      </c>
      <c r="AY257" s="83"/>
      <c r="AZ257" s="2091">
        <f>IF(AND(AZ$215&gt;0,LC50_5&gt;0),AZ$215/(LC50_5),0)</f>
        <v>0</v>
      </c>
      <c r="BA257" s="83"/>
      <c r="BB257" s="2091">
        <f>IF(AND(BB$215&gt;0,LC50_5&gt;0),BB$215/(LC50_5),0)</f>
        <v>0</v>
      </c>
      <c r="BC257" s="83"/>
      <c r="BD257" s="2091">
        <f>IF(AND(BD$215&gt;0,LC50_5&gt;0),BD$215/(LC50_5),0)</f>
        <v>0</v>
      </c>
      <c r="BE257" s="83"/>
      <c r="BF257" s="2091">
        <f>IF(AND(BF$215&gt;0,LC50_5&gt;0),BF$215/(LC50_5),0)</f>
        <v>0</v>
      </c>
      <c r="BG257" s="83"/>
      <c r="BH257" s="2091">
        <f>IF(AND(BH$215&gt;0,LC50_5&gt;0),BH$215/(LC50_5),0)</f>
        <v>0</v>
      </c>
      <c r="BI257" s="83"/>
      <c r="BJ257" s="2091">
        <f>IF(AND(BJ$215&gt;0,LC50_5&gt;0),BJ$215/(LC50_5),0)</f>
        <v>0</v>
      </c>
      <c r="BK257" s="83"/>
      <c r="BL257" s="2091">
        <f>IF(AND(BL$215&gt;0,LC50_5&gt;0),BL$215/(LC50_5),0)</f>
        <v>0</v>
      </c>
      <c r="BM257" s="83"/>
      <c r="BN257" s="2091">
        <f>IF(AND(BN$215&gt;0,LC50_5&gt;0),BN$215/(LC50_5),0)</f>
        <v>0</v>
      </c>
      <c r="BO257" s="83"/>
      <c r="BP257" s="1835"/>
      <c r="BQ257" s="83"/>
      <c r="BR257" s="81"/>
      <c r="BS257" s="23" t="str">
        <f>B257</f>
        <v/>
      </c>
      <c r="BT257" s="81"/>
      <c r="BU257" s="2091">
        <f>IF(AND(BU$215&gt;0,LC50_2&gt;0),BU$215/(LC50_2),0)</f>
        <v>0</v>
      </c>
      <c r="BV257" s="81"/>
      <c r="BW257" s="2091">
        <f>IF(AND(BW$215&gt;0,LC50_2&gt;0),BW$215/(LC50_2),0)</f>
        <v>0</v>
      </c>
      <c r="BX257" s="81"/>
      <c r="BY257" s="2091">
        <f>IF(AND(BY$215&gt;0,LC50_2&gt;0),BY$215/(LC50_2),0)</f>
        <v>0</v>
      </c>
      <c r="BZ257" s="81"/>
      <c r="CA257" s="2091">
        <f>IF(AND(CA$215&gt;0,LC50_2&gt;0),CA$215/(LC50_2),0)</f>
        <v>0</v>
      </c>
      <c r="CB257" s="81"/>
      <c r="CC257" s="2091">
        <f>IF(AND(CC$215&gt;0,LC50_2&gt;0),CC$215/(LC50_2),0)</f>
        <v>0</v>
      </c>
      <c r="CD257" s="81"/>
      <c r="CE257" s="23"/>
      <c r="CF257" s="81"/>
      <c r="CG257" s="83"/>
      <c r="CH257" s="25" t="s">
        <v>4796</v>
      </c>
      <c r="CI257" s="83"/>
      <c r="CJ257" s="2637" t="str">
        <f>IF(CJ169&lt;&gt;"Yes","NA",IF(MAX(CJ176/Bldg_Type_Correction,CJ177/Bldg2_Type_Correction)&lt;HD_Low_Expl,Conseq_Low,IF(MAX(CJ176/Bldg_Type_Correction,CJ177/Bldg2_Type_Correction)&lt;HD_Moderate_Expl,Conseq_Moderate,IF(MAX(CJ176/Bldg_Type_Correction,CJ177/Bldg2_Type_Correction)&lt;HD_High_Expl,Conseq_High,IF(MAX(CJ176/Bldg_Type_Correction,CJ177/Bldg2_Type_Correction)&lt;HD_VeryHigh_Expl,Conseq_VeryHigh,Conseq_ExtremeHigh)))))</f>
        <v>NA</v>
      </c>
      <c r="CK257" s="83"/>
      <c r="CL257" s="91"/>
      <c r="CM257" s="83"/>
      <c r="CO257" s="26"/>
      <c r="CP257" s="26"/>
      <c r="CQ257" s="26"/>
      <c r="CR257" s="26"/>
      <c r="CS257" s="26"/>
      <c r="CT257" s="26"/>
      <c r="CU257" s="26"/>
      <c r="CV257" s="26"/>
      <c r="CW257" s="26"/>
      <c r="CX257" s="26"/>
      <c r="CY257" s="26"/>
      <c r="CZ257" s="26"/>
      <c r="DA257" s="26"/>
      <c r="DB257" s="26"/>
      <c r="DC257" s="26"/>
      <c r="DD257" s="26"/>
      <c r="DE257" s="26"/>
    </row>
    <row r="258" spans="1:109" ht="15" customHeight="1" thickBot="1" x14ac:dyDescent="0.3">
      <c r="A258" s="2"/>
      <c r="B258" s="851" t="str">
        <f>IF(B19="","","Vapor Mole Fraction "&amp;B19&amp;" / LC-50")</f>
        <v/>
      </c>
      <c r="C258" s="83"/>
      <c r="D258" s="2091">
        <f>IF(AND(D$216&gt;0,LC50_3&gt;0),D$216/(LC50_3),0)</f>
        <v>0</v>
      </c>
      <c r="E258" s="83"/>
      <c r="F258" s="2091">
        <f>IF(AND(F$216&gt;0,LC50_3&gt;0),F$216/(LC50_3),0)</f>
        <v>0</v>
      </c>
      <c r="G258" s="83"/>
      <c r="H258" s="2091">
        <f>IF(AND(H$216&gt;0,LC50_3&gt;0),H$216/(LC50_3),0)</f>
        <v>0</v>
      </c>
      <c r="I258" s="83"/>
      <c r="J258" s="2091">
        <f>IF(AND(J$216&gt;0,LC50_3&gt;0),J$216/(LC50_3),0)</f>
        <v>0</v>
      </c>
      <c r="K258" s="83"/>
      <c r="L258" s="2091">
        <f>IF(AND(L$216&gt;0,LC50_3&gt;0),L$216/(LC50_3),0)</f>
        <v>0</v>
      </c>
      <c r="M258" s="83"/>
      <c r="N258" s="2091">
        <f>IF(AND(N$216&gt;0,LC50_3&gt;0),N$216/(LC50_3),0)</f>
        <v>0</v>
      </c>
      <c r="O258" s="83"/>
      <c r="P258" s="2091">
        <f>IF(AND(P$216&gt;0,LC50_3&gt;0),P$216/(LC50_3),0)</f>
        <v>0</v>
      </c>
      <c r="Q258" s="83"/>
      <c r="R258" s="2091">
        <f>IF(AND(R$216&gt;0,LC50_3&gt;0),R$216/(LC50_3),0)</f>
        <v>0</v>
      </c>
      <c r="S258" s="83"/>
      <c r="T258" s="2091">
        <f>IF(AND(T$216&gt;0,LC50_3&gt;0),T$216/(LC50_3),0)</f>
        <v>0</v>
      </c>
      <c r="U258" s="83"/>
      <c r="V258" s="2091">
        <f>IF(AND(V$216&gt;0,LC50_3&gt;0),V$216/(LC50_3),0)</f>
        <v>0</v>
      </c>
      <c r="W258" s="83"/>
      <c r="X258" s="2091">
        <f>IF(AND(X$216&gt;0,LC50_3&gt;0),X$216/(LC50_3),0)</f>
        <v>0</v>
      </c>
      <c r="Y258" s="83"/>
      <c r="Z258" s="85"/>
      <c r="AA258" s="83"/>
      <c r="AB258" s="81"/>
      <c r="AC258" s="846" t="str">
        <f>B245</f>
        <v/>
      </c>
      <c r="AD258" s="81"/>
      <c r="AE258" s="1181">
        <f>IF(AND(AE$228&gt;0,LFL_2&lt;&gt;""),AE$228/LFL_2,0)</f>
        <v>0</v>
      </c>
      <c r="AF258" s="81"/>
      <c r="AG258" s="1181">
        <f>IF(AND(AG$228&gt;0,LFL_2&lt;&gt;""),AG$228/LFL_2,0)</f>
        <v>0</v>
      </c>
      <c r="AH258" s="81"/>
      <c r="AI258" s="1181">
        <f>IF(AND(AI$228&gt;0,LFL_2&lt;&gt;""),AI$228/LFL_2,0)</f>
        <v>0</v>
      </c>
      <c r="AJ258" s="81"/>
      <c r="AK258" s="1181">
        <f>IF(AND(AK$228&gt;0,LFL_2&lt;&gt;""),AK$228/LFL_2,0)</f>
        <v>0</v>
      </c>
      <c r="AL258" s="81"/>
      <c r="AM258" s="1181">
        <f>IF(AND(AM$228&gt;0,LFL_2&lt;&gt;""),AM$228/LFL_2,0)</f>
        <v>0</v>
      </c>
      <c r="AN258" s="81"/>
      <c r="AO258" s="1181">
        <f>IF(AND(AO$228&gt;0,LFLHT_2&lt;&gt;""),AO$228/LFLHT_2,0)</f>
        <v>0</v>
      </c>
      <c r="AP258" s="81"/>
      <c r="AQ258" s="23"/>
      <c r="AR258" s="81"/>
      <c r="AS258" s="83"/>
      <c r="AT258" s="2197" t="s">
        <v>3521</v>
      </c>
      <c r="AU258" s="83"/>
      <c r="AV258" s="2101" t="str">
        <f>IF(AND(AV$207&gt;0,SUM(AV253:AV257)&gt;0),IF(1/SUM(AV253:AV257)&lt;1000000,1/SUM(AV253:AV257),1000000),"")</f>
        <v/>
      </c>
      <c r="AW258" s="83"/>
      <c r="AX258" s="2101" t="str">
        <f>IF(AND(AX$207&gt;0,SUM(AX253:AX257)&gt;0),IF(1/SUM(AX253:AX257)&lt;1000000,1/SUM(AX253:AX257),1000000),"")</f>
        <v/>
      </c>
      <c r="AY258" s="83"/>
      <c r="AZ258" s="2101" t="str">
        <f>IF(AND(AZ$207&gt;0,SUM(AZ253:AZ257)&gt;0),IF(1/SUM(AZ253:AZ257)&lt;1000000,1/SUM(AZ253:AZ257),1000000),"")</f>
        <v/>
      </c>
      <c r="BA258" s="83"/>
      <c r="BB258" s="2101" t="str">
        <f>IF(AND(BB$207&gt;0,SUM(BB253:BB257)&gt;0),IF(1/SUM(BB253:BB257)&lt;1000000,1/SUM(BB253:BB257),1000000),"")</f>
        <v/>
      </c>
      <c r="BC258" s="83"/>
      <c r="BD258" s="2101" t="str">
        <f>IF(AND(BD$207&gt;0,SUM(BD253:BD257)&gt;0),IF(1/SUM(BD253:BD257)&lt;1000000,1/SUM(BD253:BD257),1000000),"")</f>
        <v/>
      </c>
      <c r="BE258" s="83"/>
      <c r="BF258" s="2101" t="str">
        <f>IF(AND(BF$207&gt;0,SUM(BF253:BF257)&gt;0),IF(1/SUM(BF253:BF257)&lt;1000000,1/SUM(BF253:BF257),1000000),"")</f>
        <v/>
      </c>
      <c r="BG258" s="83"/>
      <c r="BH258" s="2101" t="str">
        <f>IF(AND(BH$207&gt;0,SUM(BH253:BH257)&gt;0),IF(1/SUM(BH253:BH257)&lt;1000000,1/SUM(BH253:BH257),1000000),"")</f>
        <v/>
      </c>
      <c r="BI258" s="83"/>
      <c r="BJ258" s="2101" t="str">
        <f>IF(AND(BJ$207&gt;0,SUM(BJ253:BJ257)&gt;0),IF(1/SUM(BJ253:BJ257)&lt;1000000,1/SUM(BJ253:BJ257),1000000),"")</f>
        <v/>
      </c>
      <c r="BK258" s="83"/>
      <c r="BL258" s="2101" t="str">
        <f>IF(AND(BL$207&gt;0,SUM(BL253:BL257)&gt;0),IF(1/SUM(BL253:BL257)&lt;1000000,1/SUM(BL253:BL257),1000000),"")</f>
        <v/>
      </c>
      <c r="BM258" s="83"/>
      <c r="BN258" s="2101" t="str">
        <f>IF(AND(BN$207&gt;0,SUM(BN253:BN257)&gt;0),IF(1/SUM(BN253:BN257)&lt;1000000,1/SUM(BN253:BN257),1000000),"")</f>
        <v/>
      </c>
      <c r="BO258" s="83"/>
      <c r="BP258" s="1833" t="s">
        <v>1506</v>
      </c>
      <c r="BQ258" s="83"/>
      <c r="BR258" s="81"/>
      <c r="BS258" s="23" t="str">
        <f>B258</f>
        <v/>
      </c>
      <c r="BT258" s="81"/>
      <c r="BU258" s="2091">
        <f>IF(AND(BU$216&gt;0,LC50_3&gt;0),BU$216/(LC50_3),0)</f>
        <v>0</v>
      </c>
      <c r="BV258" s="81"/>
      <c r="BW258" s="2091">
        <f>IF(AND(BW$216&gt;0,LC50_3&gt;0),BW$216/(LC50_3),0)</f>
        <v>0</v>
      </c>
      <c r="BX258" s="81"/>
      <c r="BY258" s="2091">
        <f>IF(AND(BY$216&gt;0,LC50_3&gt;0),BY$216/(LC50_3),0)</f>
        <v>0</v>
      </c>
      <c r="BZ258" s="81"/>
      <c r="CA258" s="2091">
        <f>IF(AND(CA$216&gt;0,LC50_3&gt;0),CA$216/(LC50_3),0)</f>
        <v>0</v>
      </c>
      <c r="CB258" s="81"/>
      <c r="CC258" s="2091">
        <f>IF(AND(CC$216&gt;0,LC50_3&gt;0),CC$216/(LC50_3),0)</f>
        <v>0</v>
      </c>
      <c r="CD258" s="81"/>
      <c r="CE258" s="23"/>
      <c r="CF258" s="81"/>
      <c r="CG258" s="83"/>
      <c r="CH258" s="25" t="s">
        <v>4230</v>
      </c>
      <c r="CI258" s="83"/>
      <c r="CJ258" s="2133" t="str">
        <f>IF(Conseq_Criteria="Hazard Distance",CJ257,IF(OR(CJ169&lt;&gt;"Yes",CJ256&lt;N_Screening),"NA",IF(CJ256&lt;N_VeryLow,Conseq_VeryLow,IF(CJ256&lt;N_Low,Conseq_Low,IF(CJ256&lt;N_Moderate,Conseq_Moderate,IF(CJ256&lt;N_High,Conseq_High,IF(CJ256&lt;N_VeryHigh,Conseq_VeryHigh,Conseq_ExtremeHigh)))))))</f>
        <v>NA</v>
      </c>
      <c r="CK258" s="83"/>
      <c r="CL258" s="89"/>
      <c r="CM258" s="83"/>
      <c r="CO258" s="26"/>
      <c r="CP258" s="26"/>
      <c r="CQ258" s="26"/>
      <c r="CR258" s="26"/>
      <c r="CS258" s="26"/>
      <c r="CT258" s="26"/>
      <c r="CU258" s="26"/>
      <c r="CV258" s="26"/>
      <c r="CW258" s="26"/>
      <c r="CX258" s="26"/>
      <c r="CY258" s="26"/>
      <c r="CZ258" s="26"/>
      <c r="DA258" s="26"/>
      <c r="DB258" s="26"/>
      <c r="DC258" s="26"/>
      <c r="DD258" s="26"/>
      <c r="DE258" s="26"/>
    </row>
    <row r="259" spans="1:109" ht="15" customHeight="1" x14ac:dyDescent="0.25">
      <c r="A259" s="2"/>
      <c r="B259" s="851" t="str">
        <f>IF(B20="","","Vapor Mole Fraction "&amp;B20&amp;" / LC-50")</f>
        <v/>
      </c>
      <c r="C259" s="83"/>
      <c r="D259" s="2091">
        <f>IF(AND(D$217&gt;0,LC50_4&gt;0),D$217/(LC50_4),0)</f>
        <v>0</v>
      </c>
      <c r="E259" s="83"/>
      <c r="F259" s="2091">
        <f>IF(AND(F$217&gt;0,LC50_4&gt;0),F$217/(LC50_4),0)</f>
        <v>0</v>
      </c>
      <c r="G259" s="83"/>
      <c r="H259" s="2091">
        <f>IF(AND(H$217&gt;0,LC50_4&gt;0),H$217/(LC50_4),0)</f>
        <v>0</v>
      </c>
      <c r="I259" s="83"/>
      <c r="J259" s="2091">
        <f>IF(AND(J$217&gt;0,LC50_4&gt;0),J$217/(LC50_4),0)</f>
        <v>0</v>
      </c>
      <c r="K259" s="83"/>
      <c r="L259" s="2091">
        <f>IF(AND(L$217&gt;0,LC50_4&gt;0),L$217/(LC50_4),0)</f>
        <v>0</v>
      </c>
      <c r="M259" s="83"/>
      <c r="N259" s="2091">
        <f>IF(AND(N$217&gt;0,LC50_4&gt;0),N$217/(LC50_4),0)</f>
        <v>0</v>
      </c>
      <c r="O259" s="83"/>
      <c r="P259" s="2091">
        <f>IF(AND(P$217&gt;0,LC50_4&gt;0),P$217/(LC50_4),0)</f>
        <v>0</v>
      </c>
      <c r="Q259" s="83"/>
      <c r="R259" s="2091">
        <f>IF(AND(R$217&gt;0,LC50_4&gt;0),R$217/(LC50_4),0)</f>
        <v>0</v>
      </c>
      <c r="S259" s="83"/>
      <c r="T259" s="2091">
        <f>IF(AND(T$217&gt;0,LC50_4&gt;0),T$217/(LC50_4),0)</f>
        <v>0</v>
      </c>
      <c r="U259" s="83"/>
      <c r="V259" s="2091">
        <f>IF(AND(V$217&gt;0,LC50_4&gt;0),V$217/(LC50_4),0)</f>
        <v>0</v>
      </c>
      <c r="W259" s="83"/>
      <c r="X259" s="2091">
        <f>IF(AND(X$217&gt;0,LC50_4&gt;0),X$217/(LC50_4),0)</f>
        <v>0</v>
      </c>
      <c r="Y259" s="83"/>
      <c r="Z259" s="85"/>
      <c r="AA259" s="83"/>
      <c r="AB259" s="81"/>
      <c r="AC259" s="846" t="str">
        <f>B246</f>
        <v/>
      </c>
      <c r="AD259" s="81"/>
      <c r="AE259" s="1181">
        <f>IF(AND(AE$229&gt;0,LFL_3&lt;&gt;""),AE$229/LFL_3,0)</f>
        <v>0</v>
      </c>
      <c r="AF259" s="81"/>
      <c r="AG259" s="1181">
        <f>IF(AND(AG$229&gt;0,LFL_3&lt;&gt;""),AG$229/LFL_3,0)</f>
        <v>0</v>
      </c>
      <c r="AH259" s="81"/>
      <c r="AI259" s="1181">
        <f>IF(AND(AI$229&gt;0,LFL_3&lt;&gt;""),AI$229/LFL_3,0)</f>
        <v>0</v>
      </c>
      <c r="AJ259" s="81"/>
      <c r="AK259" s="1181">
        <f>IF(AND(AK$229&gt;0,LFL_3&lt;&gt;""),AK$229/LFL_3,0)</f>
        <v>0</v>
      </c>
      <c r="AL259" s="81"/>
      <c r="AM259" s="1181">
        <f>IF(AND(AM$229&gt;0,LFL_3&lt;&gt;""),AM$229/LFL_3,0)</f>
        <v>0</v>
      </c>
      <c r="AN259" s="81"/>
      <c r="AO259" s="1181">
        <f>IF(AND(AO$229&gt;0,LFLHT_3&lt;&gt;""),AO$229/LFLHT_3,0)</f>
        <v>0</v>
      </c>
      <c r="AP259" s="81"/>
      <c r="AQ259" s="23"/>
      <c r="AR259" s="81"/>
      <c r="AS259" s="83"/>
      <c r="AT259" s="512" t="str">
        <f>B262</f>
        <v/>
      </c>
      <c r="AU259" s="83"/>
      <c r="AV259" s="2091">
        <f>IF(AND(AV$211&gt;0,LC1_1&gt;0),AV$211/(LC1_1/AV$207^(1/Pn_1)),0)</f>
        <v>0</v>
      </c>
      <c r="AW259" s="83"/>
      <c r="AX259" s="2091">
        <f>IF(AND(AX$211&gt;0,LC1_1&gt;0),AX$211/(LC1_1/AX$207^(1/Pn_1)),0)</f>
        <v>0</v>
      </c>
      <c r="AY259" s="83"/>
      <c r="AZ259" s="2091">
        <f>IF(AND(AZ$211&gt;0,LC1_1&gt;0),AZ$211/(LC1_1/AZ$207^(1/Pn_1)),0)</f>
        <v>0</v>
      </c>
      <c r="BA259" s="83"/>
      <c r="BB259" s="2091">
        <f>IF(AND(BB$211&gt;0,LC1_1&gt;0),BB$211/(LC1_1/BB$207^(1/Pn_1)),0)</f>
        <v>0</v>
      </c>
      <c r="BC259" s="83"/>
      <c r="BD259" s="2091">
        <f>IF(AND(BD$211&gt;0,LC1_1&gt;0),BD$211/(LC1_1/BD$207^(1/Pn_1)),0)</f>
        <v>0</v>
      </c>
      <c r="BE259" s="83"/>
      <c r="BF259" s="2091">
        <f>IF(AND(BF$211&gt;0,LC1_1&gt;0),BF$211/(LC1_1/BF$207^(1/Pn_1)),0)</f>
        <v>0</v>
      </c>
      <c r="BG259" s="83"/>
      <c r="BH259" s="2091">
        <f>IF(AND(BH$211&gt;0,LC1_1&gt;0),BH$211/(LC1_1/BH$207^(1/Pn_1)),0)</f>
        <v>0</v>
      </c>
      <c r="BI259" s="83"/>
      <c r="BJ259" s="2091">
        <f>IF(AND(BJ$211&gt;0,LC1_1&gt;0),BJ$211/(LC1_1/BJ$207^(1/Pn_1)),0)</f>
        <v>0</v>
      </c>
      <c r="BK259" s="83"/>
      <c r="BL259" s="2091">
        <f>IF(AND(BL$211&gt;0,LC1_1&gt;0),BL$211/(LC1_1/BL$207^(1/Pn_1)),0)</f>
        <v>0</v>
      </c>
      <c r="BM259" s="83"/>
      <c r="BN259" s="2091">
        <f>IF(AND(BN$211&gt;0,LC1_1&gt;0),BN$211/(LC1_1/BN$207^(1/Pn_1)),0)</f>
        <v>0</v>
      </c>
      <c r="BO259" s="83"/>
      <c r="BP259" s="1834"/>
      <c r="BQ259" s="83"/>
      <c r="BR259" s="81"/>
      <c r="BS259" s="23" t="str">
        <f>B259</f>
        <v/>
      </c>
      <c r="BT259" s="81"/>
      <c r="BU259" s="2091">
        <f>IF(AND(BU$217&gt;0,LC50_4&gt;0),BU$217/(LC50_4),0)</f>
        <v>0</v>
      </c>
      <c r="BV259" s="81"/>
      <c r="BW259" s="2091">
        <f>IF(AND(BW$217&gt;0,LC50_4&gt;0),BW$217/(LC50_4),0)</f>
        <v>0</v>
      </c>
      <c r="BX259" s="81"/>
      <c r="BY259" s="2091">
        <f>IF(AND(BY$217&gt;0,LC50_4&gt;0),BY$217/(LC50_4),0)</f>
        <v>0</v>
      </c>
      <c r="BZ259" s="81"/>
      <c r="CA259" s="2091">
        <f>IF(AND(CA$217&gt;0,LC50_4&gt;0),CA$217/(LC50_4),0)</f>
        <v>0</v>
      </c>
      <c r="CB259" s="81"/>
      <c r="CC259" s="2091">
        <f>IF(AND(CC$217&gt;0,LC50_4&gt;0),CC$217/(LC50_4),0)</f>
        <v>0</v>
      </c>
      <c r="CD259" s="81"/>
      <c r="CE259" s="23"/>
      <c r="CF259" s="81"/>
      <c r="CG259" s="83"/>
      <c r="CH259" s="84" t="s">
        <v>5297</v>
      </c>
      <c r="CI259" s="83"/>
      <c r="CJ259" s="232">
        <f>IF(CP_Detonable="Yes",CJ179,CJ181)</f>
        <v>0</v>
      </c>
      <c r="CK259" s="83"/>
      <c r="CL259" s="84" t="s">
        <v>1068</v>
      </c>
      <c r="CM259" s="83"/>
      <c r="CN259" s="26"/>
      <c r="CO259" s="26"/>
      <c r="CP259" s="26"/>
      <c r="CQ259" s="26"/>
      <c r="CR259" s="26"/>
      <c r="CS259" s="26"/>
      <c r="CT259" s="26"/>
      <c r="CU259" s="26"/>
      <c r="CV259" s="26"/>
      <c r="CW259" s="26"/>
      <c r="CX259" s="26"/>
      <c r="CY259" s="26"/>
      <c r="CZ259" s="26"/>
      <c r="DA259" s="26"/>
    </row>
    <row r="260" spans="1:109" ht="15" customHeight="1" x14ac:dyDescent="0.25">
      <c r="A260" s="2"/>
      <c r="B260" s="851" t="str">
        <f>IF(B21="","","Vapor Mole Fraction "&amp;B21&amp;" / LC-50")</f>
        <v/>
      </c>
      <c r="C260" s="83"/>
      <c r="D260" s="2091">
        <f>IF(AND(D$218&gt;0,LC50_5&gt;0),D$218/(LC50_5),0)</f>
        <v>0</v>
      </c>
      <c r="E260" s="83"/>
      <c r="F260" s="2091">
        <f>IF(AND(F$218&gt;0,LC50_5&gt;0),F$218/(LC50_5),0)</f>
        <v>0</v>
      </c>
      <c r="G260" s="83"/>
      <c r="H260" s="2091">
        <f>IF(AND(H$218&gt;0,LC50_5&gt;0),H$218/(LC50_5),0)</f>
        <v>0</v>
      </c>
      <c r="I260" s="83"/>
      <c r="J260" s="2091">
        <f>IF(AND(J$218&gt;0,LC50_5&gt;0),J$218/(LC50_5),0)</f>
        <v>0</v>
      </c>
      <c r="K260" s="83"/>
      <c r="L260" s="2091">
        <f>IF(AND(L$218&gt;0,LC50_5&gt;0),L$218/(LC50_5),0)</f>
        <v>0</v>
      </c>
      <c r="M260" s="83"/>
      <c r="N260" s="2091">
        <f>IF(AND(N$218&gt;0,LC50_5&gt;0),N$218/(LC50_5),0)</f>
        <v>0</v>
      </c>
      <c r="O260" s="83"/>
      <c r="P260" s="2091">
        <f>IF(AND(P$218&gt;0,LC50_5&gt;0),P$218/(LC50_5),0)</f>
        <v>0</v>
      </c>
      <c r="Q260" s="83"/>
      <c r="R260" s="2091">
        <f>IF(AND(R$218&gt;0,LC50_5&gt;0),R$218/(LC50_5),0)</f>
        <v>0</v>
      </c>
      <c r="S260" s="83"/>
      <c r="T260" s="2091">
        <f>IF(AND(T$218&gt;0,LC50_5&gt;0),T$218/(LC50_5),0)</f>
        <v>0</v>
      </c>
      <c r="U260" s="83"/>
      <c r="V260" s="2091">
        <f>IF(AND(V$218&gt;0,LC50_5&gt;0),V$218/(LC50_5),0)</f>
        <v>0</v>
      </c>
      <c r="W260" s="83"/>
      <c r="X260" s="2091">
        <f>IF(AND(X$218&gt;0,LC50_5&gt;0),X$218/(LC50_5),0)</f>
        <v>0</v>
      </c>
      <c r="Y260" s="83"/>
      <c r="Z260" s="85"/>
      <c r="AA260" s="83"/>
      <c r="AB260" s="81"/>
      <c r="AC260" s="846" t="str">
        <f>B247</f>
        <v/>
      </c>
      <c r="AD260" s="81"/>
      <c r="AE260" s="1181">
        <f>IF(AND(AE$230&gt;0,LFL_4&lt;&gt;""),AE$230/LFL_4,0)</f>
        <v>0</v>
      </c>
      <c r="AF260" s="81"/>
      <c r="AG260" s="1181">
        <f>IF(AND(AG$230&gt;0,LFL_4&lt;&gt;""),AG$230/LFL_4,0)</f>
        <v>0</v>
      </c>
      <c r="AH260" s="81"/>
      <c r="AI260" s="1181">
        <f>IF(AND(AI$230&gt;0,LFL_4&lt;&gt;""),AI$230/LFL_4,0)</f>
        <v>0</v>
      </c>
      <c r="AJ260" s="81"/>
      <c r="AK260" s="1181">
        <f>IF(AND(AK$230&gt;0,LFL_4&lt;&gt;""),AK$230/LFL_4,0)</f>
        <v>0</v>
      </c>
      <c r="AL260" s="81"/>
      <c r="AM260" s="1181">
        <f>IF(AND(AM$230&gt;0,LFL_4&lt;&gt;""),AM$230/LFL_4,0)</f>
        <v>0</v>
      </c>
      <c r="AN260" s="81"/>
      <c r="AO260" s="1181">
        <f>IF(AND(AO$230&gt;0,LFLHT_4&lt;&gt;""),AO$230/LFLHT_4,0)</f>
        <v>0</v>
      </c>
      <c r="AP260" s="81"/>
      <c r="AQ260" s="23"/>
      <c r="AR260" s="81"/>
      <c r="AS260" s="83"/>
      <c r="AT260" s="512" t="str">
        <f>B263</f>
        <v/>
      </c>
      <c r="AU260" s="83"/>
      <c r="AV260" s="2091">
        <f>IF(AND(AV$212&gt;0,LC1_2&gt;0),AV$212/(LC1_2/AV$207^(1/Pn_2)),0)</f>
        <v>0</v>
      </c>
      <c r="AW260" s="83"/>
      <c r="AX260" s="2091">
        <f>IF(AND(AX$212&gt;0,LC1_2&gt;0),AX$212/(LC1_2/AX$207^(1/Pn_2)),0)</f>
        <v>0</v>
      </c>
      <c r="AY260" s="83"/>
      <c r="AZ260" s="2091">
        <f>IF(AND(AZ$212&gt;0,LC1_2&gt;0),AZ$212/(LC1_2/AZ$207^(1/Pn_2)),0)</f>
        <v>0</v>
      </c>
      <c r="BA260" s="83"/>
      <c r="BB260" s="2091">
        <f>IF(AND(BB$212&gt;0,LC1_2&gt;0),BB$212/(LC1_2/BB$207^(1/Pn_2)),0)</f>
        <v>0</v>
      </c>
      <c r="BC260" s="83"/>
      <c r="BD260" s="2091">
        <f>IF(AND(BD$212&gt;0,LC1_2&gt;0),BD$212/(LC1_2/BD$207^(1/Pn_2)),0)</f>
        <v>0</v>
      </c>
      <c r="BE260" s="83"/>
      <c r="BF260" s="2091">
        <f>IF(AND(BF$212&gt;0,LC1_2&gt;0),BF$212/(LC1_2/BF$207^(1/Pn_2)),0)</f>
        <v>0</v>
      </c>
      <c r="BG260" s="83"/>
      <c r="BH260" s="2091">
        <f>IF(AND(BH$212&gt;0,LC1_2&gt;0),BH$212/(LC1_2/BH$207^(1/Pn_2)),0)</f>
        <v>0</v>
      </c>
      <c r="BI260" s="83"/>
      <c r="BJ260" s="2091">
        <f>IF(AND(BJ$212&gt;0,LC1_2&gt;0),BJ$212/(LC1_2/BJ$207^(1/Pn_2)),0)</f>
        <v>0</v>
      </c>
      <c r="BK260" s="83"/>
      <c r="BL260" s="2091">
        <f>IF(AND(BL$212&gt;0,LC1_2&gt;0),BL$212/(LC1_2/BL$207^(1/Pn_2)),0)</f>
        <v>0</v>
      </c>
      <c r="BM260" s="83"/>
      <c r="BN260" s="2091">
        <f>IF(AND(BN$212&gt;0,LC1_2&gt;0),BN$212/(LC1_2/BN$207^(1/Pn_2)),0)</f>
        <v>0</v>
      </c>
      <c r="BO260" s="83"/>
      <c r="BP260" s="1835"/>
      <c r="BQ260" s="83"/>
      <c r="BR260" s="81"/>
      <c r="BS260" s="23" t="str">
        <f>B260</f>
        <v/>
      </c>
      <c r="BT260" s="81"/>
      <c r="BU260" s="2091">
        <f>IF(AND(BU$218&gt;0,LC50_5&gt;0),BU$218/(LC50_5),0)</f>
        <v>0</v>
      </c>
      <c r="BV260" s="81"/>
      <c r="BW260" s="2091">
        <f>IF(AND(BW$218&gt;0,LC50_5&gt;0),BW$218/(LC50_5),0)</f>
        <v>0</v>
      </c>
      <c r="BX260" s="81"/>
      <c r="BY260" s="2091">
        <f>IF(AND(BY$218&gt;0,LC50_5&gt;0),BY$218/(LC50_5),0)</f>
        <v>0</v>
      </c>
      <c r="BZ260" s="81"/>
      <c r="CA260" s="2091">
        <f>IF(AND(CA$218&gt;0,LC50_5&gt;0),CA$218/(LC50_5),0)</f>
        <v>0</v>
      </c>
      <c r="CB260" s="81"/>
      <c r="CC260" s="2091">
        <f>IF(AND(CC$218&gt;0,LC50_5&gt;0),CC$218/(LC50_5),0)</f>
        <v>0</v>
      </c>
      <c r="CD260" s="81"/>
      <c r="CE260" s="23"/>
      <c r="CF260" s="81"/>
      <c r="CG260" s="83"/>
      <c r="CH260" s="23" t="s">
        <v>164</v>
      </c>
      <c r="CI260" s="83"/>
      <c r="CJ260" s="87">
        <f>IF(CJ259&lt;&gt;"",3.142*CJ259^2,0)</f>
        <v>0</v>
      </c>
      <c r="CK260" s="83"/>
      <c r="CL260" s="23" t="s">
        <v>2196</v>
      </c>
      <c r="CM260" s="83"/>
      <c r="CN260" s="26"/>
      <c r="CO260" s="26"/>
      <c r="CP260" s="26"/>
      <c r="CQ260" s="26"/>
      <c r="CR260" s="26"/>
      <c r="CS260" s="26"/>
      <c r="CT260" s="26"/>
      <c r="CU260" s="26"/>
      <c r="CV260" s="26"/>
      <c r="CW260" s="26"/>
      <c r="CX260" s="26"/>
      <c r="CY260" s="26"/>
      <c r="CZ260" s="26"/>
      <c r="DA260" s="26"/>
    </row>
    <row r="261" spans="1:109" ht="15" customHeight="1" thickBot="1" x14ac:dyDescent="0.3">
      <c r="A261" s="2"/>
      <c r="B261" s="2586" t="s">
        <v>3521</v>
      </c>
      <c r="C261" s="83"/>
      <c r="D261" s="2101" t="str">
        <f>IF(AND(D$210&gt;0,SUM(D256:D260)&gt;0),IF(1/SUM(D256:D260)&lt;1000000,1/SUM(D256:D260),1000000),"")</f>
        <v/>
      </c>
      <c r="E261" s="83"/>
      <c r="F261" s="2101" t="str">
        <f>IF(AND(F$210&gt;0,SUM(F256:F260)&gt;0),IF(1/SUM(F256:F260)&lt;1000000,1/SUM(F256:F260),1000000),"")</f>
        <v/>
      </c>
      <c r="G261" s="83"/>
      <c r="H261" s="2101" t="str">
        <f>IF(AND(H$210&gt;0,SUM(H256:H260)&gt;0),IF(1/SUM(H256:H260)&lt;1000000,1/SUM(H256:H260),1000000),"")</f>
        <v/>
      </c>
      <c r="I261" s="83"/>
      <c r="J261" s="2101" t="str">
        <f>IF(AND(J$210&gt;0,SUM(J256:J260)&gt;0),IF(1/SUM(J256:J260)&lt;1000000,1/SUM(J256:J260),1000000),"")</f>
        <v/>
      </c>
      <c r="K261" s="83"/>
      <c r="L261" s="2101" t="str">
        <f>IF(AND(L$210&gt;0,SUM(L256:L260)&gt;0),IF(1/SUM(L256:L260)&lt;1000000,1/SUM(L256:L260),1000000),"")</f>
        <v/>
      </c>
      <c r="M261" s="83"/>
      <c r="N261" s="2101" t="str">
        <f>IF(AND(N$210&gt;0,SUM(N256:N260)&gt;0),IF(1/SUM(N256:N260)&lt;1000000,1/SUM(N256:N260),1000000),"")</f>
        <v/>
      </c>
      <c r="O261" s="83"/>
      <c r="P261" s="2101" t="str">
        <f>IF(AND(P$210&gt;0,SUM(P256:P260)&gt;0),IF(1/SUM(P256:P260)&lt;1000000,1/SUM(P256:P260),1000000),"")</f>
        <v/>
      </c>
      <c r="Q261" s="83"/>
      <c r="R261" s="2101" t="str">
        <f>IF(AND(R$210&gt;0,SUM(R256:R260)&gt;0),IF(1/SUM(R256:R260)&lt;1000000,1/SUM(R256:R260),1000000),"")</f>
        <v/>
      </c>
      <c r="S261" s="83"/>
      <c r="T261" s="2101" t="str">
        <f>IF(AND(T$210&gt;0,SUM(T256:T260)&gt;0),IF(1/SUM(T256:T260)&lt;1000000,1/SUM(T256:T260),1000000),"")</f>
        <v/>
      </c>
      <c r="U261" s="83"/>
      <c r="V261" s="2101" t="str">
        <f>IF(AND(V$210&gt;0,SUM(V256:V260)&gt;0),IF(1/SUM(V256:V260)&lt;1000000,1/SUM(V256:V260),1000000),"")</f>
        <v/>
      </c>
      <c r="W261" s="83"/>
      <c r="X261" s="2101" t="str">
        <f>IF(AND(X$210&gt;0,SUM(X256:X260)&gt;0),IF(1/SUM(X256:X260)&lt;1000000,1/SUM(X256:X260),1000000),"")</f>
        <v/>
      </c>
      <c r="Y261" s="83"/>
      <c r="Z261" s="85" t="s">
        <v>1506</v>
      </c>
      <c r="AA261" s="83"/>
      <c r="AB261" s="81"/>
      <c r="AC261" s="846" t="str">
        <f>B248</f>
        <v/>
      </c>
      <c r="AD261" s="81"/>
      <c r="AE261" s="1181">
        <f>IF(AND(AE242&gt;0,LFL_5&lt;&gt;""),AE$231/LFL_5,0)</f>
        <v>0</v>
      </c>
      <c r="AF261" s="81"/>
      <c r="AG261" s="1181">
        <f>IF(AND(AG242&gt;0,LFL_5&lt;&gt;""),AG$231/LFL_5,0)</f>
        <v>0</v>
      </c>
      <c r="AH261" s="81"/>
      <c r="AI261" s="1181">
        <f>IF(AND(AI242&gt;0,LFL_5&lt;&gt;""),AI$231/LFL_5,0)</f>
        <v>0</v>
      </c>
      <c r="AJ261" s="81"/>
      <c r="AK261" s="1181">
        <f>IF(AND(AK242&gt;0,LFL_5&lt;&gt;""),AK$231/LFL_5,0)</f>
        <v>0</v>
      </c>
      <c r="AL261" s="81"/>
      <c r="AM261" s="1181">
        <f>IF(AND(AM242&gt;0,LFL_5&lt;&gt;""),AM$231/LFL_5,0)</f>
        <v>0</v>
      </c>
      <c r="AN261" s="81"/>
      <c r="AO261" s="1181">
        <f>IF(AND(AO242&gt;0,LFLHT_5&lt;&gt;""),AO$231/LFLHT_5,0)</f>
        <v>0</v>
      </c>
      <c r="AP261" s="81"/>
      <c r="AQ261" s="23"/>
      <c r="AR261" s="81"/>
      <c r="AS261" s="83"/>
      <c r="AT261" s="512" t="str">
        <f>B264</f>
        <v/>
      </c>
      <c r="AU261" s="83"/>
      <c r="AV261" s="2091">
        <f>IF(AND(AV$213&gt;0,LC1_3&gt;0),AV$213/(LC1_3/AV$207^(1/Pn_3)),0)</f>
        <v>0</v>
      </c>
      <c r="AW261" s="83"/>
      <c r="AX261" s="2091">
        <f>IF(AND(AX$213&gt;0,LC1_3&gt;0),AX$213/(LC1_3/AX$207^(1/Pn_3)),0)</f>
        <v>0</v>
      </c>
      <c r="AY261" s="83"/>
      <c r="AZ261" s="2091">
        <f>IF(AND(AZ$213&gt;0,LC1_3&gt;0),AZ$213/(LC1_3/AZ$207^(1/Pn_3)),0)</f>
        <v>0</v>
      </c>
      <c r="BA261" s="83"/>
      <c r="BB261" s="2091">
        <f>IF(AND(BB$213&gt;0,LC1_3&gt;0),BB$213/(LC1_3/BB$207^(1/Pn_3)),0)</f>
        <v>0</v>
      </c>
      <c r="BC261" s="83"/>
      <c r="BD261" s="2091">
        <f>IF(AND(BD$213&gt;0,LC1_3&gt;0),BD$213/(LC1_3/BD$207^(1/Pn_3)),0)</f>
        <v>0</v>
      </c>
      <c r="BE261" s="83"/>
      <c r="BF261" s="2091">
        <f>IF(AND(BF$213&gt;0,LC1_3&gt;0),BF$213/(LC1_3/BF$207^(1/Pn_3)),0)</f>
        <v>0</v>
      </c>
      <c r="BG261" s="83"/>
      <c r="BH261" s="2091">
        <f>IF(AND(BH$213&gt;0,LC1_3&gt;0),BH$213/(LC1_3/BH$207^(1/Pn_3)),0)</f>
        <v>0</v>
      </c>
      <c r="BI261" s="83"/>
      <c r="BJ261" s="2091">
        <f>IF(AND(BJ$213&gt;0,LC1_3&gt;0),BJ$213/(LC1_3/BJ$207^(1/Pn_3)),0)</f>
        <v>0</v>
      </c>
      <c r="BK261" s="83"/>
      <c r="BL261" s="2091">
        <f>IF(AND(BL$213&gt;0,LC1_3&gt;0),BL$213/(LC1_3/BL$207^(1/Pn_3)),0)</f>
        <v>0</v>
      </c>
      <c r="BM261" s="83"/>
      <c r="BN261" s="2091">
        <f>IF(AND(BN$213&gt;0,LC1_3&gt;0),BN$213/(LC1_3/BN$207^(1/Pn_3)),0)</f>
        <v>0</v>
      </c>
      <c r="BO261" s="83"/>
      <c r="BP261" s="1835"/>
      <c r="BQ261" s="83"/>
      <c r="BR261" s="81"/>
      <c r="BS261" s="2586" t="s">
        <v>3521</v>
      </c>
      <c r="BT261" s="81"/>
      <c r="BU261" s="2101" t="str">
        <f>IF(AND(BU$210&gt;0,SUM(BU256:BU260)&gt;0),IF(1/SUM(BU256:BU260)&lt;1000000,1/SUM(BU256:BU260),1000000),"")</f>
        <v/>
      </c>
      <c r="BV261" s="81"/>
      <c r="BW261" s="2101" t="str">
        <f>IF(AND(BW$210&gt;0,SUM(BW256:BW260)&gt;0),IF(1/SUM(BW256:BW260)&lt;1000000,1/SUM(BW256:BW260),1000000),"")</f>
        <v/>
      </c>
      <c r="BX261" s="81"/>
      <c r="BY261" s="2101" t="str">
        <f>IF(AND(BY$210&gt;0,SUM(BY256:BY260)&gt;0),IF(1/SUM(BY256:BY260)&lt;1000000,1/SUM(BY256:BY260),1000000),"")</f>
        <v/>
      </c>
      <c r="BZ261" s="81"/>
      <c r="CA261" s="2101" t="str">
        <f>IF(AND(CA$210&gt;0,SUM(CA256:CA260)&gt;0),IF(1/SUM(CA256:CA260)&lt;1000000,1/SUM(CA256:CA260),1000000),"")</f>
        <v/>
      </c>
      <c r="CB261" s="81"/>
      <c r="CC261" s="2101" t="str">
        <f>IF(AND(CC$210&gt;0,SUM(CC256:CC260)&gt;0),IF(1/SUM(CC256:CC260)&lt;1000000,1/SUM(CC256:CC260),1000000),"")</f>
        <v/>
      </c>
      <c r="CD261" s="81"/>
      <c r="CE261" s="25" t="s">
        <v>1506</v>
      </c>
      <c r="CF261" s="81"/>
      <c r="CG261" s="83"/>
      <c r="CH261" s="23" t="s">
        <v>2006</v>
      </c>
      <c r="CI261" s="83"/>
      <c r="CJ261" s="97">
        <f>IF(Location="Indoors",IF(CJ260&lt;Enclosed_Process_Volume^0.67/2,CJ260*Op_Indoors/Enclosed_Process_Volume^0.67/2,Op_Indoors/2),CJ260*Onsite_PD/1000000)+IF(AND(Attended="Yes",CJ259&gt;HD_Severe_Impact),0.9,0)</f>
        <v>0</v>
      </c>
      <c r="CK261" s="83"/>
      <c r="CL261" s="23"/>
      <c r="CM261" s="83"/>
      <c r="CN261" s="26"/>
      <c r="CO261" s="26"/>
      <c r="CP261" s="26"/>
      <c r="CQ261" s="26"/>
      <c r="CR261" s="26"/>
      <c r="CS261" s="26"/>
      <c r="CT261" s="26"/>
      <c r="CU261" s="26"/>
      <c r="CV261" s="26"/>
      <c r="CW261" s="26"/>
      <c r="CX261" s="26"/>
      <c r="CY261" s="26"/>
      <c r="CZ261" s="26"/>
      <c r="DA261" s="26"/>
    </row>
    <row r="262" spans="1:109" ht="15" customHeight="1" thickBot="1" x14ac:dyDescent="0.3">
      <c r="A262" s="2"/>
      <c r="B262" s="851" t="str">
        <f>IF(B17="","","Vapor Mole Fraction "&amp;B17&amp;" / Time-Scaled LC-1")</f>
        <v/>
      </c>
      <c r="C262" s="83"/>
      <c r="D262" s="2091">
        <f>IF(AND(D$214&gt;0,LC1_1&gt;0),D$214/(LC1_1/D$210^(1/Pn_1)),0)</f>
        <v>0</v>
      </c>
      <c r="E262" s="83"/>
      <c r="F262" s="2091">
        <f>IF(AND(F$214&gt;0,LC1_1&gt;0),F$214/(LC1_1/F$210^(1/Pn_1)),0)</f>
        <v>0</v>
      </c>
      <c r="G262" s="83"/>
      <c r="H262" s="2091">
        <f>IF(AND(H$214&gt;0,LC1_1&gt;0),H$214/(LC1_1/H$210^(1/Pn_1)),0)</f>
        <v>0</v>
      </c>
      <c r="I262" s="83"/>
      <c r="J262" s="2091">
        <f>IF(AND(J$214&gt;0,LC1_1&gt;0),J$214/(LC1_1/J$210^(1/Pn_1)),0)</f>
        <v>0</v>
      </c>
      <c r="K262" s="83"/>
      <c r="L262" s="2091">
        <f>IF(AND(L$214&gt;0,LC1_1&gt;0),L$214/(LC1_1/L$210^(1/Pn_1)),0)</f>
        <v>0</v>
      </c>
      <c r="M262" s="83"/>
      <c r="N262" s="2091">
        <f>IF(AND(N$214&gt;0,LC1_1&gt;0),N$214/(LC1_1/N$210^(1/Pn_1)),0)</f>
        <v>0</v>
      </c>
      <c r="O262" s="83"/>
      <c r="P262" s="2091">
        <f>IF(AND(P$214&gt;0,LC1_1&gt;0),P$214/(LC1_1/P$210^(1/Pn_1)),0)</f>
        <v>0</v>
      </c>
      <c r="Q262" s="83"/>
      <c r="R262" s="2091">
        <f>IF(AND(R$214&gt;0,LC1_1&gt;0),R$214/(LC1_1/R$210^(1/Pn_1)),0)</f>
        <v>0</v>
      </c>
      <c r="S262" s="83"/>
      <c r="T262" s="2091">
        <f>IF(AND(T$214&gt;0,LC1_1&gt;0),T$214/(LC1_1/T$210^(1/Pn_1)),0)</f>
        <v>0</v>
      </c>
      <c r="U262" s="83"/>
      <c r="V262" s="2091">
        <f>IF(AND(V$214&gt;0,LC1_1&gt;0),V$214/(LC1_1/V$210^(1/Pn_1)),0)</f>
        <v>0</v>
      </c>
      <c r="W262" s="83"/>
      <c r="X262" s="2091">
        <f>IF(AND(X$214&gt;0,LC1_1&gt;0),X$214/(LC1_1/X$210^(1/Pn_1)),0)</f>
        <v>0</v>
      </c>
      <c r="Y262" s="83"/>
      <c r="Z262" s="85"/>
      <c r="AA262" s="83"/>
      <c r="AB262" s="81"/>
      <c r="AC262" s="2587" t="s">
        <v>2211</v>
      </c>
      <c r="AD262" s="81"/>
      <c r="AE262" s="3008" t="str">
        <f>IF(SUM(AE257:AE261)&gt;0,IF(1/SUM(AE257:AE261)&lt;100,1/SUM(AE257:AE261),""),"")</f>
        <v/>
      </c>
      <c r="AF262" s="81"/>
      <c r="AG262" s="3008" t="str">
        <f>IF(SUM(AG257:AG261)&gt;0,IF(1/SUM(AG257:AG261)&lt;100,1/SUM(AG257:AG261),""),"")</f>
        <v/>
      </c>
      <c r="AH262" s="81"/>
      <c r="AI262" s="3008" t="str">
        <f>IF(SUM(AI257:AI261)&gt;0,IF(1/SUM(AI257:AI261)&lt;100,1/SUM(AI257:AI261),""),"")</f>
        <v/>
      </c>
      <c r="AJ262" s="81"/>
      <c r="AK262" s="3008" t="str">
        <f>IF(SUM(AK257:AK261)&gt;0,IF(1/SUM(AK257:AK261)&lt;100,1/SUM(AK257:AK261),""),"")</f>
        <v/>
      </c>
      <c r="AL262" s="81"/>
      <c r="AM262" s="3008" t="str">
        <f>IF(SUM(AM257:AM261)&gt;0,IF(1/SUM(AM257:AM261)&lt;100,1/SUM(AM257:AM261),""),"")</f>
        <v/>
      </c>
      <c r="AN262" s="81"/>
      <c r="AO262" s="3008" t="str">
        <f>IF(SUM(AO257:AO261)&gt;0,IF(1/SUM(AO257:AO261)&lt;100,1/SUM(AO257:AO261),""),"")</f>
        <v/>
      </c>
      <c r="AP262" s="81"/>
      <c r="AQ262" s="85" t="s">
        <v>1021</v>
      </c>
      <c r="AR262" s="81"/>
      <c r="AS262" s="3142"/>
      <c r="AT262" s="512" t="str">
        <f>B265</f>
        <v/>
      </c>
      <c r="AU262" s="83"/>
      <c r="AV262" s="2091">
        <f>IF(AND(AV$214&gt;0,LC1_4&gt;0),AV$214/(LC1_4/AV$207^(1/Pn_4)),0)</f>
        <v>0</v>
      </c>
      <c r="AW262" s="83"/>
      <c r="AX262" s="2091">
        <f>IF(AND(AX$214&gt;0,LC1_4&gt;0),AX$214/(LC1_4/AX$207^(1/Pn_4)),0)</f>
        <v>0</v>
      </c>
      <c r="AY262" s="83"/>
      <c r="AZ262" s="2091">
        <f>IF(AND(AZ$214&gt;0,LC1_4&gt;0),AZ$214/(LC1_4/AZ$207^(1/Pn_4)),0)</f>
        <v>0</v>
      </c>
      <c r="BA262" s="83"/>
      <c r="BB262" s="2091">
        <f>IF(AND(BB$214&gt;0,LC1_4&gt;0),BB$214/(LC1_4/BB$207^(1/Pn_4)),0)</f>
        <v>0</v>
      </c>
      <c r="BC262" s="83"/>
      <c r="BD262" s="2091">
        <f>IF(AND(BD$214&gt;0,LC1_4&gt;0),BD$214/(LC1_4/BD$207^(1/Pn_4)),0)</f>
        <v>0</v>
      </c>
      <c r="BE262" s="83"/>
      <c r="BF262" s="2091">
        <f>IF(AND(BF$214&gt;0,LC1_4&gt;0),BF$214/(LC1_4/BF$207^(1/Pn_4)),0)</f>
        <v>0</v>
      </c>
      <c r="BG262" s="83"/>
      <c r="BH262" s="2091">
        <f>IF(AND(BH$214&gt;0,LC1_4&gt;0),BH$214/(LC1_4/BH$207^(1/Pn_4)),0)</f>
        <v>0</v>
      </c>
      <c r="BI262" s="83"/>
      <c r="BJ262" s="2091">
        <f>IF(AND(BJ$214&gt;0,LC1_4&gt;0),BJ$214/(LC1_4/BJ$207^(1/Pn_4)),0)</f>
        <v>0</v>
      </c>
      <c r="BK262" s="83"/>
      <c r="BL262" s="2091">
        <f>IF(AND(BL$214&gt;0,LC1_4&gt;0),BL$214/(LC1_4/BL$207^(1/Pn_4)),0)</f>
        <v>0</v>
      </c>
      <c r="BM262" s="83"/>
      <c r="BN262" s="2091">
        <f>IF(AND(BN$214&gt;0,LC1_4&gt;0),BN$214/(LC1_4/BN$207^(1/Pn_4)),0)</f>
        <v>0</v>
      </c>
      <c r="BO262" s="83"/>
      <c r="BP262" s="1835"/>
      <c r="BQ262" s="83"/>
      <c r="BR262" s="81"/>
      <c r="BS262" s="23" t="str">
        <f>B262</f>
        <v/>
      </c>
      <c r="BT262" s="81"/>
      <c r="BU262" s="2091">
        <f>IF(AND(BU$214&gt;0,LC1_1&gt;0),BU$214/(LC1_1/BU$210^(1/Pn_1)),0)</f>
        <v>0</v>
      </c>
      <c r="BV262" s="81"/>
      <c r="BW262" s="2091">
        <f>IF(AND(BW$214&gt;0,LC1_1&gt;0),BW$214/(LC1_1/BW$210^(1/Pn_1)),0)</f>
        <v>0</v>
      </c>
      <c r="BX262" s="81"/>
      <c r="BY262" s="2091">
        <f>IF(AND(BY$214&gt;0,LC1_1&gt;0),BY$214/(LC1_1/BY$210^(1/Pn_1)),0)</f>
        <v>0</v>
      </c>
      <c r="BZ262" s="81"/>
      <c r="CA262" s="2091">
        <f>IF(AND(CA$214&gt;0,LC1_1&gt;0),CA$214/(LC1_1/CA$210^(1/Pn_1)),0)</f>
        <v>0</v>
      </c>
      <c r="CB262" s="81"/>
      <c r="CC262" s="2091">
        <f>IF(AND(CC$214&gt;0,LC1_1&gt;0),CC$214/(LC1_1/CC$210^(1/Pn_1)),0)</f>
        <v>0</v>
      </c>
      <c r="CD262" s="81"/>
      <c r="CE262" s="84"/>
      <c r="CF262" s="81"/>
      <c r="CG262" s="83"/>
      <c r="CH262" s="85" t="s">
        <v>1996</v>
      </c>
      <c r="CI262" s="83"/>
      <c r="CJ262" s="242">
        <v>0</v>
      </c>
      <c r="CK262" s="83"/>
      <c r="CL262" s="23"/>
      <c r="CM262" s="83"/>
      <c r="CN262" s="26"/>
      <c r="CO262" s="26"/>
      <c r="CP262" s="26"/>
      <c r="CQ262" s="26"/>
      <c r="CR262" s="26"/>
      <c r="CS262" s="26"/>
      <c r="CT262" s="26"/>
      <c r="CU262" s="26"/>
      <c r="CV262" s="26"/>
      <c r="CW262" s="26"/>
    </row>
    <row r="263" spans="1:109" ht="15" customHeight="1" thickBot="1" x14ac:dyDescent="0.3">
      <c r="A263" s="2"/>
      <c r="B263" s="851" t="str">
        <f>IF(B18="","","Vapor Mole Fraction "&amp;B18&amp;" / Time-Scaled LC-1")</f>
        <v/>
      </c>
      <c r="C263" s="83"/>
      <c r="D263" s="2091">
        <f>IF(AND(D$215&gt;0,LC1_2&gt;0),D$215/(LC1_2/D$210^(1/Pn_2)),0)</f>
        <v>0</v>
      </c>
      <c r="E263" s="83"/>
      <c r="F263" s="2091">
        <f>IF(AND(F$215&gt;0,LC1_2&gt;0),F$215/(LC1_2/F$210^(1/Pn_2)),0)</f>
        <v>0</v>
      </c>
      <c r="G263" s="83"/>
      <c r="H263" s="2091">
        <f>IF(AND(H$215&gt;0,LC1_2&gt;0),H$215/(LC1_2/H$210^(1/Pn_2)),0)</f>
        <v>0</v>
      </c>
      <c r="I263" s="83"/>
      <c r="J263" s="2091">
        <f>IF(AND(J$215&gt;0,LC1_2&gt;0),J$215/(LC1_2/J$210^(1/Pn_2)),0)</f>
        <v>0</v>
      </c>
      <c r="K263" s="83"/>
      <c r="L263" s="2091">
        <f>IF(AND(L$215&gt;0,LC1_2&gt;0),L$215/(LC1_2/L$210^(1/Pn_2)),0)</f>
        <v>0</v>
      </c>
      <c r="M263" s="83"/>
      <c r="N263" s="2091">
        <f>IF(AND(N$215&gt;0,LC1_2&gt;0),N$215/(LC1_2/N$210^(1/Pn_2)),0)</f>
        <v>0</v>
      </c>
      <c r="O263" s="83"/>
      <c r="P263" s="2091">
        <f>IF(AND(P$215&gt;0,LC1_2&gt;0),P$215/(LC1_2/P$210^(1/Pn_2)),0)</f>
        <v>0</v>
      </c>
      <c r="Q263" s="83"/>
      <c r="R263" s="2091">
        <f>IF(AND(R$215&gt;0,LC1_2&gt;0),R$215/(LC1_2/R$210^(1/Pn_2)),0)</f>
        <v>0</v>
      </c>
      <c r="S263" s="83"/>
      <c r="T263" s="2091">
        <f>IF(AND(T$215&gt;0,LC1_2&gt;0),T$215/(LC1_2/T$210^(1/Pn_2)),0)</f>
        <v>0</v>
      </c>
      <c r="U263" s="83"/>
      <c r="V263" s="2091">
        <f>IF(AND(V$215&gt;0,LC1_2&gt;0),V$215/(LC1_2/V$210^(1/Pn_2)),0)</f>
        <v>0</v>
      </c>
      <c r="W263" s="83"/>
      <c r="X263" s="2091">
        <f>IF(AND(X$215&gt;0,LC1_2&gt;0),X$215/(LC1_2/X$210^(1/Pn_2)),0)</f>
        <v>0</v>
      </c>
      <c r="Y263" s="83"/>
      <c r="Z263" s="85"/>
      <c r="AA263" s="83"/>
      <c r="AB263" s="81"/>
      <c r="AC263" s="846" t="str">
        <f>B250</f>
        <v/>
      </c>
      <c r="AD263" s="81"/>
      <c r="AE263" s="2091">
        <f>IF(AND(AE$227&gt;0,LC1_1&gt;0),AE$227/(LC1_1),0)</f>
        <v>0</v>
      </c>
      <c r="AF263" s="81"/>
      <c r="AG263" s="2091">
        <f>IF(AND(AG$227&gt;0,LC1_1&gt;0),AG$227/(LC1_1),0)</f>
        <v>0</v>
      </c>
      <c r="AH263" s="81"/>
      <c r="AI263" s="2091">
        <f>IF(AND(AI$227&gt;0,LC1_1&gt;0),AI$227/(LC1_1),0)</f>
        <v>0</v>
      </c>
      <c r="AJ263" s="81"/>
      <c r="AK263" s="2091">
        <f>IF(AND(AK$227&gt;0,LC1_1&gt;0),AK$227/(LC1_1),0)</f>
        <v>0</v>
      </c>
      <c r="AL263" s="81"/>
      <c r="AM263" s="2091">
        <f>IF(AND(AM$227&gt;0,LC1_1&gt;0),AM$227/(LC1_1),0)</f>
        <v>0</v>
      </c>
      <c r="AN263" s="81"/>
      <c r="AO263" s="2091">
        <f>IF(AND(AO$227&gt;0,LC1HT_1&gt;0),AO$227/(LC1HT_1),0)</f>
        <v>0</v>
      </c>
      <c r="AP263" s="81"/>
      <c r="AQ263" s="85"/>
      <c r="AR263" s="81"/>
      <c r="AS263" s="83"/>
      <c r="AT263" s="512" t="str">
        <f>B266</f>
        <v/>
      </c>
      <c r="AU263" s="83"/>
      <c r="AV263" s="2091">
        <f>IF(AND(AV$215&gt;0,LC1_5&gt;0),AV$215/(LC1_5/AV$207^(1/Pn_5)),0)</f>
        <v>0</v>
      </c>
      <c r="AW263" s="83"/>
      <c r="AX263" s="2091">
        <f>IF(AND(AX$215&gt;0,LC1_5&gt;0),AX$215/(LC1_5/AX$207^(1/Pn_5)),0)</f>
        <v>0</v>
      </c>
      <c r="AY263" s="83"/>
      <c r="AZ263" s="2091">
        <f>IF(AND(AZ$215&gt;0,LC1_5&gt;0),AZ$215/(LC1_5/AZ$207^(1/Pn_5)),0)</f>
        <v>0</v>
      </c>
      <c r="BA263" s="83"/>
      <c r="BB263" s="2091">
        <f>IF(AND(BB$215&gt;0,LC1_5&gt;0),BB$215/(LC1_5/BB$207^(1/Pn_5)),0)</f>
        <v>0</v>
      </c>
      <c r="BC263" s="83"/>
      <c r="BD263" s="2091">
        <f>IF(AND(BD$215&gt;0,LC1_5&gt;0),BD$215/(LC1_5/BD$207^(1/Pn_5)),0)</f>
        <v>0</v>
      </c>
      <c r="BE263" s="83"/>
      <c r="BF263" s="2091">
        <f>IF(AND(BF$215&gt;0,LC1_5&gt;0),BF$215/(LC1_5/BF$207^(1/Pn_5)),0)</f>
        <v>0</v>
      </c>
      <c r="BG263" s="83"/>
      <c r="BH263" s="2091">
        <f>IF(AND(BH$215&gt;0,LC1_5&gt;0),BH$215/(LC1_5/BH$207^(1/Pn_5)),0)</f>
        <v>0</v>
      </c>
      <c r="BI263" s="83"/>
      <c r="BJ263" s="2091">
        <f>IF(AND(BJ$215&gt;0,LC1_5&gt;0),BJ$215/(LC1_5/BJ$207^(1/Pn_5)),0)</f>
        <v>0</v>
      </c>
      <c r="BK263" s="83"/>
      <c r="BL263" s="2091">
        <f>IF(AND(BL$215&gt;0,LC1_5&gt;0),BL$215/(LC1_5/BL$207^(1/Pn_5)),0)</f>
        <v>0</v>
      </c>
      <c r="BM263" s="83"/>
      <c r="BN263" s="2091">
        <f>IF(AND(BN$215&gt;0,LC1_5&gt;0),BN$215/(LC1_5/BN$207^(1/Pn_5)),0)</f>
        <v>0</v>
      </c>
      <c r="BO263" s="83"/>
      <c r="BP263" s="1835"/>
      <c r="BQ263" s="83"/>
      <c r="BR263" s="81"/>
      <c r="BS263" s="23" t="str">
        <f>B263</f>
        <v/>
      </c>
      <c r="BT263" s="81"/>
      <c r="BU263" s="2091">
        <f>IF(AND(BU$215&gt;0,LC1_2&gt;0),BU$215/(LC1_2/BU$210^(1/Pn_2)),0)</f>
        <v>0</v>
      </c>
      <c r="BV263" s="81"/>
      <c r="BW263" s="2091">
        <f>IF(AND(BW$215&gt;0,LC1_2&gt;0),BW$215/(LC1_2/BW$210^(1/Pn_2)),0)</f>
        <v>0</v>
      </c>
      <c r="BX263" s="81"/>
      <c r="BY263" s="2091">
        <f>IF(AND(BY$215&gt;0,LC1_2&gt;0),BY$215/(LC1_2/BY$210^(1/Pn_2)),0)</f>
        <v>0</v>
      </c>
      <c r="BZ263" s="81"/>
      <c r="CA263" s="2091">
        <f>IF(AND(CA$215&gt;0,LC1_2&gt;0),CA$215/(LC1_2/CA$210^(1/Pn_2)),0)</f>
        <v>0</v>
      </c>
      <c r="CB263" s="81"/>
      <c r="CC263" s="2091">
        <f>IF(AND(CC$215&gt;0,LC1_2&gt;0),CC$215/(LC1_2/CC$210^(1/Pn_2)),0)</f>
        <v>0</v>
      </c>
      <c r="CD263" s="81"/>
      <c r="CE263" s="23"/>
      <c r="CF263" s="81"/>
      <c r="CG263" s="83"/>
      <c r="CH263" s="25" t="s">
        <v>4804</v>
      </c>
      <c r="CI263" s="83"/>
      <c r="CJ263" s="1208" t="str">
        <f>IF(CJ181&lt;HD_Screening_Limit,"NA",IF(CJ181&lt;HD_Low_PE,Conseq_Low,IF(CJ181&lt;HD_Moderate_PE,Conseq_Moderate,IF(CJ181&lt;HD_High_PE,Conseq_High,IF(CJ181&lt;HD_VeryHigh_PE,Conseq_VeryHigh,Conseq_ExtremeHigh)))))</f>
        <v>NA</v>
      </c>
      <c r="CK263" s="83"/>
      <c r="CL263" s="23"/>
      <c r="CM263" s="83"/>
      <c r="CN263" s="26"/>
      <c r="CO263" s="26"/>
      <c r="CP263" s="26"/>
      <c r="CQ263" s="26"/>
      <c r="CR263" s="26"/>
      <c r="CS263" s="26"/>
      <c r="CT263" s="26"/>
      <c r="CU263" s="26"/>
      <c r="CV263" s="26"/>
      <c r="CW263" s="26"/>
    </row>
    <row r="264" spans="1:109" ht="15" customHeight="1" thickBot="1" x14ac:dyDescent="0.3">
      <c r="A264" s="2"/>
      <c r="B264" s="851" t="str">
        <f>IF(B19="","","Vapor Mole Fraction "&amp;B19&amp;" / Time-Scaled LC-1")</f>
        <v/>
      </c>
      <c r="C264" s="83"/>
      <c r="D264" s="2091">
        <f>IF(AND(D$216&gt;0,LC1_3&gt;0),D$216/(LC1_3/D$210^(1/Pn_3)),0)</f>
        <v>0</v>
      </c>
      <c r="E264" s="83"/>
      <c r="F264" s="2091">
        <f>IF(AND(F$216&gt;0,LC1_3&gt;0),F$216/(LC1_3/F$210^(1/Pn_3)),0)</f>
        <v>0</v>
      </c>
      <c r="G264" s="83"/>
      <c r="H264" s="2091">
        <f>IF(AND(H$216&gt;0,LC1_3&gt;0),H$216/(LC1_3/H$210^(1/Pn_3)),0)</f>
        <v>0</v>
      </c>
      <c r="I264" s="83"/>
      <c r="J264" s="2091">
        <f>IF(AND(J$216&gt;0,LC1_3&gt;0),J$216/(LC1_3/J$210^(1/Pn_3)),0)</f>
        <v>0</v>
      </c>
      <c r="K264" s="83"/>
      <c r="L264" s="2091">
        <f>IF(AND(L$216&gt;0,LC1_3&gt;0),L$216/(LC1_3/L$210^(1/Pn_3)),0)</f>
        <v>0</v>
      </c>
      <c r="M264" s="83"/>
      <c r="N264" s="2091">
        <f>IF(AND(N$216&gt;0,LC1_3&gt;0),N$216/(LC1_3/N$210^(1/Pn_3)),0)</f>
        <v>0</v>
      </c>
      <c r="O264" s="83"/>
      <c r="P264" s="2091">
        <f>IF(AND(P$216&gt;0,LC1_3&gt;0),P$216/(LC1_3/P$210^(1/Pn_3)),0)</f>
        <v>0</v>
      </c>
      <c r="Q264" s="83"/>
      <c r="R264" s="2091">
        <f>IF(AND(R$216&gt;0,LC1_3&gt;0),R$216/(LC1_3/R$210^(1/Pn_3)),0)</f>
        <v>0</v>
      </c>
      <c r="S264" s="83"/>
      <c r="T264" s="2091">
        <f>IF(AND(T$216&gt;0,LC1_3&gt;0),T$216/(LC1_3/T$210^(1/Pn_3)),0)</f>
        <v>0</v>
      </c>
      <c r="U264" s="83"/>
      <c r="V264" s="2091">
        <f>IF(AND(V$216&gt;0,LC1_3&gt;0),V$216/(LC1_3/V$210^(1/Pn_3)),0)</f>
        <v>0</v>
      </c>
      <c r="W264" s="83"/>
      <c r="X264" s="2091">
        <f>IF(AND(X$216&gt;0,LC1_3&gt;0),X$216/(LC1_3/X$210^(1/Pn_3)),0)</f>
        <v>0</v>
      </c>
      <c r="Y264" s="83"/>
      <c r="Z264" s="85"/>
      <c r="AA264" s="83"/>
      <c r="AB264" s="81"/>
      <c r="AC264" s="846" t="str">
        <f>B251</f>
        <v/>
      </c>
      <c r="AD264" s="81"/>
      <c r="AE264" s="2091">
        <f>IF(AND(AE$228&gt;0,LC1_2&gt;0),AE$228/(LC1_2),0)</f>
        <v>0</v>
      </c>
      <c r="AF264" s="81"/>
      <c r="AG264" s="2091">
        <f>IF(AND(AG$228&gt;0,LC1_2&gt;0),AG$228/(LC1_2),0)</f>
        <v>0</v>
      </c>
      <c r="AH264" s="81"/>
      <c r="AI264" s="2091">
        <f>IF(AND(AI$228&gt;0,LC1_2&gt;0),AI$228/(LC1_2),0)</f>
        <v>0</v>
      </c>
      <c r="AJ264" s="81"/>
      <c r="AK264" s="2091">
        <f>IF(AND(AK$228&gt;0,LC1_2&gt;0),AK$228/(LC1_2),0)</f>
        <v>0</v>
      </c>
      <c r="AL264" s="81"/>
      <c r="AM264" s="2091">
        <f>IF(AND(AM$228&gt;0,LC1_2&gt;0),AM$228/(LC1_2),0)</f>
        <v>0</v>
      </c>
      <c r="AN264" s="81"/>
      <c r="AO264" s="2091">
        <f>IF(AND(AO$228&gt;0,LC1HT_2&gt;0),AO$228/(LC1HT_2),0)</f>
        <v>0</v>
      </c>
      <c r="AP264" s="81"/>
      <c r="AQ264" s="85"/>
      <c r="AR264" s="81"/>
      <c r="AS264" s="83"/>
      <c r="AT264" s="2197" t="s">
        <v>3512</v>
      </c>
      <c r="AU264" s="83"/>
      <c r="AV264" s="2101" t="str">
        <f>IF(AND(AV$207&gt;0,SUM(AV259:AV263)&gt;0),IF(1/SUM(AV259:AV263)&lt;1000000,1/SUM(AV259:AV263),1000000),"")</f>
        <v/>
      </c>
      <c r="AW264" s="83"/>
      <c r="AX264" s="2101" t="str">
        <f>IF(AND(AX$207&gt;0,SUM(AX259:AX263)&gt;0),IF(1/SUM(AX259:AX263)&lt;1000000,1/SUM(AX259:AX263),1000000),"")</f>
        <v/>
      </c>
      <c r="AY264" s="83"/>
      <c r="AZ264" s="2101" t="str">
        <f>IF(AND(AZ$207&gt;0,SUM(AZ259:AZ263)&gt;0),IF(1/SUM(AZ259:AZ263)&lt;1000000,1/SUM(AZ259:AZ263),1000000),"")</f>
        <v/>
      </c>
      <c r="BA264" s="83"/>
      <c r="BB264" s="2101" t="str">
        <f>IF(AND(BB$207&gt;0,SUM(BB259:BB263)&gt;0),IF(1/SUM(BB259:BB263)&lt;1000000,1/SUM(BB259:BB263),1000000),"")</f>
        <v/>
      </c>
      <c r="BC264" s="83"/>
      <c r="BD264" s="2101" t="str">
        <f>IF(AND(BD$207&gt;0,SUM(BD259:BD263)&gt;0),IF(1/SUM(BD259:BD263)&lt;1000000,1/SUM(BD259:BD263),1000000),"")</f>
        <v/>
      </c>
      <c r="BE264" s="83"/>
      <c r="BF264" s="2101" t="str">
        <f>IF(AND(BF$207&gt;0,SUM(BF259:BF263)&gt;0),IF(1/SUM(BF259:BF263)&lt;1000000,1/SUM(BF259:BF263),1000000),"")</f>
        <v/>
      </c>
      <c r="BG264" s="83"/>
      <c r="BH264" s="2101" t="str">
        <f>IF(AND(BH$207&gt;0,SUM(BH259:BH263)&gt;0),IF(1/SUM(BH259:BH263)&lt;1000000,1/SUM(BH259:BH263),1000000),"")</f>
        <v/>
      </c>
      <c r="BI264" s="83"/>
      <c r="BJ264" s="2101" t="str">
        <f>IF(AND(BJ$207&gt;0,SUM(BJ259:BJ263)&gt;0),IF(1/SUM(BJ259:BJ263)&lt;1000000,1/SUM(BJ259:BJ263),1000000),"")</f>
        <v/>
      </c>
      <c r="BK264" s="83"/>
      <c r="BL264" s="2101" t="str">
        <f>IF(AND(BL$207&gt;0,SUM(BL259:BL263)&gt;0),IF(1/SUM(BL259:BL263)&lt;1000000,1/SUM(BL259:BL263),1000000),"")</f>
        <v/>
      </c>
      <c r="BM264" s="83"/>
      <c r="BN264" s="2101" t="str">
        <f>IF(AND(BN$207&gt;0,SUM(BN259:BN263)&gt;0),IF(1/SUM(BN259:BN263)&lt;1000000,1/SUM(BN259:BN263),1000000),"")</f>
        <v/>
      </c>
      <c r="BO264" s="83"/>
      <c r="BP264" s="1833" t="s">
        <v>1506</v>
      </c>
      <c r="BQ264" s="83"/>
      <c r="BR264" s="81"/>
      <c r="BS264" s="23" t="str">
        <f>B264</f>
        <v/>
      </c>
      <c r="BT264" s="81"/>
      <c r="BU264" s="2091">
        <f>IF(AND(BU$216&gt;0,LC1_3&gt;0),BU$216/(LC1_3/BU$210^(1/Pn_3)),0)</f>
        <v>0</v>
      </c>
      <c r="BV264" s="81"/>
      <c r="BW264" s="2091">
        <f>IF(AND(BW$216&gt;0,LC1_3&gt;0),BW$216/(LC1_3/BW$210^(1/Pn_3)),0)</f>
        <v>0</v>
      </c>
      <c r="BX264" s="81"/>
      <c r="BY264" s="2091">
        <f>IF(AND(BY$216&gt;0,LC1_3&gt;0),BY$216/(LC1_3/BY$210^(1/Pn_3)),0)</f>
        <v>0</v>
      </c>
      <c r="BZ264" s="81"/>
      <c r="CA264" s="2091">
        <f>IF(AND(CA$216&gt;0,LC1_3&gt;0),CA$216/(LC1_3/CA$210^(1/Pn_3)),0)</f>
        <v>0</v>
      </c>
      <c r="CB264" s="81"/>
      <c r="CC264" s="2091">
        <f>IF(AND(CC$216&gt;0,LC1_3&gt;0),CC$216/(LC1_3/CC$210^(1/Pn_3)),0)</f>
        <v>0</v>
      </c>
      <c r="CD264" s="81"/>
      <c r="CE264" s="23"/>
      <c r="CF264" s="81"/>
      <c r="CG264" s="83"/>
      <c r="CH264" s="25" t="s">
        <v>4231</v>
      </c>
      <c r="CI264" s="83"/>
      <c r="CJ264" s="2133" t="str">
        <f>IF(Conseq_Criteria="Hazard Distance",CJ219,IF(CJ181&lt;HD_Screening_Limit,"NA",IF(AND(CJ153="No",CJ261&lt;N_VeryLow),Conseq_VeryLow,IF(OR(AND(CJ153="No",CJ261&lt;N_Low),AND(CJ153="Yes",CJ259&lt;HD_Severe_Impact)),Conseq_Low,IF(CJ261&lt;N_Moderate,Conseq_Moderate,IF(CJ261&lt;N_High,Conseq_High,IF(CJ261&lt;N_VeryHigh,Conseq_VeryHigh,Conseq_ExtremeHigh)))))))</f>
        <v>NA</v>
      </c>
      <c r="CK264" s="83"/>
      <c r="CL264" s="89"/>
      <c r="CM264" s="83"/>
      <c r="CN264" s="26"/>
      <c r="CO264" s="26"/>
      <c r="CP264" s="26"/>
      <c r="CQ264" s="26"/>
      <c r="CR264" s="26"/>
      <c r="CS264" s="26"/>
      <c r="CT264" s="26"/>
      <c r="CU264" s="26"/>
      <c r="CV264" s="26"/>
      <c r="CW264" s="26"/>
    </row>
    <row r="265" spans="1:109" ht="15" customHeight="1" x14ac:dyDescent="0.25">
      <c r="A265" s="2"/>
      <c r="B265" s="851" t="str">
        <f>IF(B20="","","Vapor Mole Fraction "&amp;B20&amp;" / Time-Scaled LC-1")</f>
        <v/>
      </c>
      <c r="C265" s="83"/>
      <c r="D265" s="2091">
        <f>IF(AND(D$217&gt;0,LC1_4&gt;0),D$217/(LC1_4/D$210^(1/Pn_4)),0)</f>
        <v>0</v>
      </c>
      <c r="E265" s="83"/>
      <c r="F265" s="2091">
        <f>IF(AND(F$217&gt;0,LC1_4&gt;0),F$217/(LC1_4/F$210^(1/Pn_4)),0)</f>
        <v>0</v>
      </c>
      <c r="G265" s="83"/>
      <c r="H265" s="2091">
        <f>IF(AND(H$217&gt;0,LC1_4&gt;0),H$217/(LC1_4/H$210^(1/Pn_4)),0)</f>
        <v>0</v>
      </c>
      <c r="I265" s="83"/>
      <c r="J265" s="2091">
        <f>IF(AND(J$217&gt;0,LC1_4&gt;0),J$217/(LC1_4/J$210^(1/Pn_4)),0)</f>
        <v>0</v>
      </c>
      <c r="K265" s="83"/>
      <c r="L265" s="2091">
        <f>IF(AND(L$217&gt;0,LC1_4&gt;0),L$217/(LC1_4/L$210^(1/Pn_4)),0)</f>
        <v>0</v>
      </c>
      <c r="M265" s="83"/>
      <c r="N265" s="2091">
        <f>IF(AND(N$217&gt;0,LC1_4&gt;0),N$217/(LC1_4/N$210^(1/Pn_4)),0)</f>
        <v>0</v>
      </c>
      <c r="O265" s="83"/>
      <c r="P265" s="2091">
        <f>IF(AND(P$217&gt;0,LC1_4&gt;0),P$217/(LC1_4/P$210^(1/Pn_4)),0)</f>
        <v>0</v>
      </c>
      <c r="Q265" s="83"/>
      <c r="R265" s="2091">
        <f>IF(AND(R$217&gt;0,LC1_4&gt;0),R$217/(LC1_4/R$210^(1/Pn_4)),0)</f>
        <v>0</v>
      </c>
      <c r="S265" s="83"/>
      <c r="T265" s="2091">
        <f>IF(AND(T$217&gt;0,LC1_4&gt;0),T$217/(LC1_4/T$210^(1/Pn_4)),0)</f>
        <v>0</v>
      </c>
      <c r="U265" s="83"/>
      <c r="V265" s="2091">
        <f>IF(AND(V$217&gt;0,LC1_4&gt;0),V$217/(LC1_4/V$210^(1/Pn_4)),0)</f>
        <v>0</v>
      </c>
      <c r="W265" s="83"/>
      <c r="X265" s="2091">
        <f>IF(AND(X$217&gt;0,LC1_4&gt;0),X$217/(LC1_4/X$210^(1/Pn_4)),0)</f>
        <v>0</v>
      </c>
      <c r="Y265" s="83"/>
      <c r="Z265" s="85"/>
      <c r="AA265" s="83"/>
      <c r="AB265" s="81"/>
      <c r="AC265" s="846" t="str">
        <f>B252</f>
        <v/>
      </c>
      <c r="AD265" s="81"/>
      <c r="AE265" s="2091">
        <f>IF(AND(AE$229&gt;0,LC1_3&gt;0),AE$229/(LC1_3),0)</f>
        <v>0</v>
      </c>
      <c r="AF265" s="81"/>
      <c r="AG265" s="2091">
        <f>IF(AND(AG$229&gt;0,LC1_3&gt;0),AG$229/(LC1_3),0)</f>
        <v>0</v>
      </c>
      <c r="AH265" s="81"/>
      <c r="AI265" s="2091">
        <f>IF(AND(AI$229&gt;0,LC1_3&gt;0),AI$229/(LC1_3),0)</f>
        <v>0</v>
      </c>
      <c r="AJ265" s="81"/>
      <c r="AK265" s="2091">
        <f>IF(AND(AK$229&gt;0,LC1_3&gt;0),AK$229/(LC1_3),0)</f>
        <v>0</v>
      </c>
      <c r="AL265" s="81"/>
      <c r="AM265" s="2091">
        <f>IF(AND(AM$229&gt;0,LC1_3&gt;0),AM$229/(LC1_3),0)</f>
        <v>0</v>
      </c>
      <c r="AN265" s="81"/>
      <c r="AO265" s="2091">
        <f>IF(AND(AO$229&gt;0,LC1HT_3&gt;0),AO$229/(LC1HT_3),0)</f>
        <v>0</v>
      </c>
      <c r="AP265" s="81"/>
      <c r="AQ265" s="85"/>
      <c r="AR265" s="81"/>
      <c r="AS265" s="83"/>
      <c r="AT265" s="23" t="str">
        <f>B268</f>
        <v/>
      </c>
      <c r="AU265" s="83"/>
      <c r="AV265" s="2091">
        <f>IF(AND(AV$211&gt;0,LC1_1&gt;0),AV$211/(LC1_1/AV$208^(1/Pn_1)),0)</f>
        <v>0</v>
      </c>
      <c r="AW265" s="83"/>
      <c r="AX265" s="2091">
        <f>IF(AND(AX$211&gt;0,LC1_1&gt;0),AX$211/(LC1_1/AX$208^(1/Pn_1)),0)</f>
        <v>0</v>
      </c>
      <c r="AY265" s="83"/>
      <c r="AZ265" s="2091">
        <f>IF(AND(AZ$211&gt;0,LC1_1&gt;0),AZ$211/(LC1_1/AZ$208^(1/Pn_1)),0)</f>
        <v>0</v>
      </c>
      <c r="BA265" s="83"/>
      <c r="BB265" s="2091">
        <f>IF(AND(BB$211&gt;0,LC1_1&gt;0),BB$211/(LC1_1/BB$208^(1/Pn_1)),0)</f>
        <v>0</v>
      </c>
      <c r="BC265" s="83"/>
      <c r="BD265" s="2091">
        <f>IF(AND(BD$211&gt;0,LC1_1&gt;0),BD$211/(LC1_1/BD$208^(1/Pn_1)),0)</f>
        <v>0</v>
      </c>
      <c r="BE265" s="83"/>
      <c r="BF265" s="2091">
        <f>IF(AND(BF$211&gt;0,LC1_1&gt;0),BF$211/(LC1_1/BF$208^(1/Pn_1)),0)</f>
        <v>0</v>
      </c>
      <c r="BG265" s="83"/>
      <c r="BH265" s="2091">
        <f>IF(AND(BH$211&gt;0,LC1_1&gt;0),BH$211/(LC1_1/BH$208^(1/Pn_1)),0)</f>
        <v>0</v>
      </c>
      <c r="BI265" s="83"/>
      <c r="BJ265" s="2091">
        <f>IF(AND(BJ$211&gt;0,LC1_1&gt;0),BJ$211/(LC1_1/BJ$208^(1/Pn_1)),0)</f>
        <v>0</v>
      </c>
      <c r="BK265" s="83"/>
      <c r="BL265" s="2091">
        <f>IF(AND(BL$211&gt;0,LC1_1&gt;0),BL$211/(LC1_1/BL$208^(1/Pn_1)),0)</f>
        <v>0</v>
      </c>
      <c r="BM265" s="83"/>
      <c r="BN265" s="2091">
        <f>IF(AND(BN$211&gt;0,LC1_1&gt;0),BN$211/(LC1_1/BN$208^(1/Pn_1)),0)</f>
        <v>0</v>
      </c>
      <c r="BO265" s="83"/>
      <c r="BP265" s="1834"/>
      <c r="BQ265" s="83"/>
      <c r="BR265" s="81"/>
      <c r="BS265" s="23" t="str">
        <f>B265</f>
        <v/>
      </c>
      <c r="BT265" s="81"/>
      <c r="BU265" s="2091">
        <f>IF(AND(BU$217&gt;0,LC1_4&gt;0),BU$217/(LC1_4/BU$210^(1/Pn_4)),0)</f>
        <v>0</v>
      </c>
      <c r="BV265" s="81"/>
      <c r="BW265" s="2091">
        <f>IF(AND(BW$217&gt;0,LC1_4&gt;0),BW$217/(LC1_4/BW$210^(1/Pn_4)),0)</f>
        <v>0</v>
      </c>
      <c r="BX265" s="81"/>
      <c r="BY265" s="2091">
        <f>IF(AND(BY$217&gt;0,LC1_4&gt;0),BY$217/(LC1_4/BY$210^(1/Pn_4)),0)</f>
        <v>0</v>
      </c>
      <c r="BZ265" s="81"/>
      <c r="CA265" s="2091">
        <f>IF(AND(CA$217&gt;0,LC1_4&gt;0),CA$217/(LC1_4/CA$210^(1/Pn_4)),0)</f>
        <v>0</v>
      </c>
      <c r="CB265" s="81"/>
      <c r="CC265" s="2091">
        <f>IF(AND(CC$217&gt;0,LC1_4&gt;0),CC$217/(LC1_4/CC$210^(1/Pn_4)),0)</f>
        <v>0</v>
      </c>
      <c r="CD265" s="81"/>
      <c r="CE265" s="23"/>
      <c r="CF265" s="81"/>
      <c r="CG265" s="83"/>
      <c r="CH265" s="23" t="s">
        <v>3665</v>
      </c>
      <c r="CI265" s="83"/>
      <c r="CJ265" s="2639">
        <f>IF(OR(CJ184=0,CJ186&lt;&gt;"Yes"),0,EXP(-Bldg_Type_Coefficient*(Bldg_Type_Correction/CJ184)^Bldg_Type_Exponent))</f>
        <v>0</v>
      </c>
      <c r="CK265" s="83"/>
      <c r="CL265" s="23"/>
      <c r="CM265" s="83"/>
      <c r="CN265" s="26"/>
      <c r="CO265" s="26"/>
      <c r="CP265" s="26"/>
      <c r="CQ265" s="26"/>
      <c r="CR265" s="26"/>
      <c r="CS265" s="26"/>
      <c r="CT265" s="26"/>
      <c r="CU265" s="26"/>
    </row>
    <row r="266" spans="1:109" ht="15" customHeight="1" x14ac:dyDescent="0.25">
      <c r="A266" s="2"/>
      <c r="B266" s="851" t="str">
        <f>IF(B21="","","Vapor Mole Fraction "&amp;B21&amp;" / Time-Scaled LC-1")</f>
        <v/>
      </c>
      <c r="C266" s="83"/>
      <c r="D266" s="2091">
        <f>IF(AND(D$218&gt;0,LC1_5&gt;0),D$218/(LC1_5/D$210^(1/Pn_5)),0)</f>
        <v>0</v>
      </c>
      <c r="E266" s="83"/>
      <c r="F266" s="2091">
        <f>IF(AND(F$218&gt;0,LC1_5&gt;0),F$218/(LC1_5/F$210^(1/Pn_5)),0)</f>
        <v>0</v>
      </c>
      <c r="G266" s="83"/>
      <c r="H266" s="2091">
        <f>IF(AND(H$218&gt;0,LC1_5&gt;0),H$218/(LC1_5/H$210^(1/Pn_5)),0)</f>
        <v>0</v>
      </c>
      <c r="I266" s="83"/>
      <c r="J266" s="2091">
        <f>IF(AND(J$218&gt;0,LC1_5&gt;0),J$218/(LC1_5/J$210^(1/Pn_5)),0)</f>
        <v>0</v>
      </c>
      <c r="K266" s="83"/>
      <c r="L266" s="2091">
        <f>IF(AND(L$218&gt;0,LC1_5&gt;0),L$218/(LC1_5/L$210^(1/Pn_5)),0)</f>
        <v>0</v>
      </c>
      <c r="M266" s="83"/>
      <c r="N266" s="2091">
        <f>IF(AND(N$218&gt;0,LC1_5&gt;0),N$218/(LC1_5/N$210^(1/Pn_5)),0)</f>
        <v>0</v>
      </c>
      <c r="O266" s="83"/>
      <c r="P266" s="2091">
        <f>IF(AND(P$218&gt;0,LC1_5&gt;0),P$218/(LC1_5/P$210^(1/Pn_5)),0)</f>
        <v>0</v>
      </c>
      <c r="Q266" s="83"/>
      <c r="R266" s="2091">
        <f>IF(AND(R$218&gt;0,LC1_5&gt;0),R$218/(LC1_5/R$210^(1/Pn_5)),0)</f>
        <v>0</v>
      </c>
      <c r="S266" s="83"/>
      <c r="T266" s="2091">
        <f>IF(AND(T$218&gt;0,LC1_5&gt;0),T$218/(LC1_5/T$210^(1/Pn_5)),0)</f>
        <v>0</v>
      </c>
      <c r="U266" s="83"/>
      <c r="V266" s="2091">
        <f>IF(AND(V$218&gt;0,LC1_5&gt;0),V$218/(LC1_5/V$210^(1/Pn_5)),0)</f>
        <v>0</v>
      </c>
      <c r="W266" s="83"/>
      <c r="X266" s="2091">
        <f>IF(AND(X$218&gt;0,LC1_5&gt;0),X$218/(LC1_5/X$210^(1/Pn_5)),0)</f>
        <v>0</v>
      </c>
      <c r="Y266" s="83"/>
      <c r="Z266" s="85"/>
      <c r="AA266" s="83"/>
      <c r="AB266" s="81"/>
      <c r="AC266" s="846" t="str">
        <f>B253</f>
        <v/>
      </c>
      <c r="AD266" s="81"/>
      <c r="AE266" s="2091">
        <f>IF(AND(AE$230&gt;0,LC1_4&gt;0),AE$230/(LC1_4),0)</f>
        <v>0</v>
      </c>
      <c r="AF266" s="81"/>
      <c r="AG266" s="2091">
        <f>IF(AND(AG$230&gt;0,LC1_4&gt;0),AG$230/(LC1_4),0)</f>
        <v>0</v>
      </c>
      <c r="AH266" s="81"/>
      <c r="AI266" s="2091">
        <f>IF(AND(AI$230&gt;0,LC1_4&gt;0),AI$230/(LC1_4),0)</f>
        <v>0</v>
      </c>
      <c r="AJ266" s="81"/>
      <c r="AK266" s="2091">
        <f>IF(AND(AK$230&gt;0,LC1_4&gt;0),AK$230/(LC1_4),0)</f>
        <v>0</v>
      </c>
      <c r="AL266" s="81"/>
      <c r="AM266" s="2091">
        <f>IF(AND(AM$230&gt;0,LC1_4&gt;0),AM$230/(LC1_4),0)</f>
        <v>0</v>
      </c>
      <c r="AN266" s="81"/>
      <c r="AO266" s="2091">
        <f>IF(AND(AO$230&gt;0,LC1HT_4&gt;0),AO$230/(LC1HT_4),0)</f>
        <v>0</v>
      </c>
      <c r="AP266" s="81"/>
      <c r="AQ266" s="85"/>
      <c r="AR266" s="81"/>
      <c r="AS266" s="83"/>
      <c r="AT266" s="23" t="str">
        <f>B269</f>
        <v/>
      </c>
      <c r="AU266" s="83"/>
      <c r="AV266" s="2091">
        <f>IF(AND(AV$212&gt;0,LC1_2&gt;0),AV$212/(LC1_2/AV$208^(1/Pn_2)),0)</f>
        <v>0</v>
      </c>
      <c r="AW266" s="83"/>
      <c r="AX266" s="2091">
        <f>IF(AND(AX$212&gt;0,LC1_2&gt;0),AX$212/(LC1_2/AX$208^(1/Pn_2)),0)</f>
        <v>0</v>
      </c>
      <c r="AY266" s="83"/>
      <c r="AZ266" s="2091">
        <f>IF(AND(AZ$212&gt;0,LC1_2&gt;0),AZ$212/(LC1_2/AZ$208^(1/Pn_2)),0)</f>
        <v>0</v>
      </c>
      <c r="BA266" s="83"/>
      <c r="BB266" s="2091">
        <f>IF(AND(BB$212&gt;0,LC1_2&gt;0),BB$212/(LC1_2/BB$208^(1/Pn_2)),0)</f>
        <v>0</v>
      </c>
      <c r="BC266" s="83"/>
      <c r="BD266" s="2091">
        <f>IF(AND(BD$212&gt;0,LC1_2&gt;0),BD$212/(LC1_2/BD$208^(1/Pn_2)),0)</f>
        <v>0</v>
      </c>
      <c r="BE266" s="83"/>
      <c r="BF266" s="2091">
        <f>IF(AND(BF$212&gt;0,LC1_2&gt;0),BF$212/(LC1_2/BF$208^(1/Pn_2)),0)</f>
        <v>0</v>
      </c>
      <c r="BG266" s="83"/>
      <c r="BH266" s="2091">
        <f>IF(AND(BH$212&gt;0,LC1_2&gt;0),BH$212/(LC1_2/BH$208^(1/Pn_2)),0)</f>
        <v>0</v>
      </c>
      <c r="BI266" s="83"/>
      <c r="BJ266" s="2091">
        <f>IF(AND(BJ$212&gt;0,LC1_2&gt;0),BJ$212/(LC1_2/BJ$208^(1/Pn_2)),0)</f>
        <v>0</v>
      </c>
      <c r="BK266" s="83"/>
      <c r="BL266" s="2091">
        <f>IF(AND(BL$212&gt;0,LC1_2&gt;0),BL$212/(LC1_2/BL$208^(1/Pn_2)),0)</f>
        <v>0</v>
      </c>
      <c r="BM266" s="83"/>
      <c r="BN266" s="2091">
        <f>IF(AND(BN$212&gt;0,LC1_2&gt;0),BN$212/(LC1_2/BN$208^(1/Pn_2)),0)</f>
        <v>0</v>
      </c>
      <c r="BO266" s="83"/>
      <c r="BP266" s="1835"/>
      <c r="BQ266" s="83"/>
      <c r="BR266" s="81"/>
      <c r="BS266" s="23" t="str">
        <f>B266</f>
        <v/>
      </c>
      <c r="BT266" s="81"/>
      <c r="BU266" s="2091">
        <f>IF(AND(BU$218&gt;0,LC1_5&gt;0),BU$218/(LC1_5/BU$210^(1/Pn_5)),0)</f>
        <v>0</v>
      </c>
      <c r="BV266" s="81"/>
      <c r="BW266" s="2091">
        <f>IF(AND(BW$218&gt;0,LC1_5&gt;0),BW$218/(LC1_5/BW$210^(1/Pn_5)),0)</f>
        <v>0</v>
      </c>
      <c r="BX266" s="81"/>
      <c r="BY266" s="2091">
        <f>IF(AND(BY$218&gt;0,LC1_5&gt;0),BY$218/(LC1_5/BY$210^(1/Pn_5)),0)</f>
        <v>0</v>
      </c>
      <c r="BZ266" s="81"/>
      <c r="CA266" s="2091">
        <f>IF(AND(CA$218&gt;0,LC1_5&gt;0),CA$218/(LC1_5/CA$210^(1/Pn_5)),0)</f>
        <v>0</v>
      </c>
      <c r="CB266" s="81"/>
      <c r="CC266" s="2091">
        <f>IF(AND(CC$218&gt;0,LC1_5&gt;0),CC$218/(LC1_5/CC$210^(1/Pn_5)),0)</f>
        <v>0</v>
      </c>
      <c r="CD266" s="81"/>
      <c r="CE266" s="23"/>
      <c r="CF266" s="81"/>
      <c r="CG266" s="83"/>
      <c r="CH266" s="23" t="s">
        <v>630</v>
      </c>
      <c r="CI266" s="83"/>
      <c r="CJ266" s="2132">
        <f>IF(OR(CJ185=0,CJ186&lt;&gt;"Yes"),0,EXP(-Bldg_Type_Coefficient*(Bldg_Type_Correction/CJ185)^Bldg2_Type_Exponent))</f>
        <v>0</v>
      </c>
      <c r="CK266" s="83"/>
      <c r="CL266" s="23"/>
      <c r="CM266" s="83"/>
      <c r="CN266" s="26"/>
      <c r="CO266" s="26"/>
      <c r="CP266" s="26"/>
      <c r="CQ266" s="26"/>
      <c r="CR266" s="26"/>
      <c r="CS266" s="26"/>
      <c r="CT266" s="26"/>
      <c r="CU266" s="26"/>
    </row>
    <row r="267" spans="1:109" ht="15" customHeight="1" thickBot="1" x14ac:dyDescent="0.3">
      <c r="A267" s="2"/>
      <c r="B267" s="2586" t="s">
        <v>3512</v>
      </c>
      <c r="C267" s="83"/>
      <c r="D267" s="2101" t="str">
        <f>IF(AND(D$210&gt;0,SUM(D262:D266)&gt;0),IF(1/SUM(D262:D266)&lt;1000000,1/SUM(D262:D266),1000000),"")</f>
        <v/>
      </c>
      <c r="E267" s="83"/>
      <c r="F267" s="2101" t="str">
        <f>IF(AND(F$210&gt;0,SUM(F262:F266)&gt;0),IF(1/SUM(F262:F266)&lt;1000000,1/SUM(F262:F266),1000000),"")</f>
        <v/>
      </c>
      <c r="G267" s="83"/>
      <c r="H267" s="2101" t="str">
        <f>IF(AND(H$210&gt;0,SUM(H262:H266)&gt;0),IF(1/SUM(H262:H266)&lt;1000000,1/SUM(H262:H266),1000000),"")</f>
        <v/>
      </c>
      <c r="I267" s="83"/>
      <c r="J267" s="2101" t="str">
        <f>IF(AND(J$210&gt;0,SUM(J262:J266)&gt;0),IF(1/SUM(J262:J266)&lt;1000000,1/SUM(J262:J266),1000000),"")</f>
        <v/>
      </c>
      <c r="K267" s="83"/>
      <c r="L267" s="2101" t="str">
        <f>IF(AND(L$210&gt;0,SUM(L262:L266)&gt;0),IF(1/SUM(L262:L266)&lt;1000000,1/SUM(L262:L266),1000000),"")</f>
        <v/>
      </c>
      <c r="M267" s="83"/>
      <c r="N267" s="2101" t="str">
        <f>IF(AND(N$210&gt;0,SUM(N262:N266)&gt;0),IF(1/SUM(N262:N266)&lt;1000000,1/SUM(N262:N266),1000000),"")</f>
        <v/>
      </c>
      <c r="O267" s="83"/>
      <c r="P267" s="2101" t="str">
        <f>IF(AND(P$210&gt;0,SUM(P262:P266)&gt;0),IF(1/SUM(P262:P266)&lt;1000000,1/SUM(P262:P266),1000000),"")</f>
        <v/>
      </c>
      <c r="Q267" s="83"/>
      <c r="R267" s="2101" t="str">
        <f>IF(AND(R$210&gt;0,SUM(R262:R266)&gt;0),IF(1/SUM(R262:R266)&lt;1000000,1/SUM(R262:R266),1000000),"")</f>
        <v/>
      </c>
      <c r="S267" s="83"/>
      <c r="T267" s="2101" t="str">
        <f>IF(AND(T$210&gt;0,SUM(T262:T266)&gt;0),IF(1/SUM(T262:T266)&lt;1000000,1/SUM(T262:T266),1000000),"")</f>
        <v/>
      </c>
      <c r="U267" s="83"/>
      <c r="V267" s="2101" t="str">
        <f>IF(AND(V$210&gt;0,SUM(V262:V266)&gt;0),IF(1/SUM(V262:V266)&lt;1000000,1/SUM(V262:V266),1000000),"")</f>
        <v/>
      </c>
      <c r="W267" s="83"/>
      <c r="X267" s="2101" t="str">
        <f>IF(AND(X$210&gt;0,SUM(X262:X266)&gt;0),IF(1/SUM(X262:X266)&lt;1000000,1/SUM(X262:X266),1000000),"")</f>
        <v/>
      </c>
      <c r="Y267" s="83"/>
      <c r="Z267" s="85" t="s">
        <v>1506</v>
      </c>
      <c r="AA267" s="83"/>
      <c r="AB267" s="81"/>
      <c r="AC267" s="846" t="str">
        <f>B254</f>
        <v/>
      </c>
      <c r="AD267" s="81"/>
      <c r="AE267" s="2091">
        <f>IF(AND(AE$231&gt;0,LC1_5&gt;0),AE$231/(LC1_5),0)</f>
        <v>0</v>
      </c>
      <c r="AF267" s="81"/>
      <c r="AG267" s="2091">
        <f>IF(AND(AG$231&gt;0,LC1_5&gt;0),AG$231/(LC1_5),0)</f>
        <v>0</v>
      </c>
      <c r="AH267" s="81"/>
      <c r="AI267" s="2091">
        <f>IF(AND(AI$231&gt;0,LC1_5&gt;0),AI$231/(LC1_5),0)</f>
        <v>0</v>
      </c>
      <c r="AJ267" s="81"/>
      <c r="AK267" s="2091">
        <f>IF(AND(AK$231&gt;0,LC1_5&gt;0),AK$231/(LC1_5),0)</f>
        <v>0</v>
      </c>
      <c r="AL267" s="81"/>
      <c r="AM267" s="2091">
        <f>IF(AND(AM$231&gt;0,LC1_5&gt;0),AM$231/(LC1_5),0)</f>
        <v>0</v>
      </c>
      <c r="AN267" s="81"/>
      <c r="AO267" s="2091">
        <f>IF(AND(AO$231&gt;0,LC1HT_5&gt;0),AO$231/(LC1HT_5),0)</f>
        <v>0</v>
      </c>
      <c r="AP267" s="81"/>
      <c r="AQ267" s="85"/>
      <c r="AR267" s="81"/>
      <c r="AS267" s="83"/>
      <c r="AT267" s="23" t="str">
        <f>B270</f>
        <v/>
      </c>
      <c r="AU267" s="83"/>
      <c r="AV267" s="2091">
        <f>IF(AND(AV$213&gt;0,LC1_3&gt;0),AV$213/(LC1_3/AV$208^(1/Pn_3)),0)</f>
        <v>0</v>
      </c>
      <c r="AW267" s="83"/>
      <c r="AX267" s="2091">
        <f>IF(AND(AX$213&gt;0,LC1_3&gt;0),AX$213/(LC1_3/AX$208^(1/Pn_3)),0)</f>
        <v>0</v>
      </c>
      <c r="AY267" s="83"/>
      <c r="AZ267" s="2091">
        <f>IF(AND(AZ$213&gt;0,LC1_3&gt;0),AZ$213/(LC1_3/AZ$208^(1/Pn_3)),0)</f>
        <v>0</v>
      </c>
      <c r="BA267" s="83"/>
      <c r="BB267" s="2091">
        <f>IF(AND(BB$213&gt;0,LC1_3&gt;0),BB$213/(LC1_3/BB$208^(1/Pn_3)),0)</f>
        <v>0</v>
      </c>
      <c r="BC267" s="83"/>
      <c r="BD267" s="2091">
        <f>IF(AND(BD$213&gt;0,LC1_3&gt;0),BD$213/(LC1_3/BD$208^(1/Pn_3)),0)</f>
        <v>0</v>
      </c>
      <c r="BE267" s="83"/>
      <c r="BF267" s="2091">
        <f>IF(AND(BF$213&gt;0,LC1_3&gt;0),BF$213/(LC1_3/BF$208^(1/Pn_3)),0)</f>
        <v>0</v>
      </c>
      <c r="BG267" s="83"/>
      <c r="BH267" s="2091">
        <f>IF(AND(BH$213&gt;0,LC1_3&gt;0),BH$213/(LC1_3/BH$208^(1/Pn_3)),0)</f>
        <v>0</v>
      </c>
      <c r="BI267" s="83"/>
      <c r="BJ267" s="2091">
        <f>IF(AND(BJ$213&gt;0,LC1_3&gt;0),BJ$213/(LC1_3/BJ$208^(1/Pn_3)),0)</f>
        <v>0</v>
      </c>
      <c r="BK267" s="83"/>
      <c r="BL267" s="2091">
        <f>IF(AND(BL$213&gt;0,LC1_3&gt;0),BL$213/(LC1_3/BL$208^(1/Pn_3)),0)</f>
        <v>0</v>
      </c>
      <c r="BM267" s="83"/>
      <c r="BN267" s="2091">
        <f>IF(AND(BN$213&gt;0,LC1_3&gt;0),BN$213/(LC1_3/BN$208^(1/Pn_3)),0)</f>
        <v>0</v>
      </c>
      <c r="BO267" s="83"/>
      <c r="BP267" s="1835"/>
      <c r="BQ267" s="83"/>
      <c r="BR267" s="81"/>
      <c r="BS267" s="2586" t="s">
        <v>3512</v>
      </c>
      <c r="BT267" s="81"/>
      <c r="BU267" s="2101" t="str">
        <f>IF(AND(BU$210&gt;0,SUM(BU262:BU266)&gt;0),IF(1/SUM(BU262:BU266)&lt;1000000,1/SUM(BU262:BU266),1000000),"")</f>
        <v/>
      </c>
      <c r="BV267" s="81"/>
      <c r="BW267" s="2101" t="str">
        <f>IF(AND(BW$210&gt;0,SUM(BW262:BW266)&gt;0),IF(1/SUM(BW262:BW266)&lt;1000000,1/SUM(BW262:BW266),1000000),"")</f>
        <v/>
      </c>
      <c r="BX267" s="81"/>
      <c r="BY267" s="2101" t="str">
        <f>IF(AND(BY$210&gt;0,SUM(BY262:BY266)&gt;0),IF(1/SUM(BY262:BY266)&lt;1000000,1/SUM(BY262:BY266),1000000),"")</f>
        <v/>
      </c>
      <c r="BZ267" s="81"/>
      <c r="CA267" s="2101" t="str">
        <f>IF(AND(CA$210&gt;0,SUM(CA262:CA266)&gt;0),IF(1/SUM(CA262:CA266)&lt;1000000,1/SUM(CA262:CA266),1000000),"")</f>
        <v/>
      </c>
      <c r="CB267" s="81"/>
      <c r="CC267" s="2101" t="str">
        <f>IF(AND(CC$210&gt;0,SUM(CC262:CC266)&gt;0),IF(1/SUM(CC262:CC266)&lt;1000000,1/SUM(CC262:CC266),1000000),"")</f>
        <v/>
      </c>
      <c r="CD267" s="81"/>
      <c r="CE267" s="25" t="s">
        <v>1506</v>
      </c>
      <c r="CF267" s="81"/>
      <c r="CG267" s="83"/>
      <c r="CH267" s="3223" t="s">
        <v>5215</v>
      </c>
      <c r="CI267" s="83"/>
      <c r="CJ267" s="3169">
        <f>IF(CJ183="No",0,3.14*Offsite_Area_Bldg_Factor*IF(Offsite_PD1="",Offsite_PD/1000000,Offsite_PD1)*CJ181^2*(EXP(-Offsite_Bldg_Type_Coefficient*Zone_1^2/CJ181^2)-EXP(-Offsite_Bldg_Type_Coefficient*Public^2/CJ181^2))/(-Offsite_Bldg_Type_Coefficient))</f>
        <v>0</v>
      </c>
      <c r="CK267" s="83"/>
      <c r="CL267" s="91"/>
      <c r="CM267" s="83"/>
      <c r="CN267" s="26"/>
      <c r="CO267" s="26"/>
      <c r="CP267" s="26"/>
      <c r="CQ267" s="26"/>
      <c r="CR267" s="26"/>
      <c r="CS267" s="26"/>
      <c r="CT267" s="26"/>
      <c r="CU267" s="26"/>
    </row>
    <row r="268" spans="1:109" ht="15" customHeight="1" x14ac:dyDescent="0.25">
      <c r="A268" s="2"/>
      <c r="B268" s="851" t="str">
        <f>IF(B17="","","Vapor Mole Fraction "&amp;B17&amp;" / Time-Scaled LC-1")</f>
        <v/>
      </c>
      <c r="C268" s="83"/>
      <c r="D268" s="2091">
        <f>IF(AND(D$214&gt;0,LC1_1&gt;0),D$214/(LC1_1/D$211^(1/Pn_1)),0)</f>
        <v>0</v>
      </c>
      <c r="E268" s="83"/>
      <c r="F268" s="2091">
        <f>IF(AND(F$214&gt;0,LC1_1&gt;0),F$214/(LC1_1/F$211^(1/Pn_1)),0)</f>
        <v>0</v>
      </c>
      <c r="G268" s="83"/>
      <c r="H268" s="2091">
        <f>IF(AND(H$214&gt;0,LC1_1&gt;0),H$214/(LC1_1/H$211^(1/Pn_1)),0)</f>
        <v>0</v>
      </c>
      <c r="I268" s="83"/>
      <c r="J268" s="2091">
        <f>IF(AND(J$214&gt;0,LC1_1&gt;0),J$214/(LC1_1/J$211^(1/Pn_1)),0)</f>
        <v>0</v>
      </c>
      <c r="K268" s="83"/>
      <c r="L268" s="2091">
        <f>IF(AND(L$214&gt;0,LC1_1&gt;0),L$214/(LC1_1/L$211^(1/Pn_1)),0)</f>
        <v>0</v>
      </c>
      <c r="M268" s="83"/>
      <c r="N268" s="2091">
        <f>IF(AND(N$214&gt;0,LC1_1&gt;0),N$214/(LC1_1/N$211^(1/Pn_1)),0)</f>
        <v>0</v>
      </c>
      <c r="O268" s="83"/>
      <c r="P268" s="2091">
        <f>IF(AND(P$214&gt;0,LC1_1&gt;0),P$214/(LC1_1/P$211^(1/Pn_1)),0)</f>
        <v>0</v>
      </c>
      <c r="Q268" s="83"/>
      <c r="R268" s="2091">
        <f>IF(AND(R$214&gt;0,LC1_1&gt;0),R$214/(LC1_1/R$211^(1/Pn_1)),0)</f>
        <v>0</v>
      </c>
      <c r="S268" s="83"/>
      <c r="T268" s="2091">
        <f>IF(AND(T$214&gt;0,LC1_1&gt;0),T$214/(LC1_1/T$211^(1/Pn_1)),0)</f>
        <v>0</v>
      </c>
      <c r="U268" s="83"/>
      <c r="V268" s="2091">
        <f>IF(AND(V$214&gt;0,LC1_1&gt;0),V$214/(LC1_1/V$211^(1/Pn_1)),0)</f>
        <v>0</v>
      </c>
      <c r="W268" s="83"/>
      <c r="X268" s="2091">
        <f>IF(AND(X$214&gt;0,LC1_1&gt;0),X$214/(LC1_1/X$211^(1/Pn_1)),0)</f>
        <v>0</v>
      </c>
      <c r="Y268" s="83"/>
      <c r="Z268" s="85"/>
      <c r="AA268" s="83"/>
      <c r="AB268" s="81"/>
      <c r="AC268" s="2586" t="s">
        <v>3520</v>
      </c>
      <c r="AD268" s="81"/>
      <c r="AE268" s="2101" t="str">
        <f>IF(SUM(AE263:AE267)&gt;0,IF(1/SUM(AE263:AE267)&lt;1000000,1/SUM(AE263:AE267),1000000),"")</f>
        <v/>
      </c>
      <c r="AF268" s="81"/>
      <c r="AG268" s="2101" t="str">
        <f>IF(SUM(AG263:AG267)&gt;0,IF(1/SUM(AG263:AG267)&lt;1000000,1/SUM(AG263:AG267),1000000),"")</f>
        <v/>
      </c>
      <c r="AH268" s="81"/>
      <c r="AI268" s="2101" t="str">
        <f>IF(SUM(AI263:AI267)&gt;0,IF(1/SUM(AI263:AI267)&lt;1000000,1/SUM(AI263:AI267),1000000),"")</f>
        <v/>
      </c>
      <c r="AJ268" s="81"/>
      <c r="AK268" s="2101" t="str">
        <f>IF(SUM(AK263:AK267)&gt;0,IF(1/SUM(AK263:AK267)&lt;1000000,1/SUM(AK263:AK267),1000000),"")</f>
        <v/>
      </c>
      <c r="AL268" s="81"/>
      <c r="AM268" s="2101" t="str">
        <f>IF(SUM(AM263:AM267)&gt;0,IF(1/SUM(AM263:AM267)&lt;1000000,1/SUM(AM263:AM267),1000000),"")</f>
        <v/>
      </c>
      <c r="AN268" s="81"/>
      <c r="AO268" s="2101" t="str">
        <f>IF(SUM(AO263:AO267)&gt;0,IF(1/SUM(AO263:AO267)&lt;1000000,1/SUM(AO263:AO267),1000000),"")</f>
        <v/>
      </c>
      <c r="AP268" s="81"/>
      <c r="AQ268" s="85" t="s">
        <v>1506</v>
      </c>
      <c r="AR268" s="81"/>
      <c r="AS268" s="83"/>
      <c r="AT268" s="23" t="str">
        <f>B271</f>
        <v/>
      </c>
      <c r="AU268" s="83"/>
      <c r="AV268" s="2091">
        <f>IF(AND(AV$214&gt;0,LC1_4&gt;0),AV$214/(LC1_4/AV$208^(1/Pn_4)),0)</f>
        <v>0</v>
      </c>
      <c r="AW268" s="83"/>
      <c r="AX268" s="2091">
        <f>IF(AND(AX$214&gt;0,LC1_4&gt;0),AX$214/(LC1_4/AX$208^(1/Pn_4)),0)</f>
        <v>0</v>
      </c>
      <c r="AY268" s="83"/>
      <c r="AZ268" s="2091">
        <f>IF(AND(AZ$214&gt;0,LC1_4&gt;0),AZ$214/(LC1_4/AZ$208^(1/Pn_4)),0)</f>
        <v>0</v>
      </c>
      <c r="BA268" s="83"/>
      <c r="BB268" s="2091">
        <f>IF(AND(BB$214&gt;0,LC1_4&gt;0),BB$214/(LC1_4/BB$208^(1/Pn_4)),0)</f>
        <v>0</v>
      </c>
      <c r="BC268" s="83"/>
      <c r="BD268" s="2091">
        <f>IF(AND(BD$214&gt;0,LC1_4&gt;0),BD$214/(LC1_4/BD$208^(1/Pn_4)),0)</f>
        <v>0</v>
      </c>
      <c r="BE268" s="83"/>
      <c r="BF268" s="2091">
        <f>IF(AND(BF$214&gt;0,LC1_4&gt;0),BF$214/(LC1_4/BF$208^(1/Pn_4)),0)</f>
        <v>0</v>
      </c>
      <c r="BG268" s="83"/>
      <c r="BH268" s="2091">
        <f>IF(AND(BH$214&gt;0,LC1_4&gt;0),BH$214/(LC1_4/BH$208^(1/Pn_4)),0)</f>
        <v>0</v>
      </c>
      <c r="BI268" s="83"/>
      <c r="BJ268" s="2091">
        <f>IF(AND(BJ$214&gt;0,LC1_4&gt;0),BJ$214/(LC1_4/BJ$208^(1/Pn_4)),0)</f>
        <v>0</v>
      </c>
      <c r="BK268" s="83"/>
      <c r="BL268" s="2091">
        <f>IF(AND(BL$214&gt;0,LC1_4&gt;0),BL$214/(LC1_4/BL$208^(1/Pn_4)),0)</f>
        <v>0</v>
      </c>
      <c r="BM268" s="83"/>
      <c r="BN268" s="2091">
        <f>IF(AND(BN$214&gt;0,LC1_4&gt;0),BN$214/(LC1_4/BN$208^(1/Pn_4)),0)</f>
        <v>0</v>
      </c>
      <c r="BO268" s="83"/>
      <c r="BP268" s="1835"/>
      <c r="BQ268" s="83"/>
      <c r="BR268" s="81"/>
      <c r="BS268" s="851" t="str">
        <f>B268</f>
        <v/>
      </c>
      <c r="BT268" s="81"/>
      <c r="BU268" s="2091">
        <f>IF(AND(BU$214&gt;0,LC1_1&gt;0),BU$214/(LC1_1/BU$211^(1/Pn_1)),0)</f>
        <v>0</v>
      </c>
      <c r="BV268" s="81"/>
      <c r="BW268" s="2091">
        <f>IF(AND(BW$214&gt;0,LC1_1&gt;0),BW$214/(LC1_1/BW$211^(1/Pn_1)),0)</f>
        <v>0</v>
      </c>
      <c r="BX268" s="81"/>
      <c r="BY268" s="2091">
        <f>IF(AND(BY$214&gt;0,LC1_1&gt;0),BY$214/(LC1_1/BY$211^(1/Pn_1)),0)</f>
        <v>0</v>
      </c>
      <c r="BZ268" s="81"/>
      <c r="CA268" s="2091">
        <f>IF(AND(CA$214&gt;0,LC1_1&gt;0),CA$214/(LC1_1/CA$211^(1/Pn_1)),0)</f>
        <v>0</v>
      </c>
      <c r="CB268" s="81"/>
      <c r="CC268" s="2091">
        <f>IF(AND(CC$214&gt;0,LC1_1&gt;0),CC$214/(LC1_1/CC$211^(1/Pn_1)),0)</f>
        <v>0</v>
      </c>
      <c r="CD268" s="81"/>
      <c r="CE268" s="84"/>
      <c r="CF268" s="81"/>
      <c r="CG268" s="83"/>
      <c r="CH268" s="3223" t="s">
        <v>5216</v>
      </c>
      <c r="CI268" s="83"/>
      <c r="CJ268" s="3169">
        <f>IF(CJ183="No",0,3.14*Offsite_Area_Bldg_Factor*IF(Offsite_PD2="",Offsite_PD/1000000,Offsite_PD2)*CJ181^2*(0-EXP(-Offsite_Bldg_Type_Coefficient*Zone_1^2/CJ181^2))/(-Offsite_Bldg_Type_Coefficient))</f>
        <v>0</v>
      </c>
      <c r="CK268" s="83"/>
      <c r="CL268" s="91"/>
      <c r="CM268" s="83"/>
      <c r="CN268" s="26"/>
      <c r="CO268" s="26"/>
      <c r="CP268" s="26"/>
      <c r="CQ268" s="26"/>
      <c r="CR268" s="26"/>
      <c r="CS268" s="26"/>
      <c r="CT268" s="26"/>
      <c r="CU268" s="26"/>
    </row>
    <row r="269" spans="1:109" ht="15" customHeight="1" x14ac:dyDescent="0.25">
      <c r="A269" s="2"/>
      <c r="B269" s="851" t="str">
        <f>IF(B18="","","Vapor Mole Fraction "&amp;B18&amp;" / Time-Scaled LC-1")</f>
        <v/>
      </c>
      <c r="C269" s="83"/>
      <c r="D269" s="2091">
        <f>IF(AND(D$215&gt;0,LC1_2&gt;0),D$215/(LC1_2/D$211^(1/Pn_2)),0)</f>
        <v>0</v>
      </c>
      <c r="E269" s="83"/>
      <c r="F269" s="2091">
        <f>IF(AND(F$215&gt;0,LC1_2&gt;0),F$215/(LC1_2/F$211^(1/Pn_2)),0)</f>
        <v>0</v>
      </c>
      <c r="G269" s="83"/>
      <c r="H269" s="2091">
        <f>IF(AND(H$215&gt;0,LC1_2&gt;0),H$215/(LC1_2/H$211^(1/Pn_2)),0)</f>
        <v>0</v>
      </c>
      <c r="I269" s="83"/>
      <c r="J269" s="2091">
        <f>IF(AND(J$215&gt;0,LC1_2&gt;0),J$215/(LC1_2/J$211^(1/Pn_2)),0)</f>
        <v>0</v>
      </c>
      <c r="K269" s="83"/>
      <c r="L269" s="2091">
        <f>IF(AND(L$215&gt;0,LC1_2&gt;0),L$215/(LC1_2/L$211^(1/Pn_2)),0)</f>
        <v>0</v>
      </c>
      <c r="M269" s="83"/>
      <c r="N269" s="2091">
        <f>IF(AND(N$215&gt;0,LC1_2&gt;0),N$215/(LC1_2/N$211^(1/Pn_2)),0)</f>
        <v>0</v>
      </c>
      <c r="O269" s="83"/>
      <c r="P269" s="2091">
        <f>IF(AND(P$215&gt;0,LC1_2&gt;0),P$215/(LC1_2/P$211^(1/Pn_2)),0)</f>
        <v>0</v>
      </c>
      <c r="Q269" s="83"/>
      <c r="R269" s="2091">
        <f>IF(AND(R$215&gt;0,LC1_2&gt;0),R$215/(LC1_2/R$211^(1/Pn_2)),0)</f>
        <v>0</v>
      </c>
      <c r="S269" s="83"/>
      <c r="T269" s="2091">
        <f>IF(AND(T$215&gt;0,LC1_2&gt;0),T$215/(LC1_2/T$211^(1/Pn_2)),0)</f>
        <v>0</v>
      </c>
      <c r="U269" s="83"/>
      <c r="V269" s="2091">
        <f>IF(AND(V$215&gt;0,LC1_2&gt;0),V$215/(LC1_2/V$211^(1/Pn_2)),0)</f>
        <v>0</v>
      </c>
      <c r="W269" s="83"/>
      <c r="X269" s="2091">
        <f>IF(AND(X$215&gt;0,LC1_2&gt;0),X$215/(LC1_2/X$211^(1/Pn_2)),0)</f>
        <v>0</v>
      </c>
      <c r="Y269" s="83"/>
      <c r="Z269" s="85"/>
      <c r="AA269" s="83"/>
      <c r="AB269" s="81"/>
      <c r="AC269" s="846" t="str">
        <f>B256</f>
        <v/>
      </c>
      <c r="AD269" s="81"/>
      <c r="AE269" s="2091">
        <f>IF(AND(AE$227&gt;0,LC50_1&gt;0),AE$227/(LC50_1),0)</f>
        <v>0</v>
      </c>
      <c r="AF269" s="81"/>
      <c r="AG269" s="2091">
        <f>IF(AND(AG$227&gt;0,LC50_1&gt;0),AG$227/(LC50_1),0)</f>
        <v>0</v>
      </c>
      <c r="AH269" s="81"/>
      <c r="AI269" s="2091">
        <f>IF(AND(AI$227&gt;0,LC50_1&gt;0),AI$227/(LC50_1),0)</f>
        <v>0</v>
      </c>
      <c r="AJ269" s="81"/>
      <c r="AK269" s="2091">
        <f>IF(AND(AK$227&gt;0,LC50_1&gt;0),AK$227/(LC50_1),0)</f>
        <v>0</v>
      </c>
      <c r="AL269" s="81"/>
      <c r="AM269" s="2091">
        <f>IF(AND(AM$227&gt;0,LC50_1&gt;0),AM$227/(LC50_1),0)</f>
        <v>0</v>
      </c>
      <c r="AN269" s="81"/>
      <c r="AO269" s="2091">
        <f>IF(AND(AO$227&gt;0,LC50HT_1&gt;0),AO$227/(LC50HT_1),0)</f>
        <v>0</v>
      </c>
      <c r="AP269" s="81"/>
      <c r="AQ269" s="85"/>
      <c r="AR269" s="81"/>
      <c r="AS269" s="83"/>
      <c r="AT269" s="23" t="str">
        <f>B272</f>
        <v/>
      </c>
      <c r="AU269" s="83"/>
      <c r="AV269" s="2091">
        <f>IF(AND(AV$215&gt;0,LC1_5&gt;0),AV$215/(LC1_5/AV$208^(1/Pn_5)),0)</f>
        <v>0</v>
      </c>
      <c r="AW269" s="83"/>
      <c r="AX269" s="2091">
        <f>IF(AND(AX$215&gt;0,LC1_5&gt;0),AX$215/(LC1_5/AX$208^(1/Pn_5)),0)</f>
        <v>0</v>
      </c>
      <c r="AY269" s="83"/>
      <c r="AZ269" s="2091">
        <f>IF(AND(AZ$215&gt;0,LC1_5&gt;0),AZ$215/(LC1_5/AZ$208^(1/Pn_5)),0)</f>
        <v>0</v>
      </c>
      <c r="BA269" s="83"/>
      <c r="BB269" s="2091">
        <f>IF(AND(BB$215&gt;0,LC1_5&gt;0),BB$215/(LC1_5/BB$208^(1/Pn_5)),0)</f>
        <v>0</v>
      </c>
      <c r="BC269" s="83"/>
      <c r="BD269" s="2091">
        <f>IF(AND(BD$215&gt;0,LC1_5&gt;0),BD$215/(LC1_5/BD$208^(1/Pn_5)),0)</f>
        <v>0</v>
      </c>
      <c r="BE269" s="83"/>
      <c r="BF269" s="2091">
        <f>IF(AND(BF$215&gt;0,LC1_5&gt;0),BF$215/(LC1_5/BF$208^(1/Pn_5)),0)</f>
        <v>0</v>
      </c>
      <c r="BG269" s="83"/>
      <c r="BH269" s="2091">
        <f>IF(AND(BH$215&gt;0,LC1_5&gt;0),BH$215/(LC1_5/BH$208^(1/Pn_5)),0)</f>
        <v>0</v>
      </c>
      <c r="BI269" s="83"/>
      <c r="BJ269" s="2091">
        <f>IF(AND(BJ$215&gt;0,LC1_5&gt;0),BJ$215/(LC1_5/BJ$208^(1/Pn_5)),0)</f>
        <v>0</v>
      </c>
      <c r="BK269" s="83"/>
      <c r="BL269" s="2091">
        <f>IF(AND(BL$215&gt;0,LC1_5&gt;0),BL$215/(LC1_5/BL$208^(1/Pn_5)),0)</f>
        <v>0</v>
      </c>
      <c r="BM269" s="83"/>
      <c r="BN269" s="2091">
        <f>IF(AND(BN$215&gt;0,LC1_5&gt;0),BN$215/(LC1_5/BN$208^(1/Pn_5)),0)</f>
        <v>0</v>
      </c>
      <c r="BO269" s="83"/>
      <c r="BP269" s="1835"/>
      <c r="BQ269" s="83"/>
      <c r="BR269" s="81"/>
      <c r="BS269" s="851" t="str">
        <f>B269</f>
        <v/>
      </c>
      <c r="BT269" s="81"/>
      <c r="BU269" s="2091">
        <f>IF(AND(BU$215&gt;0,LC1_2&gt;0),BU$215/(LC1_2/BU$211^(1/Pn_2)),0)</f>
        <v>0</v>
      </c>
      <c r="BV269" s="81"/>
      <c r="BW269" s="2091">
        <f>IF(AND(BW$215&gt;0,LC1_2&gt;0),BW$215/(LC1_2/BW$211^(1/Pn_2)),0)</f>
        <v>0</v>
      </c>
      <c r="BX269" s="81"/>
      <c r="BY269" s="2091">
        <f>IF(AND(BY$215&gt;0,LC1_2&gt;0),BY$215/(LC1_2/BY$211^(1/Pn_2)),0)</f>
        <v>0</v>
      </c>
      <c r="BZ269" s="81"/>
      <c r="CA269" s="2091">
        <f>IF(AND(CA$215&gt;0,LC1_2&gt;0),CA$215/(LC1_2/CA$211^(1/Pn_2)),0)</f>
        <v>0</v>
      </c>
      <c r="CB269" s="81"/>
      <c r="CC269" s="2091">
        <f>IF(AND(CC$215&gt;0,LC1_2&gt;0),CC$215/(LC1_2/CC$211^(1/Pn_2)),0)</f>
        <v>0</v>
      </c>
      <c r="CD269" s="81"/>
      <c r="CE269" s="23"/>
      <c r="CF269" s="81"/>
      <c r="CG269" s="83"/>
      <c r="CH269" s="3170" t="s">
        <v>5217</v>
      </c>
      <c r="CI269" s="83"/>
      <c r="CJ269" s="3169">
        <f>CJ267+CJ268+IF(CJ182&gt;Public,(CJ182-Public)*Offsite_PD/1000000,0)</f>
        <v>0</v>
      </c>
      <c r="CK269" s="83"/>
      <c r="CL269" s="91"/>
      <c r="CM269" s="83"/>
      <c r="CN269" s="26"/>
      <c r="CO269" s="26"/>
      <c r="CP269" s="26"/>
      <c r="CQ269" s="26"/>
      <c r="CR269" s="26"/>
      <c r="CS269" s="26"/>
      <c r="CT269" s="26"/>
      <c r="CU269" s="26"/>
    </row>
    <row r="270" spans="1:109" ht="15" customHeight="1" thickBot="1" x14ac:dyDescent="0.3">
      <c r="A270" s="2"/>
      <c r="B270" s="851" t="str">
        <f>IF(B19="","","Vapor Mole Fraction "&amp;B19&amp;" / Time-Scaled LC-1")</f>
        <v/>
      </c>
      <c r="C270" s="83"/>
      <c r="D270" s="2091">
        <f>IF(AND(D$216&gt;0,LC1_3&gt;0),D$216/(LC1_3/D$211^(1/Pn_3)),0)</f>
        <v>0</v>
      </c>
      <c r="E270" s="83"/>
      <c r="F270" s="2091">
        <f>IF(AND(F$216&gt;0,LC1_3&gt;0),F$216/(LC1_3/F$211^(1/Pn_3)),0)</f>
        <v>0</v>
      </c>
      <c r="G270" s="83"/>
      <c r="H270" s="2091">
        <f>IF(AND(H$216&gt;0,LC1_3&gt;0),H$216/(LC1_3/H$211^(1/Pn_3)),0)</f>
        <v>0</v>
      </c>
      <c r="I270" s="83"/>
      <c r="J270" s="2091">
        <f>IF(AND(J$216&gt;0,LC1_3&gt;0),J$216/(LC1_3/J$211^(1/Pn_3)),0)</f>
        <v>0</v>
      </c>
      <c r="K270" s="83"/>
      <c r="L270" s="2091">
        <f>IF(AND(L$216&gt;0,LC1_3&gt;0),L$216/(LC1_3/L$211^(1/Pn_3)),0)</f>
        <v>0</v>
      </c>
      <c r="M270" s="83"/>
      <c r="N270" s="2091">
        <f>IF(AND(N$216&gt;0,LC1_3&gt;0),N$216/(LC1_3/N$211^(1/Pn_3)),0)</f>
        <v>0</v>
      </c>
      <c r="O270" s="83"/>
      <c r="P270" s="2091">
        <f>IF(AND(P$216&gt;0,LC1_3&gt;0),P$216/(LC1_3/P$211^(1/Pn_3)),0)</f>
        <v>0</v>
      </c>
      <c r="Q270" s="83"/>
      <c r="R270" s="2091">
        <f>IF(AND(R$216&gt;0,LC1_3&gt;0),R$216/(LC1_3/R$211^(1/Pn_3)),0)</f>
        <v>0</v>
      </c>
      <c r="S270" s="83"/>
      <c r="T270" s="2091">
        <f>IF(AND(T$216&gt;0,LC1_3&gt;0),T$216/(LC1_3/T$211^(1/Pn_3)),0)</f>
        <v>0</v>
      </c>
      <c r="U270" s="83"/>
      <c r="V270" s="2091">
        <f>IF(AND(V$216&gt;0,LC1_3&gt;0),V$216/(LC1_3/V$211^(1/Pn_3)),0)</f>
        <v>0</v>
      </c>
      <c r="W270" s="83"/>
      <c r="X270" s="2091">
        <f>IF(AND(X$216&gt;0,LC1_3&gt;0),X$216/(LC1_3/X$211^(1/Pn_3)),0)</f>
        <v>0</v>
      </c>
      <c r="Y270" s="83"/>
      <c r="Z270" s="85"/>
      <c r="AA270" s="83"/>
      <c r="AB270" s="81"/>
      <c r="AC270" s="846" t="str">
        <f>B257</f>
        <v/>
      </c>
      <c r="AD270" s="81"/>
      <c r="AE270" s="2091">
        <f>IF(AND(AE$228&gt;0,LC50_2&gt;0),AE$228/(LC50_2),0)</f>
        <v>0</v>
      </c>
      <c r="AF270" s="81"/>
      <c r="AG270" s="2091">
        <f>IF(AND(AG$228&gt;0,LC50_2&gt;0),AG$228/(LC50_2),0)</f>
        <v>0</v>
      </c>
      <c r="AH270" s="81"/>
      <c r="AI270" s="2091">
        <f>IF(AND(AI$228&gt;0,LC50_2&gt;0),AI$228/(LC50_2),0)</f>
        <v>0</v>
      </c>
      <c r="AJ270" s="81"/>
      <c r="AK270" s="2091">
        <f>IF(AND(AK$228&gt;0,LC50_2&gt;0),AK$228/(LC50_2),0)</f>
        <v>0</v>
      </c>
      <c r="AL270" s="81"/>
      <c r="AM270" s="2091">
        <f>IF(AND(AM$228&gt;0,LC50_2&gt;0),AM$228/(LC50_2),0)</f>
        <v>0</v>
      </c>
      <c r="AN270" s="81"/>
      <c r="AO270" s="2091">
        <f>IF(AND(AO$228&gt;0,LC50HT_2&gt;0),AO$228/(LC50HT_2),0)</f>
        <v>0</v>
      </c>
      <c r="AP270" s="81"/>
      <c r="AQ270" s="85"/>
      <c r="AR270" s="81"/>
      <c r="AS270" s="83"/>
      <c r="AT270" s="2197" t="s">
        <v>3702</v>
      </c>
      <c r="AU270" s="83"/>
      <c r="AV270" s="2101" t="str">
        <f>IF(AND(AV$207&gt;0,SUM(AV265:AV269)&gt;0),IF(1/SUM(AV265:AV269)&lt;1000000,1/SUM(AV265:AV269),1000000),"")</f>
        <v/>
      </c>
      <c r="AW270" s="83"/>
      <c r="AX270" s="2101" t="str">
        <f>IF(AND(AX$207&gt;0,SUM(AX265:AX269)&gt;0),IF(1/SUM(AX265:AX269)&lt;1000000,1/SUM(AX265:AX269),1000000),"")</f>
        <v/>
      </c>
      <c r="AY270" s="83"/>
      <c r="AZ270" s="2101" t="str">
        <f>IF(AND(AZ$207&gt;0,SUM(AZ265:AZ269)&gt;0),IF(1/SUM(AZ265:AZ269)&lt;1000000,1/SUM(AZ265:AZ269),1000000),"")</f>
        <v/>
      </c>
      <c r="BA270" s="83"/>
      <c r="BB270" s="2101" t="str">
        <f>IF(AND(BB$207&gt;0,SUM(BB265:BB269)&gt;0),IF(1/SUM(BB265:BB269)&lt;1000000,1/SUM(BB265:BB269),1000000),"")</f>
        <v/>
      </c>
      <c r="BC270" s="83"/>
      <c r="BD270" s="2101" t="str">
        <f>IF(AND(BD$207&gt;0,SUM(BD265:BD269)&gt;0),IF(1/SUM(BD265:BD269)&lt;1000000,1/SUM(BD265:BD269),1000000),"")</f>
        <v/>
      </c>
      <c r="BE270" s="83"/>
      <c r="BF270" s="2101" t="str">
        <f>IF(AND(BF$207&gt;0,SUM(BF265:BF269)&gt;0),IF(1/SUM(BF265:BF269)&lt;1000000,1/SUM(BF265:BF269),1000000),"")</f>
        <v/>
      </c>
      <c r="BG270" s="83"/>
      <c r="BH270" s="2101" t="str">
        <f>IF(AND(BH$207&gt;0,SUM(BH265:BH269)&gt;0),IF(1/SUM(BH265:BH269)&lt;1000000,1/SUM(BH265:BH269),1000000),"")</f>
        <v/>
      </c>
      <c r="BI270" s="83"/>
      <c r="BJ270" s="2101" t="str">
        <f>IF(AND(BJ$207&gt;0,SUM(BJ265:BJ269)&gt;0),IF(1/SUM(BJ265:BJ269)&lt;1000000,1/SUM(BJ265:BJ269),1000000),"")</f>
        <v/>
      </c>
      <c r="BK270" s="83"/>
      <c r="BL270" s="2101" t="str">
        <f>IF(AND(BL$207&gt;0,SUM(BL265:BL269)&gt;0),IF(1/SUM(BL265:BL269)&lt;1000000,1/SUM(BL265:BL269),1000000),"")</f>
        <v/>
      </c>
      <c r="BM270" s="83"/>
      <c r="BN270" s="2101" t="str">
        <f>IF(AND(BN$207&gt;0,SUM(BN265:BN269)&gt;0),IF(1/SUM(BN265:BN269)&lt;1000000,1/SUM(BN265:BN269),1000000),"")</f>
        <v/>
      </c>
      <c r="BO270" s="83"/>
      <c r="BP270" s="1833" t="s">
        <v>1506</v>
      </c>
      <c r="BQ270" s="83"/>
      <c r="BR270" s="81"/>
      <c r="BS270" s="851" t="str">
        <f>B270</f>
        <v/>
      </c>
      <c r="BT270" s="81"/>
      <c r="BU270" s="2091">
        <f>IF(AND(BU$216&gt;0,LC1_3&gt;0),BU$216/(LC1_3/BU$211^(1/Pn_3)),0)</f>
        <v>0</v>
      </c>
      <c r="BV270" s="81"/>
      <c r="BW270" s="2091">
        <f>IF(AND(BW$216&gt;0,LC1_3&gt;0),BW$216/(LC1_3/BW$211^(1/Pn_3)),0)</f>
        <v>0</v>
      </c>
      <c r="BX270" s="81"/>
      <c r="BY270" s="2091">
        <f>IF(AND(BY$216&gt;0,LC1_3&gt;0),BY$216/(LC1_3/BY$211^(1/Pn_3)),0)</f>
        <v>0</v>
      </c>
      <c r="BZ270" s="81"/>
      <c r="CA270" s="2091">
        <f>IF(AND(CA$216&gt;0,LC1_3&gt;0),CA$216/(LC1_3/CA$211^(1/Pn_3)),0)</f>
        <v>0</v>
      </c>
      <c r="CB270" s="81"/>
      <c r="CC270" s="2091">
        <f>IF(AND(CC$216&gt;0,LC1_3&gt;0),CC$216/(LC1_3/CC$211^(1/Pn_3)),0)</f>
        <v>0</v>
      </c>
      <c r="CD270" s="81"/>
      <c r="CE270" s="23"/>
      <c r="CF270" s="81"/>
      <c r="CG270" s="83"/>
      <c r="CH270" s="23" t="s">
        <v>2009</v>
      </c>
      <c r="CI270" s="83"/>
      <c r="CJ270" s="1820">
        <f>Occupants_atRisk*CJ265+Occupants_atRisk2*CJ266</f>
        <v>0</v>
      </c>
      <c r="CK270" s="83"/>
      <c r="CL270" s="91"/>
      <c r="CM270" s="83"/>
      <c r="CN270" s="26"/>
      <c r="CO270" s="26"/>
      <c r="CP270" s="26"/>
      <c r="CQ270" s="26"/>
      <c r="CR270" s="26"/>
      <c r="CS270" s="26"/>
      <c r="CT270" s="26"/>
      <c r="CU270" s="26"/>
    </row>
    <row r="271" spans="1:109" ht="15" customHeight="1" x14ac:dyDescent="0.25">
      <c r="A271" s="2"/>
      <c r="B271" s="851" t="str">
        <f>IF(B20="","","Vapor Mole Fraction "&amp;B20&amp;" / Time-Scaled LC-1")</f>
        <v/>
      </c>
      <c r="C271" s="83"/>
      <c r="D271" s="2091">
        <f>IF(AND(D$217&gt;0,LC1_4&gt;0),D$217/(LC1_4/D$211^(1/Pn_4)),0)</f>
        <v>0</v>
      </c>
      <c r="E271" s="83"/>
      <c r="F271" s="2091">
        <f>IF(AND(F$217&gt;0,LC1_4&gt;0),F$217/(LC1_4/F$211^(1/Pn_4)),0)</f>
        <v>0</v>
      </c>
      <c r="G271" s="83"/>
      <c r="H271" s="2091">
        <f>IF(AND(H$217&gt;0,LC1_4&gt;0),H$217/(LC1_4/H$211^(1/Pn_4)),0)</f>
        <v>0</v>
      </c>
      <c r="I271" s="83"/>
      <c r="J271" s="2091">
        <f>IF(AND(J$217&gt;0,LC1_4&gt;0),J$217/(LC1_4/J$211^(1/Pn_4)),0)</f>
        <v>0</v>
      </c>
      <c r="K271" s="83"/>
      <c r="L271" s="2091">
        <f>IF(AND(L$217&gt;0,LC1_4&gt;0),L$217/(LC1_4/L$211^(1/Pn_4)),0)</f>
        <v>0</v>
      </c>
      <c r="M271" s="83"/>
      <c r="N271" s="2091">
        <f>IF(AND(N$217&gt;0,LC1_4&gt;0),N$217/(LC1_4/N$211^(1/Pn_4)),0)</f>
        <v>0</v>
      </c>
      <c r="O271" s="83"/>
      <c r="P271" s="2091">
        <f>IF(AND(P$217&gt;0,LC1_4&gt;0),P$217/(LC1_4/P$211^(1/Pn_4)),0)</f>
        <v>0</v>
      </c>
      <c r="Q271" s="83"/>
      <c r="R271" s="2091">
        <f>IF(AND(R$217&gt;0,LC1_4&gt;0),R$217/(LC1_4/R$211^(1/Pn_4)),0)</f>
        <v>0</v>
      </c>
      <c r="S271" s="83"/>
      <c r="T271" s="2091">
        <f>IF(AND(T$217&gt;0,LC1_4&gt;0),T$217/(LC1_4/T$211^(1/Pn_4)),0)</f>
        <v>0</v>
      </c>
      <c r="U271" s="83"/>
      <c r="V271" s="2091">
        <f>IF(AND(V$217&gt;0,LC1_4&gt;0),V$217/(LC1_4/V$211^(1/Pn_4)),0)</f>
        <v>0</v>
      </c>
      <c r="W271" s="83"/>
      <c r="X271" s="2091">
        <f>IF(AND(X$217&gt;0,LC1_4&gt;0),X$217/(LC1_4/X$211^(1/Pn_4)),0)</f>
        <v>0</v>
      </c>
      <c r="Y271" s="83"/>
      <c r="Z271" s="85"/>
      <c r="AA271" s="83"/>
      <c r="AB271" s="81"/>
      <c r="AC271" s="846" t="str">
        <f>B258</f>
        <v/>
      </c>
      <c r="AD271" s="81"/>
      <c r="AE271" s="2091">
        <f>IF(AND(AE$229&gt;0,LC50_3&gt;0),AE$229/(LC50_3),0)</f>
        <v>0</v>
      </c>
      <c r="AF271" s="81"/>
      <c r="AG271" s="2091">
        <f>IF(AND(AG$229&gt;0,LC50_3&gt;0),AG$229/(LC50_3),0)</f>
        <v>0</v>
      </c>
      <c r="AH271" s="81"/>
      <c r="AI271" s="2091">
        <f>IF(AND(AI$229&gt;0,LC50_3&gt;0),AI$229/(LC50_3),0)</f>
        <v>0</v>
      </c>
      <c r="AJ271" s="81"/>
      <c r="AK271" s="2091">
        <f>IF(AND(AK$229&gt;0,LC50_3&gt;0),AK$229/(LC50_3),0)</f>
        <v>0</v>
      </c>
      <c r="AL271" s="81"/>
      <c r="AM271" s="2091">
        <f>IF(AND(AM$229&gt;0,LC50_3&gt;0),AM$229/(LC50_3),0)</f>
        <v>0</v>
      </c>
      <c r="AN271" s="81"/>
      <c r="AO271" s="2091">
        <f>IF(AND(AO$229&gt;0,LC50HT_3&gt;0),AO$229/(LC50HT_3),0)</f>
        <v>0</v>
      </c>
      <c r="AP271" s="81"/>
      <c r="AQ271" s="85"/>
      <c r="AR271" s="81"/>
      <c r="AS271" s="83"/>
      <c r="AT271" s="92" t="s">
        <v>3821</v>
      </c>
      <c r="AU271" s="83"/>
      <c r="AV271" s="2100">
        <f>IF(AV258&lt;&gt;"",IF(AV252/AV258=1,0,LN(0.01)-LN(0.02)/(1-(AV252/AV258)^(2*IF(AV153="Instantaneous",AV$151,AV$125)))),0)</f>
        <v>0</v>
      </c>
      <c r="AW271" s="83"/>
      <c r="AX271" s="2100">
        <f>IF(AX258&lt;&gt;"",IF(AX252/AX258=1,0,LN(0.01)-LN(0.02)/(1-(AX252/AX258)^(2*IF(AX153="Instantaneous",AX$151,AX$125)))),0)</f>
        <v>0</v>
      </c>
      <c r="AY271" s="83"/>
      <c r="AZ271" s="2100">
        <f>IF(AZ258&lt;&gt;"",IF(AZ252/AZ258=1,0,LN(0.01)-LN(0.02)/(1-(AZ252/AZ258)^(2*IF(AZ153="Instantaneous",AZ$151,AZ$125)))),0)</f>
        <v>0</v>
      </c>
      <c r="BA271" s="83"/>
      <c r="BB271" s="2100">
        <f>IF(BB258&lt;&gt;"",IF(BB252/BB258=1,0,LN(0.01)-LN(0.02)/(1-(BB252/BB258)^(2*IF(BB153="Instantaneous",BB$151,BB$125)))),0)</f>
        <v>0</v>
      </c>
      <c r="BC271" s="83"/>
      <c r="BD271" s="2100">
        <f>IF(BD258&lt;&gt;"",IF(BD252/BD258=1,0,LN(0.01)-LN(0.02)/(1-(BD252/BD258)^(2*IF(BD153="Instantaneous",BD$151,BD$125)))),0)</f>
        <v>0</v>
      </c>
      <c r="BE271" s="83"/>
      <c r="BF271" s="2100">
        <f>IF(BF258&lt;&gt;"",IF(BF252/BF258=1,0,LN(0.01)-LN(0.02)/(1-(BF252/BF258)^(2*IF(BF153="Instantaneous",BF$151,BF$125)))),0)</f>
        <v>0</v>
      </c>
      <c r="BG271" s="83"/>
      <c r="BH271" s="2100">
        <f>IF(BH258&lt;&gt;"",IF(BH252/BH258=1,0,LN(0.01)-LN(0.02)/(1-(BH252/BH258)^(2*IF(BH153="Instantaneous",BH$151,BH$125)))),0)</f>
        <v>0</v>
      </c>
      <c r="BI271" s="83"/>
      <c r="BJ271" s="2100">
        <f>IF(BJ258&lt;&gt;"",IF(BJ252/BJ258=1,0,LN(0.01)-LN(0.02)/(1-(BJ252/BJ258)^(2*IF(BJ153="Instantaneous",BJ$151,BJ$125)))),0)</f>
        <v>0</v>
      </c>
      <c r="BK271" s="83"/>
      <c r="BL271" s="2100">
        <f>IF(BL258&lt;&gt;"",IF(BL252/BL258=1,0,LN(0.01)-LN(0.02)/(1-(BL252/BL258)^(2*IF(BL153="Instantaneous",BL$151,BL$125)))),0)</f>
        <v>0</v>
      </c>
      <c r="BM271" s="83"/>
      <c r="BN271" s="2100">
        <f>IF(BN258&lt;&gt;"",IF(BN252/BN258=1,0,LN(0.01)-LN(0.02)/(1-(BN252/BN258)^(2*IF(BN153="Instantaneous",BN$151,BN$125)))),0)</f>
        <v>0</v>
      </c>
      <c r="BO271" s="83"/>
      <c r="BP271" s="85"/>
      <c r="BQ271" s="83"/>
      <c r="BR271" s="81"/>
      <c r="BS271" s="851" t="str">
        <f>B271</f>
        <v/>
      </c>
      <c r="BT271" s="81"/>
      <c r="BU271" s="2091">
        <f>IF(AND(BU$217&gt;0,LC1_4&gt;0),BU$217/(LC1_4/BU$211^(1/Pn_4)),0)</f>
        <v>0</v>
      </c>
      <c r="BV271" s="81"/>
      <c r="BW271" s="2091">
        <f>IF(AND(BW$217&gt;0,LC1_4&gt;0),BW$217/(LC1_4/BW$211^(1/Pn_4)),0)</f>
        <v>0</v>
      </c>
      <c r="BX271" s="81"/>
      <c r="BY271" s="2091">
        <f>IF(AND(BY$217&gt;0,LC1_4&gt;0),BY$217/(LC1_4/BY$211^(1/Pn_4)),0)</f>
        <v>0</v>
      </c>
      <c r="BZ271" s="81"/>
      <c r="CA271" s="2091">
        <f>IF(AND(CA$217&gt;0,LC1_4&gt;0),CA$217/(LC1_4/CA$211^(1/Pn_4)),0)</f>
        <v>0</v>
      </c>
      <c r="CB271" s="81"/>
      <c r="CC271" s="2091">
        <f>IF(AND(CC$217&gt;0,LC1_4&gt;0),CC$217/(LC1_4/CC$211^(1/Pn_4)),0)</f>
        <v>0</v>
      </c>
      <c r="CD271" s="81"/>
      <c r="CE271" s="23"/>
      <c r="CF271" s="81"/>
      <c r="CG271" s="83"/>
      <c r="CH271" s="23" t="s">
        <v>3245</v>
      </c>
      <c r="CI271" s="83"/>
      <c r="CJ271" s="1182">
        <f>CJ261+CJ270</f>
        <v>0</v>
      </c>
      <c r="CK271" s="83"/>
      <c r="CL271" s="91"/>
      <c r="CM271" s="83"/>
      <c r="CN271" s="26"/>
      <c r="CO271" s="26"/>
      <c r="CP271" s="26"/>
      <c r="CQ271" s="26"/>
      <c r="CR271" s="26"/>
      <c r="CS271" s="26"/>
      <c r="CT271" s="26"/>
      <c r="CU271" s="26"/>
    </row>
    <row r="272" spans="1:109" ht="15" customHeight="1" thickBot="1" x14ac:dyDescent="0.3">
      <c r="A272" s="2"/>
      <c r="B272" s="851" t="str">
        <f>IF(B21="","","Vapor Mole Fraction "&amp;B21&amp;" / Time-Scaled LC-1")</f>
        <v/>
      </c>
      <c r="C272" s="83"/>
      <c r="D272" s="2091">
        <f>IF(AND(D$218&gt;0,LC1_5&gt;0),D$218/(LC1_5/D$211^(1/Pn_5)),0)</f>
        <v>0</v>
      </c>
      <c r="E272" s="83"/>
      <c r="F272" s="2091">
        <f>IF(AND(F$218&gt;0,LC1_5&gt;0),F$218/(LC1_5/F$211^(1/Pn_5)),0)</f>
        <v>0</v>
      </c>
      <c r="G272" s="83"/>
      <c r="H272" s="2091">
        <f>IF(AND(H$218&gt;0,LC1_5&gt;0),H$218/(LC1_5/H$211^(1/Pn_5)),0)</f>
        <v>0</v>
      </c>
      <c r="I272" s="83"/>
      <c r="J272" s="2091">
        <f>IF(AND(J$218&gt;0,LC1_5&gt;0),J$218/(LC1_5/J$211^(1/Pn_5)),0)</f>
        <v>0</v>
      </c>
      <c r="K272" s="83"/>
      <c r="L272" s="2091">
        <f>IF(AND(L$218&gt;0,LC1_5&gt;0),L$218/(LC1_5/L$211^(1/Pn_5)),0)</f>
        <v>0</v>
      </c>
      <c r="M272" s="83"/>
      <c r="N272" s="2091">
        <f>IF(AND(N$218&gt;0,LC1_5&gt;0),N$218/(LC1_5/N$211^(1/Pn_5)),0)</f>
        <v>0</v>
      </c>
      <c r="O272" s="83"/>
      <c r="P272" s="2091">
        <f>IF(AND(P$218&gt;0,LC1_5&gt;0),P$218/(LC1_5/P$211^(1/Pn_5)),0)</f>
        <v>0</v>
      </c>
      <c r="Q272" s="83"/>
      <c r="R272" s="2091">
        <f>IF(AND(R$218&gt;0,LC1_5&gt;0),R$218/(LC1_5/R$211^(1/Pn_5)),0)</f>
        <v>0</v>
      </c>
      <c r="S272" s="83"/>
      <c r="T272" s="2091">
        <f>IF(AND(T$218&gt;0,LC1_5&gt;0),T$218/(LC1_5/T$211^(1/Pn_5)),0)</f>
        <v>0</v>
      </c>
      <c r="U272" s="83"/>
      <c r="V272" s="2091">
        <f>IF(AND(V$218&gt;0,LC1_5&gt;0),V$218/(LC1_5/V$211^(1/Pn_5)),0)</f>
        <v>0</v>
      </c>
      <c r="W272" s="83"/>
      <c r="X272" s="2091">
        <f>IF(AND(X$218&gt;0,LC1_5&gt;0),X$218/(LC1_5/X$211^(1/Pn_5)),0)</f>
        <v>0</v>
      </c>
      <c r="Y272" s="83"/>
      <c r="Z272" s="85"/>
      <c r="AA272" s="83"/>
      <c r="AB272" s="81"/>
      <c r="AC272" s="846" t="str">
        <f>B259</f>
        <v/>
      </c>
      <c r="AD272" s="81"/>
      <c r="AE272" s="2091">
        <f>IF(AND(AE$230&gt;0,LC50_4&gt;0),AE$230/(LC50_4),0)</f>
        <v>0</v>
      </c>
      <c r="AF272" s="81"/>
      <c r="AG272" s="2091">
        <f>IF(AND(AG$230&gt;0,LC50_4&gt;0),AG$230/(LC50_4),0)</f>
        <v>0</v>
      </c>
      <c r="AH272" s="81"/>
      <c r="AI272" s="2091">
        <f>IF(AND(AI$230&gt;0,LC50_4&gt;0),AI$230/(LC50_4),0)</f>
        <v>0</v>
      </c>
      <c r="AJ272" s="81"/>
      <c r="AK272" s="2091">
        <f>IF(AND(AK$230&gt;0,LC50_4&gt;0),AK$230/(LC50_4),0)</f>
        <v>0</v>
      </c>
      <c r="AL272" s="81"/>
      <c r="AM272" s="2091">
        <f>IF(AND(AM$230&gt;0,LC50_4&gt;0),AM$230/(LC50_4),0)</f>
        <v>0</v>
      </c>
      <c r="AN272" s="81"/>
      <c r="AO272" s="2091">
        <f>IF(AND(AO$230&gt;0,LC50HT_4&gt;0),AO$230/(LC50HT_4),0)</f>
        <v>0</v>
      </c>
      <c r="AP272" s="81"/>
      <c r="AQ272" s="85"/>
      <c r="AR272" s="81"/>
      <c r="AS272" s="83"/>
      <c r="AT272" s="85" t="s">
        <v>3822</v>
      </c>
      <c r="AU272" s="83"/>
      <c r="AV272" s="2101">
        <f>IF(AV252&lt;&gt;"",(LN(0.01)-AV271)*AV252^(2*IF(AV153="Instantaneous",AV$151,AV$125)),0)</f>
        <v>0</v>
      </c>
      <c r="AW272" s="83"/>
      <c r="AX272" s="2101">
        <f>IF(AX252&lt;&gt;"",(LN(0.01)-AX271)*AX252^(2*IF(AX153="Instantaneous",AX$151,AX$125)),0)</f>
        <v>0</v>
      </c>
      <c r="AY272" s="83"/>
      <c r="AZ272" s="2101">
        <f>IF(AZ252&lt;&gt;"",(LN(0.01)-AZ271)*AZ252^(2*IF(AZ153="Instantaneous",AZ$151,AZ$125)),0)</f>
        <v>0</v>
      </c>
      <c r="BA272" s="83"/>
      <c r="BB272" s="2101">
        <f>IF(BB252&lt;&gt;"",(LN(0.01)-BB271)*BB252^(2*IF(BB153="Instantaneous",BB$151,BB$125)),0)</f>
        <v>0</v>
      </c>
      <c r="BC272" s="83"/>
      <c r="BD272" s="2101">
        <f>IF(BD252&lt;&gt;"",(LN(0.01)-BD271)*BD252^(2*IF(BD153="Instantaneous",BD$151,BD$125)),0)</f>
        <v>0</v>
      </c>
      <c r="BE272" s="83"/>
      <c r="BF272" s="2101">
        <f>IF(BF252&lt;&gt;"",(LN(0.01)-BF271)*BF252^(2*IF(BF153="Instantaneous",BF$151,BF$125)),0)</f>
        <v>0</v>
      </c>
      <c r="BG272" s="83"/>
      <c r="BH272" s="2101">
        <f>IF(BH252&lt;&gt;"",(LN(0.01)-BH271)*BH252^(2*IF(BH153="Instantaneous",BH$151,BH$125)),0)</f>
        <v>0</v>
      </c>
      <c r="BI272" s="83"/>
      <c r="BJ272" s="2101">
        <f>IF(BJ252&lt;&gt;"",(LN(0.01)-BJ271)*BJ252^(2*IF(BJ153="Instantaneous",BJ$151,BJ$125)),0)</f>
        <v>0</v>
      </c>
      <c r="BK272" s="83"/>
      <c r="BL272" s="2101">
        <f>IF(BL252&lt;&gt;"",(LN(0.01)-BL271)*BL252^(2*IF(BL153="Instantaneous",BL$151,BL$125)),0)</f>
        <v>0</v>
      </c>
      <c r="BM272" s="83"/>
      <c r="BN272" s="2101">
        <f>IF(BN252&lt;&gt;"",(LN(0.01)-BN271)*BN252^(2*IF(BN153="Instantaneous",BN$151,BN$125)),0)</f>
        <v>0</v>
      </c>
      <c r="BO272" s="83"/>
      <c r="BP272" s="85"/>
      <c r="BQ272" s="83"/>
      <c r="BR272" s="81"/>
      <c r="BS272" s="851" t="str">
        <f>B272</f>
        <v/>
      </c>
      <c r="BT272" s="81"/>
      <c r="BU272" s="2091">
        <f>IF(AND(BU$218&gt;0,LC1_5&gt;0),BU$218/(LC1_5/BU$211^(1/Pn_5)),0)</f>
        <v>0</v>
      </c>
      <c r="BV272" s="81"/>
      <c r="BW272" s="2091">
        <f>IF(AND(BW$218&gt;0,LC1_5&gt;0),BW$218/(LC1_5/BW$211^(1/Pn_5)),0)</f>
        <v>0</v>
      </c>
      <c r="BX272" s="81"/>
      <c r="BY272" s="2091">
        <f>IF(AND(BY$218&gt;0,LC1_5&gt;0),BY$218/(LC1_5/BY$211^(1/Pn_5)),0)</f>
        <v>0</v>
      </c>
      <c r="BZ272" s="81"/>
      <c r="CA272" s="2091">
        <f>IF(AND(CA$218&gt;0,LC1_5&gt;0),CA$218/(LC1_5/CA$211^(1/Pn_5)),0)</f>
        <v>0</v>
      </c>
      <c r="CB272" s="81"/>
      <c r="CC272" s="2091">
        <f>IF(AND(CC$218&gt;0,LC1_5&gt;0),CC$218/(LC1_5/CC$211^(1/Pn_5)),0)</f>
        <v>0</v>
      </c>
      <c r="CD272" s="81"/>
      <c r="CE272" s="23"/>
      <c r="CF272" s="81"/>
      <c r="CG272" s="83"/>
      <c r="CH272" s="25" t="s">
        <v>4805</v>
      </c>
      <c r="CI272" s="83"/>
      <c r="CJ272" s="1286" t="str">
        <f>IF(CJ181&lt;HD_Screening_Limit,"NA",IF(MAX(CJ184/Bldg_Type_Correction,CJ185/Bldg2_Type_Correction)&lt;HD_Low_Expl,Conseq_Low,IF(MAX(CJ184/Bldg_Type_Correction,CJ185/Bldg2_Type_Correction)&lt;HD_Moderate_Expl,Conseq_Moderate,IF(MAX(CJ184/Bldg_Type_Correction,CJ185/Bldg2_Type_Correction)&lt;HD_High_Expl,Conseq_High,IF(MAX(CJ184/Bldg_Type_Correction,CJ185/Bldg2_Type_Correction)&lt;HD_VeryHigh_Expl,Conseq_VeryHigh,Conseq_ExtremeHigh)))))</f>
        <v>NA</v>
      </c>
      <c r="CK272" s="83"/>
      <c r="CL272" s="91"/>
      <c r="CM272" s="83"/>
      <c r="CN272" s="26"/>
      <c r="CO272" s="26"/>
      <c r="CP272" s="26"/>
      <c r="CQ272" s="26"/>
      <c r="CR272" s="26"/>
      <c r="CS272" s="26"/>
      <c r="CT272" s="26"/>
      <c r="CU272" s="26"/>
    </row>
    <row r="273" spans="1:99" ht="15" customHeight="1" thickBot="1" x14ac:dyDescent="0.3">
      <c r="A273" s="2"/>
      <c r="B273" s="2586" t="s">
        <v>3702</v>
      </c>
      <c r="C273" s="83"/>
      <c r="D273" s="2101" t="str">
        <f>IF(AND(D$210&gt;0,SUM(D268:D272)&gt;0),IF(1/SUM(D268:D272)&lt;1000000,1/SUM(D268:D272),1000000),"")</f>
        <v/>
      </c>
      <c r="E273" s="83"/>
      <c r="F273" s="2101" t="str">
        <f>IF(AND(F$210&gt;0,SUM(F268:F272)&gt;0),IF(1/SUM(F268:F272)&lt;1000000,1/SUM(F268:F272),1000000),"")</f>
        <v/>
      </c>
      <c r="G273" s="83"/>
      <c r="H273" s="2101" t="str">
        <f>IF(AND(H$210&gt;0,SUM(H268:H272)&gt;0),IF(1/SUM(H268:H272)&lt;1000000,1/SUM(H268:H272),1000000),"")</f>
        <v/>
      </c>
      <c r="I273" s="83"/>
      <c r="J273" s="2101" t="str">
        <f>IF(AND(J$210&gt;0,SUM(J268:J272)&gt;0),IF(1/SUM(J268:J272)&lt;1000000,1/SUM(J268:J272),1000000),"")</f>
        <v/>
      </c>
      <c r="K273" s="83"/>
      <c r="L273" s="2101" t="str">
        <f>IF(AND(L$210&gt;0,SUM(L268:L272)&gt;0),IF(1/SUM(L268:L272)&lt;1000000,1/SUM(L268:L272),1000000),"")</f>
        <v/>
      </c>
      <c r="M273" s="83"/>
      <c r="N273" s="2101" t="str">
        <f>IF(AND(N$210&gt;0,SUM(N268:N272)&gt;0),IF(1/SUM(N268:N272)&lt;1000000,1/SUM(N268:N272),1000000),"")</f>
        <v/>
      </c>
      <c r="O273" s="83"/>
      <c r="P273" s="2101" t="str">
        <f>IF(AND(P$210&gt;0,SUM(P268:P272)&gt;0),IF(1/SUM(P268:P272)&lt;1000000,1/SUM(P268:P272),1000000),"")</f>
        <v/>
      </c>
      <c r="Q273" s="83"/>
      <c r="R273" s="2101" t="str">
        <f>IF(AND(R$210&gt;0,SUM(R268:R272)&gt;0),IF(1/SUM(R268:R272)&lt;1000000,1/SUM(R268:R272),1000000),"")</f>
        <v/>
      </c>
      <c r="S273" s="83"/>
      <c r="T273" s="2101" t="str">
        <f>IF(AND(T$210&gt;0,SUM(T268:T272)&gt;0),IF(1/SUM(T268:T272)&lt;1000000,1/SUM(T268:T272),1000000),"")</f>
        <v/>
      </c>
      <c r="U273" s="83"/>
      <c r="V273" s="2101" t="str">
        <f>IF(AND(V$210&gt;0,SUM(V268:V272)&gt;0),IF(1/SUM(V268:V272)&lt;1000000,1/SUM(V268:V272),1000000),"")</f>
        <v/>
      </c>
      <c r="W273" s="83"/>
      <c r="X273" s="2101" t="str">
        <f>IF(AND(X$210&gt;0,SUM(X268:X272)&gt;0),IF(1/SUM(X268:X272)&lt;1000000,1/SUM(X268:X272),1000000),"")</f>
        <v/>
      </c>
      <c r="Y273" s="83"/>
      <c r="Z273" s="85" t="s">
        <v>1506</v>
      </c>
      <c r="AA273" s="83"/>
      <c r="AB273" s="81"/>
      <c r="AC273" s="846" t="str">
        <f>B260</f>
        <v/>
      </c>
      <c r="AD273" s="81"/>
      <c r="AE273" s="2091">
        <f>IF(AND(AE$231&gt;0,LC50_5&gt;0),AE$231/(LC50_5),0)</f>
        <v>0</v>
      </c>
      <c r="AF273" s="81"/>
      <c r="AG273" s="2091">
        <f>IF(AND(AG$231&gt;0,LC50_5&gt;0),AG$231/(LC50_5),0)</f>
        <v>0</v>
      </c>
      <c r="AH273" s="81"/>
      <c r="AI273" s="2091">
        <f>IF(AND(AI$231&gt;0,LC50_5&gt;0),AI$231/(LC50_5),0)</f>
        <v>0</v>
      </c>
      <c r="AJ273" s="81"/>
      <c r="AK273" s="2091">
        <f>IF(AND(AK$231&gt;0,LC50_5&gt;0),AK$231/(LC50_5),0)</f>
        <v>0</v>
      </c>
      <c r="AL273" s="81"/>
      <c r="AM273" s="2091">
        <f>IF(AND(AM$231&gt;0,LC50_5&gt;0),AM$231/(LC50_5),0)</f>
        <v>0</v>
      </c>
      <c r="AN273" s="81"/>
      <c r="AO273" s="2091">
        <f>IF(AND(AO$231&gt;0,LC50HT_5&gt;0),AO$231/(LC50HT_5),0)</f>
        <v>0</v>
      </c>
      <c r="AP273" s="81"/>
      <c r="AQ273" s="85"/>
      <c r="AR273" s="81"/>
      <c r="AS273" s="83"/>
      <c r="AT273" s="85" t="s">
        <v>3808</v>
      </c>
      <c r="AU273" s="83"/>
      <c r="AV273" s="2101">
        <f>IF(AV264&lt;&gt;"",(LN(0.01)-AV271)*AV264^(2*IF(AV153="Instantaneous",AV$151,AV$125)),0)</f>
        <v>0</v>
      </c>
      <c r="AW273" s="83"/>
      <c r="AX273" s="2101">
        <f>IF(AX264&lt;&gt;"",(LN(0.01)-AX271)*AX264^(2*IF(AX153="Instantaneous",AX$151,AX$125)),0)</f>
        <v>0</v>
      </c>
      <c r="AY273" s="83"/>
      <c r="AZ273" s="2101">
        <f>IF(AZ264&lt;&gt;"",(LN(0.01)-AZ271)*AZ264^(2*IF(AZ153="Instantaneous",AZ$151,AZ$125)),0)</f>
        <v>0</v>
      </c>
      <c r="BA273" s="83"/>
      <c r="BB273" s="2101">
        <f>IF(BB264&lt;&gt;"",(LN(0.01)-BB271)*BB264^(2*IF(BB153="Instantaneous",BB$151,BB$125)),0)</f>
        <v>0</v>
      </c>
      <c r="BC273" s="83"/>
      <c r="BD273" s="2101">
        <f>IF(BD264&lt;&gt;"",(LN(0.01)-BD271)*BD264^(2*IF(BD153="Instantaneous",BD$151,BD$125)),0)</f>
        <v>0</v>
      </c>
      <c r="BE273" s="83"/>
      <c r="BF273" s="2101">
        <f>IF(BF264&lt;&gt;"",(LN(0.01)-BF271)*BF264^(2*IF(BF153="Instantaneous",BF$151,BF$125)),0)</f>
        <v>0</v>
      </c>
      <c r="BG273" s="83"/>
      <c r="BH273" s="2101">
        <f>IF(BH264&lt;&gt;"",(LN(0.01)-BH271)*BH264^(2*IF(BH153="Instantaneous",BH$151,BH$125)),0)</f>
        <v>0</v>
      </c>
      <c r="BI273" s="83"/>
      <c r="BJ273" s="2101">
        <f>IF(BJ264&lt;&gt;"",(LN(0.01)-BJ271)*BJ264^(2*IF(BJ153="Instantaneous",BJ$151,BJ$125)),0)</f>
        <v>0</v>
      </c>
      <c r="BK273" s="83"/>
      <c r="BL273" s="2101">
        <f>IF(BL264&lt;&gt;"",(LN(0.01)-BL271)*BL264^(2*IF(BL153="Instantaneous",BL$151,BL$125)),0)</f>
        <v>0</v>
      </c>
      <c r="BM273" s="83"/>
      <c r="BN273" s="2101">
        <f>IF(BN264&lt;&gt;"",(LN(0.01)-BN271)*BN264^(2*IF(BN153="Instantaneous",BN$151,BN$125)),0)</f>
        <v>0</v>
      </c>
      <c r="BO273" s="83"/>
      <c r="BP273" s="85"/>
      <c r="BQ273" s="83"/>
      <c r="BR273" s="81"/>
      <c r="BS273" s="2586" t="s">
        <v>3702</v>
      </c>
      <c r="BT273" s="81"/>
      <c r="BU273" s="2101" t="str">
        <f>IF(AND(BU$210&gt;0,SUM(BU268:BU272)&gt;0),IF(1/SUM(BU268:BU272)&lt;1000000,1/SUM(BU268:BU272),1000000),"")</f>
        <v/>
      </c>
      <c r="BV273" s="81"/>
      <c r="BW273" s="2101" t="str">
        <f>IF(AND(BW$210&gt;0,SUM(BW268:BW272)&gt;0),IF(1/SUM(BW268:BW272)&lt;1000000,1/SUM(BW268:BW272),1000000),"")</f>
        <v/>
      </c>
      <c r="BX273" s="81"/>
      <c r="BY273" s="2101" t="str">
        <f>IF(AND(BY$210&gt;0,SUM(BY268:BY272)&gt;0),IF(1/SUM(BY268:BY272)&lt;1000000,1/SUM(BY268:BY272),1000000),"")</f>
        <v/>
      </c>
      <c r="BZ273" s="81"/>
      <c r="CA273" s="2101" t="str">
        <f>IF(AND(CA$210&gt;0,SUM(CA268:CA272)&gt;0),IF(1/SUM(CA268:CA272)&lt;1000000,1/SUM(CA268:CA272),1000000),"")</f>
        <v/>
      </c>
      <c r="CB273" s="81"/>
      <c r="CC273" s="2101" t="str">
        <f>IF(AND(CC$210&gt;0,SUM(CC268:CC272)&gt;0),IF(1/SUM(CC268:CC272)&lt;1000000,1/SUM(CC268:CC272),1000000),"")</f>
        <v/>
      </c>
      <c r="CD273" s="81"/>
      <c r="CE273" s="25" t="s">
        <v>1506</v>
      </c>
      <c r="CF273" s="81"/>
      <c r="CG273" s="83"/>
      <c r="CH273" s="25" t="s">
        <v>4798</v>
      </c>
      <c r="CI273" s="83"/>
      <c r="CJ273" s="2640" t="str">
        <f>IF(Conseq_Criteria="Hazard Distance",CJ272,IF(OR(CJ186&lt;&gt;"Yes",CJ271&lt;N_Screening),"NA",IF(CJ271&lt;N_Low,Conseq_Low,IF(CJ271&lt;N_Moderate,Conseq_Moderate,IF(CJ271&lt;N_High,Conseq_High,IF(CJ271&lt;N_VeryHigh,Conseq_VeryHigh,Conseq_ExtremeHigh))))))</f>
        <v>NA</v>
      </c>
      <c r="CK273" s="83"/>
      <c r="CL273" s="89"/>
      <c r="CM273" s="83"/>
      <c r="CN273" s="26"/>
      <c r="CO273" s="26"/>
      <c r="CP273" s="26"/>
      <c r="CQ273" s="26"/>
      <c r="CR273" s="26"/>
      <c r="CS273" s="26"/>
      <c r="CT273" s="26"/>
      <c r="CU273" s="26"/>
    </row>
    <row r="274" spans="1:99" ht="15" customHeight="1" x14ac:dyDescent="0.25">
      <c r="A274" s="2"/>
      <c r="B274" s="92" t="s">
        <v>3821</v>
      </c>
      <c r="C274" s="1688"/>
      <c r="D274" s="2100">
        <f>IF(D261&lt;&gt;"",IF(D255/D261=1,0,LN(0.01)-LN(0.02)/(1-(D255/D261)^(2*IF(D156="Instantaneous",D$154,D$128)))),0)</f>
        <v>0</v>
      </c>
      <c r="E274" s="612"/>
      <c r="F274" s="2100">
        <f>IF(F261&lt;&gt;"",IF(F255/F261=1,0,LN(0.01)-LN(0.02)/(1-(F255/F261)^(2*IF(F156="Instantaneous",F$154,F$128)))),0)</f>
        <v>0</v>
      </c>
      <c r="G274" s="612"/>
      <c r="H274" s="2100">
        <f>IF(H261&lt;&gt;"",IF(H255/H261=1,0,LN(0.01)-LN(0.02)/(1-(H255/H261)^(2*IF(H156="Instantaneous",H$154,H$128)))),0)</f>
        <v>0</v>
      </c>
      <c r="I274" s="612"/>
      <c r="J274" s="2100">
        <f>IF(J261&lt;&gt;"",IF(J255/J261=1,0,LN(0.01)-LN(0.02)/(1-(J255/J261)^(2*IF(J156="Instantaneous",J$154,J$128)))),0)</f>
        <v>0</v>
      </c>
      <c r="K274" s="612"/>
      <c r="L274" s="2100">
        <f>IF(L261&lt;&gt;"",IF(L255/L261=1,0,LN(0.01)-LN(0.02)/(1-(L255/L261)^(2*IF(L156="Instantaneous",L$154,L$128)))),0)</f>
        <v>0</v>
      </c>
      <c r="M274" s="612"/>
      <c r="N274" s="2100">
        <f>IF(N261&lt;&gt;"",IF(N255/N261=1,0,LN(0.01)-LN(0.02)/(1-(N255/N261)^(2*IF(N156="Instantaneous",N$154,N$128)))),0)</f>
        <v>0</v>
      </c>
      <c r="O274" s="612"/>
      <c r="P274" s="2100">
        <f>IF(P261&lt;&gt;"",IF(P255/P261=1,0,LN(0.01)-LN(0.02)/(1-(P255/P261)^(2*IF(P156="Instantaneous",P$154,P$128)))),0)</f>
        <v>0</v>
      </c>
      <c r="Q274" s="612"/>
      <c r="R274" s="2100">
        <f>IF(R261&lt;&gt;"",IF(R255/R261=1,0,LN(0.01)-LN(0.02)/(1-(R255/R261)^(2*IF(R156="Instantaneous",R$154,R$128)))),0)</f>
        <v>0</v>
      </c>
      <c r="S274" s="612"/>
      <c r="T274" s="2100">
        <f>IF(T261&lt;&gt;"",IF(T255/T261=1,0,LN(0.01)-LN(0.02)/(1-(T255/T261)^(2*IF(T156="Instantaneous",T$154,T$128)))),0)</f>
        <v>0</v>
      </c>
      <c r="U274" s="612"/>
      <c r="V274" s="2100">
        <f>IF(V261&lt;&gt;"",IF(V255/V261=1,0,LN(0.01)-LN(0.02)/(1-(V255/V261)^(2*IF(V156="Instantaneous",V$154,V$128)))),0)</f>
        <v>0</v>
      </c>
      <c r="W274" s="612"/>
      <c r="X274" s="2100">
        <f>IF(X261&lt;&gt;"",IF(X255/X261=1,0,LN(0.01)-LN(0.02)/(1-(X255/X261)^(2*IF(X156="Instantaneous",X$154,X$128)))),0)</f>
        <v>0</v>
      </c>
      <c r="Y274" s="1688"/>
      <c r="Z274" s="1689"/>
      <c r="AA274" s="83"/>
      <c r="AB274" s="81"/>
      <c r="AC274" s="2586" t="s">
        <v>3521</v>
      </c>
      <c r="AD274" s="81"/>
      <c r="AE274" s="2101" t="str">
        <f>IF(AND(AE$223&gt;0,SUM(AE269:AE273)&gt;0),IF(1/SUM(AE269:AE273)&lt;1000000,1/SUM(AE269:AE273),1000000),"")</f>
        <v/>
      </c>
      <c r="AF274" s="81"/>
      <c r="AG274" s="2101" t="str">
        <f>IF(AND(AG$223&gt;0,SUM(AG269:AG273)&gt;0),IF(1/SUM(AG269:AG273)&lt;1000000,1/SUM(AG269:AG273),1000000),"")</f>
        <v/>
      </c>
      <c r="AH274" s="81"/>
      <c r="AI274" s="2101" t="str">
        <f>IF(AND(AI$223&gt;0,SUM(AI269:AI273)&gt;0),IF(1/SUM(AI269:AI273)&lt;1000000,1/SUM(AI269:AI273),1000000),"")</f>
        <v/>
      </c>
      <c r="AJ274" s="81"/>
      <c r="AK274" s="2101" t="str">
        <f>IF(AND(AK$223&gt;0,SUM(AK269:AK273)&gt;0),IF(1/SUM(AK269:AK273)&lt;1000000,1/SUM(AK269:AK273),1000000),"")</f>
        <v/>
      </c>
      <c r="AL274" s="81"/>
      <c r="AM274" s="2101" t="str">
        <f>IF(AND(AM$223&gt;0,SUM(AM269:AM273)&gt;0),IF(1/SUM(AM269:AM273)&lt;1000000,1/SUM(AM269:AM273),1000000),"")</f>
        <v/>
      </c>
      <c r="AN274" s="81"/>
      <c r="AO274" s="2101" t="str">
        <f>IF(AND(AO$223&gt;0,SUM(AO269:AO273)&gt;0),IF(1/SUM(AO269:AO273)&lt;1000000,1/SUM(AO269:AO273),1000000),"")</f>
        <v/>
      </c>
      <c r="AP274" s="81"/>
      <c r="AQ274" s="85" t="s">
        <v>1506</v>
      </c>
      <c r="AR274" s="81"/>
      <c r="AS274" s="83"/>
      <c r="AT274" s="85" t="s">
        <v>3643</v>
      </c>
      <c r="AU274" s="83"/>
      <c r="AV274" s="2101">
        <f>MIN(1000000,IF(AV271&gt;0,(-AV273/AV271)^(0.5/IF(AV153="Instantaneous",AV$151,AV$125)),0))</f>
        <v>0</v>
      </c>
      <c r="AW274" s="83"/>
      <c r="AX274" s="2101">
        <f>MIN(1000000,IF(AX271&gt;0,(-AX273/AX271)^(0.5/IF(AX153="Instantaneous",AX$151,AX$125)),0))</f>
        <v>0</v>
      </c>
      <c r="AY274" s="83"/>
      <c r="AZ274" s="2101">
        <f>MIN(1000000,IF(AZ271&gt;0,(-AZ273/AZ271)^(0.5/IF(AZ153="Instantaneous",AZ$151,AZ$125)),0))</f>
        <v>0</v>
      </c>
      <c r="BA274" s="83"/>
      <c r="BB274" s="2101">
        <f>MIN(1000000,IF(BB271&gt;0,(-BB273/BB271)^(0.5/IF(BB153="Instantaneous",BB$151,BB$125)),0))</f>
        <v>0</v>
      </c>
      <c r="BC274" s="83"/>
      <c r="BD274" s="2101">
        <f>MIN(1000000,IF(BD271&gt;0,(-BD273/BD271)^(0.5/IF(BD153="Instantaneous",BD$151,BD$125)),0))</f>
        <v>0</v>
      </c>
      <c r="BE274" s="83"/>
      <c r="BF274" s="2101">
        <f>MIN(1000000,IF(BF271&gt;0,(-BF273/BF271)^(0.5/IF(BF153="Instantaneous",BF$151,BF$125)),0))</f>
        <v>0</v>
      </c>
      <c r="BG274" s="83"/>
      <c r="BH274" s="2101">
        <f>MIN(1000000,IF(BH271&gt;0,(-BH273/BH271)^(0.5/IF(BH153="Instantaneous",BH$151,BH$125)),0))</f>
        <v>0</v>
      </c>
      <c r="BI274" s="83"/>
      <c r="BJ274" s="2101">
        <f>MIN(1000000,IF(BJ271&gt;0,(-BJ273/BJ271)^(0.5/IF(BJ153="Instantaneous",BJ$151,BJ$125)),0))</f>
        <v>0</v>
      </c>
      <c r="BK274" s="83"/>
      <c r="BL274" s="2101">
        <f>MIN(1000000,IF(BL271&gt;0,(-BL273/BL271)^(0.5/IF(BL153="Instantaneous",BL$151,BL$125)),0))</f>
        <v>0</v>
      </c>
      <c r="BM274" s="83"/>
      <c r="BN274" s="2101">
        <f>MIN(1000000,IF(BN271&gt;0,(-BN273/BN271)^(0.5/IF(BN153="Instantaneous",BN$151,BN$125)),0))</f>
        <v>0</v>
      </c>
      <c r="BO274" s="83"/>
      <c r="BP274" s="85" t="s">
        <v>1506</v>
      </c>
      <c r="BQ274" s="83"/>
      <c r="BR274" s="81"/>
      <c r="BS274" s="92" t="s">
        <v>3821</v>
      </c>
      <c r="BT274" s="81"/>
      <c r="BU274" s="2100">
        <f>IF(BU261&lt;&gt;"",IF(BU255/BU261=1,0,LN(0.01)-LN(0.02)/(1-(BU255/BU261)^(2*IF(BU156="Instantaneous",BU$154,BU$128)))),0)</f>
        <v>0</v>
      </c>
      <c r="BV274" s="81"/>
      <c r="BW274" s="2100">
        <f>IF(BW261&lt;&gt;"",IF(BW255/BW261=1,0,LN(0.01)-LN(0.02)/(1-(BW255/BW261)^(2*IF(BW156="Instantaneous",BW$154,BW$128)))),0)</f>
        <v>0</v>
      </c>
      <c r="BX274" s="81"/>
      <c r="BY274" s="2100">
        <f>IF(BY261&lt;&gt;"",IF(BY255/BY261=1,0,LN(0.01)-LN(0.02)/(1-(BY255/BY261)^(2*IF(BY156="Instantaneous",BY$154,BY$128)))),0)</f>
        <v>0</v>
      </c>
      <c r="BZ274" s="81"/>
      <c r="CA274" s="2100">
        <f>IF(CA261&lt;&gt;"",IF(CA255/CA261=1,0,LN(0.01)-LN(0.02)/(1-(CA255/CA261)^(2*IF(CA156="Instantaneous",CA$154,CA$128)))),0)</f>
        <v>0</v>
      </c>
      <c r="CB274" s="81"/>
      <c r="CC274" s="2100">
        <f>IF(CC261&lt;&gt;"",IF(CC255/CC261=1,0,LN(0.01)-LN(0.02)/(1-(CC255/CC261)^(2*IF(CC156="Instantaneous",CC$154,CC$128)))),0)</f>
        <v>0</v>
      </c>
      <c r="CD274" s="81"/>
      <c r="CE274" s="92"/>
      <c r="CF274" s="81"/>
      <c r="CG274" s="83"/>
      <c r="CH274" s="83"/>
      <c r="CI274" s="83"/>
      <c r="CJ274" s="83"/>
      <c r="CK274" s="83"/>
      <c r="CL274" s="83"/>
      <c r="CM274" s="83"/>
      <c r="CN274" s="26"/>
      <c r="CO274" s="26"/>
      <c r="CP274" s="26"/>
      <c r="CQ274" s="26"/>
      <c r="CR274" s="26"/>
      <c r="CS274" s="26"/>
      <c r="CT274" s="26"/>
      <c r="CU274" s="26"/>
    </row>
    <row r="275" spans="1:99" ht="15" customHeight="1" thickBot="1" x14ac:dyDescent="0.3">
      <c r="A275" s="2"/>
      <c r="B275" s="85" t="s">
        <v>3822</v>
      </c>
      <c r="C275" s="1690"/>
      <c r="D275" s="2101">
        <f>IF(D255&lt;&gt;"",(LN(0.01)-D274)*D255^(2*IF(D156="Instantaneous",D$154,D$128)),0)</f>
        <v>0</v>
      </c>
      <c r="E275" s="83"/>
      <c r="F275" s="2101">
        <f>IF(F255&lt;&gt;"",(LN(0.01)-F274)*F255^(2*IF(F156="Instantaneous",F$154,F$128)),0)</f>
        <v>0</v>
      </c>
      <c r="G275" s="83"/>
      <c r="H275" s="2101">
        <f>IF(H255&lt;&gt;"",(LN(0.01)-H274)*H255^(2*IF(H156="Instantaneous",H$154,H$128)),0)</f>
        <v>0</v>
      </c>
      <c r="I275" s="83"/>
      <c r="J275" s="2101">
        <f>IF(J255&lt;&gt;"",(LN(0.01)-J274)*J255^(2*IF(J156="Instantaneous",J$154,J$128)),0)</f>
        <v>0</v>
      </c>
      <c r="K275" s="83"/>
      <c r="L275" s="2101">
        <f>IF(L255&lt;&gt;"",(LN(0.01)-L274)*L255^(2*IF(L156="Instantaneous",L$154,L$128)),0)</f>
        <v>0</v>
      </c>
      <c r="M275" s="83"/>
      <c r="N275" s="2101">
        <f>IF(N255&lt;&gt;"",(LN(0.01)-N274)*N255^(2*IF(N156="Instantaneous",N$154,N$128)),0)</f>
        <v>0</v>
      </c>
      <c r="O275" s="83"/>
      <c r="P275" s="2101">
        <f>IF(P255&lt;&gt;"",(LN(0.01)-P274)*P255^(2*IF(P156="Instantaneous",P$154,P$128)),0)</f>
        <v>0</v>
      </c>
      <c r="Q275" s="83"/>
      <c r="R275" s="2101">
        <f>IF(R255&lt;&gt;"",(LN(0.01)-R274)*R255^(2*IF(R156="Instantaneous",R$154,R$128)),0)</f>
        <v>0</v>
      </c>
      <c r="S275" s="83"/>
      <c r="T275" s="2101">
        <f>IF(T255&lt;&gt;"",(LN(0.01)-T274)*T255^(2*IF(T156="Instantaneous",T$154,T$128)),0)</f>
        <v>0</v>
      </c>
      <c r="U275" s="83"/>
      <c r="V275" s="2101">
        <f>IF(V255&lt;&gt;"",(LN(0.01)-V274)*V255^(2*IF(V156="Instantaneous",V$154,V$128)),0)</f>
        <v>0</v>
      </c>
      <c r="W275" s="83"/>
      <c r="X275" s="2101">
        <f>IF(X255&lt;&gt;"",(LN(0.01)-X274)*X255^(2*IF(X156="Instantaneous",X$154,X$128)),0)</f>
        <v>0</v>
      </c>
      <c r="Y275" s="1690"/>
      <c r="Z275" s="1691"/>
      <c r="AA275" s="83"/>
      <c r="AB275" s="81"/>
      <c r="AC275" s="846" t="str">
        <f>B262</f>
        <v/>
      </c>
      <c r="AD275" s="81"/>
      <c r="AE275" s="2091">
        <f>IF(AND(AE$227&gt;0,LC1_1&gt;0),AE$227/(LC1_1/AE$223^(1/Pn_1)),0)</f>
        <v>0</v>
      </c>
      <c r="AF275" s="81"/>
      <c r="AG275" s="2091">
        <f>IF(AND(AG$227&gt;0,LC1_1&gt;0),AG$227/(LC1_1/AG$223^(1/Pn_1)),0)</f>
        <v>0</v>
      </c>
      <c r="AH275" s="81"/>
      <c r="AI275" s="2091">
        <f>IF(AND(AI$227&gt;0,LC1_1&gt;0),AI$227/(LC1_1/AI$223^(1/Pn_1)),0)</f>
        <v>0</v>
      </c>
      <c r="AJ275" s="81"/>
      <c r="AK275" s="2091">
        <f>IF(AND(AK$227&gt;0,LC1_1&gt;0),AK$227/(LC1_1/AK$223^(1/Pn_1)),0)</f>
        <v>0</v>
      </c>
      <c r="AL275" s="81"/>
      <c r="AM275" s="2091">
        <f>IF(AND(AM$227&gt;0,LC1_1&gt;0),AM$227/(LC1_1/AM$223^(1/Pn_1)),0)</f>
        <v>0</v>
      </c>
      <c r="AN275" s="81"/>
      <c r="AO275" s="2091">
        <f>IF(AND(AO$227&gt;0,LC1HT_1&gt;0),AO$227/(LC1HT_1/AO$223^(1/PnHT_1)),0)</f>
        <v>0</v>
      </c>
      <c r="AP275" s="81"/>
      <c r="AQ275" s="85"/>
      <c r="AR275" s="81"/>
      <c r="AS275" s="83"/>
      <c r="AT275" s="85" t="s">
        <v>3644</v>
      </c>
      <c r="AU275" s="83"/>
      <c r="AV275" s="2101">
        <f>IF(AV258&lt;&gt;"",IF(AV252/AV258=1,0,LN(0.01)-LN(0.02)/(1-(AV252/AV258)^(2*IF(AV205="Instantaneous",AV$203,AV$177)))),0)</f>
        <v>0</v>
      </c>
      <c r="AW275" s="83"/>
      <c r="AX275" s="2101">
        <f>IF(AX258&lt;&gt;"",IF(AX252/AX258=1,0,LN(0.01)-LN(0.02)/(1-(AX252/AX258)^(2*IF(AX205="Instantaneous",AX$203,AX$177)))),0)</f>
        <v>0</v>
      </c>
      <c r="AY275" s="83"/>
      <c r="AZ275" s="2101">
        <f>IF(AZ258&lt;&gt;"",IF(AZ252/AZ258=1,0,LN(0.01)-LN(0.02)/(1-(AZ252/AZ258)^(2*IF(AZ205="Instantaneous",AZ$203,AZ$177)))),0)</f>
        <v>0</v>
      </c>
      <c r="BA275" s="83"/>
      <c r="BB275" s="2101">
        <f>IF(BB258&lt;&gt;"",IF(BB252/BB258=1,0,LN(0.01)-LN(0.02)/(1-(BB252/BB258)^(2*IF(BB205="Instantaneous",BB$203,BB$177)))),0)</f>
        <v>0</v>
      </c>
      <c r="BC275" s="83"/>
      <c r="BD275" s="2101">
        <f>IF(BD258&lt;&gt;"",IF(BD252/BD258=1,0,LN(0.01)-LN(0.02)/(1-(BD252/BD258)^(2*IF(BD205="Instantaneous",BD$203,BD$177)))),0)</f>
        <v>0</v>
      </c>
      <c r="BE275" s="83"/>
      <c r="BF275" s="2101">
        <f>IF(BF258&lt;&gt;"",IF(BF252/BF258=1,0,LN(0.01)-LN(0.02)/(1-(BF252/BF258)^(2*IF(BF205="Instantaneous",BF$203,BF$177)))),0)</f>
        <v>0</v>
      </c>
      <c r="BG275" s="83"/>
      <c r="BH275" s="2101">
        <f>IF(BH258&lt;&gt;"",IF(BH252/BH258=1,0,LN(0.01)-LN(0.02)/(1-(BH252/BH258)^(2*IF(BH205="Instantaneous",BH$203,BH$177)))),0)</f>
        <v>0</v>
      </c>
      <c r="BI275" s="83"/>
      <c r="BJ275" s="2101">
        <f>IF(BJ258&lt;&gt;"",IF(BJ252/BJ258=1,0,LN(0.01)-LN(0.02)/(1-(BJ252/BJ258)^(2*IF(BJ205="Instantaneous",BJ$203,BJ$177)))),0)</f>
        <v>0</v>
      </c>
      <c r="BK275" s="83"/>
      <c r="BL275" s="2101">
        <f>IF(BL258&lt;&gt;"",IF(BL252/BL258=1,0,LN(0.01)-LN(0.02)/(1-(BL252/BL258)^(2*IF(BL205="Instantaneous",BL$203,BL$177)))),0)</f>
        <v>0</v>
      </c>
      <c r="BM275" s="83"/>
      <c r="BN275" s="2101">
        <f>IF(BN258&lt;&gt;"",IF(BN252/BN258=1,0,LN(0.01)-LN(0.02)/(1-(BN252/BN258)^(2*IF(BN205="Instantaneous",BN$203,BN$177)))),0)</f>
        <v>0</v>
      </c>
      <c r="BO275" s="83"/>
      <c r="BP275" s="85"/>
      <c r="BQ275" s="83"/>
      <c r="BR275" s="81"/>
      <c r="BS275" s="85" t="s">
        <v>3822</v>
      </c>
      <c r="BT275" s="81"/>
      <c r="BU275" s="2101">
        <f>IF(BU255&lt;&gt;"",(LN(0.01)-BU274)*BU255^(2*IF(BU156="Instantaneous",BU$154,BU$128)),0)</f>
        <v>0</v>
      </c>
      <c r="BV275" s="81"/>
      <c r="BW275" s="2101">
        <f>IF(BW255&lt;&gt;"",(LN(0.01)-BW274)*BW255^(2*IF(BW156="Instantaneous",BW$154,BW$128)),0)</f>
        <v>0</v>
      </c>
      <c r="BX275" s="81"/>
      <c r="BY275" s="2101">
        <f>IF(BY255&lt;&gt;"",(LN(0.01)-BY274)*BY255^(2*IF(BY156="Instantaneous",BY$154,BY$128)),0)</f>
        <v>0</v>
      </c>
      <c r="BZ275" s="81"/>
      <c r="CA275" s="2101">
        <f>IF(CA255&lt;&gt;"",(LN(0.01)-CA274)*CA255^(2*IF(CA156="Instantaneous",CA$154,CA$128)),0)</f>
        <v>0</v>
      </c>
      <c r="CB275" s="81"/>
      <c r="CC275" s="2101">
        <f>IF(CC255&lt;&gt;"",(LN(0.01)-CC274)*CC255^(2*IF(CC156="Instantaneous",CC$154,CC$128)),0)</f>
        <v>0</v>
      </c>
      <c r="CD275" s="81"/>
      <c r="CE275" s="85"/>
      <c r="CF275" s="81"/>
      <c r="CG275" s="2968"/>
      <c r="CH275" s="2968"/>
      <c r="CI275" s="2968"/>
      <c r="CJ275" s="2968"/>
      <c r="CK275" s="2968"/>
      <c r="CL275" s="2968"/>
      <c r="CM275" s="2968"/>
      <c r="CN275" s="26"/>
      <c r="CO275" s="26"/>
      <c r="CP275" s="26"/>
      <c r="CQ275" s="26"/>
      <c r="CR275" s="26"/>
      <c r="CS275" s="26"/>
      <c r="CT275" s="26"/>
      <c r="CU275" s="26"/>
    </row>
    <row r="276" spans="1:99" ht="15" customHeight="1" thickBot="1" x14ac:dyDescent="0.3">
      <c r="A276" s="2"/>
      <c r="B276" s="85" t="s">
        <v>3808</v>
      </c>
      <c r="C276" s="1690"/>
      <c r="D276" s="2101">
        <f>IF(D267&lt;&gt;"",(LN(0.01)-D274)*D267^(2*IF(D156="Instantaneous",D$154,D$128)),0)</f>
        <v>0</v>
      </c>
      <c r="E276" s="83"/>
      <c r="F276" s="2101">
        <f>IF(F267&lt;&gt;"",(LN(0.01)-F274)*F267^(2*IF(F156="Instantaneous",F$154,F$128)),0)</f>
        <v>0</v>
      </c>
      <c r="G276" s="83"/>
      <c r="H276" s="2101">
        <f>IF(H267&lt;&gt;"",(LN(0.01)-H274)*H267^(2*IF(H156="Instantaneous",H$154,H$128)),0)</f>
        <v>0</v>
      </c>
      <c r="I276" s="83"/>
      <c r="J276" s="2101">
        <f>IF(J267&lt;&gt;"",(LN(0.01)-J274)*J267^(2*IF(J156="Instantaneous",J$154,J$128)),0)</f>
        <v>0</v>
      </c>
      <c r="K276" s="83"/>
      <c r="L276" s="2101">
        <f>IF(L267&lt;&gt;"",(LN(0.01)-L274)*L267^(2*IF(L156="Instantaneous",L$154,L$128)),0)</f>
        <v>0</v>
      </c>
      <c r="M276" s="83"/>
      <c r="N276" s="2101">
        <f>IF(N267&lt;&gt;"",(LN(0.01)-N274)*N267^(2*IF(N156="Instantaneous",N$154,N$128)),0)</f>
        <v>0</v>
      </c>
      <c r="O276" s="83"/>
      <c r="P276" s="2101">
        <f>IF(P267&lt;&gt;"",(LN(0.01)-P274)*P267^(2*IF(P156="Instantaneous",P$154,P$128)),0)</f>
        <v>0</v>
      </c>
      <c r="Q276" s="83"/>
      <c r="R276" s="2101">
        <f>IF(R267&lt;&gt;"",(LN(0.01)-R274)*R267^(2*IF(R156="Instantaneous",R$154,R$128)),0)</f>
        <v>0</v>
      </c>
      <c r="S276" s="83"/>
      <c r="T276" s="2101">
        <f>IF(T267&lt;&gt;"",(LN(0.01)-T274)*T267^(2*IF(T156="Instantaneous",T$154,T$128)),0)</f>
        <v>0</v>
      </c>
      <c r="U276" s="83"/>
      <c r="V276" s="2101">
        <f>IF(V267&lt;&gt;"",(LN(0.01)-V274)*V267^(2*IF(V156="Instantaneous",V$154,V$128)),0)</f>
        <v>0</v>
      </c>
      <c r="W276" s="83"/>
      <c r="X276" s="2101">
        <f>IF(X267&lt;&gt;"",(LN(0.01)-X274)*X267^(2*IF(X156="Instantaneous",X$154,X$128)),0)</f>
        <v>0</v>
      </c>
      <c r="Y276" s="1690"/>
      <c r="Z276" s="1691"/>
      <c r="AA276" s="83"/>
      <c r="AB276" s="81"/>
      <c r="AC276" s="846" t="str">
        <f>B263</f>
        <v/>
      </c>
      <c r="AD276" s="81"/>
      <c r="AE276" s="2091">
        <f>IF(AND(AE$228&gt;0,LC1_2&gt;0),AE$228/(LC1_2/AE$223^(1/Pn_2)),0)</f>
        <v>0</v>
      </c>
      <c r="AF276" s="81"/>
      <c r="AG276" s="2091">
        <f>IF(AND(AG$228&gt;0,LC1_2&gt;0),AG$228/(LC1_2/AG$223^(1/Pn_2)),0)</f>
        <v>0</v>
      </c>
      <c r="AH276" s="81"/>
      <c r="AI276" s="2091">
        <f>IF(AND(AI$228&gt;0,LC1_2&gt;0),AI$228/(LC1_2/AI$223^(1/Pn_2)),0)</f>
        <v>0</v>
      </c>
      <c r="AJ276" s="81"/>
      <c r="AK276" s="2091">
        <f>IF(AND(AK$228&gt;0,LC1_2&gt;0),AK$228/(LC1_2/AK$223^(1/Pn_2)),0)</f>
        <v>0</v>
      </c>
      <c r="AL276" s="81"/>
      <c r="AM276" s="2091">
        <f>IF(AND(AM$228&gt;0,LC1_2&gt;0),AM$228/(LC1_2/AM$223^(1/Pn_2)),0)</f>
        <v>0</v>
      </c>
      <c r="AN276" s="81"/>
      <c r="AO276" s="2091">
        <f>IF(AND(AO$228&gt;0,LC1HT_2&gt;0),AO$228/(LC1HT_2/AO$223^(1/PnHT_2)),0)</f>
        <v>0</v>
      </c>
      <c r="AP276" s="81"/>
      <c r="AQ276" s="85"/>
      <c r="AR276" s="81"/>
      <c r="AS276" s="83"/>
      <c r="AT276" s="85" t="s">
        <v>5298</v>
      </c>
      <c r="AU276" s="83"/>
      <c r="AV276" s="2099">
        <f>IF(AV264&lt;&gt;"",(LN(0.01)-AV275)*AV270^(2*IF(AV205="Instantaneous",AV$203,AV$177)),0)</f>
        <v>0</v>
      </c>
      <c r="AW276" s="83"/>
      <c r="AX276" s="2099">
        <f>IF(AX264&lt;&gt;"",(LN(0.01)-AX275)*AX270^(2*IF(AX205="Instantaneous",AX$203,AX$177)),0)</f>
        <v>0</v>
      </c>
      <c r="AY276" s="83"/>
      <c r="AZ276" s="2099">
        <f>IF(AZ264&lt;&gt;"",(LN(0.01)-AZ275)*AZ270^(2*IF(AZ205="Instantaneous",AZ$203,AZ$177)),0)</f>
        <v>0</v>
      </c>
      <c r="BA276" s="83"/>
      <c r="BB276" s="2099">
        <f>IF(BB264&lt;&gt;"",(LN(0.01)-BB275)*BB270^(2*IF(BB205="Instantaneous",BB$203,BB$177)),0)</f>
        <v>0</v>
      </c>
      <c r="BC276" s="83"/>
      <c r="BD276" s="2099">
        <f>IF(BD264&lt;&gt;"",(LN(0.01)-BD275)*BD270^(2*IF(BD205="Instantaneous",BD$203,BD$177)),0)</f>
        <v>0</v>
      </c>
      <c r="BE276" s="83"/>
      <c r="BF276" s="2099">
        <f>IF(BF264&lt;&gt;"",(LN(0.01)-BF275)*BF270^(2*IF(BF205="Instantaneous",BF$203,BF$177)),0)</f>
        <v>0</v>
      </c>
      <c r="BG276" s="83"/>
      <c r="BH276" s="2099">
        <f>IF(BH264&lt;&gt;"",(LN(0.01)-BH275)*BH270^(2*IF(BH205="Instantaneous",BH$203,BH$177)),0)</f>
        <v>0</v>
      </c>
      <c r="BI276" s="83"/>
      <c r="BJ276" s="2099">
        <f>IF(BJ264&lt;&gt;"",(LN(0.01)-BJ275)*BJ270^(2*IF(BJ205="Instantaneous",BJ$203,BJ$177)),0)</f>
        <v>0</v>
      </c>
      <c r="BK276" s="83"/>
      <c r="BL276" s="2099">
        <f>IF(BL264&lt;&gt;"",(LN(0.01)-BL275)*BL270^(2*IF(BL205="Instantaneous",BL$203,BL$177)),0)</f>
        <v>0</v>
      </c>
      <c r="BM276" s="83"/>
      <c r="BN276" s="2099">
        <f>IF(BN264&lt;&gt;"",(LN(0.01)-BN275)*BN270^(2*IF(BN205="Instantaneous",BN$203,BN$177)),0)</f>
        <v>0</v>
      </c>
      <c r="BO276" s="83"/>
      <c r="BP276" s="85"/>
      <c r="BQ276" s="83"/>
      <c r="BR276" s="81"/>
      <c r="BS276" s="85" t="s">
        <v>3808</v>
      </c>
      <c r="BT276" s="81"/>
      <c r="BU276" s="2101">
        <f>IF(BU267&lt;&gt;"",(LN(0.01)-BU274)*BU267^(2*IF(BU156="Instantaneous",BU$154,BU$128)),0)</f>
        <v>0</v>
      </c>
      <c r="BV276" s="81"/>
      <c r="BW276" s="2101">
        <f>IF(BW267&lt;&gt;"",(LN(0.01)-BW274)*BW267^(2*IF(BW156="Instantaneous",BW$154,BW$128)),0)</f>
        <v>0</v>
      </c>
      <c r="BX276" s="81"/>
      <c r="BY276" s="2101">
        <f>IF(BY267&lt;&gt;"",(LN(0.01)-BY274)*BY267^(2*IF(BY156="Instantaneous",BY$154,BY$128)),0)</f>
        <v>0</v>
      </c>
      <c r="BZ276" s="81"/>
      <c r="CA276" s="2101">
        <f>IF(CA267&lt;&gt;"",(LN(0.01)-CA274)*CA267^(2*IF(CA156="Instantaneous",CA$154,CA$128)),0)</f>
        <v>0</v>
      </c>
      <c r="CB276" s="81"/>
      <c r="CC276" s="2101">
        <f>IF(CC267&lt;&gt;"",(LN(0.01)-CC274)*CC267^(2*IF(CC156="Instantaneous",CC$154,CC$128)),0)</f>
        <v>0</v>
      </c>
      <c r="CD276" s="81"/>
      <c r="CE276" s="85"/>
      <c r="CF276" s="81"/>
      <c r="CG276" s="2968"/>
      <c r="CH276" s="4254" t="s">
        <v>5081</v>
      </c>
      <c r="CI276" s="3673"/>
      <c r="CJ276" s="4255"/>
      <c r="CK276" s="2968"/>
      <c r="CL276" s="2968"/>
      <c r="CM276" s="2968"/>
      <c r="CN276" s="26"/>
      <c r="CO276" s="26"/>
      <c r="CP276" s="26"/>
      <c r="CQ276" s="26"/>
      <c r="CR276" s="26"/>
      <c r="CS276" s="26"/>
      <c r="CT276" s="26"/>
      <c r="CU276" s="26"/>
    </row>
    <row r="277" spans="1:99" ht="15" customHeight="1" thickBot="1" x14ac:dyDescent="0.3">
      <c r="A277" s="2"/>
      <c r="B277" s="85" t="s">
        <v>3643</v>
      </c>
      <c r="C277" s="1690"/>
      <c r="D277" s="2101">
        <f>MIN(1000000,IF(D274&gt;0,(-D276/D274)^(0.5/IF(D156="Instantaneous",D$154,D$128)),0))</f>
        <v>0</v>
      </c>
      <c r="E277" s="83"/>
      <c r="F277" s="2101">
        <f>MIN(1000000,IF(F274&gt;0,(-F276/F274)^(0.5/IF(F156="Instantaneous",F$154,F$128)),0))</f>
        <v>0</v>
      </c>
      <c r="G277" s="83"/>
      <c r="H277" s="2101">
        <f>MIN(1000000,IF(H274&gt;0,(-H276/H274)^(0.5/IF(H156="Instantaneous",H$154,H$128)),0))</f>
        <v>0</v>
      </c>
      <c r="I277" s="83"/>
      <c r="J277" s="2101">
        <f>MIN(1000000,IF(J274&gt;0,(-J276/J274)^(0.5/IF(J156="Instantaneous",J$154,J$128)),0))</f>
        <v>0</v>
      </c>
      <c r="K277" s="83"/>
      <c r="L277" s="2101">
        <f>MIN(1000000,IF(L274&gt;0,(-L276/L274)^(0.5/IF(L156="Instantaneous",L$154,L$128)),0))</f>
        <v>0</v>
      </c>
      <c r="M277" s="83"/>
      <c r="N277" s="2101">
        <f>MIN(1000000,IF(N274&gt;0,(-N276/N274)^(0.5/IF(N156="Instantaneous",N$154,N$128)),0))</f>
        <v>0</v>
      </c>
      <c r="O277" s="83"/>
      <c r="P277" s="2101">
        <f>MIN(1000000,IF(P274&gt;0,(-P276/P274)^(0.5/IF(P156="Instantaneous",P$154,P$128)),0))</f>
        <v>0</v>
      </c>
      <c r="Q277" s="83"/>
      <c r="R277" s="2101">
        <f>MIN(1000000,IF(R274&gt;0,(-R276/R274)^(0.5/IF(R156="Instantaneous",R$154,R$128)),0))</f>
        <v>0</v>
      </c>
      <c r="S277" s="83"/>
      <c r="T277" s="2101">
        <f>MIN(1000000,IF(T274&gt;0,(-T276/T274)^(0.5/IF(T156="Instantaneous",T$154,T$128)),0))</f>
        <v>0</v>
      </c>
      <c r="U277" s="83"/>
      <c r="V277" s="2101">
        <f>MIN(1000000,IF(V274&gt;0,(-V276/V274)^(0.5/IF(V156="Instantaneous",V$154,V$128)),0))</f>
        <v>0</v>
      </c>
      <c r="W277" s="83"/>
      <c r="X277" s="2101">
        <f>MIN(1000000,IF(X274&gt;0,(-X276/X274)^(0.5/IF(X156="Instantaneous",X$154,X$128)),0))</f>
        <v>0</v>
      </c>
      <c r="Y277" s="1690"/>
      <c r="Z277" s="85" t="s">
        <v>1506</v>
      </c>
      <c r="AA277" s="83"/>
      <c r="AB277" s="81"/>
      <c r="AC277" s="846" t="str">
        <f>B264</f>
        <v/>
      </c>
      <c r="AD277" s="81"/>
      <c r="AE277" s="2091">
        <f>IF(AND(AE$229&gt;0,LC1_3&gt;0),AE$229/(LC1_3/AE$223^(1/Pn_3)),0)</f>
        <v>0</v>
      </c>
      <c r="AF277" s="81"/>
      <c r="AG277" s="2091">
        <f>IF(AND(AG$229&gt;0,LC1_3&gt;0),AG$229/(LC1_3/AG$223^(1/Pn_3)),0)</f>
        <v>0</v>
      </c>
      <c r="AH277" s="81"/>
      <c r="AI277" s="2091">
        <f>IF(AND(AI$229&gt;0,LC1_3&gt;0),AI$229/(LC1_3/AI$223^(1/Pn_3)),0)</f>
        <v>0</v>
      </c>
      <c r="AJ277" s="81"/>
      <c r="AK277" s="2091">
        <f>IF(AND(AK$229&gt;0,LC1_3&gt;0),AK$229/(LC1_3/AK$223^(1/Pn_3)),0)</f>
        <v>0</v>
      </c>
      <c r="AL277" s="81"/>
      <c r="AM277" s="2091">
        <f>IF(AND(AM$229&gt;0,LC1_3&gt;0),AM$229/(LC1_3/AM$223^(1/Pn_3)),0)</f>
        <v>0</v>
      </c>
      <c r="AN277" s="81"/>
      <c r="AO277" s="2091">
        <f>IF(AND(AO$229&gt;0,LC1HT_3&gt;0),AO$229/(LC1HT_3/AO$223^(1/PnHT_3)),0)</f>
        <v>0</v>
      </c>
      <c r="AP277" s="81"/>
      <c r="AQ277" s="85"/>
      <c r="AR277" s="81"/>
      <c r="AS277" s="83"/>
      <c r="AT277" s="85" t="s">
        <v>3645</v>
      </c>
      <c r="AU277" s="83"/>
      <c r="AV277" s="2099">
        <f>MIN(1000000,IF(AV275&lt;&gt;"",IF(AV275&gt;0,(-AV276/AV275)^(0.5/IF(AV205="Instantaneous",AV$203,AV$177)),0),0))</f>
        <v>0</v>
      </c>
      <c r="AW277" s="83"/>
      <c r="AX277" s="2099">
        <f>MIN(1000000,IF(AX275&lt;&gt;"",IF(AX275&gt;0,(-AX276/AX275)^(0.5/IF(AX205="Instantaneous",AX$203,AX$177)),0),0))</f>
        <v>0</v>
      </c>
      <c r="AY277" s="83"/>
      <c r="AZ277" s="2099">
        <f>MIN(1000000,IF(AZ275&lt;&gt;"",IF(AZ275&gt;0,(-AZ276/AZ275)^(0.5/IF(AZ205="Instantaneous",AZ$203,AZ$177)),0),0))</f>
        <v>0</v>
      </c>
      <c r="BA277" s="83"/>
      <c r="BB277" s="2099">
        <f>MIN(1000000,IF(BB275&lt;&gt;"",IF(BB275&gt;0,(-BB276/BB275)^(0.5/IF(BB205="Instantaneous",BB$203,BB$177)),0),0))</f>
        <v>0</v>
      </c>
      <c r="BC277" s="83"/>
      <c r="BD277" s="2099">
        <f>MIN(1000000,IF(BD275&lt;&gt;"",IF(BD275&gt;0,(-BD276/BD275)^(0.5/IF(BD205="Instantaneous",BD$203,BD$177)),0),0))</f>
        <v>0</v>
      </c>
      <c r="BE277" s="83"/>
      <c r="BF277" s="2099">
        <f>MIN(1000000,IF(BF275&lt;&gt;"",IF(BF275&gt;0,(-BF276/BF275)^(0.5/IF(BF205="Instantaneous",BF$203,BF$177)),0),0))</f>
        <v>0</v>
      </c>
      <c r="BG277" s="83"/>
      <c r="BH277" s="2099">
        <f>MIN(1000000,IF(BH275&lt;&gt;"",IF(BH275&gt;0,(-BH276/BH275)^(0.5/IF(BH205="Instantaneous",BH$203,BH$177)),0),0))</f>
        <v>0</v>
      </c>
      <c r="BI277" s="83"/>
      <c r="BJ277" s="2099">
        <f>MIN(1000000,IF(BJ275&lt;&gt;"",IF(BJ275&gt;0,(-BJ276/BJ275)^(0.5/IF(BJ205="Instantaneous",BJ$203,BJ$177)),0),0))</f>
        <v>0</v>
      </c>
      <c r="BK277" s="83"/>
      <c r="BL277" s="2099">
        <f>MIN(1000000,IF(BL275&lt;&gt;"",IF(BL275&gt;0,(-BL276/BL275)^(0.5/IF(BL205="Instantaneous",BL$203,BL$177)),0),0))</f>
        <v>0</v>
      </c>
      <c r="BM277" s="83"/>
      <c r="BN277" s="2099">
        <f>MIN(1000000,IF(BN275&lt;&gt;"",IF(BN275&gt;0,(-BN276/BN275)^(0.5/IF(BN205="Instantaneous",BN$203,BN$177)),0),0))</f>
        <v>0</v>
      </c>
      <c r="BO277" s="83"/>
      <c r="BP277" s="85" t="s">
        <v>1506</v>
      </c>
      <c r="BQ277" s="83"/>
      <c r="BR277" s="81"/>
      <c r="BS277" s="85" t="s">
        <v>3643</v>
      </c>
      <c r="BT277" s="81"/>
      <c r="BU277" s="2101">
        <f>MIN(1000000,IF(BU274&gt;0,(-BU276/BU274)^(0.5/IF(BU156="Instantaneous",BU$154,BU$128)),0))</f>
        <v>0</v>
      </c>
      <c r="BV277" s="81"/>
      <c r="BW277" s="2101">
        <f>MIN(1000000,IF(BW274&gt;0,(-BW276/BW274)^(0.5/IF(BW156="Instantaneous",BW$154,BW$128)),0))</f>
        <v>0</v>
      </c>
      <c r="BX277" s="81"/>
      <c r="BY277" s="2101">
        <f>MIN(1000000,IF(BY274&gt;0,(-BY276/BY274)^(0.5/IF(BY156="Instantaneous",BY$154,BY$128)),0))</f>
        <v>0</v>
      </c>
      <c r="BZ277" s="81"/>
      <c r="CA277" s="2101">
        <f>MIN(1000000,IF(CA274&gt;0,(-CA276/CA274)^(0.5/IF(CA156="Instantaneous",CA$154,CA$128)),0))</f>
        <v>0</v>
      </c>
      <c r="CB277" s="81"/>
      <c r="CC277" s="2101">
        <f>MIN(1000000,IF(CC274&gt;0,(-CC276/CC274)^(0.5/IF(CC156="Instantaneous",CC$154,CC$128)),0))</f>
        <v>0</v>
      </c>
      <c r="CD277" s="81"/>
      <c r="CE277" s="85" t="s">
        <v>1506</v>
      </c>
      <c r="CF277" s="81"/>
      <c r="CG277" s="2968"/>
      <c r="CH277" s="84" t="s">
        <v>5083</v>
      </c>
      <c r="CI277" s="2968"/>
      <c r="CJ277" s="2426">
        <f>LN(0.1)</f>
        <v>-2.3025850929940455</v>
      </c>
      <c r="CK277" s="2968"/>
      <c r="CL277" s="2968"/>
      <c r="CM277" s="2968"/>
      <c r="CN277" s="26"/>
      <c r="CO277" s="26"/>
      <c r="CP277" s="26"/>
      <c r="CQ277" s="26"/>
      <c r="CR277" s="26"/>
      <c r="CS277" s="26"/>
      <c r="CT277" s="26"/>
      <c r="CU277" s="26"/>
    </row>
    <row r="278" spans="1:99" ht="15" customHeight="1" thickBot="1" x14ac:dyDescent="0.3">
      <c r="A278" s="2"/>
      <c r="B278" s="85" t="s">
        <v>3644</v>
      </c>
      <c r="C278" s="1690"/>
      <c r="D278" s="2101">
        <f>IF(D261&lt;&gt;"",IF(D255/D261=1,0,LN(0.01)-LN(0.02)/(1-(D255/D261)^(2*IF(D208="Instantaneous",D$206,D$180)))),0)</f>
        <v>0</v>
      </c>
      <c r="E278" s="83"/>
      <c r="F278" s="2101">
        <f>IF(F261&lt;&gt;"",IF(F255/F261=1,0,LN(0.01)-LN(0.02)/(1-(F255/F261)^(2*IF(F208="Instantaneous",F$206,F$180)))),0)</f>
        <v>0</v>
      </c>
      <c r="G278" s="83"/>
      <c r="H278" s="2101">
        <f>IF(H261&lt;&gt;"",IF(H255/H261=1,0,LN(0.01)-LN(0.02)/(1-(H255/H261)^(2*IF(H208="Instantaneous",H$206,H$180)))),0)</f>
        <v>0</v>
      </c>
      <c r="I278" s="83"/>
      <c r="J278" s="2101">
        <f>IF(J261&lt;&gt;"",IF(J255/J261=1,0,LN(0.01)-LN(0.02)/(1-(J255/J261)^(2*IF(J208="Instantaneous",J$206,J$180)))),0)</f>
        <v>0</v>
      </c>
      <c r="K278" s="83"/>
      <c r="L278" s="2101">
        <f>IF(L261&lt;&gt;"",IF(L255/L261=1,0,LN(0.01)-LN(0.02)/(1-(L255/L261)^(2*IF(L208="Instantaneous",L$206,L$180)))),0)</f>
        <v>0</v>
      </c>
      <c r="M278" s="83"/>
      <c r="N278" s="2101">
        <f>IF(N261&lt;&gt;"",IF(N255/N261=1,0,LN(0.01)-LN(0.02)/(1-(N255/N261)^(2*IF(N208="Instantaneous",N$206,N$180)))),0)</f>
        <v>0</v>
      </c>
      <c r="O278" s="83"/>
      <c r="P278" s="2101">
        <f>IF(P261&lt;&gt;"",IF(P255/P261=1,0,LN(0.01)-LN(0.02)/(1-(P255/P261)^(2*IF(P208="Instantaneous",P$206,P$180)))),0)</f>
        <v>0</v>
      </c>
      <c r="Q278" s="83"/>
      <c r="R278" s="2101">
        <f>IF(R261&lt;&gt;"",IF(R255/R261=1,0,LN(0.01)-LN(0.02)/(1-(R255/R261)^(2*IF(R208="Instantaneous",R$206,R$180)))),0)</f>
        <v>0</v>
      </c>
      <c r="S278" s="83"/>
      <c r="T278" s="2101">
        <f>IF(T261&lt;&gt;"",IF(T255/T261=1,0,LN(0.01)-LN(0.02)/(1-(T255/T261)^(2*IF(T208="Instantaneous",T$206,T$180)))),0)</f>
        <v>0</v>
      </c>
      <c r="U278" s="83"/>
      <c r="V278" s="2101">
        <f>IF(V261&lt;&gt;"",IF(V255/V261=1,0,LN(0.01)-LN(0.02)/(1-(V255/V261)^(2*IF(V208="Instantaneous",V$206,V$180)))),0)</f>
        <v>0</v>
      </c>
      <c r="W278" s="83"/>
      <c r="X278" s="2101">
        <f>IF(X261&lt;&gt;"",IF(X255/X261=1,0,LN(0.01)-LN(0.02)/(1-(X255/X261)^(2*IF(X208="Instantaneous",X$206,X$180)))),0)</f>
        <v>0</v>
      </c>
      <c r="Y278" s="1690"/>
      <c r="Z278" s="1691"/>
      <c r="AA278" s="83"/>
      <c r="AB278" s="81"/>
      <c r="AC278" s="846" t="str">
        <f>B265</f>
        <v/>
      </c>
      <c r="AD278" s="81"/>
      <c r="AE278" s="2091">
        <f>IF(AND(AE$230&gt;0,LC1_4&gt;0),AE$230/(LC1_4/AE$223^(1/Pn_4)),0)</f>
        <v>0</v>
      </c>
      <c r="AF278" s="81"/>
      <c r="AG278" s="2091">
        <f>IF(AND(AG$230&gt;0,LC1_4&gt;0),AG$230/(LC1_4/AG$223^(1/Pn_4)),0)</f>
        <v>0</v>
      </c>
      <c r="AH278" s="81"/>
      <c r="AI278" s="2091">
        <f>IF(AND(AI$230&gt;0,LC1_4&gt;0),AI$230/(LC1_4/AI$223^(1/Pn_4)),0)</f>
        <v>0</v>
      </c>
      <c r="AJ278" s="81"/>
      <c r="AK278" s="2091">
        <f>IF(AND(AK$230&gt;0,LC1_4&gt;0),AK$230/(LC1_4/AK$223^(1/Pn_4)),0)</f>
        <v>0</v>
      </c>
      <c r="AL278" s="81"/>
      <c r="AM278" s="2091">
        <f>IF(AND(AM$230&gt;0,LC1_4&gt;0),AM$230/(LC1_4/AM$223^(1/Pn_4)),0)</f>
        <v>0</v>
      </c>
      <c r="AN278" s="81"/>
      <c r="AO278" s="2091">
        <f>IF(AND(AO$230&gt;0,LC1HT_4&gt;0),AO$230/(LC1HT_4/AO$223^(1/PnHT_4)),0)</f>
        <v>0</v>
      </c>
      <c r="AP278" s="81"/>
      <c r="AQ278" s="85"/>
      <c r="AR278" s="81"/>
      <c r="AS278" s="83"/>
      <c r="AT278" s="92" t="s">
        <v>2681</v>
      </c>
      <c r="AU278" s="612"/>
      <c r="AV278" s="2645">
        <f>Relief_Release</f>
        <v>0</v>
      </c>
      <c r="AW278" s="612"/>
      <c r="AX278" s="2645">
        <f>Relief_Release</f>
        <v>0</v>
      </c>
      <c r="AY278" s="612"/>
      <c r="AZ278" s="2645">
        <f>Relief_Release</f>
        <v>0</v>
      </c>
      <c r="BA278" s="612"/>
      <c r="BB278" s="2645">
        <f>Relief_Release</f>
        <v>0</v>
      </c>
      <c r="BC278" s="612"/>
      <c r="BD278" s="2645">
        <f>Relief_Release</f>
        <v>0</v>
      </c>
      <c r="BE278" s="612"/>
      <c r="BF278" s="2645">
        <f>Relief_Release</f>
        <v>0</v>
      </c>
      <c r="BG278" s="612"/>
      <c r="BH278" s="2645">
        <f>Relief_Release</f>
        <v>0</v>
      </c>
      <c r="BI278" s="612"/>
      <c r="BJ278" s="2645">
        <f>Relief_Release</f>
        <v>0</v>
      </c>
      <c r="BK278" s="612"/>
      <c r="BL278" s="2645">
        <f>Relief_Release</f>
        <v>0</v>
      </c>
      <c r="BM278" s="612"/>
      <c r="BN278" s="2645">
        <f>Relief_Release</f>
        <v>0</v>
      </c>
      <c r="BO278" s="612"/>
      <c r="BP278" s="92"/>
      <c r="BQ278" s="83"/>
      <c r="BR278" s="81"/>
      <c r="BS278" s="85" t="s">
        <v>3644</v>
      </c>
      <c r="BT278" s="81"/>
      <c r="BU278" s="2101">
        <f>IF(BU261&lt;&gt;"",IF(BU255/BU261=1,0,LN(0.01)-LN(0.02)/(1-(BU255/BU261)^(2*IF(BU208="Instantaneous",BU$206,BU$180)))),0)</f>
        <v>0</v>
      </c>
      <c r="BV278" s="81"/>
      <c r="BW278" s="2101">
        <f>IF(BW261&lt;&gt;"",IF(BW255/BW261=1,0,LN(0.01)-LN(0.02)/(1-(BW255/BW261)^(2*IF(BW208="Instantaneous",BW$206,BW$180)))),0)</f>
        <v>0</v>
      </c>
      <c r="BX278" s="81"/>
      <c r="BY278" s="2101">
        <f>IF(BY261&lt;&gt;"",IF(BY255/BY261=1,0,LN(0.01)-LN(0.02)/(1-(BY255/BY261)^(2*IF(BY208="Instantaneous",BY$206,BY$180)))),0)</f>
        <v>0</v>
      </c>
      <c r="BZ278" s="81"/>
      <c r="CA278" s="2101">
        <f>IF(CA261&lt;&gt;"",IF(CA255/CA261=1,0,LN(0.01)-LN(0.02)/(1-(CA255/CA261)^(2*IF(CA208="Instantaneous",CA$206,CA$180)))),0)</f>
        <v>0</v>
      </c>
      <c r="CB278" s="81"/>
      <c r="CC278" s="2101">
        <f>IF(CC261&lt;&gt;"",IF(CC255/CC261=1,0,LN(0.01)-LN(0.02)/(1-(CC255/CC261)^(2*IF(CC208="Instantaneous",CC$206,CC$180)))),0)</f>
        <v>0</v>
      </c>
      <c r="CD278" s="81"/>
      <c r="CE278" s="85"/>
      <c r="CF278" s="81"/>
      <c r="CG278" s="2968"/>
      <c r="CH278" s="23" t="s">
        <v>5084</v>
      </c>
      <c r="CI278" s="2968"/>
      <c r="CJ278" s="1289">
        <f>LN(0.05)</f>
        <v>-2.9957322735539909</v>
      </c>
      <c r="CK278" s="2968"/>
      <c r="CL278" s="2968"/>
      <c r="CM278" s="2968"/>
      <c r="CN278" s="26"/>
      <c r="CO278" s="26"/>
      <c r="CP278" s="26"/>
      <c r="CQ278" s="26"/>
      <c r="CR278" s="26"/>
      <c r="CS278" s="26"/>
      <c r="CT278" s="26"/>
      <c r="CU278" s="26"/>
    </row>
    <row r="279" spans="1:99" ht="15" customHeight="1" x14ac:dyDescent="0.25">
      <c r="A279" s="2"/>
      <c r="B279" s="85" t="s">
        <v>5298</v>
      </c>
      <c r="C279" s="1690"/>
      <c r="D279" s="2099">
        <f>IF(D267&lt;&gt;"",(LN(0.01)-D278)*D273^(2*IF(D208="Instantaneous",D$206,D$180)),0)</f>
        <v>0</v>
      </c>
      <c r="E279" s="83"/>
      <c r="F279" s="2099">
        <f>IF(F267&lt;&gt;"",(LN(0.01)-F278)*F273^(2*IF(F208="Instantaneous",F$206,F$180)),0)</f>
        <v>0</v>
      </c>
      <c r="G279" s="83"/>
      <c r="H279" s="2099">
        <f>IF(H267&lt;&gt;"",(LN(0.01)-H278)*H273^(2*IF(H208="Instantaneous",H$206,H$180)),0)</f>
        <v>0</v>
      </c>
      <c r="I279" s="83"/>
      <c r="J279" s="2099">
        <f>IF(J267&lt;&gt;"",(LN(0.01)-J278)*J273^(2*IF(J208="Instantaneous",J$206,J$180)),0)</f>
        <v>0</v>
      </c>
      <c r="K279" s="83"/>
      <c r="L279" s="2099">
        <f>IF(L267&lt;&gt;"",(LN(0.01)-L278)*L273^(2*IF(L208="Instantaneous",L$206,L$180)),0)</f>
        <v>0</v>
      </c>
      <c r="M279" s="83"/>
      <c r="N279" s="2099">
        <f>IF(N267&lt;&gt;"",(LN(0.01)-N278)*N273^(2*IF(N208="Instantaneous",N$206,N$180)),0)</f>
        <v>0</v>
      </c>
      <c r="O279" s="83"/>
      <c r="P279" s="2099">
        <f>IF(P267&lt;&gt;"",(LN(0.01)-P278)*P273^(2*IF(P208="Instantaneous",P$206,P$180)),0)</f>
        <v>0</v>
      </c>
      <c r="Q279" s="83"/>
      <c r="R279" s="2099">
        <f>IF(R267&lt;&gt;"",(LN(0.01)-R278)*R273^(2*IF(R208="Instantaneous",R$206,R$180)),0)</f>
        <v>0</v>
      </c>
      <c r="S279" s="83"/>
      <c r="T279" s="2099">
        <f>IF(T267&lt;&gt;"",(LN(0.01)-T278)*T273^(2*IF(T208="Instantaneous",T$206,T$180)),0)</f>
        <v>0</v>
      </c>
      <c r="U279" s="83"/>
      <c r="V279" s="2099">
        <f>IF(V267&lt;&gt;"",(LN(0.01)-V278)*V273^(2*IF(V208="Instantaneous",V$206,V$180)),0)</f>
        <v>0</v>
      </c>
      <c r="W279" s="83"/>
      <c r="X279" s="2099">
        <f>IF(X267&lt;&gt;"",(LN(0.01)-X278)*X273^(2*IF(X208="Instantaneous",X$206,X$180)),0)</f>
        <v>0</v>
      </c>
      <c r="Y279" s="1690"/>
      <c r="Z279" s="1691"/>
      <c r="AA279" s="83"/>
      <c r="AB279" s="81"/>
      <c r="AC279" s="846" t="str">
        <f>B266</f>
        <v/>
      </c>
      <c r="AD279" s="81"/>
      <c r="AE279" s="2091">
        <f>IF(AND(AE$231&gt;0,LC1_5&gt;0),AE$231/(LC1_5/AE$223^(1/Pn_5)),0)</f>
        <v>0</v>
      </c>
      <c r="AF279" s="81"/>
      <c r="AG279" s="2091">
        <f>IF(AND(AG$231&gt;0,LC1_5&gt;0),AG$231/(LC1_5/AG$223^(1/Pn_5)),0)</f>
        <v>0</v>
      </c>
      <c r="AH279" s="81"/>
      <c r="AI279" s="2091">
        <f>IF(AND(AI$231&gt;0,LC1_5&gt;0),AI$231/(LC1_5/AI$223^(1/Pn_5)),0)</f>
        <v>0</v>
      </c>
      <c r="AJ279" s="81"/>
      <c r="AK279" s="2091">
        <f>IF(AND(AK$231&gt;0,LC1_5&gt;0),AK$231/(LC1_5/AK$223^(1/Pn_5)),0)</f>
        <v>0</v>
      </c>
      <c r="AL279" s="81"/>
      <c r="AM279" s="2091">
        <f>IF(AND(AM$231&gt;0,LC1_5&gt;0),AM$231/(LC1_5/AM$223^(1/Pn_5)),0)</f>
        <v>0</v>
      </c>
      <c r="AN279" s="81"/>
      <c r="AO279" s="2091">
        <f>IF(AND(AO$231&gt;0,LC1HT_5&gt;0),AO$231/(LC1HT_5/AO$223^(1/PnHT_5)),0)</f>
        <v>0</v>
      </c>
      <c r="AP279" s="81"/>
      <c r="AQ279" s="85"/>
      <c r="AR279" s="81"/>
      <c r="AS279" s="83"/>
      <c r="AT279" s="92" t="s">
        <v>4494</v>
      </c>
      <c r="AU279" s="83"/>
      <c r="AV279" s="3034">
        <f>IF(AND(AV82&gt;0,AV222&lt;&gt;""),IF(Location="Indoors",IF(AV299&lt;=AV222,0,AV$124*((IF(Enclosed_Ventilation_Rate&gt;1,Enclosed_Ventilation_Rate,1)*Enclosed_Process_Volume*AV82*AV299/88020000000)*1000000*(1/AV222-1/AV299)/(AV82*Wind))^AV$125),IF(1000000/AV222&lt;=1/AV83,0,IF(AV153="Instantaneous",AV$150*((AV67/AV82)*(1000000/AV222))^AV$151-AV$152,AV$124*(AV73*(1000000/AV222)/(AV82*Wind))^AV$125-AV$126))),0)</f>
        <v>0</v>
      </c>
      <c r="AW279" s="83"/>
      <c r="AX279" s="3034">
        <f>IF(AND(AX82&gt;0,AX222&lt;&gt;""),IF(Location="Indoors",IF(AX299&lt;=AX222,0,AX$124*((IF(Enclosed_Ventilation_Rate&gt;1,Enclosed_Ventilation_Rate,1)*Enclosed_Process_Volume*AX82*AX299/88020000000)*1000000*(1/AX222-1/AX299)/(AX82*Wind))^AX$125),IF(1000000/AX222&lt;=1/AX83,0,IF(AX153="Instantaneous",AX$150*((AX67/AX82)*(1000000/AX222))^AX$151-AX$152,AX$124*(AX73*(1000000/AX222)/(AX82*Wind))^AX$125-AX$126))),0)</f>
        <v>0</v>
      </c>
      <c r="AY279" s="83"/>
      <c r="AZ279" s="3034">
        <f>IF(AND(AZ82&gt;0,AZ222&lt;&gt;""),IF(Location="Indoors",IF(AZ299&lt;=AZ222,0,AZ$124*((IF(Enclosed_Ventilation_Rate&gt;1,Enclosed_Ventilation_Rate,1)*Enclosed_Process_Volume*AZ82*AZ299/88020000000)*1000000*(1/AZ222-1/AZ299)/(AZ82*Wind))^AZ$125),IF(1000000/AZ222&lt;=1/AZ83,0,IF(AZ153="Instantaneous",AZ$150*((AZ67/AZ82)*(1000000/AZ222))^AZ$151-AZ$152,AZ$124*(AZ73*(1000000/AZ222)/(AZ82*Wind))^AZ$125-AZ$126))),0)</f>
        <v>0</v>
      </c>
      <c r="BA279" s="83"/>
      <c r="BB279" s="3034">
        <f>IF(AND(BB82&gt;0,BB222&lt;&gt;""),IF(Location="Indoors",IF(BB299&lt;=BB222,0,BB$124*((IF(Enclosed_Ventilation_Rate&gt;1,Enclosed_Ventilation_Rate,1)*Enclosed_Process_Volume*BB82*BB299/88020000000)*1000000*(1/BB222-1/BB299)/(BB82*Wind))^BB$125),IF(1000000/BB222&lt;=1/BB83,0,IF(BB153="Instantaneous",BB$150*((BB67/BB82)*(1000000/BB222))^BB$151-BB$152,BB$124*(BB73*(1000000/BB222)/(BB82*Wind))^BB$125-BB$126))),0)</f>
        <v>0</v>
      </c>
      <c r="BC279" s="83"/>
      <c r="BD279" s="3034">
        <f>IF(AND(BD82&gt;0,BD222&lt;&gt;""),IF(Location="Indoors",IF(BD299&lt;=BD222,0,BD$124*((IF(Enclosed_Ventilation_Rate&gt;1,Enclosed_Ventilation_Rate,1)*Enclosed_Process_Volume*BD82*BD299/88020000000)*1000000*(1/BD222-1/BD299)/(BD82*Wind))^BD$125),IF(1000000/BD222&lt;=1/BD83,0,IF(BD153="Instantaneous",BD$150*((BD67/BD82)*(1000000/BD222))^BD$151-BD$152,BD$124*(BD73*(1000000/BD222)/(BD82*Wind))^BD$125-BD$126))),0)</f>
        <v>0</v>
      </c>
      <c r="BE279" s="83"/>
      <c r="BF279" s="3034">
        <f>IF(AND(BF82&gt;0,BF222&lt;&gt;""),IF(Location="Indoors",IF(BF299&lt;=BF222,0,BF$124*((IF(Enclosed_Ventilation_Rate&gt;1,Enclosed_Ventilation_Rate,1)*Enclosed_Process_Volume*BF82*BF299/88020000000)*1000000*(1/BF222-1/BF299)/(BF82*Wind))^BF$125),IF(1000000/BF222&lt;=1/BF83,0,IF(BF153="Instantaneous",BF$150*((BF67/BF82)*(1000000/BF222))^BF$151-BF$152,BF$124*(BF73*(1000000/BF222)/(BF82*Wind))^BF$125-BF$126))),0)</f>
        <v>0</v>
      </c>
      <c r="BG279" s="83"/>
      <c r="BH279" s="3034">
        <f>IF(AND(BH82&gt;0,BH222&lt;&gt;""),IF(Location="Indoors",IF(BH299&lt;=BH222,0,BH$124*((IF(Enclosed_Ventilation_Rate&gt;1,Enclosed_Ventilation_Rate,1)*Enclosed_Process_Volume*BH82*BH299/88020000000)*1000000*(1/BH222-1/BH299)/(BH82*Wind))^BH$125),IF(1000000/BH222&lt;=1/BH83,0,IF(BH153="Instantaneous",BH$150*((BH67/BH82)*(1000000/BH222))^BH$151-BH$152,BH$124*(BH73*(1000000/BH222)/(BH82*Wind))^BH$125-BH$126))),0)</f>
        <v>0</v>
      </c>
      <c r="BI279" s="83"/>
      <c r="BJ279" s="3034">
        <f>IF(AND(BJ82&gt;0,BJ222&lt;&gt;""),IF(Location="Indoors",IF(BJ299&lt;=BJ222,0,BJ$124*((IF(Enclosed_Ventilation_Rate&gt;1,Enclosed_Ventilation_Rate,1)*Enclosed_Process_Volume*BJ82*BJ299/88020000000)*1000000*(1/BJ222-1/BJ299)/(BJ82*Wind))^BJ$125),IF(1000000/BJ222&lt;=1/BJ83,0,IF(BJ153="Instantaneous",BJ$150*((BJ67/BJ82)*(1000000/BJ222))^BJ$151-BJ$152,BJ$124*(BJ73*(1000000/BJ222)/(BJ82*Wind))^BJ$125-BJ$126))),0)</f>
        <v>0</v>
      </c>
      <c r="BK279" s="83"/>
      <c r="BL279" s="3034">
        <f>IF(AND(BL82&gt;0,BL222&lt;&gt;""),IF(Location="Indoors",IF(BL299&lt;=BL222,0,BL$124*((IF(Enclosed_Ventilation_Rate&gt;1,Enclosed_Ventilation_Rate,1)*Enclosed_Process_Volume*BL82*BL299/88020000000)*1000000*(1/BL222-1/BL299)/(BL82*Wind))^BL$125),IF(1000000/BL222&lt;=1/BL83,0,IF(BL153="Instantaneous",BL$150*((BL67/BL82)*(1000000/BL222))^BL$151-BL$152,BL$124*(BL73*(1000000/BL222)/(BL82*Wind))^BL$125-BL$126))),0)</f>
        <v>0</v>
      </c>
      <c r="BM279" s="83"/>
      <c r="BN279" s="3034">
        <f>IF(AND(BN82&gt;0,BN222&lt;&gt;""),IF(Location="Indoors",IF(BN299&lt;=BN222,0,BN$124*((IF(Enclosed_Ventilation_Rate&gt;1,Enclosed_Ventilation_Rate,1)*Enclosed_Process_Volume*BN82*BN299/88020000000)*1000000*(1/BN222-1/BN299)/(BN82*Wind))^BN$125),IF(1000000/BN222&lt;=1/BN83,0,IF(BN153="Instantaneous",BN$150*((BN67/BN82)*(1000000/BN222))^BN$151-BN$152,BN$124*(BN73*(1000000/BN222)/(BN82*Wind))^BN$125-BN$126))),0)</f>
        <v>0</v>
      </c>
      <c r="BO279" s="83"/>
      <c r="BP279" s="92" t="s">
        <v>1068</v>
      </c>
      <c r="BQ279" s="83"/>
      <c r="BR279" s="81"/>
      <c r="BS279" s="85" t="s">
        <v>5298</v>
      </c>
      <c r="BT279" s="81"/>
      <c r="BU279" s="3008">
        <f>IF(BU267&lt;&gt;"",(LN(0.01)-BU278)*BU273^(2*IF(BU208="Instantaneous",BU$206,BU$180)),0)</f>
        <v>0</v>
      </c>
      <c r="BV279" s="81"/>
      <c r="BW279" s="2099">
        <f>IF(BW267&lt;&gt;"",(LN(0.01)-BW278)*BW273^(2*IF(BW208="Instantaneous",BW$206,BW$180)),0)</f>
        <v>0</v>
      </c>
      <c r="BX279" s="81"/>
      <c r="BY279" s="2099">
        <f>IF(BY267&lt;&gt;"",(LN(0.01)-BY278)*BY273^(2*IF(BY208="Instantaneous",BY$206,BY$180)),0)</f>
        <v>0</v>
      </c>
      <c r="BZ279" s="81"/>
      <c r="CA279" s="2099">
        <f>IF(CA267&lt;&gt;"",(LN(0.01)-CA278)*CA273^(2*IF(CA208="Instantaneous",CA$206,CA$180)),0)</f>
        <v>0</v>
      </c>
      <c r="CB279" s="81"/>
      <c r="CC279" s="2099">
        <f>IF(CC267&lt;&gt;"",(LN(0.01)-CC278)*CC273^(2*IF(CC208="Instantaneous",CC$206,CC$180)),0)</f>
        <v>0</v>
      </c>
      <c r="CD279" s="81"/>
      <c r="CE279" s="85"/>
      <c r="CF279" s="81"/>
      <c r="CG279" s="2968"/>
      <c r="CH279" s="23" t="s">
        <v>5085</v>
      </c>
      <c r="CI279" s="2968"/>
      <c r="CJ279" s="1289">
        <f>LN(0.02)</f>
        <v>-3.912023005428146</v>
      </c>
      <c r="CK279" s="2968"/>
      <c r="CL279" s="2968"/>
      <c r="CM279" s="2968"/>
      <c r="CN279" s="26"/>
      <c r="CO279" s="26"/>
      <c r="CP279" s="26"/>
      <c r="CQ279" s="26"/>
      <c r="CR279" s="26"/>
      <c r="CS279" s="26"/>
      <c r="CT279" s="26"/>
      <c r="CU279" s="26"/>
    </row>
    <row r="280" spans="1:99" ht="15" customHeight="1" thickBot="1" x14ac:dyDescent="0.3">
      <c r="A280" s="2"/>
      <c r="B280" s="85" t="s">
        <v>3645</v>
      </c>
      <c r="C280" s="1692"/>
      <c r="D280" s="2099">
        <f>MIN(1000000,IF(D278&lt;&gt;"",IF(D278&gt;0,(-D279/D278)^(0.5/IF(D208="Instantaneous",D$206,D$180)),0),0))</f>
        <v>0</v>
      </c>
      <c r="E280" s="613"/>
      <c r="F280" s="2099">
        <f>MIN(1000000,IF(F278&lt;&gt;"",IF(F278&gt;0,(-F279/F278)^(0.5/IF(F208="Instantaneous",F$206,F$180)),0),0))</f>
        <v>0</v>
      </c>
      <c r="G280" s="613"/>
      <c r="H280" s="2099">
        <f>MIN(1000000,IF(H278&lt;&gt;"",IF(H278&gt;0,(-H279/H278)^(0.5/IF(H208="Instantaneous",H$206,H$180)),0),0))</f>
        <v>0</v>
      </c>
      <c r="I280" s="613"/>
      <c r="J280" s="2099">
        <f>MIN(1000000,IF(J278&lt;&gt;"",IF(J278&gt;0,(-J279/J278)^(0.5/IF(J208="Instantaneous",J$206,J$180)),0),0))</f>
        <v>0</v>
      </c>
      <c r="K280" s="613"/>
      <c r="L280" s="2099">
        <f>MIN(1000000,IF(L278&lt;&gt;"",IF(L278&gt;0,(-L279/L278)^(0.5/IF(L208="Instantaneous",L$206,L$180)),0),0))</f>
        <v>0</v>
      </c>
      <c r="M280" s="613"/>
      <c r="N280" s="2099">
        <f>MIN(1000000,IF(N278&lt;&gt;"",IF(N278&gt;0,(-N279/N278)^(0.5/IF(N208="Instantaneous",N$206,N$180)),0),0))</f>
        <v>0</v>
      </c>
      <c r="O280" s="613"/>
      <c r="P280" s="2099">
        <f>MIN(1000000,IF(P278&lt;&gt;"",IF(P278&gt;0,(-P279/P278)^(0.5/IF(P208="Instantaneous",P$206,P$180)),0),0))</f>
        <v>0</v>
      </c>
      <c r="Q280" s="613"/>
      <c r="R280" s="2099">
        <f>MIN(1000000,IF(R278&lt;&gt;"",IF(R278&gt;0,(-R279/R278)^(0.5/IF(R208="Instantaneous",R$206,R$180)),0),0))</f>
        <v>0</v>
      </c>
      <c r="S280" s="83"/>
      <c r="T280" s="2099">
        <f>MIN(1000000,IF(T278&lt;&gt;"",IF(T278&gt;0,(-T279/T278)^(0.5/IF(T208="Instantaneous",T$206,T$180)),0),0))</f>
        <v>0</v>
      </c>
      <c r="U280" s="613"/>
      <c r="V280" s="2099">
        <f>MIN(1000000,IF(V278&lt;&gt;"",IF(V278&gt;0,(-V279/V278)^(0.5/IF(V208="Instantaneous",V$206,V$180)),0),0))</f>
        <v>0</v>
      </c>
      <c r="W280" s="613"/>
      <c r="X280" s="2099">
        <f>MIN(1000000,IF(X278&lt;&gt;"",IF(X278&gt;0,(-X279/X278)^(0.5/IF(X208="Instantaneous",X$206,X$180)),0),0))</f>
        <v>0</v>
      </c>
      <c r="Y280" s="1692"/>
      <c r="Z280" s="85" t="s">
        <v>1506</v>
      </c>
      <c r="AA280" s="83"/>
      <c r="AB280" s="81"/>
      <c r="AC280" s="2586" t="s">
        <v>3512</v>
      </c>
      <c r="AD280" s="81"/>
      <c r="AE280" s="2101" t="str">
        <f>IF(AND(AE$223&gt;0,SUM(AE275:AE279)&gt;0),IF(1/SUM(AE275:AE279)&lt;1000000,1/SUM(AE275:AE279),1000000),"")</f>
        <v/>
      </c>
      <c r="AF280" s="81"/>
      <c r="AG280" s="2101" t="str">
        <f>IF(AND(AG$223&gt;0,SUM(AG275:AG279)&gt;0),IF(1/SUM(AG275:AG279)&lt;1000000,1/SUM(AG275:AG279),1000000),"")</f>
        <v/>
      </c>
      <c r="AH280" s="81"/>
      <c r="AI280" s="2101" t="str">
        <f>IF(AND(AI$223&gt;0,SUM(AI275:AI279)&gt;0),IF(1/SUM(AI275:AI279)&lt;1000000,1/SUM(AI275:AI279),1000000),"")</f>
        <v/>
      </c>
      <c r="AJ280" s="81"/>
      <c r="AK280" s="2101" t="str">
        <f>IF(AND(AK$223&gt;0,SUM(AK275:AK279)&gt;0),IF(1/SUM(AK275:AK279)&lt;1000000,1/SUM(AK275:AK279),1000000),"")</f>
        <v/>
      </c>
      <c r="AL280" s="81"/>
      <c r="AM280" s="2101" t="str">
        <f>IF(AND(AM$223&gt;0,SUM(AM275:AM279)&gt;0),IF(1/SUM(AM275:AM279)&lt;1000000,1/SUM(AM275:AM279),1000000),"")</f>
        <v/>
      </c>
      <c r="AN280" s="81"/>
      <c r="AO280" s="2101" t="str">
        <f>IF(AND(AO$223&gt;0,SUM(AO275:AO279)&gt;0),IF(1/SUM(AO275:AO279)&lt;1000000,1/SUM(AO275:AO279),1000000),"")</f>
        <v/>
      </c>
      <c r="AP280" s="81"/>
      <c r="AQ280" s="85" t="s">
        <v>1506</v>
      </c>
      <c r="AR280" s="81"/>
      <c r="AS280" s="83"/>
      <c r="AT280" s="85" t="s">
        <v>2687</v>
      </c>
      <c r="AU280" s="83"/>
      <c r="AV280" s="3009">
        <f>IF(AV73&gt;0,IF(AND(Location="Indoors",AV299&gt;0),1000000/(1000000/AV299+(Wind*AV82*(Public/AV$124)^(1/AV$125)/(IF(Enclosed_Ventilation_Rate&gt;1,Enclosed_Ventilation_Rate,1)*Enclosed_Process_Volume*AV82*AV299/88020000000))),IF(AV153="Instantaneous",AV97*1000000*(AV$67/AV$82)*(AV$150/(Public+AV$152))^(1/AV$151),AV97*1000000*(AV$73/(Wind*AV$82))*(AV$124/(Public+AV$126))^(1/AV$125))),0)</f>
        <v>0</v>
      </c>
      <c r="AW280" s="83"/>
      <c r="AX280" s="3009">
        <f>IF(AX73&gt;0,IF(AND(Location="Indoors",AX299&gt;0),1000000/(1000000/AX299+(Wind*AX82*(Public/AX$124)^(1/AX$125)/(IF(Enclosed_Ventilation_Rate&gt;1,Enclosed_Ventilation_Rate,1)*Enclosed_Process_Volume*AX82*AX299/88020000000))),IF(AX153="Instantaneous",AX97*1000000*(AX$67/AX$82)*(AX$150/(Public+AX$152))^(1/AX$151),AX97*1000000*(AX$73/(Wind*AX$82))*(AX$124/(Public+AX$126))^(1/AX$125))),0)</f>
        <v>0</v>
      </c>
      <c r="AY280" s="83"/>
      <c r="AZ280" s="3009">
        <f>IF(AZ73&gt;0,IF(AND(Location="Indoors",AZ299&gt;0),1000000/(1000000/AZ299+(Wind*AZ82*(Public/AZ$124)^(1/AZ$125)/(IF(Enclosed_Ventilation_Rate&gt;1,Enclosed_Ventilation_Rate,1)*Enclosed_Process_Volume*AZ82*AZ299/88020000000))),IF(AZ153="Instantaneous",AZ97*1000000*(AZ$67/AZ$82)*(AZ$150/(Public+AZ$152))^(1/AZ$151),AZ97*1000000*(AZ$73/(Wind*AZ$82))*(AZ$124/(Public+AZ$126))^(1/AZ$125))),0)</f>
        <v>0</v>
      </c>
      <c r="BA280" s="83"/>
      <c r="BB280" s="3009">
        <f>IF(BB73&gt;0,IF(AND(Location="Indoors",BB299&gt;0),1000000/(1000000/BB299+(Wind*BB82*(Public/BB$124)^(1/BB$125)/(IF(Enclosed_Ventilation_Rate&gt;1,Enclosed_Ventilation_Rate,1)*Enclosed_Process_Volume*BB82*BB299/88020000000))),IF(BB153="Instantaneous",BB97*1000000*(BB$67/BB$82)*(BB$150/(Public+BB$152))^(1/BB$151),BB97*1000000*(BB$73/(Wind*BB$82))*(BB$124/(Public+BB$126))^(1/BB$125))),0)</f>
        <v>0</v>
      </c>
      <c r="BC280" s="83"/>
      <c r="BD280" s="3009">
        <f>IF(BD73&gt;0,IF(AND(Location="Indoors",BD299&gt;0),1000000/(1000000/BD299+(Wind*BD82*(Public/BD$124)^(1/BD$125)/(IF(Enclosed_Ventilation_Rate&gt;1,Enclosed_Ventilation_Rate,1)*Enclosed_Process_Volume*BD82*BD299/88020000000))),IF(BD153="Instantaneous",BD97*1000000*(BD$67/BD$82)*(BD$150/(Public+BD$152))^(1/BD$151),BD97*1000000*(BD$73/(Wind*BD$82))*(BD$124/(Public+BD$126))^(1/BD$125))),0)</f>
        <v>0</v>
      </c>
      <c r="BE280" s="83"/>
      <c r="BF280" s="3009">
        <f>IF(BF73&gt;0,IF(AND(Location="Indoors",BF299&gt;0),1000000/(1000000/BF299+(Wind*BF82*(Public/BF$124)^(1/BF$125)/(IF(Enclosed_Ventilation_Rate&gt;1,Enclosed_Ventilation_Rate,1)*Enclosed_Process_Volume*BF82*BF299/88020000000))),IF(BF153="Instantaneous",BF97*1000000*(BF$67/BF$82)*(BF$150/(Public+BF$152))^(1/BF$151),BF97*1000000*(BF$73/(Wind*BF$82))*(BF$124/(Public+BF$126))^(1/BF$125))),0)</f>
        <v>0</v>
      </c>
      <c r="BG280" s="83"/>
      <c r="BH280" s="3009">
        <f>IF(BH73&gt;0,IF(AND(Location="Indoors",BH299&gt;0),1000000/(1000000/BH299+(Wind*BH82*(Public/BH$124)^(1/BH$125)/(IF(Enclosed_Ventilation_Rate&gt;1,Enclosed_Ventilation_Rate,1)*Enclosed_Process_Volume*BH82*BH299/88020000000))),IF(BH153="Instantaneous",BH97*1000000*(BH$67/BH$82)*(BH$150/(Public+BH$152))^(1/BH$151),BH97*1000000*(BH$73/(Wind*BH$82))*(BH$124/(Public+BH$126))^(1/BH$125))),0)</f>
        <v>0</v>
      </c>
      <c r="BI280" s="83"/>
      <c r="BJ280" s="3009">
        <f>IF(BJ73&gt;0,IF(AND(Location="Indoors",BJ299&gt;0),1000000/(1000000/BJ299+(Wind*BJ82*(Public/BJ$124)^(1/BJ$125)/(IF(Enclosed_Ventilation_Rate&gt;1,Enclosed_Ventilation_Rate,1)*Enclosed_Process_Volume*BJ82*BJ299/88020000000))),IF(BJ153="Instantaneous",BJ97*1000000*(BJ$67/BJ$82)*(BJ$150/(Public+BJ$152))^(1/BJ$151),BJ97*1000000*(BJ$73/(Wind*BJ$82))*(BJ$124/(Public+BJ$126))^(1/BJ$125))),0)</f>
        <v>0</v>
      </c>
      <c r="BK280" s="83"/>
      <c r="BL280" s="3009">
        <f>IF(BL73&gt;0,IF(AND(Location="Indoors",BL299&gt;0),1000000/(1000000/BL299+(Wind*BL82*(Public/BL$124)^(1/BL$125)/(IF(Enclosed_Ventilation_Rate&gt;1,Enclosed_Ventilation_Rate,1)*Enclosed_Process_Volume*BL82*BL299/88020000000))),IF(BL153="Instantaneous",BL97*1000000*(BL$67/BL$82)*(BL$150/(Public+BL$152))^(1/BL$151),BL97*1000000*(BL$73/(Wind*BL$82))*(BL$124/(Public+BL$126))^(1/BL$125))),0)</f>
        <v>0</v>
      </c>
      <c r="BM280" s="83"/>
      <c r="BN280" s="3009">
        <f>IF(BN73&gt;0,IF(AND(Location="Indoors",BN299&gt;0),1000000/(1000000/BN299+(Wind*BN82*(Public/BN$124)^(1/BN$125)/(IF(Enclosed_Ventilation_Rate&gt;1,Enclosed_Ventilation_Rate,1)*Enclosed_Process_Volume*BN82*BN299/88020000000))),IF(BN153="Instantaneous",BN97*1000000*(BN$67/BN$82)*(BN$150/(Public+BN$152))^(1/BN$151),BN97*1000000*(BN$73/(Wind*BN$82))*(BN$124/(Public+BN$126))^(1/BN$125))),0)</f>
        <v>0</v>
      </c>
      <c r="BO280" s="83"/>
      <c r="BP280" s="85" t="s">
        <v>1506</v>
      </c>
      <c r="BQ280" s="83"/>
      <c r="BR280" s="81"/>
      <c r="BS280" s="85" t="s">
        <v>3645</v>
      </c>
      <c r="BT280" s="81"/>
      <c r="BU280" s="2099">
        <f>MIN(1000000,IF(BU278&lt;&gt;"",IF(BU278&gt;0,(-BU279/BU278)^(0.5/IF(BU208="Instantaneous",BU$206,BU$180)),0),0))</f>
        <v>0</v>
      </c>
      <c r="BV280" s="81"/>
      <c r="BW280" s="2099">
        <f>MIN(1000000,IF(BW278&lt;&gt;"",IF(BW278&gt;0,(-BW279/BW278)^(0.5/IF(BW208="Instantaneous",BW$206,BW$180)),0),0))</f>
        <v>0</v>
      </c>
      <c r="BX280" s="81"/>
      <c r="BY280" s="2099">
        <f>MIN(1000000,IF(BY278&lt;&gt;"",IF(BY278&gt;0,(-BY279/BY278)^(0.5/IF(BY208="Instantaneous",BY$206,BY$180)),0),0))</f>
        <v>0</v>
      </c>
      <c r="BZ280" s="81"/>
      <c r="CA280" s="2099">
        <f>MIN(1000000,IF(CA278&lt;&gt;"",IF(CA278&gt;0,(-CA279/CA278)^(0.5/IF(CA208="Instantaneous",CA$206,CA$180)),0),0))</f>
        <v>0</v>
      </c>
      <c r="CB280" s="81"/>
      <c r="CC280" s="2099">
        <f>MIN(1000000,IF(CC278&lt;&gt;"",IF(CC278&gt;0,(-CC279/CC278)^(0.5/IF(CC208="Instantaneous",CC$206,CC$180)),0),0))</f>
        <v>0</v>
      </c>
      <c r="CD280" s="81"/>
      <c r="CE280" s="25" t="s">
        <v>1506</v>
      </c>
      <c r="CF280" s="81"/>
      <c r="CG280" s="2968"/>
      <c r="CH280" s="23" t="s">
        <v>5082</v>
      </c>
      <c r="CI280" s="2968"/>
      <c r="CJ280" s="1289">
        <f>LN(0.01)</f>
        <v>-4.6051701859880909</v>
      </c>
      <c r="CK280" s="2968"/>
      <c r="CL280" s="2968"/>
      <c r="CM280" s="2968"/>
      <c r="CN280" s="26"/>
      <c r="CO280" s="26"/>
      <c r="CP280" s="26"/>
      <c r="CQ280" s="26"/>
      <c r="CR280" s="26"/>
      <c r="CS280" s="26"/>
      <c r="CT280" s="26"/>
      <c r="CU280" s="26"/>
    </row>
    <row r="281" spans="1:99" ht="15" customHeight="1" thickBot="1" x14ac:dyDescent="0.3">
      <c r="A281" s="2"/>
      <c r="B281" s="119" t="s">
        <v>2681</v>
      </c>
      <c r="C281" s="83"/>
      <c r="D281" s="2102">
        <f>Location</f>
        <v>0</v>
      </c>
      <c r="E281" s="83"/>
      <c r="F281" s="2102">
        <f>Location</f>
        <v>0</v>
      </c>
      <c r="G281" s="83"/>
      <c r="H281" s="2102">
        <f>Location</f>
        <v>0</v>
      </c>
      <c r="I281" s="83"/>
      <c r="J281" s="2102">
        <f>Location</f>
        <v>0</v>
      </c>
      <c r="K281" s="83"/>
      <c r="L281" s="2102">
        <f>Location</f>
        <v>0</v>
      </c>
      <c r="M281" s="83"/>
      <c r="N281" s="2102">
        <f>Location</f>
        <v>0</v>
      </c>
      <c r="O281" s="83"/>
      <c r="P281" s="2102">
        <f>Location</f>
        <v>0</v>
      </c>
      <c r="Q281" s="83"/>
      <c r="R281" s="2102">
        <f>Location</f>
        <v>0</v>
      </c>
      <c r="S281" s="83"/>
      <c r="T281" s="2102">
        <f>Location</f>
        <v>0</v>
      </c>
      <c r="U281" s="612"/>
      <c r="V281" s="2102">
        <f>Location</f>
        <v>0</v>
      </c>
      <c r="W281" s="83"/>
      <c r="X281" s="2102">
        <f>Location</f>
        <v>0</v>
      </c>
      <c r="Y281" s="83"/>
      <c r="Z281" s="92"/>
      <c r="AA281" s="83"/>
      <c r="AB281" s="81"/>
      <c r="AC281" s="851" t="str">
        <f>B268</f>
        <v/>
      </c>
      <c r="AD281" s="81"/>
      <c r="AE281" s="2091">
        <f>IF(AND(AE$227&gt;0,LC1_1&gt;0),AE$227/(LC1_1/AE$224^(1/Pn_1)),0)</f>
        <v>0</v>
      </c>
      <c r="AF281" s="81"/>
      <c r="AG281" s="2091">
        <f>IF(AND(AG$227&gt;0,LC1_1&gt;0),AG$227/(LC1_1/AG$224^(1/Pn_1)),0)</f>
        <v>0</v>
      </c>
      <c r="AH281" s="81"/>
      <c r="AI281" s="2091">
        <f>IF(AND(AI$227&gt;0,LC1_1&gt;0),AI$227/(LC1_1/AI$224^(1/Pn_1)),0)</f>
        <v>0</v>
      </c>
      <c r="AJ281" s="81"/>
      <c r="AK281" s="2091">
        <f>IF(AND(AK$227&gt;0,LC1_1&gt;0),AK$227/(LC1_1/AK$224^(1/Pn_1)),0)</f>
        <v>0</v>
      </c>
      <c r="AL281" s="81"/>
      <c r="AM281" s="2091">
        <f>IF(AND(AM$227&gt;0,LC1_1&gt;0),AM$227/(LC1_1/AM$224^(1/Pn_1)),0)</f>
        <v>0</v>
      </c>
      <c r="AN281" s="81"/>
      <c r="AO281" s="2091">
        <f>IF(AND(AO$227&gt;0,LC1HT_1&gt;0),AO$227/(LC1HT_1/AO$224^(1/PnHT_1)),0)</f>
        <v>0</v>
      </c>
      <c r="AP281" s="81"/>
      <c r="AQ281" s="85"/>
      <c r="AR281" s="81"/>
      <c r="AS281" s="83"/>
      <c r="AT281" s="85" t="s">
        <v>4495</v>
      </c>
      <c r="AU281" s="83"/>
      <c r="AV281" s="1209" t="str">
        <f>IF(Public&gt;0.1,IF(AV279&gt;Public,"Yes","No"),"")</f>
        <v/>
      </c>
      <c r="AW281" s="83"/>
      <c r="AX281" s="1209" t="str">
        <f>IF(Public&gt;0.1,IF(AX279&gt;Public,"Yes","No"),"")</f>
        <v/>
      </c>
      <c r="AY281" s="83"/>
      <c r="AZ281" s="1209" t="str">
        <f>IF(Public&gt;0.1,IF(AZ279&gt;Public,"Yes","No"),"")</f>
        <v/>
      </c>
      <c r="BA281" s="83"/>
      <c r="BB281" s="1209" t="str">
        <f>IF(Public&gt;0.1,IF(BB279&gt;Public,"Yes","No"),"")</f>
        <v/>
      </c>
      <c r="BC281" s="83"/>
      <c r="BD281" s="1209" t="str">
        <f>IF(Public&gt;0.1,IF(BD279&gt;Public,"Yes","No"),"")</f>
        <v/>
      </c>
      <c r="BE281" s="83"/>
      <c r="BF281" s="1209" t="str">
        <f>IF(Public&gt;0.1,IF(BF279&gt;Public,"Yes","No"),"")</f>
        <v/>
      </c>
      <c r="BG281" s="83"/>
      <c r="BH281" s="1209" t="str">
        <f>IF(Public&gt;0.1,IF(BH279&gt;Public,"Yes","No"),"")</f>
        <v/>
      </c>
      <c r="BI281" s="83"/>
      <c r="BJ281" s="1209" t="str">
        <f>IF(Public&gt;0.1,IF(BJ279&gt;Public,"Yes","No"),"")</f>
        <v/>
      </c>
      <c r="BK281" s="83"/>
      <c r="BL281" s="1209" t="str">
        <f>IF(Public&gt;0.1,IF(BL279&gt;Public,"Yes","No"),"")</f>
        <v/>
      </c>
      <c r="BM281" s="83"/>
      <c r="BN281" s="1209" t="str">
        <f>IF(Public&gt;0.1,IF(BN279&gt;Public,"Yes","No"),"")</f>
        <v/>
      </c>
      <c r="BO281" s="83"/>
      <c r="BP281" s="85"/>
      <c r="BQ281" s="83"/>
      <c r="BR281" s="81"/>
      <c r="BS281" s="92" t="s">
        <v>2681</v>
      </c>
      <c r="BT281" s="81"/>
      <c r="BU281" s="2102">
        <f>Location</f>
        <v>0</v>
      </c>
      <c r="BV281" s="81"/>
      <c r="BW281" s="2102">
        <f>Location</f>
        <v>0</v>
      </c>
      <c r="BX281" s="81"/>
      <c r="BY281" s="2102">
        <f>Location</f>
        <v>0</v>
      </c>
      <c r="BZ281" s="81"/>
      <c r="CA281" s="2102">
        <f>Location</f>
        <v>0</v>
      </c>
      <c r="CB281" s="81"/>
      <c r="CC281" s="2102">
        <f>Location</f>
        <v>0</v>
      </c>
      <c r="CD281" s="81"/>
      <c r="CE281" s="85"/>
      <c r="CF281" s="81"/>
      <c r="CG281" s="2968"/>
      <c r="CH281" s="23" t="s">
        <v>5087</v>
      </c>
      <c r="CI281" s="2968"/>
      <c r="CJ281" s="1289">
        <f>LN(0.005)</f>
        <v>-5.2983173665480363</v>
      </c>
      <c r="CK281" s="2968"/>
      <c r="CL281" s="2968"/>
      <c r="CM281" s="2968"/>
      <c r="CN281" s="26"/>
      <c r="CO281" s="26"/>
      <c r="CP281" s="26"/>
      <c r="CQ281" s="26"/>
      <c r="CR281" s="26"/>
      <c r="CS281" s="26"/>
      <c r="CT281" s="26"/>
      <c r="CU281" s="26"/>
    </row>
    <row r="282" spans="1:99" ht="15" customHeight="1" x14ac:dyDescent="0.25">
      <c r="A282" s="2"/>
      <c r="B282" s="85" t="s">
        <v>4494</v>
      </c>
      <c r="C282" s="83"/>
      <c r="D282" s="2589">
        <f>IF(AND(D98&gt;0,D225&lt;&gt;""),IF(Location="Indoors",IF(D301&lt;=D225,0,D$127*((IF(Enclosed_Ventilation_Rate&gt;1,Enclosed_Ventilation_Rate,1)*Enclosed_Process_Volume*D98*D301/88020000000)*1000000*(1/D225-1/D301)/(D98*Wind))^D$128),IF(1000000/D225&lt;=1/D99,0,IF(D156="Instantaneous",D$153*((D83/D98)*(1000000/D225))^D$154-D$155,D$127*(D89*(1000000/D225)/(D98*Wind))^D$128-D$129))),0)</f>
        <v>0</v>
      </c>
      <c r="E282" s="83"/>
      <c r="F282" s="2589">
        <f>IF(AND(F98&gt;0,F225&lt;&gt;""),IF(Location="Indoors",IF(F301&lt;=F225,0,F$127*((IF(Enclosed_Ventilation_Rate&gt;1,Enclosed_Ventilation_Rate,1)*Enclosed_Process_Volume*F98*F301/88020000000)*1000000*(1/F225-1/F301)/(F98*Wind))^F$128),IF(1000000/F225&lt;=1/F99,0,IF(F156="Instantaneous",F$153*((F83/F98)*(1000000/F225))^F$154-F$155,F$127*(F89*(1000000/F225)/(F98*Wind))^F$128-F$129))),0)</f>
        <v>0</v>
      </c>
      <c r="G282" s="83"/>
      <c r="H282" s="2589">
        <f>IF(AND(H98&gt;0,H225&lt;&gt;""),IF(Location="Indoors",IF(H301&lt;=H225,0,H$127*((IF(Enclosed_Ventilation_Rate&gt;1,Enclosed_Ventilation_Rate,1)*Enclosed_Process_Volume*H98*H301/88020000000)*1000000*(1/H225-1/H301)/(H98*Wind))^H$128),IF(1000000/H225&lt;=1/H99,0,IF(H156="Instantaneous",H$153*((H83/H98)*(1000000/H225))^H$154-H$155,H$127*(H89*(1000000/H225)/(H98*Wind))^H$128-H$129))),0)</f>
        <v>0</v>
      </c>
      <c r="I282" s="83"/>
      <c r="J282" s="2589">
        <f>IF(AND(J98&gt;0,J225&lt;&gt;""),IF(Location="Indoors",IF(J301&lt;=J225,0,J$127*((IF(Enclosed_Ventilation_Rate&gt;1,Enclosed_Ventilation_Rate,1)*Enclosed_Process_Volume*J98*J301/88020000000)*1000000*(1/J225-1/J301)/(J98*Wind))^J$128),IF(1000000/J225&lt;=1/J99,0,IF(J156="Instantaneous",J$153*((J83/J98)*(1000000/J225))^J$154-J$155,J$127*(J89*(1000000/J225)/(J98*Wind))^J$128-J$129))),0)</f>
        <v>0</v>
      </c>
      <c r="K282" s="83"/>
      <c r="L282" s="2589">
        <f>IF(AND(L98&gt;0,L225&lt;&gt;""),IF(Location="Indoors",IF(L301&lt;=L225,0,L$127*((IF(Enclosed_Ventilation_Rate&gt;1,Enclosed_Ventilation_Rate,1)*Enclosed_Process_Volume*L98*L301/88020000000)*1000000*(1/L225-1/L301)/(L98*Wind))^L$128),IF(1000000/L225&lt;=1/L99,0,IF(L156="Instantaneous",L$153*((L83/L98)*(1000000/L225))^L$154-L$155,L$127*(L89*(1000000/L225)/(L98*Wind))^L$128-L$129))),0)</f>
        <v>0</v>
      </c>
      <c r="M282" s="83"/>
      <c r="N282" s="2589">
        <f>IF(AND(N98&gt;0,N225&lt;&gt;""),IF(Location="Indoors",IF(N301&lt;=N225,0,N$127*((IF(Enclosed_Ventilation_Rate&gt;1,Enclosed_Ventilation_Rate,1)*Enclosed_Process_Volume*N98*N301/88020000000)*1000000*(1/N225-1/N301)/(N98*Wind))^N$128),IF(1000000/N225&lt;=1/N99,0,IF(N156="Instantaneous",N$153*((N83/N98)*(1000000/N225))^N$154-N$155,N$127*(N89*(1000000/N225)/(N98*Wind))^N$128-N$129))),0)</f>
        <v>0</v>
      </c>
      <c r="O282" s="83"/>
      <c r="P282" s="2589">
        <f>IF(AND(P98&gt;0,P225&lt;&gt;""),IF(Location="Indoors",IF(P301&lt;=P225,0,P$127*((IF(Enclosed_Ventilation_Rate&gt;1,Enclosed_Ventilation_Rate,1)*Enclosed_Process_Volume*P98*P301/88020000000)*1000000*(1/P225-1/P301)/(P98*Wind))^P$128),IF(1000000/P225&lt;=1/P99,0,IF(P156="Instantaneous",P$153*((P83/P98)*(1000000/P225))^P$154-P$155,P$127*(P89*(1000000/P225)/(P98*Wind))^P$128-P$129))),0)</f>
        <v>0</v>
      </c>
      <c r="Q282" s="83"/>
      <c r="R282" s="2589">
        <f>IF(AND(R98&gt;0,R225&lt;&gt;""),IF(Location="Indoors",IF(R301&lt;=R225,0,R$127*((IF(Enclosed_Ventilation_Rate&gt;1,Enclosed_Ventilation_Rate,1)*Enclosed_Process_Volume*R98*R301/88020000000)*1000000*(1/R225-1/R301)/(R98*Wind))^R$128),IF(1000000/R225&lt;=1/R99,0,IF(R156="Instantaneous",R$153*((R83/R98)*(1000000/R225))^R$154-R$155,R$127*(R89*(1000000/R225)/(R98*Wind))^R$128-R$129))),0)</f>
        <v>0</v>
      </c>
      <c r="S282" s="83"/>
      <c r="T282" s="2589">
        <f>IF(AND(T98&gt;0,T225&lt;&gt;""),IF(Location="Indoors",IF(T301&lt;=T225,0,T$127*((IF(Enclosed_Ventilation_Rate&gt;1,Enclosed_Ventilation_Rate,1)*Enclosed_Process_Volume*T98*T301/88020000000)*1000000*(1/T225-1/T301)/(T98*Wind))^T$128),IF(1000000/T225&lt;=1/T99,0,IF(T156="Instantaneous",T$153*((T83/T98)*(1000000/T225))^T$154-T$155,T$127*(T89*(1000000/T225)/(T98*Wind))^T$128-T$129))),0)</f>
        <v>0</v>
      </c>
      <c r="U282" s="83"/>
      <c r="V282" s="2589">
        <f>IF(AND(V98&gt;0,V225&lt;&gt;""),IF(Location="Indoors",IF(V301&lt;=V225,0,V$127*((IF(Enclosed_Ventilation_Rate&gt;1,Enclosed_Ventilation_Rate,1)*Enclosed_Process_Volume*V98*V301/88020000000)*1000000*(1/V225-1/V301)/(V98*Wind))^V$128),IF(1000000/V225&lt;=1/V99,0,IF(V156="Instantaneous",V$153*((V83/V98)*(1000000/V225))^V$154-V$155,V$127*(V89*(1000000/V225)/(V98*Wind))^V$128-V$129))),0)</f>
        <v>0</v>
      </c>
      <c r="W282" s="83"/>
      <c r="X282" s="2589">
        <f>IF(AND(X98&gt;0,X225&lt;&gt;""),IF(Location="Indoors",IF(X301&lt;=X225,0,X$127*((IF(Enclosed_Ventilation_Rate&gt;1,Enclosed_Ventilation_Rate,1)*Enclosed_Process_Volume*X98*X301/88020000000)*1000000*(1/X225-1/X301)/(X98*Wind))^X$128),IF(1000000/X225&lt;=1/X99,0,IF(X156="Instantaneous",X$153*((X83/X98)*(1000000/X225))^X$154-X$155,X$127*(X89*(1000000/X225)/(X98*Wind))^X$128-X$129))),0)</f>
        <v>0</v>
      </c>
      <c r="Y282" s="83"/>
      <c r="Z282" s="85" t="s">
        <v>1068</v>
      </c>
      <c r="AA282" s="83"/>
      <c r="AB282" s="81"/>
      <c r="AC282" s="851" t="str">
        <f>B269</f>
        <v/>
      </c>
      <c r="AD282" s="81"/>
      <c r="AE282" s="2091">
        <f>IF(AND(AE$228&gt;0,LC1_2&gt;0),AE$228/(LC1_2/AE$224^(1/Pn_2)),0)</f>
        <v>0</v>
      </c>
      <c r="AF282" s="81"/>
      <c r="AG282" s="2091">
        <f>IF(AND(AG$228&gt;0,LC1_2&gt;0),AG$228/(LC1_2/AG$224^(1/Pn_2)),0)</f>
        <v>0</v>
      </c>
      <c r="AH282" s="81"/>
      <c r="AI282" s="2091">
        <f>IF(AND(AI$228&gt;0,LC1_2&gt;0),AI$228/(LC1_2/AI$224^(1/Pn_2)),0)</f>
        <v>0</v>
      </c>
      <c r="AJ282" s="81"/>
      <c r="AK282" s="2091">
        <f>IF(AND(AK$228&gt;0,LC1_2&gt;0),AK$228/(LC1_2/AK$224^(1/Pn_2)),0)</f>
        <v>0</v>
      </c>
      <c r="AL282" s="81"/>
      <c r="AM282" s="2091">
        <f>IF(AND(AM$228&gt;0,LC1_2&gt;0),AM$228/(LC1_2/AM$224^(1/Pn_2)),0)</f>
        <v>0</v>
      </c>
      <c r="AN282" s="81"/>
      <c r="AO282" s="2091">
        <f>IF(AND(AO$228&gt;0,LC1HT_2&gt;0),AO$228/(LC1HT_2/AO$224^(1/PnHT_2)),0)</f>
        <v>0</v>
      </c>
      <c r="AP282" s="81"/>
      <c r="AQ282" s="85"/>
      <c r="AR282" s="81"/>
      <c r="AS282" s="83"/>
      <c r="AT282" s="85" t="s">
        <v>4496</v>
      </c>
      <c r="AU282" s="83"/>
      <c r="AV282" s="1693">
        <f>IF(AND(AV82&gt;0,AV228&lt;&gt;""),IF(Location="Indoors",IF(AV299&lt;=AV228,0,AV$124*((IF(Enclosed_Ventilation_Rate&gt;1,Enclosed_Ventilation_Rate,1)*Enclosed_Process_Volume*AV82*AV299/88020000000)*1000000*(1/AV228-1/AV299)/(AV82*Wind))^AV$125),IF(1000000/AV228&lt;=1/AV83,0,IF(AV153="Instantaneous",AV$150*((AV67/AV82)*(1000000/AV228))^AV$151-AV$152,AV$124*(AV73*(1000000/AV228)/(AV82*Wind))^AV$125-AV$126))),0)</f>
        <v>0</v>
      </c>
      <c r="AW282" s="83"/>
      <c r="AX282" s="1693">
        <f>IF(AND(AX82&gt;0,AX228&lt;&gt;""),IF(Location="Indoors",IF(AX299&lt;=AX228,0,AX$124*((IF(Enclosed_Ventilation_Rate&gt;1,Enclosed_Ventilation_Rate,1)*Enclosed_Process_Volume*AX82*AX299/88020000000)*1000000*(1/AX228-1/AX299)/(AX82*Wind))^AX$125),IF(1000000/AX228&lt;=1/AX83,0,IF(AX153="Instantaneous",AX$150*((AX67/AX82)*(1000000/AX228))^AX$151-AX$152,AX$124*(AX73*(1000000/AX228)/(AX82*Wind))^AX$125-AX$126))),0)</f>
        <v>0</v>
      </c>
      <c r="AY282" s="83"/>
      <c r="AZ282" s="1693">
        <f>IF(AND(AZ82&gt;0,AZ228&lt;&gt;""),IF(Location="Indoors",IF(AZ299&lt;=AZ228,0,AZ$124*((IF(Enclosed_Ventilation_Rate&gt;1,Enclosed_Ventilation_Rate,1)*Enclosed_Process_Volume*AZ82*AZ299/88020000000)*1000000*(1/AZ228-1/AZ299)/(AZ82*Wind))^AZ$125),IF(1000000/AZ228&lt;=1/AZ83,0,IF(AZ153="Instantaneous",AZ$150*((AZ67/AZ82)*(1000000/AZ228))^AZ$151-AZ$152,AZ$124*(AZ73*(1000000/AZ228)/(AZ82*Wind))^AZ$125-AZ$126))),0)</f>
        <v>0</v>
      </c>
      <c r="BA282" s="83"/>
      <c r="BB282" s="1693">
        <f>IF(AND(BB82&gt;0,BB228&lt;&gt;""),IF(Location="Indoors",IF(BB299&lt;=BB228,0,BB$124*((IF(Enclosed_Ventilation_Rate&gt;1,Enclosed_Ventilation_Rate,1)*Enclosed_Process_Volume*BB82*BB299/88020000000)*1000000*(1/BB228-1/BB299)/(BB82*Wind))^BB$125),IF(1000000/BB228&lt;=1/BB83,0,IF(BB153="Instantaneous",BB$150*((BB67/BB82)*(1000000/BB228))^BB$151-BB$152,BB$124*(BB73*(1000000/BB228)/(BB82*Wind))^BB$125-BB$126))),0)</f>
        <v>0</v>
      </c>
      <c r="BC282" s="83"/>
      <c r="BD282" s="1693">
        <f>IF(AND(BD82&gt;0,BD228&lt;&gt;""),IF(Location="Indoors",IF(BD299&lt;=BD228,0,BD$124*((IF(Enclosed_Ventilation_Rate&gt;1,Enclosed_Ventilation_Rate,1)*Enclosed_Process_Volume*BD82*BD299/88020000000)*1000000*(1/BD228-1/BD299)/(BD82*Wind))^BD$125),IF(1000000/BD228&lt;=1/BD83,0,IF(BD153="Instantaneous",BD$150*((BD67/BD82)*(1000000/BD228))^BD$151-BD$152,BD$124*(BD73*(1000000/BD228)/(BD82*Wind))^BD$125-BD$126))),0)</f>
        <v>0</v>
      </c>
      <c r="BE282" s="83"/>
      <c r="BF282" s="1693">
        <f>IF(AND(BF82&gt;0,BF228&lt;&gt;""),IF(Location="Indoors",IF(BF299&lt;=BF228,0,BF$124*((IF(Enclosed_Ventilation_Rate&gt;1,Enclosed_Ventilation_Rate,1)*Enclosed_Process_Volume*BF82*BF299/88020000000)*1000000*(1/BF228-1/BF299)/(BF82*Wind))^BF$125),IF(1000000/BF228&lt;=1/BF83,0,IF(BF153="Instantaneous",BF$150*((BF67/BF82)*(1000000/BF228))^BF$151-BF$152,BF$124*(BF73*(1000000/BF228)/(BF82*Wind))^BF$125-BF$126))),0)</f>
        <v>0</v>
      </c>
      <c r="BG282" s="83"/>
      <c r="BH282" s="1693">
        <f>IF(AND(BH82&gt;0,BH228&lt;&gt;""),IF(Location="Indoors",IF(BH299&lt;=BH228,0,BH$124*((IF(Enclosed_Ventilation_Rate&gt;1,Enclosed_Ventilation_Rate,1)*Enclosed_Process_Volume*BH82*BH299/88020000000)*1000000*(1/BH228-1/BH299)/(BH82*Wind))^BH$125),IF(1000000/BH228&lt;=1/BH83,0,IF(BH153="Instantaneous",BH$150*((BH67/BH82)*(1000000/BH228))^BH$151-BH$152,BH$124*(BH73*(1000000/BH228)/(BH82*Wind))^BH$125-BH$126))),0)</f>
        <v>0</v>
      </c>
      <c r="BI282" s="83"/>
      <c r="BJ282" s="1693">
        <f>IF(AND(BJ82&gt;0,BJ228&lt;&gt;""),IF(Location="Indoors",IF(BJ299&lt;=BJ228,0,BJ$124*((IF(Enclosed_Ventilation_Rate&gt;1,Enclosed_Ventilation_Rate,1)*Enclosed_Process_Volume*BJ82*BJ299/88020000000)*1000000*(1/BJ228-1/BJ299)/(BJ82*Wind))^BJ$125),IF(1000000/BJ228&lt;=1/BJ83,0,IF(BJ153="Instantaneous",BJ$150*((BJ67/BJ82)*(1000000/BJ228))^BJ$151-BJ$152,BJ$124*(BJ73*(1000000/BJ228)/(BJ82*Wind))^BJ$125-BJ$126))),0)</f>
        <v>0</v>
      </c>
      <c r="BK282" s="83"/>
      <c r="BL282" s="1693">
        <f>IF(AND(BL82&gt;0,BL228&lt;&gt;""),IF(Location="Indoors",IF(BL299&lt;=BL228,0,BL$124*((IF(Enclosed_Ventilation_Rate&gt;1,Enclosed_Ventilation_Rate,1)*Enclosed_Process_Volume*BL82*BL299/88020000000)*1000000*(1/BL228-1/BL299)/(BL82*Wind))^BL$125),IF(1000000/BL228&lt;=1/BL83,0,IF(BL153="Instantaneous",BL$150*((BL67/BL82)*(1000000/BL228))^BL$151-BL$152,BL$124*(BL73*(1000000/BL228)/(BL82*Wind))^BL$125-BL$126))),0)</f>
        <v>0</v>
      </c>
      <c r="BM282" s="83"/>
      <c r="BN282" s="1693">
        <f>IF(AND(BN82&gt;0,BN228&lt;&gt;""),IF(Location="Indoors",IF(BN299&lt;=BN228,0,BN$124*((IF(Enclosed_Ventilation_Rate&gt;1,Enclosed_Ventilation_Rate,1)*Enclosed_Process_Volume*BN82*BN299/88020000000)*1000000*(1/BN228-1/BN299)/(BN82*Wind))^BN$125),IF(1000000/BN228&lt;=1/BN83,0,IF(BN153="Instantaneous",BN$150*((BN67/BN82)*(1000000/BN228))^BN$151-BN$152,BN$124*(BN73*(1000000/BN228)/(BN82*Wind))^BN$125-BN$126))),0)</f>
        <v>0</v>
      </c>
      <c r="BO282" s="83"/>
      <c r="BP282" s="85" t="s">
        <v>1068</v>
      </c>
      <c r="BQ282" s="83"/>
      <c r="BR282" s="81"/>
      <c r="BS282" s="85" t="s">
        <v>4499</v>
      </c>
      <c r="BT282" s="81"/>
      <c r="BU282" s="2589">
        <f>IF(AND(BU98&gt;0,BU225&lt;&gt;""),IF(BU281="Indoors",IF(BU301&lt;=BU225,0,BU$127*((IF(Enclosed_Ventilation_Rate&gt;1,Enclosed_Ventilation_Rate,1)*Enclosed_Process_Volume*BU98*BU301/88020000000)*1000000*(1/BU225-1/BU301)/(BU98*Wind))^BU$128),IF(1000000/BU225&lt;=1/BU99,0,IF(BU156="Instantaneous",BU$153*((BU83/BU98)*(1000000/BU225))^BU$154-BU$155,BU$127*(BU89*(1000000/BU225)/(BU98*Wind))^BU$128-BU$129))),0)</f>
        <v>0</v>
      </c>
      <c r="BV282" s="81"/>
      <c r="BW282" s="2589">
        <f>IF(AND(BW98&gt;0,BW225&lt;&gt;""),IF(Location="Indoors",IF(BW301&lt;=BW225,0,BW$127*((IF(Enclosed_Ventilation_Rate&gt;1,Enclosed_Ventilation_Rate,1)*Enclosed_Process_Volume*BW98*BW301/88020000000)*1000000*(1/BW225-1/BW301)/(BW98*Wind))^BW$128),IF(1000000/BW225&lt;=1/BW99,0,IF(BW156="Instantaneous",BW$153*((BW83/BW98)*(1000000/BW225))^BW$154-BW$155,BW$127*(BW89*(1000000/BW225)/(BW98*Wind))^BW$128-BW$129))),0)</f>
        <v>0</v>
      </c>
      <c r="BX282" s="81"/>
      <c r="BY282" s="2589">
        <f>IF(AND(BY98&gt;0,BY225&lt;&gt;""),IF(Location="Indoors",IF(BY301&lt;=BY225,0,BY$127*((IF(Enclosed_Ventilation_Rate&gt;1,Enclosed_Ventilation_Rate,1)*Enclosed_Process_Volume*BY98*BY301/88020000000)*1000000*(1/BY225-1/BY301)/(BY98*Wind))^BY$128),IF(1000000/BY225&lt;=1/BY99,0,IF(BY156="Instantaneous",BY$153*((BY83/BY98)*(1000000/BY225))^BY$154-BY$155,BY$127*(BY89*(1000000/BY225)/(BY98*Wind))^BY$128-BY$129))),0)</f>
        <v>0</v>
      </c>
      <c r="BZ282" s="81"/>
      <c r="CA282" s="2589">
        <f>IF(AND(CA98&gt;0,CA225&lt;&gt;""),IF(Location="Indoors",IF(CA301&lt;=CA225,0,CA$127*((IF(Enclosed_Ventilation_Rate&gt;1,Enclosed_Ventilation_Rate,1)*Enclosed_Process_Volume*CA98*CA301/88020000000)*1000000*(1/CA225-1/CA301)/(CA98*Wind))^CA$128),IF(1000000/CA225&lt;=1/CA99,0,IF(CA156="Instantaneous",CA$153*((CA83/CA98)*(1000000/CA225))^CA$154-CA$155,CA$127*(CA89*(1000000/CA225)/(CA98*Wind))^CA$128-CA$129))),0)</f>
        <v>0</v>
      </c>
      <c r="CB282" s="81"/>
      <c r="CC282" s="2589">
        <f>IF(AND(CC98&gt;0,CC225&lt;&gt;""),IF(Location="Indoors",IF(CC301&lt;=CC225,0,CC$127*((IF(Enclosed_Ventilation_Rate&gt;1,Enclosed_Ventilation_Rate,1)*Enclosed_Process_Volume*CC98*CC301/88020000000)*1000000*(1/CC225-1/CC301)/(CC98*Wind))^CC$128),IF(1000000/CC225&lt;=1/CC99,0,IF(CC156="Instantaneous",CC$153*((CC83/CC98)*(1000000/CC225))^CC$154-CC$155,CC$127*(CC89*(1000000/CC225)/(CC98*Wind))^CC$128-CC$129))),0)</f>
        <v>0</v>
      </c>
      <c r="CD282" s="81"/>
      <c r="CE282" s="85" t="s">
        <v>1068</v>
      </c>
      <c r="CF282" s="81"/>
      <c r="CG282" s="2968"/>
      <c r="CH282" s="23" t="s">
        <v>5088</v>
      </c>
      <c r="CI282" s="2968"/>
      <c r="CJ282" s="1289">
        <f>LN(0.002)</f>
        <v>-6.2146080984221914</v>
      </c>
      <c r="CK282" s="2968"/>
      <c r="CL282" s="2968"/>
      <c r="CM282" s="2968"/>
      <c r="CN282" s="26"/>
      <c r="CO282" s="26"/>
      <c r="CP282" s="26"/>
      <c r="CQ282" s="26"/>
      <c r="CR282" s="26"/>
      <c r="CS282" s="26"/>
      <c r="CT282" s="26"/>
      <c r="CU282" s="26"/>
    </row>
    <row r="283" spans="1:99" ht="15" customHeight="1" thickBot="1" x14ac:dyDescent="0.3">
      <c r="A283" s="2"/>
      <c r="B283" s="85" t="s">
        <v>2687</v>
      </c>
      <c r="C283" s="83"/>
      <c r="D283" s="3009" t="e">
        <f>IF(D89&gt;0,IF(AND(Location="Indoors",D300&gt;0),1000000/(1000000/D301+(Wind*D98*(Public/D$127)^(1/D$128)/(IF(Enclosed_Ventilation_Rate&gt;1,Enclosed_Ventilation_Rate,1)*Enclosed_Process_Volume*D98*D301/88020000000))),IF(D156="Instantaneous",1000000*(D$83/D$98)*(D$153/(Public+D$155))^(1/D$154),1000000*(D$89/(Wind*D$98))*(D$127/(Public+D$129))^(1/D$128))),0)</f>
        <v>#DIV/0!</v>
      </c>
      <c r="E283" s="83"/>
      <c r="F283" s="3009" t="e">
        <f>IF(F89&gt;0,IF(AND(Location="Indoors",F300&gt;0),1000000/(1000000/F301+(Wind*F98*(Public/F$127)^(1/F$128)/(IF(Enclosed_Ventilation_Rate&gt;1,Enclosed_Ventilation_Rate,1)*Enclosed_Process_Volume*F98*F301/88020000000))),IF(F156="Instantaneous",1000000*(F$83/F$98)*(F$153/(Public+F$155))^(1/F$154),1000000*(F$89/(Wind*F$98))*(F$127/(Public+F$129))^(1/F$128))),0)</f>
        <v>#DIV/0!</v>
      </c>
      <c r="G283" s="83"/>
      <c r="H283" s="3009" t="e">
        <f>IF(H89&gt;0,IF(AND(Location="Indoors",H300&gt;0),1000000/(1000000/H301+(Wind*H98*(Public/H$127)^(1/H$128)/(IF(Enclosed_Ventilation_Rate&gt;1,Enclosed_Ventilation_Rate,1)*Enclosed_Process_Volume*H98*H301/88020000000))),IF(H156="Instantaneous",1000000*(H$83/H$98)*(H$153/(Public+H$155))^(1/H$154),1000000*(H$89/(Wind*H$98))*(H$127/(Public+H$129))^(1/H$128))),0)</f>
        <v>#DIV/0!</v>
      </c>
      <c r="I283" s="83"/>
      <c r="J283" s="3009" t="e">
        <f>IF(J89&gt;0,IF(AND(Location="Indoors",J300&gt;0),1000000/(1000000/J301+(Wind*J98*(Public/J$127)^(1/J$128)/(IF(Enclosed_Ventilation_Rate&gt;1,Enclosed_Ventilation_Rate,1)*Enclosed_Process_Volume*J98*J301/88020000000))),IF(J156="Instantaneous",1000000*(J$83/J$98)*(J$153/(Public+J$155))^(1/J$154),1000000*(J$89/(Wind*J$98))*(J$127/(Public+J$129))^(1/J$128))),0)</f>
        <v>#DIV/0!</v>
      </c>
      <c r="K283" s="83"/>
      <c r="L283" s="3009" t="e">
        <f>IF(L89&gt;0,IF(AND(Location="Indoors",L300&gt;0),1000000/(1000000/L301+(Wind*L98*(Public/L$127)^(1/L$128)/(IF(Enclosed_Ventilation_Rate&gt;1,Enclosed_Ventilation_Rate,1)*Enclosed_Process_Volume*L98*L301/88020000000))),IF(L156="Instantaneous",1000000*(L$83/L$98)*(L$153/(Public+L$155))^(1/L$154),1000000*(L$89/(Wind*L$98))*(L$127/(Public+L$129))^(1/L$128))),0)</f>
        <v>#DIV/0!</v>
      </c>
      <c r="M283" s="83"/>
      <c r="N283" s="3009" t="e">
        <f>IF(N89&gt;0,IF(AND(Location="Indoors",N300&gt;0),1000000/(1000000/N301+(Wind*N98*(Public/N$127)^(1/N$128)/(IF(Enclosed_Ventilation_Rate&gt;1,Enclosed_Ventilation_Rate,1)*Enclosed_Process_Volume*N98*N301/88020000000))),IF(N156="Instantaneous",1000000*(N$83/N$98)*(N$153/(Public+N$155))^(1/N$154),1000000*(N$89/(Wind*N$98))*(N$127/(Public+N$129))^(1/N$128))),0)</f>
        <v>#DIV/0!</v>
      </c>
      <c r="O283" s="83"/>
      <c r="P283" s="3009" t="e">
        <f>IF(P89&gt;0,IF(AND(Location="Indoors",P300&gt;0),1000000/(1000000/P301+(Wind*P98*(Public/P$127)^(1/P$128)/(IF(Enclosed_Ventilation_Rate&gt;1,Enclosed_Ventilation_Rate,1)*Enclosed_Process_Volume*P98*P301/88020000000))),IF(P156="Instantaneous",1000000*(P$83/P$98)*(P$153/(Public+P$155))^(1/P$154),1000000*(P$89/(Wind*P$98))*(P$127/(Public+P$129))^(1/P$128))),0)</f>
        <v>#DIV/0!</v>
      </c>
      <c r="Q283" s="83"/>
      <c r="R283" s="3009" t="e">
        <f>IF(R89&gt;0,IF(AND(Location="Indoors",R300&gt;0),1000000/(1000000/R301+(Wind*R98*(Public/R$127)^(1/R$128)/(IF(Enclosed_Ventilation_Rate&gt;1,Enclosed_Ventilation_Rate,1)*Enclosed_Process_Volume*R98*R301/88020000000))),IF(R156="Instantaneous",1000000*(R$83/R$98)*(R$153/(Public+R$155))^(1/R$154),1000000*(R$89/(Wind*R$98))*(R$127/(Public+R$129))^(1/R$128))),0)</f>
        <v>#DIV/0!</v>
      </c>
      <c r="S283" s="83"/>
      <c r="T283" s="3009" t="e">
        <f>IF(T89&gt;0,IF(AND(Location="Indoors",T300&gt;0),1000000/(1000000/T301+(Wind*T98*(Public/T$127)^(1/T$128)/(IF(Enclosed_Ventilation_Rate&gt;1,Enclosed_Ventilation_Rate,1)*Enclosed_Process_Volume*T98*T301/88020000000))),IF(T156="Instantaneous",1000000*(T$83/T$98)*(T$153/(Public+T$155))^(1/T$154),1000000*(T$89/(Wind*T$98))*(T$127/(Public+T$129))^(1/T$128))),0)</f>
        <v>#DIV/0!</v>
      </c>
      <c r="U283" s="83"/>
      <c r="V283" s="3009" t="e">
        <f>IF(V89&gt;0,IF(AND(Location="Indoors",V300&gt;0),1000000/(1000000/V301+(Wind*V98*(Public/V$127)^(1/V$128)/(IF(Enclosed_Ventilation_Rate&gt;1,Enclosed_Ventilation_Rate,1)*Enclosed_Process_Volume*V98*V301/88020000000))),IF(V156="Instantaneous",1000000*(V$83/V$98)*(V$153/(Public+V$155))^(1/V$154),1000000*(V$89/(Wind*V$98))*(V$127/(Public+V$129))^(1/V$128))),0)</f>
        <v>#DIV/0!</v>
      </c>
      <c r="W283" s="83"/>
      <c r="X283" s="3009" t="e">
        <f>IF(X89&gt;0,IF(AND(Location="Indoors",X300&gt;0),1000000/(1000000/X301+(Wind*X98*(Public/X$127)^(1/X$128)/(IF(Enclosed_Ventilation_Rate&gt;1,Enclosed_Ventilation_Rate,1)*Enclosed_Process_Volume*X98*X301/88020000000))),IF(X156="Instantaneous",1000000*(X$83/X$98)*(X$153/(Public+X$155))^(1/X$154),1000000*(X$89/(Wind*X$98))*(X$127/(Public+X$129))^(1/X$128))),0)</f>
        <v>#DIV/0!</v>
      </c>
      <c r="Y283" s="83"/>
      <c r="Z283" s="85" t="s">
        <v>1506</v>
      </c>
      <c r="AA283" s="83"/>
      <c r="AB283" s="81"/>
      <c r="AC283" s="851" t="str">
        <f>B270</f>
        <v/>
      </c>
      <c r="AD283" s="81"/>
      <c r="AE283" s="2091">
        <f>IF(AND(AE$229&gt;0,LC1_3&gt;0),AE$229/(LC1_3/AE$224^(1/Pn_3)),0)</f>
        <v>0</v>
      </c>
      <c r="AF283" s="81"/>
      <c r="AG283" s="2091">
        <f>IF(AND(AG$229&gt;0,LC1_3&gt;0),AG$229/(LC1_3/AG$224^(1/Pn_3)),0)</f>
        <v>0</v>
      </c>
      <c r="AH283" s="81"/>
      <c r="AI283" s="2091">
        <f>IF(AND(AI$229&gt;0,LC1_3&gt;0),AI$229/(LC1_3/AI$224^(1/Pn_3)),0)</f>
        <v>0</v>
      </c>
      <c r="AJ283" s="81"/>
      <c r="AK283" s="2091">
        <f>IF(AND(AK$229&gt;0,LC1_3&gt;0),AK$229/(LC1_3/AK$224^(1/Pn_3)),0)</f>
        <v>0</v>
      </c>
      <c r="AL283" s="81"/>
      <c r="AM283" s="2091">
        <f>IF(AND(AM$229&gt;0,LC1_3&gt;0),AM$229/(LC1_3/AM$224^(1/Pn_3)),0)</f>
        <v>0</v>
      </c>
      <c r="AN283" s="81"/>
      <c r="AO283" s="2091">
        <f>IF(AND(AO$229&gt;0,LC1HT_3&gt;0),AO$229/(LC1HT_3/AO$224^(1/PnHT_3)),0)</f>
        <v>0</v>
      </c>
      <c r="AP283" s="81"/>
      <c r="AQ283" s="85"/>
      <c r="AR283" s="81"/>
      <c r="AS283" s="83"/>
      <c r="AT283" s="25" t="s">
        <v>4497</v>
      </c>
      <c r="AU283" s="83"/>
      <c r="AV283" s="1209" t="str">
        <f>IF(Public&gt;0.1,IF(AV282&gt;Public,"Yes","No"),"")</f>
        <v/>
      </c>
      <c r="AW283" s="83"/>
      <c r="AX283" s="1209" t="str">
        <f>IF(Public&gt;0.1,IF(AX282&gt;Public,"Yes","No"),"")</f>
        <v/>
      </c>
      <c r="AY283" s="83"/>
      <c r="AZ283" s="1209" t="str">
        <f>IF(Public&gt;0.1,IF(AZ282&gt;Public,"Yes","No"),"")</f>
        <v/>
      </c>
      <c r="BA283" s="83"/>
      <c r="BB283" s="1209" t="str">
        <f>IF(Public&gt;0.1,IF(BB282&gt;Public,"Yes","No"),"")</f>
        <v/>
      </c>
      <c r="BC283" s="83"/>
      <c r="BD283" s="1209" t="str">
        <f>IF(Public&gt;0.1,IF(BD282&gt;Public,"Yes","No"),"")</f>
        <v/>
      </c>
      <c r="BE283" s="83"/>
      <c r="BF283" s="1209" t="str">
        <f>IF(Public&gt;0.1,IF(BF282&gt;Public,"Yes","No"),"")</f>
        <v/>
      </c>
      <c r="BG283" s="83"/>
      <c r="BH283" s="1209" t="str">
        <f>IF(Public&gt;0.1,IF(BH282&gt;Public,"Yes","No"),"")</f>
        <v/>
      </c>
      <c r="BI283" s="83"/>
      <c r="BJ283" s="1209" t="str">
        <f>IF(Public&gt;0.1,IF(BJ282&gt;Public,"Yes","No"),"")</f>
        <v/>
      </c>
      <c r="BK283" s="83"/>
      <c r="BL283" s="1209" t="str">
        <f>IF(Public&gt;0.1,IF(BL282&gt;Public,"Yes","No"),"")</f>
        <v/>
      </c>
      <c r="BM283" s="83"/>
      <c r="BN283" s="1209" t="str">
        <f>IF(Public&gt;0.1,IF(BN282&gt;Public,"Yes","No"),"")</f>
        <v/>
      </c>
      <c r="BO283" s="83"/>
      <c r="BP283" s="85"/>
      <c r="BQ283" s="83"/>
      <c r="BR283" s="81"/>
      <c r="BS283" s="85" t="s">
        <v>2687</v>
      </c>
      <c r="BT283" s="81"/>
      <c r="BU283" s="3009" t="e">
        <f>IF(BU89&gt;0,IF(AND(Location="Indoors",BU300&gt;0),1000000/(1000000/BU301+(Wind*BU98*(Public/BU$127)^(1/BU$128)/(IF(Enclosed_Ventilation_Rate&gt;1,Enclosed_Ventilation_Rate,1)*Enclosed_Process_Volume*BU98*BU301/88020000000))),IF(BU156="Instantaneous",1000000*(BU$83/BU$98)*(BU$153/(Public+BU$155))^(1/BU$154),1000000*(BU$89/(Wind*BU$98))*(BU$127/(Public+BU$129))^(1/BU$128))),0)</f>
        <v>#DIV/0!</v>
      </c>
      <c r="BV283" s="81"/>
      <c r="BW283" s="3009" t="e">
        <f>IF(BW89&gt;0,IF(AND(Location="Indoors",BW300&gt;0),1000000/(1000000/BW301+(Wind*BW98*(Public/BW$127)^(1/BW$128)/(IF(Enclosed_Ventilation_Rate&gt;1,Enclosed_Ventilation_Rate,1)*Enclosed_Process_Volume*BW98*BW301/88020000000))),IF(BW156="Instantaneous",1000000*(BW$83/BW$98)*(BW$153/(Public+BW$155))^(1/BW$154),1000000*(BW$89/(Wind*BW$98))*(BW$127/(Public+BW$129))^(1/BW$128))),0)</f>
        <v>#DIV/0!</v>
      </c>
      <c r="BX283" s="81"/>
      <c r="BY283" s="3009" t="e">
        <f>IF(BY89&gt;0,IF(AND(Location="Indoors",BY300&gt;0),1000000/(1000000/BY301+(Wind*BY98*(Public/BY$127)^(1/BY$128)/(IF(Enclosed_Ventilation_Rate&gt;1,Enclosed_Ventilation_Rate,1)*Enclosed_Process_Volume*BY98*BY301/88020000000))),IF(BY156="Instantaneous",1000000*(BY$83/BY$98)*(BY$153/(Public+BY$155))^(1/BY$154),1000000*(BY$89/(Wind*BY$98))*(BY$127/(Public+BY$129))^(1/BY$128))),0)</f>
        <v>#DIV/0!</v>
      </c>
      <c r="BZ283" s="81"/>
      <c r="CA283" s="3009" t="e">
        <f>IF(CA89&gt;0,IF(AND(Location="Indoors",CA300&gt;0),1000000/(1000000/CA301+(Wind*CA98*(Public/CA$127)^(1/CA$128)/(IF(Enclosed_Ventilation_Rate&gt;1,Enclosed_Ventilation_Rate,1)*Enclosed_Process_Volume*CA98*CA301/88020000000))),IF(CA156="Instantaneous",1000000*(CA$83/CA$98)*(CA$153/(Public+CA$155))^(1/CA$154),1000000*(CA$89/(Wind*CA$98))*(CA$127/(Public+CA$129))^(1/CA$128))),0)</f>
        <v>#DIV/0!</v>
      </c>
      <c r="CB283" s="81"/>
      <c r="CC283" s="3009" t="e">
        <f>IF(CC89&gt;0,IF(AND(Location="Indoors",CC300&gt;0),1000000/(1000000/CC301+(Wind*CC98*(Public/CC$127)^(1/CC$128)/(IF(Enclosed_Ventilation_Rate&gt;1,Enclosed_Ventilation_Rate,1)*Enclosed_Process_Volume*CC98*CC301/88020000000))),IF(CC156="Instantaneous",1000000*(CC$83/CC$98)*(CC$153/(Public+CC$155))^(1/CC$154),1000000*(CC$89/(Wind*CC$98))*(CC$127/(Public+CC$129))^(1/CC$128))),0)</f>
        <v>#DIV/0!</v>
      </c>
      <c r="CD283" s="81"/>
      <c r="CE283" s="85" t="s">
        <v>1506</v>
      </c>
      <c r="CF283" s="81"/>
      <c r="CG283" s="2968"/>
      <c r="CH283" s="89" t="s">
        <v>5086</v>
      </c>
      <c r="CI283" s="2968"/>
      <c r="CJ283" s="2984">
        <f>LN(0.001)</f>
        <v>-6.9077552789821368</v>
      </c>
      <c r="CK283" s="2968"/>
      <c r="CL283" s="2968"/>
      <c r="CM283" s="2968"/>
      <c r="CN283" s="26"/>
      <c r="CO283" s="26"/>
      <c r="CP283" s="26"/>
      <c r="CQ283" s="26"/>
      <c r="CR283" s="26"/>
      <c r="CS283" s="26"/>
      <c r="CT283" s="26"/>
      <c r="CU283" s="26"/>
    </row>
    <row r="284" spans="1:99" ht="15" customHeight="1" thickBot="1" x14ac:dyDescent="0.3">
      <c r="A284" s="2"/>
      <c r="B284" s="85" t="s">
        <v>4495</v>
      </c>
      <c r="C284" s="83"/>
      <c r="D284" s="1209" t="str">
        <f>IF(Public&gt;0.1,IF(D282&gt;Public,"Yes","No"),"")</f>
        <v/>
      </c>
      <c r="E284" s="83"/>
      <c r="F284" s="1209" t="str">
        <f>IF(Public&gt;0.1,IF(F282&gt;Public,"Yes","No"),"")</f>
        <v/>
      </c>
      <c r="G284" s="83"/>
      <c r="H284" s="1209" t="str">
        <f>IF(Public&gt;0.1,IF(H282&gt;Public,"Yes","No"),"")</f>
        <v/>
      </c>
      <c r="I284" s="83"/>
      <c r="J284" s="1209" t="str">
        <f>IF(Public&gt;0.1,IF(J282&gt;Public,"Yes","No"),"")</f>
        <v/>
      </c>
      <c r="K284" s="83"/>
      <c r="L284" s="1209" t="str">
        <f>IF(Public&gt;0.1,IF(L282&gt;Public,"Yes","No"),"")</f>
        <v/>
      </c>
      <c r="M284" s="83"/>
      <c r="N284" s="1209" t="str">
        <f>IF(Public&gt;0.1,IF(N282&gt;Public,"Yes","No"),"")</f>
        <v/>
      </c>
      <c r="O284" s="83"/>
      <c r="P284" s="1209" t="str">
        <f>IF(Public&gt;0.1,IF(P282&gt;Public,"Yes","No"),"")</f>
        <v/>
      </c>
      <c r="Q284" s="83"/>
      <c r="R284" s="1209" t="str">
        <f>IF(Public&gt;0.1,IF(R282&gt;Public,"Yes","No"),"")</f>
        <v/>
      </c>
      <c r="S284" s="83"/>
      <c r="T284" s="1209" t="str">
        <f>IF(Public&gt;0.1,IF(T282&gt;Public,"Yes","No"),"")</f>
        <v/>
      </c>
      <c r="U284" s="83"/>
      <c r="V284" s="1209" t="str">
        <f>IF(Public&gt;0.1,IF(V282&gt;Public,"Yes","No"),"")</f>
        <v/>
      </c>
      <c r="W284" s="83"/>
      <c r="X284" s="1209" t="str">
        <f>IF(Public&gt;0.1,IF(X282&gt;Public,"Yes","No"),"")</f>
        <v/>
      </c>
      <c r="Y284" s="83"/>
      <c r="Z284" s="23"/>
      <c r="AA284" s="83"/>
      <c r="AB284" s="81"/>
      <c r="AC284" s="851" t="str">
        <f>B271</f>
        <v/>
      </c>
      <c r="AD284" s="81"/>
      <c r="AE284" s="2091">
        <f>IF(AND(AE$230&gt;0,LC1_4&gt;0),AE$230/(LC1_4/AE$224^(1/Pn_4)),0)</f>
        <v>0</v>
      </c>
      <c r="AF284" s="81"/>
      <c r="AG284" s="2091">
        <f>IF(AND(AG$230&gt;0,LC1_4&gt;0),AG$230/(LC1_4/AG$224^(1/Pn_4)),0)</f>
        <v>0</v>
      </c>
      <c r="AH284" s="81"/>
      <c r="AI284" s="2091">
        <f>IF(AND(AI$230&gt;0,LC1_4&gt;0),AI$230/(LC1_4/AI$224^(1/Pn_4)),0)</f>
        <v>0</v>
      </c>
      <c r="AJ284" s="81"/>
      <c r="AK284" s="2091">
        <f>IF(AND(AK$230&gt;0,LC1_4&gt;0),AK$230/(LC1_4/AK$224^(1/Pn_4)),0)</f>
        <v>0</v>
      </c>
      <c r="AL284" s="81"/>
      <c r="AM284" s="2091">
        <f>IF(AND(AM$230&gt;0,LC1_4&gt;0),AM$230/(LC1_4/AM$224^(1/Pn_4)),0)</f>
        <v>0</v>
      </c>
      <c r="AN284" s="81"/>
      <c r="AO284" s="2091">
        <f>IF(AND(AO$230&gt;0,LC1HT_4&gt;0),AO$230/(LC1HT_4/AO$224^(1/PnHT_4)),0)</f>
        <v>0</v>
      </c>
      <c r="AP284" s="81"/>
      <c r="AQ284" s="85"/>
      <c r="AR284" s="81"/>
      <c r="AS284" s="83"/>
      <c r="AT284" s="85" t="s">
        <v>4737</v>
      </c>
      <c r="AU284" s="83"/>
      <c r="AV284" s="2086">
        <f>IF(AND(AV82&gt;0,AV234&lt;&gt;""),IF(Location="Indoors",IF(AV299&lt;=AV234,0.1,AV$124*((IF(Enclosed_Ventilation_Rate&gt;1,Enclosed_Ventilation_Rate,1)*Enclosed_Process_Volume*AV82*AV299/88020000000)*1000000*(1/(AV234)-1/AV299)/(AV82*Wind))^AV$125),IF(1000000/(AV234)&lt;=1/AV$83,0.1,IF(AV153="Instantaneous",AV$150*((AV67/AV82)*(1000000/AV234))^AV$151-AV$152,AV$124*(AV73*(1000000/AV234)/(AV82*Wind))^AV$125-AV$126))),0.1)</f>
        <v>0.1</v>
      </c>
      <c r="AW284" s="83"/>
      <c r="AX284" s="2086">
        <f>IF(AND(AX82&gt;0,AX234&lt;&gt;""),IF(Location="Indoors",IF(AX299&lt;=AX234,0.1,AX$124*((IF(Enclosed_Ventilation_Rate&gt;1,Enclosed_Ventilation_Rate,1)*Enclosed_Process_Volume*AX82*AX299/88020000000)*1000000*(1/(AX234)-1/AX299)/(AX82*Wind))^AX$125),IF(1000000/(AX234)&lt;=1/AX$83,0.1,IF(AX153="Instantaneous",AX$150*((AX67/AX82)*(1000000/AX234))^AX$151-AX$152,AX$124*(AX73*(1000000/AX234)/(AX82*Wind))^AX$125-AX$126))),0.1)</f>
        <v>0.1</v>
      </c>
      <c r="AY284" s="83"/>
      <c r="AZ284" s="2086">
        <f>IF(AND(AZ82&gt;0,AZ234&lt;&gt;""),IF(Location="Indoors",IF(AZ299&lt;=AZ234,0.1,AZ$124*((IF(Enclosed_Ventilation_Rate&gt;1,Enclosed_Ventilation_Rate,1)*Enclosed_Process_Volume*AZ82*AZ299/88020000000)*1000000*(1/(AZ234)-1/AZ299)/(AZ82*Wind))^AZ$125),IF(1000000/(AZ234)&lt;=1/AZ$83,0.1,IF(AZ153="Instantaneous",AZ$150*((AZ67/AZ82)*(1000000/AZ234))^AZ$151-AZ$152,AZ$124*(AZ73*(1000000/AZ234)/(AZ82*Wind))^AZ$125-AZ$126))),0.1)</f>
        <v>0.1</v>
      </c>
      <c r="BA284" s="83"/>
      <c r="BB284" s="2086">
        <f>IF(AND(BB82&gt;0,BB234&lt;&gt;""),IF(Location="Indoors",IF(BB299&lt;=BB234,0.1,BB$124*((IF(Enclosed_Ventilation_Rate&gt;1,Enclosed_Ventilation_Rate,1)*Enclosed_Process_Volume*BB82*BB299/88020000000)*1000000*(1/(BB234)-1/BB299)/(BB82*Wind))^BB$125),IF(1000000/(BB234)&lt;=1/BB$83,0.1,IF(BB153="Instantaneous",BB$150*((BB67/BB82)*(1000000/BB234))^BB$151-BB$152,BB$124*(BB73*(1000000/BB234)/(BB82*Wind))^BB$125-BB$126))),0.1)</f>
        <v>0.1</v>
      </c>
      <c r="BC284" s="83"/>
      <c r="BD284" s="2086">
        <f>IF(AND(BD82&gt;0,BD234&lt;&gt;""),IF(Location="Indoors",IF(BD299&lt;=BD234,0.1,BD$124*((IF(Enclosed_Ventilation_Rate&gt;1,Enclosed_Ventilation_Rate,1)*Enclosed_Process_Volume*BD82*BD299/88020000000)*1000000*(1/(BD234)-1/BD299)/(BD82*Wind))^BD$125),IF(1000000/(BD234)&lt;=1/BD$83,0.1,IF(BD153="Instantaneous",BD$150*((BD67/BD82)*(1000000/BD234))^BD$151-BD$152,BD$124*(BD73*(1000000/BD234)/(BD82*Wind))^BD$125-BD$126))),0.1)</f>
        <v>0.1</v>
      </c>
      <c r="BE284" s="83"/>
      <c r="BF284" s="2086">
        <f>IF(AND(BF82&gt;0,BF234&lt;&gt;""),IF(Location="Indoors",IF(BF299&lt;=BF234,0.1,BF$124*((IF(Enclosed_Ventilation_Rate&gt;1,Enclosed_Ventilation_Rate,1)*Enclosed_Process_Volume*BF82*BF299/88020000000)*1000000*(1/(BF234)-1/BF299)/(BF82*Wind))^BF$125),IF(1000000/(BF234)&lt;=1/BF$83,0.1,IF(BF153="Instantaneous",BF$150*((BF67/BF82)*(1000000/BF234))^BF$151-BF$152,BF$124*(BF73*(1000000/BF234)/(BF82*Wind))^BF$125-BF$126))),0.1)</f>
        <v>0.1</v>
      </c>
      <c r="BG284" s="83"/>
      <c r="BH284" s="2086">
        <f>IF(AND(BH82&gt;0,BH234&lt;&gt;""),IF(Location="Indoors",IF(BH299&lt;=BH234,0.1,BH$124*((IF(Enclosed_Ventilation_Rate&gt;1,Enclosed_Ventilation_Rate,1)*Enclosed_Process_Volume*BH82*BH299/88020000000)*1000000*(1/(BH234)-1/BH299)/(BH82*Wind))^BH$125),IF(1000000/(BH234)&lt;=1/BH$83,0.1,IF(BH153="Instantaneous",BH$150*((BH67/BH82)*(1000000/BH234))^BH$151-BH$152,BH$124*(BH73*(1000000/BH234)/(BH82*Wind))^BH$125-BH$126))),0.1)</f>
        <v>0.1</v>
      </c>
      <c r="BI284" s="83"/>
      <c r="BJ284" s="2086">
        <f>IF(AND(BJ82&gt;0,BJ234&lt;&gt;""),IF(Location="Indoors",IF(BJ299&lt;=BJ234,0.1,BJ$124*((IF(Enclosed_Ventilation_Rate&gt;1,Enclosed_Ventilation_Rate,1)*Enclosed_Process_Volume*BJ82*BJ299/88020000000)*1000000*(1/(BJ234)-1/BJ299)/(BJ82*Wind))^BJ$125),IF(1000000/(BJ234)&lt;=1/BJ$83,0.1,IF(BJ153="Instantaneous",BJ$150*((BJ67/BJ82)*(1000000/BJ234))^BJ$151-BJ$152,BJ$124*(BJ73*(1000000/BJ234)/(BJ82*Wind))^BJ$125-BJ$126))),0.1)</f>
        <v>0.1</v>
      </c>
      <c r="BK284" s="83"/>
      <c r="BL284" s="2086">
        <f>IF(AND(BL82&gt;0,BL234&lt;&gt;""),IF(Location="Indoors",IF(BL299&lt;=BL234,0.1,BL$124*((IF(Enclosed_Ventilation_Rate&gt;1,Enclosed_Ventilation_Rate,1)*Enclosed_Process_Volume*BL82*BL299/88020000000)*1000000*(1/(BL234)-1/BL299)/(BL82*Wind))^BL$125),IF(1000000/(BL234)&lt;=1/BL$83,0.1,IF(BL153="Instantaneous",BL$150*((BL67/BL82)*(1000000/BL234))^BL$151-BL$152,BL$124*(BL73*(1000000/BL234)/(BL82*Wind))^BL$125-BL$126))),0.1)</f>
        <v>0.1</v>
      </c>
      <c r="BM284" s="83"/>
      <c r="BN284" s="2086">
        <f>IF(AND(BN82&gt;0,BN234&lt;&gt;""),IF(Location="Indoors",IF(BN299&lt;=BN234,0.1,BN$124*((IF(Enclosed_Ventilation_Rate&gt;1,Enclosed_Ventilation_Rate,1)*Enclosed_Process_Volume*BN82*BN299/88020000000)*1000000*(1/(BN234)-1/BN299)/(BN82*Wind))^BN$125),IF(1000000/(BN234)&lt;=1/BN$83,0.1,IF(BN153="Instantaneous",BN$150*((BN67/BN82)*(1000000/BN234))^BN$151-BN$152,BN$124*(BN73*(1000000/BN234)/(BN82*Wind))^BN$125-BN$126))),0.1)</f>
        <v>0.1</v>
      </c>
      <c r="BO284" s="83"/>
      <c r="BP284" s="85" t="s">
        <v>1068</v>
      </c>
      <c r="BQ284" s="83"/>
      <c r="BR284" s="81"/>
      <c r="BS284" s="85" t="s">
        <v>4495</v>
      </c>
      <c r="BT284" s="81"/>
      <c r="BU284" s="1209" t="str">
        <f>IF(Public&gt;0.1,IF(BU282&gt;Public,"Yes","No"),"")</f>
        <v/>
      </c>
      <c r="BV284" s="81"/>
      <c r="BW284" s="1209" t="str">
        <f>IF(Public&gt;0.1,IF(BW282&gt;Public,"Yes","No"),"")</f>
        <v/>
      </c>
      <c r="BX284" s="81"/>
      <c r="BY284" s="1209" t="str">
        <f>IF(Public&gt;0.1,IF(BY282&gt;Public,"Yes","No"),"")</f>
        <v/>
      </c>
      <c r="BZ284" s="81"/>
      <c r="CA284" s="1209" t="str">
        <f>IF(Public&gt;0.1,IF(CA282&gt;Public,"Yes","No"),"")</f>
        <v/>
      </c>
      <c r="CB284" s="81"/>
      <c r="CC284" s="1209" t="str">
        <f>IF(Public&gt;0.1,IF(CC282&gt;Public,"Yes","No"),"")</f>
        <v/>
      </c>
      <c r="CD284" s="81"/>
      <c r="CE284" s="85"/>
      <c r="CF284" s="81"/>
      <c r="CG284" s="2968"/>
      <c r="CH284" s="2968"/>
      <c r="CI284" s="2968"/>
      <c r="CJ284" s="2968"/>
      <c r="CK284" s="2968"/>
      <c r="CL284" s="2968"/>
      <c r="CM284" s="2968"/>
      <c r="CN284" s="26"/>
      <c r="CO284" s="26"/>
      <c r="CP284" s="26"/>
      <c r="CQ284" s="26"/>
      <c r="CR284" s="26"/>
      <c r="CS284" s="26"/>
      <c r="CT284" s="26"/>
      <c r="CU284" s="26"/>
    </row>
    <row r="285" spans="1:99" ht="15" customHeight="1" thickBot="1" x14ac:dyDescent="0.3">
      <c r="A285" s="2"/>
      <c r="B285" s="85" t="s">
        <v>4496</v>
      </c>
      <c r="C285" s="83"/>
      <c r="D285" s="1693">
        <f>IF(AND(D98&gt;0,D231&lt;&gt;""),IF(Location="Indoors",IF(D301&lt;=D231,0,D$127*((IF(Enclosed_Ventilation_Rate&gt;1,Enclosed_Ventilation_Rate,1)*Enclosed_Process_Volume*D98*D301/88020000000)*1000000*(1/D231-1/D301)/(D98*Wind))^D$128),IF(1000000/D231&lt;=1/D99,0,IF(D156="Instantaneous",D$153*((D83/D98)*(1000000/D231))^D$154-D$155,D$127*(D89*(1000000/D231)/(D98*Wind))^D$128-D$129))),0)</f>
        <v>0</v>
      </c>
      <c r="E285" s="83"/>
      <c r="F285" s="1693">
        <f>IF(AND(F98&gt;0,F231&lt;&gt;""),IF(Location="Indoors",IF(F301&lt;=F231,0,F$127*((IF(Enclosed_Ventilation_Rate&gt;1,Enclosed_Ventilation_Rate,1)*Enclosed_Process_Volume*F98*F301/88020000000)*1000000*(1/F231-1/F301)/(F98*Wind))^F$128),IF(1000000/F231&lt;=1/F99,0,IF(F156="Instantaneous",F$153*((F83/F98)*(1000000/F231))^F$154-F$155,F$127*(F89*(1000000/F231)/(F98*Wind))^F$128-F$129))),0)</f>
        <v>0</v>
      </c>
      <c r="G285" s="83"/>
      <c r="H285" s="1693">
        <f>IF(AND(H98&gt;0,H231&lt;&gt;""),IF(Location="Indoors",IF(H301&lt;=H231,0,H$127*((IF(Enclosed_Ventilation_Rate&gt;1,Enclosed_Ventilation_Rate,1)*Enclosed_Process_Volume*H98*H301/88020000000)*1000000*(1/H231-1/H301)/(H98*Wind))^H$128),IF(1000000/H231&lt;=1/H99,0,IF(H156="Instantaneous",H$153*((H83/H98)*(1000000/H231))^H$154-H$155,H$127*(H89*(1000000/H231)/(H98*Wind))^H$128-H$129))),0)</f>
        <v>0</v>
      </c>
      <c r="I285" s="83"/>
      <c r="J285" s="1693">
        <f>IF(AND(J98&gt;0,J231&lt;&gt;""),IF(Location="Indoors",IF(J301&lt;=J231,0,J$127*((IF(Enclosed_Ventilation_Rate&gt;1,Enclosed_Ventilation_Rate,1)*Enclosed_Process_Volume*J98*J301/88020000000)*1000000*(1/J231-1/J301)/(J98*Wind))^J$128),IF(1000000/J231&lt;=1/J99,0,IF(J156="Instantaneous",J$153*((J83/J98)*(1000000/J231))^J$154-J$155,J$127*(J89*(1000000/J231)/(J98*Wind))^J$128-J$129))),0)</f>
        <v>0</v>
      </c>
      <c r="K285" s="83"/>
      <c r="L285" s="1693">
        <f>IF(AND(L98&gt;0,L231&lt;&gt;""),IF(Location="Indoors",IF(L301&lt;=L231,0,L$127*((IF(Enclosed_Ventilation_Rate&gt;1,Enclosed_Ventilation_Rate,1)*Enclosed_Process_Volume*L98*L301/88020000000)*1000000*(1/L231-1/L301)/(L98*Wind))^L$128),IF(1000000/L231&lt;=1/L99,0,IF(L156="Instantaneous",L$153*((L83/L98)*(1000000/L231))^L$154-L$155,L$127*(L89*(1000000/L231)/(L98*Wind))^L$128-L$129))),0)</f>
        <v>0</v>
      </c>
      <c r="M285" s="83"/>
      <c r="N285" s="1693">
        <f>IF(AND(N98&gt;0,N231&lt;&gt;""),IF(Location="Indoors",IF(N301&lt;=N231,0,N$127*((IF(Enclosed_Ventilation_Rate&gt;1,Enclosed_Ventilation_Rate,1)*Enclosed_Process_Volume*N98*N301/88020000000)*1000000*(1/N231-1/N301)/(N98*Wind))^N$128),IF(1000000/N231&lt;=1/N99,0,IF(N156="Instantaneous",N$153*((N83/N98)*(1000000/N231))^N$154-N$155,N$127*(N89*(1000000/N231)/(N98*Wind))^N$128-N$129))),0)</f>
        <v>0</v>
      </c>
      <c r="O285" s="83"/>
      <c r="P285" s="1693">
        <f>IF(AND(P98&gt;0,P231&lt;&gt;""),IF(Location="Indoors",IF(P301&lt;=P231,0,P$127*((IF(Enclosed_Ventilation_Rate&gt;1,Enclosed_Ventilation_Rate,1)*Enclosed_Process_Volume*P98*P301/88020000000)*1000000*(1/P231-1/P301)/(P98*Wind))^P$128),IF(1000000/P231&lt;=1/P99,0,IF(P156="Instantaneous",P$153*((P83/P98)*(1000000/P231))^P$154-P$155,P$127*(P89*(1000000/P231)/(P98*Wind))^P$128-P$129))),0)</f>
        <v>0</v>
      </c>
      <c r="Q285" s="83"/>
      <c r="R285" s="1693">
        <f>IF(AND(R98&gt;0,R231&lt;&gt;""),IF(Location="Indoors",IF(R301&lt;=R231,0,R$127*((IF(Enclosed_Ventilation_Rate&gt;1,Enclosed_Ventilation_Rate,1)*Enclosed_Process_Volume*R98*R301/88020000000)*1000000*(1/R231-1/R301)/(R98*Wind))^R$128),IF(1000000/R231&lt;=1/R99,0,IF(R156="Instantaneous",R$153*((R83/R98)*(1000000/R231))^R$154-R$155,R$127*(R89*(1000000/R231)/(R98*Wind))^R$128-R$129))),0)</f>
        <v>0</v>
      </c>
      <c r="S285" s="83"/>
      <c r="T285" s="1693">
        <f>IF(AND(T98&gt;0,T231&lt;&gt;""),IF(Location="Indoors",IF(T301&lt;=T231,0,T$127*((IF(Enclosed_Ventilation_Rate&gt;1,Enclosed_Ventilation_Rate,1)*Enclosed_Process_Volume*T98*T301/88020000000)*1000000*(1/T231-1/T301)/(T98*Wind))^T$128),IF(1000000/T231&lt;=1/T99,0,IF(T156="Instantaneous",T$153*((T83/T98)*(1000000/T231))^T$154-T$155,T$127*(T89*(1000000/T231)/(T98*Wind))^T$128-T$129))),0)</f>
        <v>0</v>
      </c>
      <c r="U285" s="83"/>
      <c r="V285" s="1693">
        <f>IF(AND(V98&gt;0,V231&lt;&gt;""),IF(Location="Indoors",IF(V301&lt;=V231,0,V$127*((IF(Enclosed_Ventilation_Rate&gt;1,Enclosed_Ventilation_Rate,1)*Enclosed_Process_Volume*V98*V301/88020000000)*1000000*(1/V231-1/V301)/(V98*Wind))^V$128),IF(1000000/V231&lt;=1/V99,0,IF(V156="Instantaneous",V$153*((V83/V98)*(1000000/V231))^V$154-V$155,V$127*(V89*(1000000/V231)/(V98*Wind))^V$128-V$129))),0)</f>
        <v>0</v>
      </c>
      <c r="W285" s="83"/>
      <c r="X285" s="1693">
        <f>IF(AND(X98&gt;0,X231&lt;&gt;""),IF(Location="Indoors",IF(X301&lt;=X231,0,X$127*((IF(Enclosed_Ventilation_Rate&gt;1,Enclosed_Ventilation_Rate,1)*Enclosed_Process_Volume*X98*X301/88020000000)*1000000*(1/X231-1/X301)/(X98*Wind))^X$128),IF(1000000/X231&lt;=1/X99,0,IF(X156="Instantaneous",X$153*((X83/X98)*(1000000/X231))^X$154-X$155,X$127*(X89*(1000000/X231)/(X98*Wind))^X$128-X$129))),0)</f>
        <v>0</v>
      </c>
      <c r="Y285" s="83"/>
      <c r="Z285" s="85" t="s">
        <v>1068</v>
      </c>
      <c r="AA285" s="83"/>
      <c r="AB285" s="81"/>
      <c r="AC285" s="851" t="str">
        <f>B272</f>
        <v/>
      </c>
      <c r="AD285" s="81"/>
      <c r="AE285" s="2091">
        <f>IF(AND(AE$231&gt;0,LC1_5&gt;0),AE$231/(LC1_5/AE$224^(1/Pn_5)),0)</f>
        <v>0</v>
      </c>
      <c r="AF285" s="81"/>
      <c r="AG285" s="2091">
        <f>IF(AND(AG$231&gt;0,LC1_5&gt;0),AG$231/(LC1_5/AG$224^(1/Pn_5)),0)</f>
        <v>0</v>
      </c>
      <c r="AH285" s="81"/>
      <c r="AI285" s="2091">
        <f>IF(AND(AI$231&gt;0,LC1_5&gt;0),AI$231/(LC1_5/AI$224^(1/Pn_5)),0)</f>
        <v>0</v>
      </c>
      <c r="AJ285" s="81"/>
      <c r="AK285" s="2091">
        <f>IF(AND(AK$231&gt;0,LC1_5&gt;0),AK$231/(LC1_5/AK$224^(1/Pn_5)),0)</f>
        <v>0</v>
      </c>
      <c r="AL285" s="81"/>
      <c r="AM285" s="2091">
        <f>IF(AND(AM$231&gt;0,LC1_5&gt;0),AM$231/(LC1_5/AM$224^(1/Pn_5)),0)</f>
        <v>0</v>
      </c>
      <c r="AN285" s="81"/>
      <c r="AO285" s="2091">
        <f>IF(AND(AO$231&gt;0,LC1HT_5&gt;0),AO$231/(LC1HT_5/AO$224^(1/PnHT_5)),0)</f>
        <v>0</v>
      </c>
      <c r="AP285" s="81"/>
      <c r="AQ285" s="85"/>
      <c r="AR285" s="81"/>
      <c r="AS285" s="83"/>
      <c r="AT285" s="85" t="s">
        <v>3823</v>
      </c>
      <c r="AU285" s="83"/>
      <c r="AV285" s="2086">
        <f>IF(AND(AV82&gt;0,AV264&lt;&gt;""),IF(Location="Indoors",IF(AV299&lt;=AV264,0.1,AV$124*((IF(Enclosed_Ventilation_Rate&gt;1,Enclosed_Ventilation_Rate,1)*Enclosed_Process_Volume*AV82*AV299/88020000000)*1000000*(1/AV264-1/AV299)/(AV82*Wind))^AV$125),IF(1000000/AV264&lt;=1/AV$83,0.1,IF(AV153="Instantaneous",AV$150*((AV67/AV82)*(1000000/AV264))^AV$151-AV$152,AV$124*(AV73*(1000000/AV264)/(AV82*Wind))^AV$125-AV$126))),0.1)</f>
        <v>0.1</v>
      </c>
      <c r="AW285" s="83"/>
      <c r="AX285" s="2086">
        <f>IF(AND(AX82&gt;0,AX264&lt;&gt;""),IF(Location="Indoors",IF(AX299&lt;=AX264,0.1,AX$124*((IF(Enclosed_Ventilation_Rate&gt;1,Enclosed_Ventilation_Rate,1)*Enclosed_Process_Volume*AX82*AX299/88020000000)*1000000*(1/AX264-1/AX299)/(AX82*Wind))^AX$125),IF(1000000/AX264&lt;=1/AX$83,0.1,IF(AX153="Instantaneous",AX$150*((AX67/AX82)*(1000000/AX264))^AX$151-AX$152,AX$124*(AX73*(1000000/AX264)/(AX82*Wind))^AX$125-AX$126))),0.1)</f>
        <v>0.1</v>
      </c>
      <c r="AY285" s="83"/>
      <c r="AZ285" s="2086">
        <f>IF(AND(AZ82&gt;0,AZ264&lt;&gt;""),IF(Location="Indoors",IF(AZ299&lt;=AZ264,0.1,AZ$124*((IF(Enclosed_Ventilation_Rate&gt;1,Enclosed_Ventilation_Rate,1)*Enclosed_Process_Volume*AZ82*AZ299/88020000000)*1000000*(1/AZ264-1/AZ299)/(AZ82*Wind))^AZ$125),IF(1000000/AZ264&lt;=1/AZ$83,0.1,IF(AZ153="Instantaneous",AZ$150*((AZ67/AZ82)*(1000000/AZ264))^AZ$151-AZ$152,AZ$124*(AZ73*(1000000/AZ264)/(AZ82*Wind))^AZ$125-AZ$126))),0.1)</f>
        <v>0.1</v>
      </c>
      <c r="BA285" s="83"/>
      <c r="BB285" s="2086">
        <f>IF(AND(BB82&gt;0,BB264&lt;&gt;""),IF(Location="Indoors",IF(BB299&lt;=BB264,0.1,BB$124*((IF(Enclosed_Ventilation_Rate&gt;1,Enclosed_Ventilation_Rate,1)*Enclosed_Process_Volume*BB82*BB299/88020000000)*1000000*(1/BB264-1/BB299)/(BB82*Wind))^BB$125),IF(1000000/BB264&lt;=1/BB$83,0.1,IF(BB153="Instantaneous",BB$150*((BB67/BB82)*(1000000/BB264))^BB$151-BB$152,BB$124*(BB73*(1000000/BB264)/(BB82*Wind))^BB$125-BB$126))),0.1)</f>
        <v>0.1</v>
      </c>
      <c r="BC285" s="83"/>
      <c r="BD285" s="2086">
        <f>IF(AND(BD82&gt;0,BD264&lt;&gt;""),IF(Location="Indoors",IF(BD299&lt;=BD264,0.1,BD$124*((IF(Enclosed_Ventilation_Rate&gt;1,Enclosed_Ventilation_Rate,1)*Enclosed_Process_Volume*BD82*BD299/88020000000)*1000000*(1/BD264-1/BD299)/(BD82*Wind))^BD$125),IF(1000000/BD264&lt;=1/BD$83,0.1,IF(BD153="Instantaneous",BD$150*((BD67/BD82)*(1000000/BD264))^BD$151-BD$152,BD$124*(BD73*(1000000/BD264)/(BD82*Wind))^BD$125-BD$126))),0.1)</f>
        <v>0.1</v>
      </c>
      <c r="BE285" s="83"/>
      <c r="BF285" s="2086">
        <f>IF(AND(BF82&gt;0,BF264&lt;&gt;""),IF(Location="Indoors",IF(BF299&lt;=BF264,0.1,BF$124*((IF(Enclosed_Ventilation_Rate&gt;1,Enclosed_Ventilation_Rate,1)*Enclosed_Process_Volume*BF82*BF299/88020000000)*1000000*(1/BF264-1/BF299)/(BF82*Wind))^BF$125),IF(1000000/BF264&lt;=1/BF$83,0.1,IF(BF153="Instantaneous",BF$150*((BF67/BF82)*(1000000/BF264))^BF$151-BF$152,BF$124*(BF73*(1000000/BF264)/(BF82*Wind))^BF$125-BF$126))),0.1)</f>
        <v>0.1</v>
      </c>
      <c r="BG285" s="83"/>
      <c r="BH285" s="2086">
        <f>IF(AND(BH82&gt;0,BH264&lt;&gt;""),IF(Location="Indoors",IF(BH299&lt;=BH264,0.1,BH$124*((IF(Enclosed_Ventilation_Rate&gt;1,Enclosed_Ventilation_Rate,1)*Enclosed_Process_Volume*BH82*BH299/88020000000)*1000000*(1/BH264-1/BH299)/(BH82*Wind))^BH$125),IF(1000000/BH264&lt;=1/BH$83,0.1,IF(BH153="Instantaneous",BH$150*((BH67/BH82)*(1000000/BH264))^BH$151-BH$152,BH$124*(BH73*(1000000/BH264)/(BH82*Wind))^BH$125-BH$126))),0.1)</f>
        <v>0.1</v>
      </c>
      <c r="BI285" s="83"/>
      <c r="BJ285" s="2086">
        <f>IF(AND(BJ82&gt;0,BJ264&lt;&gt;""),IF(Location="Indoors",IF(BJ299&lt;=BJ264,0.1,BJ$124*((IF(Enclosed_Ventilation_Rate&gt;1,Enclosed_Ventilation_Rate,1)*Enclosed_Process_Volume*BJ82*BJ299/88020000000)*1000000*(1/BJ264-1/BJ299)/(BJ82*Wind))^BJ$125),IF(1000000/BJ264&lt;=1/BJ$83,0.1,IF(BJ153="Instantaneous",BJ$150*((BJ67/BJ82)*(1000000/BJ264))^BJ$151-BJ$152,BJ$124*(BJ73*(1000000/BJ264)/(BJ82*Wind))^BJ$125-BJ$126))),0.1)</f>
        <v>0.1</v>
      </c>
      <c r="BK285" s="83"/>
      <c r="BL285" s="2086">
        <f>IF(AND(BL82&gt;0,BL264&lt;&gt;""),IF(Location="Indoors",IF(BL299&lt;=BL264,0.1,BL$124*((IF(Enclosed_Ventilation_Rate&gt;1,Enclosed_Ventilation_Rate,1)*Enclosed_Process_Volume*BL82*BL299/88020000000)*1000000*(1/BL264-1/BL299)/(BL82*Wind))^BL$125),IF(1000000/BL264&lt;=1/BL$83,0.1,IF(BL153="Instantaneous",BL$150*((BL67/BL82)*(1000000/BL264))^BL$151-BL$152,BL$124*(BL73*(1000000/BL264)/(BL82*Wind))^BL$125-BL$126))),0.1)</f>
        <v>0.1</v>
      </c>
      <c r="BM285" s="83"/>
      <c r="BN285" s="2086">
        <f>IF(AND(BN82&gt;0,BN264&lt;&gt;""),IF(Location="Indoors",IF(BN299&lt;=BN264,0.1,BN$124*((IF(Enclosed_Ventilation_Rate&gt;1,Enclosed_Ventilation_Rate,1)*Enclosed_Process_Volume*BN82*BN299/88020000000)*1000000*(1/BN264-1/BN299)/(BN82*Wind))^BN$125),IF(1000000/BN264&lt;=1/BN$83,0.1,IF(BN153="Instantaneous",BN$150*((BN67/BN82)*(1000000/BN264))^BN$151-BN$152,BN$124*(BN73*(1000000/BN264)/(BN82*Wind))^BN$125-BN$126))),0.1)</f>
        <v>0.1</v>
      </c>
      <c r="BO285" s="83"/>
      <c r="BP285" s="85" t="s">
        <v>1068</v>
      </c>
      <c r="BQ285" s="83"/>
      <c r="BR285" s="81"/>
      <c r="BS285" s="85" t="s">
        <v>4500</v>
      </c>
      <c r="BT285" s="81"/>
      <c r="BU285" s="1693">
        <f>IF(AND(BU98&gt;0,BU231&lt;&gt;""),IF(Location="Indoors",IF(BU301&lt;=BU231,0,BU$127*((IF(Enclosed_Ventilation_Rate&gt;1,Enclosed_Ventilation_Rate,1)*Enclosed_Process_Volume*BU98*BU301/88020000000)*1000000*(1/BU231-1/BU301)/(BU98*Wind))^BU$128),IF(1000000/BU231&lt;=1/BU99,0,IF(BU156="Instantaneous",BU$153*((BU83/BU98)*(1000000/BU231))^BU$154-BU$155,BU$127*(BU89*(1000000/BU231)/(BU98*Wind))^BU$128-BU$129))),0)</f>
        <v>0</v>
      </c>
      <c r="BV285" s="81"/>
      <c r="BW285" s="1693">
        <f>IF(AND(BW98&gt;0,BW231&lt;&gt;""),IF(Location="Indoors",IF(BW301&lt;=BW231,0,BW$127*((IF(Enclosed_Ventilation_Rate&gt;1,Enclosed_Ventilation_Rate,1)*Enclosed_Process_Volume*BW98*BW301/88020000000)*1000000*(1/BW231-1/BW301)/(BW98*Wind))^BW$128),IF(1000000/BW231&lt;=1/BW99,0,IF(BW156="Instantaneous",BW$153*((BW83/BW98)*(1000000/BW231))^BW$154-BW$155,BW$127*(BW89*(1000000/BW231)/(BW98*Wind))^BW$128-BW$129))),0)</f>
        <v>0</v>
      </c>
      <c r="BX285" s="81"/>
      <c r="BY285" s="1693">
        <f>IF(AND(BY98&gt;0,BY231&lt;&gt;""),IF(Location="Indoors",IF(BY301&lt;=BY231,0,BY$127*((IF(Enclosed_Ventilation_Rate&gt;1,Enclosed_Ventilation_Rate,1)*Enclosed_Process_Volume*BY98*BY301/88020000000)*1000000*(1/BY231-1/BY301)/(BY98*Wind))^BY$128),IF(1000000/BY231&lt;=1/BY99,0,IF(BY156="Instantaneous",BY$153*((BY83/BY98)*(1000000/BY231))^BY$154-BY$155,BY$127*(BY89*(1000000/BY231)/(BY98*Wind))^BY$128-BY$129))),0)</f>
        <v>0</v>
      </c>
      <c r="BZ285" s="81"/>
      <c r="CA285" s="1693">
        <f>IF(AND(CA98&gt;0,CA231&lt;&gt;""),IF(Location="Indoors",IF(CA301&lt;=CA231,0,CA$127*((IF(Enclosed_Ventilation_Rate&gt;1,Enclosed_Ventilation_Rate,1)*Enclosed_Process_Volume*CA98*CA301/88020000000)*1000000*(1/CA231-1/CA301)/(CA98*Wind))^CA$128),IF(1000000/CA231&lt;=1/CA99,0,IF(CA156="Instantaneous",CA$153*((CA83/CA98)*(1000000/CA231))^CA$154-CA$155,CA$127*(CA89*(1000000/CA231)/(CA98*Wind))^CA$128-CA$129))),0)</f>
        <v>0</v>
      </c>
      <c r="CB285" s="81"/>
      <c r="CC285" s="1693">
        <f>IF(AND(CC98&gt;0,CC231&lt;&gt;""),IF(Location="Indoors",IF(CC301&lt;=CC231,0,CC$127*((IF(Enclosed_Ventilation_Rate&gt;1,Enclosed_Ventilation_Rate,1)*Enclosed_Process_Volume*CC98*CC301/88020000000)*1000000*(1/CC231-1/CC301)/(CC98*Wind))^CC$128),IF(1000000/CC231&lt;=1/CC99,0,IF(CC156="Instantaneous",CC$153*((CC83/CC98)*(1000000/CC231))^CC$154-CC$155,CC$127*(CC89*(1000000/CC231)/(CC98*Wind))^CC$128-CC$129))),0)</f>
        <v>0</v>
      </c>
      <c r="CD285" s="81"/>
      <c r="CE285" s="85" t="s">
        <v>1068</v>
      </c>
      <c r="CF285" s="81"/>
      <c r="CG285" s="2968"/>
      <c r="CH285" s="4254" t="s">
        <v>5074</v>
      </c>
      <c r="CI285" s="3673"/>
      <c r="CJ285" s="3660"/>
      <c r="CK285" s="2968"/>
      <c r="CL285" s="2968"/>
      <c r="CM285" s="2968"/>
      <c r="CN285" s="26"/>
      <c r="CO285" s="26"/>
      <c r="CP285" s="26"/>
      <c r="CQ285" s="26"/>
      <c r="CR285" s="26"/>
      <c r="CS285" s="26"/>
      <c r="CT285" s="26"/>
      <c r="CU285" s="26"/>
    </row>
    <row r="286" spans="1:99" ht="15" customHeight="1" thickBot="1" x14ac:dyDescent="0.3">
      <c r="A286" s="2"/>
      <c r="B286" s="85" t="s">
        <v>4497</v>
      </c>
      <c r="C286" s="83"/>
      <c r="D286" s="1209" t="str">
        <f>IF(Public&gt;0.1,IF(D285&gt;Public,"Yes","No"),"")</f>
        <v/>
      </c>
      <c r="E286" s="83"/>
      <c r="F286" s="1209" t="str">
        <f>IF(Public&gt;0.1,IF(F285&gt;Public,"Yes","No"),"")</f>
        <v/>
      </c>
      <c r="G286" s="83"/>
      <c r="H286" s="1209" t="str">
        <f>IF(Public&gt;0.1,IF(H285&gt;Public,"Yes","No"),"")</f>
        <v/>
      </c>
      <c r="I286" s="83"/>
      <c r="J286" s="1209" t="str">
        <f>IF(Public&gt;0.1,IF(J285&gt;Public,"Yes","No"),"")</f>
        <v/>
      </c>
      <c r="K286" s="83"/>
      <c r="L286" s="1209" t="str">
        <f>IF(Public&gt;0.1,IF(L285&gt;Public,"Yes","No"),"")</f>
        <v/>
      </c>
      <c r="M286" s="83"/>
      <c r="N286" s="1209" t="str">
        <f>IF(Public&gt;0.1,IF(N285&gt;Public,"Yes","No"),"")</f>
        <v/>
      </c>
      <c r="O286" s="83"/>
      <c r="P286" s="1209" t="str">
        <f>IF(Public&gt;0.1,IF(P285&gt;Public,"Yes","No"),"")</f>
        <v/>
      </c>
      <c r="Q286" s="83"/>
      <c r="R286" s="1209" t="str">
        <f>IF(Public&gt;0.1,IF(R285&gt;Public,"Yes","No"),"")</f>
        <v/>
      </c>
      <c r="S286" s="83"/>
      <c r="T286" s="1209" t="str">
        <f>IF(Public&gt;0.1,IF(T285&gt;Public,"Yes","No"),"")</f>
        <v/>
      </c>
      <c r="U286" s="83"/>
      <c r="V286" s="1209" t="str">
        <f>IF(Public&gt;0.1,IF(V285&gt;Public,"Yes","No"),"")</f>
        <v/>
      </c>
      <c r="W286" s="83"/>
      <c r="X286" s="1209" t="str">
        <f>IF(Public&gt;0.1,IF(X285&gt;Public,"Yes","No"),"")</f>
        <v/>
      </c>
      <c r="Y286" s="83"/>
      <c r="Z286" s="85"/>
      <c r="AA286" s="83"/>
      <c r="AB286" s="81"/>
      <c r="AC286" s="1038" t="s">
        <v>3702</v>
      </c>
      <c r="AD286" s="81"/>
      <c r="AE286" s="2101" t="str">
        <f>IF(AND(AE$223&gt;0,SUM(AE281:AE285)&gt;0),IF(1/SUM(AE281:AE285)&lt;1000000,1/SUM(AE281:AE285),1000000),"")</f>
        <v/>
      </c>
      <c r="AF286" s="81"/>
      <c r="AG286" s="2101" t="str">
        <f>IF(AND(AG$223&gt;0,SUM(AG281:AG285)&gt;0),IF(1/SUM(AG281:AG285)&lt;1000000,1/SUM(AG281:AG285),1000000),"")</f>
        <v/>
      </c>
      <c r="AH286" s="81"/>
      <c r="AI286" s="2101" t="str">
        <f>IF(AND(AI$223&gt;0,SUM(AI281:AI285)&gt;0),IF(1/SUM(AI281:AI285)&lt;1000000,1/SUM(AI281:AI285),1000000),"")</f>
        <v/>
      </c>
      <c r="AJ286" s="81"/>
      <c r="AK286" s="2101" t="str">
        <f>IF(AND(AK$223&gt;0,SUM(AK281:AK285)&gt;0),IF(1/SUM(AK281:AK285)&lt;1000000,1/SUM(AK281:AK285),1000000),"")</f>
        <v/>
      </c>
      <c r="AL286" s="81"/>
      <c r="AM286" s="2101" t="str">
        <f>IF(AND(AM$223&gt;0,SUM(AM281:AM285)&gt;0),IF(1/SUM(AM281:AM285)&lt;1000000,1/SUM(AM281:AM285),1000000),"")</f>
        <v/>
      </c>
      <c r="AN286" s="81"/>
      <c r="AO286" s="2101" t="str">
        <f>IF(AND(AO$223&gt;0,SUM(AO281:AO285)&gt;0),IF(1/SUM(AO281:AO285)&lt;1000000,1/SUM(AO281:AO285),1000000),"")</f>
        <v/>
      </c>
      <c r="AP286" s="81"/>
      <c r="AQ286" s="85" t="s">
        <v>1506</v>
      </c>
      <c r="AR286" s="81"/>
      <c r="AS286" s="83"/>
      <c r="AT286" s="85" t="s">
        <v>3824</v>
      </c>
      <c r="AU286" s="83"/>
      <c r="AV286" s="2104">
        <f>IF(AND(AV82&gt;0,AV264&lt;&gt;""),IF(Location="Indoors",IF(ConcFract_Indoor*AV299&lt;=AV264,0.1,AV$124*((IF(Enclosed_Ventilation_Rate&gt;1,Enclosed_Ventilation_Rate,1)*Enclosed_Process_Volume*AV82*AV299/88020000000)*1000000*(ConcFract_Indoor/AV264-1/AV299)/(AV82*Wind))^AV$125),IF(AV264&gt;=ConcFract_Indoor*1000000*AV$83,0.1,IF(AV205="Instantaneous",AV$150*((AV67/AV82)*(ConcFract_Indoor*1000000/AV264))^AV$151-AV$152,AV$124*(AV73*(ConcFract_Indoor*1000000/AV264)/(AV82*Wind))^AV$125-AV$126))),0.1)</f>
        <v>0.1</v>
      </c>
      <c r="AW286" s="83"/>
      <c r="AX286" s="2104">
        <f>IF(AND(AX82&gt;0,AX264&lt;&gt;""),IF(Location="Indoors",IF(ConcFract_Indoor*AX299&lt;=AX264,0.1,AX$124*((IF(Enclosed_Ventilation_Rate&gt;1,Enclosed_Ventilation_Rate,1)*Enclosed_Process_Volume*AX82*AX299/88020000000)*1000000*(ConcFract_Indoor/AX264-1/AX299)/(AX82*Wind))^AX$125),IF(AX264&gt;=ConcFract_Indoor*1000000*AX$83,0.1,IF(AX205="Instantaneous",AX$150*((AX67/AX82)*(ConcFract_Indoor*1000000/AX264))^AX$151-AX$152,AX$124*(AX73*(ConcFract_Indoor*1000000/AX264)/(AX82*Wind))^AX$125-AX$126))),0.1)</f>
        <v>0.1</v>
      </c>
      <c r="AY286" s="83"/>
      <c r="AZ286" s="2104">
        <f>IF(AND(AZ82&gt;0,AZ264&lt;&gt;""),IF(Location="Indoors",IF(ConcFract_Indoor*AZ299&lt;=AZ264,0.1,AZ$124*((IF(Enclosed_Ventilation_Rate&gt;1,Enclosed_Ventilation_Rate,1)*Enclosed_Process_Volume*AZ82*AZ299/88020000000)*1000000*(ConcFract_Indoor/AZ264-1/AZ299)/(AZ82*Wind))^AZ$125),IF(AZ264&gt;=ConcFract_Indoor*1000000*AZ$83,0.1,IF(AZ205="Instantaneous",AZ$150*((AZ67/AZ82)*(ConcFract_Indoor*1000000/AZ264))^AZ$151-AZ$152,AZ$124*(AZ73*(ConcFract_Indoor*1000000/AZ264)/(AZ82*Wind))^AZ$125-AZ$126))),0.1)</f>
        <v>0.1</v>
      </c>
      <c r="BA286" s="83"/>
      <c r="BB286" s="2104">
        <f>IF(AND(BB82&gt;0,BB264&lt;&gt;""),IF(Location="Indoors",IF(ConcFract_Indoor*BB299&lt;=BB264,0.1,BB$124*((IF(Enclosed_Ventilation_Rate&gt;1,Enclosed_Ventilation_Rate,1)*Enclosed_Process_Volume*BB82*BB299/88020000000)*1000000*(ConcFract_Indoor/BB264-1/BB299)/(BB82*Wind))^BB$125),IF(BB264&gt;=ConcFract_Indoor*1000000*BB$83,0.1,IF(BB205="Instantaneous",BB$150*((BB67/BB82)*(ConcFract_Indoor*1000000/BB264))^BB$151-BB$152,BB$124*(BB73*(ConcFract_Indoor*1000000/BB264)/(BB82*Wind))^BB$125-BB$126))),0.1)</f>
        <v>0.1</v>
      </c>
      <c r="BC286" s="83"/>
      <c r="BD286" s="2104">
        <f>IF(AND(BD82&gt;0,BD264&lt;&gt;""),IF(Location="Indoors",IF(ConcFract_Indoor*BD299&lt;=BD264,0.1,BD$124*((IF(Enclosed_Ventilation_Rate&gt;1,Enclosed_Ventilation_Rate,1)*Enclosed_Process_Volume*BD82*BD299/88020000000)*1000000*(ConcFract_Indoor/BD264-1/BD299)/(BD82*Wind))^BD$125),IF(BD264&gt;=ConcFract_Indoor*1000000*BD$83,0.1,IF(BD205="Instantaneous",BD$150*((BD67/BD82)*(ConcFract_Indoor*1000000/BD264))^BD$151-BD$152,BD$124*(BD73*(ConcFract_Indoor*1000000/BD264)/(BD82*Wind))^BD$125-BD$126))),0.1)</f>
        <v>0.1</v>
      </c>
      <c r="BE286" s="83"/>
      <c r="BF286" s="2104">
        <f>IF(AND(BF82&gt;0,BF264&lt;&gt;""),IF(Location="Indoors",IF(ConcFract_Indoor*BF299&lt;=BF264,0.1,BF$124*((IF(Enclosed_Ventilation_Rate&gt;1,Enclosed_Ventilation_Rate,1)*Enclosed_Process_Volume*BF82*BF299/88020000000)*1000000*(ConcFract_Indoor/BF264-1/BF299)/(BF82*Wind))^BF$125),IF(BF264&gt;=ConcFract_Indoor*1000000*BF$83,0.1,IF(BF205="Instantaneous",BF$150*((BF67/BF82)*(ConcFract_Indoor*1000000/BF264))^BF$151-BF$152,BF$124*(BF73*(ConcFract_Indoor*1000000/BF264)/(BF82*Wind))^BF$125-BF$126))),0.1)</f>
        <v>0.1</v>
      </c>
      <c r="BG286" s="83"/>
      <c r="BH286" s="2104">
        <f>IF(AND(BH82&gt;0,BH264&lt;&gt;""),IF(Location="Indoors",IF(ConcFract_Indoor*BH299&lt;=BH264,0.1,BH$124*((IF(Enclosed_Ventilation_Rate&gt;1,Enclosed_Ventilation_Rate,1)*Enclosed_Process_Volume*BH82*BH299/88020000000)*1000000*(ConcFract_Indoor/BH264-1/BH299)/(BH82*Wind))^BH$125),IF(BH264&gt;=ConcFract_Indoor*1000000*BH$83,0.1,IF(BH205="Instantaneous",BH$150*((BH67/BH82)*(ConcFract_Indoor*1000000/BH264))^BH$151-BH$152,BH$124*(BH73*(ConcFract_Indoor*1000000/BH264)/(BH82*Wind))^BH$125-BH$126))),0.1)</f>
        <v>0.1</v>
      </c>
      <c r="BI286" s="83"/>
      <c r="BJ286" s="2104">
        <f>IF(AND(BJ82&gt;0,BJ264&lt;&gt;""),IF(Location="Indoors",IF(ConcFract_Indoor*BJ299&lt;=BJ264,0.1,BJ$124*((IF(Enclosed_Ventilation_Rate&gt;1,Enclosed_Ventilation_Rate,1)*Enclosed_Process_Volume*BJ82*BJ299/88020000000)*1000000*(ConcFract_Indoor/BJ264-1/BJ299)/(BJ82*Wind))^BJ$125),IF(BJ264&gt;=ConcFract_Indoor*1000000*BJ$83,0.1,IF(BJ205="Instantaneous",BJ$150*((BJ67/BJ82)*(ConcFract_Indoor*1000000/BJ264))^BJ$151-BJ$152,BJ$124*(BJ73*(ConcFract_Indoor*1000000/BJ264)/(BJ82*Wind))^BJ$125-BJ$126))),0.1)</f>
        <v>0.1</v>
      </c>
      <c r="BK286" s="83"/>
      <c r="BL286" s="2104">
        <f>IF(AND(BL82&gt;0,BL264&lt;&gt;""),IF(Location="Indoors",IF(ConcFract_Indoor*BL299&lt;=BL264,0.1,BL$124*((IF(Enclosed_Ventilation_Rate&gt;1,Enclosed_Ventilation_Rate,1)*Enclosed_Process_Volume*BL82*BL299/88020000000)*1000000*(ConcFract_Indoor/BL264-1/BL299)/(BL82*Wind))^BL$125),IF(BL264&gt;=ConcFract_Indoor*1000000*BL$83,0.1,IF(BL205="Instantaneous",BL$150*((BL67/BL82)*(ConcFract_Indoor*1000000/BL264))^BL$151-BL$152,BL$124*(BL73*(ConcFract_Indoor*1000000/BL264)/(BL82*Wind))^BL$125-BL$126))),0.1)</f>
        <v>0.1</v>
      </c>
      <c r="BM286" s="83"/>
      <c r="BN286" s="2104">
        <f>IF(AND(BN82&gt;0,BN264&lt;&gt;""),IF(Location="Indoors",IF(ConcFract_Indoor*BN299&lt;=BN264,0.1,BN$124*((IF(Enclosed_Ventilation_Rate&gt;1,Enclosed_Ventilation_Rate,1)*Enclosed_Process_Volume*BN82*BN299/88020000000)*1000000*(ConcFract_Indoor/BN264-1/BN299)/(BN82*Wind))^BN$125),IF(BN264&gt;=ConcFract_Indoor*1000000*BN$83,0.1,IF(BN205="Instantaneous",BN$150*((BN67/BN82)*(ConcFract_Indoor*1000000/BN264))^BN$151-BN$152,BN$124*(BN73*(ConcFract_Indoor*1000000/BN264)/(BN82*Wind))^BN$125-BN$126))),0.1)</f>
        <v>0.1</v>
      </c>
      <c r="BO286" s="83"/>
      <c r="BP286" s="85" t="s">
        <v>1068</v>
      </c>
      <c r="BQ286" s="83"/>
      <c r="BR286" s="81"/>
      <c r="BS286" s="85" t="s">
        <v>4497</v>
      </c>
      <c r="BT286" s="81"/>
      <c r="BU286" s="1209" t="str">
        <f>IF(Public&gt;0.1,IF(BU285&gt;Public,"Yes","No"),"")</f>
        <v/>
      </c>
      <c r="BV286" s="81"/>
      <c r="BW286" s="1209" t="str">
        <f>IF(Public&gt;0.1,IF(BW285&gt;Public,"Yes","No"),"")</f>
        <v/>
      </c>
      <c r="BX286" s="81"/>
      <c r="BY286" s="1209" t="str">
        <f>IF(Public&gt;0.1,IF(BY285&gt;Public,"Yes","No"),"")</f>
        <v/>
      </c>
      <c r="BZ286" s="81"/>
      <c r="CA286" s="1209" t="str">
        <f>IF(Public&gt;0.1,IF(CA285&gt;Public,"Yes","No"),"")</f>
        <v/>
      </c>
      <c r="CB286" s="81"/>
      <c r="CC286" s="1209" t="str">
        <f>IF(Public&gt;0.1,IF(CC285&gt;Public,"Yes","No"),"")</f>
        <v/>
      </c>
      <c r="CD286" s="81"/>
      <c r="CE286" s="89"/>
      <c r="CF286" s="81"/>
      <c r="CG286" s="2968"/>
      <c r="CH286" s="2971" t="s">
        <v>5089</v>
      </c>
      <c r="CI286" s="2969"/>
      <c r="CJ286" s="2973">
        <f>LN(10)</f>
        <v>2.3025850929940459</v>
      </c>
      <c r="CK286" s="2968"/>
      <c r="CL286" s="2968"/>
      <c r="CM286" s="2968"/>
      <c r="CN286" s="26"/>
      <c r="CO286" s="26"/>
      <c r="CP286" s="26"/>
      <c r="CQ286" s="26"/>
      <c r="CR286" s="26"/>
      <c r="CS286" s="26"/>
      <c r="CT286" s="26"/>
      <c r="CU286" s="26"/>
    </row>
    <row r="287" spans="1:99" ht="15" customHeight="1" x14ac:dyDescent="0.25">
      <c r="A287" s="2"/>
      <c r="B287" s="85" t="s">
        <v>4737</v>
      </c>
      <c r="C287" s="83"/>
      <c r="D287" s="2086">
        <f>IF(AND(D98&gt;0,D237&lt;&gt;""),IF(Location="Indoors",IF(D301&lt;=D237,0.1,D$127*((IF(Enclosed_Ventilation_Rate&gt;1,Enclosed_Ventilation_Rate,1)*Enclosed_Process_Volume*D98*D301/88020000000)*1000000*(1/(D237)-1/D301)/(D98*Wind))^D$128),IF(1000000/(D237)&lt;=1/D$99,0.1,IF(D156="Instantaneous",D$153*((D83/D98)*(1000000/D237))^D$154-D$155,D$127*(D89*(1000000/(D237))/(D98*Wind))^D$128-D$129))),0.1)</f>
        <v>0.1</v>
      </c>
      <c r="E287" s="83"/>
      <c r="F287" s="2086">
        <f>IF(AND(F98&gt;0,F237&lt;&gt;""),IF(Location="Indoors",IF(F301&lt;=F237,0.1,F$127*((IF(Enclosed_Ventilation_Rate&gt;1,Enclosed_Ventilation_Rate,1)*Enclosed_Process_Volume*F98*F301/88020000000)*1000000*(1/(F237)-1/F301)/(F98*Wind))^F$128),IF(1000000/(F237)&lt;=1/F$99,0.1,IF(F156="Instantaneous",F$153*((F83/F98)*(1000000/F237))^F$154-F$155,F$127*(F89*(1000000/(F237))/(F98*Wind))^F$128-F$129))),0.1)</f>
        <v>0.1</v>
      </c>
      <c r="G287" s="83"/>
      <c r="H287" s="2086">
        <f>IF(AND(H98&gt;0,H237&lt;&gt;""),IF(Location="Indoors",IF(H301&lt;=H237,0.1,H$127*((IF(Enclosed_Ventilation_Rate&gt;1,Enclosed_Ventilation_Rate,1)*Enclosed_Process_Volume*H98*H301/88020000000)*1000000*(1/(H237)-1/H301)/(H98*Wind))^H$128),IF(1000000/(H237)&lt;=1/H$99,0.1,IF(H156="Instantaneous",H$153*((H83/H98)*(1000000/H237))^H$154-H$155,H$127*(H89*(1000000/(H237))/(H98*Wind))^H$128-H$129))),0.1)</f>
        <v>0.1</v>
      </c>
      <c r="I287" s="83"/>
      <c r="J287" s="2086">
        <f>IF(AND(J98&gt;0,J237&lt;&gt;""),IF(Location="Indoors",IF(J301&lt;=J237,0.1,J$127*((IF(Enclosed_Ventilation_Rate&gt;1,Enclosed_Ventilation_Rate,1)*Enclosed_Process_Volume*J98*J301/88020000000)*1000000*(1/(J237)-1/J301)/(J98*Wind))^J$128),IF(1000000/(J237)&lt;=1/J$99,0.1,IF(J156="Instantaneous",J$153*((J83/J98)*(1000000/J237))^J$154-J$155,J$127*(J89*(1000000/(J237))/(J98*Wind))^J$128-J$129))),0.1)</f>
        <v>0.1</v>
      </c>
      <c r="K287" s="83"/>
      <c r="L287" s="2086">
        <f>IF(AND(L98&gt;0,L237&lt;&gt;""),IF(Location="Indoors",IF(L301&lt;=L237,0.1,L$127*((IF(Enclosed_Ventilation_Rate&gt;1,Enclosed_Ventilation_Rate,1)*Enclosed_Process_Volume*L98*L301/88020000000)*1000000*(1/(L237)-1/L301)/(L98*Wind))^L$128),IF(1000000/(L237)&lt;=1/L$99,0.1,IF(L156="Instantaneous",L$153*((L83/L98)*(1000000/L237))^L$154-L$155,L$127*(L89*(1000000/(L237))/(L98*Wind))^L$128-L$129))),0.1)</f>
        <v>0.1</v>
      </c>
      <c r="M287" s="83"/>
      <c r="N287" s="2086">
        <f>IF(AND(N98&gt;0,N237&lt;&gt;""),IF(Location="Indoors",IF(N301&lt;=N237,0.1,N$127*((IF(Enclosed_Ventilation_Rate&gt;1,Enclosed_Ventilation_Rate,1)*Enclosed_Process_Volume*N98*N301/88020000000)*1000000*(1/(N237)-1/N301)/(N98*Wind))^N$128),IF(1000000/(N237)&lt;=1/N$99,0.1,IF(N156="Instantaneous",N$153*((N83/N98)*(1000000/N237))^N$154-N$155,N$127*(N89*(1000000/(N237))/(N98*Wind))^N$128-N$129))),0.1)</f>
        <v>0.1</v>
      </c>
      <c r="O287" s="83"/>
      <c r="P287" s="2086">
        <f>IF(AND(P98&gt;0,P237&lt;&gt;""),IF(Location="Indoors",IF(P301&lt;=P237,0.1,P$127*((IF(Enclosed_Ventilation_Rate&gt;1,Enclosed_Ventilation_Rate,1)*Enclosed_Process_Volume*P98*P301/88020000000)*1000000*(1/(P237)-1/P301)/(P98*Wind))^P$128),IF(1000000/(P237)&lt;=1/P$99,0.1,IF(P156="Instantaneous",P$153*((P83/P98)*(1000000/P237))^P$154-P$155,P$127*(P89*(1000000/(P237))/(P98*Wind))^P$128-P$129))),0.1)</f>
        <v>0.1</v>
      </c>
      <c r="Q287" s="83"/>
      <c r="R287" s="2086">
        <f>IF(AND(R98&gt;0,R237&lt;&gt;""),IF(Location="Indoors",IF(R301&lt;=R237,0.1,R$127*((IF(Enclosed_Ventilation_Rate&gt;1,Enclosed_Ventilation_Rate,1)*Enclosed_Process_Volume*R98*R301/88020000000)*1000000*(1/(R237)-1/R301)/(R98*Wind))^R$128),IF(1000000/(R237)&lt;=1/R$99,0.1,IF(R156="Instantaneous",R$153*((R83/R98)*(1000000/R237))^R$154-R$155,R$127*(R89*(1000000/(R237))/(R98*Wind))^R$128-R$129))),0.1)</f>
        <v>0.1</v>
      </c>
      <c r="S287" s="83"/>
      <c r="T287" s="2086">
        <f>IF(AND(T98&gt;0,T237&lt;&gt;""),IF(Location="Indoors",IF(T301&lt;=T237,0.1,T$127*((IF(Enclosed_Ventilation_Rate&gt;1,Enclosed_Ventilation_Rate,1)*Enclosed_Process_Volume*T98*T301/88020000000)*1000000*(1/(T237)-1/T301)/(T98*Wind))^T$128),IF(1000000/(T237)&lt;=1/T$99,0.1,IF(T156="Instantaneous",T$153*((T83/T98)*(1000000/T237))^T$154-T$155,T$127*(T89*(1000000/(T237))/(T98*Wind))^T$128-T$129))),0.1)</f>
        <v>0.1</v>
      </c>
      <c r="U287" s="83"/>
      <c r="V287" s="2086">
        <f>IF(AND(V98&gt;0,V237&lt;&gt;""),IF(Location="Indoors",IF(V301&lt;=V237,0.1,V$127*((IF(Enclosed_Ventilation_Rate&gt;1,Enclosed_Ventilation_Rate,1)*Enclosed_Process_Volume*V98*V301/88020000000)*1000000*(1/(V237)-1/V301)/(V98*Wind))^V$128),IF(1000000/(V237)&lt;=1/V$99,0.1,IF(V156="Instantaneous",V$153*((V83/V98)*(1000000/V237))^V$154-V$155,V$127*(V89*(1000000/(V237))/(V98*Wind))^V$128-V$129))),0.1)</f>
        <v>0.1</v>
      </c>
      <c r="W287" s="83"/>
      <c r="X287" s="2086">
        <f>IF(AND(X98&gt;0,X237&lt;&gt;""),IF(Location="Indoors",IF(X301&lt;=X237,0.1,X$127*((IF(Enclosed_Ventilation_Rate&gt;1,Enclosed_Ventilation_Rate,1)*Enclosed_Process_Volume*X98*X301/88020000000)*1000000*(1/(X237)-1/X301)/(X98*Wind))^X$128),IF(1000000/(X237)&lt;=1/X$99,0.1,IF(X156="Instantaneous",X$153*((X83/X98)*(1000000/X237))^X$154-X$155,X$127*(X89*(1000000/(X237))/(X98*Wind))^X$128-X$129))),0.1)</f>
        <v>0.1</v>
      </c>
      <c r="Y287" s="83"/>
      <c r="Z287" s="85" t="s">
        <v>1068</v>
      </c>
      <c r="AA287" s="83"/>
      <c r="AB287" s="81"/>
      <c r="AC287" s="850" t="s">
        <v>3821</v>
      </c>
      <c r="AD287" s="1694"/>
      <c r="AE287" s="2100">
        <f>IF(AE274&lt;&gt;"",IF(AE268/AE274=1,0,LN(0.01)-LN(0.02)/(1-(AE268/AE274)^(2*IF(AE169="Instantaneous",AE$167,AE$141)))),0)</f>
        <v>0</v>
      </c>
      <c r="AF287" s="1694"/>
      <c r="AG287" s="2100">
        <f>IF(AG274&lt;&gt;"",IF(AG268/AG274=1,0,LN(0.01)-LN(0.02)/(1-(AG268/AG274)^(2*IF(AG169="Instantaneous",AG$167,AG$141)))),0)</f>
        <v>0</v>
      </c>
      <c r="AH287" s="1694"/>
      <c r="AI287" s="2100">
        <f>IF(AI274&lt;&gt;"",IF(AI268/AI274=1,0,LN(0.01)-LN(0.02)/(1-(AI268/AI274)^(2*IF(AI169="Instantaneous",AI$167,AI$141)))),0)</f>
        <v>0</v>
      </c>
      <c r="AJ287" s="1694"/>
      <c r="AK287" s="2100">
        <f>IF(AK274&lt;&gt;"",IF(AK268/AK274=1,0,LN(0.01)-LN(0.02)/(1-(AK268/AK274)^(2*IF(AK169="Instantaneous",AK$167,AK$141)))),0)</f>
        <v>0</v>
      </c>
      <c r="AL287" s="1694"/>
      <c r="AM287" s="2100">
        <f>IF(AM274&lt;&gt;"",IF(AM268/AM274=1,0,LN(0.01)-LN(0.02)/(1-(AM268/AM274)^(2*IF(AM169="Instantaneous",AM$167,AM$141)))),0)</f>
        <v>0</v>
      </c>
      <c r="AN287" s="1694"/>
      <c r="AO287" s="2100">
        <f>IF(AO274&lt;&gt;"",IF(AO268/AO274=1,0,LN(0.01)-LN(0.02)/(1-(AO268/AO274)^(2*IF(AO169="Instantaneous",AO$167,AO$141)))),0)</f>
        <v>0</v>
      </c>
      <c r="AP287" s="81"/>
      <c r="AQ287" s="1689"/>
      <c r="AR287" s="81"/>
      <c r="AS287" s="83"/>
      <c r="AT287" s="85" t="s">
        <v>3540</v>
      </c>
      <c r="AU287" s="83"/>
      <c r="AV287" s="2104">
        <f>IF(AND(AV82&gt;0,AV270&lt;&gt;""),IF(Location="Indoors",IF(AV299&lt;=AV270,0.1,AV$176*((IF(Enclosed_Ventilation_Rate&gt;1,Enclosed_Ventilation_Rate,1)*Enclosed_Process_Volume*AV82*AV299/88020000000)*1000000*(1/AV270-1/AV299)/(AV82*Wind_Night))^AV$177),IF(1000000/AV270&lt;=1/AV$83,0.1,IF(AV205="Instantaneous",AV$202*((AV67/AV82)*(1000000/AV270))^AV$203-AV$204,AV$176*(AV73*(1000000/AV270)/(AV82*Wind_Night))^AV$177)-AV$178)),0.1)</f>
        <v>0.1</v>
      </c>
      <c r="AW287" s="83"/>
      <c r="AX287" s="2104">
        <f>IF(AND(AX82&gt;0,AX270&lt;&gt;""),IF(Location="Indoors",IF(AX299&lt;=AX270,0.1,AX$176*((IF(Enclosed_Ventilation_Rate&gt;1,Enclosed_Ventilation_Rate,1)*Enclosed_Process_Volume*AX82*AX299/88020000000)*1000000*(1/AX270-1/AX299)/(AX82*Wind_Night))^AX$177),IF(1000000/AX270&lt;=1/AX$83,0.1,IF(AX205="Instantaneous",AX$202*((AX67/AX82)*(1000000/AX270))^AX$203-AX$204,AX$176*(AX73*(1000000/AX270)/(AX82*Wind_Night))^AX$177)-AX$178)),0.1)</f>
        <v>0.1</v>
      </c>
      <c r="AY287" s="83"/>
      <c r="AZ287" s="2104">
        <f>IF(AND(AZ82&gt;0,AZ270&lt;&gt;""),IF(Location="Indoors",IF(AZ299&lt;=AZ270,0.1,AZ$176*((IF(Enclosed_Ventilation_Rate&gt;1,Enclosed_Ventilation_Rate,1)*Enclosed_Process_Volume*AZ82*AZ299/88020000000)*1000000*(1/AZ270-1/AZ299)/(AZ82*Wind_Night))^AZ$177),IF(1000000/AZ270&lt;=1/AZ$83,0.1,IF(AZ205="Instantaneous",AZ$202*((AZ67/AZ82)*(1000000/AZ270))^AZ$203-AZ$204,AZ$176*(AZ73*(1000000/AZ270)/(AZ82*Wind_Night))^AZ$177)-AZ$178)),0.1)</f>
        <v>0.1</v>
      </c>
      <c r="BA287" s="83"/>
      <c r="BB287" s="2104">
        <f>IF(AND(BB82&gt;0,BB270&lt;&gt;""),IF(Location="Indoors",IF(BB299&lt;=BB270,0.1,BB$176*((IF(Enclosed_Ventilation_Rate&gt;1,Enclosed_Ventilation_Rate,1)*Enclosed_Process_Volume*BB82*BB299/88020000000)*1000000*(1/BB270-1/BB299)/(BB82*Wind_Night))^BB$177),IF(1000000/BB270&lt;=1/BB$83,0.1,IF(BB205="Instantaneous",BB$202*((BB67/BB82)*(1000000/BB270))^BB$203-BB$204,BB$176*(BB73*(1000000/BB270)/(BB82*Wind_Night))^BB$177)-BB$178)),0.1)</f>
        <v>0.1</v>
      </c>
      <c r="BC287" s="83"/>
      <c r="BD287" s="2104">
        <f>IF(AND(BD82&gt;0,BD270&lt;&gt;""),IF(Location="Indoors",IF(BD299&lt;=BD270,0.1,BD$176*((IF(Enclosed_Ventilation_Rate&gt;1,Enclosed_Ventilation_Rate,1)*Enclosed_Process_Volume*BD82*BD299/88020000000)*1000000*(1/BD270-1/BD299)/(BD82*Wind_Night))^BD$177),IF(1000000/BD270&lt;=1/BD$83,0.1,IF(BD205="Instantaneous",BD$202*((BD67/BD82)*(1000000/BD270))^BD$203-BD$204,BD$176*(BD73*(1000000/BD270)/(BD82*Wind_Night))^BD$177)-BD$178)),0.1)</f>
        <v>0.1</v>
      </c>
      <c r="BE287" s="83"/>
      <c r="BF287" s="2104">
        <f>IF(AND(BF82&gt;0,BF270&lt;&gt;""),IF(Location="Indoors",IF(BF299&lt;=BF270,0.1,BF$176*((IF(Enclosed_Ventilation_Rate&gt;1,Enclosed_Ventilation_Rate,1)*Enclosed_Process_Volume*BF82*BF299/88020000000)*1000000*(1/BF270-1/BF299)/(BF82*Wind_Night))^BF$177),IF(1000000/BF270&lt;=1/BF$83,0.1,IF(BF205="Instantaneous",BF$202*((BF67/BF82)*(1000000/BF270))^BF$203-BF$204,BF$176*(BF73*(1000000/BF270)/(BF82*Wind_Night))^BF$177)-BF$178)),0.1)</f>
        <v>0.1</v>
      </c>
      <c r="BG287" s="83"/>
      <c r="BH287" s="2104">
        <f>IF(AND(BH82&gt;0,BH270&lt;&gt;""),IF(Location="Indoors",IF(BH299&lt;=BH270,0.1,BH$176*((IF(Enclosed_Ventilation_Rate&gt;1,Enclosed_Ventilation_Rate,1)*Enclosed_Process_Volume*BH82*BH299/88020000000)*1000000*(1/BH270-1/BH299)/(BH82*Wind_Night))^BH$177),IF(1000000/BH270&lt;=1/BH$83,0.1,IF(BH205="Instantaneous",BH$202*((BH67/BH82)*(1000000/BH270))^BH$203-BH$204,BH$176*(BH73*(1000000/BH270)/(BH82*Wind_Night))^BH$177)-BH$178)),0.1)</f>
        <v>0.1</v>
      </c>
      <c r="BI287" s="83"/>
      <c r="BJ287" s="2104">
        <f>IF(AND(BJ82&gt;0,BJ270&lt;&gt;""),IF(Location="Indoors",IF(BJ299&lt;=BJ270,0.1,BJ$176*((IF(Enclosed_Ventilation_Rate&gt;1,Enclosed_Ventilation_Rate,1)*Enclosed_Process_Volume*BJ82*BJ299/88020000000)*1000000*(1/BJ270-1/BJ299)/(BJ82*Wind_Night))^BJ$177),IF(1000000/BJ270&lt;=1/BJ$83,0.1,IF(BJ205="Instantaneous",BJ$202*((BJ67/BJ82)*(1000000/BJ270))^BJ$203-BJ$204,BJ$176*(BJ73*(1000000/BJ270)/(BJ82*Wind_Night))^BJ$177)-BJ$178)),0.1)</f>
        <v>0.1</v>
      </c>
      <c r="BK287" s="83"/>
      <c r="BL287" s="2104">
        <f>IF(AND(BL82&gt;0,BL270&lt;&gt;""),IF(Location="Indoors",IF(BL299&lt;=BL270,0.1,BL$176*((IF(Enclosed_Ventilation_Rate&gt;1,Enclosed_Ventilation_Rate,1)*Enclosed_Process_Volume*BL82*BL299/88020000000)*1000000*(1/BL270-1/BL299)/(BL82*Wind_Night))^BL$177),IF(1000000/BL270&lt;=1/BL$83,0.1,IF(BL205="Instantaneous",BL$202*((BL67/BL82)*(1000000/BL270))^BL$203-BL$204,BL$176*(BL73*(1000000/BL270)/(BL82*Wind_Night))^BL$177)-BL$178)),0.1)</f>
        <v>0.1</v>
      </c>
      <c r="BM287" s="83"/>
      <c r="BN287" s="2104">
        <f>IF(AND(BN82&gt;0,BN270&lt;&gt;""),IF(Location="Indoors",IF(BN299&lt;=BN270,0.1,BN$176*((IF(Enclosed_Ventilation_Rate&gt;1,Enclosed_Ventilation_Rate,1)*Enclosed_Process_Volume*BN82*BN299/88020000000)*1000000*(1/BN270-1/BN299)/(BN82*Wind_Night))^BN$177),IF(1000000/BN270&lt;=1/BN$83,0.1,IF(BN205="Instantaneous",BN$202*((BN67/BN82)*(1000000/BN270))^BN$203-BN$204,BN$176*(BN73*(1000000/BN270)/(BN82*Wind_Night))^BN$177)-BN$178)),0.1)</f>
        <v>0.1</v>
      </c>
      <c r="BO287" s="83"/>
      <c r="BP287" s="85" t="s">
        <v>1068</v>
      </c>
      <c r="BQ287" s="83"/>
      <c r="BR287" s="81"/>
      <c r="BS287" s="85" t="s">
        <v>4737</v>
      </c>
      <c r="BT287" s="81"/>
      <c r="BU287" s="2086">
        <f>IF(AND(BU98&gt;0,BU237&lt;&gt;""),IF(Location="Indoors",IF(BU301&lt;=BU237,0.1,BU$127*((IF(Enclosed_Ventilation_Rate&gt;1,Enclosed_Ventilation_Rate,1)*Enclosed_Process_Volume*BU98*BU301/88020000000)*1000000*(1/(BU237)-1/BU301)/(BU98*Wind))^BU$128),IF(1000000/(BU237)&lt;=1/BU$99,0.1,IF(BU156="Instantaneous",BU$153*((BU83/BU98)*(1000000/BU237))^BU$154-BU$155,BU$127*(BU89*(1000000/BU237)/(BU98*Wind))^BU$128-BU$129))),0.1)</f>
        <v>0.1</v>
      </c>
      <c r="BV287" s="81"/>
      <c r="BW287" s="2086">
        <f>IF(AND(BW98&gt;0,BW237&lt;&gt;""),IF(Location="Indoors",IF(BW301&lt;=BW237,0.1,BW$127*((IF(Enclosed_Ventilation_Rate&gt;1,Enclosed_Ventilation_Rate,1)*Enclosed_Process_Volume*BW98*BW301/88020000000)*1000000*(1/(BW237)-1/BW301)/(BW98*Wind))^BW$128),IF(1000000/(BW237)&lt;=1/BW$99,0.1,IF(BW156="Instantaneous",BW$153*((BW83/BW98)*(1000000/BW237))^BW$154-BW$155,BW$127*(BW89*(1000000/BW237)/(BW98*Wind))^BW$128-BW$129))),0.1)</f>
        <v>0.1</v>
      </c>
      <c r="BX287" s="81"/>
      <c r="BY287" s="2086">
        <f>IF(AND(BY98&gt;0,BY237&lt;&gt;""),IF(Location="Indoors",IF(BY301&lt;=BY237,0.1,BY$127*((IF(Enclosed_Ventilation_Rate&gt;1,Enclosed_Ventilation_Rate,1)*Enclosed_Process_Volume*BY98*BY301/88020000000)*1000000*(1/(BY237)-1/BY301)/(BY98*Wind))^BY$128),IF(1000000/(BY237)&lt;=1/BY$99,0.1,IF(BY156="Instantaneous",BY$153*((BY83/BY98)*(1000000/BY237))^BY$154-BY$155,BY$127*(BY89*(1000000/BY237)/(BY98*Wind))^BY$128-BY$129))),0.1)</f>
        <v>0.1</v>
      </c>
      <c r="BZ287" s="81"/>
      <c r="CA287" s="2086">
        <f>IF(AND(CA98&gt;0,CA237&lt;&gt;""),IF(Location="Indoors",IF(CA301&lt;=CA237,0.1,CA$127*((IF(Enclosed_Ventilation_Rate&gt;1,Enclosed_Ventilation_Rate,1)*Enclosed_Process_Volume*CA98*CA301/88020000000)*1000000*(1/(CA237)-1/CA301)/(CA98*Wind))^CA$128),IF(1000000/(CA237)&lt;=1/CA$99,0.1,IF(CA156="Instantaneous",CA$153*((CA83/CA98)*(1000000/CA237))^CA$154-CA$155,CA$127*(CA89*(1000000/CA237)/(CA98*Wind))^CA$128-CA$129))),0.1)</f>
        <v>0.1</v>
      </c>
      <c r="CB287" s="81"/>
      <c r="CC287" s="2086">
        <f>IF(AND(CC98&gt;0,CC237&lt;&gt;""),IF(Location="Indoors",IF(CC301&lt;=CC237,0.1,CC$127*((IF(Enclosed_Ventilation_Rate&gt;1,Enclosed_Ventilation_Rate,1)*Enclosed_Process_Volume*CC98*CC301/88020000000)*1000000*(1/(CC237)-1/CC301)/(CC98*Wind))^CC$128),IF(1000000/(CC237)&lt;=1/CC$99,0.1,IF(CC156="Instantaneous",CC$153*((CC83/CC98)*(1000000/CC237))^CC$154-CC$155,CC$127*(CC89*(1000000/CC237)/(CC98*Wind))^CC$128-CC$129))),0.1)</f>
        <v>0.1</v>
      </c>
      <c r="CD287" s="81"/>
      <c r="CE287" s="85" t="s">
        <v>1068</v>
      </c>
      <c r="CF287" s="81"/>
      <c r="CG287" s="2968"/>
      <c r="CH287" s="2972" t="s">
        <v>5090</v>
      </c>
      <c r="CI287" s="2970"/>
      <c r="CJ287" s="2974">
        <f>LN(20)</f>
        <v>2.9957322735539909</v>
      </c>
      <c r="CK287" s="2968"/>
      <c r="CL287" s="2968"/>
      <c r="CM287" s="2968"/>
      <c r="CN287" s="26"/>
      <c r="CO287" s="26"/>
      <c r="CP287" s="26"/>
      <c r="CQ287" s="26"/>
      <c r="CR287" s="26"/>
      <c r="CS287" s="26"/>
      <c r="CT287" s="26"/>
      <c r="CU287" s="26"/>
    </row>
    <row r="288" spans="1:99" ht="15" customHeight="1" thickBot="1" x14ac:dyDescent="0.3">
      <c r="A288" s="2"/>
      <c r="B288" s="85" t="s">
        <v>3823</v>
      </c>
      <c r="C288" s="83"/>
      <c r="D288" s="2086">
        <f>IF(AND(D98&gt;0,D267&lt;&gt;""),IF(Location="Indoors",IF(D301&lt;=D267,0.1,D$127*((IF(Enclosed_Ventilation_Rate&gt;1,Enclosed_Ventilation_Rate,1)*Enclosed_Process_Volume*D98*D301/88020000000)*1000000*(1/D267-1/D301)/(D98*Wind))^D$128),IF(1000000/D267&lt;=1/D$99,0.1,IF(D156="Instantaneous",D$153*((D83/D98)*(1000000/D267))^D$154-D$155,D$127*(D89*(1000000/D267)/(D98*Wind))^D$128-D$129))),0.1)</f>
        <v>0.1</v>
      </c>
      <c r="E288" s="83"/>
      <c r="F288" s="2086">
        <f>IF(AND(F98&gt;0,F267&lt;&gt;""),IF(Location="Indoors",IF(F301&lt;=F267,0.1,F$127*((IF(Enclosed_Ventilation_Rate&gt;1,Enclosed_Ventilation_Rate,1)*Enclosed_Process_Volume*F98*F301/88020000000)*1000000*(1/F267-1/F301)/(F98*Wind))^F$128),IF(1000000/F267&lt;=1/F$99,0.1,IF(F156="Instantaneous",F$153*((F83/F98)*(1000000/F267))^F$154-F$155,F$127*(F89*(1000000/F267)/(F98*Wind))^F$128-F$129))),0.1)</f>
        <v>0.1</v>
      </c>
      <c r="G288" s="83"/>
      <c r="H288" s="2086">
        <f>IF(AND(H98&gt;0,H267&lt;&gt;""),IF(Location="Indoors",IF(H301&lt;=H267,0.1,H$127*((IF(Enclosed_Ventilation_Rate&gt;1,Enclosed_Ventilation_Rate,1)*Enclosed_Process_Volume*H98*H301/88020000000)*1000000*(1/H267-1/H301)/(H98*Wind))^H$128),IF(1000000/H267&lt;=1/H$99,0.1,IF(H156="Instantaneous",H$153*((H83/H98)*(1000000/H267))^H$154-H$155,H$127*(H89*(1000000/H267)/(H98*Wind))^H$128-H$129))),0.1)</f>
        <v>0.1</v>
      </c>
      <c r="I288" s="83"/>
      <c r="J288" s="2086">
        <f>IF(AND(J98&gt;0,J267&lt;&gt;""),IF(Location="Indoors",IF(J301&lt;=J267,0.1,J$127*((IF(Enclosed_Ventilation_Rate&gt;1,Enclosed_Ventilation_Rate,1)*Enclosed_Process_Volume*J98*J301/88020000000)*1000000*(1/J267-1/J301)/(J98*Wind))^J$128),IF(1000000/J267&lt;=1/J$99,0.1,IF(J156="Instantaneous",J$153*((J83/J98)*(1000000/J267))^J$154-J$155,J$127*(J89*(1000000/J267)/(J98*Wind))^J$128-J$129))),0.1)</f>
        <v>0.1</v>
      </c>
      <c r="K288" s="83"/>
      <c r="L288" s="2086">
        <f>IF(AND(L98&gt;0,L267&lt;&gt;""),IF(Location="Indoors",IF(L301&lt;=L267,0.1,L$127*((IF(Enclosed_Ventilation_Rate&gt;1,Enclosed_Ventilation_Rate,1)*Enclosed_Process_Volume*L98*L301/88020000000)*1000000*(1/L267-1/L301)/(L98*Wind))^L$128),IF(1000000/L267&lt;=1/L$99,0.1,IF(L156="Instantaneous",L$153*((L83/L98)*(1000000/L267))^L$154-L$155,L$127*(L89*(1000000/L267)/(L98*Wind))^L$128-L$129))),0.1)</f>
        <v>0.1</v>
      </c>
      <c r="M288" s="83"/>
      <c r="N288" s="2086">
        <f>IF(AND(N98&gt;0,N267&lt;&gt;""),IF(Location="Indoors",IF(N301&lt;=N267,0.1,N$127*((IF(Enclosed_Ventilation_Rate&gt;1,Enclosed_Ventilation_Rate,1)*Enclosed_Process_Volume*N98*N301/88020000000)*1000000*(1/N267-1/N301)/(N98*Wind))^N$128),IF(1000000/N267&lt;=1/N$99,0.1,IF(N156="Instantaneous",N$153*((N83/N98)*(1000000/N267))^N$154-N$155,N$127*(N89*(1000000/N267)/(N98*Wind))^N$128-N$129))),0.1)</f>
        <v>0.1</v>
      </c>
      <c r="O288" s="83"/>
      <c r="P288" s="2086">
        <f>IF(AND(P98&gt;0,P267&lt;&gt;""),IF(Location="Indoors",IF(P301&lt;=P267,0.1,P$127*((IF(Enclosed_Ventilation_Rate&gt;1,Enclosed_Ventilation_Rate,1)*Enclosed_Process_Volume*P98*P301/88020000000)*1000000*(1/P267-1/P301)/(P98*Wind))^P$128),IF(1000000/P267&lt;=1/P$99,0.1,IF(P156="Instantaneous",P$153*((P83/P98)*(1000000/P267))^P$154-P$155,P$127*(P89*(1000000/P267)/(P98*Wind))^P$128-P$129))),0.1)</f>
        <v>0.1</v>
      </c>
      <c r="Q288" s="83"/>
      <c r="R288" s="2086">
        <f>IF(AND(R98&gt;0,R267&lt;&gt;""),IF(Location="Indoors",IF(R301&lt;=R267,0.1,R$127*((IF(Enclosed_Ventilation_Rate&gt;1,Enclosed_Ventilation_Rate,1)*Enclosed_Process_Volume*R98*R301/88020000000)*1000000*(1/R267-1/R301)/(R98*Wind))^R$128),IF(1000000/R267&lt;=1/R$99,0.1,IF(R156="Instantaneous",R$153*((R83/R98)*(1000000/R267))^R$154-R$155,R$127*(R89*(1000000/R267)/(R98*Wind))^R$128-R$129))),0.1)</f>
        <v>0.1</v>
      </c>
      <c r="S288" s="83"/>
      <c r="T288" s="2086">
        <f>IF(AND(T98&gt;0,T267&lt;&gt;""),IF(Location="Indoors",IF(T301&lt;=T267,0.1,T$127*((IF(Enclosed_Ventilation_Rate&gt;1,Enclosed_Ventilation_Rate,1)*Enclosed_Process_Volume*T98*T301/88020000000)*1000000*(1/T267-1/T301)/(T98*Wind))^T$128),IF(1000000/T267&lt;=1/T$99,0.1,IF(T156="Instantaneous",T$153*((T83/T98)*(1000000/T267))^T$154-T$155,T$127*(T89*(1000000/T267)/(T98*Wind))^T$128-T$129))),0.1)</f>
        <v>0.1</v>
      </c>
      <c r="U288" s="83"/>
      <c r="V288" s="2086">
        <f>IF(AND(V98&gt;0,V267&lt;&gt;""),IF(Location="Indoors",IF(V301&lt;=V267,0.1,V$127*((IF(Enclosed_Ventilation_Rate&gt;1,Enclosed_Ventilation_Rate,1)*Enclosed_Process_Volume*V98*V301/88020000000)*1000000*(1/V267-1/V301)/(V98*Wind))^V$128),IF(1000000/V267&lt;=1/V$99,0.1,IF(V156="Instantaneous",V$153*((V83/V98)*(1000000/V267))^V$154-V$155,V$127*(V89*(1000000/V267)/(V98*Wind))^V$128-V$129))),0.1)</f>
        <v>0.1</v>
      </c>
      <c r="W288" s="83"/>
      <c r="X288" s="2086">
        <f>IF(AND(X98&gt;0,X267&lt;&gt;""),IF(Location="Indoors",IF(X301&lt;=X267,0.1,X$127*((IF(Enclosed_Ventilation_Rate&gt;1,Enclosed_Ventilation_Rate,1)*Enclosed_Process_Volume*X98*X301/88020000000)*1000000*(1/X267-1/X301)/(X98*Wind))^X$128),IF(1000000/X267&lt;=1/X$99,0.1,IF(X156="Instantaneous",X$153*((X83/X98)*(1000000/X267))^X$154-X$155,X$127*(X89*(1000000/X267)/(X98*Wind))^X$128-X$129))),0.1)</f>
        <v>0.1</v>
      </c>
      <c r="Y288" s="83"/>
      <c r="Z288" s="23"/>
      <c r="AA288" s="83"/>
      <c r="AB288" s="81"/>
      <c r="AC288" s="848" t="s">
        <v>3822</v>
      </c>
      <c r="AD288" s="81"/>
      <c r="AE288" s="2101">
        <f>IF(AE268&lt;&gt;"",(LN(0.01)-AE287)*AE268^(2*IF(AE169="Instantaneous",AE$167,AE$141)),0)</f>
        <v>0</v>
      </c>
      <c r="AF288" s="81"/>
      <c r="AG288" s="2101">
        <f>IF(AG268&lt;&gt;"",(LN(0.01)-AG287)*AG268^(2*IF(AG169="Instantaneous",AG$167,AG$141)),0)</f>
        <v>0</v>
      </c>
      <c r="AH288" s="81"/>
      <c r="AI288" s="2101">
        <f>IF(AI268&lt;&gt;"",(LN(0.01)-AI287)*AI268^(2*IF(AI169="Instantaneous",AI$167,AI$141)),0)</f>
        <v>0</v>
      </c>
      <c r="AJ288" s="81"/>
      <c r="AK288" s="2101">
        <f>IF(AK268&lt;&gt;"",(LN(0.01)-AK287)*AK268^(2*IF(AK169="Instantaneous",AK$167,AK$141)),0)</f>
        <v>0</v>
      </c>
      <c r="AL288" s="81"/>
      <c r="AM288" s="2101">
        <f>IF(AM268&lt;&gt;"",(LN(0.01)-AM287)*AM268^(2*IF(AM169="Instantaneous",AM$167,AM$141)),0)</f>
        <v>0</v>
      </c>
      <c r="AN288" s="81"/>
      <c r="AO288" s="2101">
        <f>IF(AO268&lt;&gt;"",(LN(0.01)-AO287)*AO268^(2*IF(AO169="Instantaneous",AO$167,AO$141)),0)</f>
        <v>0</v>
      </c>
      <c r="AP288" s="81"/>
      <c r="AQ288" s="1691"/>
      <c r="AR288" s="81"/>
      <c r="AS288" s="83"/>
      <c r="AT288" s="25" t="s">
        <v>3772</v>
      </c>
      <c r="AU288" s="83"/>
      <c r="AV288" s="2105">
        <f>IF(AND(AV82&gt;0,AV270&lt;&gt;""),IF(Location="Indoors",IF(ConcFract_Indoor*AV299&lt;=AV270,0.1,AV$176*((IF(Enclosed_Ventilation_Rate&gt;1,Enclosed_Ventilation_Rate,1)*Enclosed_Process_Volume*AV82*AV299/88020000000)*1000000*(ConcFract_Indoor/AV270-1/AV299)/(AV82*Wind_Night))^AV$177),IF(AV270&gt;=ConcFract_Indoor*1000000*AV$83,0.1,IF(AV205="Instantaneous",AV$202*((AV67/AV82)*(ConcFract_Indoor*1000000/AV270))^AV$203-AV$204,AV$176*(AV73*(ConcFract_Indoor*1000000/AV270)/(AV82*Wind_Night))^AV$177-AV$178))),0.1)</f>
        <v>0.1</v>
      </c>
      <c r="AW288" s="83"/>
      <c r="AX288" s="2105">
        <f>IF(AND(AX82&gt;0,AX270&lt;&gt;""),IF(Location="Indoors",IF(ConcFract_Indoor*AX299&lt;=AX270,0.1,AX$176*((IF(Enclosed_Ventilation_Rate&gt;1,Enclosed_Ventilation_Rate,1)*Enclosed_Process_Volume*AX82*AX299/88020000000)*1000000*(ConcFract_Indoor/AX270-1/AX299)/(AX82*Wind_Night))^AX$177),IF(AX270&gt;=ConcFract_Indoor*1000000*AX$83,0.1,IF(AX205="Instantaneous",AX$202*((AX67/AX82)*(ConcFract_Indoor*1000000/AX270))^AX$203-AX$204,AX$176*(AX73*(ConcFract_Indoor*1000000/AX270)/(AX82*Wind_Night))^AX$177-AX$178))),0.1)</f>
        <v>0.1</v>
      </c>
      <c r="AY288" s="83"/>
      <c r="AZ288" s="2105">
        <f>IF(AND(AZ82&gt;0,AZ270&lt;&gt;""),IF(Location="Indoors",IF(ConcFract_Indoor*AZ299&lt;=AZ270,0.1,AZ$176*((IF(Enclosed_Ventilation_Rate&gt;1,Enclosed_Ventilation_Rate,1)*Enclosed_Process_Volume*AZ82*AZ299/88020000000)*1000000*(ConcFract_Indoor/AZ270-1/AZ299)/(AZ82*Wind_Night))^AZ$177),IF(AZ270&gt;=ConcFract_Indoor*1000000*AZ$83,0.1,IF(AZ205="Instantaneous",AZ$202*((AZ67/AZ82)*(ConcFract_Indoor*1000000/AZ270))^AZ$203-AZ$204,AZ$176*(AZ73*(ConcFract_Indoor*1000000/AZ270)/(AZ82*Wind_Night))^AZ$177-AZ$178))),0.1)</f>
        <v>0.1</v>
      </c>
      <c r="BA288" s="83"/>
      <c r="BB288" s="2105">
        <f>IF(AND(BB82&gt;0,BB270&lt;&gt;""),IF(Location="Indoors",IF(ConcFract_Indoor*BB299&lt;=BB270,0.1,BB$176*((IF(Enclosed_Ventilation_Rate&gt;1,Enclosed_Ventilation_Rate,1)*Enclosed_Process_Volume*BB82*BB299/88020000000)*1000000*(ConcFract_Indoor/BB270-1/BB299)/(BB82*Wind_Night))^BB$177),IF(BB270&gt;=ConcFract_Indoor*1000000*BB$83,0.1,IF(BB205="Instantaneous",BB$202*((BB67/BB82)*(ConcFract_Indoor*1000000/BB270))^BB$203-BB$204,BB$176*(BB73*(ConcFract_Indoor*1000000/BB270)/(BB82*Wind_Night))^BB$177-BB$178))),0.1)</f>
        <v>0.1</v>
      </c>
      <c r="BC288" s="83"/>
      <c r="BD288" s="2105">
        <f>IF(AND(BD82&gt;0,BD270&lt;&gt;""),IF(Location="Indoors",IF(ConcFract_Indoor*BD299&lt;=BD270,0.1,BD$176*((IF(Enclosed_Ventilation_Rate&gt;1,Enclosed_Ventilation_Rate,1)*Enclosed_Process_Volume*BD82*BD299/88020000000)*1000000*(ConcFract_Indoor/BD270-1/BD299)/(BD82*Wind_Night))^BD$177),IF(BD270&gt;=ConcFract_Indoor*1000000*BD$83,0.1,IF(BD205="Instantaneous",BD$202*((BD67/BD82)*(ConcFract_Indoor*1000000/BD270))^BD$203-BD$204,BD$176*(BD73*(ConcFract_Indoor*1000000/BD270)/(BD82*Wind_Night))^BD$177-BD$178))),0.1)</f>
        <v>0.1</v>
      </c>
      <c r="BE288" s="83"/>
      <c r="BF288" s="2105">
        <f>IF(AND(BF82&gt;0,BF270&lt;&gt;""),IF(Location="Indoors",IF(ConcFract_Indoor*BF299&lt;=BF270,0.1,BF$176*((IF(Enclosed_Ventilation_Rate&gt;1,Enclosed_Ventilation_Rate,1)*Enclosed_Process_Volume*BF82*BF299/88020000000)*1000000*(ConcFract_Indoor/BF270-1/BF299)/(BF82*Wind_Night))^BF$177),IF(BF270&gt;=ConcFract_Indoor*1000000*BF$83,0.1,IF(BF205="Instantaneous",BF$202*((BF67/BF82)*(ConcFract_Indoor*1000000/BF270))^BF$203-BF$204,BF$176*(BF73*(ConcFract_Indoor*1000000/BF270)/(BF82*Wind_Night))^BF$177-BF$178))),0.1)</f>
        <v>0.1</v>
      </c>
      <c r="BG288" s="83"/>
      <c r="BH288" s="2105">
        <f>IF(AND(BH82&gt;0,BH270&lt;&gt;""),IF(Location="Indoors",IF(ConcFract_Indoor*BH299&lt;=BH270,0.1,BH$176*((IF(Enclosed_Ventilation_Rate&gt;1,Enclosed_Ventilation_Rate,1)*Enclosed_Process_Volume*BH82*BH299/88020000000)*1000000*(ConcFract_Indoor/BH270-1/BH299)/(BH82*Wind_Night))^BH$177),IF(BH270&gt;=ConcFract_Indoor*1000000*BH$83,0.1,IF(BH205="Instantaneous",BH$202*((BH67/BH82)*(ConcFract_Indoor*1000000/BH270))^BH$203-BH$204,BH$176*(BH73*(ConcFract_Indoor*1000000/BH270)/(BH82*Wind_Night))^BH$177-BH$178))),0.1)</f>
        <v>0.1</v>
      </c>
      <c r="BI288" s="83"/>
      <c r="BJ288" s="2105">
        <f>IF(AND(BJ82&gt;0,BJ270&lt;&gt;""),IF(Location="Indoors",IF(ConcFract_Indoor*BJ299&lt;=BJ270,0.1,BJ$176*((IF(Enclosed_Ventilation_Rate&gt;1,Enclosed_Ventilation_Rate,1)*Enclosed_Process_Volume*BJ82*BJ299/88020000000)*1000000*(ConcFract_Indoor/BJ270-1/BJ299)/(BJ82*Wind_Night))^BJ$177),IF(BJ270&gt;=ConcFract_Indoor*1000000*BJ$83,0.1,IF(BJ205="Instantaneous",BJ$202*((BJ67/BJ82)*(ConcFract_Indoor*1000000/BJ270))^BJ$203-BJ$204,BJ$176*(BJ73*(ConcFract_Indoor*1000000/BJ270)/(BJ82*Wind_Night))^BJ$177-BJ$178))),0.1)</f>
        <v>0.1</v>
      </c>
      <c r="BK288" s="83"/>
      <c r="BL288" s="2105">
        <f>IF(AND(BL82&gt;0,BL270&lt;&gt;""),IF(Location="Indoors",IF(ConcFract_Indoor*BL299&lt;=BL270,0.1,BL$176*((IF(Enclosed_Ventilation_Rate&gt;1,Enclosed_Ventilation_Rate,1)*Enclosed_Process_Volume*BL82*BL299/88020000000)*1000000*(ConcFract_Indoor/BL270-1/BL299)/(BL82*Wind_Night))^BL$177),IF(BL270&gt;=ConcFract_Indoor*1000000*BL$83,0.1,IF(BL205="Instantaneous",BL$202*((BL67/BL82)*(ConcFract_Indoor*1000000/BL270))^BL$203-BL$204,BL$176*(BL73*(ConcFract_Indoor*1000000/BL270)/(BL82*Wind_Night))^BL$177-BL$178))),0.1)</f>
        <v>0.1</v>
      </c>
      <c r="BM288" s="83"/>
      <c r="BN288" s="2105">
        <f>IF(AND(BN82&gt;0,BN270&lt;&gt;""),IF(Location="Indoors",IF(ConcFract_Indoor*BN299&lt;=BN270,0.1,BN$176*((IF(Enclosed_Ventilation_Rate&gt;1,Enclosed_Ventilation_Rate,1)*Enclosed_Process_Volume*BN82*BN299/88020000000)*1000000*(ConcFract_Indoor/BN270-1/BN299)/(BN82*Wind_Night))^BN$177),IF(BN270&gt;=ConcFract_Indoor*1000000*BN$83,0.1,IF(BN205="Instantaneous",BN$202*((BN67/BN82)*(ConcFract_Indoor*1000000/BN270))^BN$203-BN$204,BN$176*(BN73*(ConcFract_Indoor*1000000/BN270)/(BN82*Wind_Night))^BN$177-BN$178))),0.1)</f>
        <v>0.1</v>
      </c>
      <c r="BO288" s="83"/>
      <c r="BP288" s="25"/>
      <c r="BQ288" s="83"/>
      <c r="BR288" s="81"/>
      <c r="BS288" s="85" t="s">
        <v>3823</v>
      </c>
      <c r="BT288" s="81"/>
      <c r="BU288" s="2086">
        <f>IF(AND(BU98&gt;0,BU267&lt;&gt;""),IF(Location="Indoors",IF(BU301&lt;=BU267,0.1,BU$127*((IF(Enclosed_Ventilation_Rate&gt;1,Enclosed_Ventilation_Rate,1)*Enclosed_Process_Volume*BU98*BU301/88020000000)*1000000*(1/BU267-1/BU301)/(BU98*Wind))^BU$128),IF(1000000/BU267&lt;=1/BU$99,0.1,IF(BU156="Instantaneous",BU$153*((BU83/BU98)*(1000000/BU267))^BU$154-BU$155,BU$127*(BU89*(1000000/BU267)/(BU98*Wind))^BU$128-BU$129))),0.1)</f>
        <v>0.1</v>
      </c>
      <c r="BV288" s="81"/>
      <c r="BW288" s="2086">
        <f>IF(AND(BW98&gt;0,BW267&lt;&gt;""),IF(Location="Indoors",IF(BW301&lt;=BW267,0.1,BW$127*((IF(Enclosed_Ventilation_Rate&gt;1,Enclosed_Ventilation_Rate,1)*Enclosed_Process_Volume*BW98*BW301/88020000000)*1000000*(1/BW267-1/BW301)/(BW98*Wind))^BW$128),IF(1000000/BW267&lt;=1/BW$99,0.1,IF(BW156="Instantaneous",BW$153*((BW83/BW98)*(1000000/BW267))^BW$154-BW$155,BW$127*(BW89*(1000000/BW267)/(BW98*Wind))^BW$128-BW$129))),0.1)</f>
        <v>0.1</v>
      </c>
      <c r="BX288" s="81"/>
      <c r="BY288" s="2086">
        <f>IF(AND(BY98&gt;0,BY267&lt;&gt;""),IF(Location="Indoors",IF(BY301&lt;=BY267,0.1,BY$127*((IF(Enclosed_Ventilation_Rate&gt;1,Enclosed_Ventilation_Rate,1)*Enclosed_Process_Volume*BY98*BY301/88020000000)*1000000*(1/BY267-1/BY301)/(BY98*Wind))^BY$128),IF(1000000/BY267&lt;=1/BY$99,0.1,IF(BY156="Instantaneous",BY$153*((BY83/BY98)*(1000000/BY267))^BY$154-BY$155,BY$127*(BY89*(1000000/BY267)/(BY98*Wind))^BY$128-BY$129))),0.1)</f>
        <v>0.1</v>
      </c>
      <c r="BZ288" s="81"/>
      <c r="CA288" s="2086">
        <f>IF(AND(CA98&gt;0,CA267&lt;&gt;""),IF(Location="Indoors",IF(CA301&lt;=CA267,0.1,CA$127*((IF(Enclosed_Ventilation_Rate&gt;1,Enclosed_Ventilation_Rate,1)*Enclosed_Process_Volume*CA98*CA301/88020000000)*1000000*(1/CA267-1/CA301)/(CA98*Wind))^CA$128),IF(1000000/CA267&lt;=1/CA$99,0.1,IF(CA156="Instantaneous",CA$153*((CA83/CA98)*(1000000/CA267))^CA$154-CA$155,CA$127*(CA89*(1000000/CA267)/(CA98*Wind))^CA$128-CA$129))),0.1)</f>
        <v>0.1</v>
      </c>
      <c r="CB288" s="81"/>
      <c r="CC288" s="2086">
        <f>IF(AND(CC98&gt;0,CC267&lt;&gt;""),IF(Location="Indoors",IF(CC301&lt;=CC267,0.1,CC$127*((IF(Enclosed_Ventilation_Rate&gt;1,Enclosed_Ventilation_Rate,1)*Enclosed_Process_Volume*CC98*CC301/88020000000)*1000000*(1/CC267-1/CC301)/(CC98*Wind))^CC$128),IF(1000000/CC267&lt;=1/CC$99,0.1,IF(CC156="Instantaneous",CC$153*((CC83/CC98)*(1000000/CC267))^CC$154-CC$155,CC$127*(CC89*(1000000/CC267)/(CC98*Wind))^CC$128-CC$129))),0.1)</f>
        <v>0.1</v>
      </c>
      <c r="CD288" s="81"/>
      <c r="CE288" s="85" t="s">
        <v>1068</v>
      </c>
      <c r="CF288" s="81"/>
      <c r="CG288" s="2968"/>
      <c r="CH288" s="2972" t="s">
        <v>5091</v>
      </c>
      <c r="CI288" s="2969"/>
      <c r="CJ288" s="2974">
        <f>LN(50)</f>
        <v>3.912023005428146</v>
      </c>
      <c r="CK288" s="2968"/>
      <c r="CL288" s="2968"/>
      <c r="CM288" s="2968"/>
      <c r="CN288" s="26"/>
      <c r="CO288" s="26"/>
      <c r="CP288" s="26"/>
      <c r="CQ288" s="26"/>
      <c r="CR288" s="26"/>
      <c r="CS288" s="26"/>
      <c r="CT288" s="26"/>
      <c r="CU288" s="26"/>
    </row>
    <row r="289" spans="1:99" ht="15" customHeight="1" thickBot="1" x14ac:dyDescent="0.3">
      <c r="A289" s="2"/>
      <c r="B289" s="85" t="s">
        <v>3824</v>
      </c>
      <c r="C289" s="83"/>
      <c r="D289" s="2104">
        <f>IF(AND(D98&gt;0,D267&lt;&gt;""),IF(Location="Indoors",IF(ConcFract_Indoor*D301&lt;=D267,0.1,D$127*((IF(Enclosed_Ventilation_Rate&gt;1,Enclosed_Ventilation_Rate,1)*Enclosed_Process_Volume*D98*D301/88020000000)*1000000*(ConcFract_Indoor/D267-1/D301)/(D98*Wind))^D$128),IF(D267&gt;=ConcFract_Indoor*1000000*D$99,0.1,IF(D208="Instantaneous",D$153*((D83/D98)*(ConcFract_Indoor*1000000/D267))^D$154-D$155,D$127*(D89*(ConcFract_Indoor*1000000/D267)/(D98*Wind))^D$128-D$129))),0.1)</f>
        <v>0.1</v>
      </c>
      <c r="E289" s="83"/>
      <c r="F289" s="2104">
        <f>IF(AND(F98&gt;0,F267&lt;&gt;""),IF(Location="Indoors",IF(ConcFract_Indoor*F301&lt;=F267,0.1,F$127*((IF(Enclosed_Ventilation_Rate&gt;1,Enclosed_Ventilation_Rate,1)*Enclosed_Process_Volume*F98*F301/88020000000)*1000000*(ConcFract_Indoor/F267-1/F301)/(F98*Wind))^F$128),IF(F267&gt;=ConcFract_Indoor*1000000*F$99,0.1,IF(F208="Instantaneous",F$153*((F83/F98)*(ConcFract_Indoor*1000000/F267))^F$154-F$155,F$127*(F89*(ConcFract_Indoor*1000000/F267)/(F98*Wind))^F$128-F$129))),0.1)</f>
        <v>0.1</v>
      </c>
      <c r="G289" s="83"/>
      <c r="H289" s="2104">
        <f>IF(AND(H98&gt;0,H267&lt;&gt;""),IF(Location="Indoors",IF(ConcFract_Indoor*H301&lt;=H267,0.1,H$127*((IF(Enclosed_Ventilation_Rate&gt;1,Enclosed_Ventilation_Rate,1)*Enclosed_Process_Volume*H98*H301/88020000000)*1000000*(ConcFract_Indoor/H267-1/H301)/(H98*Wind))^H$128),IF(H267&gt;=ConcFract_Indoor*1000000*H$99,0.1,IF(H208="Instantaneous",H$153*((H83/H98)*(ConcFract_Indoor*1000000/H267))^H$154-H$155,H$127*(H89*(ConcFract_Indoor*1000000/H267)/(H98*Wind))^H$128-H$129))),0.1)</f>
        <v>0.1</v>
      </c>
      <c r="I289" s="83"/>
      <c r="J289" s="2104">
        <f>IF(AND(J98&gt;0,J267&lt;&gt;""),IF(Location="Indoors",IF(ConcFract_Indoor*J301&lt;=J267,0.1,J$127*((IF(Enclosed_Ventilation_Rate&gt;1,Enclosed_Ventilation_Rate,1)*Enclosed_Process_Volume*J98*J301/88020000000)*1000000*(ConcFract_Indoor/J267-1/J301)/(J98*Wind))^J$128),IF(J267&gt;=ConcFract_Indoor*1000000*J$99,0.1,IF(J208="Instantaneous",J$153*((J83/J98)*(ConcFract_Indoor*1000000/J267))^J$154-J$155,J$127*(J89*(ConcFract_Indoor*1000000/J267)/(J98*Wind))^J$128-J$129))),0.1)</f>
        <v>0.1</v>
      </c>
      <c r="K289" s="83"/>
      <c r="L289" s="2104">
        <f>IF(AND(L98&gt;0,L267&lt;&gt;""),IF(Location="Indoors",IF(ConcFract_Indoor*L301&lt;=L267,0.1,L$127*((IF(Enclosed_Ventilation_Rate&gt;1,Enclosed_Ventilation_Rate,1)*Enclosed_Process_Volume*L98*L301/88020000000)*1000000*(ConcFract_Indoor/L267-1/L301)/(L98*Wind))^L$128),IF(L267&gt;=ConcFract_Indoor*1000000*L$99,0.1,IF(L208="Instantaneous",L$153*((L83/L98)*(ConcFract_Indoor*1000000/L267))^L$154-L$155,L$127*(L89*(ConcFract_Indoor*1000000/L267)/(L98*Wind))^L$128-L$129))),0.1)</f>
        <v>0.1</v>
      </c>
      <c r="M289" s="83"/>
      <c r="N289" s="2104">
        <f>IF(AND(N98&gt;0,N267&lt;&gt;""),IF(Location="Indoors",IF(ConcFract_Indoor*N301&lt;=N267,0.1,N$127*((IF(Enclosed_Ventilation_Rate&gt;1,Enclosed_Ventilation_Rate,1)*Enclosed_Process_Volume*N98*N301/88020000000)*1000000*(ConcFract_Indoor/N267-1/N301)/(N98*Wind))^N$128),IF(N267&gt;=ConcFract_Indoor*1000000*N$99,0.1,IF(N208="Instantaneous",N$153*((N83/N98)*(ConcFract_Indoor*1000000/N267))^N$154-N$155,N$127*(N89*(ConcFract_Indoor*1000000/N267)/(N98*Wind))^N$128-N$129))),0.1)</f>
        <v>0.1</v>
      </c>
      <c r="O289" s="83"/>
      <c r="P289" s="2104">
        <f>IF(AND(P98&gt;0,P267&lt;&gt;""),IF(Location="Indoors",IF(ConcFract_Indoor*P301&lt;=P267,0.1,P$127*((IF(Enclosed_Ventilation_Rate&gt;1,Enclosed_Ventilation_Rate,1)*Enclosed_Process_Volume*P98*P301/88020000000)*1000000*(ConcFract_Indoor/P267-1/P301)/(P98*Wind))^P$128),IF(P267&gt;=ConcFract_Indoor*1000000*P$99,0.1,IF(P208="Instantaneous",P$153*((P83/P98)*(ConcFract_Indoor*1000000/P267))^P$154-P$155,P$127*(P89*(ConcFract_Indoor*1000000/P267)/(P98*Wind))^P$128-P$129))),0.1)</f>
        <v>0.1</v>
      </c>
      <c r="Q289" s="83"/>
      <c r="R289" s="2104">
        <f>IF(AND(R98&gt;0,R267&lt;&gt;""),IF(Location="Indoors",IF(ConcFract_Indoor*R301&lt;=R267,0.1,R$127*((IF(Enclosed_Ventilation_Rate&gt;1,Enclosed_Ventilation_Rate,1)*Enclosed_Process_Volume*R98*R301/88020000000)*1000000*(ConcFract_Indoor/R267-1/R301)/(R98*Wind))^R$128),IF(R267&gt;=ConcFract_Indoor*1000000*R$99,0.1,IF(R208="Instantaneous",R$153*((R83/R98)*(ConcFract_Indoor*1000000/R267))^R$154-R$155,R$127*(R89*(ConcFract_Indoor*1000000/R267)/(R98*Wind))^R$128-R$129))),0.1)</f>
        <v>0.1</v>
      </c>
      <c r="S289" s="83"/>
      <c r="T289" s="2104">
        <f>IF(AND(T98&gt;0,T267&lt;&gt;""),IF(Location="Indoors",IF(ConcFract_Indoor*T301&lt;=T267,0.1,T$127*((IF(Enclosed_Ventilation_Rate&gt;1,Enclosed_Ventilation_Rate,1)*Enclosed_Process_Volume*T98*T301/88020000000)*1000000*(ConcFract_Indoor/T267-1/T301)/(T98*Wind))^T$128),IF(T267&gt;=ConcFract_Indoor*1000000*T$99,0.1,IF(T208="Instantaneous",T$153*((T83/T98)*(ConcFract_Indoor*1000000/T267))^T$154-T$155,T$127*(T89*(ConcFract_Indoor*1000000/T267)/(T98*Wind))^T$128-T$129))),0.1)</f>
        <v>0.1</v>
      </c>
      <c r="U289" s="83"/>
      <c r="V289" s="2104">
        <f>IF(AND(V98&gt;0,V267&lt;&gt;""),IF(Location="Indoors",IF(ConcFract_Indoor*V301&lt;=V267,0.1,V$127*((IF(Enclosed_Ventilation_Rate&gt;1,Enclosed_Ventilation_Rate,1)*Enclosed_Process_Volume*V98*V301/88020000000)*1000000*(ConcFract_Indoor/V267-1/V301)/(V98*Wind))^V$128),IF(V267&gt;=ConcFract_Indoor*1000000*V$99,0.1,IF(V208="Instantaneous",V$153*((V83/V98)*(ConcFract_Indoor*1000000/V267))^V$154-V$155,V$127*(V89*(ConcFract_Indoor*1000000/V267)/(V98*Wind))^V$128-V$129))),0.1)</f>
        <v>0.1</v>
      </c>
      <c r="W289" s="83"/>
      <c r="X289" s="2104">
        <f>IF(AND(X98&gt;0,X267&lt;&gt;""),IF(Location="Indoors",IF(ConcFract_Indoor*X301&lt;=X267,0.1,X$127*((IF(Enclosed_Ventilation_Rate&gt;1,Enclosed_Ventilation_Rate,1)*Enclosed_Process_Volume*X98*X301/88020000000)*1000000*(ConcFract_Indoor/X267-1/X301)/(X98*Wind))^X$128),IF(X267&gt;=ConcFract_Indoor*1000000*X$99,0.1,IF(X208="Instantaneous",X$153*((X83/X98)*(ConcFract_Indoor*1000000/X267))^X$154-X$155,X$127*(X89*(ConcFract_Indoor*1000000/X267)/(X98*Wind))^X$128-X$129))),0.1)</f>
        <v>0.1</v>
      </c>
      <c r="Y289" s="83"/>
      <c r="Z289" s="85" t="s">
        <v>1068</v>
      </c>
      <c r="AA289" s="83"/>
      <c r="AB289" s="81"/>
      <c r="AC289" s="848" t="s">
        <v>3808</v>
      </c>
      <c r="AD289" s="81"/>
      <c r="AE289" s="2101">
        <f>IF(AE280&lt;&gt;"",(LN(0.01)-AE287)*AE280^(2*IF(AE169="Instantaneous",AE$167,AE$141)),0)</f>
        <v>0</v>
      </c>
      <c r="AF289" s="81"/>
      <c r="AG289" s="2101">
        <f>IF(AG280&lt;&gt;"",(LN(0.01)-AG287)*AG280^(2*IF(AG169="Instantaneous",AG$167,AG$141)),0)</f>
        <v>0</v>
      </c>
      <c r="AH289" s="81"/>
      <c r="AI289" s="2101">
        <f>IF(AI280&lt;&gt;"",(LN(0.01)-AI287)*AI280^(2*IF(AI169="Instantaneous",AI$167,AI$141)),0)</f>
        <v>0</v>
      </c>
      <c r="AJ289" s="81"/>
      <c r="AK289" s="2101">
        <f>IF(AK280&lt;&gt;"",(LN(0.01)-AK287)*AK280^(2*IF(AK169="Instantaneous",AK$167,AK$141)),0)</f>
        <v>0</v>
      </c>
      <c r="AL289" s="81"/>
      <c r="AM289" s="2101">
        <f>IF(AM280&lt;&gt;"",(LN(0.01)-AM287)*AM280^(2*IF(AM169="Instantaneous",AM$167,AM$141)),0)</f>
        <v>0</v>
      </c>
      <c r="AN289" s="81"/>
      <c r="AO289" s="2101">
        <f>IF(AO280&lt;&gt;"",(LN(0.01)-AO287)*AO280^(2*IF(AO169="Instantaneous",AO$167,AO$141)),0)</f>
        <v>0</v>
      </c>
      <c r="AP289" s="81"/>
      <c r="AQ289" s="1691"/>
      <c r="AR289" s="81"/>
      <c r="AS289" s="83"/>
      <c r="AT289" s="119" t="s">
        <v>293</v>
      </c>
      <c r="AU289" s="83"/>
      <c r="AV289" s="101" t="str">
        <f>Attended_Op</f>
        <v>No</v>
      </c>
      <c r="AW289" s="83"/>
      <c r="AX289" s="101" t="str">
        <f>Attended_Op</f>
        <v>No</v>
      </c>
      <c r="AY289" s="83"/>
      <c r="AZ289" s="101" t="str">
        <f>Attended_Op</f>
        <v>No</v>
      </c>
      <c r="BA289" s="83"/>
      <c r="BB289" s="101" t="str">
        <f>Attended_Op</f>
        <v>No</v>
      </c>
      <c r="BC289" s="83"/>
      <c r="BD289" s="101" t="str">
        <f>Attended_Op</f>
        <v>No</v>
      </c>
      <c r="BE289" s="83"/>
      <c r="BF289" s="101" t="str">
        <f>Attended_Op</f>
        <v>No</v>
      </c>
      <c r="BG289" s="83"/>
      <c r="BH289" s="101" t="str">
        <f>Attended_Op</f>
        <v>No</v>
      </c>
      <c r="BI289" s="83"/>
      <c r="BJ289" s="101" t="str">
        <f>Attended_Op</f>
        <v>No</v>
      </c>
      <c r="BK289" s="83"/>
      <c r="BL289" s="101" t="str">
        <f>Attended_Op</f>
        <v>No</v>
      </c>
      <c r="BM289" s="83"/>
      <c r="BN289" s="101" t="str">
        <f>Attended_Op</f>
        <v>No</v>
      </c>
      <c r="BO289" s="83"/>
      <c r="BP289" s="104"/>
      <c r="BQ289" s="83"/>
      <c r="BR289" s="81"/>
      <c r="BS289" s="85" t="s">
        <v>3824</v>
      </c>
      <c r="BT289" s="81"/>
      <c r="BU289" s="2104">
        <f>IF(AND(BU98&gt;0,BU267&lt;&gt;""),IF(Location="Indoors",IF(ConcFract_Indoor*BU301&lt;=BU267,0.1,BU$127*((IF(Enclosed_Ventilation_Rate&gt;1,Enclosed_Ventilation_Rate,1)*Enclosed_Process_Volume*BU98*BU301/88020000000)*1000000*(ConcFract_Indoor/BU267-1/BU301)/(BU98*Wind))^BU$128),IF(BU267&gt;=ConcFract_Indoor*1000000*BU$99,0.1,IF(BU208="Instantaneous",BU$153*((BU83/BU98)*(ConcFract_Indoor*1000000/BU267))^BU$154-BU$155,BU$127*(BU89*(ConcFract_Indoor*1000000/BU267)/(BU98*Wind))^BU$128-BU$129))),0.1)</f>
        <v>0.1</v>
      </c>
      <c r="BV289" s="81"/>
      <c r="BW289" s="2104">
        <f>IF(AND(BW98&gt;0,BW267&lt;&gt;""),IF(Location="Indoors",IF(ConcFract_Indoor*BW301&lt;=BW267,0.1,BW$127*((IF(Enclosed_Ventilation_Rate&gt;1,Enclosed_Ventilation_Rate,1)*Enclosed_Process_Volume*BW98*BW301/88020000000)*1000000*(ConcFract_Indoor/BW267-1/BW301)/(BW98*Wind))^BW$128),IF(BW267&gt;=ConcFract_Indoor*1000000*BW$99,0.1,IF(BW208="Instantaneous",BW$153*((BW83/BW98)*(ConcFract_Indoor*1000000/BW267))^BW$154-BW$155,BW$127*(BW89*(ConcFract_Indoor*1000000/BW267)/(BW98*Wind))^BW$128-BW$129))),0.1)</f>
        <v>0.1</v>
      </c>
      <c r="BX289" s="81"/>
      <c r="BY289" s="2104">
        <f>IF(AND(BY98&gt;0,BY267&lt;&gt;""),IF(Location="Indoors",IF(ConcFract_Indoor*BY301&lt;=BY267,0.1,BY$127*((IF(Enclosed_Ventilation_Rate&gt;1,Enclosed_Ventilation_Rate,1)*Enclosed_Process_Volume*BY98*BY301/88020000000)*1000000*(ConcFract_Indoor/BY267-1/BY301)/(BY98*Wind))^BY$128),IF(BY267&gt;=ConcFract_Indoor*1000000*BY$99,0.1,IF(BY208="Instantaneous",BY$153*((BY83/BY98)*(ConcFract_Indoor*1000000/BY267))^BY$154-BY$155,BY$127*(BY89*(ConcFract_Indoor*1000000/BY267)/(BY98*Wind))^BY$128-BY$129))),0.1)</f>
        <v>0.1</v>
      </c>
      <c r="BZ289" s="81"/>
      <c r="CA289" s="2104">
        <f>IF(AND(CA98&gt;0,CA267&lt;&gt;""),IF(Location="Indoors",IF(ConcFract_Indoor*CA301&lt;=CA267,0.1,CA$127*((IF(Enclosed_Ventilation_Rate&gt;1,Enclosed_Ventilation_Rate,1)*Enclosed_Process_Volume*CA98*CA301/88020000000)*1000000*(ConcFract_Indoor/CA267-1/CA301)/(CA98*Wind))^CA$128),IF(CA267&gt;=ConcFract_Indoor*1000000*CA$99,0.1,IF(CA208="Instantaneous",CA$153*((CA83/CA98)*(ConcFract_Indoor*1000000/CA267))^CA$154-CA$155,CA$127*(CA89*(ConcFract_Indoor*1000000/CA267)/(CA98*Wind))^CA$128-CA$129))),0.1)</f>
        <v>0.1</v>
      </c>
      <c r="CB289" s="81"/>
      <c r="CC289" s="2104">
        <f>IF(AND(CC98&gt;0,CC267&lt;&gt;""),IF(Location="Indoors",IF(ConcFract_Indoor*CC301&lt;=CC267,0.1,CC$127*((IF(Enclosed_Ventilation_Rate&gt;1,Enclosed_Ventilation_Rate,1)*Enclosed_Process_Volume*CC98*CC301/88020000000)*1000000*(ConcFract_Indoor/CC267-1/CC301)/(CC98*Wind))^CC$128),IF(CC267&gt;=ConcFract_Indoor*1000000*CC$99,0.1,IF(CC208="Instantaneous",CC$153*((CC83/CC98)*(ConcFract_Indoor*1000000/CC267))^CC$154-CC$155,CC$127*(CC89*(ConcFract_Indoor*1000000/CC267)/(CC98*Wind))^CC$128-CC$129))),0.1)</f>
        <v>0.1</v>
      </c>
      <c r="CD289" s="81"/>
      <c r="CE289" s="85" t="s">
        <v>1068</v>
      </c>
      <c r="CF289" s="81"/>
      <c r="CG289" s="2968"/>
      <c r="CH289" s="2972" t="s">
        <v>5092</v>
      </c>
      <c r="CI289" s="2969"/>
      <c r="CJ289" s="2974">
        <f>LN(100)</f>
        <v>4.6051701859880918</v>
      </c>
      <c r="CK289" s="2968"/>
      <c r="CL289" s="2968"/>
      <c r="CM289" s="2968"/>
      <c r="CN289" s="26"/>
      <c r="CO289" s="26"/>
      <c r="CP289" s="26"/>
      <c r="CQ289" s="26"/>
      <c r="CR289" s="26"/>
      <c r="CS289" s="26"/>
      <c r="CT289" s="26"/>
      <c r="CU289" s="26"/>
    </row>
    <row r="290" spans="1:99" ht="15" customHeight="1" x14ac:dyDescent="0.25">
      <c r="A290" s="2"/>
      <c r="B290" s="85" t="s">
        <v>3646</v>
      </c>
      <c r="C290" s="83"/>
      <c r="D290" s="2104">
        <f>IF(AND(D98&gt;0,D273&lt;&gt;""),IF(Location="Indoors",IF(D301&lt;=D273,0.1,D$179*((IF(Enclosed_Ventilation_Rate&gt;1,Enclosed_Ventilation_Rate,1)*Enclosed_Process_Volume*D98*D301/88020000000)*1000000*(1/D273-1/D301)/(D98*Wind_Night))^D$180),IF(1000000/D273&lt;=1/D$99,0.1,IF(D208="Instantaneous",D$205*((D83/D98)*(1000000/D273))^D$206-D$207,D$179*(D89*(1000000/D273)/(D98*Wind_Night))^D$180)-D$181)),0.1)</f>
        <v>0.1</v>
      </c>
      <c r="E290" s="83"/>
      <c r="F290" s="2104">
        <f>IF(AND(F98&gt;0,F273&lt;&gt;""),IF(Location="Indoors",IF(F301&lt;=F273,0.1,F$179*((IF(Enclosed_Ventilation_Rate&gt;1,Enclosed_Ventilation_Rate,1)*Enclosed_Process_Volume*F98*F301/88020000000)*1000000*(1/F273-1/F301)/(F98*Wind_Night))^F$180),IF(1000000/F273&lt;=1/F$99,0.1,IF(F208="Instantaneous",F$205*((F83/F98)*(1000000/F273))^F$206-F$207,F$179*(F89*(1000000/F273)/(F98*Wind_Night))^F$180)-F$181)),0.1)</f>
        <v>0.1</v>
      </c>
      <c r="G290" s="83"/>
      <c r="H290" s="2104">
        <f>IF(AND(H98&gt;0,H273&lt;&gt;""),IF(Location="Indoors",IF(H301&lt;=H273,0.1,H$179*((IF(Enclosed_Ventilation_Rate&gt;1,Enclosed_Ventilation_Rate,1)*Enclosed_Process_Volume*H98*H301/88020000000)*1000000*(1/H273-1/H301)/(H98*Wind_Night))^H$180),IF(1000000/H273&lt;=1/H$99,0.1,IF(H208="Instantaneous",H$205*((H83/H98)*(1000000/H273))^H$206-H$207,H$179*(H89*(1000000/H273)/(H98*Wind_Night))^H$180)-H$181)),0.1)</f>
        <v>0.1</v>
      </c>
      <c r="I290" s="83"/>
      <c r="J290" s="2104">
        <f>IF(AND(J98&gt;0,J273&lt;&gt;""),IF(Location="Indoors",IF(J301&lt;=J273,0.1,J$179*((IF(Enclosed_Ventilation_Rate&gt;1,Enclosed_Ventilation_Rate,1)*Enclosed_Process_Volume*J98*J301/88020000000)*1000000*(1/J273-1/J301)/(J98*Wind_Night))^J$180),IF(1000000/J273&lt;=1/J$99,0.1,IF(J208="Instantaneous",J$205*((J83/J98)*(1000000/J273))^J$206-J$207,J$179*(J89*(1000000/J273)/(J98*Wind_Night))^J$180)-J$181)),0.1)</f>
        <v>0.1</v>
      </c>
      <c r="K290" s="83"/>
      <c r="L290" s="2104">
        <f>IF(AND(L98&gt;0,L273&lt;&gt;""),IF(Location="Indoors",IF(L301&lt;=L273,0.1,L$179*((IF(Enclosed_Ventilation_Rate&gt;1,Enclosed_Ventilation_Rate,1)*Enclosed_Process_Volume*L98*L301/88020000000)*1000000*(1/L273-1/L301)/(L98*Wind_Night))^L$180),IF(1000000/L273&lt;=1/L$99,0.1,IF(L208="Instantaneous",L$205*((L83/L98)*(1000000/L273))^L$206-L$207,L$179*(L89*(1000000/L273)/(L98*Wind_Night))^L$180)-L$181)),0.1)</f>
        <v>0.1</v>
      </c>
      <c r="M290" s="83"/>
      <c r="N290" s="2104">
        <f>IF(AND(N98&gt;0,N273&lt;&gt;""),IF(Location="Indoors",IF(N301&lt;=N273,0.1,N$179*((IF(Enclosed_Ventilation_Rate&gt;1,Enclosed_Ventilation_Rate,1)*Enclosed_Process_Volume*N98*N301/88020000000)*1000000*(1/N273-1/N301)/(N98*Wind_Night))^N$180),IF(1000000/N273&lt;=1/N$99,0.1,IF(N208="Instantaneous",N$205*((N83/N98)*(1000000/N273))^N$206-N$207,N$179*(N89*(1000000/N273)/(N98*Wind_Night))^N$180)-N$181)),0.1)</f>
        <v>0.1</v>
      </c>
      <c r="O290" s="83"/>
      <c r="P290" s="2104">
        <f>IF(AND(P98&gt;0,P273&lt;&gt;""),IF(Location="Indoors",IF(P301&lt;=P273,0.1,P$179*((IF(Enclosed_Ventilation_Rate&gt;1,Enclosed_Ventilation_Rate,1)*Enclosed_Process_Volume*P98*P301/88020000000)*1000000*(1/P273-1/P301)/(P98*Wind_Night))^P$180),IF(1000000/P273&lt;=1/P$99,0.1,IF(P208="Instantaneous",P$205*((P83/P98)*(1000000/P273))^P$206-P$207,P$179*(P89*(1000000/P273)/(P98*Wind_Night))^P$180)-P$181)),0.1)</f>
        <v>0.1</v>
      </c>
      <c r="Q290" s="83"/>
      <c r="R290" s="2104">
        <f>IF(AND(R98&gt;0,R273&lt;&gt;""),IF(Location="Indoors",IF(R301&lt;=R273,0.1,R$179*((IF(Enclosed_Ventilation_Rate&gt;1,Enclosed_Ventilation_Rate,1)*Enclosed_Process_Volume*R98*R301/88020000000)*1000000*(1/R273-1/R301)/(R98*Wind_Night))^R$180),IF(1000000/R273&lt;=1/R$99,0.1,IF(R208="Instantaneous",R$205*((R83/R98)*(1000000/R273))^R$206-R$207,R$179*(R89*(1000000/R273)/(R98*Wind_Night))^R$180)-R$181)),0.1)</f>
        <v>0.1</v>
      </c>
      <c r="S290" s="83"/>
      <c r="T290" s="2104">
        <f>IF(AND(T98&gt;0,T273&lt;&gt;""),IF(Location="Indoors",IF(T301&lt;=T273,0.1,T$179*((IF(Enclosed_Ventilation_Rate&gt;1,Enclosed_Ventilation_Rate,1)*Enclosed_Process_Volume*T98*T301/88020000000)*1000000*(1/T273-1/T301)/(T98*Wind_Night))^T$180),IF(1000000/T273&lt;=1/T$99,0.1,IF(T208="Instantaneous",T$205*((T83/T98)*(1000000/T273))^T$206-T$207,T$179*(T89*(1000000/T273)/(T98*Wind_Night))^T$180)-T$181)),0.1)</f>
        <v>0.1</v>
      </c>
      <c r="U290" s="83"/>
      <c r="V290" s="2104">
        <f>IF(AND(V98&gt;0,V273&lt;&gt;""),IF(Location="Indoors",IF(V301&lt;=V273,0.1,V$179*((IF(Enclosed_Ventilation_Rate&gt;1,Enclosed_Ventilation_Rate,1)*Enclosed_Process_Volume*V98*V301/88020000000)*1000000*(1/V273-1/V301)/(V98*Wind_Night))^V$180),IF(1000000/V273&lt;=1/V$99,0.1,IF(V208="Instantaneous",V$205*((V83/V98)*(1000000/V273))^V$206-V$207,V$179*(V89*(1000000/V273)/(V98*Wind_Night))^V$180)-V$181)),0.1)</f>
        <v>0.1</v>
      </c>
      <c r="W290" s="83"/>
      <c r="X290" s="2104">
        <f>IF(AND(X98&gt;0,X273&lt;&gt;""),IF(Location="Indoors",IF(X301&lt;=X273,0.1,X$179*((IF(Enclosed_Ventilation_Rate&gt;1,Enclosed_Ventilation_Rate,1)*Enclosed_Process_Volume*X98*X301/88020000000)*1000000*(1/X273-1/X301)/(X98*Wind_Night))^X$180),IF(1000000/X273&lt;=1/X$99,0.1,IF(X208="Instantaneous",X$205*((X83/X98)*(1000000/X273))^X$206-X$207,X$179*(X89*(1000000/X273)/(X98*Wind_Night))^X$180)-X$181)),0.1)</f>
        <v>0.1</v>
      </c>
      <c r="Y290" s="83"/>
      <c r="Z290" s="85" t="s">
        <v>1068</v>
      </c>
      <c r="AA290" s="83"/>
      <c r="AB290" s="81"/>
      <c r="AC290" s="848" t="s">
        <v>3643</v>
      </c>
      <c r="AD290" s="81"/>
      <c r="AE290" s="2101">
        <f>MIN(1000000,IF(AE287&gt;0,(-AE289/AE287)^(0.5/IF(AE169="Instantaneous",AE$167,AE$141)),0))</f>
        <v>0</v>
      </c>
      <c r="AF290" s="81"/>
      <c r="AG290" s="2101">
        <f>MIN(1000000,IF(AG287&gt;0,(-AG289/AG287)^(0.5/IF(AG169="Instantaneous",AG$167,AG$141)),0))</f>
        <v>0</v>
      </c>
      <c r="AH290" s="81"/>
      <c r="AI290" s="2101">
        <f>MIN(1000000,IF(AI287&gt;0,(-AI289/AI287)^(0.5/IF(AI169="Instantaneous",AI$167,AI$141)),0))</f>
        <v>0</v>
      </c>
      <c r="AJ290" s="81"/>
      <c r="AK290" s="2101">
        <f>MIN(1000000,IF(AK287&gt;0,(-AK289/AK287)^(0.5/IF(AK169="Instantaneous",AK$167,AK$141)),0))</f>
        <v>0</v>
      </c>
      <c r="AL290" s="81"/>
      <c r="AM290" s="2101">
        <f>MIN(1000000,IF(AM287&gt;0,(-AM289/AM287)^(0.5/IF(AM169="Instantaneous",AM$167,AM$141)),0))</f>
        <v>0</v>
      </c>
      <c r="AN290" s="81"/>
      <c r="AO290" s="2101">
        <f>MIN(1000000,IF(AO287&gt;0,(-AO289/AO287)^(0.5/IF(AO169="Instantaneous",AO$167,AO$141)),0))</f>
        <v>0</v>
      </c>
      <c r="AP290" s="81"/>
      <c r="AQ290" s="85" t="s">
        <v>1506</v>
      </c>
      <c r="AR290" s="81"/>
      <c r="AS290" s="83"/>
      <c r="AT290" s="92" t="s">
        <v>2736</v>
      </c>
      <c r="AU290" s="83"/>
      <c r="AV290" s="1209">
        <f>IF(AND(AV73&gt;0,WorkArea_Distance&gt;0.1),IF(AND(Location="Indoors",AV299&gt;0),1000000/(1000000/AV299+(Wind*AV82*(WorkArea_Distance/AV$124)^(1/AV$125)/(IF(Enclosed_Ventilation_Rate&gt;1,Enclosed_Ventilation_Rate,1)*Enclosed_Process_Volume*AV82*AV299/88020000000))),IF(AV153="Instantaneous",AV98*1000000*(AV$67/AV$82)*(AV$150/(WorkArea_Distance+AV$152))^(1/AV$151),AV98*1000000*(AV$73/(Wind*AV$82))*(AV$124/(WorkArea_Distance+AV$126))^(1/AV$125))),IF(Location="Indoors",0,1000000))</f>
        <v>1000000</v>
      </c>
      <c r="AW290" s="83"/>
      <c r="AX290" s="1209">
        <f>IF(AND(AX73&gt;0,WorkArea_Distance&gt;0.1),IF(AND(Location="Indoors",AX299&gt;0),1000000/(1000000/AX299+(Wind*AX82*(WorkArea_Distance/AX$124)^(1/AX$125)/(IF(Enclosed_Ventilation_Rate&gt;1,Enclosed_Ventilation_Rate,1)*Enclosed_Process_Volume*AX82*AX299/88020000000))),IF(AX153="Instantaneous",AX98*1000000*(AX$67/AX$82)*(AX$150/(WorkArea_Distance+AX$152))^(1/AX$151),AX98*1000000*(AX$73/(Wind*AX$82))*(AX$124/(WorkArea_Distance+AX$126))^(1/AX$125))),IF(Location="Indoors",0,1000000))</f>
        <v>1000000</v>
      </c>
      <c r="AY290" s="83"/>
      <c r="AZ290" s="1209">
        <f>IF(AND(AZ73&gt;0,WorkArea_Distance&gt;0.1),IF(AND(Location="Indoors",AZ299&gt;0),1000000/(1000000/AZ299+(Wind*AZ82*(WorkArea_Distance/AZ$124)^(1/AZ$125)/(IF(Enclosed_Ventilation_Rate&gt;1,Enclosed_Ventilation_Rate,1)*Enclosed_Process_Volume*AZ82*AZ299/88020000000))),IF(AZ153="Instantaneous",AZ98*1000000*(AZ$67/AZ$82)*(AZ$150/(WorkArea_Distance+AZ$152))^(1/AZ$151),AZ98*1000000*(AZ$73/(Wind*AZ$82))*(AZ$124/(WorkArea_Distance+AZ$126))^(1/AZ$125))),IF(Location="Indoors",0,1000000))</f>
        <v>1000000</v>
      </c>
      <c r="BA290" s="83"/>
      <c r="BB290" s="1209">
        <f>IF(AND(BB73&gt;0,WorkArea_Distance&gt;0.1),IF(AND(Location="Indoors",BB299&gt;0),1000000/(1000000/BB299+(Wind*BB82*(WorkArea_Distance/BB$124)^(1/BB$125)/(IF(Enclosed_Ventilation_Rate&gt;1,Enclosed_Ventilation_Rate,1)*Enclosed_Process_Volume*BB82*BB299/88020000000))),IF(BB153="Instantaneous",BB98*1000000*(BB$67/BB$82)*(BB$150/(WorkArea_Distance+BB$152))^(1/BB$151),BB98*1000000*(BB$73/(Wind*BB$82))*(BB$124/(WorkArea_Distance+BB$126))^(1/BB$125))),IF(Location="Indoors",0,1000000))</f>
        <v>1000000</v>
      </c>
      <c r="BC290" s="83"/>
      <c r="BD290" s="1209">
        <f>IF(AND(BD73&gt;0,WorkArea_Distance&gt;0.1),IF(AND(Location="Indoors",BD299&gt;0),1000000/(1000000/BD299+(Wind*BD82*(WorkArea_Distance/BD$124)^(1/BD$125)/(IF(Enclosed_Ventilation_Rate&gt;1,Enclosed_Ventilation_Rate,1)*Enclosed_Process_Volume*BD82*BD299/88020000000))),IF(BD153="Instantaneous",BD98*1000000*(BD$67/BD$82)*(BD$150/(WorkArea_Distance+BD$152))^(1/BD$151),BD98*1000000*(BD$73/(Wind*BD$82))*(BD$124/(WorkArea_Distance+BD$126))^(1/BD$125))),IF(Location="Indoors",0,1000000))</f>
        <v>1000000</v>
      </c>
      <c r="BE290" s="83"/>
      <c r="BF290" s="1209">
        <f>IF(AND(BF73&gt;0,WorkArea_Distance&gt;0.1),IF(AND(Location="Indoors",BF299&gt;0),1000000/(1000000/BF299+(Wind*BF82*(WorkArea_Distance/BF$124)^(1/BF$125)/(IF(Enclosed_Ventilation_Rate&gt;1,Enclosed_Ventilation_Rate,1)*Enclosed_Process_Volume*BF82*BF299/88020000000))),IF(BF153="Instantaneous",BF98*1000000*(BF$67/BF$82)*(BF$150/(WorkArea_Distance+BF$152))^(1/BF$151),BF98*1000000*(BF$73/(Wind*BF$82))*(BF$124/(WorkArea_Distance+BF$126))^(1/BF$125))),IF(Location="Indoors",0,1000000))</f>
        <v>1000000</v>
      </c>
      <c r="BG290" s="83"/>
      <c r="BH290" s="1209">
        <f>IF(AND(BH73&gt;0,WorkArea_Distance&gt;0.1),IF(AND(Location="Indoors",BH299&gt;0),1000000/(1000000/BH299+(Wind*BH82*(WorkArea_Distance/BH$124)^(1/BH$125)/(IF(Enclosed_Ventilation_Rate&gt;1,Enclosed_Ventilation_Rate,1)*Enclosed_Process_Volume*BH82*BH299/88020000000))),IF(BH153="Instantaneous",BH98*1000000*(BH$67/BH$82)*(BH$150/(WorkArea_Distance+BH$152))^(1/BH$151),BH98*1000000*(BH$73/(Wind*BH$82))*(BH$124/(WorkArea_Distance+BH$126))^(1/BH$125))),IF(Location="Indoors",0,1000000))</f>
        <v>1000000</v>
      </c>
      <c r="BI290" s="83"/>
      <c r="BJ290" s="1209">
        <f>IF(AND(BJ73&gt;0,WorkArea_Distance&gt;0.1),IF(AND(Location="Indoors",BJ299&gt;0),1000000/(1000000/BJ299+(Wind*BJ82*(WorkArea_Distance/BJ$124)^(1/BJ$125)/(IF(Enclosed_Ventilation_Rate&gt;1,Enclosed_Ventilation_Rate,1)*Enclosed_Process_Volume*BJ82*BJ299/88020000000))),IF(BJ153="Instantaneous",BJ98*1000000*(BJ$67/BJ$82)*(BJ$150/(WorkArea_Distance+BJ$152))^(1/BJ$151),BJ98*1000000*(BJ$73/(Wind*BJ$82))*(BJ$124/(WorkArea_Distance+BJ$126))^(1/BJ$125))),IF(Location="Indoors",0,1000000))</f>
        <v>1000000</v>
      </c>
      <c r="BK290" s="83"/>
      <c r="BL290" s="1209">
        <f>IF(AND(BL73&gt;0,WorkArea_Distance&gt;0.1),IF(AND(Location="Indoors",BL299&gt;0),1000000/(1000000/BL299+(Wind*BL82*(WorkArea_Distance/BL$124)^(1/BL$125)/(IF(Enclosed_Ventilation_Rate&gt;1,Enclosed_Ventilation_Rate,1)*Enclosed_Process_Volume*BL82*BL299/88020000000))),IF(BL153="Instantaneous",BL98*1000000*(BL$67/BL$82)*(BL$150/(WorkArea_Distance+BL$152))^(1/BL$151),BL98*1000000*(BL$73/(Wind*BL$82))*(BL$124/(WorkArea_Distance+BL$126))^(1/BL$125))),IF(Location="Indoors",0,1000000))</f>
        <v>1000000</v>
      </c>
      <c r="BM290" s="83"/>
      <c r="BN290" s="1209">
        <f>IF(AND(BN73&gt;0,WorkArea_Distance&gt;0.1),IF(AND(Location="Indoors",BN299&gt;0),1000000/(1000000/BN299+(Wind*BN82*(WorkArea_Distance/BN$124)^(1/BN$125)/(IF(Enclosed_Ventilation_Rate&gt;1,Enclosed_Ventilation_Rate,1)*Enclosed_Process_Volume*BN82*BN299/88020000000))),IF(BN153="Instantaneous",BN98*1000000*(BN$67/BN$82)*(BN$150/(WorkArea_Distance+BN$152))^(1/BN$151),BN98*1000000*(BN$73/(Wind*BN$82))*(BN$124/(WorkArea_Distance+BN$126))^(1/BN$125))),IF(Location="Indoors",0,1000000))</f>
        <v>1000000</v>
      </c>
      <c r="BO290" s="83"/>
      <c r="BP290" s="92" t="s">
        <v>1506</v>
      </c>
      <c r="BQ290" s="83"/>
      <c r="BR290" s="81"/>
      <c r="BS290" s="85" t="s">
        <v>3540</v>
      </c>
      <c r="BT290" s="81"/>
      <c r="BU290" s="2104">
        <f>IF(AND(BU98&gt;0,BU273&lt;&gt;""),IF(Location="Indoors",IF(BU301&lt;=BU273,0.1,BU$179*((IF(Enclosed_Ventilation_Rate&gt;1,Enclosed_Ventilation_Rate,1)*Enclosed_Process_Volume*BU98*BU301/88020000000)*1000000*(1/BU273-1/BU301)/(BU98*Wind_Night))^BU$180),IF(1000000/BU273&lt;=1/BU$99,0.1,IF(BU208="Instantaneous",BU$205*((BU83/BU98)*(1000000/BU273))^BU$206-BU$207,BU$179*(BU89*(1000000/BU273)/(BU98*Wind_Night))^BU$180)-BU$181)),0.1)</f>
        <v>0.1</v>
      </c>
      <c r="BV290" s="81"/>
      <c r="BW290" s="2104">
        <f>IF(AND(BW98&gt;0,BW273&lt;&gt;""),IF(Location="Indoors",IF(BW301&lt;=BW273,0.1,BW$179*((IF(Enclosed_Ventilation_Rate&gt;1,Enclosed_Ventilation_Rate,1)*Enclosed_Process_Volume*BW98*BW301/88020000000)*1000000*(1/BW273-1/BW301)/(BW98*Wind_Night))^BW$180),IF(1000000/BW273&lt;=1/BW$99,0.1,IF(BW208="Instantaneous",BW$205*((BW83/BW98)*(1000000/BW273))^BW$206-BW$207,BW$179*(BW89*(1000000/BW273)/(BW98*Wind_Night))^BW$180)-BW$181)),0.1)</f>
        <v>0.1</v>
      </c>
      <c r="BX290" s="81"/>
      <c r="BY290" s="2104">
        <f>IF(AND(BY98&gt;0,BY273&lt;&gt;""),IF(Location="Indoors",IF(BY301&lt;=BY273,0.1,BY$179*((IF(Enclosed_Ventilation_Rate&gt;1,Enclosed_Ventilation_Rate,1)*Enclosed_Process_Volume*BY98*BY301/88020000000)*1000000*(1/BY273-1/BY301)/(BY98*Wind_Night))^BY$180),IF(1000000/BY273&lt;=1/BY$99,0.1,IF(BY208="Instantaneous",BY$205*((BY83/BY98)*(1000000/BY273))^BY$206-BY$207,BY$179*(BY89*(1000000/BY273)/(BY98*Wind_Night))^BY$180)-BY$181)),0.1)</f>
        <v>0.1</v>
      </c>
      <c r="BZ290" s="81"/>
      <c r="CA290" s="2104">
        <f>IF(AND(CA98&gt;0,CA273&lt;&gt;""),IF(Location="Indoors",IF(CA301&lt;=CA273,0.1,CA$179*((IF(Enclosed_Ventilation_Rate&gt;1,Enclosed_Ventilation_Rate,1)*Enclosed_Process_Volume*CA98*CA301/88020000000)*1000000*(1/CA273-1/CA301)/(CA98*Wind_Night))^CA$180),IF(1000000/CA273&lt;=1/CA$99,0.1,IF(CA208="Instantaneous",CA$205*((CA83/CA98)*(1000000/CA273))^CA$206-CA$207,CA$179*(CA89*(1000000/CA273)/(CA98*Wind_Night))^CA$180)-CA$181)),0.1)</f>
        <v>0.1</v>
      </c>
      <c r="CB290" s="81"/>
      <c r="CC290" s="2104">
        <f>IF(AND(CC98&gt;0,CC273&lt;&gt;""),IF(Location="Indoors",IF(CC301&lt;=CC273,0.1,CC$179*((IF(Enclosed_Ventilation_Rate&gt;1,Enclosed_Ventilation_Rate,1)*Enclosed_Process_Volume*CC98*CC301/88020000000)*1000000*(1/CC273-1/CC301)/(CC98*Wind_Night))^CC$180),IF(1000000/CC273&lt;=1/CC$99,0.1,IF(CC208="Instantaneous",CC$205*((CC83/CC98)*(1000000/CC273))^CC$206-CC$207,CC$179*(CC89*(1000000/CC273)/(CC98*Wind_Night))^CC$180)-CC$181)),0.1)</f>
        <v>0.1</v>
      </c>
      <c r="CD290" s="81"/>
      <c r="CE290" s="85" t="s">
        <v>1068</v>
      </c>
      <c r="CF290" s="81"/>
      <c r="CG290" s="2968"/>
      <c r="CH290" s="2972" t="s">
        <v>5093</v>
      </c>
      <c r="CI290" s="2969"/>
      <c r="CJ290" s="2974">
        <f>LN(200)</f>
        <v>5.2983173665480363</v>
      </c>
      <c r="CK290" s="2968"/>
      <c r="CL290" s="2968"/>
      <c r="CM290" s="2968"/>
      <c r="CN290" s="26"/>
      <c r="CO290" s="26"/>
      <c r="CP290" s="26"/>
      <c r="CQ290" s="26"/>
      <c r="CR290" s="26"/>
      <c r="CS290" s="26"/>
      <c r="CT290" s="26"/>
      <c r="CU290" s="26"/>
    </row>
    <row r="291" spans="1:99" ht="15" customHeight="1" thickBot="1" x14ac:dyDescent="0.3">
      <c r="A291" s="2"/>
      <c r="B291" s="25" t="s">
        <v>3771</v>
      </c>
      <c r="C291" s="83"/>
      <c r="D291" s="2105">
        <f>IF(AND(D98&gt;0,D273&lt;&gt;""),IF(Location="Indoors",IF(ConcFract_Indoor*D301&lt;=D273,0.1,D$179*((IF(Enclosed_Ventilation_Rate&gt;1,Enclosed_Ventilation_Rate,1)*Enclosed_Process_Volume*D98*D301/88020000000)*1000000*(ConcFract_Indoor/D273-1/D301)/(D98*Wind_Night))^D$180),IF(D273&gt;=ConcFract_Indoor*1000000*D$99,0.1,IF(D208="Instantaneous",D$205*((D83/D98)*(ConcFract_Indoor*1000000/D273))^D$206-D$207,D$179*(D89*(ConcFract_Indoor*1000000/D273)/(D98*Wind_Night))^D$180-D$181))),0.1)</f>
        <v>0.1</v>
      </c>
      <c r="E291" s="83"/>
      <c r="F291" s="2105">
        <f>IF(AND(F98&gt;0,F273&lt;&gt;""),IF(Location="Indoors",IF(ConcFract_Indoor*F301&lt;=F273,0.1,F$179*((IF(Enclosed_Ventilation_Rate&gt;1,Enclosed_Ventilation_Rate,1)*Enclosed_Process_Volume*F98*F301/88020000000)*1000000*(ConcFract_Indoor/F273-1/F301)/(F98*Wind_Night))^F$180),IF(F273&gt;=ConcFract_Indoor*1000000*F$99,0.1,IF(F208="Instantaneous",F$205*((F83/F98)*(ConcFract_Indoor*1000000/F273))^F$206-F$207,F$179*(F89*(ConcFract_Indoor*1000000/F273)/(F98*Wind_Night))^F$180-F$181))),0.1)</f>
        <v>0.1</v>
      </c>
      <c r="G291" s="83"/>
      <c r="H291" s="2105">
        <f>IF(AND(H98&gt;0,H273&lt;&gt;""),IF(Location="Indoors",IF(ConcFract_Indoor*H301&lt;=H273,0.1,H$179*((IF(Enclosed_Ventilation_Rate&gt;1,Enclosed_Ventilation_Rate,1)*Enclosed_Process_Volume*H98*H301/88020000000)*1000000*(ConcFract_Indoor/H273-1/H301)/(H98*Wind_Night))^H$180),IF(H273&gt;=ConcFract_Indoor*1000000*H$99,0.1,IF(H208="Instantaneous",H$205*((H83/H98)*(ConcFract_Indoor*1000000/H273))^H$206-H$207,H$179*(H89*(ConcFract_Indoor*1000000/H273)/(H98*Wind_Night))^H$180-H$181))),0.1)</f>
        <v>0.1</v>
      </c>
      <c r="I291" s="83"/>
      <c r="J291" s="2105">
        <f>IF(AND(J98&gt;0,J273&lt;&gt;""),IF(Location="Indoors",IF(ConcFract_Indoor*J301&lt;=J273,0.1,J$179*((IF(Enclosed_Ventilation_Rate&gt;1,Enclosed_Ventilation_Rate,1)*Enclosed_Process_Volume*J98*J301/88020000000)*1000000*(ConcFract_Indoor/J273-1/J301)/(J98*Wind_Night))^J$180),IF(J273&gt;=ConcFract_Indoor*1000000*J$99,0.1,IF(J208="Instantaneous",J$205*((J83/J98)*(ConcFract_Indoor*1000000/J273))^J$206-J$207,J$179*(J89*(ConcFract_Indoor*1000000/J273)/(J98*Wind_Night))^J$180-J$181))),0.1)</f>
        <v>0.1</v>
      </c>
      <c r="K291" s="83"/>
      <c r="L291" s="2105">
        <f>IF(AND(L98&gt;0,L273&lt;&gt;""),IF(Location="Indoors",IF(ConcFract_Indoor*L301&lt;=L273,0.1,L$179*((IF(Enclosed_Ventilation_Rate&gt;1,Enclosed_Ventilation_Rate,1)*Enclosed_Process_Volume*L98*L301/88020000000)*1000000*(ConcFract_Indoor/L273-1/L301)/(L98*Wind_Night))^L$180),IF(L273&gt;=ConcFract_Indoor*1000000*L$99,0.1,IF(L208="Instantaneous",L$205*((L83/L98)*(ConcFract_Indoor*1000000/L273))^L$206-L$207,L$179*(L89*(ConcFract_Indoor*1000000/L273)/(L98*Wind_Night))^L$180-L$181))),0.1)</f>
        <v>0.1</v>
      </c>
      <c r="M291" s="83"/>
      <c r="N291" s="2105">
        <f>IF(AND(N98&gt;0,N273&lt;&gt;""),IF(Location="Indoors",IF(ConcFract_Indoor*N301&lt;=N273,0.1,N$179*((IF(Enclosed_Ventilation_Rate&gt;1,Enclosed_Ventilation_Rate,1)*Enclosed_Process_Volume*N98*N301/88020000000)*1000000*(ConcFract_Indoor/N273-1/N301)/(N98*Wind_Night))^N$180),IF(N273&gt;=ConcFract_Indoor*1000000*N$99,0.1,IF(N208="Instantaneous",N$205*((N83/N98)*(ConcFract_Indoor*1000000/N273))^N$206-N$207,N$179*(N89*(ConcFract_Indoor*1000000/N273)/(N98*Wind_Night))^N$180-N$181))),0.1)</f>
        <v>0.1</v>
      </c>
      <c r="O291" s="83"/>
      <c r="P291" s="2105">
        <f>IF(AND(P98&gt;0,P273&lt;&gt;""),IF(Location="Indoors",IF(ConcFract_Indoor*P301&lt;=P273,0.1,P$179*((IF(Enclosed_Ventilation_Rate&gt;1,Enclosed_Ventilation_Rate,1)*Enclosed_Process_Volume*P98*P301/88020000000)*1000000*(ConcFract_Indoor/P273-1/P301)/(P98*Wind_Night))^P$180),IF(P273&gt;=ConcFract_Indoor*1000000*P$99,0.1,IF(P208="Instantaneous",P$205*((P83/P98)*(ConcFract_Indoor*1000000/P273))^P$206-P$207,P$179*(P89*(ConcFract_Indoor*1000000/P273)/(P98*Wind_Night))^P$180-P$181))),0.1)</f>
        <v>0.1</v>
      </c>
      <c r="Q291" s="83"/>
      <c r="R291" s="2105">
        <f>IF(AND(R98&gt;0,R273&lt;&gt;""),IF(Location="Indoors",IF(ConcFract_Indoor*R301&lt;=R273,0.1,R$179*((IF(Enclosed_Ventilation_Rate&gt;1,Enclosed_Ventilation_Rate,1)*Enclosed_Process_Volume*R98*R301/88020000000)*1000000*(ConcFract_Indoor/R273-1/R301)/(R98*Wind_Night))^R$180),IF(R273&gt;=ConcFract_Indoor*1000000*R$99,0.1,IF(R208="Instantaneous",R$205*((R83/R98)*(ConcFract_Indoor*1000000/R273))^R$206-R$207,R$179*(R89*(ConcFract_Indoor*1000000/R273)/(R98*Wind_Night))^R$180-R$181))),0.1)</f>
        <v>0.1</v>
      </c>
      <c r="S291" s="83"/>
      <c r="T291" s="2105">
        <f>IF(AND(T98&gt;0,T273&lt;&gt;""),IF(Location="Indoors",IF(ConcFract_Indoor*T301&lt;=T273,0.1,T$179*((IF(Enclosed_Ventilation_Rate&gt;1,Enclosed_Ventilation_Rate,1)*Enclosed_Process_Volume*T98*T301/88020000000)*1000000*(ConcFract_Indoor/T273-1/T301)/(T98*Wind_Night))^T$180),IF(T273&gt;=ConcFract_Indoor*1000000*T$99,0.1,IF(T208="Instantaneous",T$205*((T83/T98)*(ConcFract_Indoor*1000000/T273))^T$206-T$207,T$179*(T89*(ConcFract_Indoor*1000000/T273)/(T98*Wind_Night))^T$180-T$181))),0.1)</f>
        <v>0.1</v>
      </c>
      <c r="U291" s="83"/>
      <c r="V291" s="2105">
        <f>IF(AND(V98&gt;0,V273&lt;&gt;""),IF(Location="Indoors",IF(ConcFract_Indoor*V301&lt;=V273,0.1,V$179*((IF(Enclosed_Ventilation_Rate&gt;1,Enclosed_Ventilation_Rate,1)*Enclosed_Process_Volume*V98*V301/88020000000)*1000000*(ConcFract_Indoor/V273-1/V301)/(V98*Wind_Night))^V$180),IF(V273&gt;=ConcFract_Indoor*1000000*V$99,0.1,IF(V208="Instantaneous",V$205*((V83/V98)*(ConcFract_Indoor*1000000/V273))^V$206-V$207,V$179*(V89*(ConcFract_Indoor*1000000/V273)/(V98*Wind_Night))^V$180-V$181))),0.1)</f>
        <v>0.1</v>
      </c>
      <c r="W291" s="83"/>
      <c r="X291" s="2105">
        <f>IF(AND(X98&gt;0,X273&lt;&gt;""),IF(Location="Indoors",IF(ConcFract_Indoor*X301&lt;=X273,0.1,X$179*((IF(Enclosed_Ventilation_Rate&gt;1,Enclosed_Ventilation_Rate,1)*Enclosed_Process_Volume*X98*X301/88020000000)*1000000*(ConcFract_Indoor/X273-1/X301)/(X98*Wind_Night))^X$180),IF(X273&gt;=ConcFract_Indoor*1000000*X$99,0.1,IF(X208="Instantaneous",X$205*((X83/X98)*(ConcFract_Indoor*1000000/X273))^X$206-X$207,X$179*(X89*(ConcFract_Indoor*1000000/X273)/(X98*Wind_Night))^X$180-X$181))),0.1)</f>
        <v>0.1</v>
      </c>
      <c r="Y291" s="83"/>
      <c r="Z291" s="85" t="s">
        <v>1068</v>
      </c>
      <c r="AA291" s="83"/>
      <c r="AB291" s="81"/>
      <c r="AC291" s="848" t="s">
        <v>3644</v>
      </c>
      <c r="AD291" s="81"/>
      <c r="AE291" s="2101">
        <f>IF(AE274&lt;&gt;"",IF(AE268/AE274=1,0,LN(0.01)-LN(0.02)/(1-(AE268/AE274)^(2*IF(AC222="Instantaneous",AE$219,AE$193)))),0)</f>
        <v>0</v>
      </c>
      <c r="AF291" s="81"/>
      <c r="AG291" s="2101">
        <f>IF(AG274&lt;&gt;"",IF(AG268/AG274=1,0,LN(0.01)-LN(0.02)/(1-(AG268/AG274)^(2*IF(AE222="Instantaneous",AG$219,AG$193)))),0)</f>
        <v>0</v>
      </c>
      <c r="AH291" s="81"/>
      <c r="AI291" s="2101">
        <f>IF(AI274&lt;&gt;"",IF(AI268/AI274=1,0,LN(0.01)-LN(0.02)/(1-(AI268/AI274)^(2*IF(AI221="Instantaneous",AI$219,AI$193)))),0)</f>
        <v>0</v>
      </c>
      <c r="AJ291" s="81"/>
      <c r="AK291" s="2101">
        <f>IF(AK274&lt;&gt;"",IF(AK268/AK274=1,0,LN(0.01)-LN(0.02)/(1-(AK268/AK274)^(2*IF(AK221="Instantaneous",AK$219,AK$193)))),0)</f>
        <v>0</v>
      </c>
      <c r="AL291" s="81"/>
      <c r="AM291" s="2101">
        <f>IF(AM274&lt;&gt;"",IF(AM268/AM274=1,0,LN(0.01)-LN(0.02)/(1-(AM268/AM274)^(2*IF(AM221="Instantaneous",AM$219,AM$193)))),0)</f>
        <v>0</v>
      </c>
      <c r="AN291" s="81"/>
      <c r="AO291" s="2101">
        <f>IF(AO274&lt;&gt;"",IF(AO268/AO274=1,0,LN(0.01)-LN(0.02)/(1-(AO268/AO274)^(2*IF(AO221="Instantaneous",AO$219,AO$193)))),0)</f>
        <v>0</v>
      </c>
      <c r="AP291" s="81"/>
      <c r="AQ291" s="1691"/>
      <c r="AR291" s="81"/>
      <c r="AS291" s="83"/>
      <c r="AT291" s="85" t="s">
        <v>3091</v>
      </c>
      <c r="AU291" s="83"/>
      <c r="AV291" s="1209">
        <f>IF(AND(AV73&gt;0,WorkArea_Distance&gt;0.1),IF(AND(Location="Indoors",AV299&gt;0),1000000/(1000000/AV299+(Wind*AV82*(WorkArea_Distance/AV$124)^(1/AV$125)/(IF(Enclosed_Ventilation_Rate&gt;1,Enclosed_Ventilation_Rate,1)*Enclosed_Process_Volume*AV82*AV299/88020000000))),IF(AV153="Instantaneous",AV99*1000000*(AV$67/AV$82)*(AV$150/(WorkArea_Distance+AV$152))^(1/AV$151),AV99*1000000*(AV$73/(Wind*AV$82))*(AV$124/(WorkArea_Distance+AV$126))^(1/AV$125))),IF(Location="Indoors",0,1000000))</f>
        <v>1000000</v>
      </c>
      <c r="AW291" s="83"/>
      <c r="AX291" s="1209">
        <f>IF(AND(AX73&gt;0,WorkArea_Distance&gt;0.1),IF(AND(Location="Indoors",AX299&gt;0),1000000/(1000000/AX299+(Wind*AX82*(WorkArea_Distance/AX$124)^(1/AX$125)/(IF(Enclosed_Ventilation_Rate&gt;1,Enclosed_Ventilation_Rate,1)*Enclosed_Process_Volume*AX82*AX299/88020000000))),IF(AX153="Instantaneous",AX99*1000000*(AX$67/AX$82)*(AX$150/(WorkArea_Distance+AX$152))^(1/AX$151),AX99*1000000*(AX$73/(Wind*AX$82))*(AX$124/(WorkArea_Distance+AX$126))^(1/AX$125))),IF(Location="Indoors",0,1000000))</f>
        <v>1000000</v>
      </c>
      <c r="AY291" s="83"/>
      <c r="AZ291" s="1209">
        <f>IF(AND(AZ73&gt;0,WorkArea_Distance&gt;0.1),IF(AND(Location="Indoors",AZ299&gt;0),1000000/(1000000/AZ299+(Wind*AZ82*(WorkArea_Distance/AZ$124)^(1/AZ$125)/(IF(Enclosed_Ventilation_Rate&gt;1,Enclosed_Ventilation_Rate,1)*Enclosed_Process_Volume*AZ82*AZ299/88020000000))),IF(AZ153="Instantaneous",AZ99*1000000*(AZ$67/AZ$82)*(AZ$150/(WorkArea_Distance+AZ$152))^(1/AZ$151),AZ99*1000000*(AZ$73/(Wind*AZ$82))*(AZ$124/(WorkArea_Distance+AZ$126))^(1/AZ$125))),IF(Location="Indoors",0,1000000))</f>
        <v>1000000</v>
      </c>
      <c r="BA291" s="83"/>
      <c r="BB291" s="1209">
        <f>IF(AND(BB73&gt;0,WorkArea_Distance&gt;0.1),IF(AND(Location="Indoors",BB299&gt;0),1000000/(1000000/BB299+(Wind*BB82*(WorkArea_Distance/BB$124)^(1/BB$125)/(IF(Enclosed_Ventilation_Rate&gt;1,Enclosed_Ventilation_Rate,1)*Enclosed_Process_Volume*BB82*BB299/88020000000))),IF(BB153="Instantaneous",BB99*1000000*(BB$67/BB$82)*(BB$150/(WorkArea_Distance+BB$152))^(1/BB$151),BB99*1000000*(BB$73/(Wind*BB$82))*(BB$124/(WorkArea_Distance+BB$126))^(1/BB$125))),IF(Location="Indoors",0,1000000))</f>
        <v>1000000</v>
      </c>
      <c r="BC291" s="83"/>
      <c r="BD291" s="1209">
        <f>IF(AND(BD73&gt;0,WorkArea_Distance&gt;0.1),IF(AND(Location="Indoors",BD299&gt;0),1000000/(1000000/BD299+(Wind*BD82*(WorkArea_Distance/BD$124)^(1/BD$125)/(IF(Enclosed_Ventilation_Rate&gt;1,Enclosed_Ventilation_Rate,1)*Enclosed_Process_Volume*BD82*BD299/88020000000))),IF(BD153="Instantaneous",BD99*1000000*(BD$67/BD$82)*(BD$150/(WorkArea_Distance+BD$152))^(1/BD$151),BD99*1000000*(BD$73/(Wind*BD$82))*(BD$124/(WorkArea_Distance+BD$126))^(1/BD$125))),IF(Location="Indoors",0,1000000))</f>
        <v>1000000</v>
      </c>
      <c r="BE291" s="83"/>
      <c r="BF291" s="1209">
        <f>IF(AND(BF73&gt;0,WorkArea_Distance&gt;0.1),IF(AND(Location="Indoors",BF299&gt;0),1000000/(1000000/BF299+(Wind*BF82*(WorkArea_Distance/BF$124)^(1/BF$125)/(IF(Enclosed_Ventilation_Rate&gt;1,Enclosed_Ventilation_Rate,1)*Enclosed_Process_Volume*BF82*BF299/88020000000))),IF(BF153="Instantaneous",BF99*1000000*(BF$67/BF$82)*(BF$150/(WorkArea_Distance+BF$152))^(1/BF$151),BF99*1000000*(BF$73/(Wind*BF$82))*(BF$124/(WorkArea_Distance+BF$126))^(1/BF$125))),IF(Location="Indoors",0,1000000))</f>
        <v>1000000</v>
      </c>
      <c r="BG291" s="83"/>
      <c r="BH291" s="1209">
        <f>IF(AND(BH73&gt;0,WorkArea_Distance&gt;0.1),IF(AND(Location="Indoors",BH299&gt;0),1000000/(1000000/BH299+(Wind*BH82*(WorkArea_Distance/BH$124)^(1/BH$125)/(IF(Enclosed_Ventilation_Rate&gt;1,Enclosed_Ventilation_Rate,1)*Enclosed_Process_Volume*BH82*BH299/88020000000))),IF(BH153="Instantaneous",BH99*1000000*(BH$67/BH$82)*(BH$150/(WorkArea_Distance+BH$152))^(1/BH$151),BH99*1000000*(BH$73/(Wind*BH$82))*(BH$124/(WorkArea_Distance+BH$126))^(1/BH$125))),IF(Location="Indoors",0,1000000))</f>
        <v>1000000</v>
      </c>
      <c r="BI291" s="83"/>
      <c r="BJ291" s="1209">
        <f>IF(AND(BJ73&gt;0,WorkArea_Distance&gt;0.1),IF(AND(Location="Indoors",BJ299&gt;0),1000000/(1000000/BJ299+(Wind*BJ82*(WorkArea_Distance/BJ$124)^(1/BJ$125)/(IF(Enclosed_Ventilation_Rate&gt;1,Enclosed_Ventilation_Rate,1)*Enclosed_Process_Volume*BJ82*BJ299/88020000000))),IF(BJ153="Instantaneous",BJ99*1000000*(BJ$67/BJ$82)*(BJ$150/(WorkArea_Distance+BJ$152))^(1/BJ$151),BJ99*1000000*(BJ$73/(Wind*BJ$82))*(BJ$124/(WorkArea_Distance+BJ$126))^(1/BJ$125))),IF(Location="Indoors",0,1000000))</f>
        <v>1000000</v>
      </c>
      <c r="BK291" s="83"/>
      <c r="BL291" s="1209">
        <f>IF(AND(BL73&gt;0,WorkArea_Distance&gt;0.1),IF(AND(Location="Indoors",BL299&gt;0),1000000/(1000000/BL299+(Wind*BL82*(WorkArea_Distance/BL$124)^(1/BL$125)/(IF(Enclosed_Ventilation_Rate&gt;1,Enclosed_Ventilation_Rate,1)*Enclosed_Process_Volume*BL82*BL299/88020000000))),IF(BL153="Instantaneous",BL99*1000000*(BL$67/BL$82)*(BL$150/(WorkArea_Distance+BL$152))^(1/BL$151),BL99*1000000*(BL$73/(Wind*BL$82))*(BL$124/(WorkArea_Distance+BL$126))^(1/BL$125))),IF(Location="Indoors",0,1000000))</f>
        <v>1000000</v>
      </c>
      <c r="BM291" s="83"/>
      <c r="BN291" s="1209">
        <f>IF(AND(BN73&gt;0,WorkArea_Distance&gt;0.1),IF(AND(Location="Indoors",BN299&gt;0),1000000/(1000000/BN299+(Wind*BN82*(WorkArea_Distance/BN$124)^(1/BN$125)/(IF(Enclosed_Ventilation_Rate&gt;1,Enclosed_Ventilation_Rate,1)*Enclosed_Process_Volume*BN82*BN299/88020000000))),IF(BN153="Instantaneous",BN99*1000000*(BN$67/BN$82)*(BN$150/(WorkArea_Distance+BN$152))^(1/BN$151),BN99*1000000*(BN$73/(Wind*BN$82))*(BN$124/(WorkArea_Distance+BN$126))^(1/BN$125))),IF(Location="Indoors",0,1000000))</f>
        <v>1000000</v>
      </c>
      <c r="BO291" s="83"/>
      <c r="BP291" s="85" t="s">
        <v>1506</v>
      </c>
      <c r="BQ291" s="83"/>
      <c r="BR291" s="81"/>
      <c r="BS291" s="25" t="s">
        <v>3772</v>
      </c>
      <c r="BT291" s="81"/>
      <c r="BU291" s="2105">
        <f>IF(AND(BU98&gt;0,BU273&lt;&gt;""),IF(Location="Indoors",IF(ConcFract_Indoor*BU301&lt;=BU273,0.1,BU$179*((IF(Enclosed_Ventilation_Rate&gt;1,Enclosed_Ventilation_Rate,1)*Enclosed_Process_Volume*BU98*BU301/88020000000)*1000000*(ConcFract_Indoor/BU273-1/BU301)/(BU98*Wind_Night))^BU$180),IF(BU273&gt;=ConcFract_Indoor*1000000*BU$99,0.1,IF(BU208="Instantaneous",BU$205*((BU83/BU98)*(ConcFract_Indoor*1000000/BU273))^BU$206-BU$207,BU$179*(BU89*(ConcFract_Indoor*1000000/BU273)/(BU98*Wind_Night))^BU$180-BU$181))),0.1)</f>
        <v>0.1</v>
      </c>
      <c r="BV291" s="81"/>
      <c r="BW291" s="2105">
        <f>IF(AND(BW98&gt;0,BW273&lt;&gt;""),IF(Location="Indoors",IF(ConcFract_Indoor*BW301&lt;=BW273,0.1,BW$179*((IF(Enclosed_Ventilation_Rate&gt;1,Enclosed_Ventilation_Rate,1)*Enclosed_Process_Volume*BW98*BW301/88020000000)*1000000*(ConcFract_Indoor/BW273-1/BW301)/(BW98*Wind_Night))^BW$180),IF(BW273&gt;=ConcFract_Indoor*1000000*BW$99,0.1,IF(BW208="Instantaneous",BW$205*((BW83/BW98)*(ConcFract_Indoor*1000000/BW273))^BW$206-BW$207,BW$179*(BW89*(ConcFract_Indoor*1000000/BW273)/(BW98*Wind_Night))^BW$180-BW$181))),0.1)</f>
        <v>0.1</v>
      </c>
      <c r="BX291" s="81"/>
      <c r="BY291" s="2105">
        <f>IF(AND(BY98&gt;0,BY273&lt;&gt;""),IF(Location="Indoors",IF(ConcFract_Indoor*BY301&lt;=BY273,0.1,BY$179*((IF(Enclosed_Ventilation_Rate&gt;1,Enclosed_Ventilation_Rate,1)*Enclosed_Process_Volume*BY98*BY301/88020000000)*1000000*(ConcFract_Indoor/BY273-1/BY301)/(BY98*Wind_Night))^BY$180),IF(BY273&gt;=ConcFract_Indoor*1000000*BY$99,0.1,IF(BY208="Instantaneous",BY$205*((BY83/BY98)*(ConcFract_Indoor*1000000/BY273))^BY$206-BY$207,BY$179*(BY89*(ConcFract_Indoor*1000000/BY273)/(BY98*Wind_Night))^BY$180-BY$181))),0.1)</f>
        <v>0.1</v>
      </c>
      <c r="BZ291" s="81"/>
      <c r="CA291" s="2105">
        <f>IF(AND(CA98&gt;0,CA273&lt;&gt;""),IF(Location="Indoors",IF(ConcFract_Indoor*CA301&lt;=CA273,0.1,CA$179*((IF(Enclosed_Ventilation_Rate&gt;1,Enclosed_Ventilation_Rate,1)*Enclosed_Process_Volume*CA98*CA301/88020000000)*1000000*(ConcFract_Indoor/CA273-1/CA301)/(CA98*Wind_Night))^CA$180),IF(CA273&gt;=ConcFract_Indoor*1000000*CA$99,0.1,IF(CA208="Instantaneous",CA$205*((CA83/CA98)*(ConcFract_Indoor*1000000/CA273))^CA$206-CA$207,CA$179*(CA89*(ConcFract_Indoor*1000000/CA273)/(CA98*Wind_Night))^CA$180-CA$181))),0.1)</f>
        <v>0.1</v>
      </c>
      <c r="CB291" s="81"/>
      <c r="CC291" s="2105">
        <f>IF(AND(CC98&gt;0,CC273&lt;&gt;""),IF(Location="Indoors",IF(ConcFract_Indoor*CC301&lt;=CC273,0.1,CC$179*((IF(Enclosed_Ventilation_Rate&gt;1,Enclosed_Ventilation_Rate,1)*Enclosed_Process_Volume*CC98*CC301/88020000000)*1000000*(ConcFract_Indoor/CC273-1/CC301)/(CC98*Wind_Night))^CC$180),IF(CC273&gt;=ConcFract_Indoor*1000000*CC$99,0.1,IF(CC208="Instantaneous",CC$205*((CC83/CC98)*(ConcFract_Indoor*1000000/CC273))^CC$206-CC$207,CC$179*(CC89*(ConcFract_Indoor*1000000/CC273)/(CC98*Wind_Night))^CC$180-CC$181))),0.1)</f>
        <v>0.1</v>
      </c>
      <c r="CD291" s="81"/>
      <c r="CE291" s="85"/>
      <c r="CF291" s="81"/>
      <c r="CG291" s="2968"/>
      <c r="CH291" s="2972" t="s">
        <v>5094</v>
      </c>
      <c r="CI291" s="2969"/>
      <c r="CJ291" s="2974">
        <f>LN(500)</f>
        <v>6.2146080984221914</v>
      </c>
      <c r="CK291" s="2968"/>
      <c r="CL291" s="2968"/>
      <c r="CM291" s="2968"/>
      <c r="CN291" s="26"/>
      <c r="CO291" s="26"/>
      <c r="CP291" s="26"/>
      <c r="CQ291" s="26"/>
      <c r="CR291" s="26"/>
      <c r="CS291" s="26"/>
      <c r="CT291" s="26"/>
      <c r="CU291" s="26"/>
    </row>
    <row r="292" spans="1:99" ht="15" customHeight="1" x14ac:dyDescent="0.25">
      <c r="A292" s="2"/>
      <c r="B292" s="85" t="s">
        <v>293</v>
      </c>
      <c r="C292" s="83"/>
      <c r="D292" s="468" t="str">
        <f>Attended_Op</f>
        <v>No</v>
      </c>
      <c r="E292" s="83"/>
      <c r="F292" s="468" t="str">
        <f>Attended_Op</f>
        <v>No</v>
      </c>
      <c r="G292" s="83"/>
      <c r="H292" s="468" t="str">
        <f>Attended_Op</f>
        <v>No</v>
      </c>
      <c r="I292" s="83"/>
      <c r="J292" s="468" t="str">
        <f>Attended_Op</f>
        <v>No</v>
      </c>
      <c r="K292" s="83"/>
      <c r="L292" s="468" t="str">
        <f>Attended_Op</f>
        <v>No</v>
      </c>
      <c r="M292" s="83"/>
      <c r="N292" s="468" t="str">
        <f>Attended_Op</f>
        <v>No</v>
      </c>
      <c r="O292" s="83"/>
      <c r="P292" s="468" t="str">
        <f>Attended_Op</f>
        <v>No</v>
      </c>
      <c r="Q292" s="83"/>
      <c r="R292" s="468" t="str">
        <f>Attended_Op</f>
        <v>No</v>
      </c>
      <c r="S292" s="83"/>
      <c r="T292" s="468" t="str">
        <f>Attended_Op</f>
        <v>No</v>
      </c>
      <c r="U292" s="83"/>
      <c r="V292" s="468" t="str">
        <f>Attended_Op</f>
        <v>No</v>
      </c>
      <c r="W292" s="83"/>
      <c r="X292" s="468" t="str">
        <f>Attended_Op</f>
        <v>No</v>
      </c>
      <c r="Y292" s="83"/>
      <c r="Z292" s="84"/>
      <c r="AA292" s="83"/>
      <c r="AB292" s="81"/>
      <c r="AC292" s="848" t="s">
        <v>5298</v>
      </c>
      <c r="AD292" s="81"/>
      <c r="AE292" s="2099">
        <f>IF(AE280&lt;&gt;"",(LN(0.01)-AE291)*AE286^(2*IF(AC222="Instantaneous",AE$219,AE$193)),0)</f>
        <v>0</v>
      </c>
      <c r="AF292" s="81"/>
      <c r="AG292" s="2099">
        <f>IF(AG280&lt;&gt;"",(LN(0.01)-AG291)*AG286^(2*IF(AE222="Instantaneous",AG$219,AG$193)),0)</f>
        <v>0</v>
      </c>
      <c r="AH292" s="81"/>
      <c r="AI292" s="2099">
        <f>IF(AI280&lt;&gt;"",(LN(0.01)-AI291)*AI286^(2*IF(AI221="Instantaneous",AI$219,AI$193)),0)</f>
        <v>0</v>
      </c>
      <c r="AJ292" s="81"/>
      <c r="AK292" s="2099">
        <f>IF(AK280&lt;&gt;"",(LN(0.01)-AK291)*AK286^(2*IF(AK221="Instantaneous",AK$219,AK$193)),0)</f>
        <v>0</v>
      </c>
      <c r="AL292" s="81"/>
      <c r="AM292" s="2099">
        <f>IF(AM280&lt;&gt;"",(LN(0.01)-AM291)*AM286^(2*IF(AM221="Instantaneous",AM$219,AM$193)),0)</f>
        <v>0</v>
      </c>
      <c r="AN292" s="81"/>
      <c r="AO292" s="2099">
        <f>IF(AO280&lt;&gt;"",(LN(0.01)-AO291)*AO286^(2*IF(AO221="Instantaneous",AO$219,AO$193)),0)</f>
        <v>0</v>
      </c>
      <c r="AP292" s="81"/>
      <c r="AQ292" s="1691"/>
      <c r="AR292" s="81"/>
      <c r="AS292" s="83"/>
      <c r="AT292" s="85" t="s">
        <v>1658</v>
      </c>
      <c r="AU292" s="83"/>
      <c r="AV292" s="1209">
        <f>IF(AND(AV73&gt;0,Occ_Bldg&gt;0.1),IF(AND(Location="Indoors",AV298&gt;0),1000000/(1000000/AV299+(Wind*AV82*(Occ_Bldg/AV$124)^(1/AV$125)/(IF(Enclosed_Ventilation_Rate&gt;1,Enclosed_Ventilation_Rate,1)*Enclosed_Process_Volume*AV82*AV299/88020000000))),IF(AV153="Instantaneous",1000000*(AV$67/AV$82)*(AV$150/(Occ_Bldg+AV$152))^(1/AV$151),1000000*(AV$73/(Wind*AV$82))*(AV$124/(Occ_Bldg+AV$126))^(1/AV$125))),0)</f>
        <v>0</v>
      </c>
      <c r="AW292" s="83"/>
      <c r="AX292" s="1209">
        <f>IF(AND(AX73&gt;0,Occ_Bldg&gt;0.1),IF(AND(Location="Indoors",AX298&gt;0),1000000/(1000000/AX299+(Wind*AX82*(Occ_Bldg/AX$124)^(1/AX$125)/(IF(Enclosed_Ventilation_Rate&gt;1,Enclosed_Ventilation_Rate,1)*Enclosed_Process_Volume*AX82*AX299/88020000000))),IF(AX153="Instantaneous",1000000*(AX$67/AX$82)*(AX$150/(Occ_Bldg+AX$152))^(1/AX$151),1000000*(AX$73/(Wind*AX$82))*(AX$124/(Occ_Bldg+AX$126))^(1/AX$125))),0)</f>
        <v>0</v>
      </c>
      <c r="AY292" s="83"/>
      <c r="AZ292" s="1209">
        <f>IF(AND(AZ73&gt;0,Occ_Bldg&gt;0.1),IF(AND(Location="Indoors",AZ298&gt;0),1000000/(1000000/AZ299+(Wind*AZ82*(Occ_Bldg/AZ$124)^(1/AZ$125)/(IF(Enclosed_Ventilation_Rate&gt;1,Enclosed_Ventilation_Rate,1)*Enclosed_Process_Volume*AZ82*AZ299/88020000000))),IF(AZ153="Instantaneous",1000000*(AZ$67/AZ$82)*(AZ$150/(Occ_Bldg+AZ$152))^(1/AZ$151),1000000*(AZ$73/(Wind*AZ$82))*(AZ$124/(Occ_Bldg+AZ$126))^(1/AZ$125))),0)</f>
        <v>0</v>
      </c>
      <c r="BA292" s="83"/>
      <c r="BB292" s="1209">
        <f>IF(AND(BB73&gt;0,Occ_Bldg&gt;0.1),IF(AND(Location="Indoors",BB298&gt;0),1000000/(1000000/BB299+(Wind*BB82*(Occ_Bldg/BB$124)^(1/BB$125)/(IF(Enclosed_Ventilation_Rate&gt;1,Enclosed_Ventilation_Rate,1)*Enclosed_Process_Volume*BB82*BB299/88020000000))),IF(BB153="Instantaneous",1000000*(BB$67/BB$82)*(BB$150/(Occ_Bldg+BB$152))^(1/BB$151),1000000*(BB$73/(Wind*BB$82))*(BB$124/(Occ_Bldg+BB$126))^(1/BB$125))),0)</f>
        <v>0</v>
      </c>
      <c r="BC292" s="83"/>
      <c r="BD292" s="1209">
        <f>IF(AND(BD73&gt;0,Occ_Bldg&gt;0.1),IF(AND(Location="Indoors",BD298&gt;0),1000000/(1000000/BD299+(Wind*BD82*(Occ_Bldg/BD$124)^(1/BD$125)/(IF(Enclosed_Ventilation_Rate&gt;1,Enclosed_Ventilation_Rate,1)*Enclosed_Process_Volume*BD82*BD299/88020000000))),IF(BD153="Instantaneous",1000000*(BD$67/BD$82)*(BD$150/(Occ_Bldg+BD$152))^(1/BD$151),1000000*(BD$73/(Wind*BD$82))*(BD$124/(Occ_Bldg+BD$126))^(1/BD$125))),0)</f>
        <v>0</v>
      </c>
      <c r="BE292" s="83"/>
      <c r="BF292" s="1209">
        <f>IF(AND(BF73&gt;0,Occ_Bldg&gt;0.1),IF(AND(Location="Indoors",BF298&gt;0),1000000/(1000000/BF299+(Wind*BF82*(Occ_Bldg/BF$124)^(1/BF$125)/(IF(Enclosed_Ventilation_Rate&gt;1,Enclosed_Ventilation_Rate,1)*Enclosed_Process_Volume*BF82*BF299/88020000000))),IF(BF153="Instantaneous",1000000*(BF$67/BF$82)*(BF$150/(Occ_Bldg+BF$152))^(1/BF$151),1000000*(BF$73/(Wind*BF$82))*(BF$124/(Occ_Bldg+BF$126))^(1/BF$125))),0)</f>
        <v>0</v>
      </c>
      <c r="BG292" s="83"/>
      <c r="BH292" s="1209">
        <f>IF(AND(BH73&gt;0,Occ_Bldg&gt;0.1),IF(AND(Location="Indoors",BH298&gt;0),1000000/(1000000/BH299+(Wind*BH82*(Occ_Bldg/BH$124)^(1/BH$125)/(IF(Enclosed_Ventilation_Rate&gt;1,Enclosed_Ventilation_Rate,1)*Enclosed_Process_Volume*BH82*BH299/88020000000))),IF(BH153="Instantaneous",1000000*(BH$67/BH$82)*(BH$150/(Occ_Bldg+BH$152))^(1/BH$151),1000000*(BH$73/(Wind*BH$82))*(BH$124/(Occ_Bldg+BH$126))^(1/BH$125))),0)</f>
        <v>0</v>
      </c>
      <c r="BI292" s="83"/>
      <c r="BJ292" s="1209">
        <f>IF(AND(BJ73&gt;0,Occ_Bldg&gt;0.1),IF(AND(Location="Indoors",BJ298&gt;0),1000000/(1000000/BJ299+(Wind*BJ82*(Occ_Bldg/BJ$124)^(1/BJ$125)/(IF(Enclosed_Ventilation_Rate&gt;1,Enclosed_Ventilation_Rate,1)*Enclosed_Process_Volume*BJ82*BJ299/88020000000))),IF(BJ153="Instantaneous",1000000*(BJ$67/BJ$82)*(BJ$150/(Occ_Bldg+BJ$152))^(1/BJ$151),1000000*(BJ$73/(Wind*BJ$82))*(BJ$124/(Occ_Bldg+BJ$126))^(1/BJ$125))),0)</f>
        <v>0</v>
      </c>
      <c r="BK292" s="83"/>
      <c r="BL292" s="1209">
        <f>IF(AND(BL73&gt;0,Occ_Bldg&gt;0.1),IF(AND(Location="Indoors",BL298&gt;0),1000000/(1000000/BL299+(Wind*BL82*(Occ_Bldg/BL$124)^(1/BL$125)/(IF(Enclosed_Ventilation_Rate&gt;1,Enclosed_Ventilation_Rate,1)*Enclosed_Process_Volume*BL82*BL299/88020000000))),IF(BL153="Instantaneous",1000000*(BL$67/BL$82)*(BL$150/(Occ_Bldg+BL$152))^(1/BL$151),1000000*(BL$73/(Wind*BL$82))*(BL$124/(Occ_Bldg+BL$126))^(1/BL$125))),0)</f>
        <v>0</v>
      </c>
      <c r="BM292" s="83"/>
      <c r="BN292" s="1209">
        <f>IF(AND(BN73&gt;0,Occ_Bldg&gt;0.1),IF(AND(Location="Indoors",BN298&gt;0),1000000/(1000000/BN299+(Wind*BN82*(Occ_Bldg/BN$124)^(1/BN$125)/(IF(Enclosed_Ventilation_Rate&gt;1,Enclosed_Ventilation_Rate,1)*Enclosed_Process_Volume*BN82*BN299/88020000000))),IF(BN153="Instantaneous",1000000*(BN$67/BN$82)*(BN$150/(Occ_Bldg+BN$152))^(1/BN$151),1000000*(BN$73/(Wind*BN$82))*(BN$124/(Occ_Bldg+BN$126))^(1/BN$125))),0)</f>
        <v>0</v>
      </c>
      <c r="BO292" s="83"/>
      <c r="BP292" s="85" t="s">
        <v>1506</v>
      </c>
      <c r="BQ292" s="83"/>
      <c r="BR292" s="81"/>
      <c r="BS292" s="92" t="s">
        <v>293</v>
      </c>
      <c r="BT292" s="81"/>
      <c r="BU292" s="101" t="str">
        <f>IF(OR(Attended="Yes",AND(Attended&lt;&gt;"No",OR(Equipment="Bag/Pak Dumping (Solids)",Equipment="Drum/IBC Handling",Equipment="Tank Truck/Rail Car/Tote"))),"Yes","No")</f>
        <v>No</v>
      </c>
      <c r="BV292" s="81"/>
      <c r="BW292" s="101" t="str">
        <f>IF(OR(Attended="Yes",AND(Attended&lt;&gt;"No",OR(Equipment="Bag/Pak Dumping (Solids)",Equipment="Drum/IBC Handling",Equipment="Tank Truck/Rail Car/Tote"))),"Yes","No")</f>
        <v>No</v>
      </c>
      <c r="BX292" s="81"/>
      <c r="BY292" s="101" t="str">
        <f>IF(OR(Attended="Yes",AND(Attended&lt;&gt;"No",OR(Equipment="Bag/Pak Dumping (Solids)",Equipment="Drum/IBC Handling",Equipment="Tank Truck/Rail Car/Tote"))),"Yes","No")</f>
        <v>No</v>
      </c>
      <c r="BZ292" s="81"/>
      <c r="CA292" s="101" t="str">
        <f>IF(OR(Attended="Yes",AND(Attended&lt;&gt;"No",OR(Equipment="Bag/Pak Dumping (Solids)",Equipment="Drum/IBC Handling",Equipment="Tank Truck/Rail Car/Tote"))),"Yes","No")</f>
        <v>No</v>
      </c>
      <c r="CB292" s="81"/>
      <c r="CC292" s="101" t="str">
        <f>IF(OR(Attended="Yes",AND(Attended&lt;&gt;"No",OR(Equipment="Bag/Pak Dumping (Solids)",Equipment="Drum/IBC Handling",Equipment="Tank Truck/Rail Car/Tote"))),"Yes","No")</f>
        <v>No</v>
      </c>
      <c r="CD292" s="81"/>
      <c r="CE292" s="84"/>
      <c r="CF292" s="81"/>
      <c r="CG292" s="2968"/>
      <c r="CH292" s="2972" t="s">
        <v>5095</v>
      </c>
      <c r="CI292" s="2969"/>
      <c r="CJ292" s="2974">
        <f>LN(1000)</f>
        <v>6.9077552789821368</v>
      </c>
      <c r="CK292" s="2968"/>
      <c r="CL292" s="2968"/>
      <c r="CM292" s="2968"/>
      <c r="CN292" s="26"/>
      <c r="CO292" s="26"/>
      <c r="CP292" s="26"/>
      <c r="CQ292" s="26"/>
      <c r="CR292" s="26"/>
      <c r="CS292" s="26"/>
      <c r="CT292" s="26"/>
      <c r="CU292" s="26"/>
    </row>
    <row r="293" spans="1:99" ht="15" customHeight="1" thickBot="1" x14ac:dyDescent="0.3">
      <c r="A293" s="2"/>
      <c r="B293" s="85" t="s">
        <v>2736</v>
      </c>
      <c r="C293" s="83"/>
      <c r="D293" s="1209">
        <f>IF(AND(D89&gt;0,WorkArea_Distance&gt;0.1),IF(AND(Location="Indoors",D301&gt;0),1000000/(1000000/D301+(Wind*D98*(WorkArea_Distance/D$127)^(1/D$128)/(IF(Enclosed_Ventilation_Rate&gt;1,Enclosed_Ventilation_Rate,1)*Enclosed_Process_Volume*D98*D301/88020000000))),IF(D156="Instantaneous",1000000*(D$83/D$98)*(D$153/(WorkArea_Distance+D$155))^(1/D$154),1000000*(D$89/(Wind*D$98))*(D$127/(WorkArea_Distance+D$129))^(1/D$128))),IF(Location="Indoors",0,1000000))</f>
        <v>1000000</v>
      </c>
      <c r="E293" s="83"/>
      <c r="F293" s="1209">
        <f>IF(AND(F89&gt;0,WorkArea_Distance&gt;0.1),IF(AND(Location="Indoors",F301&gt;0),1000000/(1000000/F301+(Wind*F98*(WorkArea_Distance/F$127)^(1/F$128)/(IF(Enclosed_Ventilation_Rate&gt;1,Enclosed_Ventilation_Rate,1)*Enclosed_Process_Volume*F98*F301/88020000000))),IF(F156="Instantaneous",1000000*(F$83/F$98)*(F$153/(WorkArea_Distance+F$155))^(1/F$154),1000000*(F$89/(Wind*F$98))*(F$127/(WorkArea_Distance+F$129))^(1/F$128))),IF(Location="Indoors",0,1000000))</f>
        <v>1000000</v>
      </c>
      <c r="G293" s="83"/>
      <c r="H293" s="1209">
        <f>IF(AND(H89&gt;0,WorkArea_Distance&gt;0.1),IF(AND(Location="Indoors",H301&gt;0),1000000/(1000000/H301+(Wind*H98*(WorkArea_Distance/H$127)^(1/H$128)/(IF(Enclosed_Ventilation_Rate&gt;1,Enclosed_Ventilation_Rate,1)*Enclosed_Process_Volume*H98*H301/88020000000))),IF(H156="Instantaneous",1000000*(H$83/H$98)*(H$153/(WorkArea_Distance+H$155))^(1/H$154),1000000*(H$89/(Wind*H$98))*(H$127/(WorkArea_Distance+H$129))^(1/H$128))),IF(Location="Indoors",0,1000000))</f>
        <v>1000000</v>
      </c>
      <c r="I293" s="83"/>
      <c r="J293" s="1209">
        <f>IF(AND(J89&gt;0,WorkArea_Distance&gt;0.1),IF(AND(Location="Indoors",J301&gt;0),1000000/(1000000/J301+(Wind*J98*(WorkArea_Distance/J$127)^(1/J$128)/(IF(Enclosed_Ventilation_Rate&gt;1,Enclosed_Ventilation_Rate,1)*Enclosed_Process_Volume*J98*J301/88020000000))),IF(J156="Instantaneous",1000000*(J$83/J$98)*(J$153/(WorkArea_Distance+J$155))^(1/J$154),1000000*(J$89/(Wind*J$98))*(J$127/(WorkArea_Distance+J$129))^(1/J$128))),IF(Location="Indoors",0,1000000))</f>
        <v>1000000</v>
      </c>
      <c r="K293" s="83"/>
      <c r="L293" s="1209">
        <f>IF(AND(L89&gt;0,WorkArea_Distance&gt;0.1),IF(AND(Location="Indoors",L301&gt;0),1000000/(1000000/L301+(Wind*L98*(WorkArea_Distance/L$127)^(1/L$128)/(IF(Enclosed_Ventilation_Rate&gt;1,Enclosed_Ventilation_Rate,1)*Enclosed_Process_Volume*L98*L301/88020000000))),IF(L156="Instantaneous",1000000*(L$83/L$98)*(L$153/(WorkArea_Distance+L$155))^(1/L$154),1000000*(L$89/(Wind*L$98))*(L$127/(WorkArea_Distance+L$129))^(1/L$128))),IF(Location="Indoors",0,1000000))</f>
        <v>1000000</v>
      </c>
      <c r="M293" s="83"/>
      <c r="N293" s="1209">
        <f>IF(AND(N89&gt;0,WorkArea_Distance&gt;0.1),IF(AND(Location="Indoors",N301&gt;0),1000000/(1000000/N301+(Wind*N98*(WorkArea_Distance/N$127)^(1/N$128)/(IF(Enclosed_Ventilation_Rate&gt;1,Enclosed_Ventilation_Rate,1)*Enclosed_Process_Volume*N98*N301/88020000000))),IF(N156="Instantaneous",1000000*(N$83/N$98)*(N$153/(WorkArea_Distance+N$155))^(1/N$154),1000000*(N$89/(Wind*N$98))*(N$127/(WorkArea_Distance+N$129))^(1/N$128))),IF(Location="Indoors",0,1000000))</f>
        <v>1000000</v>
      </c>
      <c r="O293" s="83"/>
      <c r="P293" s="1209">
        <f>IF(AND(P89&gt;0,WorkArea_Distance&gt;0.1),IF(AND(Location="Indoors",P301&gt;0),1000000/(1000000/P301+(Wind*P98*(WorkArea_Distance/P$127)^(1/P$128)/(IF(Enclosed_Ventilation_Rate&gt;1,Enclosed_Ventilation_Rate,1)*Enclosed_Process_Volume*P98*P301/88020000000))),IF(P156="Instantaneous",1000000*(P$83/P$98)*(P$153/(WorkArea_Distance+P$155))^(1/P$154),1000000*(P$89/(Wind*P$98))*(P$127/(WorkArea_Distance+P$129))^(1/P$128))),IF(Location="Indoors",0,1000000))</f>
        <v>1000000</v>
      </c>
      <c r="Q293" s="83"/>
      <c r="R293" s="1209">
        <f>IF(AND(R89&gt;0,WorkArea_Distance&gt;0.1),IF(AND(Location="Indoors",R301&gt;0),1000000/(1000000/R301+(Wind*R98*(WorkArea_Distance/R$127)^(1/R$128)/(IF(Enclosed_Ventilation_Rate&gt;1,Enclosed_Ventilation_Rate,1)*Enclosed_Process_Volume*R98*R301/88020000000))),IF(R156="Instantaneous",1000000*(R$83/R$98)*(R$153/(WorkArea_Distance+R$155))^(1/R$154),1000000*(R$89/(Wind*R$98))*(R$127/(WorkArea_Distance+R$129))^(1/R$128))),IF(Location="Indoors",0,1000000))</f>
        <v>1000000</v>
      </c>
      <c r="S293" s="83"/>
      <c r="T293" s="1209">
        <f>IF(AND(T89&gt;0,WorkArea_Distance&gt;0.1),IF(AND(Location="Indoors",T301&gt;0),1000000/(1000000/T301+(Wind*T98*(WorkArea_Distance/T$127)^(1/T$128)/(IF(Enclosed_Ventilation_Rate&gt;1,Enclosed_Ventilation_Rate,1)*Enclosed_Process_Volume*T98*T301/88020000000))),IF(T156="Instantaneous",1000000*(T$83/T$98)*(T$153/(WorkArea_Distance+T$155))^(1/T$154),1000000*(T$89/(Wind*T$98))*(T$127/(WorkArea_Distance+T$129))^(1/T$128))),IF(Location="Indoors",0,1000000))</f>
        <v>1000000</v>
      </c>
      <c r="U293" s="83"/>
      <c r="V293" s="1209">
        <f>IF(AND(V89&gt;0,WorkArea_Distance&gt;0.1),IF(AND(Location="Indoors",V301&gt;0),1000000/(1000000/V301+(Wind*V98*(WorkArea_Distance/V$127)^(1/V$128)/(IF(Enclosed_Ventilation_Rate&gt;1,Enclosed_Ventilation_Rate,1)*Enclosed_Process_Volume*V98*V301/88020000000))),IF(V156="Instantaneous",1000000*(V$83/V$98)*(V$153/(WorkArea_Distance+V$155))^(1/V$154),1000000*(V$89/(Wind*V$98))*(V$127/(WorkArea_Distance+V$129))^(1/V$128))),IF(Location="Indoors",0,1000000))</f>
        <v>1000000</v>
      </c>
      <c r="W293" s="83"/>
      <c r="X293" s="1209">
        <f>IF(AND(X89&gt;0,WorkArea_Distance&gt;0.1),IF(AND(Location="Indoors",X301&gt;0),1000000/(1000000/X301+(Wind*X98*(WorkArea_Distance/X$127)^(1/X$128)/(IF(Enclosed_Ventilation_Rate&gt;1,Enclosed_Ventilation_Rate,1)*Enclosed_Process_Volume*X98*X301/88020000000))),IF(X156="Instantaneous",1000000*(X$83/X$98)*(X$153/(WorkArea_Distance+X$155))^(1/X$154),1000000*(X$89/(Wind*X$98))*(X$127/(WorkArea_Distance+X$129))^(1/X$128))),IF(Location="Indoors",0,1000000))</f>
        <v>1000000</v>
      </c>
      <c r="Y293" s="83"/>
      <c r="Z293" s="85" t="s">
        <v>1506</v>
      </c>
      <c r="AA293" s="83"/>
      <c r="AB293" s="81"/>
      <c r="AC293" s="849" t="s">
        <v>3645</v>
      </c>
      <c r="AD293" s="1695"/>
      <c r="AE293" s="3033">
        <f>MIN(1000000,IF(AE291&lt;&gt;"",IF(AE291&gt;0,(-AE292/AE291)^(0.5/IF(AC222="Instantaneous",AE$219,AE$193)),0),0))</f>
        <v>0</v>
      </c>
      <c r="AF293" s="1695"/>
      <c r="AG293" s="3033">
        <f>MIN(1000000,IF(AG291&lt;&gt;"",IF(AG291&gt;0,(-AG292/AG291)^(0.5/IF(AE222="Instantaneous",AG$219,AG$193)),0),0))</f>
        <v>0</v>
      </c>
      <c r="AH293" s="1695"/>
      <c r="AI293" s="3033">
        <f>MIN(1000000,IF(AI291&lt;&gt;"",IF(AI291&gt;0,(-AI292/AI291)^(0.5/IF(AI221="Instantaneous",AI$219,AI$193)),0),0))</f>
        <v>0</v>
      </c>
      <c r="AJ293" s="1695"/>
      <c r="AK293" s="3033">
        <f>MIN(1000000,IF(AK291&lt;&gt;"",IF(AK291&gt;0,(-AK292/AK291)^(0.5/IF(AK221="Instantaneous",AK$219,AK$193)),0),0))</f>
        <v>0</v>
      </c>
      <c r="AL293" s="1695"/>
      <c r="AM293" s="3033">
        <f>MIN(1000000,IF(AM291&lt;&gt;"",IF(AM291&gt;0,(-AM292/AM291)^(0.5/IF(AM221="Instantaneous",AM$219,AM$193)),0),0))</f>
        <v>0</v>
      </c>
      <c r="AN293" s="1695"/>
      <c r="AO293" s="3033">
        <f>MIN(1000000,IF(AO291&lt;&gt;"",IF(AO291&gt;0,(-AO292/AO291)^(0.5/IF(AO221="Instantaneous",AO$219,AO$193)),0),0))</f>
        <v>0</v>
      </c>
      <c r="AP293" s="81"/>
      <c r="AQ293" s="85" t="s">
        <v>1506</v>
      </c>
      <c r="AR293" s="81"/>
      <c r="AS293" s="83"/>
      <c r="AT293" s="85" t="s">
        <v>2930</v>
      </c>
      <c r="AU293" s="83"/>
      <c r="AV293" s="3035">
        <f>IF(AND(AV73&gt;0,Occ_Bldg2&gt;0.1),IF(AND(Location="Indoors",AV298&gt;0),1000000/(1000000/AV299+(Wind*AV82*(Occ_Bldg2/AV$124)^(1/AV$125)/(IF(Enclosed_Ventilation_Rate&gt;1,Enclosed_Ventilation_Rate,1)*Enclosed_Process_Volume*AV82*AV299/88020000000))),IF(AV153="Instantaneous",1000000*(AV$67/AV$82)*(AV$150/(Occ_Bldg2+AV$152))^(1/AV$151),1000000*(AV$73/(Wind*AV$82))*(AV$124/(Occ_Bldg2+AV$126))^(1/AV$125))),0)</f>
        <v>0</v>
      </c>
      <c r="AW293" s="83"/>
      <c r="AX293" s="3035">
        <f>IF(AND(AX73&gt;0,Occ_Bldg2&gt;0.1),IF(AND(Location="Indoors",AX298&gt;0),1000000/(1000000/AX299+(Wind*AX82*(Occ_Bldg2/AX$124)^(1/AX$125)/(IF(Enclosed_Ventilation_Rate&gt;1,Enclosed_Ventilation_Rate,1)*Enclosed_Process_Volume*AX82*AX299/88020000000))),IF(AX153="Instantaneous",1000000*(AX$67/AX$82)*(AX$150/(Occ_Bldg2+AX$152))^(1/AX$151),1000000*(AX$73/(Wind*AX$82))*(AX$124/(Occ_Bldg2+AX$126))^(1/AX$125))),0)</f>
        <v>0</v>
      </c>
      <c r="AY293" s="83"/>
      <c r="AZ293" s="3035">
        <f>IF(AND(AZ73&gt;0,Occ_Bldg2&gt;0.1),IF(AND(Location="Indoors",AZ298&gt;0),1000000/(1000000/AZ299+(Wind*AZ82*(Occ_Bldg2/AZ$124)^(1/AZ$125)/(IF(Enclosed_Ventilation_Rate&gt;1,Enclosed_Ventilation_Rate,1)*Enclosed_Process_Volume*AZ82*AZ299/88020000000))),IF(AZ153="Instantaneous",1000000*(AZ$67/AZ$82)*(AZ$150/(Occ_Bldg2+AZ$152))^(1/AZ$151),1000000*(AZ$73/(Wind*AZ$82))*(AZ$124/(Occ_Bldg2+AZ$126))^(1/AZ$125))),0)</f>
        <v>0</v>
      </c>
      <c r="BA293" s="83"/>
      <c r="BB293" s="3035">
        <f>IF(AND(BB73&gt;0,Occ_Bldg2&gt;0.1),IF(AND(Location="Indoors",BB298&gt;0),1000000/(1000000/BB299+(Wind*BB82*(Occ_Bldg2/BB$124)^(1/BB$125)/(IF(Enclosed_Ventilation_Rate&gt;1,Enclosed_Ventilation_Rate,1)*Enclosed_Process_Volume*BB82*BB299/88020000000))),IF(BB153="Instantaneous",1000000*(BB$67/BB$82)*(BB$150/(Occ_Bldg2+BB$152))^(1/BB$151),1000000*(BB$73/(Wind*BB$82))*(BB$124/(Occ_Bldg2+BB$126))^(1/BB$125))),0)</f>
        <v>0</v>
      </c>
      <c r="BC293" s="83"/>
      <c r="BD293" s="3035">
        <f>IF(AND(BD73&gt;0,Occ_Bldg2&gt;0.1),IF(AND(Location="Indoors",BD298&gt;0),1000000/(1000000/BD299+(Wind*BD82*(Occ_Bldg2/BD$124)^(1/BD$125)/(IF(Enclosed_Ventilation_Rate&gt;1,Enclosed_Ventilation_Rate,1)*Enclosed_Process_Volume*BD82*BD299/88020000000))),IF(BD153="Instantaneous",1000000*(BD$67/BD$82)*(BD$150/(Occ_Bldg2+BD$152))^(1/BD$151),1000000*(BD$73/(Wind*BD$82))*(BD$124/(Occ_Bldg2+BD$126))^(1/BD$125))),0)</f>
        <v>0</v>
      </c>
      <c r="BE293" s="83"/>
      <c r="BF293" s="3035">
        <f>IF(AND(BF73&gt;0,Occ_Bldg2&gt;0.1),IF(AND(Location="Indoors",BF298&gt;0),1000000/(1000000/BF299+(Wind*BF82*(Occ_Bldg2/BF$124)^(1/BF$125)/(IF(Enclosed_Ventilation_Rate&gt;1,Enclosed_Ventilation_Rate,1)*Enclosed_Process_Volume*BF82*BF299/88020000000))),IF(BF153="Instantaneous",1000000*(BF$67/BF$82)*(BF$150/(Occ_Bldg2+BF$152))^(1/BF$151),1000000*(BF$73/(Wind*BF$82))*(BF$124/(Occ_Bldg2+BF$126))^(1/BF$125))),0)</f>
        <v>0</v>
      </c>
      <c r="BG293" s="83"/>
      <c r="BH293" s="3035">
        <f>IF(AND(BH73&gt;0,Occ_Bldg2&gt;0.1),IF(AND(Location="Indoors",BH298&gt;0),1000000/(1000000/BH299+(Wind*BH82*(Occ_Bldg2/BH$124)^(1/BH$125)/(IF(Enclosed_Ventilation_Rate&gt;1,Enclosed_Ventilation_Rate,1)*Enclosed_Process_Volume*BH82*BH299/88020000000))),IF(BH153="Instantaneous",1000000*(BH$67/BH$82)*(BH$150/(Occ_Bldg2+BH$152))^(1/BH$151),1000000*(BH$73/(Wind*BH$82))*(BH$124/(Occ_Bldg2+BH$126))^(1/BH$125))),0)</f>
        <v>0</v>
      </c>
      <c r="BI293" s="83"/>
      <c r="BJ293" s="3035">
        <f>IF(AND(BJ73&gt;0,Occ_Bldg2&gt;0.1),IF(AND(Location="Indoors",BJ298&gt;0),1000000/(1000000/BJ299+(Wind*BJ82*(Occ_Bldg2/BJ$124)^(1/BJ$125)/(IF(Enclosed_Ventilation_Rate&gt;1,Enclosed_Ventilation_Rate,1)*Enclosed_Process_Volume*BJ82*BJ299/88020000000))),IF(BJ153="Instantaneous",1000000*(BJ$67/BJ$82)*(BJ$150/(Occ_Bldg2+BJ$152))^(1/BJ$151),1000000*(BJ$73/(Wind*BJ$82))*(BJ$124/(Occ_Bldg2+BJ$126))^(1/BJ$125))),0)</f>
        <v>0</v>
      </c>
      <c r="BK293" s="83"/>
      <c r="BL293" s="3035">
        <f>IF(AND(BL73&gt;0,Occ_Bldg2&gt;0.1),IF(AND(Location="Indoors",BL298&gt;0),1000000/(1000000/BL299+(Wind*BL82*(Occ_Bldg2/BL$124)^(1/BL$125)/(IF(Enclosed_Ventilation_Rate&gt;1,Enclosed_Ventilation_Rate,1)*Enclosed_Process_Volume*BL82*BL299/88020000000))),IF(BL153="Instantaneous",1000000*(BL$67/BL$82)*(BL$150/(Occ_Bldg2+BL$152))^(1/BL$151),1000000*(BL$73/(Wind*BL$82))*(BL$124/(Occ_Bldg2+BL$126))^(1/BL$125))),0)</f>
        <v>0</v>
      </c>
      <c r="BM293" s="83"/>
      <c r="BN293" s="3035">
        <f>IF(AND(BN73&gt;0,Occ_Bldg2&gt;0.1),IF(AND(Location="Indoors",BN298&gt;0),1000000/(1000000/BN299+(Wind*BN82*(Occ_Bldg2/BN$124)^(1/BN$125)/(IF(Enclosed_Ventilation_Rate&gt;1,Enclosed_Ventilation_Rate,1)*Enclosed_Process_Volume*BN82*BN299/88020000000))),IF(BN153="Instantaneous",1000000*(BN$67/BN$82)*(BN$150/(Occ_Bldg2+BN$152))^(1/BN$151),1000000*(BN$73/(Wind*BN$82))*(BN$124/(Occ_Bldg2+BN$126))^(1/BN$125))),0)</f>
        <v>0</v>
      </c>
      <c r="BO293" s="83"/>
      <c r="BP293" s="85" t="s">
        <v>1506</v>
      </c>
      <c r="BQ293" s="83"/>
      <c r="BR293" s="81"/>
      <c r="BS293" s="85" t="s">
        <v>2736</v>
      </c>
      <c r="BT293" s="81"/>
      <c r="BU293" s="1209">
        <f>IF(AND(BU89&gt;0,WorkArea_Distance&gt;0.1),IF(AND(Location="Indoors",BU301&gt;0),1000000/(1000000/BU301+(Wind*BU98*(WorkArea_Distance/BU$127)^(1/BU$128)/(IF(Enclosed_Ventilation_Rate&gt;1,Enclosed_Ventilation_Rate,1)*Enclosed_Process_Volume*BU98*BU301/88020000000))),IF(BU156="Instantaneous",1000000*(BU$83/BU$98)*(BU$153/(WorkArea_Distance+BU$155))^(1/BU$154),1000000*(BU$89/(Wind*BU$98))*(BU$127/(WorkArea_Distance+BU$129))^(1/BU$128))),IF(Location="Indoors",0,1000000))</f>
        <v>1000000</v>
      </c>
      <c r="BV293" s="81"/>
      <c r="BW293" s="1209">
        <f>IF(AND(BW89&gt;0,WorkArea_Distance&gt;0.1),IF(AND(Location="Indoors",BW301&gt;0),1000000/(1000000/BW301+(Wind*BW98*(WorkArea_Distance/BW$127)^(1/BW$128)/(IF(Enclosed_Ventilation_Rate&gt;1,Enclosed_Ventilation_Rate,1)*Enclosed_Process_Volume*BW98*BW301/88020000000))),IF(BW156="Instantaneous",1000000*(BW$83/BW$98)*(BW$153/(WorkArea_Distance+BW$155))^(1/BW$154),1000000*(BW$89/(Wind*BW$98))*(BW$127/(WorkArea_Distance+BW$129))^(1/BW$128))),IF(Location="Indoors",0,1000000))</f>
        <v>1000000</v>
      </c>
      <c r="BX293" s="81"/>
      <c r="BY293" s="1209">
        <f>IF(AND(BY89&gt;0,WorkArea_Distance&gt;0.1),IF(AND(Location="Indoors",BY301&gt;0),1000000/(1000000/BY301+(Wind*BY98*(WorkArea_Distance/BY$127)^(1/BY$128)/(IF(Enclosed_Ventilation_Rate&gt;1,Enclosed_Ventilation_Rate,1)*Enclosed_Process_Volume*BY98*BY301/88020000000))),IF(BY156="Instantaneous",1000000*(BY$83/BY$98)*(BY$153/(WorkArea_Distance+BY$155))^(1/BY$154),1000000*(BY$89/(Wind*BY$98))*(BY$127/(WorkArea_Distance+BY$129))^(1/BY$128))),IF(Location="Indoors",0,1000000))</f>
        <v>1000000</v>
      </c>
      <c r="BZ293" s="81"/>
      <c r="CA293" s="1209">
        <f>IF(AND(CA89&gt;0,WorkArea_Distance&gt;0.1),IF(AND(Location="Indoors",CA301&gt;0),1000000/(1000000/CA301+(Wind*CA98*(WorkArea_Distance/CA$127)^(1/CA$128)/(IF(Enclosed_Ventilation_Rate&gt;1,Enclosed_Ventilation_Rate,1)*Enclosed_Process_Volume*CA98*CA301/88020000000))),IF(CA156="Instantaneous",1000000*(CA$83/CA$98)*(CA$153/(WorkArea_Distance+CA$155))^(1/CA$154),1000000*(CA$89/(Wind*CA$98))*(CA$127/(WorkArea_Distance+CA$129))^(1/CA$128))),IF(Location="Indoors",0,1000000))</f>
        <v>1000000</v>
      </c>
      <c r="CB293" s="81"/>
      <c r="CC293" s="1209">
        <f>IF(AND(CC89&gt;0,WorkArea_Distance&gt;0.1),IF(AND(Location="Indoors",CC301&gt;0),1000000/(1000000/CC301+(Wind*CC98*(WorkArea_Distance/CC$127)^(1/CC$128)/(IF(Enclosed_Ventilation_Rate&gt;1,Enclosed_Ventilation_Rate,1)*Enclosed_Process_Volume*CC98*CC301/88020000000))),IF(CC156="Instantaneous",1000000*(CC$83/CC$98)*(CC$153/(WorkArea_Distance+CC$155))^(1/CC$154),1000000*(CC$89/(Wind*CC$98))*(CC$127/(WorkArea_Distance+CC$129))^(1/CC$128))),IF(Location="Indoors",0,1000000))</f>
        <v>1000000</v>
      </c>
      <c r="CD293" s="81"/>
      <c r="CE293" s="85" t="s">
        <v>1506</v>
      </c>
      <c r="CF293" s="81"/>
      <c r="CG293" s="2968"/>
      <c r="CH293" s="2972" t="s">
        <v>5096</v>
      </c>
      <c r="CI293" s="2969"/>
      <c r="CJ293" s="2974">
        <f>LN(2000)</f>
        <v>7.6009024595420822</v>
      </c>
      <c r="CK293" s="2968"/>
      <c r="CL293" s="2968"/>
      <c r="CM293" s="2968"/>
      <c r="CN293" s="26"/>
      <c r="CO293" s="26"/>
      <c r="CP293" s="26"/>
      <c r="CQ293" s="26"/>
      <c r="CR293" s="26"/>
      <c r="CS293" s="26"/>
      <c r="CT293" s="26"/>
      <c r="CU293" s="26"/>
    </row>
    <row r="294" spans="1:99" ht="15" customHeight="1" thickBot="1" x14ac:dyDescent="0.3">
      <c r="A294" s="2"/>
      <c r="B294" s="85" t="s">
        <v>1658</v>
      </c>
      <c r="C294" s="83"/>
      <c r="D294" s="1209">
        <f>IF(AND(D89&gt;0,Occ_Bldg&gt;0.1),IF(AND(Location="Indoors",D301&gt;0),1000000/(1000000/D301+(Wind*D98*(Occ_Bldg/D$127)^(1/D$128)/(IF(Enclosed_Ventilation_Rate&gt;1,Enclosed_Ventilation_Rate,1)*Enclosed_Process_Volume*D98*D301/88020000000))),IF(D156="Instantaneous",1000000*(D$83/D$98)*(D$153/(Occ_Bldg+D$155))^(1/D$154),1000000*(D$89/(Wind*D$98))*(D$127/(Occ_Bldg+D$129))^(1/D$128))),0)</f>
        <v>0</v>
      </c>
      <c r="E294" s="83"/>
      <c r="F294" s="1209">
        <f>IF(AND(F89&gt;0,Occ_Bldg&gt;0.1),IF(AND(Location="Indoors",F301&gt;0),1000000/(1000000/F301+(Wind*F98*(Occ_Bldg/F$127)^(1/F$128)/(IF(Enclosed_Ventilation_Rate&gt;1,Enclosed_Ventilation_Rate,1)*Enclosed_Process_Volume*F98*F301/88020000000))),IF(F156="Instantaneous",1000000*(F$83/F$98)*(F$153/(Occ_Bldg+F$155))^(1/F$154),1000000*(F$89/(Wind*F$98))*(F$127/(Occ_Bldg+F$129))^(1/F$128))),0)</f>
        <v>0</v>
      </c>
      <c r="G294" s="83"/>
      <c r="H294" s="1209">
        <f>IF(AND(H89&gt;0,Occ_Bldg&gt;0.1),IF(AND(Location="Indoors",H301&gt;0),1000000/(1000000/H301+(Wind*H98*(Occ_Bldg/H$127)^(1/H$128)/(IF(Enclosed_Ventilation_Rate&gt;1,Enclosed_Ventilation_Rate,1)*Enclosed_Process_Volume*H98*H301/88020000000))),IF(H156="Instantaneous",1000000*(H$83/H$98)*(H$153/(Occ_Bldg+H$155))^(1/H$154),1000000*(H$89/(Wind*H$98))*(H$127/(Occ_Bldg+H$129))^(1/H$128))),0)</f>
        <v>0</v>
      </c>
      <c r="I294" s="83"/>
      <c r="J294" s="1209">
        <f>IF(AND(J89&gt;0,Occ_Bldg&gt;0.1),IF(AND(Location="Indoors",J301&gt;0),1000000/(1000000/J301+(Wind*J98*(Occ_Bldg/J$127)^(1/J$128)/(IF(Enclosed_Ventilation_Rate&gt;1,Enclosed_Ventilation_Rate,1)*Enclosed_Process_Volume*J98*J301/88020000000))),IF(J156="Instantaneous",1000000*(J$83/J$98)*(J$153/(Occ_Bldg+J$155))^(1/J$154),1000000*(J$89/(Wind*J$98))*(J$127/(Occ_Bldg+J$129))^(1/J$128))),0)</f>
        <v>0</v>
      </c>
      <c r="K294" s="83"/>
      <c r="L294" s="1209">
        <f>IF(AND(L89&gt;0,Occ_Bldg&gt;0.1),IF(AND(Location="Indoors",L301&gt;0),1000000/(1000000/L301+(Wind*L98*(Occ_Bldg/L$127)^(1/L$128)/(IF(Enclosed_Ventilation_Rate&gt;1,Enclosed_Ventilation_Rate,1)*Enclosed_Process_Volume*L98*L301/88020000000))),IF(L156="Instantaneous",1000000*(L$83/L$98)*(L$153/(Occ_Bldg+L$155))^(1/L$154),1000000*(L$89/(Wind*L$98))*(L$127/(Occ_Bldg+L$129))^(1/L$128))),0)</f>
        <v>0</v>
      </c>
      <c r="M294" s="83"/>
      <c r="N294" s="1209">
        <f>IF(AND(N89&gt;0,Occ_Bldg&gt;0.1),IF(AND(Location="Indoors",N301&gt;0),1000000/(1000000/N301+(Wind*N98*(Occ_Bldg/N$127)^(1/N$128)/(IF(Enclosed_Ventilation_Rate&gt;1,Enclosed_Ventilation_Rate,1)*Enclosed_Process_Volume*N98*N301/88020000000))),IF(N156="Instantaneous",1000000*(N$83/N$98)*(N$153/(Occ_Bldg+N$155))^(1/N$154),1000000*(N$89/(Wind*N$98))*(N$127/(Occ_Bldg+N$129))^(1/N$128))),0)</f>
        <v>0</v>
      </c>
      <c r="O294" s="83"/>
      <c r="P294" s="1209">
        <f>IF(AND(P89&gt;0,Occ_Bldg&gt;0.1),IF(AND(Location="Indoors",P301&gt;0),1000000/(1000000/P301+(Wind*P98*(Occ_Bldg/P$127)^(1/P$128)/(IF(Enclosed_Ventilation_Rate&gt;1,Enclosed_Ventilation_Rate,1)*Enclosed_Process_Volume*P98*P301/88020000000))),IF(P156="Instantaneous",1000000*(P$83/P$98)*(P$153/(Occ_Bldg+P$155))^(1/P$154),1000000*(P$89/(Wind*P$98))*(P$127/(Occ_Bldg+P$129))^(1/P$128))),0)</f>
        <v>0</v>
      </c>
      <c r="Q294" s="83"/>
      <c r="R294" s="1209">
        <f>IF(AND(R89&gt;0,Occ_Bldg&gt;0.1),IF(AND(Location="Indoors",R301&gt;0),1000000/(1000000/R301+(Wind*R98*(Occ_Bldg/R$127)^(1/R$128)/(IF(Enclosed_Ventilation_Rate&gt;1,Enclosed_Ventilation_Rate,1)*Enclosed_Process_Volume*R98*R301/88020000000))),IF(R156="Instantaneous",1000000*(R$83/R$98)*(R$153/(Occ_Bldg+R$155))^(1/R$154),1000000*(R$89/(Wind*R$98))*(R$127/(Occ_Bldg+R$129))^(1/R$128))),0)</f>
        <v>0</v>
      </c>
      <c r="S294" s="83"/>
      <c r="T294" s="1209">
        <f>IF(AND(T89&gt;0,Occ_Bldg&gt;0.1),IF(AND(Location="Indoors",T301&gt;0),1000000/(1000000/T301+(Wind*T98*(Occ_Bldg/T$127)^(1/T$128)/(IF(Enclosed_Ventilation_Rate&gt;1,Enclosed_Ventilation_Rate,1)*Enclosed_Process_Volume*T98*T301/88020000000))),IF(T156="Instantaneous",1000000*(T$83/T$98)*(T$153/(Occ_Bldg+T$155))^(1/T$154),1000000*(T$89/(Wind*T$98))*(T$127/(Occ_Bldg+T$129))^(1/T$128))),0)</f>
        <v>0</v>
      </c>
      <c r="U294" s="83"/>
      <c r="V294" s="1209">
        <f>IF(AND(V89&gt;0,Occ_Bldg&gt;0.1),IF(AND(Location="Indoors",V301&gt;0),1000000/(1000000/V301+(Wind*V98*(Occ_Bldg/V$127)^(1/V$128)/(IF(Enclosed_Ventilation_Rate&gt;1,Enclosed_Ventilation_Rate,1)*Enclosed_Process_Volume*V98*V301/88020000000))),IF(V156="Instantaneous",1000000*(V$83/V$98)*(V$153/(Occ_Bldg+V$155))^(1/V$154),1000000*(V$89/(Wind*V$98))*(V$127/(Occ_Bldg+V$129))^(1/V$128))),0)</f>
        <v>0</v>
      </c>
      <c r="W294" s="83"/>
      <c r="X294" s="1209">
        <f>IF(AND(X89&gt;0,Occ_Bldg&gt;0.1),IF(AND(Location="Indoors",X301&gt;0),1000000/(1000000/X301+(Wind*X98*(Occ_Bldg/X$127)^(1/X$128)/(IF(Enclosed_Ventilation_Rate&gt;1,Enclosed_Ventilation_Rate,1)*Enclosed_Process_Volume*X98*X301/88020000000))),IF(X156="Instantaneous",1000000*(X$83/X$98)*(X$153/(Occ_Bldg+X$155))^(1/X$154),1000000*(X$89/(Wind*X$98))*(X$127/(Occ_Bldg+X$129))^(1/X$128))),0)</f>
        <v>0</v>
      </c>
      <c r="Y294" s="83"/>
      <c r="Z294" s="85" t="s">
        <v>1506</v>
      </c>
      <c r="AA294" s="83"/>
      <c r="AB294" s="81"/>
      <c r="AC294" s="848" t="s">
        <v>2681</v>
      </c>
      <c r="AD294" s="81"/>
      <c r="AE294" s="2645">
        <f>Relief_Release</f>
        <v>0</v>
      </c>
      <c r="AF294" s="81"/>
      <c r="AG294" s="2645">
        <f>Relief_Release</f>
        <v>0</v>
      </c>
      <c r="AH294" s="81"/>
      <c r="AI294" s="2645">
        <f>Relief_Release</f>
        <v>0</v>
      </c>
      <c r="AJ294" s="81"/>
      <c r="AK294" s="2645">
        <f>Relief_Release</f>
        <v>0</v>
      </c>
      <c r="AL294" s="81"/>
      <c r="AM294" s="2645">
        <f>Relief_Release</f>
        <v>0</v>
      </c>
      <c r="AN294" s="81"/>
      <c r="AO294" s="2645">
        <f>Relief_Release</f>
        <v>0</v>
      </c>
      <c r="AP294" s="81"/>
      <c r="AQ294" s="85"/>
      <c r="AR294" s="81"/>
      <c r="AS294" s="83"/>
      <c r="AT294" s="85" t="s">
        <v>5293</v>
      </c>
      <c r="AU294" s="83"/>
      <c r="AV294" s="1286">
        <f>MIN(AV292*(1-EXP(-IF(Ventilation_Rate="",Occ_Bldg_Vent,Ventilation_Rate)*AV$207/2)),AV$216)</f>
        <v>0</v>
      </c>
      <c r="AW294" s="83"/>
      <c r="AX294" s="1286">
        <f>MIN(AX292*(1-EXP(-IF(Ventilation_Rate="",Occ_Bldg_Vent,Ventilation_Rate)*AX$207/2)),AX$216)</f>
        <v>0</v>
      </c>
      <c r="AY294" s="83"/>
      <c r="AZ294" s="1286">
        <f>MIN(AZ292*(1-EXP(-IF(Ventilation_Rate="",Occ_Bldg_Vent,Ventilation_Rate)*AZ$207/2)),AZ$216)</f>
        <v>0</v>
      </c>
      <c r="BA294" s="83"/>
      <c r="BB294" s="1286">
        <f>MIN(BB292*(1-EXP(-IF(Ventilation_Rate="",Occ_Bldg_Vent,Ventilation_Rate)*BB$207/2)),BB$216)</f>
        <v>0</v>
      </c>
      <c r="BC294" s="83"/>
      <c r="BD294" s="1286">
        <f>MIN(BD292*(1-EXP(-IF(Ventilation_Rate="",Occ_Bldg_Vent,Ventilation_Rate)*BD$207/2)),BD$216)</f>
        <v>0</v>
      </c>
      <c r="BE294" s="83"/>
      <c r="BF294" s="1286">
        <f>MIN(BF292*(1-EXP(-IF(Ventilation_Rate="",Occ_Bldg_Vent,Ventilation_Rate)*BF$207/2)),BF$216)</f>
        <v>0</v>
      </c>
      <c r="BG294" s="83"/>
      <c r="BH294" s="1286">
        <f>MIN(BH292*(1-EXP(-IF(Ventilation_Rate="",Occ_Bldg_Vent,Ventilation_Rate)*BH$207/2)),BH$216)</f>
        <v>0</v>
      </c>
      <c r="BI294" s="83"/>
      <c r="BJ294" s="1286">
        <f>MIN(BJ292*(1-EXP(-IF(Ventilation_Rate="",Occ_Bldg_Vent,Ventilation_Rate)*BJ$207/2)),BJ$216)</f>
        <v>0</v>
      </c>
      <c r="BK294" s="83"/>
      <c r="BL294" s="1286">
        <f>MIN(BL292*(1-EXP(-IF(Ventilation_Rate="",Occ_Bldg_Vent,Ventilation_Rate)*BL$207/2)),BL$216)</f>
        <v>0</v>
      </c>
      <c r="BM294" s="83"/>
      <c r="BN294" s="1286">
        <f>MIN(BN292*(1-EXP(-IF(Ventilation_Rate="",Occ_Bldg_Vent,Ventilation_Rate)*BN$207/2)),BN$216)</f>
        <v>0</v>
      </c>
      <c r="BO294" s="83"/>
      <c r="BP294" s="85" t="s">
        <v>1506</v>
      </c>
      <c r="BQ294" s="83"/>
      <c r="BR294" s="81"/>
      <c r="BS294" s="85" t="s">
        <v>1658</v>
      </c>
      <c r="BT294" s="81"/>
      <c r="BU294" s="1209">
        <f>IF(AND(BU89&gt;0,Occ_Bldg&gt;0.1),IF(AND(Location="Indoors",BU301&gt;0),1000000/(1000000/BU301+(Wind*BU98*(Occ_Bldg/BU$127)^(1/BU$128)/(IF(Enclosed_Ventilation_Rate&gt;1,Enclosed_Ventilation_Rate,1)*Enclosed_Process_Volume*BU98*BU301/88020000000))),IF(BU156="Instantaneous",1000000*(BU$83/BU$98)*(BU$153/(Occ_Bldg+BU$155))^(1/BU$154),1000000*(BU$89/(Wind*BU$98))*(BU$127/(Occ_Bldg+BU$129))^(1/BU$128))),0)</f>
        <v>0</v>
      </c>
      <c r="BV294" s="81"/>
      <c r="BW294" s="1209">
        <f>IF(AND(BW89&gt;0,Occ_Bldg&gt;0.1),IF(AND(Location="Indoors",BW301&gt;0),1000000/(1000000/BW301+(Wind*BW98*(Occ_Bldg/BW$127)^(1/BW$128)/(IF(Enclosed_Ventilation_Rate&gt;1,Enclosed_Ventilation_Rate,1)*Enclosed_Process_Volume*BW98*BW301/88020000000))),IF(BW156="Instantaneous",1000000*(BW$83/BW$98)*(BW$153/(Occ_Bldg+BW$155))^(1/BW$154),1000000*(BW$89/(Wind*BW$98))*(BW$127/(Occ_Bldg+BW$129))^(1/BW$128))),0)</f>
        <v>0</v>
      </c>
      <c r="BX294" s="81"/>
      <c r="BY294" s="1209">
        <f>IF(AND(BY89&gt;0,Occ_Bldg&gt;0.1),IF(AND(Location="Indoors",BY301&gt;0),1000000/(1000000/BY301+(Wind*BY98*(Occ_Bldg/BY$127)^(1/BY$128)/(IF(Enclosed_Ventilation_Rate&gt;1,Enclosed_Ventilation_Rate,1)*Enclosed_Process_Volume*BY98*BY301/88020000000))),IF(BY156="Instantaneous",1000000*(BY$83/BY$98)*(BY$153/(Occ_Bldg+BY$155))^(1/BY$154),1000000*(BY$89/(Wind*BY$98))*(BY$127/(Occ_Bldg+BY$129))^(1/BY$128))),0)</f>
        <v>0</v>
      </c>
      <c r="BZ294" s="81"/>
      <c r="CA294" s="1209">
        <f>IF(AND(CA89&gt;0,Occ_Bldg&gt;0.1),IF(AND(Location="Indoors",CA301&gt;0),1000000/(1000000/CA301+(Wind*CA98*(Occ_Bldg/CA$127)^(1/CA$128)/(IF(Enclosed_Ventilation_Rate&gt;1,Enclosed_Ventilation_Rate,1)*Enclosed_Process_Volume*CA98*CA301/88020000000))),IF(CA156="Instantaneous",1000000*(CA$83/CA$98)*(CA$153/(Occ_Bldg+CA$155))^(1/CA$154),1000000*(CA$89/(Wind*CA$98))*(CA$127/(Occ_Bldg+CA$129))^(1/CA$128))),0)</f>
        <v>0</v>
      </c>
      <c r="CB294" s="81"/>
      <c r="CC294" s="1209">
        <f>IF(AND(CC89&gt;0,Occ_Bldg&gt;0.1),IF(AND(Location="Indoors",CC301&gt;0),1000000/(1000000/CC301+(Wind*CC98*(Occ_Bldg/CC$127)^(1/CC$128)/(IF(Enclosed_Ventilation_Rate&gt;1,Enclosed_Ventilation_Rate,1)*Enclosed_Process_Volume*CC98*CC301/88020000000))),IF(CC156="Instantaneous",1000000*(CC$83/CC$98)*(CC$153/(Occ_Bldg+CC$155))^(1/CC$154),1000000*(CC$89/(Wind*CC$98))*(CC$127/(Occ_Bldg+CC$129))^(1/CC$128))),0)</f>
        <v>0</v>
      </c>
      <c r="CD294" s="81"/>
      <c r="CE294" s="85" t="s">
        <v>1506</v>
      </c>
      <c r="CF294" s="81"/>
      <c r="CG294" s="2968"/>
      <c r="CH294" s="2972" t="s">
        <v>5097</v>
      </c>
      <c r="CI294" s="2969"/>
      <c r="CJ294" s="2974">
        <f>LN(5000)</f>
        <v>8.5171931914162382</v>
      </c>
      <c r="CK294" s="2968"/>
      <c r="CL294" s="2968"/>
      <c r="CM294" s="2968"/>
      <c r="CN294" s="26"/>
      <c r="CO294" s="26"/>
      <c r="CP294" s="26"/>
      <c r="CQ294" s="26"/>
      <c r="CR294" s="26"/>
      <c r="CS294" s="26"/>
      <c r="CT294" s="26"/>
      <c r="CU294" s="26"/>
    </row>
    <row r="295" spans="1:99" ht="15" customHeight="1" thickBot="1" x14ac:dyDescent="0.3">
      <c r="A295" s="2"/>
      <c r="B295" s="85" t="s">
        <v>2930</v>
      </c>
      <c r="C295" s="83"/>
      <c r="D295" s="1286">
        <f>IF(AND(D89&gt;0,Occ_Bldg2&gt;0.1),IF(AND(Location="Indoors",D301&gt;0),1000000/(1000000/D301+(Wind*D98*(Occ_Bldg2/D$127)^(1/D$128)/(IF(Enclosed_Ventilation_Rate&gt;1,Enclosed_Ventilation_Rate,1)*Enclosed_Process_Volume*D98*D301/88020000000))),IF(D156="Instantaneous",1000000*(D$83/D$98)*(D$153/(Occ_Bldg2+D$155))^(1/D$154),1000000*(D$89/(Wind*D$98))*(D$127/(Occ_Bldg2+D$129))^(1/D$128))),0)</f>
        <v>0</v>
      </c>
      <c r="E295" s="83"/>
      <c r="F295" s="1286">
        <f>IF(AND(F89&gt;0,Occ_Bldg2&gt;0.1),IF(AND(Location="Indoors",F301&gt;0),1000000/(1000000/F301+(Wind*F98*(Occ_Bldg2/F$127)^(1/F$128)/(IF(Enclosed_Ventilation_Rate&gt;1,Enclosed_Ventilation_Rate,1)*Enclosed_Process_Volume*F98*F301/88020000000))),IF(F156="Instantaneous",1000000*(F$83/F$98)*(F$153/(Occ_Bldg2+F$155))^(1/F$154),1000000*(F$89/(Wind*F$98))*(F$127/(Occ_Bldg2+F$129))^(1/F$128))),0)</f>
        <v>0</v>
      </c>
      <c r="G295" s="83"/>
      <c r="H295" s="1286">
        <f>IF(AND(H89&gt;0,Occ_Bldg2&gt;0.1),IF(AND(Location="Indoors",H301&gt;0),1000000/(1000000/H301+(Wind*H98*(Occ_Bldg2/H$127)^(1/H$128)/(IF(Enclosed_Ventilation_Rate&gt;1,Enclosed_Ventilation_Rate,1)*Enclosed_Process_Volume*H98*H301/88020000000))),IF(H156="Instantaneous",1000000*(H$83/H$98)*(H$153/(Occ_Bldg2+H$155))^(1/H$154),1000000*(H$89/(Wind*H$98))*(H$127/(Occ_Bldg2+H$129))^(1/H$128))),0)</f>
        <v>0</v>
      </c>
      <c r="I295" s="83"/>
      <c r="J295" s="1286">
        <f>IF(AND(J89&gt;0,Occ_Bldg2&gt;0.1),IF(AND(Location="Indoors",J301&gt;0),1000000/(1000000/J301+(Wind*J98*(Occ_Bldg2/J$127)^(1/J$128)/(IF(Enclosed_Ventilation_Rate&gt;1,Enclosed_Ventilation_Rate,1)*Enclosed_Process_Volume*J98*J301/88020000000))),IF(J156="Instantaneous",1000000*(J$83/J$98)*(J$153/(Occ_Bldg2+J$155))^(1/J$154),1000000*(J$89/(Wind*J$98))*(J$127/(Occ_Bldg2+J$129))^(1/J$128))),0)</f>
        <v>0</v>
      </c>
      <c r="K295" s="83"/>
      <c r="L295" s="1286">
        <f>IF(AND(L89&gt;0,Occ_Bldg2&gt;0.1),IF(AND(Location="Indoors",L301&gt;0),1000000/(1000000/L301+(Wind*L98*(Occ_Bldg2/L$127)^(1/L$128)/(IF(Enclosed_Ventilation_Rate&gt;1,Enclosed_Ventilation_Rate,1)*Enclosed_Process_Volume*L98*L301/88020000000))),IF(L156="Instantaneous",1000000*(L$83/L$98)*(L$153/(Occ_Bldg2+L$155))^(1/L$154),1000000*(L$89/(Wind*L$98))*(L$127/(Occ_Bldg2+L$129))^(1/L$128))),0)</f>
        <v>0</v>
      </c>
      <c r="M295" s="83"/>
      <c r="N295" s="1286">
        <f>IF(AND(N89&gt;0,Occ_Bldg2&gt;0.1),IF(AND(Location="Indoors",N301&gt;0),1000000/(1000000/N301+(Wind*N98*(Occ_Bldg2/N$127)^(1/N$128)/(IF(Enclosed_Ventilation_Rate&gt;1,Enclosed_Ventilation_Rate,1)*Enclosed_Process_Volume*N98*N301/88020000000))),IF(N156="Instantaneous",1000000*(N$83/N$98)*(N$153/(Occ_Bldg2+N$155))^(1/N$154),1000000*(N$89/(Wind*N$98))*(N$127/(Occ_Bldg2+N$129))^(1/N$128))),0)</f>
        <v>0</v>
      </c>
      <c r="O295" s="83"/>
      <c r="P295" s="1286">
        <f>IF(AND(P89&gt;0,Occ_Bldg2&gt;0.1),IF(AND(Location="Indoors",P301&gt;0),1000000/(1000000/P301+(Wind*P98*(Occ_Bldg2/P$127)^(1/P$128)/(IF(Enclosed_Ventilation_Rate&gt;1,Enclosed_Ventilation_Rate,1)*Enclosed_Process_Volume*P98*P301/88020000000))),IF(P156="Instantaneous",1000000*(P$83/P$98)*(P$153/(Occ_Bldg2+P$155))^(1/P$154),1000000*(P$89/(Wind*P$98))*(P$127/(Occ_Bldg2+P$129))^(1/P$128))),0)</f>
        <v>0</v>
      </c>
      <c r="Q295" s="83"/>
      <c r="R295" s="1286">
        <f>IF(AND(R89&gt;0,Occ_Bldg2&gt;0.1),IF(AND(Location="Indoors",R301&gt;0),1000000/(1000000/R301+(Wind*R98*(Occ_Bldg2/R$127)^(1/R$128)/(IF(Enclosed_Ventilation_Rate&gt;1,Enclosed_Ventilation_Rate,1)*Enclosed_Process_Volume*R98*R301/88020000000))),IF(R156="Instantaneous",1000000*(R$83/R$98)*(R$153/(Occ_Bldg2+R$155))^(1/R$154),1000000*(R$89/(Wind*R$98))*(R$127/(Occ_Bldg2+R$129))^(1/R$128))),0)</f>
        <v>0</v>
      </c>
      <c r="S295" s="83"/>
      <c r="T295" s="1286">
        <f>IF(AND(T89&gt;0,Occ_Bldg2&gt;0.1),IF(AND(Location="Indoors",T301&gt;0),1000000/(1000000/T301+(Wind*T98*(Occ_Bldg2/T$127)^(1/T$128)/(IF(Enclosed_Ventilation_Rate&gt;1,Enclosed_Ventilation_Rate,1)*Enclosed_Process_Volume*T98*T301/88020000000))),IF(T156="Instantaneous",1000000*(T$83/T$98)*(T$153/(Occ_Bldg2+T$155))^(1/T$154),1000000*(T$89/(Wind*T$98))*(T$127/(Occ_Bldg2+T$129))^(1/T$128))),0)</f>
        <v>0</v>
      </c>
      <c r="U295" s="83"/>
      <c r="V295" s="1286">
        <f>IF(AND(V89&gt;0,Occ_Bldg2&gt;0.1),IF(AND(Location="Indoors",V301&gt;0),1000000/(1000000/V301+(Wind*V98*(Occ_Bldg2/V$127)^(1/V$128)/(IF(Enclosed_Ventilation_Rate&gt;1,Enclosed_Ventilation_Rate,1)*Enclosed_Process_Volume*V98*V301/88020000000))),IF(V156="Instantaneous",1000000*(V$83/V$98)*(V$153/(Occ_Bldg2+V$155))^(1/V$154),1000000*(V$89/(Wind*V$98))*(V$127/(Occ_Bldg2+V$129))^(1/V$128))),0)</f>
        <v>0</v>
      </c>
      <c r="W295" s="83"/>
      <c r="X295" s="1286">
        <f>IF(AND(X89&gt;0,Occ_Bldg2&gt;0.1),IF(AND(Location="Indoors",X301&gt;0),1000000/(1000000/X301+(Wind*X98*(Occ_Bldg2/X$127)^(1/X$128)/(IF(Enclosed_Ventilation_Rate&gt;1,Enclosed_Ventilation_Rate,1)*Enclosed_Process_Volume*X98*X301/88020000000))),IF(X156="Instantaneous",1000000*(X$83/X$98)*(X$153/(Occ_Bldg2+X$155))^(1/X$154),1000000*(X$89/(Wind*X$98))*(X$127/(Occ_Bldg2+X$129))^(1/X$128))),0)</f>
        <v>0</v>
      </c>
      <c r="Y295" s="83"/>
      <c r="Z295" s="85" t="s">
        <v>1506</v>
      </c>
      <c r="AA295" s="83"/>
      <c r="AB295" s="81"/>
      <c r="AC295" s="850" t="s">
        <v>4494</v>
      </c>
      <c r="AD295" s="81"/>
      <c r="AE295" s="3034">
        <f>IF(AND(AE98&gt;0,AE238&lt;&gt;""),IF(Location="Indoors",IF(AE315&lt;=AE238,0,AE$140*((IF(Enclosed_Ventilation_Rate&gt;1,Enclosed_Ventilation_Rate,1)*Enclosed_Process_Volume*AE98*AE315/88020000000)*1000000*(1/AE238-1/AE315)/(AE98*Wind))^AE$141),IF(1000000/AE238&lt;=1/AE99,0,IF(AE169="Instantaneous",AE$166*((AE83/AE98)*(1000000/AE238))^AE$167-AE$168,AE$140*(AE89*(1000000/AE238)/(AE98*Wind))^AE$141-AE$142))),0)</f>
        <v>0</v>
      </c>
      <c r="AF295" s="81"/>
      <c r="AG295" s="3034">
        <f>IF(AND(AG98&gt;0,AG238&lt;&gt;""),IF(Location="Indoors",IF(AG315&lt;=AG238,0,AG$140*((IF(Enclosed_Ventilation_Rate&gt;1,Enclosed_Ventilation_Rate,1)*Enclosed_Process_Volume*AG98*AG315/88020000000)*1000000*(1/AG238-1/AG315)/(AG98*Wind))^AG$141),IF(1000000/AG238&lt;=1/AG99,0,IF(AG169="Instantaneous",AG$166*((AG83/AG98)*(1000000/AG238))^AG$167-AG$168,AG$140*(AG89*(1000000/AG238)/(AG98*Wind))^AG$141-AG$142))),0)</f>
        <v>0</v>
      </c>
      <c r="AH295" s="81"/>
      <c r="AI295" s="3034">
        <f>IF(AND(AI98&gt;0,AI238&lt;&gt;""),IF(Location="Indoors",IF(AI315&lt;=AI238,0,AI$140*((IF(Enclosed_Ventilation_Rate&gt;1,Enclosed_Ventilation_Rate,1)*Enclosed_Process_Volume*AI98*AI315/88020000000)*1000000*(1/AI238-1/AI315)/(AI98*Wind))^AI$141),IF(1000000/AI238&lt;=1/AI99,0,IF(AI169="Instantaneous",AI$166*((AI83/AI98)*(1000000/AI238))^AI$167-AI$168,AI$140*(AI89*(1000000/AI238)/(AI98*Wind))^AI$141-AI$142))),0)</f>
        <v>0</v>
      </c>
      <c r="AJ295" s="81"/>
      <c r="AK295" s="3034">
        <f>IF(AND(AK98&gt;0,AK238&lt;&gt;""),IF(Location="Indoors",IF(AK315&lt;=AK238,0,AK$140*((IF(Enclosed_Ventilation_Rate&gt;1,Enclosed_Ventilation_Rate,1)*Enclosed_Process_Volume*AK98*AK315/88020000000)*1000000*(1/AK238-1/AK315)/(AK98*Wind))^AK$141),IF(1000000/AK238&lt;=1/AK99,0,IF(AK169="Instantaneous",AK$166*((AK83/AK98)*(1000000/AK238))^AK$167-AK$168,AK$140*(AK89*(1000000/AK238)/(AK98*Wind))^AK$141-AK$142))),0)</f>
        <v>0</v>
      </c>
      <c r="AL295" s="81"/>
      <c r="AM295" s="3034">
        <f>IF(AND(AM98&gt;0,AM238&lt;&gt;""),IF(Location="Indoors",IF(AM315&lt;=AM238,0,AM$140*((IF(Enclosed_Ventilation_Rate&gt;1,Enclosed_Ventilation_Rate,1)*Enclosed_Process_Volume*AM98*AM315/88020000000)*1000000*(1/AM238-1/AM315)/(AM98*Wind))^AM$141),IF(1000000/AM238&lt;=1/AM99,0,IF(AM169="Instantaneous",AM$166*((AM83/AM98)*(1000000/AM238))^AM$167-AM$168,AM$140*(AM89*(1000000/AM238)/(AM98*Wind))^AM$141-AM$142))),0)</f>
        <v>0</v>
      </c>
      <c r="AN295" s="81"/>
      <c r="AO295" s="3034">
        <f>IF(AND(AO98&gt;0,AO238&lt;&gt;""),IF(Location="Indoors",IF(AO315&lt;=AO238,0,AO$140*((IF(Enclosed_Ventilation_Rate&gt;1,Enclosed_Ventilation_Rate,1)*Enclosed_Process_Volume*AO98*AO315/88020000000)*1000000*(1/AO238-1/AO315)/(AO98*Wind))^AO$141),IF(1000000/AO238&lt;=1/AO99,0,IF(AO169="Instantaneous",AO$166*((AO83/AO98)*(1000000/AO238))^AO$167-AO$168,AO$140*(AO89*(1000000/AO238)/(AO98*Wind))^AO$141-AO$142))),0)</f>
        <v>0</v>
      </c>
      <c r="AP295" s="81"/>
      <c r="AQ295" s="85" t="s">
        <v>1068</v>
      </c>
      <c r="AR295" s="81"/>
      <c r="AS295" s="83"/>
      <c r="AT295" s="85" t="s">
        <v>3542</v>
      </c>
      <c r="AU295" s="83"/>
      <c r="AV295" s="1286">
        <f>MIN(AV293*(1-EXP(-IF(Ventilation_Rate2="",Occ_Bldg_Vent,Ventilation_Rate2)*AV$207/2)),AV$216)</f>
        <v>0</v>
      </c>
      <c r="AW295" s="83"/>
      <c r="AX295" s="1286">
        <f>MIN(AX293*(1-EXP(-IF(Ventilation_Rate2="",Occ_Bldg_Vent,Ventilation_Rate2)*AX$207/2)),AX$216)</f>
        <v>0</v>
      </c>
      <c r="AY295" s="83"/>
      <c r="AZ295" s="1286">
        <f>MIN(AZ293*(1-EXP(-IF(Ventilation_Rate2="",Occ_Bldg_Vent,Ventilation_Rate2)*AZ$207/2)),AZ$216)</f>
        <v>0</v>
      </c>
      <c r="BA295" s="83"/>
      <c r="BB295" s="1286">
        <f>MIN(BB293*(1-EXP(-IF(Ventilation_Rate2="",Occ_Bldg_Vent,Ventilation_Rate2)*BB$207/2)),BB$216)</f>
        <v>0</v>
      </c>
      <c r="BC295" s="83"/>
      <c r="BD295" s="1286">
        <f>MIN(BD293*(1-EXP(-IF(Ventilation_Rate2="",Occ_Bldg_Vent,Ventilation_Rate2)*BD$207/2)),BD$216)</f>
        <v>0</v>
      </c>
      <c r="BE295" s="83"/>
      <c r="BF295" s="1286">
        <f>MIN(BF293*(1-EXP(-IF(Ventilation_Rate2="",Occ_Bldg_Vent,Ventilation_Rate2)*BF$207/2)),BF$216)</f>
        <v>0</v>
      </c>
      <c r="BG295" s="83"/>
      <c r="BH295" s="1286">
        <f>MIN(BH293*(1-EXP(-IF(Ventilation_Rate2="",Occ_Bldg_Vent,Ventilation_Rate2)*BH$207/2)),BH$216)</f>
        <v>0</v>
      </c>
      <c r="BI295" s="83"/>
      <c r="BJ295" s="1286">
        <f>MIN(BJ293*(1-EXP(-IF(Ventilation_Rate2="",Occ_Bldg_Vent,Ventilation_Rate2)*BJ$207/2)),BJ$216)</f>
        <v>0</v>
      </c>
      <c r="BK295" s="83"/>
      <c r="BL295" s="1286">
        <f>MIN(BL293*(1-EXP(-IF(Ventilation_Rate2="",Occ_Bldg_Vent,Ventilation_Rate2)*BL$207/2)),BL$216)</f>
        <v>0</v>
      </c>
      <c r="BM295" s="83"/>
      <c r="BN295" s="1286">
        <f>MIN(BN293*(1-EXP(-IF(Ventilation_Rate2="",Occ_Bldg_Vent,Ventilation_Rate2)*BN$207/2)),BN$216)</f>
        <v>0</v>
      </c>
      <c r="BO295" s="83"/>
      <c r="BP295" s="85" t="s">
        <v>1506</v>
      </c>
      <c r="BQ295" s="83"/>
      <c r="BR295" s="81"/>
      <c r="BS295" s="85" t="s">
        <v>2930</v>
      </c>
      <c r="BT295" s="81"/>
      <c r="BU295" s="1286">
        <f>IF(AND(BU89&gt;0,Occ_Bldg2&gt;0.1),IF(AND(Location="Indoors",BU301&gt;0),1000000/(1000000/BU301+(Wind*BU98*(Occ_Bldg2/BU$127)^(1/BU$128)/(IF(Enclosed_Ventilation_Rate&gt;1,Enclosed_Ventilation_Rate,1)*Enclosed_Process_Volume*BU98*BU301/88020000000))),IF(BU156="Instantaneous",1000000*(BU$83/BU$98)*(BU$153/(Occ_Bldg2+BU$155))^(1/BU$154),1000000*(BU$89/(Wind*BU$98))*(BU$127/(Occ_Bldg2+BU$129))^(1/BU$128))),0)</f>
        <v>0</v>
      </c>
      <c r="BV295" s="81"/>
      <c r="BW295" s="1286">
        <f>IF(AND(BW89&gt;0,Occ_Bldg2&gt;0.1),IF(AND(Location="Indoors",BW301&gt;0),1000000/(1000000/BW301+(Wind*BW98*(Occ_Bldg2/BW$127)^(1/BW$128)/(IF(Enclosed_Ventilation_Rate&gt;1,Enclosed_Ventilation_Rate,1)*Enclosed_Process_Volume*BW98*BW301/88020000000))),IF(BW156="Instantaneous",1000000*(BW$83/BW$98)*(BW$153/(Occ_Bldg2+BW$155))^(1/BW$154),1000000*(BW$89/(Wind*BW$98))*(BW$127/(Occ_Bldg2+BW$129))^(1/BW$128))),0)</f>
        <v>0</v>
      </c>
      <c r="BX295" s="81"/>
      <c r="BY295" s="1286">
        <f>IF(AND(BY89&gt;0,Occ_Bldg2&gt;0.1),IF(AND(Location="Indoors",BY301&gt;0),1000000/(1000000/BY301+(Wind*BY98*(Occ_Bldg2/BY$127)^(1/BY$128)/(IF(Enclosed_Ventilation_Rate&gt;1,Enclosed_Ventilation_Rate,1)*Enclosed_Process_Volume*BY98*BY301/88020000000))),IF(BY156="Instantaneous",1000000*(BY$83/BY$98)*(BY$153/(Occ_Bldg2+BY$155))^(1/BY$154),1000000*(BY$89/(Wind*BY$98))*(BY$127/(Occ_Bldg2+BY$129))^(1/BY$128))),0)</f>
        <v>0</v>
      </c>
      <c r="BZ295" s="81"/>
      <c r="CA295" s="1286">
        <f>IF(AND(CA89&gt;0,Occ_Bldg2&gt;0.1),IF(AND(Location="Indoors",CA301&gt;0),1000000/(1000000/CA301+(Wind*CA98*(Occ_Bldg2/CA$127)^(1/CA$128)/(IF(Enclosed_Ventilation_Rate&gt;1,Enclosed_Ventilation_Rate,1)*Enclosed_Process_Volume*CA98*CA301/88020000000))),IF(CA156="Instantaneous",1000000*(CA$83/CA$98)*(CA$153/(Occ_Bldg2+CA$155))^(1/CA$154),1000000*(CA$89/(Wind*CA$98))*(CA$127/(Occ_Bldg2+CA$129))^(1/CA$128))),0)</f>
        <v>0</v>
      </c>
      <c r="CB295" s="81"/>
      <c r="CC295" s="1286">
        <f>IF(AND(CC89&gt;0,Occ_Bldg2&gt;0.1),IF(AND(Location="Indoors",CC301&gt;0),1000000/(1000000/CC301+(Wind*CC98*(Occ_Bldg2/CC$127)^(1/CC$128)/(IF(Enclosed_Ventilation_Rate&gt;1,Enclosed_Ventilation_Rate,1)*Enclosed_Process_Volume*CC98*CC301/88020000000))),IF(CC156="Instantaneous",1000000*(CC$83/CC$98)*(CC$153/(Occ_Bldg2+CC$155))^(1/CC$154),1000000*(CC$89/(Wind*CC$98))*(CC$127/(Occ_Bldg2+CC$129))^(1/CC$128))),0)</f>
        <v>0</v>
      </c>
      <c r="CD295" s="81"/>
      <c r="CE295" s="85" t="s">
        <v>1506</v>
      </c>
      <c r="CF295" s="81"/>
      <c r="CG295" s="2968"/>
      <c r="CH295" s="2972" t="s">
        <v>5098</v>
      </c>
      <c r="CI295" s="2969"/>
      <c r="CJ295" s="2983">
        <f>LN(10000)</f>
        <v>9.2103403719761836</v>
      </c>
      <c r="CK295" s="2968"/>
      <c r="CL295" s="2968"/>
      <c r="CM295" s="2968"/>
      <c r="CN295" s="26"/>
      <c r="CO295" s="26"/>
      <c r="CP295" s="26"/>
      <c r="CQ295" s="26"/>
      <c r="CR295" s="26"/>
      <c r="CS295" s="26"/>
    </row>
    <row r="296" spans="1:99" ht="15" customHeight="1" x14ac:dyDescent="0.25">
      <c r="A296" s="2"/>
      <c r="B296" s="848" t="s">
        <v>5293</v>
      </c>
      <c r="C296" s="83"/>
      <c r="D296" s="2106">
        <f>MIN(D294*(1-EXP(-IF(Ventilation_Rate="",Occ_Bldg_Vent,Ventilation_Rate)*D$210/2)),D$219)</f>
        <v>0</v>
      </c>
      <c r="E296" s="83"/>
      <c r="F296" s="2106">
        <f>MIN(F294*(1-EXP(-IF(Ventilation_Rate="",Occ_Bldg_Vent,Ventilation_Rate)*F$210/2)),F$219)</f>
        <v>0</v>
      </c>
      <c r="G296" s="83"/>
      <c r="H296" s="2106">
        <f>MIN(H294*(1-EXP(-IF(Ventilation_Rate="",Occ_Bldg_Vent,Ventilation_Rate)*H$210/2)),H$219)</f>
        <v>0</v>
      </c>
      <c r="I296" s="83"/>
      <c r="J296" s="2106">
        <f>MIN(J294*(1-EXP(-IF(Ventilation_Rate="",Occ_Bldg_Vent,Ventilation_Rate)*J$210/2)),J$219)</f>
        <v>0</v>
      </c>
      <c r="K296" s="83"/>
      <c r="L296" s="2106">
        <f>MIN(L294*(1-EXP(-IF(Ventilation_Rate="",Occ_Bldg_Vent,Ventilation_Rate)*L$210/2)),L$219)</f>
        <v>0</v>
      </c>
      <c r="M296" s="83"/>
      <c r="N296" s="2106">
        <f>MIN(N294*(1-EXP(-IF(Ventilation_Rate="",Occ_Bldg_Vent,Ventilation_Rate)*N$210/2)),N$219)</f>
        <v>0</v>
      </c>
      <c r="O296" s="83"/>
      <c r="P296" s="2106">
        <f>MIN(P294*(1-EXP(-IF(Ventilation_Rate="",Occ_Bldg_Vent,Ventilation_Rate)*P$210/2)),P$219)</f>
        <v>0</v>
      </c>
      <c r="Q296" s="83"/>
      <c r="R296" s="2106">
        <f>MIN(R294*(1-EXP(-IF(Ventilation_Rate="",Occ_Bldg_Vent,Ventilation_Rate)*R$210/2)),R$219)</f>
        <v>0</v>
      </c>
      <c r="S296" s="83"/>
      <c r="T296" s="2106">
        <f>MIN(T294*(1-EXP(-IF(Ventilation_Rate="",Occ_Bldg_Vent,Ventilation_Rate)*T$210/2)),T$219)</f>
        <v>0</v>
      </c>
      <c r="U296" s="83"/>
      <c r="V296" s="2106">
        <f>MIN(V294*(1-EXP(-IF(Ventilation_Rate="",Occ_Bldg_Vent,Ventilation_Rate)*V$210/2)),V$219)</f>
        <v>0</v>
      </c>
      <c r="W296" s="83"/>
      <c r="X296" s="2106">
        <f>MIN(X294*(1-EXP(-IF(Ventilation_Rate="",Occ_Bldg_Vent,Ventilation_Rate)*X$210/2)),X$219)</f>
        <v>0</v>
      </c>
      <c r="Y296" s="83"/>
      <c r="Z296" s="92" t="s">
        <v>1506</v>
      </c>
      <c r="AA296" s="83"/>
      <c r="AB296" s="81"/>
      <c r="AC296" s="848" t="s">
        <v>2687</v>
      </c>
      <c r="AD296" s="81"/>
      <c r="AE296" s="3009">
        <f>IF(AE89&gt;0,IF(AND(Location="Indoors",AE315&gt;0),1000000/(1000000/AE315+(Wind*AE98*(Public/AE$140)^(1/AE$141)/(IF(Enclosed_Ventilation_Rate&gt;1,Enclosed_Ventilation_Rate,1)*Enclosed_Process_Volume*AE98*AE315/88020000000))),IF(AE169="Instantaneous",AE113*1000000*(AE$83/AE$98)*(AE$166/(Public+AE$168))^(1/AE$167),AE113*1000000*(AE$89/(Wind*AE$98))*(AE$140/(Public+AE$142))^(1/AE$141))),0)</f>
        <v>0</v>
      </c>
      <c r="AF296" s="81"/>
      <c r="AG296" s="3009">
        <f>IF(AG89&gt;0,IF(AND(Location="Indoors",AG315&gt;0),1000000/(1000000/AG315+(Wind*AG98*(Public/AG$140)^(1/AG$141)/(IF(Enclosed_Ventilation_Rate&gt;1,Enclosed_Ventilation_Rate,1)*Enclosed_Process_Volume*AG98*AG315/88020000000))),IF(AG169="Instantaneous",AG113*1000000*(AG$83/AG$98)*(AG$166/(Public+AG$168))^(1/AG$167),AG113*1000000*(AG$89/(Wind*AG$98))*(AG$140/(Public+AG$142))^(1/AG$141))),0)</f>
        <v>0</v>
      </c>
      <c r="AH296" s="81"/>
      <c r="AI296" s="3009">
        <f>IF(AI89&gt;0,IF(AND(Location="Indoors",AI315&gt;0),1000000/(1000000/AI315+(Wind*AI98*(Public/AI$140)^(1/AI$141)/(IF(Enclosed_Ventilation_Rate&gt;1,Enclosed_Ventilation_Rate,1)*Enclosed_Process_Volume*AI98*AI315/88020000000))),IF(AI169="Instantaneous",AI113*1000000*(AI$83/AI$98)*(AI$166/(Public+AI$168))^(1/AI$167),AI113*1000000*(AI$89/(Wind*AI$98))*(AI$140/(Public+AI$142))^(1/AI$141))),0)</f>
        <v>0</v>
      </c>
      <c r="AJ296" s="81"/>
      <c r="AK296" s="3009">
        <f>IF(AK89&gt;0,IF(AND(Location="Indoors",AK315&gt;0),1000000/(1000000/AK315+(Wind*AK98*(Public/AK$140)^(1/AK$141)/(IF(Enclosed_Ventilation_Rate&gt;1,Enclosed_Ventilation_Rate,1)*Enclosed_Process_Volume*AK98*AK315/88020000000))),IF(AK169="Instantaneous",AK113*1000000*(AK$83/AK$98)*(AK$166/(Public+AK$168))^(1/AK$167),AK113*1000000*(AK$89/(Wind*AK$98))*(AK$140/(Public+AK$142))^(1/AK$141))),0)</f>
        <v>0</v>
      </c>
      <c r="AL296" s="81"/>
      <c r="AM296" s="3009">
        <f>IF(AM89&gt;0,IF(AND(Location="Indoors",AM315&gt;0),1000000/(1000000/AM315+(Wind*AM98*(Public/AM$140)^(1/AM$141)/(IF(Enclosed_Ventilation_Rate&gt;1,Enclosed_Ventilation_Rate,1)*Enclosed_Process_Volume*AM98*AM315/88020000000))),IF(AM169="Instantaneous",AM113*1000000*(AM$83/AM$98)*(AM$166/(Public+AM$168))^(1/AM$167),AM113*1000000*(AM$89/(Wind*AM$98))*(AM$140/(Public+AM$142))^(1/AM$141))),0)</f>
        <v>0</v>
      </c>
      <c r="AN296" s="81"/>
      <c r="AO296" s="3009">
        <f>IF(AO89&gt;0,IF(AND(Location="Indoors",AO315&gt;0),1000000/(1000000/AO315+(Wind*AO98*(Public/AO$140)^(1/AO$141)/(IF(Enclosed_Ventilation_Rate&gt;1,Enclosed_Ventilation_Rate,1)*Enclosed_Process_Volume*AO98*AO315/88020000000))),IF(AO169="Instantaneous",AO113*1000000*(AO$83/AO$98)*(AO$166/(Public+AO$168))^(1/AO$167),AO113*1000000*(AO$89/(Wind*AO$98))*(AO$140/(Public+AO$142))^(1/AO$141))),0)</f>
        <v>0</v>
      </c>
      <c r="AP296" s="81"/>
      <c r="AQ296" s="85" t="s">
        <v>1506</v>
      </c>
      <c r="AR296" s="81"/>
      <c r="AS296" s="83"/>
      <c r="AT296" s="848" t="s">
        <v>4718</v>
      </c>
      <c r="AU296" s="83"/>
      <c r="AV296" s="1820" t="str">
        <f>IF(AV258&lt;&gt;"",IF(OR(AV258&gt;AV294,1-AV258/AV292&lt;0),"",-Max_Duration*LN(1-AV258/AV292)/IF(Ventilation_Rate="",Occ_Bldg_Vent,Ventilation_Rate)),"")</f>
        <v/>
      </c>
      <c r="AW296" s="83"/>
      <c r="AX296" s="1820" t="str">
        <f>IF(AX258&lt;&gt;"",IF(OR(AX258&gt;AX294,1-AX258/AX292&lt;0),"",-Max_Duration*LN(1-AX258/AX292)/IF(Ventilation_Rate="",Occ_Bldg_Vent,Ventilation_Rate)),"")</f>
        <v/>
      </c>
      <c r="AY296" s="83"/>
      <c r="AZ296" s="1820" t="str">
        <f>IF(AZ258&lt;&gt;"",IF(OR(AZ258&gt;AZ294,1-AZ258/AZ292&lt;0),"",-Max_Duration*LN(1-AZ258/AZ292)/IF(Ventilation_Rate="",Occ_Bldg_Vent,Ventilation_Rate)),"")</f>
        <v/>
      </c>
      <c r="BA296" s="83"/>
      <c r="BB296" s="1820" t="str">
        <f>IF(BB258&lt;&gt;"",IF(OR(BB258&gt;BB294,1-BB258/BB292&lt;0),"",-Max_Duration*LN(1-BB258/BB292)/IF(Ventilation_Rate="",Occ_Bldg_Vent,Ventilation_Rate)),"")</f>
        <v/>
      </c>
      <c r="BC296" s="83"/>
      <c r="BD296" s="1820" t="str">
        <f>IF(BD258&lt;&gt;"",IF(OR(BD258&gt;BD294,1-BD258/BD292&lt;0),"",-Max_Duration*LN(1-BD258/BD292)/IF(Ventilation_Rate="",Occ_Bldg_Vent,Ventilation_Rate)),"")</f>
        <v/>
      </c>
      <c r="BE296" s="83"/>
      <c r="BF296" s="1820" t="str">
        <f>IF(BF258&lt;&gt;"",IF(OR(BF258&gt;BF294,1-BF258/BF292&lt;0),"",-Max_Duration*LN(1-BF258/BF292)/IF(Ventilation_Rate="",Occ_Bldg_Vent,Ventilation_Rate)),"")</f>
        <v/>
      </c>
      <c r="BG296" s="83"/>
      <c r="BH296" s="1820" t="str">
        <f>IF(BH258&lt;&gt;"",IF(OR(BH258&gt;BH294,1-BH258/BH292&lt;0),"",-Max_Duration*LN(1-BH258/BH292)/IF(Ventilation_Rate="",Occ_Bldg_Vent,Ventilation_Rate)),"")</f>
        <v/>
      </c>
      <c r="BI296" s="83"/>
      <c r="BJ296" s="1820" t="str">
        <f>IF(BJ258&lt;&gt;"",IF(OR(BJ258&gt;BJ294,1-BJ258/BJ292&lt;0),"",-Max_Duration*LN(1-BJ258/BJ292)/IF(Ventilation_Rate="",Occ_Bldg_Vent,Ventilation_Rate)),"")</f>
        <v/>
      </c>
      <c r="BK296" s="83"/>
      <c r="BL296" s="1820" t="str">
        <f>IF(BL258&lt;&gt;"",IF(OR(BL258&gt;BL294,1-BL258/BL292&lt;0),"",-Max_Duration*LN(1-BL258/BL292)/IF(Ventilation_Rate="",Occ_Bldg_Vent,Ventilation_Rate)),"")</f>
        <v/>
      </c>
      <c r="BM296" s="83"/>
      <c r="BN296" s="1820" t="str">
        <f>IF(BN258&lt;&gt;"",IF(OR(BN258&gt;BN294,1-BN258/BN292&lt;0),"",-Max_Duration*LN(1-BN258/BN292)/IF(Ventilation_Rate="",Occ_Bldg_Vent,Ventilation_Rate)),"")</f>
        <v/>
      </c>
      <c r="BO296" s="83"/>
      <c r="BP296" s="85" t="s">
        <v>1760</v>
      </c>
      <c r="BQ296" s="83"/>
      <c r="BR296" s="81"/>
      <c r="BS296" s="85" t="s">
        <v>5293</v>
      </c>
      <c r="BT296" s="81"/>
      <c r="BU296" s="2106">
        <f>MIN(BU294*(1-EXP(-IF(Ventilation_Rate="",Occ_Bldg_Vent,Ventilation_Rate)*BU$210/2)),BU$219)</f>
        <v>0</v>
      </c>
      <c r="BV296" s="81"/>
      <c r="BW296" s="2106">
        <f>MIN(BW294*(1-EXP(-IF(Ventilation_Rate="",Occ_Bldg_Vent,Ventilation_Rate)*BW$210/2)),BW$219)</f>
        <v>0</v>
      </c>
      <c r="BX296" s="81"/>
      <c r="BY296" s="2106">
        <f>MIN(BY294*(1-EXP(-IF(Ventilation_Rate="",Occ_Bldg_Vent,Ventilation_Rate)*BY$210/2)),BY$219)</f>
        <v>0</v>
      </c>
      <c r="BZ296" s="81"/>
      <c r="CA296" s="2106">
        <f>MIN(CA294*(1-EXP(-IF(Ventilation_Rate="",Occ_Bldg_Vent,Ventilation_Rate)*CA$210/2)),CA$219)</f>
        <v>0</v>
      </c>
      <c r="CB296" s="81"/>
      <c r="CC296" s="2106">
        <f>MIN(CC294*(1-EXP(-IF(Ventilation_Rate="",Occ_Bldg_Vent,Ventilation_Rate)*CC$210/2)),CC$219)</f>
        <v>0</v>
      </c>
      <c r="CD296" s="81"/>
      <c r="CE296" s="85" t="s">
        <v>1506</v>
      </c>
      <c r="CF296" s="81"/>
      <c r="CG296" s="2968"/>
      <c r="CH296" s="2968"/>
      <c r="CI296" s="2968"/>
      <c r="CJ296" s="2968"/>
      <c r="CK296" s="2968"/>
      <c r="CL296" s="2968"/>
      <c r="CM296" s="2968"/>
      <c r="CN296" s="26"/>
      <c r="CO296" s="26"/>
      <c r="CP296" s="26"/>
      <c r="CQ296" s="26"/>
      <c r="CR296" s="26"/>
      <c r="CS296" s="26"/>
    </row>
    <row r="297" spans="1:99" ht="15" customHeight="1" thickBot="1" x14ac:dyDescent="0.3">
      <c r="A297" s="2"/>
      <c r="B297" s="848" t="s">
        <v>3542</v>
      </c>
      <c r="C297" s="83"/>
      <c r="D297" s="1820">
        <f>MIN(D295*(1-EXP(-IF(Ventilation_Rate2="",Occ_Bldg_Vent,Ventilation_Rate2)*D$210/2)),D$219)</f>
        <v>0</v>
      </c>
      <c r="E297" s="83"/>
      <c r="F297" s="1820">
        <f>MIN(F295*(1-EXP(-IF(Ventilation_Rate2="",Occ_Bldg_Vent,Ventilation_Rate2)*F$210/2)),F$219)</f>
        <v>0</v>
      </c>
      <c r="G297" s="83"/>
      <c r="H297" s="1820">
        <f>MIN(H295*(1-EXP(-IF(Ventilation_Rate2="",Occ_Bldg_Vent,Ventilation_Rate2)*H$210/2)),H$219)</f>
        <v>0</v>
      </c>
      <c r="I297" s="83"/>
      <c r="J297" s="1820">
        <f>MIN(J295*(1-EXP(-IF(Ventilation_Rate2="",Occ_Bldg_Vent,Ventilation_Rate2)*J$210/2)),J$219)</f>
        <v>0</v>
      </c>
      <c r="K297" s="83"/>
      <c r="L297" s="1820">
        <f>MIN(L295*(1-EXP(-IF(Ventilation_Rate2="",Occ_Bldg_Vent,Ventilation_Rate2)*L$210/2)),L$219)</f>
        <v>0</v>
      </c>
      <c r="M297" s="83"/>
      <c r="N297" s="1820">
        <f>MIN(N295*(1-EXP(-IF(Ventilation_Rate2="",Occ_Bldg_Vent,Ventilation_Rate2)*N$210/2)),N$219)</f>
        <v>0</v>
      </c>
      <c r="O297" s="83"/>
      <c r="P297" s="1820">
        <f>MIN(P295*(1-EXP(-IF(Ventilation_Rate2="",Occ_Bldg_Vent,Ventilation_Rate2)*P$210/2)),P$219)</f>
        <v>0</v>
      </c>
      <c r="Q297" s="83"/>
      <c r="R297" s="1820">
        <f>MIN(R295*(1-EXP(-IF(Ventilation_Rate2="",Occ_Bldg_Vent,Ventilation_Rate2)*R$210/2)),R$219)</f>
        <v>0</v>
      </c>
      <c r="S297" s="83"/>
      <c r="T297" s="1820">
        <f>MIN(T295*(1-EXP(-IF(Ventilation_Rate2="",Occ_Bldg_Vent,Ventilation_Rate2)*T$210/2)),T$219)</f>
        <v>0</v>
      </c>
      <c r="U297" s="83"/>
      <c r="V297" s="1820">
        <f>MIN(V295*(1-EXP(-IF(Ventilation_Rate2="",Occ_Bldg_Vent,Ventilation_Rate2)*V$210/2)),V$219)</f>
        <v>0</v>
      </c>
      <c r="W297" s="83"/>
      <c r="X297" s="1820">
        <f>MIN(X295*(1-EXP(-IF(Ventilation_Rate2="",Occ_Bldg_Vent,Ventilation_Rate2)*X$210/2)),X$219)</f>
        <v>0</v>
      </c>
      <c r="Y297" s="83"/>
      <c r="Z297" s="85" t="s">
        <v>1506</v>
      </c>
      <c r="AA297" s="83"/>
      <c r="AB297" s="81"/>
      <c r="AC297" s="848" t="s">
        <v>4495</v>
      </c>
      <c r="AD297" s="81"/>
      <c r="AE297" s="1209" t="str">
        <f>IF(Public&gt;0.1,IF(AE295&gt;Public,"Yes","No"),"")</f>
        <v/>
      </c>
      <c r="AF297" s="81"/>
      <c r="AG297" s="1209" t="str">
        <f>IF(Public&gt;0.1,IF(AG295&gt;Public,"Yes","No"),"")</f>
        <v/>
      </c>
      <c r="AH297" s="81"/>
      <c r="AI297" s="1209" t="str">
        <f>IF(Public&gt;0.1,IF(AI295&gt;Public,"Yes","No"),"")</f>
        <v/>
      </c>
      <c r="AJ297" s="81"/>
      <c r="AK297" s="1209" t="str">
        <f>IF(Public&gt;0.1,IF(AK295&gt;Public,"Yes","No"),"")</f>
        <v/>
      </c>
      <c r="AL297" s="81"/>
      <c r="AM297" s="1209" t="str">
        <f>IF(Public&gt;0.1,IF(AM295&gt;Public,"Yes","No"),"")</f>
        <v/>
      </c>
      <c r="AN297" s="81"/>
      <c r="AO297" s="1209" t="str">
        <f>IF(Public&gt;0.1,IF(AO295&gt;Public,"Yes","No"),"")</f>
        <v/>
      </c>
      <c r="AP297" s="81"/>
      <c r="AQ297" s="3092"/>
      <c r="AR297" s="81"/>
      <c r="AS297" s="83"/>
      <c r="AT297" s="848" t="s">
        <v>4719</v>
      </c>
      <c r="AU297" s="83"/>
      <c r="AV297" s="2510" t="str">
        <f>IF(AND(Occ_Bldg2&gt;0,AV258&lt;&gt;""),IF(OR(AV258&gt;AV295,1-AV258/AV293&lt;0),"",-Max_Duration*LN(1-AV258/AV293)/IF(Ventilation_Rate="",Occ_Bldg_Vent,Ventilation_Rate)),"")</f>
        <v/>
      </c>
      <c r="AW297" s="83"/>
      <c r="AX297" s="2510" t="str">
        <f>IF(AND(Occ_Bldg2&gt;0,AX258&lt;&gt;""),IF(OR(AX258&gt;AX295,1-AX258/AX293&lt;0),"",-Max_Duration*LN(1-AX258/AX293)/IF(Ventilation_Rate="",Occ_Bldg_Vent,Ventilation_Rate)),"")</f>
        <v/>
      </c>
      <c r="AY297" s="83"/>
      <c r="AZ297" s="2510" t="str">
        <f>IF(AND(Occ_Bldg2&gt;0,AZ258&lt;&gt;""),IF(OR(AZ258&gt;AZ295,1-AZ258/AZ293&lt;0),"",-Max_Duration*LN(1-AZ258/AZ293)/IF(Ventilation_Rate="",Occ_Bldg_Vent,Ventilation_Rate)),"")</f>
        <v/>
      </c>
      <c r="BA297" s="83"/>
      <c r="BB297" s="2510" t="str">
        <f>IF(AND(Occ_Bldg2&gt;0,BB258&lt;&gt;""),IF(OR(BB258&gt;BB295,1-BB258/BB293&lt;0),"",-Max_Duration*LN(1-BB258/BB293)/IF(Ventilation_Rate="",Occ_Bldg_Vent,Ventilation_Rate)),"")</f>
        <v/>
      </c>
      <c r="BC297" s="83"/>
      <c r="BD297" s="2510" t="str">
        <f>IF(AND(Occ_Bldg2&gt;0,BD258&lt;&gt;""),IF(OR(BD258&gt;BD295,1-BD258/BD293&lt;0),"",-Max_Duration*LN(1-BD258/BD293)/IF(Ventilation_Rate="",Occ_Bldg_Vent,Ventilation_Rate)),"")</f>
        <v/>
      </c>
      <c r="BE297" s="83"/>
      <c r="BF297" s="2510" t="str">
        <f>IF(AND(Occ_Bldg2&gt;0,BF258&lt;&gt;""),IF(OR(BF258&gt;BF295,1-BF258/BF293&lt;0),"",-Max_Duration*LN(1-BF258/BF293)/IF(Ventilation_Rate="",Occ_Bldg_Vent,Ventilation_Rate)),"")</f>
        <v/>
      </c>
      <c r="BG297" s="83"/>
      <c r="BH297" s="2510" t="str">
        <f>IF(AND(Occ_Bldg2&gt;0,BH258&lt;&gt;""),IF(OR(BH258&gt;BH295,1-BH258/BH293&lt;0),"",-Max_Duration*LN(1-BH258/BH293)/IF(Ventilation_Rate="",Occ_Bldg_Vent,Ventilation_Rate)),"")</f>
        <v/>
      </c>
      <c r="BI297" s="83"/>
      <c r="BJ297" s="2510" t="str">
        <f>IF(AND(Occ_Bldg2&gt;0,BJ258&lt;&gt;""),IF(OR(BJ258&gt;BJ295,1-BJ258/BJ293&lt;0),"",-Max_Duration*LN(1-BJ258/BJ293)/IF(Ventilation_Rate="",Occ_Bldg_Vent,Ventilation_Rate)),"")</f>
        <v/>
      </c>
      <c r="BK297" s="83"/>
      <c r="BL297" s="2510" t="str">
        <f>IF(AND(Occ_Bldg2&gt;0,BL258&lt;&gt;""),IF(OR(BL258&gt;BL295,1-BL258/BL293&lt;0),"",-Max_Duration*LN(1-BL258/BL293)/IF(Ventilation_Rate="",Occ_Bldg_Vent,Ventilation_Rate)),"")</f>
        <v/>
      </c>
      <c r="BM297" s="83"/>
      <c r="BN297" s="2510" t="str">
        <f>IF(AND(Occ_Bldg2&gt;0,BN258&lt;&gt;""),IF(OR(BN258&gt;BN295,1-BN258/BN293&lt;0),"",-Max_Duration*LN(1-BN258/BN293)/IF(Ventilation_Rate="",Occ_Bldg_Vent,Ventilation_Rate)),"")</f>
        <v/>
      </c>
      <c r="BO297" s="83"/>
      <c r="BP297" s="25" t="s">
        <v>1760</v>
      </c>
      <c r="BQ297" s="83"/>
      <c r="BR297" s="81"/>
      <c r="BS297" s="85" t="s">
        <v>3542</v>
      </c>
      <c r="BT297" s="81"/>
      <c r="BU297" s="1820">
        <f>MIN(BU295*(1-EXP(-IF(Ventilation_Rate2="",Occ_Bldg_Vent,Ventilation_Rate2)*BU$210/2)),BU$219)</f>
        <v>0</v>
      </c>
      <c r="BV297" s="81"/>
      <c r="BW297" s="1820">
        <f>MIN(BW295*(1-EXP(-IF(Ventilation_Rate2="",Occ_Bldg_Vent,Ventilation_Rate2)*BW$210/2)),BW$219)</f>
        <v>0</v>
      </c>
      <c r="BX297" s="81"/>
      <c r="BY297" s="1820">
        <f>MIN(BY295*(1-EXP(-IF(Ventilation_Rate2="",Occ_Bldg_Vent,Ventilation_Rate2)*BY$210/2)),BY$219)</f>
        <v>0</v>
      </c>
      <c r="BZ297" s="81"/>
      <c r="CA297" s="1820">
        <f>MIN(CA295*(1-EXP(-IF(Ventilation_Rate2="",Occ_Bldg_Vent,Ventilation_Rate2)*CA$210/2)),CA$219)</f>
        <v>0</v>
      </c>
      <c r="CB297" s="81"/>
      <c r="CC297" s="1820">
        <f>MIN(CC295*(1-EXP(-IF(Ventilation_Rate2="",Occ_Bldg_Vent,Ventilation_Rate2)*CC$210/2)),CC$219)</f>
        <v>0</v>
      </c>
      <c r="CD297" s="81"/>
      <c r="CE297" s="85" t="s">
        <v>1506</v>
      </c>
      <c r="CF297" s="81"/>
      <c r="CG297" s="26"/>
      <c r="CH297" s="26"/>
      <c r="CI297" s="26"/>
      <c r="CJ297" s="26"/>
      <c r="CK297" s="26"/>
      <c r="CL297" s="26"/>
      <c r="CM297" s="26"/>
      <c r="CN297" s="26"/>
      <c r="CO297" s="26"/>
      <c r="CP297" s="26"/>
      <c r="CQ297" s="26"/>
      <c r="CR297" s="26"/>
      <c r="CS297" s="26"/>
    </row>
    <row r="298" spans="1:99" ht="15" customHeight="1" x14ac:dyDescent="0.25">
      <c r="A298" s="2"/>
      <c r="B298" s="848" t="s">
        <v>4718</v>
      </c>
      <c r="C298" s="83"/>
      <c r="D298" s="1820" t="str">
        <f>IF(D255&lt;&gt;"",IF(OR(D255&gt;D296,1-D255/D294&lt;0),"",-Max_Duration*LN(1-D255/D294)/IF(Ventilation_Rate="",Occ_Bldg_Vent,Ventilation_Rate)),"")</f>
        <v/>
      </c>
      <c r="E298" s="83"/>
      <c r="F298" s="1820" t="str">
        <f>IF(F255&lt;&gt;"",IF(OR(F255&gt;F296,1-F255/F294&lt;0),"",-Max_Duration*LN(1-F255/F294)/IF(Ventilation_Rate="",Occ_Bldg_Vent,Ventilation_Rate)),"")</f>
        <v/>
      </c>
      <c r="G298" s="83"/>
      <c r="H298" s="1820" t="str">
        <f>IF(H255&lt;&gt;"",IF(OR(H255&gt;H296,1-H255/H294&lt;0),"",-Max_Duration*LN(1-H255/H294)/IF(Ventilation_Rate="",Occ_Bldg_Vent,Ventilation_Rate)),"")</f>
        <v/>
      </c>
      <c r="I298" s="83"/>
      <c r="J298" s="1820" t="str">
        <f>IF(J255&lt;&gt;"",IF(OR(J255&gt;J296,1-J255/J294&lt;0),"",-Max_Duration*LN(1-J255/J294)/IF(Ventilation_Rate="",Occ_Bldg_Vent,Ventilation_Rate)),"")</f>
        <v/>
      </c>
      <c r="K298" s="83"/>
      <c r="L298" s="1820" t="str">
        <f>IF(L255&lt;&gt;"",IF(OR(L255&gt;L296,1-L255/L294&lt;0),"",-Max_Duration*LN(1-L255/L294)/IF(Ventilation_Rate="",Occ_Bldg_Vent,Ventilation_Rate)),"")</f>
        <v/>
      </c>
      <c r="M298" s="83"/>
      <c r="N298" s="1820" t="str">
        <f>IF(N255&lt;&gt;"",IF(OR(N255&gt;N296,1-N255/N294&lt;0),"",-Max_Duration*LN(1-N255/N294)/IF(Ventilation_Rate="",Occ_Bldg_Vent,Ventilation_Rate)),"")</f>
        <v/>
      </c>
      <c r="O298" s="83"/>
      <c r="P298" s="1820" t="str">
        <f>IF(P255&lt;&gt;"",IF(OR(P255&gt;P296,1-P255/P294&lt;0),"",-Max_Duration*LN(1-P255/P294)/IF(Ventilation_Rate="",Occ_Bldg_Vent,Ventilation_Rate)),"")</f>
        <v/>
      </c>
      <c r="Q298" s="83"/>
      <c r="R298" s="1820" t="str">
        <f>IF(R255&lt;&gt;"",IF(OR(R255&gt;R296,1-R255/R294&lt;0),"",-Max_Duration*LN(1-R255/R294)/IF(Ventilation_Rate="",Occ_Bldg_Vent,Ventilation_Rate)),"")</f>
        <v/>
      </c>
      <c r="S298" s="83"/>
      <c r="T298" s="1820" t="str">
        <f>IF(T255&lt;&gt;"",IF(OR(T255&gt;T296,1-T255/T294&lt;0),"",-Max_Duration*LN(1-T255/T294)/IF(Ventilation_Rate="",Occ_Bldg_Vent,Ventilation_Rate)),"")</f>
        <v/>
      </c>
      <c r="U298" s="83"/>
      <c r="V298" s="1820" t="str">
        <f>IF(V255&lt;&gt;"",IF(OR(V255&gt;V296,1-V255/V294&lt;0),"",-Max_Duration*LN(1-V255/V294)/IF(Ventilation_Rate="",Occ_Bldg_Vent,Ventilation_Rate)),"")</f>
        <v/>
      </c>
      <c r="W298" s="83"/>
      <c r="X298" s="1820" t="str">
        <f>IF(X255&lt;&gt;"",IF(OR(X255&gt;X296,1-X255/X294&lt;0),"",-Max_Duration*LN(1-X255/X294)/IF(Ventilation_Rate="",Occ_Bldg_Vent,Ventilation_Rate)),"")</f>
        <v/>
      </c>
      <c r="Y298" s="83"/>
      <c r="Z298" s="23" t="s">
        <v>1760</v>
      </c>
      <c r="AA298" s="83"/>
      <c r="AB298" s="81"/>
      <c r="AC298" s="848" t="s">
        <v>4496</v>
      </c>
      <c r="AD298" s="81"/>
      <c r="AE298" s="1693">
        <f>IF(AND(AE98&gt;0,AE244&lt;&gt;""),IF(Location="Indoors",IF(AE315&lt;=AE244,0,AE$140*((IF(Enclosed_Ventilation_Rate&gt;1,Enclosed_Ventilation_Rate,1)*Enclosed_Process_Volume*AE98*AE315/88020000000)*1000000*(1/AE244-1/AE315)/(AE98*Wind))^AE$141),IF(1000000/AE244&lt;=1/AE99,0,IF(AE169="Instantaneous",AE$166*((AE83/AE98)*(1000000/AE244))^AE$167-AE$168,AE$140*(AE89*(1000000/AE244)/(AE98*Wind))^AE$141-AE$142))),0)</f>
        <v>0</v>
      </c>
      <c r="AF298" s="81"/>
      <c r="AG298" s="1693">
        <f>IF(AND(AG98&gt;0,AG244&lt;&gt;""),IF(Location="Indoors",IF(AG315&lt;=AG244,0,AG$140*((IF(Enclosed_Ventilation_Rate&gt;1,Enclosed_Ventilation_Rate,1)*Enclosed_Process_Volume*AG98*AG315/88020000000)*1000000*(1/AG244-1/AG315)/(AG98*Wind))^AG$141),IF(1000000/AG244&lt;=1/AG99,0,IF(AG169="Instantaneous",AG$166*((AG83/AG98)*(1000000/AG244))^AG$167-AG$168,AG$140*(AG89*(1000000/AG244)/(AG98*Wind))^AG$141-AG$142))),0)</f>
        <v>0</v>
      </c>
      <c r="AH298" s="81"/>
      <c r="AI298" s="1693">
        <f>IF(AND(AI98&gt;0,AI244&lt;&gt;""),IF(Location="Indoors",IF(AI315&lt;=AI244,0,AI$140*((IF(Enclosed_Ventilation_Rate&gt;1,Enclosed_Ventilation_Rate,1)*Enclosed_Process_Volume*AI98*AI315/88020000000)*1000000*(1/AI244-1/AI315)/(AI98*Wind))^AI$141),IF(1000000/AI244&lt;=1/AI99,0,IF(AI169="Instantaneous",AI$166*((AI83/AI98)*(1000000/AI244))^AI$167-AI$168,AI$140*(AI89*(1000000/AI244)/(AI98*Wind))^AI$141-AI$142))),0)</f>
        <v>0</v>
      </c>
      <c r="AJ298" s="81"/>
      <c r="AK298" s="1693">
        <f>IF(AND(AK98&gt;0,AK244&lt;&gt;""),IF(Location="Indoors",IF(AK315&lt;=AK244,0,AK$140*((IF(Enclosed_Ventilation_Rate&gt;1,Enclosed_Ventilation_Rate,1)*Enclosed_Process_Volume*AK98*AK315/88020000000)*1000000*(1/AK244-1/AK315)/(AK98*Wind))^AK$141),IF(1000000/AK244&lt;=1/AK99,0,IF(AK169="Instantaneous",AK$166*((AK83/AK98)*(1000000/AK244))^AK$167-AK$168,AK$140*(AK89*(1000000/AK244)/(AK98*Wind))^AK$141-AK$142))),0)</f>
        <v>0</v>
      </c>
      <c r="AL298" s="81"/>
      <c r="AM298" s="1693">
        <f>IF(AND(AM98&gt;0,AM244&lt;&gt;""),IF(Location="Indoors",IF(AM315&lt;=AM244,0,AM$140*((IF(Enclosed_Ventilation_Rate&gt;1,Enclosed_Ventilation_Rate,1)*Enclosed_Process_Volume*AM98*AM315/88020000000)*1000000*(1/AM244-1/AM315)/(AM98*Wind))^AM$141),IF(1000000/AM244&lt;=1/AM99,0,IF(AM169="Instantaneous",AM$166*((AM83/AM98)*(1000000/AM244))^AM$167-AM$168,AM$140*(AM89*(1000000/AM244)/(AM98*Wind))^AM$141-AM$142))),0)</f>
        <v>0</v>
      </c>
      <c r="AN298" s="81"/>
      <c r="AO298" s="1693">
        <f>IF(AND(AO98&gt;0,AO244&lt;&gt;""),IF(Location="Indoors",IF(AO315&lt;=AO244,0,AO$140*((IF(Enclosed_Ventilation_Rate&gt;1,Enclosed_Ventilation_Rate,1)*Enclosed_Process_Volume*AO98*AO315/88020000000)*1000000*(1/AO244-1/AO315)/(AO98*Wind))^AO$141),IF(1000000/AO244&lt;=1/AO99,0,IF(AO169="Instantaneous",AO$166*((AO83/AO98)*(1000000/AO244))^AO$167-AO$168,AO$140*(AO89*(1000000/AO244)/(AO98*Wind))^AO$141-AO$142))),0)</f>
        <v>0</v>
      </c>
      <c r="AP298" s="81"/>
      <c r="AQ298" s="85" t="s">
        <v>1068</v>
      </c>
      <c r="AR298" s="81"/>
      <c r="AS298" s="83"/>
      <c r="AT298" s="848" t="s">
        <v>3541</v>
      </c>
      <c r="AU298" s="83"/>
      <c r="AV298" s="102">
        <f>IF(AND(AV278="Indoors",AV73&gt;0,AV82&gt;0),IF((88020000000*AV73/AV82)/(Vent_Nat*Enclosed_Process_Volume+88020*AV73/AV82)&lt;MIN(AV$216,24450000*AV48/(AV82*Enclosed_Process_Volume)),(88020000000*AV73/AV82)/(Vent_Nat*Enclosed_Process_Volume+88020*AV73/AV82),MIN(AV$216,24450000*AV48/(AV82*Enclosed_Process_Volume))),0)</f>
        <v>0</v>
      </c>
      <c r="AW298" s="83"/>
      <c r="AX298" s="102">
        <f>IF(AND(AX278="Indoors",AX73&gt;0,AX82&gt;0),IF((88020000000*AX73/AX82)/(Vent_Nat*Enclosed_Process_Volume+88020*AX73/AX82)&lt;MIN(AX$216,24450000*AX48/(AX82*Enclosed_Process_Volume)),(88020000000*AX73/AX82)/(Vent_Nat*Enclosed_Process_Volume+88020*AX73/AX82),MIN(AX$216,24450000*AX48/(AX82*Enclosed_Process_Volume))),0)</f>
        <v>0</v>
      </c>
      <c r="AY298" s="83"/>
      <c r="AZ298" s="102">
        <f>IF(AND(AZ278="Indoors",AZ73&gt;0,AZ82&gt;0),IF((88020000000*AZ73/AZ82)/(Vent_Nat*Enclosed_Process_Volume+88020*AZ73/AZ82)&lt;MIN(AZ$216,24450000*AZ48/(AZ82*Enclosed_Process_Volume)),(88020000000*AZ73/AZ82)/(Vent_Nat*Enclosed_Process_Volume+88020*AZ73/AZ82),MIN(AZ$216,24450000*AZ48/(AZ82*Enclosed_Process_Volume))),0)</f>
        <v>0</v>
      </c>
      <c r="BA298" s="83"/>
      <c r="BB298" s="102">
        <f>IF(AND(BB278="Indoors",BB73&gt;0,BB82&gt;0),IF((88020000000*BB73/BB82)/(Vent_Nat*Enclosed_Process_Volume+88020*BB73/BB82)&lt;MIN(BB$216,24450000*BB48/(BB82*Enclosed_Process_Volume)),(88020000000*BB73/BB82)/(Vent_Nat*Enclosed_Process_Volume+88020*BB73/BB82),MIN(BB$216,24450000*BB48/(BB82*Enclosed_Process_Volume))),0)</f>
        <v>0</v>
      </c>
      <c r="BC298" s="83"/>
      <c r="BD298" s="102">
        <f>IF(AND(BD278="Indoors",BD73&gt;0,BD82&gt;0),IF((88020000000*BD73/BD82)/(Vent_Nat*Enclosed_Process_Volume+88020*BD73/BD82)&lt;MIN(BD$216,24450000*BD48/(BD82*Enclosed_Process_Volume)),(88020000000*BD73/BD82)/(Vent_Nat*Enclosed_Process_Volume+88020*BD73/BD82),MIN(BD$216,24450000*BD48/(BD82*Enclosed_Process_Volume))),0)</f>
        <v>0</v>
      </c>
      <c r="BE298" s="83"/>
      <c r="BF298" s="102">
        <f>IF(AND(BF278="Indoors",BF73&gt;0,BF82&gt;0),IF((88020000000*BF73/BF82)/(Vent_Nat*Enclosed_Process_Volume+88020*BF73/BF82)&lt;MIN(BF$216,24450000*BF48/(BF82*Enclosed_Process_Volume)),(88020000000*BF73/BF82)/(Vent_Nat*Enclosed_Process_Volume+88020*BF73/BF82),MIN(BF$216,24450000*BF48/(BF82*Enclosed_Process_Volume))),0)</f>
        <v>0</v>
      </c>
      <c r="BG298" s="83"/>
      <c r="BH298" s="102">
        <f>IF(AND(BH278="Indoors",BH73&gt;0,BH82&gt;0),IF((88020000000*BH73/BH82)/(Vent_Nat*Enclosed_Process_Volume+88020*BH73/BH82)&lt;MIN(BH$216,24450000*BH48/(BH82*Enclosed_Process_Volume)),(88020000000*BH73/BH82)/(Vent_Nat*Enclosed_Process_Volume+88020*BH73/BH82),MIN(BH$216,24450000*BH48/(BH82*Enclosed_Process_Volume))),0)</f>
        <v>0</v>
      </c>
      <c r="BI298" s="83"/>
      <c r="BJ298" s="102">
        <f>IF(AND(BJ278="Indoors",BJ73&gt;0,BJ82&gt;0),IF((88020000000*BJ73/BJ82)/(Vent_Nat*Enclosed_Process_Volume+88020*BJ73/BJ82)&lt;MIN(BJ$216,24450000*BJ48/(BJ82*Enclosed_Process_Volume)),(88020000000*BJ73/BJ82)/(Vent_Nat*Enclosed_Process_Volume+88020*BJ73/BJ82),MIN(BJ$216,24450000*BJ48/(BJ82*Enclosed_Process_Volume))),0)</f>
        <v>0</v>
      </c>
      <c r="BK298" s="83"/>
      <c r="BL298" s="102">
        <f>IF(AND(BL278="Indoors",BL73&gt;0,BL82&gt;0),IF((88020000000*BL73/BL82)/(Vent_Nat*Enclosed_Process_Volume+88020*BL73/BL82)&lt;MIN(BL$216,24450000*BL48/(BL82*Enclosed_Process_Volume)),(88020000000*BL73/BL82)/(Vent_Nat*Enclosed_Process_Volume+88020*BL73/BL82),MIN(BL$216,24450000*BL48/(BL82*Enclosed_Process_Volume))),0)</f>
        <v>0</v>
      </c>
      <c r="BM298" s="83"/>
      <c r="BN298" s="102">
        <f>IF(AND(BN278="Indoors",BN73&gt;0,BN82&gt;0),IF((88020000000*BN73/BN82)/(Vent_Nat*Enclosed_Process_Volume+88020*BN73/BN82)&lt;MIN(BN$216,24450000*BN48/(BN82*Enclosed_Process_Volume)),(88020000000*BN73/BN82)/(Vent_Nat*Enclosed_Process_Volume+88020*BN73/BN82),MIN(BN$216,24450000*BN48/(BN82*Enclosed_Process_Volume))),0)</f>
        <v>0</v>
      </c>
      <c r="BO298" s="83"/>
      <c r="BP298" s="997" t="s">
        <v>1506</v>
      </c>
      <c r="BQ298" s="83"/>
      <c r="BR298" s="81"/>
      <c r="BS298" s="848" t="s">
        <v>4718</v>
      </c>
      <c r="BT298" s="81"/>
      <c r="BU298" s="1820" t="str">
        <f>IF(BU255&lt;&gt;"",IF(OR(BU255&gt;BU296,1-BU255/BU294&lt;0),"",-Max_Duration*LN(1-BU255/BU294)/IF(Ventilation_Rate="",Occ_Bldg_Vent,Ventilation_Rate)),"")</f>
        <v/>
      </c>
      <c r="BV298" s="81"/>
      <c r="BW298" s="1820" t="str">
        <f>IF(BW255&lt;&gt;"",IF(OR(BW255&gt;BW296,1-BW255/BW294&lt;0),"",-Max_Duration*LN(1-BW255/BW294)/IF(Ventilation_Rate="",Occ_Bldg_Vent,Ventilation_Rate)),"")</f>
        <v/>
      </c>
      <c r="BX298" s="81"/>
      <c r="BY298" s="1820" t="str">
        <f>IF(BY255&lt;&gt;"",IF(OR(BY255&gt;BY296,1-BY255/BY294&lt;0),"",-Max_Duration*LN(1-BY255/BY294)/IF(Ventilation_Rate="",Occ_Bldg_Vent,Ventilation_Rate)),"")</f>
        <v/>
      </c>
      <c r="BZ298" s="81"/>
      <c r="CA298" s="1820" t="str">
        <f>IF(CA255&lt;&gt;"",IF(OR(CA255&gt;CA296,1-CA255/CA294&lt;0),"",-Max_Duration*LN(1-CA255/CA294)/IF(Ventilation_Rate="",Occ_Bldg_Vent,Ventilation_Rate)),"")</f>
        <v/>
      </c>
      <c r="CB298" s="81"/>
      <c r="CC298" s="1820" t="str">
        <f>IF(CC255&lt;&gt;"",IF(OR(CC255&gt;CC296,1-CC255/CC294&lt;0),"",-Max_Duration*LN(1-CC255/CC294)/IF(Ventilation_Rate="",Occ_Bldg_Vent,Ventilation_Rate)),"")</f>
        <v/>
      </c>
      <c r="CD298" s="81"/>
      <c r="CE298" s="85" t="s">
        <v>1760</v>
      </c>
      <c r="CF298" s="81"/>
      <c r="CG298" s="26"/>
      <c r="CH298" s="26">
        <f>IF(Enclosed_Ventilation_Rate&gt;1,Enclosed_Ventilation_Rate,1)*Enclosed_Process_Volume*BU98*BU301/88020000000</f>
        <v>0</v>
      </c>
      <c r="CI298" s="26"/>
      <c r="CJ298" s="26"/>
      <c r="CK298" s="26"/>
      <c r="CL298" s="26"/>
      <c r="CM298" s="26"/>
      <c r="CN298" s="26"/>
      <c r="CO298" s="26"/>
      <c r="CP298" s="26"/>
      <c r="CQ298" s="26"/>
      <c r="CR298" s="26"/>
      <c r="CS298" s="26"/>
    </row>
    <row r="299" spans="1:99" ht="15" customHeight="1" thickBot="1" x14ac:dyDescent="0.3">
      <c r="A299" s="2"/>
      <c r="B299" s="848" t="s">
        <v>4719</v>
      </c>
      <c r="C299" s="83"/>
      <c r="D299" s="1820" t="str">
        <f>IF(AND(Occ_Bldg2&gt;0,D255&lt;&gt;""),IF(OR(D255&gt;D297,1-D255/D295&lt;0),"",-Max_Duration*LN(1-D255/D295)/IF(Ventilation_Rate="",Occ_Bldg_Vent,Ventilation_Rate)),"")</f>
        <v/>
      </c>
      <c r="E299" s="83"/>
      <c r="F299" s="1820" t="str">
        <f>IF(AND(Occ_Bldg2&gt;0,F255&lt;&gt;""),IF(OR(F255&gt;F297,1-F255/F295&lt;0),"",-Max_Duration*LN(1-F255/F295)/IF(Ventilation_Rate="",Occ_Bldg_Vent,Ventilation_Rate)),"")</f>
        <v/>
      </c>
      <c r="G299" s="83"/>
      <c r="H299" s="1820" t="str">
        <f>IF(AND(Occ_Bldg2&gt;0,H255&lt;&gt;""),IF(OR(H255&gt;H297,1-H255/H295&lt;0),"",-Max_Duration*LN(1-H255/H295)/IF(Ventilation_Rate="",Occ_Bldg_Vent,Ventilation_Rate)),"")</f>
        <v/>
      </c>
      <c r="I299" s="83"/>
      <c r="J299" s="1820" t="str">
        <f>IF(AND(Occ_Bldg2&gt;0,J255&lt;&gt;""),IF(OR(J255&gt;J297,1-J255/J295&lt;0),"",-Max_Duration*LN(1-J255/J295)/IF(Ventilation_Rate="",Occ_Bldg_Vent,Ventilation_Rate)),"")</f>
        <v/>
      </c>
      <c r="K299" s="83"/>
      <c r="L299" s="1820" t="str">
        <f>IF(AND(Occ_Bldg2&gt;0,L255&lt;&gt;""),IF(OR(L255&gt;L297,1-L255/L295&lt;0),"",-Max_Duration*LN(1-L255/L295)/IF(Ventilation_Rate="",Occ_Bldg_Vent,Ventilation_Rate)),"")</f>
        <v/>
      </c>
      <c r="M299" s="83"/>
      <c r="N299" s="1820" t="str">
        <f>IF(AND(Occ_Bldg2&gt;0,N255&lt;&gt;""),IF(OR(N255&gt;N297,1-N255/N295&lt;0),"",-Max_Duration*LN(1-N255/N295)/IF(Ventilation_Rate="",Occ_Bldg_Vent,Ventilation_Rate)),"")</f>
        <v/>
      </c>
      <c r="O299" s="83"/>
      <c r="P299" s="1820" t="str">
        <f>IF(AND(Occ_Bldg2&gt;0,P255&lt;&gt;""),IF(OR(P255&gt;P297,1-P255/P295&lt;0),"",-Max_Duration*LN(1-P255/P295)/IF(Ventilation_Rate="",Occ_Bldg_Vent,Ventilation_Rate)),"")</f>
        <v/>
      </c>
      <c r="Q299" s="83"/>
      <c r="R299" s="1820" t="str">
        <f>IF(AND(Occ_Bldg2&gt;0,R255&lt;&gt;""),IF(OR(R255&gt;R297,1-R255/R295&lt;0),"",-Max_Duration*LN(1-R255/R295)/IF(Ventilation_Rate="",Occ_Bldg_Vent,Ventilation_Rate)),"")</f>
        <v/>
      </c>
      <c r="S299" s="83"/>
      <c r="T299" s="1820" t="str">
        <f>IF(AND(Occ_Bldg2&gt;0,T255&lt;&gt;""),IF(OR(T255&gt;T297,1-T255/T295&lt;0),"",-Max_Duration*LN(1-T255/T295)/IF(Ventilation_Rate="",Occ_Bldg_Vent,Ventilation_Rate)),"")</f>
        <v/>
      </c>
      <c r="U299" s="83"/>
      <c r="V299" s="1820" t="str">
        <f>IF(AND(Occ_Bldg2&gt;0,V255&lt;&gt;""),IF(OR(V255&gt;V297,1-V255/V295&lt;0),"",-Max_Duration*LN(1-V255/V295)/IF(Ventilation_Rate="",Occ_Bldg_Vent,Ventilation_Rate)),"")</f>
        <v/>
      </c>
      <c r="W299" s="83"/>
      <c r="X299" s="1820" t="str">
        <f>IF(AND(Occ_Bldg2&gt;0,X255&lt;&gt;""),IF(OR(X255&gt;X297,1-X255/X295&lt;0),"",-Max_Duration*LN(1-X255/X295)/IF(Ventilation_Rate="",Occ_Bldg_Vent,Ventilation_Rate)),"")</f>
        <v/>
      </c>
      <c r="Y299" s="83"/>
      <c r="Z299" s="85" t="s">
        <v>1760</v>
      </c>
      <c r="AA299" s="83"/>
      <c r="AB299" s="81"/>
      <c r="AC299" s="848" t="s">
        <v>4497</v>
      </c>
      <c r="AD299" s="81"/>
      <c r="AE299" s="1209" t="str">
        <f>IF(Public&gt;0.1,IF(AE298&gt;Public,"Yes","No"),"")</f>
        <v/>
      </c>
      <c r="AF299" s="81"/>
      <c r="AG299" s="1209" t="str">
        <f>IF(Public&gt;0.1,IF(AG298&gt;Public,"Yes","No"),"")</f>
        <v/>
      </c>
      <c r="AH299" s="81"/>
      <c r="AI299" s="1209" t="str">
        <f>IF(Public&gt;0.1,IF(AI298&gt;Public,"Yes","No"),"")</f>
        <v/>
      </c>
      <c r="AJ299" s="81"/>
      <c r="AK299" s="1209" t="str">
        <f>IF(Public&gt;0.1,IF(AK298&gt;Public,"Yes","No"),"")</f>
        <v/>
      </c>
      <c r="AL299" s="81"/>
      <c r="AM299" s="1209" t="str">
        <f>IF(Public&gt;0.1,IF(AM298&gt;Public,"Yes","No"),"")</f>
        <v/>
      </c>
      <c r="AN299" s="81"/>
      <c r="AO299" s="1209" t="str">
        <f>IF(Public&gt;0.1,IF(AO298&gt;Public,"Yes","No"),"")</f>
        <v/>
      </c>
      <c r="AP299" s="81"/>
      <c r="AQ299" s="85"/>
      <c r="AR299" s="81"/>
      <c r="AS299" s="83"/>
      <c r="AT299" s="848" t="s">
        <v>4111</v>
      </c>
      <c r="AU299" s="83"/>
      <c r="AV299" s="1183">
        <f>IF(AND(AV278="Indoors",AV73&gt;0,AV82&gt;0),IF((88020000000*AV73/AV82)/(Enclosed_Ventilation_Rate*Enclosed_Process_Volume+88020*AV73/AV82)&lt;MIN(AV$216,24450000*AV48/(AV82*Enclosed_Process_Volume)),(88020000000*AV73/AV82)/(Enclosed_Ventilation_Rate*Enclosed_Process_Volume+88020*AV73/AV82),MIN(AV$216,24450000*AV48/(AV82*Enclosed_Process_Volume))),0)</f>
        <v>0</v>
      </c>
      <c r="AW299" s="83"/>
      <c r="AX299" s="1183">
        <f>IF(AND(AX278="Indoors",AX73&gt;0,AX82&gt;0),IF((88020000000*AX73/AX82)/(Enclosed_Ventilation_Rate*Enclosed_Process_Volume+88020*AX73/AX82)&lt;MIN(AX$216,24450000*AX48/(AX82*Enclosed_Process_Volume)),(88020000000*AX73/AX82)/(Enclosed_Ventilation_Rate*Enclosed_Process_Volume+88020*AX73/AX82),MIN(AX$216,24450000*AX48/(AX82*Enclosed_Process_Volume))),0)</f>
        <v>0</v>
      </c>
      <c r="AY299" s="83"/>
      <c r="AZ299" s="1183">
        <f>IF(AND(AZ278="Indoors",AZ73&gt;0,AZ82&gt;0),IF((88020000000*AZ73/AZ82)/(Enclosed_Ventilation_Rate*Enclosed_Process_Volume+88020*AZ73/AZ82)&lt;MIN(AZ$216,24450000*AZ48/(AZ82*Enclosed_Process_Volume)),(88020000000*AZ73/AZ82)/(Enclosed_Ventilation_Rate*Enclosed_Process_Volume+88020*AZ73/AZ82),MIN(AZ$216,24450000*AZ48/(AZ82*Enclosed_Process_Volume))),0)</f>
        <v>0</v>
      </c>
      <c r="BA299" s="83"/>
      <c r="BB299" s="1183">
        <f>IF(AND(BB278="Indoors",BB73&gt;0,BB82&gt;0),IF((88020000000*BB73/BB82)/(Enclosed_Ventilation_Rate*Enclosed_Process_Volume+88020*BB73/BB82)&lt;MIN(BB$216,24450000*BB48/(BB82*Enclosed_Process_Volume)),(88020000000*BB73/BB82)/(Enclosed_Ventilation_Rate*Enclosed_Process_Volume+88020*BB73/BB82),MIN(BB$216,24450000*BB48/(BB82*Enclosed_Process_Volume))),0)</f>
        <v>0</v>
      </c>
      <c r="BC299" s="83"/>
      <c r="BD299" s="1183">
        <f>IF(AND(BD278="Indoors",BD73&gt;0,BD82&gt;0),IF((88020000000*BD73/BD82)/(Enclosed_Ventilation_Rate*Enclosed_Process_Volume+88020*BD73/BD82)&lt;MIN(BD$216,24450000*BD48/(BD82*Enclosed_Process_Volume)),(88020000000*BD73/BD82)/(Enclosed_Ventilation_Rate*Enclosed_Process_Volume+88020*BD73/BD82),MIN(BD$216,24450000*BD48/(BD82*Enclosed_Process_Volume))),0)</f>
        <v>0</v>
      </c>
      <c r="BE299" s="83"/>
      <c r="BF299" s="1183">
        <f>IF(AND(BF278="Indoors",BF73&gt;0,BF82&gt;0),IF((88020000000*BF73/BF82)/(Enclosed_Ventilation_Rate*Enclosed_Process_Volume+88020*BF73/BF82)&lt;MIN(BF$216,24450000*BF48/(BF82*Enclosed_Process_Volume)),(88020000000*BF73/BF82)/(Enclosed_Ventilation_Rate*Enclosed_Process_Volume+88020*BF73/BF82),MIN(BF$216,24450000*BF48/(BF82*Enclosed_Process_Volume))),0)</f>
        <v>0</v>
      </c>
      <c r="BG299" s="83"/>
      <c r="BH299" s="1183">
        <f>IF(AND(BH278="Indoors",BH73&gt;0,BH82&gt;0),IF((88020000000*BH73/BH82)/(Enclosed_Ventilation_Rate*Enclosed_Process_Volume+88020*BH73/BH82)&lt;MIN(BH$216,24450000*BH48/(BH82*Enclosed_Process_Volume)),(88020000000*BH73/BH82)/(Enclosed_Ventilation_Rate*Enclosed_Process_Volume+88020*BH73/BH82),MIN(BH$216,24450000*BH48/(BH82*Enclosed_Process_Volume))),0)</f>
        <v>0</v>
      </c>
      <c r="BI299" s="83"/>
      <c r="BJ299" s="1183">
        <f>IF(AND(BJ278="Indoors",BJ73&gt;0,BJ82&gt;0),IF((88020000000*BJ73/BJ82)/(Enclosed_Ventilation_Rate*Enclosed_Process_Volume+88020*BJ73/BJ82)&lt;MIN(BJ$216,24450000*BJ48/(BJ82*Enclosed_Process_Volume)),(88020000000*BJ73/BJ82)/(Enclosed_Ventilation_Rate*Enclosed_Process_Volume+88020*BJ73/BJ82),MIN(BJ$216,24450000*BJ48/(BJ82*Enclosed_Process_Volume))),0)</f>
        <v>0</v>
      </c>
      <c r="BK299" s="83"/>
      <c r="BL299" s="1183">
        <f>IF(AND(BL278="Indoors",BL73&gt;0,BL82&gt;0),IF((88020000000*BL73/BL82)/(Enclosed_Ventilation_Rate*Enclosed_Process_Volume+88020*BL73/BL82)&lt;MIN(BL$216,24450000*BL48/(BL82*Enclosed_Process_Volume)),(88020000000*BL73/BL82)/(Enclosed_Ventilation_Rate*Enclosed_Process_Volume+88020*BL73/BL82),MIN(BL$216,24450000*BL48/(BL82*Enclosed_Process_Volume))),0)</f>
        <v>0</v>
      </c>
      <c r="BM299" s="83"/>
      <c r="BN299" s="1183">
        <f>IF(AND(BN278="Indoors",BN73&gt;0,BN82&gt;0),IF((88020000000*BN73/BN82)/(Enclosed_Ventilation_Rate*Enclosed_Process_Volume+88020*BN73/BN82)&lt;MIN(BN$216,24450000*BN48/(BN82*Enclosed_Process_Volume)),(88020000000*BN73/BN82)/(Enclosed_Ventilation_Rate*Enclosed_Process_Volume+88020*BN73/BN82),MIN(BN$216,24450000*BN48/(BN82*Enclosed_Process_Volume))),0)</f>
        <v>0</v>
      </c>
      <c r="BO299" s="83"/>
      <c r="BP299" s="100" t="s">
        <v>1506</v>
      </c>
      <c r="BQ299" s="83"/>
      <c r="BR299" s="81"/>
      <c r="BS299" s="848" t="s">
        <v>4719</v>
      </c>
      <c r="BT299" s="81"/>
      <c r="BU299" s="2510" t="str">
        <f>IF(AND(Occ_Bldg2&gt;0,BU255&lt;&gt;""),IF(OR(BU255&gt;BU297,1-BU255/BU295&lt;0),"",-Max_Duration*LN(1-BU255/BU295)/IF(Ventilation_Rate="",Occ_Bldg_Vent,Ventilation_Rate)),"")</f>
        <v/>
      </c>
      <c r="BV299" s="81"/>
      <c r="BW299" s="2510" t="str">
        <f>IF(AND(Occ_Bldg2&gt;0,BW255&lt;&gt;""),IF(OR(BW255&gt;BW297,1-BW255/BW295&lt;0),"",-Max_Duration*LN(1-BW255/BW295)/IF(Ventilation_Rate="",Occ_Bldg_Vent,Ventilation_Rate)),"")</f>
        <v/>
      </c>
      <c r="BX299" s="81"/>
      <c r="BY299" s="2510" t="str">
        <f>IF(AND(Occ_Bldg2&gt;0,BY255&lt;&gt;""),IF(OR(BY255&gt;BY297,1-BY255/BY295&lt;0),"",-Max_Duration*LN(1-BY255/BY295)/IF(Ventilation_Rate="",Occ_Bldg_Vent,Ventilation_Rate)),"")</f>
        <v/>
      </c>
      <c r="BZ299" s="81"/>
      <c r="CA299" s="2510" t="str">
        <f>IF(AND(Occ_Bldg2&gt;0,CA255&lt;&gt;""),IF(OR(CA255&gt;CA297,1-CA255/CA295&lt;0),"",-Max_Duration*LN(1-CA255/CA295)/IF(Ventilation_Rate="",Occ_Bldg_Vent,Ventilation_Rate)),"")</f>
        <v/>
      </c>
      <c r="CB299" s="81"/>
      <c r="CC299" s="2510" t="str">
        <f>IF(AND(Occ_Bldg2&gt;0,CC255&lt;&gt;""),IF(OR(CC255&gt;CC297,1-CC255/CC295&lt;0),"",-Max_Duration*LN(1-CC255/CC295)/IF(Ventilation_Rate="",Occ_Bldg_Vent,Ventilation_Rate)),"")</f>
        <v/>
      </c>
      <c r="CD299" s="81"/>
      <c r="CE299" s="85" t="s">
        <v>1760</v>
      </c>
      <c r="CF299" s="81"/>
      <c r="CG299" s="26"/>
      <c r="CH299" s="26"/>
      <c r="CI299" s="26"/>
      <c r="CJ299" s="26"/>
      <c r="CK299" s="26"/>
      <c r="CL299" s="26"/>
      <c r="CM299" s="26"/>
      <c r="CN299" s="26"/>
      <c r="CO299" s="26"/>
      <c r="CP299" s="26"/>
      <c r="CQ299" s="26"/>
      <c r="CR299" s="26"/>
      <c r="CS299" s="26"/>
    </row>
    <row r="300" spans="1:99" ht="15" customHeight="1" x14ac:dyDescent="0.25">
      <c r="A300" s="2"/>
      <c r="B300" s="848" t="s">
        <v>3541</v>
      </c>
      <c r="C300" s="83"/>
      <c r="D300" s="99">
        <f>IF(AND(Location="Indoors",D98&gt;0),IF((88020000000*D91/D98)/(Vent_Nat*Enclosed_Process_Volume+88020*D91/D98)&lt;MIN(D$219,24450000*D70/(D98*Enclosed_Process_Volume)),(88020000000*D91/D98)/(Vent_Nat*Enclosed_Process_Volume+88020*D91/D98),MIN(D$219,24450000*D70/(D98*Enclosed_Process_Volume))),0)</f>
        <v>0</v>
      </c>
      <c r="E300" s="83"/>
      <c r="F300" s="99">
        <f>IF(AND(Location="Indoors",F98&gt;0),IF((88020000000*F91/F98)/(Vent_Nat*Enclosed_Process_Volume+88020*F91/F98)&lt;MIN(F$219,24450000*F70/(F98*Enclosed_Process_Volume)),(88020000000*F91/F98)/(Vent_Nat*Enclosed_Process_Volume+88020*F91/F98),MIN(F$219,24450000*F70/(F98*Enclosed_Process_Volume))),0)</f>
        <v>0</v>
      </c>
      <c r="G300" s="83"/>
      <c r="H300" s="99">
        <f>IF(AND(Location="Indoors",H98&gt;0),IF((88020000000*H91/H98)/(Vent_Nat*Enclosed_Process_Volume+88020*H91/H98)&lt;MIN(H$219,24450000*H70/(H98*Enclosed_Process_Volume)),(88020000000*H91/H98)/(Vent_Nat*Enclosed_Process_Volume+88020*H91/H98),MIN(H$219,24450000*H70/(H98*Enclosed_Process_Volume))),0)</f>
        <v>0</v>
      </c>
      <c r="I300" s="83"/>
      <c r="J300" s="99">
        <f>IF(AND(Location="Indoors",J98&gt;0),IF((88020000000*J91/J98)/(Vent_Nat*Enclosed_Process_Volume+88020*J91/J98)&lt;MIN(J$219,24450000*J70/(J98*Enclosed_Process_Volume)),(88020000000*J91/J98)/(Vent_Nat*Enclosed_Process_Volume+88020*J91/J98),MIN(J$219,24450000*J70/(J98*Enclosed_Process_Volume))),0)</f>
        <v>0</v>
      </c>
      <c r="K300" s="83"/>
      <c r="L300" s="99">
        <f>IF(AND(Location="Indoors",L98&gt;0),IF((88020000000*L91/L98)/(Vent_Nat*Enclosed_Process_Volume+88020*L91/L98)&lt;MIN(L$219,24450000*L70/(L98*Enclosed_Process_Volume)),(88020000000*L91/L98)/(Vent_Nat*Enclosed_Process_Volume+88020*L91/L98),MIN(L$219,24450000*L70/(L98*Enclosed_Process_Volume))),0)</f>
        <v>0</v>
      </c>
      <c r="M300" s="83"/>
      <c r="N300" s="99">
        <f>IF(AND(Location="Indoors",N98&gt;0),IF((88020000000*N91/N98)/(Vent_Nat*Enclosed_Process_Volume+88020*N91/N98)&lt;MIN(N$219,24450000*N70/(N98*Enclosed_Process_Volume)),(88020000000*N91/N98)/(Vent_Nat*Enclosed_Process_Volume+88020*N91/N98),MIN(N$219,24450000*N70/(N98*Enclosed_Process_Volume))),0)</f>
        <v>0</v>
      </c>
      <c r="O300" s="83"/>
      <c r="P300" s="99">
        <f>IF(AND(Location="Indoors",P98&gt;0),IF((88020000000*P91/P98)/(Vent_Nat*Enclosed_Process_Volume+88020*P91/P98)&lt;MIN(P$219,24450000*P70/(P98*Enclosed_Process_Volume)),(88020000000*P91/P98)/(Vent_Nat*Enclosed_Process_Volume+88020*P91/P98),MIN(P$219,24450000*P70/(P98*Enclosed_Process_Volume))),0)</f>
        <v>0</v>
      </c>
      <c r="Q300" s="83"/>
      <c r="R300" s="99">
        <f>IF(AND(Location="Indoors",R98&gt;0),IF((88020000000*R91/R98)/(Vent_Nat*Enclosed_Process_Volume+88020*R91/R98)&lt;MIN(R$219,24450000*R70/(R98*Enclosed_Process_Volume)),(88020000000*R91/R98)/(Vent_Nat*Enclosed_Process_Volume+88020*R91/R98),MIN(R$219,24450000*R70/(R98*Enclosed_Process_Volume))),0)</f>
        <v>0</v>
      </c>
      <c r="S300" s="83"/>
      <c r="T300" s="99">
        <f>IF(AND(Location="Indoors",T98&gt;0),IF((88020000000*T91/T98)/(Vent_Nat*Enclosed_Process_Volume+88020*T91/T98)&lt;MIN(T$219,24450000*T70/(T98*Enclosed_Process_Volume)),(88020000000*T91/T98)/(Vent_Nat*Enclosed_Process_Volume+88020*T91/T98),MIN(T$219,24450000*T70/(T98*Enclosed_Process_Volume))),0)</f>
        <v>0</v>
      </c>
      <c r="U300" s="83"/>
      <c r="V300" s="99">
        <f>IF(AND(Location="Indoors",V98&gt;0),IF((88020000000*V91/V98)/(Vent_Nat*Enclosed_Process_Volume+88020*V91/V98)&lt;MIN(V$219,24450000*V70/(V98*Enclosed_Process_Volume)),(88020000000*V91/V98)/(Vent_Nat*Enclosed_Process_Volume+88020*V91/V98),MIN(V$219,24450000*V70/(V98*Enclosed_Process_Volume))),0)</f>
        <v>0</v>
      </c>
      <c r="W300" s="83"/>
      <c r="X300" s="99">
        <f>IF(AND(Location="Indoors",X98&gt;0),IF((88020000000*X91/X98)/(Vent_Nat*Enclosed_Process_Volume+88020*X91/X98)&lt;MIN(X$219,24450000*X70/(X98*Enclosed_Process_Volume)),(88020000000*X91/X98)/(Vent_Nat*Enclosed_Process_Volume+88020*X91/X98),MIN(X$219,24450000*X70/(X98*Enclosed_Process_Volume))),0)</f>
        <v>0</v>
      </c>
      <c r="Y300" s="83"/>
      <c r="Z300" s="85" t="s">
        <v>1506</v>
      </c>
      <c r="AA300" s="83"/>
      <c r="AB300" s="81"/>
      <c r="AC300" s="85" t="s">
        <v>4737</v>
      </c>
      <c r="AD300" s="81"/>
      <c r="AE300" s="2086">
        <f>IF(AND(AE98&gt;0,AE250&lt;&gt;""),IF(Location="Indoors",IF(AE315&lt;=AE250,0.1,AE$140*((IF(Enclosed_Ventilation_Rate&gt;1,Enclosed_Ventilation_Rate,1)*Enclosed_Process_Volume*AE98*AE315/88020000000)*1000000*(1/(AE250)-1/AE315)/(AE98*Wind))^AE$141),IF(1000000/(AE250)&lt;=1/AE$99,0.1,IF(AE169="Instantaneous",AE$166*((AE83/AE98)*(1000000/AE250))^AE$167-AE$168,AE$140*(AE89*(1000000/AE250)/(AE98*Wind))^AE$141-AE$142))),0.1)</f>
        <v>0.1</v>
      </c>
      <c r="AF300" s="81"/>
      <c r="AG300" s="2086">
        <f>IF(AND(AG98&gt;0,AG250&lt;&gt;""),IF(Location="Indoors",IF(AG315&lt;=AG250,0.1,AG$140*((IF(Enclosed_Ventilation_Rate&gt;1,Enclosed_Ventilation_Rate,1)*Enclosed_Process_Volume*AG98*AG315/88020000000)*1000000*(1/(AG250)-1/AG315)/(AG98*Wind))^AG$141),IF(1000000/(AG250)&lt;=1/AG$99,0.1,IF(AG169="Instantaneous",AG$166*((AG83/AG98)*(1000000/AG250))^AG$167-AG$168,AG$140*(AG89*(1000000/AG250)/(AG98*Wind))^AG$141-AG$142))),0.1)</f>
        <v>0.1</v>
      </c>
      <c r="AH300" s="81"/>
      <c r="AI300" s="2086">
        <f>IF(AND(AI98&gt;0,AI250&lt;&gt;""),IF(Location="Indoors",IF(AI315&lt;=AI250,0.1,AI$140*((IF(Enclosed_Ventilation_Rate&gt;1,Enclosed_Ventilation_Rate,1)*Enclosed_Process_Volume*AI98*AI315/88020000000)*1000000*(1/(AI250)-1/AI315)/(AI98*Wind))^AI$141),IF(1000000/(AI250)&lt;=1/AI$99,0.1,IF(AI169="Instantaneous",AI$166*((AI83/AI98)*(1000000/AI250))^AI$167-AI$168,AI$140*(AI89*(1000000/AI250)/(AI98*Wind))^AI$141-AI$142))),0.1)</f>
        <v>0.1</v>
      </c>
      <c r="AJ300" s="81"/>
      <c r="AK300" s="2086">
        <f>IF(AND(AK98&gt;0,AK250&lt;&gt;""),IF(Location="Indoors",IF(AK315&lt;=AK250,0.1,AK$140*((IF(Enclosed_Ventilation_Rate&gt;1,Enclosed_Ventilation_Rate,1)*Enclosed_Process_Volume*AK98*AK315/88020000000)*1000000*(1/(AK250)-1/AK315)/(AK98*Wind))^AK$141),IF(1000000/(AK250)&lt;=1/AK$99,0.1,IF(AK169="Instantaneous",AK$166*((AK83/AK98)*(1000000/AK250))^AK$167-AK$168,AK$140*(AK89*(1000000/AK250)/(AK98*Wind))^AK$141-AK$142))),0.1)</f>
        <v>0.1</v>
      </c>
      <c r="AL300" s="81"/>
      <c r="AM300" s="2086">
        <f>IF(AND(AM98&gt;0,AM250&lt;&gt;""),IF(Location="Indoors",IF(AM315&lt;=AM250,0.1,AM$140*((IF(Enclosed_Ventilation_Rate&gt;1,Enclosed_Ventilation_Rate,1)*Enclosed_Process_Volume*AM98*AM315/88020000000)*1000000*(1/(AM250)-1/AM315)/(AM98*Wind))^AM$141),IF(1000000/(AM250)&lt;=1/AM$99,0.1,IF(AM169="Instantaneous",AM$166*((AM83/AM98)*(1000000/AM250))^AM$167-AM$168,AM$140*(AM89*(1000000/AM250)/(AM98*Wind))^AM$141-AM$142))),0.1)</f>
        <v>0.1</v>
      </c>
      <c r="AN300" s="81"/>
      <c r="AO300" s="2086">
        <f>IF(AND(AO98&gt;0,AO250&lt;&gt;""),IF(Location="Indoors",IF(AO315&lt;=AO250,0.1,AO$140*((IF(Enclosed_Ventilation_Rate&gt;1,Enclosed_Ventilation_Rate,1)*Enclosed_Process_Volume*AO98*AO315/88020000000)*1000000*(1/(AO250)-1/AO315)/(AO98*Wind))^AO$141),IF(1000000/(AO250)&lt;=1/AO$99,0.1,IF(AO169="Instantaneous",AO$166*((AO83/AO98)*(1000000/AO250))^AO$167-AO$168,AO$140*(AO89*(1000000/AO250)/(AO98*Wind))^AO$141-AO$142))),0.1)</f>
        <v>0.1</v>
      </c>
      <c r="AP300" s="81"/>
      <c r="AQ300" s="85" t="s">
        <v>1068</v>
      </c>
      <c r="AR300" s="81"/>
      <c r="AS300" s="83"/>
      <c r="AT300" s="848" t="s">
        <v>4717</v>
      </c>
      <c r="AU300" s="83"/>
      <c r="AV300" s="2103" t="str">
        <f>IF(AND(AV278="Indoors",AV73&gt;0,AV258&lt;&gt;""),IF(1-AV258*AV82/(88020000000*AV73/(Vent_Nat*Enclosed_Process_Volume+88020*AV73/AV82))&gt;0,-Max_Duration*Vent_Nat*LN(1-AV258*AV82/(88020000000*AV73/(Vent_Nat*Enclosed_Process_Volume+88020*AV73/AV82))),""),"")</f>
        <v/>
      </c>
      <c r="AW300" s="83"/>
      <c r="AX300" s="2103" t="str">
        <f>IF(AND(AX278="Indoors",AX73&gt;0,AX258&lt;&gt;""),IF(1-AX258*AX82/(88020000000*AX73/(Vent_Nat*Enclosed_Process_Volume+88020*AX73/AX82))&gt;0,-Max_Duration*Vent_Nat*LN(1-AX258*AX82/(88020000000*AX73/(Vent_Nat*Enclosed_Process_Volume+88020*AX73/AX82))),""),"")</f>
        <v/>
      </c>
      <c r="AY300" s="83"/>
      <c r="AZ300" s="2103" t="str">
        <f>IF(AND(AZ278="Indoors",AZ73&gt;0,AZ258&lt;&gt;""),IF(1-AZ258*AZ82/(88020000000*AZ73/(Vent_Nat*Enclosed_Process_Volume+88020*AZ73/AZ82))&gt;0,-Max_Duration*Vent_Nat*LN(1-AZ258*AZ82/(88020000000*AZ73/(Vent_Nat*Enclosed_Process_Volume+88020*AZ73/AZ82))),""),"")</f>
        <v/>
      </c>
      <c r="BA300" s="83"/>
      <c r="BB300" s="2103" t="str">
        <f>IF(AND(BB278="Indoors",BB73&gt;0,BB258&lt;&gt;""),IF(1-BB258*BB82/(88020000000*BB73/(Vent_Nat*Enclosed_Process_Volume+88020*BB73/BB82))&gt;0,-Max_Duration*Vent_Nat*LN(1-BB258*BB82/(88020000000*BB73/(Vent_Nat*Enclosed_Process_Volume+88020*BB73/BB82))),""),"")</f>
        <v/>
      </c>
      <c r="BC300" s="83"/>
      <c r="BD300" s="2103" t="str">
        <f>IF(AND(BD278="Indoors",BD73&gt;0,BD258&lt;&gt;""),IF(1-BD258*BD82/(88020000000*BD73/(Vent_Nat*Enclosed_Process_Volume+88020*BD73/BD82))&gt;0,-Max_Duration*Vent_Nat*LN(1-BD258*BD82/(88020000000*BD73/(Vent_Nat*Enclosed_Process_Volume+88020*BD73/BD82))),""),"")</f>
        <v/>
      </c>
      <c r="BE300" s="83"/>
      <c r="BF300" s="2103" t="str">
        <f>IF(AND(BF278="Indoors",BF73&gt;0,BF258&lt;&gt;""),IF(1-BF258*BF82/(88020000000*BF73/(Vent_Nat*Enclosed_Process_Volume+88020*BF73/BF82))&gt;0,-Max_Duration*Vent_Nat*LN(1-BF258*BF82/(88020000000*BF73/(Vent_Nat*Enclosed_Process_Volume+88020*BF73/BF82))),""),"")</f>
        <v/>
      </c>
      <c r="BG300" s="83"/>
      <c r="BH300" s="2103" t="str">
        <f>IF(AND(BH278="Indoors",BH73&gt;0,BH258&lt;&gt;""),IF(1-BH258*BH82/(88020000000*BH73/(Vent_Nat*Enclosed_Process_Volume+88020*BH73/BH82))&gt;0,-Max_Duration*Vent_Nat*LN(1-BH258*BH82/(88020000000*BH73/(Vent_Nat*Enclosed_Process_Volume+88020*BH73/BH82))),""),"")</f>
        <v/>
      </c>
      <c r="BI300" s="83"/>
      <c r="BJ300" s="2103" t="str">
        <f>IF(AND(BJ278="Indoors",BJ73&gt;0,BJ258&lt;&gt;""),IF(1-BJ258*BJ82/(88020000000*BJ73/(Vent_Nat*Enclosed_Process_Volume+88020*BJ73/BJ82))&gt;0,-Max_Duration*Vent_Nat*LN(1-BJ258*BJ82/(88020000000*BJ73/(Vent_Nat*Enclosed_Process_Volume+88020*BJ73/BJ82))),""),"")</f>
        <v/>
      </c>
      <c r="BK300" s="83"/>
      <c r="BL300" s="2103" t="str">
        <f>IF(AND(BL278="Indoors",BL73&gt;0,BL258&lt;&gt;""),IF(1-BL258*BL82/(88020000000*BL73/(Vent_Nat*Enclosed_Process_Volume+88020*BL73/BL82))&gt;0,-Max_Duration*Vent_Nat*LN(1-BL258*BL82/(88020000000*BL73/(Vent_Nat*Enclosed_Process_Volume+88020*BL73/BL82))),""),"")</f>
        <v/>
      </c>
      <c r="BM300" s="83"/>
      <c r="BN300" s="2103" t="str">
        <f>IF(AND(BN278="Indoors",BN73&gt;0,BN258&lt;&gt;""),IF(1-BN258*BN82/(88020000000*BN73/(Vent_Nat*Enclosed_Process_Volume+88020*BN73/BN82))&gt;0,-Max_Duration*Vent_Nat*LN(1-BN258*BN82/(88020000000*BN73/(Vent_Nat*Enclosed_Process_Volume+88020*BN73/BN82))),""),"")</f>
        <v/>
      </c>
      <c r="BO300" s="83"/>
      <c r="BP300" s="100"/>
      <c r="BQ300" s="83"/>
      <c r="BR300" s="81"/>
      <c r="BS300" s="848" t="s">
        <v>3541</v>
      </c>
      <c r="BT300" s="81"/>
      <c r="BU300" s="102">
        <f>IF(AND(BU281="Indoors",BU98&lt;&gt;""),IF(BU89="",MIN(BU$219,24450000*BU70/(BU98*Enclosed_Process_Volume)),IF((88020000000*BU89/BU98)/(Vent_Nat*Enclosed_Process_Volume+88020*BU89/BU98)&lt;MIN(BU$219,24450000*BU70/(BU98*Enclosed_Process_Volume)),(88020000000*BU89/BU98)/(Vent_Nat*Enclosed_Process_Volume+88020*BU89/BU98),MIN(BU$219,24450000*BU70/(BU98*Enclosed_Process_Volume)))),0)</f>
        <v>0</v>
      </c>
      <c r="BV300" s="81"/>
      <c r="BW300" s="102">
        <f>IF(AND(BW281="Indoors",BW98&lt;&gt;""),IF(BW89="",MIN(BW$219,24450000*BW70/(BW98*Enclosed_Process_Volume)),IF((88020000000*BW89/BW98)/(Vent_Nat*Enclosed_Process_Volume+88020*BW89/BW98)&lt;MIN(BW$219,24450000*BW70/(BW98*Enclosed_Process_Volume)),(88020000000*BW89/BW98)/(Vent_Nat*Enclosed_Process_Volume+88020*BW89/BW98),MIN(BW$219,24450000*BW70/(BW98*Enclosed_Process_Volume)))),0)</f>
        <v>0</v>
      </c>
      <c r="BX300" s="81"/>
      <c r="BY300" s="102">
        <f>IF(AND(BY281="Indoors",BY98&lt;&gt;""),IF(BY89="",MIN(BY$219,24450000*BY70/(BY98*Enclosed_Process_Volume)),IF((88020000000*BY89/BY98)/(Vent_Nat*Enclosed_Process_Volume+88020*BY89/BY98)&lt;MIN(BY$219,24450000*BY70/(BY98*Enclosed_Process_Volume)),(88020000000*BY89/BY98)/(Vent_Nat*Enclosed_Process_Volume+88020*BY89/BY98),MIN(BY$219,24450000*BY70/(BY98*Enclosed_Process_Volume)))),0)</f>
        <v>0</v>
      </c>
      <c r="BZ300" s="81"/>
      <c r="CA300" s="102">
        <f>IF(AND(CA281="Indoors",CA98&lt;&gt;""),IF(CA89="",MIN(CA$219,24450000*CA70/(CA98*Enclosed_Process_Volume)),IF((88020000000*CA89/CA98)/(Vent_Nat*Enclosed_Process_Volume+88020*CA89/CA98)&lt;MIN(CA$219,24450000*CA70/(CA98*Enclosed_Process_Volume)),(88020000000*CA89/CA98)/(Vent_Nat*Enclosed_Process_Volume+88020*CA89/CA98),MIN(CA$219,24450000*CA70/(CA98*Enclosed_Process_Volume)))),0)</f>
        <v>0</v>
      </c>
      <c r="CB300" s="81"/>
      <c r="CC300" s="102">
        <f>IF(AND(CC281="Indoors",CC98&lt;&gt;""),IF(CC89="",MIN(CC$219,24450000*CC70/(CC98*Enclosed_Process_Volume)),IF((88020000000*CC89/CC98)/(Vent_Nat*Enclosed_Process_Volume+88020*CC89/CC98)&lt;MIN(CC$219,24450000*CC70/(CC98*Enclosed_Process_Volume)),(88020000000*CC89/CC98)/(Vent_Nat*Enclosed_Process_Volume+88020*CC89/CC98),MIN(CC$219,24450000*CC70/(CC98*Enclosed_Process_Volume)))),0)</f>
        <v>0</v>
      </c>
      <c r="CD300" s="81"/>
      <c r="CE300" s="92" t="s">
        <v>1506</v>
      </c>
      <c r="CF300" s="81"/>
      <c r="CG300" s="26"/>
      <c r="CH300" s="26"/>
      <c r="CI300" s="26"/>
      <c r="CJ300" s="26"/>
      <c r="CK300" s="26"/>
      <c r="CL300" s="26"/>
      <c r="CM300" s="26"/>
      <c r="CN300" s="26"/>
      <c r="CO300" s="26"/>
      <c r="CP300" s="26"/>
      <c r="CQ300" s="26"/>
      <c r="CR300" s="26"/>
      <c r="CS300" s="26"/>
    </row>
    <row r="301" spans="1:99" ht="15" customHeight="1" x14ac:dyDescent="0.25">
      <c r="A301" s="2"/>
      <c r="B301" s="848" t="s">
        <v>4111</v>
      </c>
      <c r="C301" s="83"/>
      <c r="D301" s="1183">
        <f>IF(AND(Location="Indoors",D98&lt;&gt;"",Enclosed_Ventilation_Rate&gt;0),IF((88020000000*D91/D98)/(Enclosed_Ventilation_Rate*Enclosed_Process_Volume+88020*D91/D98)&lt;MIN(D$219,24450000*D70/(D98*Enclosed_Process_Volume)),(88020000000*D91/D98)/(Enclosed_Ventilation_Rate*Enclosed_Process_Volume+88020*D91/D98),MIN(D$219,24450000*D70/(D98*Enclosed_Process_Volume))),D300)</f>
        <v>0</v>
      </c>
      <c r="E301" s="83"/>
      <c r="F301" s="1183">
        <f>IF(AND(Location="Indoors",F98&lt;&gt;"",Enclosed_Ventilation_Rate&gt;0),IF((88020000000*F91/F98)/(Enclosed_Ventilation_Rate*Enclosed_Process_Volume+88020*F91/F98)&lt;MIN(F$219,24450000*F70/(F98*Enclosed_Process_Volume)),(88020000000*F91/F98)/(Enclosed_Ventilation_Rate*Enclosed_Process_Volume+88020*F91/F98),MIN(F$219,24450000*F70/(F98*Enclosed_Process_Volume))),F300)</f>
        <v>0</v>
      </c>
      <c r="G301" s="83"/>
      <c r="H301" s="1183">
        <f>IF(AND(Location="Indoors",H98&lt;&gt;"",Enclosed_Ventilation_Rate&gt;0),IF((88020000000*H91/H98)/(Enclosed_Ventilation_Rate*Enclosed_Process_Volume+88020*H91/H98)&lt;MIN(H$219,24450000*H70/(H98*Enclosed_Process_Volume)),(88020000000*H91/H98)/(Enclosed_Ventilation_Rate*Enclosed_Process_Volume+88020*H91/H98),MIN(H$219,24450000*H70/(H98*Enclosed_Process_Volume))),H300)</f>
        <v>0</v>
      </c>
      <c r="I301" s="83"/>
      <c r="J301" s="1183">
        <f>IF(AND(Location="Indoors",J98&lt;&gt;"",Enclosed_Ventilation_Rate&gt;0),IF((88020000000*J91/J98)/(Enclosed_Ventilation_Rate*Enclosed_Process_Volume+88020*J91/J98)&lt;MIN(J$219,24450000*J70/(J98*Enclosed_Process_Volume)),(88020000000*J91/J98)/(Enclosed_Ventilation_Rate*Enclosed_Process_Volume+88020*J91/J98),MIN(J$219,24450000*J70/(J98*Enclosed_Process_Volume))),J300)</f>
        <v>0</v>
      </c>
      <c r="K301" s="83"/>
      <c r="L301" s="1183">
        <f>IF(AND(Location="Indoors",L98&lt;&gt;"",Enclosed_Ventilation_Rate&gt;0),IF((88020000000*L91/L98)/(Enclosed_Ventilation_Rate*Enclosed_Process_Volume+88020*L91/L98)&lt;MIN(L$219,24450000*L70/(L98*Enclosed_Process_Volume)),(88020000000*L91/L98)/(Enclosed_Ventilation_Rate*Enclosed_Process_Volume+88020*L91/L98),MIN(L$219,24450000*L70/(L98*Enclosed_Process_Volume))),L300)</f>
        <v>0</v>
      </c>
      <c r="M301" s="83"/>
      <c r="N301" s="1183">
        <f>IF(AND(Location="Indoors",N98&lt;&gt;"",Enclosed_Ventilation_Rate&gt;0),IF((88020000000*N91/N98)/(Enclosed_Ventilation_Rate*Enclosed_Process_Volume+88020*N91/N98)&lt;MIN(N$219,24450000*N70/(N98*Enclosed_Process_Volume)),(88020000000*N91/N98)/(Enclosed_Ventilation_Rate*Enclosed_Process_Volume+88020*N91/N98),MIN(N$219,24450000*N70/(N98*Enclosed_Process_Volume))),N300)</f>
        <v>0</v>
      </c>
      <c r="O301" s="83"/>
      <c r="P301" s="1183">
        <f>IF(AND(Location="Indoors",P98&lt;&gt;"",Enclosed_Ventilation_Rate&gt;0),IF((88020000000*P91/P98)/(Enclosed_Ventilation_Rate*Enclosed_Process_Volume+88020*P91/P98)&lt;MIN(P$219,24450000*P70/(P98*Enclosed_Process_Volume)),(88020000000*P91/P98)/(Enclosed_Ventilation_Rate*Enclosed_Process_Volume+88020*P91/P98),MIN(P$219,24450000*P70/(P98*Enclosed_Process_Volume))),P300)</f>
        <v>0</v>
      </c>
      <c r="Q301" s="83"/>
      <c r="R301" s="1183">
        <f>IF(AND(Location="Indoors",R98&lt;&gt;"",Enclosed_Ventilation_Rate&gt;0),IF((88020000000*R91/R98)/(Enclosed_Ventilation_Rate*Enclosed_Process_Volume+88020*R91/R98)&lt;MIN(R$219,24450000*R70/(R98*Enclosed_Process_Volume)),(88020000000*R91/R98)/(Enclosed_Ventilation_Rate*Enclosed_Process_Volume+88020*R91/R98),MIN(R$219,24450000*R70/(R98*Enclosed_Process_Volume))),R300)</f>
        <v>0</v>
      </c>
      <c r="S301" s="83"/>
      <c r="T301" s="1183">
        <f>IF(AND(Location="Indoors",T98&lt;&gt;"",Enclosed_Ventilation_Rate&gt;0),IF((88020000000*T91/T98)/(Enclosed_Ventilation_Rate*Enclosed_Process_Volume+88020*T91/T98)&lt;MIN(T$219,24450000*T70/(T98*Enclosed_Process_Volume)),(88020000000*T91/T98)/(Enclosed_Ventilation_Rate*Enclosed_Process_Volume+88020*T91/T98),MIN(T$219,24450000*T70/(T98*Enclosed_Process_Volume))),T300)</f>
        <v>0</v>
      </c>
      <c r="U301" s="83"/>
      <c r="V301" s="1183">
        <f>IF(AND(Location="Indoors",V98&lt;&gt;"",Enclosed_Ventilation_Rate&gt;0),IF((88020000000*V91/V98)/(Enclosed_Ventilation_Rate*Enclosed_Process_Volume+88020*V91/V98)&lt;MIN(V$219,24450000*V70/(V98*Enclosed_Process_Volume)),(88020000000*V91/V98)/(Enclosed_Ventilation_Rate*Enclosed_Process_Volume+88020*V91/V98),MIN(V$219,24450000*V70/(V98*Enclosed_Process_Volume))),V300)</f>
        <v>0</v>
      </c>
      <c r="W301" s="83"/>
      <c r="X301" s="1183">
        <f>IF(AND(Location="Indoors",X98&lt;&gt;"",Enclosed_Ventilation_Rate&gt;0),IF((88020000000*X91/X98)/(Enclosed_Ventilation_Rate*Enclosed_Process_Volume+88020*X91/X98)&lt;MIN(X$219,24450000*X70/(X98*Enclosed_Process_Volume)),(88020000000*X91/X98)/(Enclosed_Ventilation_Rate*Enclosed_Process_Volume+88020*X91/X98),MIN(X$219,24450000*X70/(X98*Enclosed_Process_Volume))),X300)</f>
        <v>0</v>
      </c>
      <c r="Y301" s="83"/>
      <c r="Z301" s="85" t="s">
        <v>1506</v>
      </c>
      <c r="AA301" s="83"/>
      <c r="AB301" s="81"/>
      <c r="AC301" s="85" t="s">
        <v>3823</v>
      </c>
      <c r="AD301" s="81"/>
      <c r="AE301" s="2086">
        <f>IF(AND(AE98&gt;0,AE280&lt;&gt;""),IF(Location="Indoors",IF(AE315&lt;=AE280,0.1,AE$140*((IF(Enclosed_Ventilation_Rate&gt;1,Enclosed_Ventilation_Rate,1)*Enclosed_Process_Volume*AE98*AE315/88020000000)*1000000*(1/AE280-1/AE315)/(AE98*Wind))^AE$141),IF(1000000/AE280&lt;=1/AE$99,0.1,IF(AE169="Instantaneous",AE$166*((AE83/AE98)*(1000000/AE280))^AE$167-AE$168,AE$140*(AE89*(1000000/AE280)/(AE98*Wind))^AE$141-AE$142))),0.1)</f>
        <v>0.1</v>
      </c>
      <c r="AF301" s="81"/>
      <c r="AG301" s="2086">
        <f>IF(AND(AG98&gt;0,AG280&lt;&gt;""),IF(Location="Indoors",IF(AG315&lt;=AG280,0.1,AG$140*((IF(Enclosed_Ventilation_Rate&gt;1,Enclosed_Ventilation_Rate,1)*Enclosed_Process_Volume*AG98*AG315/88020000000)*1000000*(1/AG280-1/AG315)/(AG98*Wind))^AG$141),IF(1000000/AG280&lt;=1/AG$99,0.1,IF(AG169="Instantaneous",AG$166*((AG83/AG98)*(1000000/AG280))^AG$167-AG$168,AG$140*(AG89*(1000000/AG280)/(AG98*Wind))^AG$141-AG$142))),0.1)</f>
        <v>0.1</v>
      </c>
      <c r="AH301" s="81"/>
      <c r="AI301" s="2086">
        <f>IF(AND(AI98&gt;0,AI280&lt;&gt;""),IF(Location="Indoors",IF(AI315&lt;=AI280,0.1,AI$140*((IF(Enclosed_Ventilation_Rate&gt;1,Enclosed_Ventilation_Rate,1)*Enclosed_Process_Volume*AI98*AI315/88020000000)*1000000*(1/AI280-1/AI315)/(AI98*Wind))^AI$141),IF(1000000/AI280&lt;=1/AI$99,0.1,IF(AI169="Instantaneous",AI$166*((AI83/AI98)*(1000000/AI280))^AI$167-AI$168,AI$140*(AI89*(1000000/AI280)/(AI98*Wind))^AI$141-AI$142))),0.1)</f>
        <v>0.1</v>
      </c>
      <c r="AJ301" s="81"/>
      <c r="AK301" s="2086">
        <f>IF(AND(AK98&gt;0,AK280&lt;&gt;""),IF(Location="Indoors",IF(AK315&lt;=AK280,0.1,AK$140*((IF(Enclosed_Ventilation_Rate&gt;1,Enclosed_Ventilation_Rate,1)*Enclosed_Process_Volume*AK98*AK315/88020000000)*1000000*(1/AK280-1/AK315)/(AK98*Wind))^AK$141),IF(1000000/AK280&lt;=1/AK$99,0.1,IF(AK169="Instantaneous",AK$166*((AK83/AK98)*(1000000/AK280))^AK$167-AK$168,AK$140*(AK89*(1000000/AK280)/(AK98*Wind))^AK$141-AK$142))),0.1)</f>
        <v>0.1</v>
      </c>
      <c r="AL301" s="81"/>
      <c r="AM301" s="2086">
        <f>IF(AND(AM98&gt;0,AM280&lt;&gt;""),IF(Location="Indoors",IF(AM315&lt;=AM280,0.1,AM$140*((IF(Enclosed_Ventilation_Rate&gt;1,Enclosed_Ventilation_Rate,1)*Enclosed_Process_Volume*AM98*AM315/88020000000)*1000000*(1/AM280-1/AM315)/(AM98*Wind))^AM$141),IF(1000000/AM280&lt;=1/AM$99,0.1,IF(AM169="Instantaneous",AM$166*((AM83/AM98)*(1000000/AM280))^AM$167-AM$168,AM$140*(AM89*(1000000/AM280)/(AM98*Wind))^AM$141-AM$142))),0.1)</f>
        <v>0.1</v>
      </c>
      <c r="AN301" s="81"/>
      <c r="AO301" s="2086">
        <f>IF(AND(AO98&gt;0,AO280&lt;&gt;""),IF(Location="Indoors",IF(AO315&lt;=AO280,0.1,AO$140*((IF(Enclosed_Ventilation_Rate&gt;1,Enclosed_Ventilation_Rate,1)*Enclosed_Process_Volume*AO98*AO315/88020000000)*1000000*(1/AO280-1/AO315)/(AO98*Wind))^AO$141),IF(1000000/AO280&lt;=1/AO$99,0.1,IF(AO169="Instantaneous",AO$166*((AO83/AO98)*(1000000/AO280))^AO$167-AO$168,AO$140*(AO89*(1000000/AO280)/(AO98*Wind))^AO$141-AO$142))),0.1)</f>
        <v>0.1</v>
      </c>
      <c r="AP301" s="81"/>
      <c r="AQ301" s="85" t="s">
        <v>1068</v>
      </c>
      <c r="AR301" s="81"/>
      <c r="AS301" s="83"/>
      <c r="AT301" s="848" t="s">
        <v>4714</v>
      </c>
      <c r="AU301" s="83"/>
      <c r="AV301" s="2103" t="str">
        <f>IF(AND(AV278="Indoors",AV73&gt;0,AV258&lt;&gt;""),IF(1-AV258*AV82/(88020000000*AV73/(MAX(Vent_Nat,Enclosed_Ventilation_Rate)*Enclosed_Process_Volume+88020*AV73/AV82))&gt;0,-Max_Duration*MAX(Vent_Nat,Enclosed_Ventilation_Rate)*LN(1-AV258*AV82/(88020000000*AV73/(MAX(Vent_Nat,Enclosed_Ventilation_Rate)*Enclosed_Process_Volume+88020*AV73/AV82))),""),"")</f>
        <v/>
      </c>
      <c r="AW301" s="83"/>
      <c r="AX301" s="2103" t="str">
        <f>IF(AND(AX278="Indoors",AX73&gt;0,AX258&lt;&gt;""),IF(1-AX258*AX82/(88020000000*AX73/(MAX(Vent_Nat,Enclosed_Ventilation_Rate)*Enclosed_Process_Volume+88020*AX73/AX82))&gt;0,-Max_Duration*MAX(Vent_Nat,Enclosed_Ventilation_Rate)*LN(1-AX258*AX82/(88020000000*AX73/(MAX(Vent_Nat,Enclosed_Ventilation_Rate)*Enclosed_Process_Volume+88020*AX73/AX82))),""),"")</f>
        <v/>
      </c>
      <c r="AY301" s="83"/>
      <c r="AZ301" s="2103" t="str">
        <f>IF(AND(AZ278="Indoors",AZ73&gt;0,AZ258&lt;&gt;""),IF(1-AZ258*AZ82/(88020000000*AZ73/(MAX(Vent_Nat,Enclosed_Ventilation_Rate)*Enclosed_Process_Volume+88020*AZ73/AZ82))&gt;0,-Max_Duration*MAX(Vent_Nat,Enclosed_Ventilation_Rate)*LN(1-AZ258*AZ82/(88020000000*AZ73/(MAX(Vent_Nat,Enclosed_Ventilation_Rate)*Enclosed_Process_Volume+88020*AZ73/AZ82))),""),"")</f>
        <v/>
      </c>
      <c r="BA301" s="83"/>
      <c r="BB301" s="2103" t="str">
        <f>IF(AND(BB278="Indoors",BB73&gt;0,BB258&lt;&gt;""),IF(1-BB258*BB82/(88020000000*BB73/(MAX(Vent_Nat,Enclosed_Ventilation_Rate)*Enclosed_Process_Volume+88020*BB73/BB82))&gt;0,-Max_Duration*MAX(Vent_Nat,Enclosed_Ventilation_Rate)*LN(1-BB258*BB82/(88020000000*BB73/(MAX(Vent_Nat,Enclosed_Ventilation_Rate)*Enclosed_Process_Volume+88020*BB73/BB82))),""),"")</f>
        <v/>
      </c>
      <c r="BC301" s="83"/>
      <c r="BD301" s="2103" t="str">
        <f>IF(AND(BD278="Indoors",BD73&gt;0,BD258&lt;&gt;""),IF(1-BD258*BD82/(88020000000*BD73/(MAX(Vent_Nat,Enclosed_Ventilation_Rate)*Enclosed_Process_Volume+88020*BD73/BD82))&gt;0,-Max_Duration*MAX(Vent_Nat,Enclosed_Ventilation_Rate)*LN(1-BD258*BD82/(88020000000*BD73/(MAX(Vent_Nat,Enclosed_Ventilation_Rate)*Enclosed_Process_Volume+88020*BD73/BD82))),""),"")</f>
        <v/>
      </c>
      <c r="BE301" s="83"/>
      <c r="BF301" s="2103" t="str">
        <f>IF(AND(BF278="Indoors",BF73&gt;0,BF258&lt;&gt;""),IF(1-BF258*BF82/(88020000000*BF73/(MAX(Vent_Nat,Enclosed_Ventilation_Rate)*Enclosed_Process_Volume+88020*BF73/BF82))&gt;0,-Max_Duration*MAX(Vent_Nat,Enclosed_Ventilation_Rate)*LN(1-BF258*BF82/(88020000000*BF73/(MAX(Vent_Nat,Enclosed_Ventilation_Rate)*Enclosed_Process_Volume+88020*BF73/BF82))),""),"")</f>
        <v/>
      </c>
      <c r="BG301" s="83"/>
      <c r="BH301" s="2103" t="str">
        <f>IF(AND(BH278="Indoors",BH73&gt;0,BH258&lt;&gt;""),IF(1-BH258*BH82/(88020000000*BH73/(MAX(Vent_Nat,Enclosed_Ventilation_Rate)*Enclosed_Process_Volume+88020*BH73/BH82))&gt;0,-Max_Duration*MAX(Vent_Nat,Enclosed_Ventilation_Rate)*LN(1-BH258*BH82/(88020000000*BH73/(MAX(Vent_Nat,Enclosed_Ventilation_Rate)*Enclosed_Process_Volume+88020*BH73/BH82))),""),"")</f>
        <v/>
      </c>
      <c r="BI301" s="83"/>
      <c r="BJ301" s="2103" t="str">
        <f>IF(AND(BJ278="Indoors",BJ73&gt;0,BJ258&lt;&gt;""),IF(1-BJ258*BJ82/(88020000000*BJ73/(MAX(Vent_Nat,Enclosed_Ventilation_Rate)*Enclosed_Process_Volume+88020*BJ73/BJ82))&gt;0,-Max_Duration*MAX(Vent_Nat,Enclosed_Ventilation_Rate)*LN(1-BJ258*BJ82/(88020000000*BJ73/(MAX(Vent_Nat,Enclosed_Ventilation_Rate)*Enclosed_Process_Volume+88020*BJ73/BJ82))),""),"")</f>
        <v/>
      </c>
      <c r="BK301" s="83"/>
      <c r="BL301" s="2103" t="str">
        <f>IF(AND(BL278="Indoors",BL73&gt;0,BL258&lt;&gt;""),IF(1-BL258*BL82/(88020000000*BL73/(MAX(Vent_Nat,Enclosed_Ventilation_Rate)*Enclosed_Process_Volume+88020*BL73/BL82))&gt;0,-Max_Duration*MAX(Vent_Nat,Enclosed_Ventilation_Rate)*LN(1-BL258*BL82/(88020000000*BL73/(MAX(Vent_Nat,Enclosed_Ventilation_Rate)*Enclosed_Process_Volume+88020*BL73/BL82))),""),"")</f>
        <v/>
      </c>
      <c r="BM301" s="83"/>
      <c r="BN301" s="2103" t="str">
        <f>IF(AND(BN278="Indoors",BN73&gt;0,BN258&lt;&gt;""),IF(1-BN258*BN82/(88020000000*BN73/(MAX(Vent_Nat,Enclosed_Ventilation_Rate)*Enclosed_Process_Volume+88020*BN73/BN82))&gt;0,-Max_Duration*MAX(Vent_Nat,Enclosed_Ventilation_Rate)*LN(1-BN258*BN82/(88020000000*BN73/(MAX(Vent_Nat,Enclosed_Ventilation_Rate)*Enclosed_Process_Volume+88020*BN73/BN82))),""),"")</f>
        <v/>
      </c>
      <c r="BO301" s="83"/>
      <c r="BP301" s="100"/>
      <c r="BQ301" s="83"/>
      <c r="BR301" s="81"/>
      <c r="BS301" s="848" t="s">
        <v>4111</v>
      </c>
      <c r="BT301" s="81"/>
      <c r="BU301" s="1183">
        <f>IF(AND(BU281="Indoors",BU98&lt;&gt;"",Enclosed_Ventilation_Rate&gt;0),IF(BU89="",MIN(BU$219,24450000*BU70/(BU98*Enclosed_Process_Volume)),IF((88020000000*BU89/BU98)/(Enclosed_Ventilation_Rate*Enclosed_Process_Volume+88020*BU89/BU98)&lt;MIN(BU$219,24450000*BU70/(BU98*Enclosed_Process_Volume)),(88020000000*BU89/BU98)/(Enclosed_Ventilation_Rate*Enclosed_Process_Volume+88020*BU89/BU98),MIN(BU$219,24450000*BU70/(BU98*Enclosed_Process_Volume)))),BU300)</f>
        <v>0</v>
      </c>
      <c r="BV301" s="81"/>
      <c r="BW301" s="1183">
        <f>IF(AND(BW281="Indoors",BW98&lt;&gt;"",Enclosed_Ventilation_Rate&gt;0),IF(BW89="",MIN(BW$219,24450000*BW70/(BW98*Enclosed_Process_Volume)),IF((88020000000*BW89/BW98)/(Enclosed_Ventilation_Rate*Enclosed_Process_Volume+88020*BW89/BW98)&lt;MIN(BW$219,24450000*BW70/(BW98*Enclosed_Process_Volume)),(88020000000*BW89/BW98)/(Enclosed_Ventilation_Rate*Enclosed_Process_Volume+88020*BW89/BW98),MIN(BW$219,24450000*BW70/(BW98*Enclosed_Process_Volume)))),BW300)</f>
        <v>0</v>
      </c>
      <c r="BX301" s="81"/>
      <c r="BY301" s="1183">
        <f>IF(AND(BY281="Indoors",BY98&lt;&gt;"",Enclosed_Ventilation_Rate&gt;0),IF(BY89="",MIN(BY$219,24450000*BY70/(BY98*Enclosed_Process_Volume)),IF((88020000000*BY89/BY98)/(Enclosed_Ventilation_Rate*Enclosed_Process_Volume+88020*BY89/BY98)&lt;MIN(BY$219,24450000*BY70/(BY98*Enclosed_Process_Volume)),(88020000000*BY89/BY98)/(Enclosed_Ventilation_Rate*Enclosed_Process_Volume+88020*BY89/BY98),MIN(BY$219,24450000*BY70/(BY98*Enclosed_Process_Volume)))),BY300)</f>
        <v>0</v>
      </c>
      <c r="BZ301" s="81"/>
      <c r="CA301" s="1183">
        <f>IF(AND(CA281="Indoors",CA98&lt;&gt;"",Enclosed_Ventilation_Rate&gt;0),IF(CA89="",MIN(CA$219,24450000*CA70/(CA98*Enclosed_Process_Volume)),IF((88020000000*CA89/CA98)/(Enclosed_Ventilation_Rate*Enclosed_Process_Volume+88020*CA89/CA98)&lt;MIN(CA$219,24450000*CA70/(CA98*Enclosed_Process_Volume)),(88020000000*CA89/CA98)/(Enclosed_Ventilation_Rate*Enclosed_Process_Volume+88020*CA89/CA98),MIN(CA$219,24450000*CA70/(CA98*Enclosed_Process_Volume)))),CA300)</f>
        <v>0</v>
      </c>
      <c r="CB301" s="81"/>
      <c r="CC301" s="1183">
        <f>IF(AND(CC281="Indoors",CC98&lt;&gt;"",Enclosed_Ventilation_Rate&gt;0),IF(CC89="",MIN(CC$219,24450000*CC70/(CC98*Enclosed_Process_Volume)),IF((88020000000*CC89/CC98)/(Enclosed_Ventilation_Rate*Enclosed_Process_Volume+88020*CC89/CC98)&lt;MIN(CC$219,24450000*CC70/(CC98*Enclosed_Process_Volume)),(88020000000*CC89/CC98)/(Enclosed_Ventilation_Rate*Enclosed_Process_Volume+88020*CC89/CC98),MIN(CC$219,24450000*CC70/(CC98*Enclosed_Process_Volume)))),CC300)</f>
        <v>0</v>
      </c>
      <c r="CD301" s="81"/>
      <c r="CE301" s="85" t="s">
        <v>1506</v>
      </c>
      <c r="CF301" s="81"/>
      <c r="CG301" s="26"/>
      <c r="CH301" s="26"/>
      <c r="CI301" s="26"/>
      <c r="CJ301" s="26"/>
      <c r="CK301" s="26"/>
      <c r="CL301" s="26"/>
      <c r="CM301" s="26"/>
      <c r="CN301" s="26"/>
      <c r="CO301" s="26"/>
      <c r="CP301" s="26"/>
      <c r="CQ301" s="26"/>
      <c r="CR301" s="26"/>
      <c r="CS301" s="26"/>
    </row>
    <row r="302" spans="1:99" ht="15" customHeight="1" x14ac:dyDescent="0.25">
      <c r="A302" s="2"/>
      <c r="B302" s="848" t="s">
        <v>4717</v>
      </c>
      <c r="C302" s="83"/>
      <c r="D302" s="2103" t="str">
        <f>IF(AND(Location="Indoors",D89&gt;0,D255&lt;&gt;""),IF(1-D255*D98/(88020000000*D89/(Vent_Nat*Enclosed_Process_Volume+88020*D89/D98))&gt;0,-Max_Duration*Vent_Nat*LN(1-D255*D98/(88020000000*D89/(Vent_Nat*Enclosed_Process_Volume+88020*D89/D98))),""),"")</f>
        <v/>
      </c>
      <c r="E302" s="83"/>
      <c r="F302" s="2103" t="str">
        <f>IF(AND(Location="Indoors",F89&gt;0,F255&lt;&gt;""),IF(1-F255*F98/(88020000000*F89/(Vent_Nat*Enclosed_Process_Volume+88020*F89/F98))&gt;0,-Max_Duration*Vent_Nat*LN(1-F255*F98/(88020000000*F89/(Vent_Nat*Enclosed_Process_Volume+88020*F89/F98))),""),"")</f>
        <v/>
      </c>
      <c r="G302" s="83"/>
      <c r="H302" s="2103" t="str">
        <f>IF(AND(Location="Indoors",H89&gt;0,H255&lt;&gt;""),IF(1-H255*H98/(88020000000*H89/(Vent_Nat*Enclosed_Process_Volume+88020*H89/H98))&gt;0,-Max_Duration*Vent_Nat*LN(1-H255*H98/(88020000000*H89/(Vent_Nat*Enclosed_Process_Volume+88020*H89/H98))),""),"")</f>
        <v/>
      </c>
      <c r="I302" s="83"/>
      <c r="J302" s="2103" t="str">
        <f>IF(AND(Location="Indoors",J89&gt;0,J255&lt;&gt;""),IF(1-J255*J98/(88020000000*J89/(Vent_Nat*Enclosed_Process_Volume+88020*J89/J98))&gt;0,-Max_Duration*Vent_Nat*LN(1-J255*J98/(88020000000*J89/(Vent_Nat*Enclosed_Process_Volume+88020*J89/J98))),""),"")</f>
        <v/>
      </c>
      <c r="K302" s="83"/>
      <c r="L302" s="2103" t="str">
        <f>IF(AND(Location="Indoors",L89&gt;0,L255&lt;&gt;""),IF(1-L255*L98/(88020000000*L89/(Vent_Nat*Enclosed_Process_Volume+88020*L89/L98))&gt;0,-Max_Duration*Vent_Nat*LN(1-L255*L98/(88020000000*L89/(Vent_Nat*Enclosed_Process_Volume+88020*L89/L98))),""),"")</f>
        <v/>
      </c>
      <c r="M302" s="83"/>
      <c r="N302" s="2103" t="str">
        <f>IF(AND(Location="Indoors",N89&gt;0,N255&lt;&gt;""),IF(1-N255*N98/(88020000000*N89/(Vent_Nat*Enclosed_Process_Volume+88020*N89/N98))&gt;0,-Max_Duration*Vent_Nat*LN(1-N255*N98/(88020000000*N89/(Vent_Nat*Enclosed_Process_Volume+88020*N89/N98))),""),"")</f>
        <v/>
      </c>
      <c r="O302" s="83"/>
      <c r="P302" s="2103" t="str">
        <f>IF(AND(Location="Indoors",P89&gt;0,P255&lt;&gt;""),IF(1-P255*P98/(88020000000*P89/(Vent_Nat*Enclosed_Process_Volume+88020*P89/P98))&gt;0,-Max_Duration*Vent_Nat*LN(1-P255*P98/(88020000000*P89/(Vent_Nat*Enclosed_Process_Volume+88020*P89/P98))),""),"")</f>
        <v/>
      </c>
      <c r="Q302" s="83"/>
      <c r="R302" s="2103" t="str">
        <f>IF(AND(Location="Indoors",R89&gt;0,R255&lt;&gt;""),IF(1-R255*R98/(88020000000*R89/(Vent_Nat*Enclosed_Process_Volume+88020*R89/R98))&gt;0,-Max_Duration*Vent_Nat*LN(1-R255*R98/(88020000000*R89/(Vent_Nat*Enclosed_Process_Volume+88020*R89/R98))),""),"")</f>
        <v/>
      </c>
      <c r="S302" s="83"/>
      <c r="T302" s="2103" t="str">
        <f>IF(AND(Location="Indoors",T89&gt;0,T255&lt;&gt;""),IF(1-T255*T98/(88020000000*T89/(Vent_Nat*Enclosed_Process_Volume+88020*T89/T98))&gt;0,-Max_Duration*Vent_Nat*LN(1-T255*T98/(88020000000*T89/(Vent_Nat*Enclosed_Process_Volume+88020*T89/T98))),""),"")</f>
        <v/>
      </c>
      <c r="U302" s="83"/>
      <c r="V302" s="2103" t="str">
        <f>IF(AND(Location="Indoors",V89&gt;0,V255&lt;&gt;""),IF(1-V255*V98/(88020000000*V89/(Vent_Nat*Enclosed_Process_Volume+88020*V89/V98))&gt;0,-Max_Duration*Vent_Nat*LN(1-V255*V98/(88020000000*V89/(Vent_Nat*Enclosed_Process_Volume+88020*V89/V98))),""),"")</f>
        <v/>
      </c>
      <c r="W302" s="83"/>
      <c r="X302" s="2103" t="str">
        <f>IF(AND(Location="Indoors",X89&gt;0,X255&lt;&gt;""),IF(1-X255*X98/(88020000000*X89/(Vent_Nat*Enclosed_Process_Volume+88020*X89/X98))&gt;0,-Max_Duration*Vent_Nat*LN(1-X255*X98/(88020000000*X89/(Vent_Nat*Enclosed_Process_Volume+88020*X89/X98))),""),"")</f>
        <v/>
      </c>
      <c r="Y302" s="83"/>
      <c r="Z302" s="85" t="s">
        <v>1760</v>
      </c>
      <c r="AA302" s="83"/>
      <c r="AB302" s="81"/>
      <c r="AC302" s="85" t="s">
        <v>3824</v>
      </c>
      <c r="AD302" s="81"/>
      <c r="AE302" s="2104">
        <f>IF(AND(AE98&gt;0,AE280&lt;&gt;""),IF(Location="Indoors",IF(ConcFract_Indoor*AE315&lt;=AE280,0.1,AE$140*((IF(Enclosed_Ventilation_Rate&gt;1,Enclosed_Ventilation_Rate,1)*Enclosed_Process_Volume*AE98*AE315/88020000000)*1000000*(ConcFract_Indoor/AE280-1/AE315)/(AE98*Wind))^AE$141),IF(AE280&gt;=ConcFract_Indoor*1000000*AE$99,0.1,IF(AC222="Instantaneous",AE$166*((AE83/AE98)*(ConcFract_Indoor*1000000/AE280))^AE$167-AE$168,AE$140*(AE89*(ConcFract_Indoor*1000000/AE280)/(AE98*Wind))^AE$141-AE$142))),0.1)</f>
        <v>0.1</v>
      </c>
      <c r="AF302" s="81"/>
      <c r="AG302" s="2104">
        <f>IF(AND(AG98&gt;0,AG280&lt;&gt;""),IF(Location="Indoors",IF(ConcFract_Indoor*AG315&lt;=AG280,0.1,AG$140*((IF(Enclosed_Ventilation_Rate&gt;1,Enclosed_Ventilation_Rate,1)*Enclosed_Process_Volume*AG98*AG315/88020000000)*1000000*(ConcFract_Indoor/AG280-1/AG315)/(AG98*Wind))^AG$141),IF(AG280&gt;=ConcFract_Indoor*1000000*AG$99,0.1,IF(AE222="Instantaneous",AG$166*((AG83/AG98)*(ConcFract_Indoor*1000000/AG280))^AG$167-AG$168,AG$140*(AG89*(ConcFract_Indoor*1000000/AG280)/(AG98*Wind))^AG$141-AG$142))),0.1)</f>
        <v>0.1</v>
      </c>
      <c r="AH302" s="81"/>
      <c r="AI302" s="2104">
        <f>IF(AND(AI98&gt;0,AI280&lt;&gt;""),IF(Location="Indoors",IF(ConcFract_Indoor*AI315&lt;=AI280,0.1,AI$140*((IF(Enclosed_Ventilation_Rate&gt;1,Enclosed_Ventilation_Rate,1)*Enclosed_Process_Volume*AI98*AI315/88020000000)*1000000*(ConcFract_Indoor/AI280-1/AI315)/(AI98*Wind))^AI$141),IF(AI280&gt;=ConcFract_Indoor*1000000*AI$99,0.1,IF(AG222="Instantaneous",AI$166*((AI83/AI98)*(ConcFract_Indoor*1000000/AI280))^AI$167-AI$168,AI$140*(AI89*(ConcFract_Indoor*1000000/AI280)/(AI98*Wind))^AI$141-AI$142))),0.1)</f>
        <v>0.1</v>
      </c>
      <c r="AJ302" s="81"/>
      <c r="AK302" s="2104">
        <f>IF(AND(AK98&gt;0,AK280&lt;&gt;""),IF(Location="Indoors",IF(ConcFract_Indoor*AK315&lt;=AK280,0.1,AK$140*((IF(Enclosed_Ventilation_Rate&gt;1,Enclosed_Ventilation_Rate,1)*Enclosed_Process_Volume*AK98*AK315/88020000000)*1000000*(ConcFract_Indoor/AK280-1/AK315)/(AK98*Wind))^AK$141),IF(AK280&gt;=ConcFract_Indoor*1000000*AK$99,0.1,IF(AI222="Instantaneous",AK$166*((AK83/AK98)*(ConcFract_Indoor*1000000/AK280))^AK$167-AK$168,AK$140*(AK89*(ConcFract_Indoor*1000000/AK280)/(AK98*Wind))^AK$141-AK$142))),0.1)</f>
        <v>0.1</v>
      </c>
      <c r="AL302" s="81"/>
      <c r="AM302" s="2104">
        <f>IF(AND(AM98&gt;0,AM280&lt;&gt;""),IF(Location="Indoors",IF(ConcFract_Indoor*AM315&lt;=AM280,0.1,AM$140*((IF(Enclosed_Ventilation_Rate&gt;1,Enclosed_Ventilation_Rate,1)*Enclosed_Process_Volume*AM98*AM315/88020000000)*1000000*(ConcFract_Indoor/AM280-1/AM315)/(AM98*Wind))^AM$141),IF(AM280&gt;=ConcFract_Indoor*1000000*AM$99,0.1,IF(AK222="Instantaneous",AM$166*((AM83/AM98)*(ConcFract_Indoor*1000000/AM280))^AM$167-AM$168,AM$140*(AM89*(ConcFract_Indoor*1000000/AM280)/(AM98*Wind))^AM$141-AM$142))),0.1)</f>
        <v>0.1</v>
      </c>
      <c r="AN302" s="81"/>
      <c r="AO302" s="2104">
        <f>IF(AND(AO98&gt;0,AO280&lt;&gt;""),IF(Location="Indoors",IF(ConcFract_Indoor*AO315&lt;=AO280,0.1,AO$140*((IF(Enclosed_Ventilation_Rate&gt;1,Enclosed_Ventilation_Rate,1)*Enclosed_Process_Volume*AO98*AO315/88020000000)*1000000*(ConcFract_Indoor/AO280-1/AO315)/(AO98*Wind))^AO$141),IF(AO280&gt;=ConcFract_Indoor*1000000*AO$99,0.1,IF(AM222="Instantaneous",AO$166*((AO83/AO98)*(ConcFract_Indoor*1000000/AO280))^AO$167-AO$168,AO$140*(AO89*(ConcFract_Indoor*1000000/AO280)/(AO98*Wind))^AO$141-AO$142))),0.1)</f>
        <v>0.1</v>
      </c>
      <c r="AP302" s="81"/>
      <c r="AQ302" s="85" t="s">
        <v>1068</v>
      </c>
      <c r="AR302" s="81"/>
      <c r="AS302" s="83"/>
      <c r="AT302" s="85" t="s">
        <v>4498</v>
      </c>
      <c r="AU302" s="83"/>
      <c r="AV302" s="1183" t="str">
        <f>IF(AND(AV298&gt;1,AV298&gt;AV228),"Yes","No")</f>
        <v>No</v>
      </c>
      <c r="AW302" s="83"/>
      <c r="AX302" s="1183" t="str">
        <f>IF(AND(AX298&gt;1,AX298&gt;AX228),"Yes","No")</f>
        <v>No</v>
      </c>
      <c r="AY302" s="83"/>
      <c r="AZ302" s="1183" t="str">
        <f>IF(AND(AZ298&gt;1,AZ298&gt;AZ228),"Yes","No")</f>
        <v>No</v>
      </c>
      <c r="BA302" s="83"/>
      <c r="BB302" s="1183" t="str">
        <f>IF(AND(BB298&gt;1,BB298&gt;BB228),"Yes","No")</f>
        <v>No</v>
      </c>
      <c r="BC302" s="83"/>
      <c r="BD302" s="1183" t="str">
        <f>IF(AND(BD298&gt;1,BD298&gt;BD228),"Yes","No")</f>
        <v>No</v>
      </c>
      <c r="BE302" s="83"/>
      <c r="BF302" s="1183" t="str">
        <f>IF(AND(BF298&gt;1,BF298&gt;BF228),"Yes","No")</f>
        <v>No</v>
      </c>
      <c r="BG302" s="83"/>
      <c r="BH302" s="1183" t="str">
        <f>IF(AND(BH298&gt;1,BH298&gt;BH228),"Yes","No")</f>
        <v>No</v>
      </c>
      <c r="BI302" s="83"/>
      <c r="BJ302" s="1183" t="str">
        <f>IF(AND(BJ298&gt;1,BJ298&gt;BJ228),"Yes","No")</f>
        <v>No</v>
      </c>
      <c r="BK302" s="83"/>
      <c r="BL302" s="1183" t="str">
        <f>IF(AND(BL298&gt;1,BL298&gt;BL228),"Yes","No")</f>
        <v>No</v>
      </c>
      <c r="BM302" s="83"/>
      <c r="BN302" s="1183" t="str">
        <f>IF(AND(BN298&gt;1,BN298&gt;BN228),"Yes","No")</f>
        <v>No</v>
      </c>
      <c r="BO302" s="83"/>
      <c r="BP302" s="100"/>
      <c r="BQ302" s="83"/>
      <c r="BR302" s="81"/>
      <c r="BS302" s="848" t="s">
        <v>4717</v>
      </c>
      <c r="BT302" s="81"/>
      <c r="BU302" s="2103" t="str">
        <f>IF(AND(Location="Indoors",BU23="Continuous",BU89&gt;0,BU255&lt;&gt;""),IF(1-BU255*BU98/(88020000000*BU89/(Vent_Nat*Enclosed_Process_Volume+88020*BU89/BU98))&gt;0,-Max_Duration*Vent_Nat*LN(1-BU255*BU98/(88020000000*BU89/(Vent_Nat*Enclosed_Process_Volume+88020*BU89/BU98))),""),"")</f>
        <v/>
      </c>
      <c r="BV302" s="81"/>
      <c r="BW302" s="2103" t="str">
        <f>IF(AND(Location="Indoors",BW23="Continuous",BW89&gt;0,BW255&lt;&gt;""),IF(1-BW255*BW98/(88020000000*BW89/(Vent_Nat*Enclosed_Process_Volume+88020*BW89/BW98))&gt;0,-Max_Duration*Vent_Nat*LN(1-BW255*BW98/(88020000000*BW89/(Vent_Nat*Enclosed_Process_Volume+88020*BW89/BW98))),""),"")</f>
        <v/>
      </c>
      <c r="BX302" s="81"/>
      <c r="BY302" s="2103" t="str">
        <f>IF(AND(Location="Indoors",BY23="Continuous",BY89&gt;0,BY255&lt;&gt;""),IF(1-BY255*BY98/(88020000000*BY89/(Vent_Nat*Enclosed_Process_Volume+88020*BY89/BY98))&gt;0,-Max_Duration*Vent_Nat*LN(1-BY255*BY98/(88020000000*BY89/(Vent_Nat*Enclosed_Process_Volume+88020*BY89/BY98))),""),"")</f>
        <v/>
      </c>
      <c r="BZ302" s="81"/>
      <c r="CA302" s="2103" t="str">
        <f>IF(AND(Location="Indoors",CA23="Continuous",CA89&gt;0,CA255&lt;&gt;""),IF(1-CA255*CA98/(88020000000*CA89/(Vent_Nat*Enclosed_Process_Volume+88020*CA89/CA98))&gt;0,-Max_Duration*Vent_Nat*LN(1-CA255*CA98/(88020000000*CA89/(Vent_Nat*Enclosed_Process_Volume+88020*CA89/CA98))),""),"")</f>
        <v/>
      </c>
      <c r="CB302" s="81"/>
      <c r="CC302" s="2103" t="str">
        <f>IF(AND(Location="Indoors",CC23="Continuous",CC89&gt;0,CC255&lt;&gt;""),IF(1-CC255*CC98/(88020000000*CC89/(Vent_Nat*Enclosed_Process_Volume+88020*CC89/CC98))&gt;0,-Max_Duration*Vent_Nat*LN(1-CC255*CC98/(88020000000*CC89/(Vent_Nat*Enclosed_Process_Volume+88020*CC89/CC98))),""),"")</f>
        <v/>
      </c>
      <c r="CD302" s="81"/>
      <c r="CE302" s="85"/>
      <c r="CF302" s="81"/>
      <c r="CG302" s="26"/>
      <c r="CH302" s="26"/>
      <c r="CI302" s="26"/>
      <c r="CJ302" s="26"/>
      <c r="CK302" s="26"/>
      <c r="CL302" s="26"/>
      <c r="CM302" s="26"/>
      <c r="CN302" s="26"/>
      <c r="CO302" s="26"/>
      <c r="CP302" s="26"/>
      <c r="CQ302" s="26"/>
      <c r="CR302" s="26"/>
      <c r="CS302" s="26"/>
    </row>
    <row r="303" spans="1:99" ht="15" customHeight="1" thickBot="1" x14ac:dyDescent="0.3">
      <c r="A303" s="2"/>
      <c r="B303" s="848" t="s">
        <v>4714</v>
      </c>
      <c r="C303" s="83"/>
      <c r="D303" s="2103" t="str">
        <f>IF(AND(Location="Indoors",D89&gt;0,D255&lt;&gt;""),IF(1-D255*D98/(88020000000*D89/(MAX(Vent_Nat,Enclosed_Ventilation_Rate)*Enclosed_Process_Volume+88020*D89/D98))&gt;0,-Max_Duration*MAX(Vent_Nat,Enclosed_Ventilation_Rate)*LN(1-D255*D98/(88020000000*D89/(MAX(Vent_Nat,Enclosed_Ventilation_Rate)*Enclosed_Process_Volume+88020*D89/D98))),""),"")</f>
        <v/>
      </c>
      <c r="E303" s="83"/>
      <c r="F303" s="2103" t="str">
        <f>IF(AND(Location="Indoors",F89&gt;0,F255&lt;&gt;""),IF(1-F255*F98/(88020000000*F89/(MAX(Vent_Nat,Enclosed_Ventilation_Rate)*Enclosed_Process_Volume+88020*F89/F98))&gt;0,-Max_Duration*MAX(Vent_Nat,Enclosed_Ventilation_Rate)*LN(1-F255*F98/(88020000000*F89/(MAX(Vent_Nat,Enclosed_Ventilation_Rate)*Enclosed_Process_Volume+88020*F89/F98))),""),"")</f>
        <v/>
      </c>
      <c r="G303" s="83"/>
      <c r="H303" s="2103" t="str">
        <f>IF(AND(Location="Indoors",H89&gt;0,H255&lt;&gt;""),IF(1-H255*H98/(88020000000*H89/(MAX(Vent_Nat,Enclosed_Ventilation_Rate)*Enclosed_Process_Volume+88020*H89/H98))&gt;0,-Max_Duration*MAX(Vent_Nat,Enclosed_Ventilation_Rate)*LN(1-H255*H98/(88020000000*H89/(MAX(Vent_Nat,Enclosed_Ventilation_Rate)*Enclosed_Process_Volume+88020*H89/H98))),""),"")</f>
        <v/>
      </c>
      <c r="I303" s="83"/>
      <c r="J303" s="2103" t="str">
        <f>IF(AND(Location="Indoors",J89&gt;0,J255&lt;&gt;""),IF(1-J255*J98/(88020000000*J89/(MAX(Vent_Nat,Enclosed_Ventilation_Rate)*Enclosed_Process_Volume+88020*J89/J98))&gt;0,-Max_Duration*MAX(Vent_Nat,Enclosed_Ventilation_Rate)*LN(1-J255*J98/(88020000000*J89/(MAX(Vent_Nat,Enclosed_Ventilation_Rate)*Enclosed_Process_Volume+88020*J89/J98))),""),"")</f>
        <v/>
      </c>
      <c r="K303" s="83"/>
      <c r="L303" s="2103" t="str">
        <f>IF(AND(Location="Indoors",L89&gt;0,L255&lt;&gt;""),IF(1-L255*L98/(88020000000*L89/(MAX(Vent_Nat,Enclosed_Ventilation_Rate)*Enclosed_Process_Volume+88020*L89/L98))&gt;0,-Max_Duration*MAX(Vent_Nat,Enclosed_Ventilation_Rate)*LN(1-L255*L98/(88020000000*L89/(MAX(Vent_Nat,Enclosed_Ventilation_Rate)*Enclosed_Process_Volume+88020*L89/L98))),""),"")</f>
        <v/>
      </c>
      <c r="M303" s="83"/>
      <c r="N303" s="2103" t="str">
        <f>IF(AND(Location="Indoors",N89&gt;0,N255&lt;&gt;""),IF(1-N255*N98/(88020000000*N89/(MAX(Vent_Nat,Enclosed_Ventilation_Rate)*Enclosed_Process_Volume+88020*N89/N98))&gt;0,-Max_Duration*MAX(Vent_Nat,Enclosed_Ventilation_Rate)*LN(1-N255*N98/(88020000000*N89/(MAX(Vent_Nat,Enclosed_Ventilation_Rate)*Enclosed_Process_Volume+88020*N89/N98))),""),"")</f>
        <v/>
      </c>
      <c r="O303" s="83"/>
      <c r="P303" s="2103" t="str">
        <f>IF(AND(Location="Indoors",P89&gt;0,P255&lt;&gt;""),IF(1-P255*P98/(88020000000*P89/(MAX(Vent_Nat,Enclosed_Ventilation_Rate)*Enclosed_Process_Volume+88020*P89/P98))&gt;0,-Max_Duration*MAX(Vent_Nat,Enclosed_Ventilation_Rate)*LN(1-P255*P98/(88020000000*P89/(MAX(Vent_Nat,Enclosed_Ventilation_Rate)*Enclosed_Process_Volume+88020*P89/P98))),""),"")</f>
        <v/>
      </c>
      <c r="Q303" s="83"/>
      <c r="R303" s="2103" t="str">
        <f>IF(AND(Location="Indoors",R89&gt;0,R255&lt;&gt;""),IF(1-R255*R98/(88020000000*R89/(MAX(Vent_Nat,Enclosed_Ventilation_Rate)*Enclosed_Process_Volume+88020*R89/R98))&gt;0,-Max_Duration*MAX(Vent_Nat,Enclosed_Ventilation_Rate)*LN(1-R255*R98/(88020000000*R89/(MAX(Vent_Nat,Enclosed_Ventilation_Rate)*Enclosed_Process_Volume+88020*R89/R98))),""),"")</f>
        <v/>
      </c>
      <c r="S303" s="83"/>
      <c r="T303" s="2103" t="str">
        <f>IF(AND(Location="Indoors",T89&gt;0,T255&lt;&gt;""),IF(1-T255*T98/(88020000000*T89/(MAX(Vent_Nat,Enclosed_Ventilation_Rate)*Enclosed_Process_Volume+88020*T89/T98))&gt;0,-Max_Duration*MAX(Vent_Nat,Enclosed_Ventilation_Rate)*LN(1-T255*T98/(88020000000*T89/(MAX(Vent_Nat,Enclosed_Ventilation_Rate)*Enclosed_Process_Volume+88020*T89/T98))),""),"")</f>
        <v/>
      </c>
      <c r="U303" s="83"/>
      <c r="V303" s="2103" t="str">
        <f>IF(AND(Location="Indoors",V89&gt;0,V255&lt;&gt;""),IF(1-V255*V98/(88020000000*V89/(MAX(Vent_Nat,Enclosed_Ventilation_Rate)*Enclosed_Process_Volume+88020*V89/V98))&gt;0,-Max_Duration*MAX(Vent_Nat,Enclosed_Ventilation_Rate)*LN(1-V255*V98/(88020000000*V89/(MAX(Vent_Nat,Enclosed_Ventilation_Rate)*Enclosed_Process_Volume+88020*V89/V98))),""),"")</f>
        <v/>
      </c>
      <c r="W303" s="83"/>
      <c r="X303" s="2103" t="str">
        <f>IF(AND(Location="Indoors",X89&gt;0,X255&lt;&gt;""),IF(1-X255*X98/(88020000000*X89/(MAX(Vent_Nat,Enclosed_Ventilation_Rate)*Enclosed_Process_Volume+88020*X89/X98))&gt;0,-Max_Duration*MAX(Vent_Nat,Enclosed_Ventilation_Rate)*LN(1-X255*X98/(88020000000*X89/(MAX(Vent_Nat,Enclosed_Ventilation_Rate)*Enclosed_Process_Volume+88020*X89/X98))),""),"")</f>
        <v/>
      </c>
      <c r="Y303" s="83"/>
      <c r="Z303" s="85" t="s">
        <v>1760</v>
      </c>
      <c r="AA303" s="83"/>
      <c r="AB303" s="81"/>
      <c r="AC303" s="85" t="s">
        <v>3540</v>
      </c>
      <c r="AD303" s="81"/>
      <c r="AE303" s="2104">
        <f>IF(AND(AE98&gt;0,AE286&lt;&gt;""),IF(Location="Indoors",IF(AE315&lt;=AE286,0.1,AE$192*((IF(Enclosed_Ventilation_Rate&gt;1,Enclosed_Ventilation_Rate,1)*Enclosed_Process_Volume*AE98*AE315/88020000000)*1000000*(1/AE286-1/AE315)/(AE98*Wind_Night))^AE$193),IF(1000000/AE286&lt;=1/AE$99,0.1,IF(AC222="Instantaneous",AE$218*((AE83/AE98)*(1000000/AE286))^AE$219-AE$220,AE$192*(AE89*(1000000/AE286)/(AE98*Wind_Night))^AE$193)-AE$194)),0.1)</f>
        <v>0.1</v>
      </c>
      <c r="AF303" s="81"/>
      <c r="AG303" s="2104">
        <f>IF(AND(AG98&gt;0,AG286&lt;&gt;""),IF(Location="Indoors",IF(AG315&lt;=AG286,0.1,AG$192*((IF(Enclosed_Ventilation_Rate&gt;1,Enclosed_Ventilation_Rate,1)*Enclosed_Process_Volume*AG98*AG315/88020000000)*1000000*(1/AG286-1/AG315)/(AG98*Wind_Night))^AG$193),IF(1000000/AG286&lt;=1/AG$99,0.1,IF(AE222="Instantaneous",AG$218*((AG83/AG98)*(1000000/AG286))^AG$219-AG$220,AG$192*(AG89*(1000000/AG286)/(AG98*Wind_Night))^AG$193)-AG$194)),0.1)</f>
        <v>0.1</v>
      </c>
      <c r="AH303" s="81"/>
      <c r="AI303" s="2104">
        <f>IF(AND(AI98&gt;0,AI286&lt;&gt;""),IF(Location="Indoors",IF(AI315&lt;=AI286,0.1,AI$192*((IF(Enclosed_Ventilation_Rate&gt;1,Enclosed_Ventilation_Rate,1)*Enclosed_Process_Volume*AI98*AI315/88020000000)*1000000*(1/AI286-1/AI315)/(AI98*Wind_Night))^AI$193),IF(1000000/AI286&lt;=1/AI$99,0.1,IF(AG222="Instantaneous",AI$218*((AI83/AI98)*(1000000/AI286))^AI$219-AI$220,AI$192*(AI89*(1000000/AI286)/(AI98*Wind_Night))^AI$193)-AI$194)),0.1)</f>
        <v>0.1</v>
      </c>
      <c r="AJ303" s="81"/>
      <c r="AK303" s="2104">
        <f>IF(AND(AK98&gt;0,AK286&lt;&gt;""),IF(Location="Indoors",IF(AK315&lt;=AK286,0.1,AK$192*((IF(Enclosed_Ventilation_Rate&gt;1,Enclosed_Ventilation_Rate,1)*Enclosed_Process_Volume*AK98*AK315/88020000000)*1000000*(1/AK286-1/AK315)/(AK98*Wind_Night))^AK$193),IF(1000000/AK286&lt;=1/AK$99,0.1,IF(AI222="Instantaneous",AK$218*((AK83/AK98)*(1000000/AK286))^AK$219-AK$220,AK$192*(AK89*(1000000/AK286)/(AK98*Wind_Night))^AK$193)-AK$194)),0.1)</f>
        <v>0.1</v>
      </c>
      <c r="AL303" s="81"/>
      <c r="AM303" s="2104">
        <f>IF(AND(AM98&gt;0,AM286&lt;&gt;""),IF(Location="Indoors",IF(AM315&lt;=AM286,0.1,AM$192*((IF(Enclosed_Ventilation_Rate&gt;1,Enclosed_Ventilation_Rate,1)*Enclosed_Process_Volume*AM98*AM315/88020000000)*1000000*(1/AM286-1/AM315)/(AM98*Wind_Night))^AM$193),IF(1000000/AM286&lt;=1/AM$99,0.1,IF(AK222="Instantaneous",AM$218*((AM83/AM98)*(1000000/AM286))^AM$219-AM$220,AM$192*(AM89*(1000000/AM286)/(AM98*Wind_Night))^AM$193)-AM$194)),0.1)</f>
        <v>0.1</v>
      </c>
      <c r="AN303" s="81"/>
      <c r="AO303" s="2104">
        <f>IF(AND(AO98&gt;0,AO286&lt;&gt;""),IF(Location="Indoors",IF(AO315&lt;=AO286,0.1,AO$192*((IF(Enclosed_Ventilation_Rate&gt;1,Enclosed_Ventilation_Rate,1)*Enclosed_Process_Volume*AO98*AO315/88020000000)*1000000*(1/AO286-1/AO315)/(AO98*Wind_Night))^AO$193),IF(1000000/AO286&lt;=1/AO$99,0.1,IF(AM222="Instantaneous",AO$218*((AO83/AO98)*(1000000/AO286))^AO$219-AO$220,AO$192*(AO89*(1000000/AO286)/(AO98*Wind_Night))^AO$193)-AO$194)),0.1)</f>
        <v>0.1</v>
      </c>
      <c r="AP303" s="81"/>
      <c r="AQ303" s="85" t="s">
        <v>1068</v>
      </c>
      <c r="AR303" s="81"/>
      <c r="AS303" s="83"/>
      <c r="AT303" s="25" t="s">
        <v>1433</v>
      </c>
      <c r="AU303" s="83"/>
      <c r="AV303" s="3010" t="str">
        <f>IF(AV$82&gt;0,IF(AV298&gt;1000000*(0.21-Asp_Screen)/0.21,"Yes","No"),"No")</f>
        <v>No</v>
      </c>
      <c r="AW303" s="83"/>
      <c r="AX303" s="3010" t="str">
        <f>IF(AX$82&gt;0,IF(AX298&gt;1000000*(0.21-Asp_Screen)/0.21,"Yes","No"),"No")</f>
        <v>No</v>
      </c>
      <c r="AY303" s="83"/>
      <c r="AZ303" s="3010" t="str">
        <f>IF(AZ$82&gt;0,IF(AZ298&gt;1000000*(0.21-Asp_Screen)/0.21,"Yes","No"),"No")</f>
        <v>No</v>
      </c>
      <c r="BA303" s="83"/>
      <c r="BB303" s="3010" t="str">
        <f>IF(BB$82&gt;0,IF(BB298&gt;1000000*(0.21-Asp_Screen)/0.21,"Yes","No"),"No")</f>
        <v>No</v>
      </c>
      <c r="BC303" s="83"/>
      <c r="BD303" s="3010" t="str">
        <f>IF(BD$82&gt;0,IF(BD298&gt;1000000*(0.21-Asp_Screen)/0.21,"Yes","No"),"No")</f>
        <v>No</v>
      </c>
      <c r="BE303" s="83"/>
      <c r="BF303" s="3010" t="str">
        <f>IF(BF$82&gt;0,IF(BF298&gt;1000000*(0.21-Asp_Screen)/0.21,"Yes","No"),"No")</f>
        <v>No</v>
      </c>
      <c r="BG303" s="83"/>
      <c r="BH303" s="3010" t="str">
        <f>IF(BH$82&gt;0,IF(BH298&gt;1000000*(0.21-Asp_Screen)/0.21,"Yes","No"),"No")</f>
        <v>No</v>
      </c>
      <c r="BI303" s="83"/>
      <c r="BJ303" s="3010" t="str">
        <f>IF(BJ$82&gt;0,IF(BJ298&gt;1000000*(0.21-Asp_Screen)/0.21,"Yes","No"),"No")</f>
        <v>No</v>
      </c>
      <c r="BK303" s="83"/>
      <c r="BL303" s="3010" t="str">
        <f>IF(BL$82&gt;0,IF(BL298&gt;1000000*(0.21-Asp_Screen)/0.21,"Yes","No"),"No")</f>
        <v>No</v>
      </c>
      <c r="BM303" s="83"/>
      <c r="BN303" s="3010" t="str">
        <f>IF(BN$82&gt;0,IF(BN298&gt;1000000*(0.21-Asp_Screen)/0.21,"Yes","No"),"No")</f>
        <v>No</v>
      </c>
      <c r="BO303" s="83"/>
      <c r="BP303" s="98"/>
      <c r="BQ303" s="83"/>
      <c r="BR303" s="81"/>
      <c r="BS303" s="848" t="s">
        <v>4714</v>
      </c>
      <c r="BT303" s="81"/>
      <c r="BU303" s="2103" t="str">
        <f>IF(AND(Location="Indoors",BU23="Continuous",BU89&gt;0,BU255&lt;&gt;""),IF(1-BU255*BU98/(88020000000*BU89/(MAX(Vent_Nat,Enclosed_Ventilation_Rate)*Enclosed_Process_Volume+88020*BU89/BU98))&gt;0,-Max_Duration*MAX(Vent_Nat,Enclosed_Ventilation_Rate)*LN(1-BU255*BU98/(88020000000*BU89/(MAX(Vent_Nat,Enclosed_Ventilation_Rate)*Enclosed_Process_Volume+88020*BU89/BU98))),""),"")</f>
        <v/>
      </c>
      <c r="BV303" s="81"/>
      <c r="BW303" s="2103" t="str">
        <f>IF(AND(Location="Indoors",BW23="Continuous",BW89&gt;0,BW255&lt;&gt;""),IF(1-BW255*BW98/(88020000000*BW89/(MAX(Vent_Nat,Enclosed_Ventilation_Rate)*Enclosed_Process_Volume+88020*BW89/BW98))&gt;0,-Max_Duration*MAX(Vent_Nat,Enclosed_Ventilation_Rate)*LN(1-BW255*BW98/(88020000000*BW89/(MAX(Vent_Nat,Enclosed_Ventilation_Rate)*Enclosed_Process_Volume+88020*BW89/BW98))),""),"")</f>
        <v/>
      </c>
      <c r="BX303" s="81"/>
      <c r="BY303" s="2103" t="str">
        <f>IF(AND(Location="Indoors",BY23="Continuous",BY89&gt;0,BY255&lt;&gt;""),IF(1-BY255*BY98/(88020000000*BY89/(MAX(Vent_Nat,Enclosed_Ventilation_Rate)*Enclosed_Process_Volume+88020*BY89/BY98))&gt;0,-Max_Duration*MAX(Vent_Nat,Enclosed_Ventilation_Rate)*LN(1-BY255*BY98/(88020000000*BY89/(MAX(Vent_Nat,Enclosed_Ventilation_Rate)*Enclosed_Process_Volume+88020*BY89/BY98))),""),"")</f>
        <v/>
      </c>
      <c r="BZ303" s="81"/>
      <c r="CA303" s="2103" t="str">
        <f>IF(AND(Location="Indoors",CA23="Continuous",CA89&gt;0,CA255&lt;&gt;""),IF(1-CA255*CA98/(88020000000*CA89/(MAX(Vent_Nat,Enclosed_Ventilation_Rate)*Enclosed_Process_Volume+88020*CA89/CA98))&gt;0,-Max_Duration*MAX(Vent_Nat,Enclosed_Ventilation_Rate)*LN(1-CA255*CA98/(88020000000*CA89/(MAX(Vent_Nat,Enclosed_Ventilation_Rate)*Enclosed_Process_Volume+88020*CA89/CA98))),""),"")</f>
        <v/>
      </c>
      <c r="CB303" s="81"/>
      <c r="CC303" s="2103" t="str">
        <f>IF(AND(Location="Indoors",CC23="Continuous",CC89&gt;0,CC255&lt;&gt;""),IF(1-CC255*CC98/(88020000000*CC89/(MAX(Vent_Nat,Enclosed_Ventilation_Rate)*Enclosed_Process_Volume+88020*CC89/CC98))&gt;0,-Max_Duration*MAX(Vent_Nat,Enclosed_Ventilation_Rate)*LN(1-CC255*CC98/(88020000000*CC89/(MAX(Vent_Nat,Enclosed_Ventilation_Rate)*Enclosed_Process_Volume+88020*CC89/CC98))),""),"")</f>
        <v/>
      </c>
      <c r="CD303" s="81"/>
      <c r="CE303" s="85"/>
      <c r="CF303" s="81"/>
      <c r="CG303" s="26"/>
      <c r="CH303" s="26"/>
      <c r="CI303" s="26"/>
      <c r="CJ303" s="26"/>
      <c r="CK303" s="26"/>
      <c r="CL303" s="26"/>
      <c r="CM303" s="26"/>
      <c r="CN303" s="26"/>
      <c r="CO303" s="26"/>
      <c r="CP303" s="26"/>
      <c r="CQ303" s="26"/>
      <c r="CR303" s="26"/>
      <c r="CS303" s="26"/>
    </row>
    <row r="304" spans="1:99" ht="15" customHeight="1" thickBot="1" x14ac:dyDescent="0.3">
      <c r="A304" s="2"/>
      <c r="B304" s="848" t="s">
        <v>4498</v>
      </c>
      <c r="C304" s="83"/>
      <c r="D304" s="1183" t="str">
        <f>IF(AND(D300&gt;1,D300&gt;D231),"Yes","No")</f>
        <v>No</v>
      </c>
      <c r="E304" s="83"/>
      <c r="F304" s="1183" t="str">
        <f>IF(AND(F300&gt;1,F300&gt;F231),"Yes","No")</f>
        <v>No</v>
      </c>
      <c r="G304" s="83"/>
      <c r="H304" s="1183" t="str">
        <f>IF(AND(H300&gt;1,H300&gt;H231),"Yes","No")</f>
        <v>No</v>
      </c>
      <c r="I304" s="83"/>
      <c r="J304" s="1183" t="str">
        <f>IF(AND(J300&gt;1,J300&gt;J231),"Yes","No")</f>
        <v>No</v>
      </c>
      <c r="K304" s="83"/>
      <c r="L304" s="1183" t="str">
        <f>IF(AND(L300&gt;1,L300&gt;L231),"Yes","No")</f>
        <v>No</v>
      </c>
      <c r="M304" s="83"/>
      <c r="N304" s="1183" t="str">
        <f>IF(AND(N300&gt;1,N300&gt;N231),"Yes","No")</f>
        <v>No</v>
      </c>
      <c r="O304" s="83"/>
      <c r="P304" s="1183" t="str">
        <f>IF(AND(P300&gt;1,P300&gt;P231),"Yes","No")</f>
        <v>No</v>
      </c>
      <c r="Q304" s="83"/>
      <c r="R304" s="1183" t="str">
        <f>IF(AND(R300&gt;1,R300&gt;R231),"Yes","No")</f>
        <v>No</v>
      </c>
      <c r="S304" s="83"/>
      <c r="T304" s="1183" t="str">
        <f>IF(AND(T300&gt;1,T300&gt;T231),"Yes","No")</f>
        <v>No</v>
      </c>
      <c r="U304" s="83"/>
      <c r="V304" s="1183" t="str">
        <f>IF(AND(V300&gt;1,V300&gt;V231),"Yes","No")</f>
        <v>No</v>
      </c>
      <c r="W304" s="83"/>
      <c r="X304" s="1183" t="str">
        <f>IF(AND(X300&gt;1,X300&gt;X231),"Yes","No")</f>
        <v>No</v>
      </c>
      <c r="Y304" s="83"/>
      <c r="Z304" s="23"/>
      <c r="AA304" s="83"/>
      <c r="AB304" s="81"/>
      <c r="AC304" s="25" t="s">
        <v>3772</v>
      </c>
      <c r="AD304" s="81"/>
      <c r="AE304" s="2105">
        <f>IF(AND(AE98&gt;0,AE286&lt;&gt;""),IF(Location="Indoors",IF(ConcFract_Indoor*AE315&lt;=AE286,0.1,AE$192*((IF(Enclosed_Ventilation_Rate&gt;1,Enclosed_Ventilation_Rate,1)*Enclosed_Process_Volume*AE98*AE315/88020000000)*1000000*(ConcFract_Indoor/AE286-1/AE315)/(AE98*Wind_Night))^AE$193),IF(AE286&gt;=ConcFract_Indoor*1000000*AE$99,0.1,IF(AC222="Instantaneous",AE$218*((AE83/AE98)*(ConcFract_Indoor*1000000/AE286))^AE$219-AE$220,AE$192*(AE89*(ConcFract_Indoor*1000000/AE286)/(AE98*Wind_Night))^AE$193-AE$194))),0.1)</f>
        <v>0.1</v>
      </c>
      <c r="AF304" s="81"/>
      <c r="AG304" s="2105">
        <f>IF(AND(AG98&gt;0,AG286&lt;&gt;""),IF(Location="Indoors",IF(ConcFract_Indoor*AG315&lt;=AG286,0.1,AG$192*((IF(Enclosed_Ventilation_Rate&gt;1,Enclosed_Ventilation_Rate,1)*Enclosed_Process_Volume*AG98*AG315/88020000000)*1000000*(ConcFract_Indoor/AG286-1/AG315)/(AG98*Wind_Night))^AG$193),IF(AG286&gt;=ConcFract_Indoor*1000000*AG$99,0.1,IF(AE222="Instantaneous",AG$218*((AG83/AG98)*(ConcFract_Indoor*1000000/AG286))^AG$219-AG$220,AG$192*(AG89*(ConcFract_Indoor*1000000/AG286)/(AG98*Wind_Night))^AG$193-AG$194))),0.1)</f>
        <v>0.1</v>
      </c>
      <c r="AH304" s="81"/>
      <c r="AI304" s="2105">
        <f>IF(AND(AI98&gt;0,AI286&lt;&gt;""),IF(Location="Indoors",IF(ConcFract_Indoor*AI315&lt;=AI286,0.1,AI$192*((IF(Enclosed_Ventilation_Rate&gt;1,Enclosed_Ventilation_Rate,1)*Enclosed_Process_Volume*AI98*AI315/88020000000)*1000000*(ConcFract_Indoor/AI286-1/AI315)/(AI98*Wind_Night))^AI$193),IF(AI286&gt;=ConcFract_Indoor*1000000*AI$99,0.1,IF(AG222="Instantaneous",AI$218*((AI83/AI98)*(ConcFract_Indoor*1000000/AI286))^AI$219-AI$220,AI$192*(AI89*(ConcFract_Indoor*1000000/AI286)/(AI98*Wind_Night))^AI$193-AI$194))),0.1)</f>
        <v>0.1</v>
      </c>
      <c r="AJ304" s="81"/>
      <c r="AK304" s="2105">
        <f>IF(AND(AK98&gt;0,AK286&lt;&gt;""),IF(Location="Indoors",IF(ConcFract_Indoor*AK315&lt;=AK286,0.1,AK$192*((IF(Enclosed_Ventilation_Rate&gt;1,Enclosed_Ventilation_Rate,1)*Enclosed_Process_Volume*AK98*AK315/88020000000)*1000000*(ConcFract_Indoor/AK286-1/AK315)/(AK98*Wind_Night))^AK$193),IF(AK286&gt;=ConcFract_Indoor*1000000*AK$99,0.1,IF(AI222="Instantaneous",AK$218*((AK83/AK98)*(ConcFract_Indoor*1000000/AK286))^AK$219-AK$220,AK$192*(AK89*(ConcFract_Indoor*1000000/AK286)/(AK98*Wind_Night))^AK$193-AK$194))),0.1)</f>
        <v>0.1</v>
      </c>
      <c r="AL304" s="81"/>
      <c r="AM304" s="2105">
        <f>IF(AND(AM98&gt;0,AM286&lt;&gt;""),IF(Location="Indoors",IF(ConcFract_Indoor*AM315&lt;=AM286,0.1,AM$192*((IF(Enclosed_Ventilation_Rate&gt;1,Enclosed_Ventilation_Rate,1)*Enclosed_Process_Volume*AM98*AM315/88020000000)*1000000*(ConcFract_Indoor/AM286-1/AM315)/(AM98*Wind_Night))^AM$193),IF(AM286&gt;=ConcFract_Indoor*1000000*AM$99,0.1,IF(AK222="Instantaneous",AM$218*((AM83/AM98)*(ConcFract_Indoor*1000000/AM286))^AM$219-AM$220,AM$192*(AM89*(ConcFract_Indoor*1000000/AM286)/(AM98*Wind_Night))^AM$193-AM$194))),0.1)</f>
        <v>0.1</v>
      </c>
      <c r="AN304" s="81"/>
      <c r="AO304" s="2105">
        <f>IF(AND(AO98&gt;0,AO286&lt;&gt;""),IF(Location="Indoors",IF(ConcFract_Indoor*AO315&lt;=AO286,0.1,AO$192*((IF(Enclosed_Ventilation_Rate&gt;1,Enclosed_Ventilation_Rate,1)*Enclosed_Process_Volume*AO98*AO315/88020000000)*1000000*(ConcFract_Indoor/AO286-1/AO315)/(AO98*Wind_Night))^AO$193),IF(AO286&gt;=ConcFract_Indoor*1000000*AO$99,0.1,IF(AM222="Instantaneous",AO$218*((AO83/AO98)*(ConcFract_Indoor*1000000/AO286))^AO$219-AO$220,AO$192*(AO89*(ConcFract_Indoor*1000000/AO286)/(AO98*Wind_Night))^AO$193-AO$194))),0.1)</f>
        <v>0.1</v>
      </c>
      <c r="AP304" s="81"/>
      <c r="AQ304" s="85" t="s">
        <v>1068</v>
      </c>
      <c r="AR304" s="81"/>
      <c r="AS304" s="83"/>
      <c r="AT304" s="113" t="s">
        <v>2783</v>
      </c>
      <c r="AU304" s="83"/>
      <c r="AV304" s="371">
        <f>IF(OR(Flammable_Potential&lt;&gt;"Yes",AV246="",AV66=0),0,IF(OR(Ease_of_Ignition_Feed="High",Aerosol_Potential="Yes"),MAX(Spray_Distance,IF(400/AV246&lt;=1/AV$84,0,IF(AV153="Instantaneous",AV$150*(AV66/AV82)*(IF(AV128&gt;AV246/100,AvgTime_Correction,1)*400/AV246)^AV$151-AV$152,AV$124*(AV74*(IF(AV103&gt;AV246/100,AvgTime_Correction,1)*400/AV246)/(AV82*Wind))^AV$125-AV$126))),IF(400/AV246&lt;=1/AV$84,0,IF(AV153="Instantaneous",AV$150*(AV66/AV82)*(IF(AV128&gt;AV246/100,AvgTime_Correction,1)*400/AV246)^AV$151-AV$152,AV$124*(AV74*(IF(AV103&gt;AV246/100,AvgTime_Correction,1)*400/AV246)/(AV82*Wind))^AV$125-AV$126))))</f>
        <v>0</v>
      </c>
      <c r="AW304" s="83"/>
      <c r="AX304" s="371">
        <f>IF(OR(Flammable_Potential&lt;&gt;"Yes",AX246="",AX66=0),0,IF(OR(Ease_of_Ignition_Feed="High",Aerosol_Potential="Yes"),MAX(Spray_Distance,IF(400/AX246&lt;=1/AX$84,0,IF(AX153="Instantaneous",AX$150*(AX66/AX82)*(IF(AX128&gt;AX246/100,AvgTime_Correction,1)*400/AX246)^AX$151-AX$152,AX$124*(AX74*(IF(AX103&gt;AX246/100,AvgTime_Correction,1)*400/AX246)/(AX82*Wind))^AX$125-AX$126))),IF(400/AX246&lt;=1/AX$84,0,IF(AX153="Instantaneous",AX$150*(AX66/AX82)*(IF(AX128&gt;AX246/100,AvgTime_Correction,1)*400/AX246)^AX$151-AX$152,AX$124*(AX74*(IF(AX103&gt;AX246/100,AvgTime_Correction,1)*400/AX246)/(AX82*Wind))^AX$125-AX$126))))</f>
        <v>0</v>
      </c>
      <c r="AY304" s="83"/>
      <c r="AZ304" s="371">
        <f>IF(OR(Flammable_Potential&lt;&gt;"Yes",AZ246="",AZ66=0),0,IF(OR(Ease_of_Ignition_Feed="High",Aerosol_Potential="Yes"),MAX(Spray_Distance,IF(400/AZ246&lt;=1/AZ$84,0,IF(AZ153="Instantaneous",AZ$150*(AZ66/AZ82)*(IF(AZ128&gt;AZ246/100,AvgTime_Correction,1)*400/AZ246)^AZ$151-AZ$152,AZ$124*(AZ74*(IF(AZ103&gt;AZ246/100,AvgTime_Correction,1)*400/AZ246)/(AZ82*Wind))^AZ$125-AZ$126))),IF(400/AZ246&lt;=1/AZ$84,0,IF(AZ153="Instantaneous",AZ$150*(AZ66/AZ82)*(IF(AZ128&gt;AZ246/100,AvgTime_Correction,1)*400/AZ246)^AZ$151-AZ$152,AZ$124*(AZ74*(IF(AZ103&gt;AZ246/100,AvgTime_Correction,1)*400/AZ246)/(AZ82*Wind))^AZ$125-AZ$126))))</f>
        <v>0</v>
      </c>
      <c r="BA304" s="83"/>
      <c r="BB304" s="371">
        <f>IF(OR(Flammable_Potential&lt;&gt;"Yes",BB246="",BB66=0),0,IF(OR(Ease_of_Ignition_Feed="High",Aerosol_Potential="Yes"),MAX(Spray_Distance,IF(400/BB246&lt;=1/BB$84,0,IF(BB153="Instantaneous",BB$150*(BB66/BB82)*(IF(BB128&gt;BB246/100,AvgTime_Correction,1)*400/BB246)^BB$151-BB$152,BB$124*(BB74*(IF(BB103&gt;BB246/100,AvgTime_Correction,1)*400/BB246)/(BB82*Wind))^BB$125-BB$126))),IF(400/BB246&lt;=1/BB$84,0,IF(BB153="Instantaneous",BB$150*(BB66/BB82)*(IF(BB128&gt;BB246/100,AvgTime_Correction,1)*400/BB246)^BB$151-BB$152,BB$124*(BB74*(IF(BB103&gt;BB246/100,AvgTime_Correction,1)*400/BB246)/(BB82*Wind))^BB$125-BB$126))))</f>
        <v>0</v>
      </c>
      <c r="BC304" s="83"/>
      <c r="BD304" s="371">
        <f>IF(OR(Flammable_Potential&lt;&gt;"Yes",BD246="",BD66=0),0,IF(OR(Ease_of_Ignition_Feed="High",Aerosol_Potential="Yes"),MAX(Spray_Distance,IF(400/BD246&lt;=1/BD$84,0,IF(BD153="Instantaneous",BD$150*(BD66/BD82)*(IF(BD128&gt;BD246/100,AvgTime_Correction,1)*400/BD246)^BD$151-BD$152,BD$124*(BD74*(IF(BD103&gt;BD246/100,AvgTime_Correction,1)*400/BD246)/(BD82*Wind))^BD$125-BD$126))),IF(400/BD246&lt;=1/BD$84,0,IF(BD153="Instantaneous",BD$150*(BD66/BD82)*(IF(BD128&gt;BD246/100,AvgTime_Correction,1)*400/BD246)^BD$151-BD$152,BD$124*(BD74*(IF(BD103&gt;BD246/100,AvgTime_Correction,1)*400/BD246)/(BD82*Wind))^BD$125-BD$126))))</f>
        <v>0</v>
      </c>
      <c r="BE304" s="83"/>
      <c r="BF304" s="371">
        <f>IF(OR(Flammable_Potential&lt;&gt;"Yes",BF246="",BF66=0),0,IF(OR(Ease_of_Ignition_Feed="High",Aerosol_Potential="Yes"),MAX(Spray_Distance,IF(400/BF246&lt;=1/BF$84,0,IF(BF153="Instantaneous",BF$150*(BF66/BF82)*(IF(BF128&gt;BF246/100,AvgTime_Correction,1)*400/BF246)^BF$151-BF$152,BF$124*(BF74*(IF(BF103&gt;BF246/100,AvgTime_Correction,1)*400/BF246)/(BF82*Wind))^BF$125-BF$126))),IF(400/BF246&lt;=1/BF$84,0,IF(BF153="Instantaneous",BF$150*(BF66/BF82)*(IF(BF128&gt;BF246/100,AvgTime_Correction,1)*400/BF246)^BF$151-BF$152,BF$124*(BF74*(IF(BF103&gt;BF246/100,AvgTime_Correction,1)*400/BF246)/(BF82*Wind))^BF$125-BF$126))))</f>
        <v>0</v>
      </c>
      <c r="BG304" s="83"/>
      <c r="BH304" s="371">
        <f>IF(OR(Flammable_Potential&lt;&gt;"Yes",BH246="",BH66=0),0,IF(OR(Ease_of_Ignition_Feed="High",Aerosol_Potential="Yes"),MAX(Spray_Distance,IF(400/BH246&lt;=1/BH$84,0,IF(BH153="Instantaneous",BH$150*(BH66/BH82)*(IF(BH128&gt;BH246/100,AvgTime_Correction,1)*400/BH246)^BH$151-BH$152,BH$124*(BH74*(IF(BH103&gt;BH246/100,AvgTime_Correction,1)*400/BH246)/(BH82*Wind))^BH$125-BH$126))),IF(400/BH246&lt;=1/BH$84,0,IF(BH153="Instantaneous",BH$150*(BH66/BH82)*(IF(BH128&gt;BH246/100,AvgTime_Correction,1)*400/BH246)^BH$151-BH$152,BH$124*(BH74*(IF(BH103&gt;BH246/100,AvgTime_Correction,1)*400/BH246)/(BH82*Wind))^BH$125-BH$126))))</f>
        <v>0</v>
      </c>
      <c r="BI304" s="83"/>
      <c r="BJ304" s="371">
        <f>IF(OR(Flammable_Potential&lt;&gt;"Yes",BJ246="",BJ66=0),0,IF(OR(Ease_of_Ignition_Feed="High",Aerosol_Potential="Yes"),MAX(Spray_Distance,IF(400/BJ246&lt;=1/BJ$84,0,IF(BJ153="Instantaneous",BJ$150*(BJ66/BJ82)*(IF(BJ128&gt;BJ246/100,AvgTime_Correction,1)*400/BJ246)^BJ$151-BJ$152,BJ$124*(BJ74*(IF(BJ103&gt;BJ246/100,AvgTime_Correction,1)*400/BJ246)/(BJ82*Wind))^BJ$125-BJ$126))),IF(400/BJ246&lt;=1/BJ$84,0,IF(BJ153="Instantaneous",BJ$150*(BJ66/BJ82)*(IF(BJ128&gt;BJ246/100,AvgTime_Correction,1)*400/BJ246)^BJ$151-BJ$152,BJ$124*(BJ74*(IF(BJ103&gt;BJ246/100,AvgTime_Correction,1)*400/BJ246)/(BJ82*Wind))^BJ$125-BJ$126))))</f>
        <v>0</v>
      </c>
      <c r="BK304" s="83"/>
      <c r="BL304" s="371">
        <f>IF(OR(Flammable_Potential&lt;&gt;"Yes",BL246="",BL66=0),0,IF(OR(Ease_of_Ignition_Feed="High",Aerosol_Potential="Yes"),MAX(Spray_Distance,IF(400/BL246&lt;=1/BL$84,0,IF(BL153="Instantaneous",BL$150*(BL66/BL82)*(IF(BL128&gt;BL246/100,AvgTime_Correction,1)*400/BL246)^BL$151-BL$152,BL$124*(BL74*(IF(BL103&gt;BL246/100,AvgTime_Correction,1)*400/BL246)/(BL82*Wind))^BL$125-BL$126))),IF(400/BL246&lt;=1/BL$84,0,IF(BL153="Instantaneous",BL$150*(BL66/BL82)*(IF(BL128&gt;BL246/100,AvgTime_Correction,1)*400/BL246)^BL$151-BL$152,BL$124*(BL74*(IF(BL103&gt;BL246/100,AvgTime_Correction,1)*400/BL246)/(BL82*Wind))^BL$125-BL$126))))</f>
        <v>0</v>
      </c>
      <c r="BM304" s="83"/>
      <c r="BN304" s="371">
        <f>IF(OR(Flammable_Potential&lt;&gt;"Yes",BN246="",BN66=0),0,IF(OR(Ease_of_Ignition_Feed="High",Aerosol_Potential="Yes"),MAX(Spray_Distance,IF(400/BN246&lt;=1/BN$84,0,IF(BN153="Instantaneous",BN$150*(BN66/BN82)*(IF(BN128&gt;BN246/100,AvgTime_Correction,1)*400/BN246)^BN$151-BN$152,BN$124*(BN74*(IF(BN103&gt;BN246/100,AvgTime_Correction,1)*400/BN246)/(BN82*Wind))^BN$125-BN$126))),IF(400/BN246&lt;=1/BN$84,0,IF(BN153="Instantaneous",BN$150*(BN66/BN82)*(IF(BN128&gt;BN246/100,AvgTime_Correction,1)*400/BN246)^BN$151-BN$152,BN$124*(BN74*(IF(BN103&gt;BN246/100,AvgTime_Correction,1)*400/BN246)/(BN82*Wind))^BN$125-BN$126))))</f>
        <v>0</v>
      </c>
      <c r="BO304" s="83"/>
      <c r="BP304" s="92" t="s">
        <v>1068</v>
      </c>
      <c r="BQ304" s="83"/>
      <c r="BR304" s="81"/>
      <c r="BS304" s="85" t="s">
        <v>4498</v>
      </c>
      <c r="BT304" s="81"/>
      <c r="BU304" s="1183" t="str">
        <f>IF(AND(BU300&gt;1,BU300&gt;BU231),"Yes","No")</f>
        <v>No</v>
      </c>
      <c r="BV304" s="81"/>
      <c r="BW304" s="1183" t="str">
        <f>IF(AND(BW300&gt;1,BW300&gt;BW231),"Yes","No")</f>
        <v>No</v>
      </c>
      <c r="BX304" s="81"/>
      <c r="BY304" s="1183" t="str">
        <f>IF(AND(BY300&gt;1,BY300&gt;BY231),"Yes","No")</f>
        <v>No</v>
      </c>
      <c r="BZ304" s="81"/>
      <c r="CA304" s="1183" t="str">
        <f>IF(AND(CA300&gt;1,CA300&gt;CA231),"Yes","No")</f>
        <v>No</v>
      </c>
      <c r="CB304" s="81"/>
      <c r="CC304" s="1183" t="str">
        <f>IF(AND(CC300&gt;1,CC300&gt;CC231),"Yes","No")</f>
        <v>No</v>
      </c>
      <c r="CD304" s="81"/>
      <c r="CE304" s="85"/>
      <c r="CF304" s="81"/>
      <c r="CG304" s="26"/>
      <c r="CH304" s="26"/>
      <c r="CI304" s="26"/>
      <c r="CJ304" s="26"/>
      <c r="CK304" s="26"/>
      <c r="CL304" s="26"/>
      <c r="CM304" s="26"/>
      <c r="CN304" s="26"/>
      <c r="CO304" s="26"/>
      <c r="CP304" s="26"/>
      <c r="CQ304" s="26"/>
      <c r="CR304" s="26"/>
      <c r="CS304" s="26"/>
    </row>
    <row r="305" spans="1:97" ht="15" customHeight="1" thickBot="1" x14ac:dyDescent="0.3">
      <c r="A305" s="2"/>
      <c r="B305" s="848" t="s">
        <v>1433</v>
      </c>
      <c r="C305" s="83"/>
      <c r="D305" s="1184" t="str">
        <f>IF(D$98&gt;0,IF(D300&gt;1000000*(0.21-Asp_Screen)/0.21,"Yes","No"),"No")</f>
        <v>No</v>
      </c>
      <c r="E305" s="83"/>
      <c r="F305" s="1184" t="str">
        <f>IF(F$98&gt;0,IF(F300&gt;1000000*(0.21-Asp_Screen)/0.21,"Yes","No"),"No")</f>
        <v>No</v>
      </c>
      <c r="G305" s="83"/>
      <c r="H305" s="1184" t="str">
        <f>IF(H$98&gt;0,IF(H300&gt;1000000*(0.21-Asp_Screen)/0.21,"Yes","No"),"No")</f>
        <v>No</v>
      </c>
      <c r="I305" s="83"/>
      <c r="J305" s="1184" t="str">
        <f>IF(J$98&gt;0,IF(J300&gt;1000000*(0.21-Asp_Screen)/0.21,"Yes","No"),"No")</f>
        <v>No</v>
      </c>
      <c r="K305" s="83"/>
      <c r="L305" s="1184" t="str">
        <f>IF(L$98&gt;0,IF(L300&gt;1000000*(0.21-Asp_Screen)/0.21,"Yes","No"),"No")</f>
        <v>No</v>
      </c>
      <c r="M305" s="83"/>
      <c r="N305" s="1184" t="str">
        <f>IF(N$98&gt;0,IF(N300&gt;1000000*(0.21-Asp_Screen)/0.21,"Yes","No"),"No")</f>
        <v>No</v>
      </c>
      <c r="O305" s="83"/>
      <c r="P305" s="1184" t="str">
        <f>IF(P$98&gt;0,IF(P300&gt;1000000*(0.21-Asp_Screen)/0.21,"Yes","No"),"No")</f>
        <v>No</v>
      </c>
      <c r="Q305" s="83"/>
      <c r="R305" s="1184" t="str">
        <f>IF(R$98&gt;0,IF(R300&gt;1000000*(0.21-Asp_Screen)/0.21,"Yes","No"),"No")</f>
        <v>No</v>
      </c>
      <c r="S305" s="83"/>
      <c r="T305" s="1184" t="str">
        <f>IF(T$98&gt;0,IF(T300&gt;1000000*(0.21-Asp_Screen)/0.21,"Yes","No"),"No")</f>
        <v>No</v>
      </c>
      <c r="U305" s="83"/>
      <c r="V305" s="1184" t="str">
        <f>IF(V$98&gt;0,IF(V300&gt;1000000*(0.21-Asp_Screen)/0.21,"Yes","No"),"No")</f>
        <v>No</v>
      </c>
      <c r="W305" s="83"/>
      <c r="X305" s="1184" t="str">
        <f>IF(X$98&gt;0,IF(X300&gt;1000000*(0.21-Asp_Screen)/0.21,"Yes","No"),"No")</f>
        <v>No</v>
      </c>
      <c r="Y305" s="83"/>
      <c r="Z305" s="89"/>
      <c r="AA305" s="83"/>
      <c r="AB305" s="81"/>
      <c r="AC305" s="119" t="s">
        <v>293</v>
      </c>
      <c r="AD305" s="81"/>
      <c r="AE305" s="101" t="str">
        <f>Attended_Op</f>
        <v>No</v>
      </c>
      <c r="AF305" s="81"/>
      <c r="AG305" s="101" t="str">
        <f>Attended_Op</f>
        <v>No</v>
      </c>
      <c r="AH305" s="81"/>
      <c r="AI305" s="101" t="str">
        <f>Attended_Op</f>
        <v>No</v>
      </c>
      <c r="AJ305" s="81"/>
      <c r="AK305" s="101" t="str">
        <f>Attended_Op</f>
        <v>No</v>
      </c>
      <c r="AL305" s="81"/>
      <c r="AM305" s="101" t="str">
        <f>Attended_Op</f>
        <v>No</v>
      </c>
      <c r="AN305" s="81"/>
      <c r="AO305" s="101" t="str">
        <f>Attended_Op</f>
        <v>No</v>
      </c>
      <c r="AP305" s="81"/>
      <c r="AQ305" s="92"/>
      <c r="AR305" s="81"/>
      <c r="AS305" s="83"/>
      <c r="AT305" s="848" t="s">
        <v>4679</v>
      </c>
      <c r="AU305" s="83"/>
      <c r="AV305" s="1183" t="str">
        <f>IF(OR(AV246="",AV278&lt;&gt;"Indoors"),"No",IF(AV298&gt;LFL_Limit*10000*AV246,"Yes","No"))</f>
        <v>No</v>
      </c>
      <c r="AW305" s="83"/>
      <c r="AX305" s="1183" t="str">
        <f>IF(OR(AX246="",AX278&lt;&gt;"Indoors"),"No",IF(AX298&gt;LFL_Limit*10000*AX246,"Yes","No"))</f>
        <v>No</v>
      </c>
      <c r="AY305" s="83"/>
      <c r="AZ305" s="1183" t="str">
        <f>IF(OR(AZ246="",AZ278&lt;&gt;"Indoors"),"No",IF(AZ298&gt;LFL_Limit*10000*AZ246,"Yes","No"))</f>
        <v>No</v>
      </c>
      <c r="BA305" s="83"/>
      <c r="BB305" s="1183" t="str">
        <f>IF(OR(BB246="",BB278&lt;&gt;"Indoors"),"No",IF(BB298&gt;LFL_Limit*10000*BB246,"Yes","No"))</f>
        <v>No</v>
      </c>
      <c r="BC305" s="83"/>
      <c r="BD305" s="1183" t="str">
        <f>IF(OR(BD246="",BD278&lt;&gt;"Indoors"),"No",IF(BD298&gt;LFL_Limit*10000*BD246,"Yes","No"))</f>
        <v>No</v>
      </c>
      <c r="BE305" s="83"/>
      <c r="BF305" s="1183" t="str">
        <f>IF(OR(BF246="",BF278&lt;&gt;"Indoors"),"No",IF(BF298&gt;LFL_Limit*10000*BF246,"Yes","No"))</f>
        <v>No</v>
      </c>
      <c r="BG305" s="83"/>
      <c r="BH305" s="1183" t="str">
        <f>IF(OR(BH246="",BH278&lt;&gt;"Indoors"),"No",IF(BH298&gt;LFL_Limit*10000*BH246,"Yes","No"))</f>
        <v>No</v>
      </c>
      <c r="BI305" s="83"/>
      <c r="BJ305" s="1183" t="str">
        <f>IF(OR(BJ246="",BJ278&lt;&gt;"Indoors"),"No",IF(BJ298&gt;LFL_Limit*10000*BJ246,"Yes","No"))</f>
        <v>No</v>
      </c>
      <c r="BK305" s="83"/>
      <c r="BL305" s="1183" t="str">
        <f>IF(OR(BL246="",BL278&lt;&gt;"Indoors"),"No",IF(BL298&gt;LFL_Limit*10000*BL246,"Yes","No"))</f>
        <v>No</v>
      </c>
      <c r="BM305" s="83"/>
      <c r="BN305" s="1183" t="str">
        <f>IF(OR(BN246="",BN278&lt;&gt;"Indoors"),"No",IF(BN298&gt;LFL_Limit*10000*BN246,"Yes","No"))</f>
        <v>No</v>
      </c>
      <c r="BO305" s="83"/>
      <c r="BP305" s="100"/>
      <c r="BQ305" s="83"/>
      <c r="BR305" s="81"/>
      <c r="BS305" s="85" t="s">
        <v>1433</v>
      </c>
      <c r="BT305" s="81"/>
      <c r="BU305" s="3010" t="str">
        <f>IF(BU$98&gt;0,IF(BU300&gt;1000000*(0.21-Asp_Screen)/0.21,"Yes","No"),"No")</f>
        <v>No</v>
      </c>
      <c r="BV305" s="81"/>
      <c r="BW305" s="3010" t="str">
        <f>IF(BW$98&gt;0,IF(BW300&gt;1000000*(0.21-Asp_Screen)/0.21,"Yes","No"),"No")</f>
        <v>No</v>
      </c>
      <c r="BX305" s="81"/>
      <c r="BY305" s="3010" t="str">
        <f>IF(BY$98&gt;0,IF(BY300&gt;1000000*(0.21-Asp_Screen)/0.21,"Yes","No"),"No")</f>
        <v>No</v>
      </c>
      <c r="BZ305" s="81"/>
      <c r="CA305" s="3010" t="str">
        <f>IF(CA$98&gt;0,IF(CA300&gt;1000000*(0.21-Asp_Screen)/0.21,"Yes","No"),"No")</f>
        <v>No</v>
      </c>
      <c r="CB305" s="81"/>
      <c r="CC305" s="3010" t="str">
        <f>IF(CC$98&gt;0,IF(CC300&gt;1000000*(0.21-Asp_Screen)/0.21,"Yes","No"),"No")</f>
        <v>No</v>
      </c>
      <c r="CD305" s="81"/>
      <c r="CE305" s="25"/>
      <c r="CF305" s="81"/>
      <c r="CG305" s="26"/>
      <c r="CH305" s="26"/>
      <c r="CI305" s="26"/>
      <c r="CJ305" s="26"/>
      <c r="CK305" s="26"/>
      <c r="CL305" s="26"/>
      <c r="CM305" s="26"/>
      <c r="CN305" s="26"/>
      <c r="CO305" s="26"/>
      <c r="CP305" s="26"/>
      <c r="CQ305" s="26"/>
      <c r="CR305" s="26"/>
      <c r="CS305" s="26"/>
    </row>
    <row r="306" spans="1:97" ht="15" customHeight="1" thickBot="1" x14ac:dyDescent="0.3">
      <c r="A306" s="2"/>
      <c r="B306" s="113" t="s">
        <v>2721</v>
      </c>
      <c r="C306" s="83"/>
      <c r="D306" s="2126">
        <f>IF(OR(Flammable_Potential&lt;&gt;"Yes",D249="",D90=0),0,IF(OR(Ease_of_Ignition_Feed="High",Aerosol_Potential="Yes"),MAX(Spray_Distance,IF(400/D249&lt;=1/D$100,0,IF(D156="Instantaneous",D$153*((D69/D98)*(IF(D131&gt;D249/100,AvgTime_Correction,1)*400/D249))^D$154-D$155,D$127*(D90*(IF(D106&gt;D249/100,AvgTime_Correction,1)*400/D249)/(D98*Wind))^D$128-D$129))),IF(400/D249&lt;=1/D$100,0,IF(D156="Instantaneous",D$153*((D69/D98)*(IF(D131&gt;D249/100,AvgTime_Correction,1)*400/D249))^D$154-D$155,D$127*(D90*(IF(D106&gt;D249/100,AvgTime_Correction,1)*400/D249)/(D98*Wind))^D$128-D$129))))</f>
        <v>0</v>
      </c>
      <c r="E306" s="83"/>
      <c r="F306" s="2126">
        <f>IF(OR(Flammable_Potential&lt;&gt;"Yes",F249="",F90=0),0,IF(OR(Ease_of_Ignition_Feed="High",Aerosol_Potential="Yes"),MAX(Spray_Distance,IF(400/F249&lt;=1/F$100,0,IF(F156="Instantaneous",F$153*((F69/F98)*(IF(F131&gt;F249/100,AvgTime_Correction,1)*400/F249))^F$154-F$155,F$127*(F90*(IF(F106&gt;F249/100,AvgTime_Correction,1)*400/F249)/(F98*Wind))^F$128-F$129))),IF(400/F249&lt;=1/F$100,0,IF(F156="Instantaneous",F$153*((F69/F98)*(IF(F131&gt;F249/100,AvgTime_Correction,1)*400/F249))^F$154-F$155,F$127*(F90*(IF(F106&gt;F249/100,AvgTime_Correction,1)*400/F249)/(F98*Wind))^F$128-F$129))))</f>
        <v>0</v>
      </c>
      <c r="G306" s="83"/>
      <c r="H306" s="2126">
        <f>IF(OR(Flammable_Potential&lt;&gt;"Yes",H249="",H90=0),0,IF(OR(Ease_of_Ignition_Feed="High",Aerosol_Potential="Yes"),MAX(Spray_Distance,IF(400/H249&lt;=1/H$100,0,IF(H156="Instantaneous",H$153*((H69/H98)*(IF(H131&gt;H249/100,AvgTime_Correction,1)*400/H249))^H$154-H$155,H$127*(H90*(IF(H106&gt;H249/100,AvgTime_Correction,1)*400/H249)/(H98*Wind))^H$128-H$129))),IF(400/H249&lt;=1/H$100,0,IF(H156="Instantaneous",H$153*((H69/H98)*(IF(H131&gt;H249/100,AvgTime_Correction,1)*400/H249))^H$154-H$155,H$127*(H90*(IF(H106&gt;H249/100,AvgTime_Correction,1)*400/H249)/(H98*Wind))^H$128-H$129))))</f>
        <v>0</v>
      </c>
      <c r="I306" s="83"/>
      <c r="J306" s="2126">
        <f>IF(OR(Flammable_Potential&lt;&gt;"Yes",J249="",J90=0),0,IF(OR(Ease_of_Ignition_Feed="High",Aerosol_Potential="Yes"),MAX(Spray_Distance,IF(400/J249&lt;=1/J$100,0,IF(J156="Instantaneous",J$153*((J69/J98)*(IF(J131&gt;J249/100,AvgTime_Correction,1)*400/J249))^J$154-J$155,J$127*(J90*(IF(J106&gt;J249/100,AvgTime_Correction,1)*400/J249)/(J98*Wind))^J$128-J$129))),IF(400/J249&lt;=1/J$100,0,IF(J156="Instantaneous",J$153*((J69/J98)*(IF(J131&gt;J249/100,AvgTime_Correction,1)*400/J249))^J$154-J$155,J$127*(J90*(IF(J106&gt;J249/100,AvgTime_Correction,1)*400/J249)/(J98*Wind))^J$128-J$129))))</f>
        <v>0</v>
      </c>
      <c r="K306" s="83"/>
      <c r="L306" s="2126">
        <f>IF(OR(Flammable_Potential&lt;&gt;"Yes",L249="",L90=0),0,IF(OR(Ease_of_Ignition_Feed="High",Aerosol_Potential="Yes"),MAX(Spray_Distance,IF(400/L249&lt;=1/L$100,0,IF(L156="Instantaneous",L$153*((L69/L98)*(IF(L131&gt;L249/100,AvgTime_Correction,1)*400/L249))^L$154-L$155,L$127*(L90*(IF(L106&gt;L249/100,AvgTime_Correction,1)*400/L249)/(L98*Wind))^L$128-L$129))),IF(400/L249&lt;=1/L$100,0,IF(L156="Instantaneous",L$153*((L69/L98)*(IF(L131&gt;L249/100,AvgTime_Correction,1)*400/L249))^L$154-L$155,L$127*(L90*(IF(L106&gt;L249/100,AvgTime_Correction,1)*400/L249)/(L98*Wind))^L$128-L$129))))</f>
        <v>0</v>
      </c>
      <c r="M306" s="83"/>
      <c r="N306" s="2126">
        <f>IF(OR(Flammable_Potential&lt;&gt;"Yes",N249="",N90=0),0,IF(OR(Ease_of_Ignition_Feed="High",Aerosol_Potential="Yes"),MAX(Spray_Distance,IF(400/N249&lt;=1/N$100,0,IF(N156="Instantaneous",N$153*((N69/N98)*(IF(N131&gt;N249/100,AvgTime_Correction,1)*400/N249))^N$154-N$155,N$127*(N90*(IF(N106&gt;N249/100,AvgTime_Correction,1)*400/N249)/(N98*Wind))^N$128-N$129))),IF(400/N249&lt;=1/N$100,0,IF(N156="Instantaneous",N$153*((N69/N98)*(IF(N131&gt;N249/100,AvgTime_Correction,1)*400/N249))^N$154-N$155,N$127*(N90*(IF(N106&gt;N249/100,AvgTime_Correction,1)*400/N249)/(N98*Wind))^N$128-N$129))))</f>
        <v>0</v>
      </c>
      <c r="O306" s="83"/>
      <c r="P306" s="2126">
        <f>IF(OR(Flammable_Potential&lt;&gt;"Yes",P249="",P90=0),0,IF(OR(Ease_of_Ignition_Feed="High",Aerosol_Potential="Yes"),MAX(Spray_Distance,IF(400/P249&lt;=1/P$100,0,IF(P156="Instantaneous",P$153*((P69/P98)*(IF(P131&gt;P249/100,AvgTime_Correction,1)*400/P249))^P$154-P$155,P$127*(P90*(IF(P106&gt;P249/100,AvgTime_Correction,1)*400/P249)/(P98*Wind))^P$128-P$129))),IF(400/P249&lt;=1/P$100,0,IF(P156="Instantaneous",P$153*((P69/P98)*(IF(P131&gt;P249/100,AvgTime_Correction,1)*400/P249))^P$154-P$155,P$127*(P90*(IF(P106&gt;P249/100,AvgTime_Correction,1)*400/P249)/(P98*Wind))^P$128-P$129))))</f>
        <v>0</v>
      </c>
      <c r="Q306" s="83"/>
      <c r="R306" s="2126">
        <f>IF(OR(Flammable_Potential&lt;&gt;"Yes",R249="",R90=0),0,IF(OR(Ease_of_Ignition_Feed="High",Aerosol_Potential="Yes"),MAX(Spray_Distance,IF(400/R249&lt;=1/R$100,0,IF(R156="Instantaneous",R$153*((R69/R98)*(IF(R131&gt;R249/100,AvgTime_Correction,1)*400/R249))^R$154-R$155,R$127*(R90*(IF(R106&gt;R249/100,AvgTime_Correction,1)*400/R249)/(R98*Wind))^R$128-R$129))),IF(400/R249&lt;=1/R$100,0,IF(R156="Instantaneous",R$153*((R69/R98)*(IF(R131&gt;R249/100,AvgTime_Correction,1)*400/R249))^R$154-R$155,R$127*(R90*(IF(R106&gt;R249/100,AvgTime_Correction,1)*400/R249)/(R98*Wind))^R$128-R$129))))</f>
        <v>0</v>
      </c>
      <c r="S306" s="83"/>
      <c r="T306" s="2126">
        <f>IF(OR(Flammable_Potential&lt;&gt;"Yes",T249="",T90=0),0,IF(OR(Ease_of_Ignition_Feed="High",Aerosol_Potential="Yes"),MAX(Spray_Distance,IF(400/T249&lt;=1/T$100,0,IF(T156="Instantaneous",T$153*((T69/T98)*(IF(T131&gt;T249/100,AvgTime_Correction,1)*400/T249))^T$154-T$155,T$127*(T90*(IF(T106&gt;T249/100,AvgTime_Correction,1)*400/T249)/(T98*Wind))^T$128-T$129))),IF(400/T249&lt;=1/T$100,0,IF(T156="Instantaneous",T$153*((T69/T98)*(IF(T131&gt;T249/100,AvgTime_Correction,1)*400/T249))^T$154-T$155,T$127*(T90*(IF(T106&gt;T249/100,AvgTime_Correction,1)*400/T249)/(T98*Wind))^T$128-T$129))))</f>
        <v>0</v>
      </c>
      <c r="U306" s="83"/>
      <c r="V306" s="2126">
        <f>IF(OR(Flammable_Potential&lt;&gt;"Yes",V249="",V90=0),0,IF(OR(Ease_of_Ignition_Feed="High",Aerosol_Potential="Yes"),MAX(Spray_Distance,IF(400/V249&lt;=1/V$100,0,IF(V156="Instantaneous",V$153*((V69/V98)*(IF(V131&gt;V249/100,AvgTime_Correction,1)*400/V249))^V$154-V$155,V$127*(V90*(IF(V106&gt;V249/100,AvgTime_Correction,1)*400/V249)/(V98*Wind))^V$128-V$129))),IF(400/V249&lt;=1/V$100,0,IF(V156="Instantaneous",V$153*((V69/V98)*(IF(V131&gt;V249/100,AvgTime_Correction,1)*400/V249))^V$154-V$155,V$127*(V90*(IF(V106&gt;V249/100,AvgTime_Correction,1)*400/V249)/(V98*Wind))^V$128-V$129))))</f>
        <v>0</v>
      </c>
      <c r="W306" s="83"/>
      <c r="X306" s="2126">
        <f>IF(OR(Flammable_Potential&lt;&gt;"Yes",X249="",X90=0),0,IF(OR(Ease_of_Ignition_Feed="High",Aerosol_Potential="Yes"),MAX(Spray_Distance,IF(400/X249&lt;=1/X$100,0,IF(X156="Instantaneous",X$153*((X69/X98)*(IF(X131&gt;X249/100,AvgTime_Correction,1)*400/X249))^X$154-X$155,X$127*(X90*(IF(X106&gt;X249/100,AvgTime_Correction,1)*400/X249)/(X98*Wind))^X$128-X$129))),IF(400/X249&lt;=1/X$100,0,IF(X156="Instantaneous",X$153*((X69/X98)*(IF(X131&gt;X249/100,AvgTime_Correction,1)*400/X249))^X$154-X$155,X$127*(X90*(IF(X106&gt;X249/100,AvgTime_Correction,1)*400/X249)/(X98*Wind))^X$128-X$129))))</f>
        <v>0</v>
      </c>
      <c r="Y306" s="83"/>
      <c r="Z306" s="92" t="s">
        <v>1068</v>
      </c>
      <c r="AA306" s="83"/>
      <c r="AB306" s="81"/>
      <c r="AC306" s="85" t="s">
        <v>3088</v>
      </c>
      <c r="AD306" s="81"/>
      <c r="AE306" s="1209">
        <f>IF(AND(AE89&gt;0,WorkArea_Distance&gt;0.1),IF(AND(Location="Indoors",AE315&gt;0),1000000/(1000000/AE315+(Wind*AE98*(WorkArea_Distance/AE$140)^(1/AE$141)/(IF(Enclosed_Ventilation_Rate&gt;1,Enclosed_Ventilation_Rate,1)*Enclosed_Process_Volume*AE98*AE315/88020000000))),IF(AE169="Instantaneous",AG114*1000000*(AE$83/AE$98)*(AE$166/(WorkArea_Distance+AE$168))^(1/AE$167),AG114*1000000*(AE$89/(Wind*AE$98))*(AE$140/(WorkArea_Distance+AE$142))^(1/AE$141))),IF(Location="Indoors",0,1000000))</f>
        <v>1000000</v>
      </c>
      <c r="AF306" s="81"/>
      <c r="AG306" s="1209">
        <f>IF(AND(AG89&gt;0,WorkArea_Distance&gt;0.1),IF(AND(Location="Indoors",AG315&gt;0),1000000/(1000000/AG315+(Wind*AG98*(WorkArea_Distance/AG$140)^(1/AG$141)/(IF(Enclosed_Ventilation_Rate&gt;1,Enclosed_Ventilation_Rate,1)*Enclosed_Process_Volume*AG98*AG315/88020000000))),IF(AG169="Instantaneous",AI114*1000000*(AG$83/AG$98)*(AG$166/(WorkArea_Distance+AG$168))^(1/AG$167),AI114*1000000*(AG$89/(Wind*AG$98))*(AG$140/(WorkArea_Distance+AG$142))^(1/AG$141))),IF(Location="Indoors",0,1000000))</f>
        <v>1000000</v>
      </c>
      <c r="AH306" s="81"/>
      <c r="AI306" s="1209">
        <f>IF(AND(AI89&gt;0,WorkArea_Distance&gt;0.1),IF(AND(Location="Indoors",AI315&gt;0),1000000/(1000000/AI315+(Wind*AI98*(WorkArea_Distance/AI$140)^(1/AI$141)/(IF(Enclosed_Ventilation_Rate&gt;1,Enclosed_Ventilation_Rate,1)*Enclosed_Process_Volume*AI98*AI315/88020000000))),IF(AI169="Instantaneous",AK114*1000000*(AI$83/AI$98)*(AI$166/(WorkArea_Distance+AI$168))^(1/AI$167),AK114*1000000*(AI$89/(Wind*AI$98))*(AI$140/(WorkArea_Distance+AI$142))^(1/AI$141))),IF(Location="Indoors",0,1000000))</f>
        <v>1000000</v>
      </c>
      <c r="AJ306" s="81"/>
      <c r="AK306" s="1209">
        <f>IF(AND(AK89&gt;0,WorkArea_Distance&gt;0.1),IF(AND(Location="Indoors",AK315&gt;0),1000000/(1000000/AK315+(Wind*AK98*(WorkArea_Distance/AK$140)^(1/AK$141)/(IF(Enclosed_Ventilation_Rate&gt;1,Enclosed_Ventilation_Rate,1)*Enclosed_Process_Volume*AK98*AK315/88020000000))),IF(AK169="Instantaneous",AM114*1000000*(AK$83/AK$98)*(AK$166/(WorkArea_Distance+AK$168))^(1/AK$167),AM114*1000000*(AK$89/(Wind*AK$98))*(AK$140/(WorkArea_Distance+AK$142))^(1/AK$141))),IF(Location="Indoors",0,1000000))</f>
        <v>1000000</v>
      </c>
      <c r="AL306" s="81"/>
      <c r="AM306" s="1209">
        <f>IF(AND(AM89&gt;0,WorkArea_Distance&gt;0.1),IF(AND(Location="Indoors",AM315&gt;0),1000000/(1000000/AM315+(Wind*AM98*(WorkArea_Distance/AM$140)^(1/AM$141)/(IF(Enclosed_Ventilation_Rate&gt;1,Enclosed_Ventilation_Rate,1)*Enclosed_Process_Volume*AM98*AM315/88020000000))),IF(AM169="Instantaneous",AO114*1000000*(AM$83/AM$98)*(AM$166/(WorkArea_Distance+AM$168))^(1/AM$167),AO114*1000000*(AM$89/(Wind*AM$98))*(AM$140/(WorkArea_Distance+AM$142))^(1/AM$141))),IF(Location="Indoors",0,1000000))</f>
        <v>1000000</v>
      </c>
      <c r="AN306" s="81"/>
      <c r="AO306" s="1209">
        <f>IF(AND(AO89&gt;0,WorkArea_Distance&gt;0.1),IF(AND(Location="Indoors",AO315&gt;0),1000000/(1000000/AO315+(Wind*AO98*(WorkArea_Distance/AO$140)^(1/AO$141)/(IF(Enclosed_Ventilation_Rate&gt;1,Enclosed_Ventilation_Rate,1)*Enclosed_Process_Volume*AO98*AO315/88020000000))),IF(AO169="Instantaneous",AQ114*1000000*(AO$83/AO$98)*(AO$166/(WorkArea_Distance+AO$168))^(1/AO$167),AQ114*1000000*(AO$89/(Wind*AO$98))*(AO$140/(WorkArea_Distance+AO$142))^(1/AO$141))),IF(Location="Indoors",0,1000000))</f>
        <v>1000000</v>
      </c>
      <c r="AP306" s="81"/>
      <c r="AQ306" s="85" t="s">
        <v>1506</v>
      </c>
      <c r="AR306" s="81"/>
      <c r="AS306" s="83"/>
      <c r="AT306" s="23" t="s">
        <v>165</v>
      </c>
      <c r="AU306" s="83"/>
      <c r="AV306" s="1194">
        <f>IF(AV305="No",0,Bldg_Explosion_Energy)</f>
        <v>0</v>
      </c>
      <c r="AW306" s="83"/>
      <c r="AX306" s="1194">
        <f>IF(AX305="No",0,Bldg_Explosion_Energy)</f>
        <v>0</v>
      </c>
      <c r="AY306" s="83"/>
      <c r="AZ306" s="1194">
        <f>IF(AZ305="No",0,Bldg_Explosion_Energy)</f>
        <v>0</v>
      </c>
      <c r="BA306" s="83"/>
      <c r="BB306" s="1194">
        <f>IF(BB305="No",0,Bldg_Explosion_Energy)</f>
        <v>0</v>
      </c>
      <c r="BC306" s="83"/>
      <c r="BD306" s="1194">
        <f>IF(BD305="No",0,Bldg_Explosion_Energy)</f>
        <v>0</v>
      </c>
      <c r="BE306" s="83"/>
      <c r="BF306" s="1194">
        <f>IF(BF305="No",0,Bldg_Explosion_Energy)</f>
        <v>0</v>
      </c>
      <c r="BG306" s="83"/>
      <c r="BH306" s="1194">
        <f>IF(BH305="No",0,Bldg_Explosion_Energy)</f>
        <v>0</v>
      </c>
      <c r="BI306" s="83"/>
      <c r="BJ306" s="1194">
        <f>IF(BJ305="No",0,Bldg_Explosion_Energy)</f>
        <v>0</v>
      </c>
      <c r="BK306" s="83"/>
      <c r="BL306" s="1194">
        <f>IF(BL305="No",0,Bldg_Explosion_Energy)</f>
        <v>0</v>
      </c>
      <c r="BM306" s="83"/>
      <c r="BN306" s="1194">
        <f>IF(BN305="No",0,Bldg_Explosion_Energy)</f>
        <v>0</v>
      </c>
      <c r="BO306" s="83"/>
      <c r="BP306" s="100" t="s">
        <v>1761</v>
      </c>
      <c r="BQ306" s="83"/>
      <c r="BR306" s="81"/>
      <c r="BS306" s="119" t="s">
        <v>2217</v>
      </c>
      <c r="BT306" s="81"/>
      <c r="BU306" s="371">
        <f>IF(OR(Flammable_Potential&lt;&gt;"Yes",BU249="",BU69=0),0,IF(OR(Ease_of_Ignition_Feed="High",Aerosol_Potential="Yes"),MAX(Spray_Distance,IF(400/BU249&lt;=1/BU$100,0,IF(BU156="Instantaneous",BU$153*((BU69/BU98)*(IF(BU131&gt;BU249/100,AvgTime_Correction,1)*400/BU249))^BU$154-BU$155,BU$127*(BU90*(IF(BU106&gt;BU249/100,AvgTime_Correction,1)*400/BU249)/(BU98*Wind))^BU$128-BU$129))),IF(400/BU249&lt;=1/BU$100,0,IF(BU156="Instantaneous",BU$153*((BU69/BU98)*(IF(BU131&gt;BU249/100,AvgTime_Correction,1)*400/BU249))^BU$154-BU$155,BU$127*(BU90*(IF(BU106&gt;BU249/100,AvgTime_Correction,1)*400/BU249)/(BU98*Wind))^BU$128-BU$129))))</f>
        <v>0</v>
      </c>
      <c r="BV306" s="81"/>
      <c r="BW306" s="371">
        <f>IF(OR(Flammable_Potential&lt;&gt;"Yes",BW249="",BW69=0),0,IF(OR(Ease_of_Ignition_Feed="High",Aerosol_Potential="Yes"),MAX(Spray_Distance,IF(400/BW249&lt;=1/BW$100,0,IF(BW156="Instantaneous",BW$153*((BW69/BW98)*(IF(BW131&gt;BW249/100,AvgTime_Correction,1)*400/BW249))^BW$154-BW$155,BW$127*(BW90*(IF(BW106&gt;BW249/100,AvgTime_Correction,1)*400/BW249)/(BW98*Wind))^BW$128-BW$129))),IF(400/BW249&lt;=1/BW$100,0,IF(BW156="Instantaneous",BW$153*((BW69/BW98)*(IF(BW131&gt;BW249/100,AvgTime_Correction,1)*400/BW249))^BW$154-BW$155,BW$127*(BW90*(IF(BW106&gt;BW249/100,AvgTime_Correction,1)*400/BW249)/(BW98*Wind))^BW$128-BW$129))))</f>
        <v>0</v>
      </c>
      <c r="BX306" s="81"/>
      <c r="BY306" s="371">
        <f>IF(OR(Flammable_Potential&lt;&gt;"Yes",BY249="",BY69=0),0,IF(OR(Ease_of_Ignition_Feed="High",Aerosol_Potential="Yes"),MAX(Spray_Distance,IF(400/BY249&lt;=1/BY$100,0,IF(BY156="Instantaneous",BY$153*((BY69/BY98)*(IF(BY131&gt;BY249/100,AvgTime_Correction,1)*400/BY249))^BY$154-BY$155,BY$127*(BY90*(IF(BY106&gt;BY249/100,AvgTime_Correction,1)*400/BY249)/(BY98*Wind))^BY$128-BY$129))),IF(400/BY249&lt;=1/BY$100,0,IF(BY156="Instantaneous",BY$153*((BY69/BY98)*(IF(BY131&gt;BY249/100,AvgTime_Correction,1)*400/BY249))^BY$154-BY$155,BY$127*(BY90*(IF(BY106&gt;BY249/100,AvgTime_Correction,1)*400/BY249)/(BY98*Wind))^BY$128-BY$129))))</f>
        <v>0</v>
      </c>
      <c r="BZ306" s="81"/>
      <c r="CA306" s="371">
        <f>IF(OR(Flammable_Potential&lt;&gt;"Yes",CA249="",CA69=0),0,IF(OR(Ease_of_Ignition_Feed="High",Aerosol_Potential="Yes"),MAX(Spray_Distance,IF(400/CA249&lt;=1/CA$100,0,IF(CA156="Instantaneous",CA$153*((CA69/CA98)*(IF(CA131&gt;CA249/100,AvgTime_Correction,1)*400/CA249))^CA$154-CA$155,CA$127*(CA90*(IF(CA106&gt;CA249/100,AvgTime_Correction,1)*400/CA249)/(CA98*Wind))^CA$128-CA$129))),IF(400/CA249&lt;=1/CA$100,0,IF(CA156="Instantaneous",CA$153*((CA69/CA98)*(IF(CA131&gt;CA249/100,AvgTime_Correction,1)*400/CA249))^CA$154-CA$155,CA$127*(CA90*(IF(CA106&gt;CA249/100,AvgTime_Correction,1)*400/CA249)/(CA98*Wind))^CA$128-CA$129))))</f>
        <v>0</v>
      </c>
      <c r="CB306" s="81"/>
      <c r="CC306" s="371">
        <f>IF(OR(Flammable_Potential&lt;&gt;"Yes",CC249="",CC69=0),0,IF(OR(Ease_of_Ignition_Feed="High",Aerosol_Potential="Yes"),MAX(Spray_Distance,IF(400/CC249&lt;=1/CC$100,0,IF(CC156="Instantaneous",CC$153*((CC69/CC98)*(IF(CC131&gt;CC249/100,AvgTime_Correction,1)*400/CC249))^CC$154-CC$155,CC$127*(CC90*(IF(CC106&gt;CC249/100,AvgTime_Correction,1)*400/CC249)/(CC98*Wind))^CC$128-CC$129))),IF(400/CC249&lt;=1/CC$100,0,IF(CC156="Instantaneous",CC$153*((CC69/CC98)*(IF(CC131&gt;CC249/100,AvgTime_Correction,1)*400/CC249))^CC$154-CC$155,CC$127*(CC90*(IF(CC106&gt;CC249/100,AvgTime_Correction,1)*400/CC249)/(CC98*Wind))^CC$128-CC$129))))</f>
        <v>0</v>
      </c>
      <c r="CD306" s="81"/>
      <c r="CE306" s="84" t="s">
        <v>1068</v>
      </c>
      <c r="CF306" s="81"/>
      <c r="CG306" s="26"/>
      <c r="CH306" s="26"/>
      <c r="CI306" s="26"/>
      <c r="CJ306" s="26"/>
      <c r="CK306" s="26"/>
      <c r="CL306" s="26"/>
      <c r="CM306" s="26"/>
      <c r="CN306" s="26"/>
      <c r="CO306" s="26"/>
      <c r="CP306" s="26"/>
      <c r="CQ306" s="26"/>
      <c r="CR306" s="26"/>
      <c r="CS306" s="26"/>
    </row>
    <row r="307" spans="1:97" ht="15" customHeight="1" x14ac:dyDescent="0.25">
      <c r="A307" s="2"/>
      <c r="B307" s="848" t="s">
        <v>4679</v>
      </c>
      <c r="C307" s="83"/>
      <c r="D307" s="1183" t="str">
        <f>IF(OR(Flash_Pt_Feed="",D83=0,D249=""),"No",IF(OR(AND(Flash_Pt_Feed&gt;38,T&lt;(Flash_Pt_Feed-5)),Location&lt;&gt;"Indoors"),"No",IF(OR(D300&gt;LFL_Limit*10000*D249,D301&gt;10000*D249),"Yes","No")))</f>
        <v>No</v>
      </c>
      <c r="E307" s="83"/>
      <c r="F307" s="1183" t="str">
        <f>IF(OR(Flash_Pt_Feed="",F83=0,F249=""),"No",IF(OR(AND(Flash_Pt_Feed&gt;38,T&lt;(Flash_Pt_Feed-5)),Location&lt;&gt;"Indoors"),"No",IF(OR(F300&gt;LFL_Limit*10000*F249,F301&gt;10000*F249),"Yes","No")))</f>
        <v>No</v>
      </c>
      <c r="G307" s="83"/>
      <c r="H307" s="1183" t="str">
        <f>IF(OR(Flash_Pt_Feed="",H83=0,H249=""),"No",IF(OR(AND(Flash_Pt_Feed&gt;38,T&lt;(Flash_Pt_Feed-5)),Location&lt;&gt;"Indoors"),"No",IF(OR(H300&gt;LFL_Limit*10000*H249,H301&gt;10000*H249),"Yes","No")))</f>
        <v>No</v>
      </c>
      <c r="I307" s="83"/>
      <c r="J307" s="1183" t="str">
        <f>IF(OR(Flash_Pt_Feed="",J83=0,J249=""),"No",IF(OR(AND(Flash_Pt_Feed&gt;38,T&lt;(Flash_Pt_Feed-5)),Location&lt;&gt;"Indoors"),"No",IF(OR(J300&gt;LFL_Limit*10000*J249,J301&gt;10000*J249),"Yes","No")))</f>
        <v>No</v>
      </c>
      <c r="K307" s="83"/>
      <c r="L307" s="1183" t="str">
        <f>IF(OR(Flash_Pt_Feed="",L83=0,L249=""),"No",IF(OR(AND(Flash_Pt_Feed&gt;38,T&lt;(Flash_Pt_Feed-5)),Location&lt;&gt;"Indoors"),"No",IF(OR(L300&gt;LFL_Limit*10000*L249,L301&gt;10000*L249),"Yes","No")))</f>
        <v>No</v>
      </c>
      <c r="M307" s="83"/>
      <c r="N307" s="1183" t="str">
        <f>IF(OR(Flash_Pt_Feed="",N83=0,N249=""),"No",IF(OR(AND(Flash_Pt_Feed&gt;38,T&lt;(Flash_Pt_Feed-5)),Location&lt;&gt;"Indoors"),"No",IF(OR(N300&gt;LFL_Limit*10000*N249,N301&gt;10000*N249),"Yes","No")))</f>
        <v>No</v>
      </c>
      <c r="O307" s="83"/>
      <c r="P307" s="1183" t="str">
        <f>IF(OR(Flash_Pt_Feed="",P83=0,P249=""),"No",IF(OR(AND(Flash_Pt_Feed&gt;38,T&lt;(Flash_Pt_Feed-5)),Location&lt;&gt;"Indoors"),"No",IF(OR(P300&gt;LFL_Limit*10000*P249,P301&gt;10000*P249),"Yes","No")))</f>
        <v>No</v>
      </c>
      <c r="Q307" s="83"/>
      <c r="R307" s="1183" t="str">
        <f>IF(OR(Flash_Pt_Feed="",R83=0,R249=""),"No",IF(OR(AND(Flash_Pt_Feed&gt;38,T&lt;(Flash_Pt_Feed-5)),Location&lt;&gt;"Indoors"),"No",IF(OR(R300&gt;LFL_Limit*10000*R249,R301&gt;10000*R249),"Yes","No")))</f>
        <v>No</v>
      </c>
      <c r="S307" s="83"/>
      <c r="T307" s="1183" t="str">
        <f>IF(OR(Flash_Pt_Feed="",T83=0,T249=""),"No",IF(OR(AND(Flash_Pt_Feed&gt;38,T&lt;(Flash_Pt_Feed-5)),Location&lt;&gt;"Indoors"),"No",IF(OR(T300&gt;LFL_Limit*10000*T249,T301&gt;10000*T249),"Yes","No")))</f>
        <v>No</v>
      </c>
      <c r="U307" s="83"/>
      <c r="V307" s="1183" t="str">
        <f>IF(OR(Flash_Pt_Feed="",V83=0,V249=""),"No",IF(OR(AND(Flash_Pt_Feed&gt;38,T&lt;(Flash_Pt_Feed-5)),Location&lt;&gt;"Indoors"),"No",IF(OR(V300&gt;LFL_Limit*10000*V249,V301&gt;10000*V249),"Yes","No")))</f>
        <v>No</v>
      </c>
      <c r="W307" s="83"/>
      <c r="X307" s="1183" t="str">
        <f>IF(OR(Flash_Pt_Feed="",X83=0,X249=""),"No",IF(OR(AND(Flash_Pt_Feed&gt;38,T&lt;(Flash_Pt_Feed-5)),Location&lt;&gt;"Indoors"),"No",IF(OR(X300&gt;LFL_Limit*10000*X249,X301&gt;10000*X249),"Yes","No")))</f>
        <v>No</v>
      </c>
      <c r="Y307" s="83"/>
      <c r="Z307" s="23"/>
      <c r="AA307" s="83"/>
      <c r="AB307" s="81"/>
      <c r="AC307" s="85" t="s">
        <v>3090</v>
      </c>
      <c r="AD307" s="81"/>
      <c r="AE307" s="1209">
        <f>IF(AND(AE89&gt;0,WorkArea_Distance&gt;0.1),IF(AND(Location="Indoors",AE315&gt;0),1000000/(1000000/AE315+(Wind*AE98*(WorkArea_Distance/AE$140)^(1/AE$141)/(IF(Enclosed_Ventilation_Rate&gt;1,Enclosed_Ventilation_Rate,1)*Enclosed_Process_Volume*AE98*AE315/88020000000))),IF(AE169="Instantaneous",AE115*1000000*(AE$83/AE$98)*(AE$166/(WorkArea_Distance+AE$168))^(1/AE$167),AE115*1000000*(AE$89/(Wind*AE$98))*(AE$140/(WorkArea_Distance+AE$142))^(1/AE$141))),IF(Location="Indoors",0,1000000))</f>
        <v>1000000</v>
      </c>
      <c r="AF307" s="81"/>
      <c r="AG307" s="1209">
        <f>IF(AND(AG89&gt;0,WorkArea_Distance&gt;0.1),IF(AND(Location="Indoors",AG315&gt;0),1000000/(1000000/AG315+(Wind*AG98*(WorkArea_Distance/AG$140)^(1/AG$141)/(IF(Enclosed_Ventilation_Rate&gt;1,Enclosed_Ventilation_Rate,1)*Enclosed_Process_Volume*AG98*AG315/88020000000))),IF(AG169="Instantaneous",AG115*1000000*(AG$83/AG$98)*(AG$166/(WorkArea_Distance+AG$168))^(1/AG$167),AG115*1000000*(AG$89/(Wind*AG$98))*(AG$140/(WorkArea_Distance+AG$142))^(1/AG$141))),IF(Location="Indoors",0,1000000))</f>
        <v>1000000</v>
      </c>
      <c r="AH307" s="81"/>
      <c r="AI307" s="1209">
        <f>IF(AND(AI89&gt;0,WorkArea_Distance&gt;0.1),IF(AND(Location="Indoors",AI315&gt;0),1000000/(1000000/AI315+(Wind*AI98*(WorkArea_Distance/AI$140)^(1/AI$141)/(IF(Enclosed_Ventilation_Rate&gt;1,Enclosed_Ventilation_Rate,1)*Enclosed_Process_Volume*AI98*AI315/88020000000))),IF(AI169="Instantaneous",AI115*1000000*(AI$83/AI$98)*(AI$166/(WorkArea_Distance+AI$168))^(1/AI$167),AI115*1000000*(AI$89/(Wind*AI$98))*(AI$140/(WorkArea_Distance+AI$142))^(1/AI$141))),IF(Location="Indoors",0,1000000))</f>
        <v>1000000</v>
      </c>
      <c r="AJ307" s="81"/>
      <c r="AK307" s="1209">
        <f>IF(AND(AK89&gt;0,WorkArea_Distance&gt;0.1),IF(AND(Location="Indoors",AK315&gt;0),1000000/(1000000/AK315+(Wind*AK98*(WorkArea_Distance/AK$140)^(1/AK$141)/(IF(Enclosed_Ventilation_Rate&gt;1,Enclosed_Ventilation_Rate,1)*Enclosed_Process_Volume*AK98*AK315/88020000000))),IF(AK169="Instantaneous",AK115*1000000*(AK$83/AK$98)*(AK$166/(WorkArea_Distance+AK$168))^(1/AK$167),AK115*1000000*(AK$89/(Wind*AK$98))*(AK$140/(WorkArea_Distance+AK$142))^(1/AK$141))),IF(Location="Indoors",0,1000000))</f>
        <v>1000000</v>
      </c>
      <c r="AL307" s="81"/>
      <c r="AM307" s="1209">
        <f>IF(AND(AM89&gt;0,WorkArea_Distance&gt;0.1),IF(AND(Location="Indoors",AM315&gt;0),1000000/(1000000/AM315+(Wind*AM98*(WorkArea_Distance/AM$140)^(1/AM$141)/(IF(Enclosed_Ventilation_Rate&gt;1,Enclosed_Ventilation_Rate,1)*Enclosed_Process_Volume*AM98*AM315/88020000000))),IF(AM169="Instantaneous",AM115*1000000*(AM$83/AM$98)*(AM$166/(WorkArea_Distance+AM$168))^(1/AM$167),AM115*1000000*(AM$89/(Wind*AM$98))*(AM$140/(WorkArea_Distance+AM$142))^(1/AM$141))),IF(Location="Indoors",0,1000000))</f>
        <v>1000000</v>
      </c>
      <c r="AN307" s="81"/>
      <c r="AO307" s="1209">
        <f>IF(AND(AO89&gt;0,WorkArea_Distance&gt;0.1),IF(AND(Location="Indoors",AO315&gt;0),1000000/(1000000/AO315+(Wind*AO98*(WorkArea_Distance/AO$140)^(1/AO$141)/(IF(Enclosed_Ventilation_Rate&gt;1,Enclosed_Ventilation_Rate,1)*Enclosed_Process_Volume*AO98*AO315/88020000000))),IF(AO169="Instantaneous",AO115*1000000*(AO$83/AO$98)*(AO$166/(WorkArea_Distance+AO$168))^(1/AO$167),AO115*1000000*(AO$89/(Wind*AO$98))*(AO$140/(WorkArea_Distance+AO$142))^(1/AO$141))),IF(Location="Indoors",0,1000000))</f>
        <v>1000000</v>
      </c>
      <c r="AP307" s="81"/>
      <c r="AQ307" s="85"/>
      <c r="AR307" s="81"/>
      <c r="AS307" s="83"/>
      <c r="AT307" s="23" t="s">
        <v>2703</v>
      </c>
      <c r="AU307" s="83"/>
      <c r="AV307" s="96" t="str">
        <f>IF(Flash_Pt_Feed="","",0)</f>
        <v/>
      </c>
      <c r="AW307" s="83"/>
      <c r="AX307" s="96" t="str">
        <f>IF(Flash_Pt_Feed="","",IF(OR(Ease_of_Ignition_Feed&lt;&gt;"High",Ease_of_Ignition_Feed&lt;&gt;"Elevated"),1,0))</f>
        <v/>
      </c>
      <c r="AY307" s="83"/>
      <c r="AZ307" s="96" t="str">
        <f>IF(Flash_Pt_Feed="","",IF(OR(Ease_of_Ignition_Feed&lt;&gt;"High",Ease_of_Ignition_Feed&lt;&gt;"Elevated"),1,0))</f>
        <v/>
      </c>
      <c r="BA307" s="83"/>
      <c r="BB307" s="96" t="str">
        <f>IF(Flash_Pt_Feed="","",IF(OR(Ease_of_Ignition_Feed&lt;&gt;"High",Ease_of_Ignition_Feed&lt;&gt;"Elevated"),1,0))</f>
        <v/>
      </c>
      <c r="BC307" s="83"/>
      <c r="BD307" s="96" t="str">
        <f>IF(Flash_Pt_Feed="","",IF(OR(Ease_of_Ignition_Feed&lt;&gt;"High",Ease_of_Ignition_Feed&lt;&gt;"Elevated"),1,0))</f>
        <v/>
      </c>
      <c r="BE307" s="83"/>
      <c r="BF307" s="96" t="str">
        <f>IF(Flash_Pt_Feed="","",0)</f>
        <v/>
      </c>
      <c r="BG307" s="83"/>
      <c r="BH307" s="96" t="str">
        <f>IF(Flash_Pt_Feed="","",IF(OR(Ease_of_Ignition_Feed&lt;&gt;"High",Ease_of_Ignition_Feed&lt;&gt;"Elevated"),1,0))</f>
        <v/>
      </c>
      <c r="BI307" s="83"/>
      <c r="BJ307" s="96" t="str">
        <f>IF(Flash_Pt_Feed="","",IF(OR(Ease_of_Ignition_Feed&lt;&gt;"High",Ease_of_Ignition_Feed&lt;&gt;"Elevated"),1,0))</f>
        <v/>
      </c>
      <c r="BK307" s="83"/>
      <c r="BL307" s="96" t="str">
        <f>IF(Flash_Pt_Feed="","",IF(OR(Ease_of_Ignition_Feed&lt;&gt;"High",Ease_of_Ignition_Feed&lt;&gt;"Elevated"),1,0))</f>
        <v/>
      </c>
      <c r="BM307" s="83"/>
      <c r="BN307" s="96" t="str">
        <f>IF(Flash_Pt_Feed="","",IF(OR(Ease_of_Ignition_Feed&lt;&gt;"High",Ease_of_Ignition_Feed&lt;&gt;"Elevated"),1,0))</f>
        <v/>
      </c>
      <c r="BO307" s="83"/>
      <c r="BP307" s="100"/>
      <c r="BQ307" s="83"/>
      <c r="BR307" s="81"/>
      <c r="BS307" s="848" t="s">
        <v>4679</v>
      </c>
      <c r="BT307" s="81"/>
      <c r="BU307" s="99" t="str">
        <f>IF(OR(Flash_Pt_Feed="",BU83=0,BU249=""),"No",IF(OR(AND(Flash_Pt_Feed&gt;38,T&lt;(Flash_Pt_Feed-5)),Location&lt;&gt;"Indoors"),"No",IF(OR(BU300&gt;LFL_Limit*10000*BU249,BU301&gt;10000*BU249),"Yes","No")))</f>
        <v>No</v>
      </c>
      <c r="BV307" s="81"/>
      <c r="BW307" s="4238" t="s">
        <v>1579</v>
      </c>
      <c r="BX307" s="81"/>
      <c r="BY307" s="99" t="str">
        <f>IF(OR(Flash_Pt_Feed="",BY83=0,BY249=""),"No",IF(OR(AND(Flash_Pt_Feed&gt;38,T&lt;(Flash_Pt_Feed-5)),Location&lt;&gt;"Indoors"),"No",IF(OR(BY300&gt;LFL_Limit*10000*BY249,BY301&gt;10000*BY249),"Yes","No")))</f>
        <v>No</v>
      </c>
      <c r="BZ307" s="81"/>
      <c r="CA307" s="99" t="str">
        <f>IF(OR(Flash_Pt_Feed="",CA83=0,CA249=""),"No",IF(OR(AND(Flash_Pt_Feed&gt;38,T&lt;(Flash_Pt_Feed-5)),Location&lt;&gt;"Indoors"),"No",IF(OR(CA300&gt;LFL_Limit*10000*CA249,CA301&gt;10000*CA249),"Yes","No")))</f>
        <v>No</v>
      </c>
      <c r="CB307" s="81"/>
      <c r="CC307" s="4238" t="s">
        <v>1579</v>
      </c>
      <c r="CD307" s="81"/>
      <c r="CE307" s="85"/>
      <c r="CF307" s="81"/>
      <c r="CG307" s="26"/>
      <c r="CH307" s="26"/>
      <c r="CI307" s="26"/>
      <c r="CJ307" s="26"/>
      <c r="CK307" s="26"/>
      <c r="CL307" s="26"/>
      <c r="CM307" s="26"/>
      <c r="CN307" s="26"/>
      <c r="CO307" s="26"/>
      <c r="CP307" s="26"/>
      <c r="CQ307" s="26"/>
      <c r="CR307" s="26"/>
      <c r="CS307" s="26"/>
    </row>
    <row r="308" spans="1:97" ht="15" customHeight="1" x14ac:dyDescent="0.25">
      <c r="A308" s="2"/>
      <c r="B308" s="851" t="s">
        <v>165</v>
      </c>
      <c r="C308" s="83"/>
      <c r="D308" s="96">
        <f>IF(D307="No",0,Bldg_Explosion_Energy)</f>
        <v>0</v>
      </c>
      <c r="E308" s="83"/>
      <c r="F308" s="96">
        <f>IF(F307="No",0,Bldg_Explosion_Energy)</f>
        <v>0</v>
      </c>
      <c r="G308" s="83"/>
      <c r="H308" s="96">
        <f>IF(H307="No",0,Bldg_Explosion_Energy)</f>
        <v>0</v>
      </c>
      <c r="I308" s="83"/>
      <c r="J308" s="96">
        <f>IF(J307="No",0,Bldg_Explosion_Energy)</f>
        <v>0</v>
      </c>
      <c r="K308" s="83"/>
      <c r="L308" s="96">
        <f>IF(L307="No",0,Bldg_Explosion_Energy)</f>
        <v>0</v>
      </c>
      <c r="M308" s="83"/>
      <c r="N308" s="96">
        <f>IF(N307="No",0,Bldg_Explosion_Energy)</f>
        <v>0</v>
      </c>
      <c r="O308" s="83"/>
      <c r="P308" s="96">
        <f>IF(P307="No",0,Bldg_Explosion_Energy)</f>
        <v>0</v>
      </c>
      <c r="Q308" s="83"/>
      <c r="R308" s="96">
        <f>IF(R307="No",0,Bldg_Explosion_Energy)</f>
        <v>0</v>
      </c>
      <c r="S308" s="83"/>
      <c r="T308" s="96">
        <f>IF(T307="No",0,Bldg_Explosion_Energy)</f>
        <v>0</v>
      </c>
      <c r="U308" s="83"/>
      <c r="V308" s="96">
        <f>IF(V307="No",0,Bldg_Explosion_Energy)</f>
        <v>0</v>
      </c>
      <c r="W308" s="83"/>
      <c r="X308" s="96">
        <f>IF(X307="No",0,Bldg_Explosion_Energy)</f>
        <v>0</v>
      </c>
      <c r="Y308" s="83"/>
      <c r="Z308" s="85" t="s">
        <v>1761</v>
      </c>
      <c r="AA308" s="83"/>
      <c r="AB308" s="81"/>
      <c r="AC308" s="85" t="s">
        <v>1658</v>
      </c>
      <c r="AD308" s="81"/>
      <c r="AE308" s="1209">
        <f>IF(AND(AE89&gt;0,Occ_Bldg&gt;0.1),IF(AND(Location="Indoors",AE314&gt;0),1000000/(1000000/AE315+(Wind*AE98*(Occ_Bldg/AE$140)^(1/AE$141)/(IF(Enclosed_Ventilation_Rate&gt;1,Enclosed_Ventilation_Rate,1)*Enclosed_Process_Volume*AE98*AE315/88020000000))),IF(AE169="Instantaneous",1000000*(AE$83/AE$98)*(AE$166/(Occ_Bldg+AE$168))^(1/AE$167),1000000*(AE$89/(Wind*AE$98))*(AE$140/(Occ_Bldg+AE$142))^(1/AE$141))),0)</f>
        <v>0</v>
      </c>
      <c r="AF308" s="81"/>
      <c r="AG308" s="1209">
        <f>IF(AND(AG89&gt;0,Occ_Bldg&gt;0.1),IF(AND(Location="Indoors",AG314&gt;0),1000000/(1000000/AG315+(Wind*AG98*(Occ_Bldg/AG$140)^(1/AG$141)/(IF(Enclosed_Ventilation_Rate&gt;1,Enclosed_Ventilation_Rate,1)*Enclosed_Process_Volume*AG98*AG315/88020000000))),IF(AG169="Instantaneous",1000000*(AG$83/AG$98)*(AG$166/(Occ_Bldg+AG$168))^(1/AG$167),1000000*(AG$89/(Wind*AG$98))*(AG$140/(Occ_Bldg+AG$142))^(1/AG$141))),0)</f>
        <v>0</v>
      </c>
      <c r="AH308" s="81"/>
      <c r="AI308" s="1209">
        <f>IF(AND(AI89&gt;0,Occ_Bldg&gt;0.1),IF(AND(Location="Indoors",AI314&gt;0),1000000/(1000000/AI315+(Wind*AI98*(Occ_Bldg/AI$140)^(1/AI$141)/(IF(Enclosed_Ventilation_Rate&gt;1,Enclosed_Ventilation_Rate,1)*Enclosed_Process_Volume*AI98*AI315/88020000000))),IF(AI169="Instantaneous",1000000*(AI$83/AI$98)*(AI$166/(Occ_Bldg+AI$168))^(1/AI$167),1000000*(AI$89/(Wind*AI$98))*(AI$140/(Occ_Bldg+AI$142))^(1/AI$141))),0)</f>
        <v>0</v>
      </c>
      <c r="AJ308" s="81"/>
      <c r="AK308" s="1209">
        <f>IF(AND(AK89&gt;0,Occ_Bldg&gt;0.1),IF(AND(Location="Indoors",AK314&gt;0),1000000/(1000000/AK315+(Wind*AK98*(Occ_Bldg/AK$140)^(1/AK$141)/(IF(Enclosed_Ventilation_Rate&gt;1,Enclosed_Ventilation_Rate,1)*Enclosed_Process_Volume*AK98*AK315/88020000000))),IF(AK169="Instantaneous",1000000*(AK$83/AK$98)*(AK$166/(Occ_Bldg+AK$168))^(1/AK$167),1000000*(AK$89/(Wind*AK$98))*(AK$140/(Occ_Bldg+AK$142))^(1/AK$141))),0)</f>
        <v>0</v>
      </c>
      <c r="AL308" s="81"/>
      <c r="AM308" s="1209">
        <f>IF(AND(AM89&gt;0,Occ_Bldg&gt;0.1),IF(AND(Location="Indoors",AM314&gt;0),1000000/(1000000/AM315+(Wind*AM98*(Occ_Bldg/AM$140)^(1/AM$141)/(IF(Enclosed_Ventilation_Rate&gt;1,Enclosed_Ventilation_Rate,1)*Enclosed_Process_Volume*AM98*AM315/88020000000))),IF(AM169="Instantaneous",1000000*(AM$83/AM$98)*(AM$166/(Occ_Bldg+AM$168))^(1/AM$167),1000000*(AM$89/(Wind*AM$98))*(AM$140/(Occ_Bldg+AM$142))^(1/AM$141))),0)</f>
        <v>0</v>
      </c>
      <c r="AN308" s="81"/>
      <c r="AO308" s="1209">
        <f>IF(AND(AO89&gt;0,Occ_Bldg&gt;0.1),IF(AND(Location="Indoors",AO314&gt;0),1000000/(1000000/AO315+(Wind*AO98*(Occ_Bldg/AO$140)^(1/AO$141)/(IF(Enclosed_Ventilation_Rate&gt;1,Enclosed_Ventilation_Rate,1)*Enclosed_Process_Volume*AO98*AO315/88020000000))),IF(AO169="Instantaneous",1000000*(AO$83/AO$98)*(AO$166/(Occ_Bldg+AO$168))^(1/AO$167),1000000*(AO$89/(Wind*AO$98))*(AO$140/(Occ_Bldg+AO$142))^(1/AO$141))),0)</f>
        <v>0</v>
      </c>
      <c r="AP308" s="81"/>
      <c r="AQ308" s="85" t="s">
        <v>1506</v>
      </c>
      <c r="AR308" s="81"/>
      <c r="AS308" s="83"/>
      <c r="AT308" s="23" t="s">
        <v>166</v>
      </c>
      <c r="AU308" s="83"/>
      <c r="AV308" s="1194">
        <f>IF(AV305="Yes",Bldg_Explosion_0.3psi,0)</f>
        <v>0</v>
      </c>
      <c r="AW308" s="83"/>
      <c r="AX308" s="1194">
        <f>IF(AX305="Yes",Bldg_Explosion_0.3psi,0)</f>
        <v>0</v>
      </c>
      <c r="AY308" s="83"/>
      <c r="AZ308" s="1194">
        <f>IF(AZ305="Yes",Bldg_Explosion_0.3psi,0)</f>
        <v>0</v>
      </c>
      <c r="BA308" s="83"/>
      <c r="BB308" s="1194">
        <f>IF(BB305="Yes",Bldg_Explosion_0.3psi,0)</f>
        <v>0</v>
      </c>
      <c r="BC308" s="83"/>
      <c r="BD308" s="1194">
        <f>IF(BD305="Yes",Bldg_Explosion_0.3psi,0)</f>
        <v>0</v>
      </c>
      <c r="BE308" s="83"/>
      <c r="BF308" s="1194">
        <f>IF(BF305="Yes",Bldg_Explosion_0.3psi,0)</f>
        <v>0</v>
      </c>
      <c r="BG308" s="83"/>
      <c r="BH308" s="1194">
        <f>IF(BH305="Yes",Bldg_Explosion_0.3psi,0)</f>
        <v>0</v>
      </c>
      <c r="BI308" s="83"/>
      <c r="BJ308" s="1194">
        <f>IF(BJ305="Yes",Bldg_Explosion_0.3psi,0)</f>
        <v>0</v>
      </c>
      <c r="BK308" s="83"/>
      <c r="BL308" s="1194">
        <f>IF(BL305="Yes",Bldg_Explosion_0.3psi,0)</f>
        <v>0</v>
      </c>
      <c r="BM308" s="83"/>
      <c r="BN308" s="1194">
        <f>IF(BN305="Yes",Bldg_Explosion_0.3psi,0)</f>
        <v>0</v>
      </c>
      <c r="BO308" s="83"/>
      <c r="BP308" s="100" t="s">
        <v>1068</v>
      </c>
      <c r="BQ308" s="83"/>
      <c r="BR308" s="81"/>
      <c r="BS308" s="23" t="s">
        <v>165</v>
      </c>
      <c r="BT308" s="81"/>
      <c r="BU308" s="96">
        <f>IF(BU307="No",0,Bldg_Explosion_Energy)</f>
        <v>0</v>
      </c>
      <c r="BV308" s="81"/>
      <c r="BW308" s="4239"/>
      <c r="BX308" s="81"/>
      <c r="BY308" s="96">
        <f>IF(BY307="No",0,Bldg_Explosion_Energy)</f>
        <v>0</v>
      </c>
      <c r="BZ308" s="81"/>
      <c r="CA308" s="96">
        <f>IF(CA307="No",0,Bldg_Explosion_Energy)</f>
        <v>0</v>
      </c>
      <c r="CB308" s="81"/>
      <c r="CC308" s="4239"/>
      <c r="CD308" s="81"/>
      <c r="CE308" s="85" t="s">
        <v>1761</v>
      </c>
      <c r="CF308" s="81"/>
      <c r="CG308" s="26"/>
      <c r="CH308" s="26"/>
      <c r="CI308" s="26"/>
      <c r="CJ308" s="26"/>
      <c r="CK308" s="26"/>
      <c r="CL308" s="26"/>
      <c r="CM308" s="26"/>
      <c r="CN308" s="26"/>
      <c r="CO308" s="26"/>
      <c r="CP308" s="26"/>
      <c r="CQ308" s="26"/>
      <c r="CR308" s="26"/>
      <c r="CS308" s="26"/>
    </row>
    <row r="309" spans="1:97" ht="15" customHeight="1" thickBot="1" x14ac:dyDescent="0.3">
      <c r="A309" s="2"/>
      <c r="B309" s="851" t="s">
        <v>2703</v>
      </c>
      <c r="C309" s="83"/>
      <c r="D309" s="96" t="str">
        <f>IF(Flash_Pt_Feed="","",IF(AND(T&lt;Flash_Pt_Feed-5,Aerosol_Potential="Yes"),2,IF(OR(Ease_of_Ignition_Feed&lt;&gt;"High",Ease_of_Ignition_Feed&lt;&gt;"Elevated"),1,0)))</f>
        <v/>
      </c>
      <c r="E309" s="83"/>
      <c r="F309" s="96" t="str">
        <f>IF(Flash_Pt_Feed="","",IF(AND(T&lt;Flash_Pt_Feed-5,Aerosol_Potential="Yes"),2,IF(OR(Ease_of_Ignition_Feed&lt;&gt;"High",Ease_of_Ignition_Feed&lt;&gt;"Elevated"),1,0)))</f>
        <v/>
      </c>
      <c r="G309" s="83"/>
      <c r="H309" s="96" t="str">
        <f>IF(Flash_Pt_Feed="","",IF(AND(T&lt;Flash_Pt_Feed-5,Aerosol_Potential="Yes"),2,IF(OR(Ease_of_Ignition_Feed&lt;&gt;"High",Ease_of_Ignition_Feed&lt;&gt;"Elevated"),1,0)))</f>
        <v/>
      </c>
      <c r="I309" s="83"/>
      <c r="J309" s="96" t="str">
        <f>IF(Flash_Pt_Feed="","",IF(AND(T&lt;Flash_Pt_Feed-5,Aerosol_Potential="Yes"),2,IF(OR(Ease_of_Ignition_Feed&lt;&gt;"High",Ease_of_Ignition_Feed&lt;&gt;"Elevated"),1,0)))</f>
        <v/>
      </c>
      <c r="K309" s="83"/>
      <c r="L309" s="96" t="str">
        <f>IF(Flash_Pt_Feed="","",IF(AND(T&lt;Flash_Pt_Feed-5,Aerosol_Potential="Yes"),2,IF(OR(Ease_of_Ignition_Feed&lt;&gt;"High",Ease_of_Ignition_Feed&lt;&gt;"Elevated"),1,0)))</f>
        <v/>
      </c>
      <c r="M309" s="83"/>
      <c r="N309" s="96" t="str">
        <f>IF(Flash_Pt_Feed="","",IF(AND(T&lt;Flash_Pt_Feed-5,Aerosol_Potential="Yes"),2,IF(OR(Ease_of_Ignition_Feed&lt;&gt;"High",Ease_of_Ignition_Feed&lt;&gt;"Elevated"),1,0)))</f>
        <v/>
      </c>
      <c r="O309" s="83"/>
      <c r="P309" s="96" t="str">
        <f>IF(Flash_Pt_Feed="","",IF(AND(T&lt;Flash_Pt_Feed-5,Aerosol_Potential="Yes"),2,IF(OR(Ease_of_Ignition_Feed&lt;&gt;"High",Ease_of_Ignition_Feed&lt;&gt;"Elevated"),1,0)))</f>
        <v/>
      </c>
      <c r="Q309" s="83"/>
      <c r="R309" s="96" t="str">
        <f>IF(Flash_Pt_Feed="","",IF(AND(T&lt;Flash_Pt_Feed-5,Aerosol_Potential="Yes"),2,IF(OR(Ease_of_Ignition_Feed&lt;&gt;"High",Ease_of_Ignition_Feed&lt;&gt;"Elevated"),1,0)))</f>
        <v/>
      </c>
      <c r="S309" s="83"/>
      <c r="T309" s="96" t="str">
        <f>IF(Flash_Pt_Feed="","",IF(AND(T&lt;Flash_Pt_Feed-5,Aerosol_Potential="Yes"),2,IF(OR(Ease_of_Ignition_Feed&lt;&gt;"High",Ease_of_Ignition_Feed&lt;&gt;"Elevated"),1,0)))</f>
        <v/>
      </c>
      <c r="U309" s="83"/>
      <c r="V309" s="96" t="str">
        <f>IF(Flash_Pt_Feed="","",IF(AND(T&lt;Flash_Pt_Feed-5,Aerosol_Potential="Yes"),2,IF(OR(Ease_of_Ignition_Feed&lt;&gt;"High",Ease_of_Ignition_Feed&lt;&gt;"Elevated"),1,0)))</f>
        <v/>
      </c>
      <c r="W309" s="83"/>
      <c r="X309" s="96" t="str">
        <f>IF(Flash_Pt_Feed="","",IF(AND(T&lt;Flash_Pt_Feed-5,Aerosol_Potential="Yes"),2,IF(OR(Ease_of_Ignition_Feed&lt;&gt;"High",Ease_of_Ignition_Feed&lt;&gt;"Elevated"),1,0)))</f>
        <v/>
      </c>
      <c r="Y309" s="83"/>
      <c r="Z309" s="23"/>
      <c r="AA309" s="83"/>
      <c r="AB309" s="81"/>
      <c r="AC309" s="85" t="s">
        <v>2930</v>
      </c>
      <c r="AD309" s="81"/>
      <c r="AE309" s="3035">
        <f>IF(AND(AE89&gt;0,Occ_Bldg2&gt;0.1),IF(AND(Location="Indoors",AE314&gt;0),1000000/(1000000/AE315+(Wind*AE98*(Occ_Bldg2/AE$140)^(1/AE$141)/(IF(Enclosed_Ventilation_Rate&gt;1,Enclosed_Ventilation_Rate,1)*Enclosed_Process_Volume*AE98*AE315/88020000000))),IF(AE169="Instantaneous",1000000*(AE$83/AE$98)*(AE$166/(Occ_Bldg2+AE$168))^(1/AE$167),1000000*(AE$89/(Wind*AE$98))*(AE$140/(Occ_Bldg2+AE$142))^(1/AE$141))),0)</f>
        <v>0</v>
      </c>
      <c r="AF309" s="81"/>
      <c r="AG309" s="3035">
        <f>IF(AND(AG89&gt;0,Occ_Bldg2&gt;0.1),IF(AND(Location="Indoors",AG314&gt;0),1000000/(1000000/AG315+(Wind*AG98*(Occ_Bldg2/AG$140)^(1/AG$141)/(IF(Enclosed_Ventilation_Rate&gt;1,Enclosed_Ventilation_Rate,1)*Enclosed_Process_Volume*AG98*AG315/88020000000))),IF(AG169="Instantaneous",1000000*(AG$83/AG$98)*(AG$166/(Occ_Bldg2+AG$168))^(1/AG$167),1000000*(AG$89/(Wind*AG$98))*(AG$140/(Occ_Bldg2+AG$142))^(1/AG$141))),0)</f>
        <v>0</v>
      </c>
      <c r="AH309" s="81"/>
      <c r="AI309" s="3035">
        <f>IF(AND(AI89&gt;0,Occ_Bldg2&gt;0.1),IF(AND(Location="Indoors",AI314&gt;0),1000000/(1000000/AI315+(Wind*AI98*(Occ_Bldg2/AI$140)^(1/AI$141)/(IF(Enclosed_Ventilation_Rate&gt;1,Enclosed_Ventilation_Rate,1)*Enclosed_Process_Volume*AI98*AI315/88020000000))),IF(AI169="Instantaneous",1000000*(AI$83/AI$98)*(AI$166/(Occ_Bldg2+AI$168))^(1/AI$167),1000000*(AI$89/(Wind*AI$98))*(AI$140/(Occ_Bldg2+AI$142))^(1/AI$141))),0)</f>
        <v>0</v>
      </c>
      <c r="AJ309" s="81"/>
      <c r="AK309" s="3035">
        <f>IF(AND(AK89&gt;0,Occ_Bldg2&gt;0.1),IF(AND(Location="Indoors",AK314&gt;0),1000000/(1000000/AK315+(Wind*AK98*(Occ_Bldg2/AK$140)^(1/AK$141)/(IF(Enclosed_Ventilation_Rate&gt;1,Enclosed_Ventilation_Rate,1)*Enclosed_Process_Volume*AK98*AK315/88020000000))),IF(AK169="Instantaneous",1000000*(AK$83/AK$98)*(AK$166/(Occ_Bldg2+AK$168))^(1/AK$167),1000000*(AK$89/(Wind*AK$98))*(AK$140/(Occ_Bldg2+AK$142))^(1/AK$141))),0)</f>
        <v>0</v>
      </c>
      <c r="AL309" s="81"/>
      <c r="AM309" s="3035">
        <f>IF(AND(AM89&gt;0,Occ_Bldg2&gt;0.1),IF(AND(Location="Indoors",AM314&gt;0),1000000/(1000000/AM315+(Wind*AM98*(Occ_Bldg2/AM$140)^(1/AM$141)/(IF(Enclosed_Ventilation_Rate&gt;1,Enclosed_Ventilation_Rate,1)*Enclosed_Process_Volume*AM98*AM315/88020000000))),IF(AM169="Instantaneous",1000000*(AM$83/AM$98)*(AM$166/(Occ_Bldg2+AM$168))^(1/AM$167),1000000*(AM$89/(Wind*AM$98))*(AM$140/(Occ_Bldg2+AM$142))^(1/AM$141))),0)</f>
        <v>0</v>
      </c>
      <c r="AN309" s="81"/>
      <c r="AO309" s="3035">
        <f>IF(AND(AO89&gt;0,Occ_Bldg2&gt;0.1),IF(AND(Location="Indoors",AO314&gt;0),1000000/(1000000/AO315+(Wind*AO98*(Occ_Bldg2/AO$140)^(1/AO$141)/(IF(Enclosed_Ventilation_Rate&gt;1,Enclosed_Ventilation_Rate,1)*Enclosed_Process_Volume*AO98*AO315/88020000000))),IF(AO169="Instantaneous",1000000*(AO$83/AO$98)*(AO$166/(Occ_Bldg2+AO$168))^(1/AO$167),1000000*(AO$89/(Wind*AO$98))*(AO$140/(Occ_Bldg2+AO$142))^(1/AO$141))),0)</f>
        <v>0</v>
      </c>
      <c r="AP309" s="81"/>
      <c r="AQ309" s="85" t="s">
        <v>1506</v>
      </c>
      <c r="AR309" s="81"/>
      <c r="AS309" s="83"/>
      <c r="AT309" s="85" t="s">
        <v>17</v>
      </c>
      <c r="AU309" s="83"/>
      <c r="AV309" s="1183">
        <f>IF(AV305="Yes",Bldg_Explosion_1psi,0)</f>
        <v>0</v>
      </c>
      <c r="AW309" s="83"/>
      <c r="AX309" s="1183">
        <f>IF(AX305="Yes",Bldg_Explosion_1psi,0)</f>
        <v>0</v>
      </c>
      <c r="AY309" s="83"/>
      <c r="AZ309" s="1183">
        <f>IF(AZ305="Yes",Bldg_Explosion_1psi,0)</f>
        <v>0</v>
      </c>
      <c r="BA309" s="83"/>
      <c r="BB309" s="1183">
        <f>IF(BB305="Yes",Bldg_Explosion_1psi,0)</f>
        <v>0</v>
      </c>
      <c r="BC309" s="83"/>
      <c r="BD309" s="1183">
        <f>IF(BD305="Yes",Bldg_Explosion_1psi,0)</f>
        <v>0</v>
      </c>
      <c r="BE309" s="83"/>
      <c r="BF309" s="1183">
        <f>IF(BF305="Yes",Bldg_Explosion_1psi,0)</f>
        <v>0</v>
      </c>
      <c r="BG309" s="83"/>
      <c r="BH309" s="1183">
        <f>IF(BH305="Yes",Bldg_Explosion_1psi,0)</f>
        <v>0</v>
      </c>
      <c r="BI309" s="83"/>
      <c r="BJ309" s="1183">
        <f>IF(BJ305="Yes",Bldg_Explosion_1psi,0)</f>
        <v>0</v>
      </c>
      <c r="BK309" s="83"/>
      <c r="BL309" s="1183">
        <f>IF(BL305="Yes",Bldg_Explosion_1psi,0)</f>
        <v>0</v>
      </c>
      <c r="BM309" s="83"/>
      <c r="BN309" s="1183">
        <f>IF(BN305="Yes",Bldg_Explosion_1psi,0)</f>
        <v>0</v>
      </c>
      <c r="BO309" s="83"/>
      <c r="BP309" s="100" t="s">
        <v>1068</v>
      </c>
      <c r="BQ309" s="83"/>
      <c r="BR309" s="81"/>
      <c r="BS309" s="23" t="s">
        <v>2703</v>
      </c>
      <c r="BT309" s="81"/>
      <c r="BU309" s="96" t="str">
        <f>IF(Flash_Pt_Feed="","",IF(AND(BU15&lt;Flash_Pt_Feed-5,Aerosol_Potential="Yes"),2,IF(OR(Ease_of_Ignition_Feed&lt;&gt;"High",Ease_of_Ignition_Feed&lt;&gt;"Elevated"),1,0)))</f>
        <v/>
      </c>
      <c r="BV309" s="81"/>
      <c r="BW309" s="4239"/>
      <c r="BX309" s="81"/>
      <c r="BY309" s="96" t="str">
        <f>IF(Flash_Pt_Feed="","",IF(AND(BY15&lt;Flash_Pt_Feed-5,Aerosol_Potential="Yes"),2,IF(OR(Ease_of_Ignition_Feed&lt;&gt;"High",Ease_of_Ignition_Feed&lt;&gt;"Elevated"),1,0)))</f>
        <v/>
      </c>
      <c r="BZ309" s="81"/>
      <c r="CA309" s="96" t="str">
        <f>IF(Flash_Pt_Feed="","",IF(AND(CA15&lt;Flash_Pt_Feed-5,Aerosol_Potential="Yes"),2,IF(OR(Ease_of_Ignition_Feed&lt;&gt;"High",Ease_of_Ignition_Feed&lt;&gt;"Elevated"),1,0)))</f>
        <v/>
      </c>
      <c r="CB309" s="81"/>
      <c r="CC309" s="4239"/>
      <c r="CD309" s="81"/>
      <c r="CE309" s="85"/>
      <c r="CF309" s="81"/>
      <c r="CG309" s="26"/>
      <c r="CH309" s="26"/>
      <c r="CI309" s="26"/>
      <c r="CJ309" s="26"/>
      <c r="CK309" s="26"/>
      <c r="CL309" s="26"/>
      <c r="CM309" s="26"/>
      <c r="CN309" s="26"/>
      <c r="CO309" s="26"/>
      <c r="CP309" s="26"/>
      <c r="CQ309" s="26"/>
      <c r="CR309" s="26"/>
      <c r="CS309" s="26"/>
    </row>
    <row r="310" spans="1:97" ht="15" customHeight="1" x14ac:dyDescent="0.25">
      <c r="A310" s="2"/>
      <c r="B310" s="851" t="s">
        <v>166</v>
      </c>
      <c r="C310" s="83"/>
      <c r="D310" s="1194">
        <f>IF(D307="Yes",Bldg_Explosion_0.3psi,0)</f>
        <v>0</v>
      </c>
      <c r="E310" s="83"/>
      <c r="F310" s="1194">
        <f>IF(F307="Yes",Bldg_Explosion_0.3psi,0)</f>
        <v>0</v>
      </c>
      <c r="G310" s="83"/>
      <c r="H310" s="1194">
        <f>IF(H307="Yes",Bldg_Explosion_0.3psi,0)</f>
        <v>0</v>
      </c>
      <c r="I310" s="83"/>
      <c r="J310" s="1194">
        <f>IF(J307="Yes",Bldg_Explosion_0.3psi,0)</f>
        <v>0</v>
      </c>
      <c r="K310" s="83"/>
      <c r="L310" s="1194">
        <f>IF(L307="Yes",Bldg_Explosion_0.3psi,0)</f>
        <v>0</v>
      </c>
      <c r="M310" s="83"/>
      <c r="N310" s="1194">
        <f>IF(N307="Yes",Bldg_Explosion_0.3psi,0)</f>
        <v>0</v>
      </c>
      <c r="O310" s="83"/>
      <c r="P310" s="1194">
        <f>IF(P307="Yes",Bldg_Explosion_0.3psi,0)</f>
        <v>0</v>
      </c>
      <c r="Q310" s="83"/>
      <c r="R310" s="1194">
        <f>IF(R307="Yes",Bldg_Explosion_0.3psi,0)</f>
        <v>0</v>
      </c>
      <c r="S310" s="83"/>
      <c r="T310" s="1194">
        <f>IF(T307="Yes",Bldg_Explosion_0.3psi,0)</f>
        <v>0</v>
      </c>
      <c r="U310" s="83"/>
      <c r="V310" s="1194">
        <f>IF(V307="Yes",Bldg_Explosion_0.3psi,0)</f>
        <v>0</v>
      </c>
      <c r="W310" s="83"/>
      <c r="X310" s="1194">
        <f>IF(X307="Yes",Bldg_Explosion_0.3psi,0)</f>
        <v>0</v>
      </c>
      <c r="Y310" s="83"/>
      <c r="Z310" s="85" t="s">
        <v>1068</v>
      </c>
      <c r="AA310" s="83"/>
      <c r="AB310" s="81"/>
      <c r="AC310" s="85" t="s">
        <v>5293</v>
      </c>
      <c r="AD310" s="81"/>
      <c r="AE310" s="468">
        <f>MIN(AE308*(1-EXP(-IF(Ventilation_Rate="",Occ_Bldg_Vent,Ventilation_Rate)*AE$223/2)),AE$232)</f>
        <v>0</v>
      </c>
      <c r="AF310" s="81"/>
      <c r="AG310" s="468">
        <f>MIN(AG308*(1-EXP(-IF(Ventilation_Rate="",Occ_Bldg_Vent,Ventilation_Rate)*AG$223/2)),AG$232)</f>
        <v>0</v>
      </c>
      <c r="AH310" s="81"/>
      <c r="AI310" s="468">
        <f>MIN(AI308*(1-EXP(-IF(Ventilation_Rate="",Occ_Bldg_Vent,Ventilation_Rate)*AI$223/2)),AI$232)</f>
        <v>0</v>
      </c>
      <c r="AJ310" s="81"/>
      <c r="AK310" s="468">
        <f>MIN(AK308*(1-EXP(-IF(Ventilation_Rate="",Occ_Bldg_Vent,Ventilation_Rate)*AK$223/2)),AK$232)</f>
        <v>0</v>
      </c>
      <c r="AL310" s="81"/>
      <c r="AM310" s="468">
        <f>MIN(AM308*(1-EXP(-IF(Ventilation_Rate="",Occ_Bldg_Vent,Ventilation_Rate)*AM$223/2)),AM$232)</f>
        <v>0</v>
      </c>
      <c r="AN310" s="81"/>
      <c r="AO310" s="468">
        <f>MIN(AO308*(1-EXP(-IF(Ventilation_Rate="",Occ_Bldg_Vent,Ventilation_Rate)*AO$223/2)),AO$232)</f>
        <v>0</v>
      </c>
      <c r="AP310" s="81"/>
      <c r="AQ310" s="85" t="s">
        <v>1506</v>
      </c>
      <c r="AR310" s="81"/>
      <c r="AS310" s="83"/>
      <c r="AT310" s="85" t="s">
        <v>689</v>
      </c>
      <c r="AU310" s="83"/>
      <c r="AV310" s="3010" t="str">
        <f>IF(AV309&gt;Public,"Yes","No")</f>
        <v>No</v>
      </c>
      <c r="AW310" s="83"/>
      <c r="AX310" s="3010" t="str">
        <f>IF(AX309&gt;Public,"Yes","No")</f>
        <v>No</v>
      </c>
      <c r="AY310" s="83"/>
      <c r="AZ310" s="3010" t="str">
        <f>IF(AZ309&gt;Public,"Yes","No")</f>
        <v>No</v>
      </c>
      <c r="BA310" s="83"/>
      <c r="BB310" s="3010" t="str">
        <f>IF(BB309&gt;Public,"Yes","No")</f>
        <v>No</v>
      </c>
      <c r="BC310" s="83"/>
      <c r="BD310" s="3010" t="str">
        <f>IF(BD309&gt;Public,"Yes","No")</f>
        <v>No</v>
      </c>
      <c r="BE310" s="83"/>
      <c r="BF310" s="3010" t="str">
        <f>IF(BF309&gt;Public,"Yes","No")</f>
        <v>No</v>
      </c>
      <c r="BG310" s="83"/>
      <c r="BH310" s="3010" t="str">
        <f>IF(BH309&gt;Public,"Yes","No")</f>
        <v>No</v>
      </c>
      <c r="BI310" s="83"/>
      <c r="BJ310" s="3010" t="str">
        <f>IF(BJ309&gt;Public,"Yes","No")</f>
        <v>No</v>
      </c>
      <c r="BK310" s="83"/>
      <c r="BL310" s="3010" t="str">
        <f>IF(BL309&gt;Public,"Yes","No")</f>
        <v>No</v>
      </c>
      <c r="BM310" s="83"/>
      <c r="BN310" s="3010" t="str">
        <f>IF(BN309&gt;Public,"Yes","No")</f>
        <v>No</v>
      </c>
      <c r="BO310" s="83"/>
      <c r="BP310" s="100"/>
      <c r="BQ310" s="83"/>
      <c r="BR310" s="81"/>
      <c r="BS310" s="23" t="s">
        <v>166</v>
      </c>
      <c r="BT310" s="81"/>
      <c r="BU310" s="1194">
        <f>IF(BU307="Yes",Bldg_Explosion_0.3psi,0)</f>
        <v>0</v>
      </c>
      <c r="BV310" s="81"/>
      <c r="BW310" s="4239"/>
      <c r="BX310" s="81"/>
      <c r="BY310" s="1194">
        <f>IF(BY307="Yes",Bldg_Explosion_0.3psi,0)</f>
        <v>0</v>
      </c>
      <c r="BZ310" s="81"/>
      <c r="CA310" s="1194">
        <f>IF(CA307="Yes",Bldg_Explosion_0.3psi,0)</f>
        <v>0</v>
      </c>
      <c r="CB310" s="81"/>
      <c r="CC310" s="4239"/>
      <c r="CD310" s="81"/>
      <c r="CE310" s="85" t="s">
        <v>1068</v>
      </c>
      <c r="CF310" s="81"/>
      <c r="CG310" s="26"/>
      <c r="CH310" s="26"/>
      <c r="CI310" s="26"/>
      <c r="CJ310" s="26"/>
      <c r="CK310" s="26"/>
      <c r="CL310" s="26"/>
      <c r="CM310" s="26"/>
      <c r="CN310" s="26"/>
      <c r="CO310" s="26"/>
      <c r="CP310" s="26"/>
      <c r="CQ310" s="26"/>
      <c r="CR310" s="26"/>
      <c r="CS310" s="26"/>
    </row>
    <row r="311" spans="1:97" ht="15" customHeight="1" x14ac:dyDescent="0.25">
      <c r="A311" s="2"/>
      <c r="B311" s="848" t="s">
        <v>17</v>
      </c>
      <c r="C311" s="83"/>
      <c r="D311" s="1183">
        <f>IF(D307="Yes",Bldg_Explosion_1psi,0)</f>
        <v>0</v>
      </c>
      <c r="E311" s="83"/>
      <c r="F311" s="1183">
        <f>IF(F307="Yes",Bldg_Explosion_1psi,0)</f>
        <v>0</v>
      </c>
      <c r="G311" s="83"/>
      <c r="H311" s="1183">
        <f>IF(H307="Yes",Bldg_Explosion_1psi,0)</f>
        <v>0</v>
      </c>
      <c r="I311" s="83"/>
      <c r="J311" s="1183">
        <f>IF(J307="Yes",Bldg_Explosion_1psi,0)</f>
        <v>0</v>
      </c>
      <c r="K311" s="83"/>
      <c r="L311" s="1183">
        <f>IF(L307="Yes",Bldg_Explosion_1psi,0)</f>
        <v>0</v>
      </c>
      <c r="M311" s="83"/>
      <c r="N311" s="1183">
        <f>IF(N307="Yes",Bldg_Explosion_1psi,0)</f>
        <v>0</v>
      </c>
      <c r="O311" s="83"/>
      <c r="P311" s="1183">
        <f>IF(P307="Yes",Bldg_Explosion_1psi,0)</f>
        <v>0</v>
      </c>
      <c r="Q311" s="83"/>
      <c r="R311" s="1183">
        <f>IF(R307="Yes",Bldg_Explosion_1psi,0)</f>
        <v>0</v>
      </c>
      <c r="S311" s="83"/>
      <c r="T311" s="1183">
        <f>IF(T307="Yes",Bldg_Explosion_1psi,0)</f>
        <v>0</v>
      </c>
      <c r="U311" s="83"/>
      <c r="V311" s="1183">
        <f>IF(V307="Yes",Bldg_Explosion_1psi,0)</f>
        <v>0</v>
      </c>
      <c r="W311" s="83"/>
      <c r="X311" s="1183">
        <f>IF(X307="Yes",Bldg_Explosion_1psi,0)</f>
        <v>0</v>
      </c>
      <c r="Y311" s="83"/>
      <c r="Z311" s="85" t="s">
        <v>1068</v>
      </c>
      <c r="AA311" s="83"/>
      <c r="AB311" s="81"/>
      <c r="AC311" s="85" t="s">
        <v>3542</v>
      </c>
      <c r="AD311" s="81"/>
      <c r="AE311" s="1286">
        <f>MIN(AE309*(1-EXP(-IF(Ventilation_Rate2="",Occ_Bldg_Vent,Ventilation_Rate2)*AE$223/2)),AE$232)</f>
        <v>0</v>
      </c>
      <c r="AF311" s="81"/>
      <c r="AG311" s="1286">
        <f>MIN(AG309*(1-EXP(-IF(Ventilation_Rate2="",Occ_Bldg_Vent,Ventilation_Rate2)*AG$223/2)),AG$232)</f>
        <v>0</v>
      </c>
      <c r="AH311" s="81"/>
      <c r="AI311" s="1286">
        <f>MIN(AI309*(1-EXP(-IF(Ventilation_Rate2="",Occ_Bldg_Vent,Ventilation_Rate2)*AI$223/2)),AI$232)</f>
        <v>0</v>
      </c>
      <c r="AJ311" s="81"/>
      <c r="AK311" s="1286">
        <f>MIN(AK309*(1-EXP(-IF(Ventilation_Rate2="",Occ_Bldg_Vent,Ventilation_Rate2)*AK$223/2)),AK$232)</f>
        <v>0</v>
      </c>
      <c r="AL311" s="81"/>
      <c r="AM311" s="1286">
        <f>MIN(AM309*(1-EXP(-IF(Ventilation_Rate2="",Occ_Bldg_Vent,Ventilation_Rate2)*AM$223/2)),AM$232)</f>
        <v>0</v>
      </c>
      <c r="AN311" s="81"/>
      <c r="AO311" s="1286">
        <f>MIN(AO309*(1-EXP(-IF(Ventilation_Rate2="",Occ_Bldg_Vent,Ventilation_Rate2)*AO$223/2)),AO$232)</f>
        <v>0</v>
      </c>
      <c r="AP311" s="81"/>
      <c r="AQ311" s="85" t="s">
        <v>1506</v>
      </c>
      <c r="AR311" s="81"/>
      <c r="AS311" s="83"/>
      <c r="AT311" s="23" t="s">
        <v>1534</v>
      </c>
      <c r="AU311" s="83"/>
      <c r="AV311" s="2996">
        <f>IF(AV305&lt;&gt;"Yes",0,Bldg_Explosion_Center)</f>
        <v>0</v>
      </c>
      <c r="AW311" s="83"/>
      <c r="AX311" s="2996">
        <f>IF(AX305&lt;&gt;"Yes",0,Bldg_Explosion_Center)</f>
        <v>0</v>
      </c>
      <c r="AY311" s="83"/>
      <c r="AZ311" s="2996">
        <f>IF(AZ305&lt;&gt;"Yes",0,Bldg_Explosion_Center)</f>
        <v>0</v>
      </c>
      <c r="BA311" s="83"/>
      <c r="BB311" s="2996">
        <f>IF(BB305&lt;&gt;"Yes",0,Bldg_Explosion_Center)</f>
        <v>0</v>
      </c>
      <c r="BC311" s="83"/>
      <c r="BD311" s="2996">
        <f>IF(BD305&lt;&gt;"Yes",0,Bldg_Explosion_Center)</f>
        <v>0</v>
      </c>
      <c r="BE311" s="83"/>
      <c r="BF311" s="2996">
        <f>IF(BF305&lt;&gt;"Yes",0,Bldg_Explosion_Center)</f>
        <v>0</v>
      </c>
      <c r="BG311" s="83"/>
      <c r="BH311" s="2996">
        <f>IF(BH305&lt;&gt;"Yes",0,Bldg_Explosion_Center)</f>
        <v>0</v>
      </c>
      <c r="BI311" s="83"/>
      <c r="BJ311" s="2996">
        <f>IF(BJ305&lt;&gt;"Yes",0,Bldg_Explosion_Center)</f>
        <v>0</v>
      </c>
      <c r="BK311" s="83"/>
      <c r="BL311" s="2996">
        <f>IF(BL305&lt;&gt;"Yes",0,Bldg_Explosion_Center)</f>
        <v>0</v>
      </c>
      <c r="BM311" s="83"/>
      <c r="BN311" s="2996">
        <f>IF(BN305&lt;&gt;"Yes",0,Bldg_Explosion_Center)</f>
        <v>0</v>
      </c>
      <c r="BO311" s="83"/>
      <c r="BP311" s="85" t="s">
        <v>968</v>
      </c>
      <c r="BQ311" s="83"/>
      <c r="BR311" s="81"/>
      <c r="BS311" s="85" t="s">
        <v>17</v>
      </c>
      <c r="BT311" s="81"/>
      <c r="BU311" s="1183">
        <f>IF(BU307="Yes",Bldg_Explosion_1psi,0)</f>
        <v>0</v>
      </c>
      <c r="BV311" s="81"/>
      <c r="BW311" s="4239"/>
      <c r="BX311" s="81"/>
      <c r="BY311" s="1183">
        <f>IF(BY307="Yes",Bldg_Explosion_1psi,0)</f>
        <v>0</v>
      </c>
      <c r="BZ311" s="81"/>
      <c r="CA311" s="1183">
        <f>IF(CA307="Yes",Bldg_Explosion_1psi,0)</f>
        <v>0</v>
      </c>
      <c r="CB311" s="81"/>
      <c r="CC311" s="4239"/>
      <c r="CD311" s="81"/>
      <c r="CE311" s="85" t="s">
        <v>1068</v>
      </c>
      <c r="CF311" s="81"/>
      <c r="CG311" s="26"/>
      <c r="CH311" s="26"/>
      <c r="CI311" s="26"/>
      <c r="CJ311" s="26"/>
      <c r="CK311" s="26"/>
      <c r="CL311" s="26"/>
      <c r="CM311" s="26"/>
      <c r="CN311" s="26"/>
      <c r="CO311" s="26"/>
      <c r="CP311" s="26"/>
      <c r="CQ311" s="26"/>
      <c r="CR311" s="26"/>
    </row>
    <row r="312" spans="1:97" ht="15" customHeight="1" x14ac:dyDescent="0.25">
      <c r="A312" s="2"/>
      <c r="B312" s="848" t="s">
        <v>689</v>
      </c>
      <c r="C312" s="83"/>
      <c r="D312" s="3010" t="str">
        <f>IF(D311&gt;Public,"Yes","No")</f>
        <v>No</v>
      </c>
      <c r="E312" s="83"/>
      <c r="F312" s="3010" t="str">
        <f>IF(F311&gt;Public,"Yes","No")</f>
        <v>No</v>
      </c>
      <c r="G312" s="83"/>
      <c r="H312" s="3010" t="str">
        <f>IF(H311&gt;Public,"Yes","No")</f>
        <v>No</v>
      </c>
      <c r="I312" s="83"/>
      <c r="J312" s="3010" t="str">
        <f>IF(J311&gt;Public,"Yes","No")</f>
        <v>No</v>
      </c>
      <c r="K312" s="83"/>
      <c r="L312" s="3010" t="str">
        <f>IF(L311&gt;Public,"Yes","No")</f>
        <v>No</v>
      </c>
      <c r="M312" s="83"/>
      <c r="N312" s="3010" t="str">
        <f>IF(N311&gt;Public,"Yes","No")</f>
        <v>No</v>
      </c>
      <c r="O312" s="83"/>
      <c r="P312" s="3010" t="str">
        <f>IF(P311&gt;Public,"Yes","No")</f>
        <v>No</v>
      </c>
      <c r="Q312" s="83"/>
      <c r="R312" s="3010" t="str">
        <f>IF(R311&gt;Public,"Yes","No")</f>
        <v>No</v>
      </c>
      <c r="S312" s="83"/>
      <c r="T312" s="3010" t="str">
        <f>IF(T311&gt;Public,"Yes","No")</f>
        <v>No</v>
      </c>
      <c r="U312" s="83"/>
      <c r="V312" s="3010" t="str">
        <f>IF(V311&gt;Public,"Yes","No")</f>
        <v>No</v>
      </c>
      <c r="W312" s="83"/>
      <c r="X312" s="3010" t="str">
        <f>IF(X311&gt;Public,"Yes","No")</f>
        <v>No</v>
      </c>
      <c r="Y312" s="83"/>
      <c r="Z312" s="85"/>
      <c r="AA312" s="83"/>
      <c r="AB312" s="81"/>
      <c r="AC312" s="848" t="s">
        <v>4718</v>
      </c>
      <c r="AD312" s="81"/>
      <c r="AE312" s="1820" t="str">
        <f>IF(AE268&lt;&gt;"",IF(OR(AE268&gt;AE310,1-AE268/AE308&lt;0),"",-Max_Duration*LN(1-AE268/AE308)/IF(Ventilation_Rate="",Occ_Bldg_Vent,Ventilation_Rate)),"")</f>
        <v/>
      </c>
      <c r="AF312" s="81"/>
      <c r="AG312" s="1820" t="str">
        <f>IF(AG268&lt;&gt;"",IF(OR(AG268&gt;AG310,1-AG268/AG308&lt;0),"",-Max_Duration*LN(1-AG268/AG308)/IF(Ventilation_Rate="",Occ_Bldg_Vent,Ventilation_Rate)),"")</f>
        <v/>
      </c>
      <c r="AH312" s="81"/>
      <c r="AI312" s="1820" t="str">
        <f>IF(AI268&lt;&gt;"",IF(OR(AI268&gt;AI310,1-AI268/AI308&lt;0),"",-Max_Duration*LN(1-AI268/AI308)/IF(Ventilation_Rate="",Occ_Bldg_Vent,Ventilation_Rate)),"")</f>
        <v/>
      </c>
      <c r="AJ312" s="81"/>
      <c r="AK312" s="1820" t="str">
        <f>IF(AK268&lt;&gt;"",IF(OR(AK268&gt;AK310,1-AK268/AK308&lt;0),"",-Max_Duration*LN(1-AK268/AK308)/IF(Ventilation_Rate="",Occ_Bldg_Vent,Ventilation_Rate)),"")</f>
        <v/>
      </c>
      <c r="AL312" s="81"/>
      <c r="AM312" s="1820" t="str">
        <f>IF(AM268&lt;&gt;"",IF(OR(AM268&gt;AM310,1-AM268/AM308&lt;0),"",-Max_Duration*LN(1-AM268/AM308)/IF(Ventilation_Rate="",Occ_Bldg_Vent,Ventilation_Rate)),"")</f>
        <v/>
      </c>
      <c r="AN312" s="81"/>
      <c r="AO312" s="1820" t="str">
        <f>IF(AO268&lt;&gt;"",IF(OR(AO268&gt;AO310,1-AO268/AO308&lt;0),"",-Max_Duration*LN(1-AO268/AO308)/IF(Ventilation_Rate="",Occ_Bldg_Vent,Ventilation_Rate)),"")</f>
        <v/>
      </c>
      <c r="AP312" s="81"/>
      <c r="AQ312" s="85" t="s">
        <v>1760</v>
      </c>
      <c r="AR312" s="81"/>
      <c r="AS312" s="83"/>
      <c r="AT312" s="23" t="s">
        <v>698</v>
      </c>
      <c r="AU312" s="83"/>
      <c r="AV312" s="1182">
        <f>IF(AV305&lt;&gt;"Yes",0,Bldg_Explosion_Press)</f>
        <v>0</v>
      </c>
      <c r="AW312" s="83"/>
      <c r="AX312" s="1182">
        <f>IF(AX305&lt;&gt;"Yes",0,Bldg_Explosion_Press)</f>
        <v>0</v>
      </c>
      <c r="AY312" s="83"/>
      <c r="AZ312" s="1182">
        <f>IF(AZ305&lt;&gt;"Yes",0,Bldg_Explosion_Press)</f>
        <v>0</v>
      </c>
      <c r="BA312" s="83"/>
      <c r="BB312" s="1182">
        <f>IF(BB305&lt;&gt;"Yes",0,Bldg_Explosion_Press)</f>
        <v>0</v>
      </c>
      <c r="BC312" s="83"/>
      <c r="BD312" s="1182">
        <f>IF(BD305&lt;&gt;"Yes",0,Bldg_Explosion_Press)</f>
        <v>0</v>
      </c>
      <c r="BE312" s="83"/>
      <c r="BF312" s="1182">
        <f>IF(BF305&lt;&gt;"Yes",0,Bldg_Explosion_Press)</f>
        <v>0</v>
      </c>
      <c r="BG312" s="83"/>
      <c r="BH312" s="1182">
        <f>IF(BH305&lt;&gt;"Yes",0,Bldg_Explosion_Press)</f>
        <v>0</v>
      </c>
      <c r="BI312" s="83"/>
      <c r="BJ312" s="1182">
        <f>IF(BJ305&lt;&gt;"Yes",0,Bldg_Explosion_Press)</f>
        <v>0</v>
      </c>
      <c r="BK312" s="83"/>
      <c r="BL312" s="1182">
        <f>IF(BL305&lt;&gt;"Yes",0,Bldg_Explosion_Press)</f>
        <v>0</v>
      </c>
      <c r="BM312" s="83"/>
      <c r="BN312" s="1182">
        <f>IF(BN305&lt;&gt;"Yes",0,Bldg_Explosion_Press)</f>
        <v>0</v>
      </c>
      <c r="BO312" s="83"/>
      <c r="BP312" s="85" t="s">
        <v>968</v>
      </c>
      <c r="BQ312" s="83"/>
      <c r="BR312" s="81"/>
      <c r="BS312" s="85" t="s">
        <v>689</v>
      </c>
      <c r="BT312" s="81"/>
      <c r="BU312" s="3010" t="str">
        <f>IF(BU311&gt;Public,"Yes","No")</f>
        <v>No</v>
      </c>
      <c r="BV312" s="81"/>
      <c r="BW312" s="4239"/>
      <c r="BX312" s="81"/>
      <c r="BY312" s="3010" t="str">
        <f>IF(BY311&gt;Public,"Yes","No")</f>
        <v>No</v>
      </c>
      <c r="BZ312" s="81"/>
      <c r="CA312" s="3010" t="str">
        <f>IF(CA311&gt;Public,"Yes","No")</f>
        <v>No</v>
      </c>
      <c r="CB312" s="81"/>
      <c r="CC312" s="4239"/>
      <c r="CD312" s="81"/>
      <c r="CE312" s="85"/>
      <c r="CF312" s="81"/>
      <c r="CG312" s="26"/>
      <c r="CH312" s="26"/>
      <c r="CI312" s="26"/>
      <c r="CJ312" s="26"/>
      <c r="CK312" s="26"/>
      <c r="CL312" s="26"/>
      <c r="CM312" s="26"/>
      <c r="CN312" s="26"/>
      <c r="CO312" s="26"/>
      <c r="CP312" s="26"/>
      <c r="CQ312" s="26"/>
      <c r="CR312" s="26"/>
    </row>
    <row r="313" spans="1:97" ht="15" customHeight="1" thickBot="1" x14ac:dyDescent="0.3">
      <c r="A313" s="2"/>
      <c r="B313" s="851" t="s">
        <v>1534</v>
      </c>
      <c r="C313" s="83"/>
      <c r="D313" s="2996">
        <f>IF(D307&lt;&gt;"Yes",0,Bldg_Explosion_Center)</f>
        <v>0</v>
      </c>
      <c r="E313" s="83"/>
      <c r="F313" s="2996">
        <f>IF(F307&lt;&gt;"Yes",0,Bldg_Explosion_Center)</f>
        <v>0</v>
      </c>
      <c r="G313" s="83"/>
      <c r="H313" s="2996">
        <f>IF(H307&lt;&gt;"Yes",0,Bldg_Explosion_Center)</f>
        <v>0</v>
      </c>
      <c r="I313" s="83"/>
      <c r="J313" s="2996">
        <f>IF(J307&lt;&gt;"Yes",0,Bldg_Explosion_Center)</f>
        <v>0</v>
      </c>
      <c r="K313" s="83"/>
      <c r="L313" s="2996">
        <f>IF(L307&lt;&gt;"Yes",0,Bldg_Explosion_Center)</f>
        <v>0</v>
      </c>
      <c r="M313" s="83"/>
      <c r="N313" s="2996">
        <f>IF(N307&lt;&gt;"Yes",0,Bldg_Explosion_Center)</f>
        <v>0</v>
      </c>
      <c r="O313" s="83"/>
      <c r="P313" s="2996">
        <f>IF(P307&lt;&gt;"Yes",0,Bldg_Explosion_Center)</f>
        <v>0</v>
      </c>
      <c r="Q313" s="83"/>
      <c r="R313" s="2996">
        <f>IF(R307&lt;&gt;"Yes",0,Bldg_Explosion_Center)</f>
        <v>0</v>
      </c>
      <c r="S313" s="83"/>
      <c r="T313" s="2996">
        <f>IF(T307&lt;&gt;"Yes",0,Bldg_Explosion_Center)</f>
        <v>0</v>
      </c>
      <c r="U313" s="83"/>
      <c r="V313" s="2996">
        <f>IF(V307&lt;&gt;"Yes",0,Bldg_Explosion_Center)</f>
        <v>0</v>
      </c>
      <c r="W313" s="83"/>
      <c r="X313" s="2996">
        <f>IF(X307&lt;&gt;"Yes",0,Bldg_Explosion_Center)</f>
        <v>0</v>
      </c>
      <c r="Y313" s="83"/>
      <c r="Z313" s="85" t="s">
        <v>968</v>
      </c>
      <c r="AA313" s="83"/>
      <c r="AB313" s="81"/>
      <c r="AC313" s="848" t="s">
        <v>4719</v>
      </c>
      <c r="AD313" s="81"/>
      <c r="AE313" s="2510" t="str">
        <f>IF(AND(Occ_Bldg2&gt;0,AE268&lt;&gt;""),IF(OR(AE268&gt;AE311,1-AE268/AE309&lt;0),"",-Max_Duration*LN(1-AE268/AE309)/IF(Ventilation_Rate="",Occ_Bldg_Vent,Ventilation_Rate)),"")</f>
        <v/>
      </c>
      <c r="AF313" s="81"/>
      <c r="AG313" s="2510" t="str">
        <f>IF(AND(Occ_Bldg2&gt;0,AG268&lt;&gt;""),IF(OR(AG268&gt;AG311,1-AG268/AG309&lt;0),"",-Max_Duration*LN(1-AG268/AG309)/IF(Ventilation_Rate="",Occ_Bldg_Vent,Ventilation_Rate)),"")</f>
        <v/>
      </c>
      <c r="AH313" s="81"/>
      <c r="AI313" s="2510" t="str">
        <f>IF(AND(Occ_Bldg2&gt;0,AI268&lt;&gt;""),IF(OR(AI268&gt;AI311,1-AI268/AI309&lt;0),"",-Max_Duration*LN(1-AI268/AI309)/IF(Ventilation_Rate="",Occ_Bldg_Vent,Ventilation_Rate)),"")</f>
        <v/>
      </c>
      <c r="AJ313" s="81"/>
      <c r="AK313" s="2510" t="str">
        <f>IF(AND(Occ_Bldg2&gt;0,AK268&lt;&gt;""),IF(OR(AK268&gt;AK311,1-AK268/AK309&lt;0),"",-Max_Duration*LN(1-AK268/AK309)/IF(Ventilation_Rate="",Occ_Bldg_Vent,Ventilation_Rate)),"")</f>
        <v/>
      </c>
      <c r="AL313" s="81"/>
      <c r="AM313" s="2510" t="str">
        <f>IF(AND(Occ_Bldg2&gt;0,AM268&lt;&gt;""),IF(OR(AM268&gt;AM311,1-AM268/AM309&lt;0),"",-Max_Duration*LN(1-AM268/AM309)/IF(Ventilation_Rate="",Occ_Bldg_Vent,Ventilation_Rate)),"")</f>
        <v/>
      </c>
      <c r="AN313" s="81"/>
      <c r="AO313" s="2510" t="str">
        <f>IF(AND(Occ_Bldg2&gt;0,AO268&lt;&gt;""),IF(OR(AO268&gt;AO311,1-AO268/AO309&lt;0),"",-Max_Duration*LN(1-AO268/AO309)/IF(Ventilation_Rate="",Occ_Bldg_Vent,Ventilation_Rate)),"")</f>
        <v/>
      </c>
      <c r="AP313" s="81"/>
      <c r="AQ313" s="85" t="s">
        <v>1760</v>
      </c>
      <c r="AR313" s="81"/>
      <c r="AS313" s="83"/>
      <c r="AT313" s="23" t="s">
        <v>2936</v>
      </c>
      <c r="AU313" s="83"/>
      <c r="AV313" s="1182">
        <f>IF(AV305&lt;&gt;"Yes",0,Bldg2_Explosion_Center)</f>
        <v>0</v>
      </c>
      <c r="AW313" s="83"/>
      <c r="AX313" s="1182">
        <f>IF(AX305&lt;&gt;"Yes",0,Bldg2_Explosion_Center)</f>
        <v>0</v>
      </c>
      <c r="AY313" s="83"/>
      <c r="AZ313" s="1182">
        <f>IF(AZ305&lt;&gt;"Yes",0,Bldg2_Explosion_Center)</f>
        <v>0</v>
      </c>
      <c r="BA313" s="83"/>
      <c r="BB313" s="1182">
        <f>IF(BB305&lt;&gt;"Yes",0,Bldg2_Explosion_Center)</f>
        <v>0</v>
      </c>
      <c r="BC313" s="83"/>
      <c r="BD313" s="1182">
        <f>IF(BD305&lt;&gt;"Yes",0,Bldg2_Explosion_Center)</f>
        <v>0</v>
      </c>
      <c r="BE313" s="83"/>
      <c r="BF313" s="1182">
        <f>IF(BF305&lt;&gt;"Yes",0,Bldg2_Explosion_Center)</f>
        <v>0</v>
      </c>
      <c r="BG313" s="83"/>
      <c r="BH313" s="1182">
        <f>IF(BH305&lt;&gt;"Yes",0,Bldg2_Explosion_Center)</f>
        <v>0</v>
      </c>
      <c r="BI313" s="83"/>
      <c r="BJ313" s="1182">
        <f>IF(BJ305&lt;&gt;"Yes",0,Bldg2_Explosion_Center)</f>
        <v>0</v>
      </c>
      <c r="BK313" s="83"/>
      <c r="BL313" s="1182">
        <f>IF(BL305&lt;&gt;"Yes",0,Bldg2_Explosion_Center)</f>
        <v>0</v>
      </c>
      <c r="BM313" s="83"/>
      <c r="BN313" s="1182">
        <f>IF(BN305&lt;&gt;"Yes",0,Bldg2_Explosion_Center)</f>
        <v>0</v>
      </c>
      <c r="BO313" s="83"/>
      <c r="BP313" s="85" t="s">
        <v>968</v>
      </c>
      <c r="BQ313" s="83"/>
      <c r="BR313" s="81"/>
      <c r="BS313" s="23" t="s">
        <v>1534</v>
      </c>
      <c r="BT313" s="81"/>
      <c r="BU313" s="2996">
        <f>IF(BU307&lt;&gt;"Yes",0,Bldg_Explosion_Center)</f>
        <v>0</v>
      </c>
      <c r="BV313" s="81"/>
      <c r="BW313" s="4239"/>
      <c r="BX313" s="81"/>
      <c r="BY313" s="2996">
        <f>IF(BY307&lt;&gt;"Yes",0,Bldg_Explosion_Center)</f>
        <v>0</v>
      </c>
      <c r="BZ313" s="81"/>
      <c r="CA313" s="2996">
        <f>IF(CA307&lt;&gt;"Yes",0,Bldg_Explosion_Center)</f>
        <v>0</v>
      </c>
      <c r="CB313" s="81"/>
      <c r="CC313" s="4239"/>
      <c r="CD313" s="81"/>
      <c r="CE313" s="85" t="s">
        <v>968</v>
      </c>
      <c r="CF313" s="81"/>
      <c r="CG313" s="26"/>
      <c r="CH313" s="26"/>
      <c r="CI313" s="26"/>
      <c r="CJ313" s="26"/>
      <c r="CK313" s="26"/>
      <c r="CL313" s="26"/>
      <c r="CM313" s="26"/>
      <c r="CN313" s="26"/>
      <c r="CO313" s="26"/>
      <c r="CP313" s="26"/>
      <c r="CQ313" s="26"/>
      <c r="CR313" s="26"/>
    </row>
    <row r="314" spans="1:97" ht="15" customHeight="1" x14ac:dyDescent="0.25">
      <c r="A314" s="2"/>
      <c r="B314" s="851" t="s">
        <v>698</v>
      </c>
      <c r="C314" s="83"/>
      <c r="D314" s="1182">
        <f>IF(D307&lt;&gt;"Yes",0,Bldg_Explosion_Press)</f>
        <v>0</v>
      </c>
      <c r="E314" s="83"/>
      <c r="F314" s="1182">
        <f>IF(F307&lt;&gt;"Yes",0,Bldg_Explosion_Press)</f>
        <v>0</v>
      </c>
      <c r="G314" s="83"/>
      <c r="H314" s="1182">
        <f>IF(H307&lt;&gt;"Yes",0,Bldg_Explosion_Press)</f>
        <v>0</v>
      </c>
      <c r="I314" s="83"/>
      <c r="J314" s="1182">
        <f>IF(J307&lt;&gt;"Yes",0,Bldg_Explosion_Press)</f>
        <v>0</v>
      </c>
      <c r="K314" s="83"/>
      <c r="L314" s="1182">
        <f>IF(L307&lt;&gt;"Yes",0,Bldg_Explosion_Press)</f>
        <v>0</v>
      </c>
      <c r="M314" s="83"/>
      <c r="N314" s="1182">
        <f>IF(N307&lt;&gt;"Yes",0,Bldg_Explosion_Press)</f>
        <v>0</v>
      </c>
      <c r="O314" s="83"/>
      <c r="P314" s="1182">
        <f>IF(P307&lt;&gt;"Yes",0,Bldg_Explosion_Press)</f>
        <v>0</v>
      </c>
      <c r="Q314" s="83"/>
      <c r="R314" s="1182">
        <f>IF(R307&lt;&gt;"Yes",0,Bldg_Explosion_Press)</f>
        <v>0</v>
      </c>
      <c r="S314" s="83"/>
      <c r="T314" s="1182">
        <f>IF(T307&lt;&gt;"Yes",0,Bldg_Explosion_Press)</f>
        <v>0</v>
      </c>
      <c r="U314" s="83"/>
      <c r="V314" s="1182">
        <f>IF(V307&lt;&gt;"Yes",0,Bldg_Explosion_Press)</f>
        <v>0</v>
      </c>
      <c r="W314" s="83"/>
      <c r="X314" s="1182">
        <f>IF(X307&lt;&gt;"Yes",0,Bldg_Explosion_Press)</f>
        <v>0</v>
      </c>
      <c r="Y314" s="83"/>
      <c r="Z314" s="85" t="s">
        <v>968</v>
      </c>
      <c r="AA314" s="83"/>
      <c r="AB314" s="81"/>
      <c r="AC314" s="848" t="s">
        <v>3541</v>
      </c>
      <c r="AD314" s="81"/>
      <c r="AE314" s="102">
        <f>IF(AND(AE294="Indoors",AE98&gt;0),IF((88020000000*AE91/AE98)/(Vent_Nat*Enclosed_Process_Volume+88020*AE91/AE98)&lt;MIN(AE$232,24450000*AE70/(AE98*Enclosed_Process_Volume)),(88020000000*AE91/AE98)/(Vent_Nat*Enclosed_Process_Volume+88020*AE91/AE98),MIN(AE$232,24450000*AE70/(AE98*Enclosed_Process_Volume))),0)</f>
        <v>0</v>
      </c>
      <c r="AF314" s="81"/>
      <c r="AG314" s="102">
        <f>IF(AND(AG294="Indoors",AG98&gt;0),IF((88020000000*AG91/AG98)/(Vent_Nat*Enclosed_Process_Volume+88020*AG91/AG98)&lt;MIN(AG$232,24450000*AG70/(AG98*Enclosed_Process_Volume)),(88020000000*AG91/AG98)/(Vent_Nat*Enclosed_Process_Volume+88020*AG91/AG98),MIN(AG$232,24450000*AG70/(AG98*Enclosed_Process_Volume))),0)</f>
        <v>0</v>
      </c>
      <c r="AH314" s="81"/>
      <c r="AI314" s="102">
        <f>IF(AND(AI294="Indoors",AI98&gt;0),IF((88020000000*AI91/AI98)/(Vent_Nat*Enclosed_Process_Volume+88020*AI91/AI98)&lt;MIN(AI$232,24450000*AI70/(AI98*Enclosed_Process_Volume)),(88020000000*AI91/AI98)/(Vent_Nat*Enclosed_Process_Volume+88020*AI91/AI98),MIN(AI$232,24450000*AI70/(AI98*Enclosed_Process_Volume))),0)</f>
        <v>0</v>
      </c>
      <c r="AJ314" s="81"/>
      <c r="AK314" s="102">
        <f>IF(AND(AK294="Indoors",AK98&gt;0),IF((88020000000*AK91/AK98)/(Vent_Nat*Enclosed_Process_Volume+88020*AK91/AK98)&lt;MIN(AK$232,24450000*AK70/(AK98*Enclosed_Process_Volume)),(88020000000*AK91/AK98)/(Vent_Nat*Enclosed_Process_Volume+88020*AK91/AK98),MIN(AK$232,24450000*AK70/(AK98*Enclosed_Process_Volume))),0)</f>
        <v>0</v>
      </c>
      <c r="AL314" s="81"/>
      <c r="AM314" s="102">
        <f>IF(AND(AM294="Indoors",AM98&gt;0),IF((88020000000*AM91/AM98)/(Vent_Nat*Enclosed_Process_Volume+88020*AM91/AM98)&lt;MIN(AM$232,24450000*AM70/(AM98*Enclosed_Process_Volume)),(88020000000*AM91/AM98)/(Vent_Nat*Enclosed_Process_Volume+88020*AM91/AM98),MIN(AM$232,24450000*AM70/(AM98*Enclosed_Process_Volume))),0)</f>
        <v>0</v>
      </c>
      <c r="AN314" s="81"/>
      <c r="AO314" s="102">
        <f>IF(AND(AO294="Indoors",AO98&gt;0),IF((88020000000*AO91/AO98)/(Vent_Nat*Enclosed_Process_Volume+88020*AO91/AO98)&lt;MIN(AO$232,24450000*AO70/(AO98*Enclosed_Process_Volume)),(88020000000*AO91/AO98)/(Vent_Nat*Enclosed_Process_Volume+88020*AO91/AO98),MIN(AO$232,24450000*AO70/(AO98*Enclosed_Process_Volume))),0)</f>
        <v>0</v>
      </c>
      <c r="AP314" s="81"/>
      <c r="AQ314" s="92" t="s">
        <v>1506</v>
      </c>
      <c r="AR314" s="81"/>
      <c r="AS314" s="83"/>
      <c r="AT314" s="23" t="s">
        <v>628</v>
      </c>
      <c r="AU314" s="83"/>
      <c r="AV314" s="1182">
        <f>IF(AV305&lt;&gt;"Yes",0,Bldg2_Explosion_Press)</f>
        <v>0</v>
      </c>
      <c r="AW314" s="83"/>
      <c r="AX314" s="1182">
        <f>IF(AX305&lt;&gt;"Yes",0,Bldg2_Explosion_Press)</f>
        <v>0</v>
      </c>
      <c r="AY314" s="83"/>
      <c r="AZ314" s="1182">
        <f>IF(AZ305&lt;&gt;"Yes",0,Bldg2_Explosion_Press)</f>
        <v>0</v>
      </c>
      <c r="BA314" s="83"/>
      <c r="BB314" s="1182">
        <f>IF(BB305&lt;&gt;"Yes",0,Bldg2_Explosion_Press)</f>
        <v>0</v>
      </c>
      <c r="BC314" s="83"/>
      <c r="BD314" s="1182">
        <f>IF(BD305&lt;&gt;"Yes",0,Bldg2_Explosion_Press)</f>
        <v>0</v>
      </c>
      <c r="BE314" s="83"/>
      <c r="BF314" s="1182">
        <f>IF(BF305&lt;&gt;"Yes",0,Bldg2_Explosion_Press)</f>
        <v>0</v>
      </c>
      <c r="BG314" s="83"/>
      <c r="BH314" s="1182">
        <f>IF(BH305&lt;&gt;"Yes",0,Bldg2_Explosion_Press)</f>
        <v>0</v>
      </c>
      <c r="BI314" s="83"/>
      <c r="BJ314" s="1182">
        <f>IF(BJ305&lt;&gt;"Yes",0,Bldg2_Explosion_Press)</f>
        <v>0</v>
      </c>
      <c r="BK314" s="83"/>
      <c r="BL314" s="1182">
        <f>IF(BL305&lt;&gt;"Yes",0,Bldg2_Explosion_Press)</f>
        <v>0</v>
      </c>
      <c r="BM314" s="83"/>
      <c r="BN314" s="1182">
        <f>IF(BN305&lt;&gt;"Yes",0,Bldg2_Explosion_Press)</f>
        <v>0</v>
      </c>
      <c r="BO314" s="83"/>
      <c r="BP314" s="85" t="s">
        <v>968</v>
      </c>
      <c r="BQ314" s="83"/>
      <c r="BR314" s="81"/>
      <c r="BS314" s="23" t="s">
        <v>698</v>
      </c>
      <c r="BT314" s="81"/>
      <c r="BU314" s="1182">
        <f>IF(BU307&lt;&gt;"Yes",0,Bldg_Explosion_Press)</f>
        <v>0</v>
      </c>
      <c r="BV314" s="81"/>
      <c r="BW314" s="4239"/>
      <c r="BX314" s="81"/>
      <c r="BY314" s="1182">
        <f>IF(BY307&lt;&gt;"Yes",0,Bldg_Explosion_Press)</f>
        <v>0</v>
      </c>
      <c r="BZ314" s="81"/>
      <c r="CA314" s="1182">
        <f>IF(CA307&lt;&gt;"Yes",0,Bldg_Explosion_Press)</f>
        <v>0</v>
      </c>
      <c r="CB314" s="81"/>
      <c r="CC314" s="4239"/>
      <c r="CD314" s="81"/>
      <c r="CE314" s="85" t="s">
        <v>968</v>
      </c>
      <c r="CF314" s="81"/>
      <c r="CG314" s="26"/>
      <c r="CH314" s="26"/>
      <c r="CI314" s="26"/>
      <c r="CJ314" s="26"/>
      <c r="CK314" s="26"/>
      <c r="CL314" s="26"/>
      <c r="CM314" s="26"/>
      <c r="CN314" s="26"/>
      <c r="CO314" s="26"/>
      <c r="CP314" s="26"/>
      <c r="CQ314" s="26"/>
      <c r="CR314" s="26"/>
    </row>
    <row r="315" spans="1:97" ht="15" customHeight="1" thickBot="1" x14ac:dyDescent="0.3">
      <c r="A315" s="2"/>
      <c r="B315" s="851" t="s">
        <v>2933</v>
      </c>
      <c r="C315" s="83"/>
      <c r="D315" s="1182">
        <f>IF(D307&lt;&gt;"Yes",0,Bldg2_Explosion_Center)</f>
        <v>0</v>
      </c>
      <c r="E315" s="83"/>
      <c r="F315" s="1182">
        <f>IF(F307&lt;&gt;"Yes",0,Bldg2_Explosion_Center)</f>
        <v>0</v>
      </c>
      <c r="G315" s="83"/>
      <c r="H315" s="1182">
        <f>IF(H307&lt;&gt;"Yes",0,Bldg2_Explosion_Center)</f>
        <v>0</v>
      </c>
      <c r="I315" s="83"/>
      <c r="J315" s="1182">
        <f>IF(J307&lt;&gt;"Yes",0,Bldg2_Explosion_Center)</f>
        <v>0</v>
      </c>
      <c r="K315" s="83"/>
      <c r="L315" s="1182">
        <f>IF(L307&lt;&gt;"Yes",0,Bldg2_Explosion_Center)</f>
        <v>0</v>
      </c>
      <c r="M315" s="83"/>
      <c r="N315" s="1182">
        <f>IF(N307&lt;&gt;"Yes",0,Bldg2_Explosion_Center)</f>
        <v>0</v>
      </c>
      <c r="O315" s="83"/>
      <c r="P315" s="1182">
        <f>IF(P307&lt;&gt;"Yes",0,Bldg2_Explosion_Center)</f>
        <v>0</v>
      </c>
      <c r="Q315" s="83"/>
      <c r="R315" s="1182">
        <f>IF(R307&lt;&gt;"Yes",0,Bldg2_Explosion_Center)</f>
        <v>0</v>
      </c>
      <c r="S315" s="83"/>
      <c r="T315" s="1182">
        <f>IF(T307&lt;&gt;"Yes",0,Bldg2_Explosion_Center)</f>
        <v>0</v>
      </c>
      <c r="U315" s="83"/>
      <c r="V315" s="1182">
        <f>IF(V307&lt;&gt;"Yes",0,Bldg2_Explosion_Center)</f>
        <v>0</v>
      </c>
      <c r="W315" s="83"/>
      <c r="X315" s="1182">
        <f>IF(X307&lt;&gt;"Yes",0,Bldg2_Explosion_Center)</f>
        <v>0</v>
      </c>
      <c r="Y315" s="83"/>
      <c r="Z315" s="85" t="s">
        <v>968</v>
      </c>
      <c r="AA315" s="83"/>
      <c r="AB315" s="81"/>
      <c r="AC315" s="848" t="s">
        <v>4111</v>
      </c>
      <c r="AD315" s="81"/>
      <c r="AE315" s="1183">
        <f>IF(AND(AE294="Indoors",AE98&gt;0,Enclosed_Ventilation_Rate&gt;0),IF((88020000000*AE91/AE98)/(Enclosed_Ventilation_Rate*Enclosed_Process_Volume+88020*AE91/AE98)&lt;MIN(AE$232,24450000*AE70/(AE98*Enclosed_Process_Volume)),(88020000000*AE91/AE98)/(Enclosed_Ventilation_Rate*Enclosed_Process_Volume+88020*AE91/AE98),MIN(AE$232,24450000*AE70/(AE98*Enclosed_Process_Volume))),AE314)</f>
        <v>0</v>
      </c>
      <c r="AF315" s="81"/>
      <c r="AG315" s="1183">
        <f>IF(AND(AG294="Indoors",AG98&gt;0,Enclosed_Ventilation_Rate&gt;0),IF((88020000000*AG91/AG98)/(Enclosed_Ventilation_Rate*Enclosed_Process_Volume+88020*AG91/AG98)&lt;MIN(AG$232,24450000*AG70/(AG98*Enclosed_Process_Volume)),(88020000000*AG91/AG98)/(Enclosed_Ventilation_Rate*Enclosed_Process_Volume+88020*AG91/AG98),MIN(AG$232,24450000*AG70/(AG98*Enclosed_Process_Volume))),AG314)</f>
        <v>0</v>
      </c>
      <c r="AH315" s="81"/>
      <c r="AI315" s="1183">
        <f>IF(AND(AI294="Indoors",AI98&gt;0,Enclosed_Ventilation_Rate&gt;0),IF((88020000000*AI91/AI98)/(Enclosed_Ventilation_Rate*Enclosed_Process_Volume+88020*AI91/AI98)&lt;MIN(AI$232,24450000*AI70/(AI98*Enclosed_Process_Volume)),(88020000000*AI91/AI98)/(Enclosed_Ventilation_Rate*Enclosed_Process_Volume+88020*AI91/AI98),MIN(AI$232,24450000*AI70/(AI98*Enclosed_Process_Volume))),AI314)</f>
        <v>0</v>
      </c>
      <c r="AJ315" s="81"/>
      <c r="AK315" s="1183">
        <f>IF(AND(AK294="Indoors",AK98&gt;0,Enclosed_Ventilation_Rate&gt;0),IF((88020000000*AK91/AK98)/(Enclosed_Ventilation_Rate*Enclosed_Process_Volume+88020*AK91/AK98)&lt;MIN(AK$232,24450000*AK70/(AK98*Enclosed_Process_Volume)),(88020000000*AK91/AK98)/(Enclosed_Ventilation_Rate*Enclosed_Process_Volume+88020*AK91/AK98),MIN(AK$232,24450000*AK70/(AK98*Enclosed_Process_Volume))),AK314)</f>
        <v>0</v>
      </c>
      <c r="AL315" s="81"/>
      <c r="AM315" s="1183">
        <f>IF(AND(AM294="Indoors",AM98&gt;0,Enclosed_Ventilation_Rate&gt;0),IF((88020000000*AM91/AM98)/(Enclosed_Ventilation_Rate*Enclosed_Process_Volume+88020*AM91/AM98)&lt;MIN(AM$232,24450000*AM70/(AM98*Enclosed_Process_Volume)),(88020000000*AM91/AM98)/(Enclosed_Ventilation_Rate*Enclosed_Process_Volume+88020*AM91/AM98),MIN(AM$232,24450000*AM70/(AM98*Enclosed_Process_Volume))),AM314)</f>
        <v>0</v>
      </c>
      <c r="AN315" s="81"/>
      <c r="AO315" s="1183">
        <f>IF(AND(AO294="Indoors",AO98&gt;0,Enclosed_Ventilation_Rate&gt;0),IF((88020000000*AO91/AO98)/(Enclosed_Ventilation_Rate*Enclosed_Process_Volume+88020*AO91/AO98)&lt;MIN(AO$232,24450000*AO70/(AO98*Enclosed_Process_Volume)),(88020000000*AO91/AO98)/(Enclosed_Ventilation_Rate*Enclosed_Process_Volume+88020*AO91/AO98),MIN(AO$232,24450000*AO70/(AO98*Enclosed_Process_Volume))),AO314)</f>
        <v>0</v>
      </c>
      <c r="AP315" s="81"/>
      <c r="AQ315" s="85" t="s">
        <v>1506</v>
      </c>
      <c r="AR315" s="81"/>
      <c r="AS315" s="83"/>
      <c r="AT315" s="25" t="s">
        <v>1863</v>
      </c>
      <c r="AU315" s="83"/>
      <c r="AV315" s="98" t="str">
        <f>IF(AND(AV309&gt;10,OR(AV312&gt;Bldg_Type_Correction,AV314&gt;Bldg2_Type_Correction)),"Yes","No")</f>
        <v>No</v>
      </c>
      <c r="AW315" s="83"/>
      <c r="AX315" s="98" t="str">
        <f>IF(AND(AX309&gt;10,OR(AX312&gt;Bldg_Type_Correction,AX314&gt;Bldg2_Type_Correction)),"Yes","No")</f>
        <v>No</v>
      </c>
      <c r="AY315" s="83"/>
      <c r="AZ315" s="98" t="str">
        <f>IF(AND(AZ309&gt;10,OR(AZ312&gt;Bldg_Type_Correction,AZ314&gt;Bldg2_Type_Correction)),"Yes","No")</f>
        <v>No</v>
      </c>
      <c r="BA315" s="83"/>
      <c r="BB315" s="98" t="str">
        <f>IF(AND(BB309&gt;10,OR(BB312&gt;Bldg_Type_Correction,BB314&gt;Bldg2_Type_Correction)),"Yes","No")</f>
        <v>No</v>
      </c>
      <c r="BC315" s="83"/>
      <c r="BD315" s="98" t="str">
        <f>IF(AND(BD309&gt;10,OR(BD312&gt;Bldg_Type_Correction,BD314&gt;Bldg2_Type_Correction)),"Yes","No")</f>
        <v>No</v>
      </c>
      <c r="BE315" s="83"/>
      <c r="BF315" s="98" t="str">
        <f>IF(AND(BF309&gt;10,OR(BF312&gt;Bldg_Type_Correction,BF314&gt;Bldg2_Type_Correction)),"Yes","No")</f>
        <v>No</v>
      </c>
      <c r="BG315" s="83"/>
      <c r="BH315" s="98" t="str">
        <f>IF(AND(BH309&gt;10,OR(BH312&gt;Bldg_Type_Correction,BH314&gt;Bldg2_Type_Correction)),"Yes","No")</f>
        <v>No</v>
      </c>
      <c r="BI315" s="83"/>
      <c r="BJ315" s="98" t="str">
        <f>IF(AND(BJ309&gt;10,OR(BJ312&gt;Bldg_Type_Correction,BJ314&gt;Bldg2_Type_Correction)),"Yes","No")</f>
        <v>No</v>
      </c>
      <c r="BK315" s="83"/>
      <c r="BL315" s="98" t="str">
        <f>IF(AND(BL309&gt;10,OR(BL312&gt;Bldg_Type_Correction,BL314&gt;Bldg2_Type_Correction)),"Yes","No")</f>
        <v>No</v>
      </c>
      <c r="BM315" s="83"/>
      <c r="BN315" s="98" t="str">
        <f>IF(AND(BN309&gt;10,OR(BN312&gt;Bldg_Type_Correction,BN314&gt;Bldg2_Type_Correction)),"Yes","No")</f>
        <v>No</v>
      </c>
      <c r="BO315" s="83"/>
      <c r="BP315" s="98"/>
      <c r="BQ315" s="83"/>
      <c r="BR315" s="81"/>
      <c r="BS315" s="23" t="s">
        <v>2936</v>
      </c>
      <c r="BT315" s="81"/>
      <c r="BU315" s="1182">
        <f>IF(BU307&lt;&gt;"Yes",0,Bldg2_Explosion_Center)</f>
        <v>0</v>
      </c>
      <c r="BV315" s="81"/>
      <c r="BW315" s="4239"/>
      <c r="BX315" s="81"/>
      <c r="BY315" s="1182">
        <f>IF(BY307&lt;&gt;"Yes",0,Bldg2_Explosion_Center)</f>
        <v>0</v>
      </c>
      <c r="BZ315" s="81"/>
      <c r="CA315" s="1182">
        <f>IF(CA307&lt;&gt;"Yes",0,Bldg2_Explosion_Center)</f>
        <v>0</v>
      </c>
      <c r="CB315" s="81"/>
      <c r="CC315" s="4239"/>
      <c r="CD315" s="81"/>
      <c r="CE315" s="85" t="s">
        <v>968</v>
      </c>
      <c r="CF315" s="81"/>
      <c r="CG315" s="26"/>
      <c r="CH315" s="26"/>
      <c r="CI315" s="26"/>
      <c r="CJ315" s="26"/>
      <c r="CK315" s="26"/>
      <c r="CL315" s="26"/>
      <c r="CM315" s="26"/>
      <c r="CN315" s="26"/>
      <c r="CO315" s="26"/>
      <c r="CP315" s="26"/>
      <c r="CQ315" s="26"/>
      <c r="CR315" s="26"/>
    </row>
    <row r="316" spans="1:97" ht="15" customHeight="1" x14ac:dyDescent="0.25">
      <c r="A316" s="2"/>
      <c r="B316" s="851" t="s">
        <v>628</v>
      </c>
      <c r="C316" s="83"/>
      <c r="D316" s="1182">
        <f>IF(D307&lt;&gt;"Yes",0,Bldg2_Explosion_Press)</f>
        <v>0</v>
      </c>
      <c r="E316" s="83"/>
      <c r="F316" s="1182">
        <f>IF(F307&lt;&gt;"Yes",0,Bldg2_Explosion_Press)</f>
        <v>0</v>
      </c>
      <c r="G316" s="83"/>
      <c r="H316" s="1182">
        <f>IF(H307&lt;&gt;"Yes",0,Bldg2_Explosion_Press)</f>
        <v>0</v>
      </c>
      <c r="I316" s="83"/>
      <c r="J316" s="1182">
        <f>IF(J307&lt;&gt;"Yes",0,Bldg2_Explosion_Press)</f>
        <v>0</v>
      </c>
      <c r="K316" s="83"/>
      <c r="L316" s="1182">
        <f>IF(L307&lt;&gt;"Yes",0,Bldg2_Explosion_Press)</f>
        <v>0</v>
      </c>
      <c r="M316" s="83"/>
      <c r="N316" s="1182">
        <f>IF(N307&lt;&gt;"Yes",0,Bldg2_Explosion_Press)</f>
        <v>0</v>
      </c>
      <c r="O316" s="83"/>
      <c r="P316" s="1182">
        <f>IF(P307&lt;&gt;"Yes",0,Bldg2_Explosion_Press)</f>
        <v>0</v>
      </c>
      <c r="Q316" s="83"/>
      <c r="R316" s="1182">
        <f>IF(R307&lt;&gt;"Yes",0,Bldg2_Explosion_Press)</f>
        <v>0</v>
      </c>
      <c r="S316" s="83"/>
      <c r="T316" s="1182">
        <f>IF(T307&lt;&gt;"Yes",0,Bldg2_Explosion_Press)</f>
        <v>0</v>
      </c>
      <c r="U316" s="83"/>
      <c r="V316" s="1182">
        <f>IF(V307&lt;&gt;"Yes",0,Bldg2_Explosion_Press)</f>
        <v>0</v>
      </c>
      <c r="W316" s="83"/>
      <c r="X316" s="1182">
        <f>IF(X307&lt;&gt;"Yes",0,Bldg2_Explosion_Press)</f>
        <v>0</v>
      </c>
      <c r="Y316" s="83"/>
      <c r="Z316" s="85" t="s">
        <v>968</v>
      </c>
      <c r="AA316" s="83"/>
      <c r="AB316" s="81"/>
      <c r="AC316" s="848" t="s">
        <v>4717</v>
      </c>
      <c r="AD316" s="81"/>
      <c r="AE316" s="2103" t="str">
        <f>IF(AND(AE294="Indoors",AE89&gt;0,AE268&lt;&gt;""),IF(1-AE268*AE98/(88020000000*AE89/(Vent_Nat*Enclosed_Process_Volume+88020*AE89/AE98))&gt;0,-Max_Duration*Vent_Nat*LN(1-AE268*AE98/(88020000000*AE89/(Vent_Nat*Enclosed_Process_Volume+88020*AE89/AE98))),""),"")</f>
        <v/>
      </c>
      <c r="AF316" s="81"/>
      <c r="AG316" s="2103" t="str">
        <f>IF(AND(AG294="Indoors",AG89&gt;0,AG268&lt;&gt;""),IF(1-AG268*AG98/(88020000000*AG89/(Vent_Nat*Enclosed_Process_Volume+88020*AG89/AG98))&gt;0,-Max_Duration*Vent_Nat*LN(1-AG268*AG98/(88020000000*AG89/(Vent_Nat*Enclosed_Process_Volume+88020*AG89/AG98))),""),"")</f>
        <v/>
      </c>
      <c r="AH316" s="81"/>
      <c r="AI316" s="2103" t="str">
        <f>IF(AND(AI294="Indoors",AI89&gt;0,AI268&lt;&gt;""),IF(1-AI268*AI98/(88020000000*AI89/(Vent_Nat*Enclosed_Process_Volume+88020*AI89/AI98))&gt;0,-Max_Duration*Vent_Nat*LN(1-AI268*AI98/(88020000000*AI89/(Vent_Nat*Enclosed_Process_Volume+88020*AI89/AI98))),""),"")</f>
        <v/>
      </c>
      <c r="AJ316" s="81"/>
      <c r="AK316" s="2103" t="str">
        <f>IF(AND(AK294="Indoors",AK89&gt;0,AK268&lt;&gt;""),IF(1-AK268*AK98/(88020000000*AK89/(Vent_Nat*Enclosed_Process_Volume+88020*AK89/AK98))&gt;0,-Max_Duration*Vent_Nat*LN(1-AK268*AK98/(88020000000*AK89/(Vent_Nat*Enclosed_Process_Volume+88020*AK89/AK98))),""),"")</f>
        <v/>
      </c>
      <c r="AL316" s="81"/>
      <c r="AM316" s="2103" t="str">
        <f>IF(AND(AM294="Indoors",AM89&gt;0,AM268&lt;&gt;""),IF(1-AM268*AM98/(88020000000*AM89/(Vent_Nat*Enclosed_Process_Volume+88020*AM89/AM98))&gt;0,-Max_Duration*Vent_Nat*LN(1-AM268*AM98/(88020000000*AM89/(Vent_Nat*Enclosed_Process_Volume+88020*AM89/AM98))),""),"")</f>
        <v/>
      </c>
      <c r="AN316" s="81"/>
      <c r="AO316" s="2103" t="str">
        <f>IF(AND(AO294="Indoors",AO89&gt;0,AO268&lt;&gt;""),IF(1-AO268*AO98/(88020000000*AO89/(Vent_Nat*Enclosed_Process_Volume+88020*AO89/AO98))&gt;0,-Max_Duration*Vent_Nat*LN(1-AO268*AO98/(88020000000*AO89/(Vent_Nat*Enclosed_Process_Volume+88020*AO89/AO98))),""),"")</f>
        <v/>
      </c>
      <c r="AP316" s="81"/>
      <c r="AQ316" s="85"/>
      <c r="AR316" s="81"/>
      <c r="AS316" s="83"/>
      <c r="AT316" s="92" t="s">
        <v>1532</v>
      </c>
      <c r="AU316" s="83"/>
      <c r="AV316" s="102" t="str">
        <f>IF(OR(Flash_Pt_Feed="",AV66=0,Location&lt;&gt;"Outdoors"),"No",IF(OR(AND(Flame_Speed_Feed="High",MIN(AV66,AV74*AV318/Wind)&gt;VCE_LowTotal),AND(Flame_Speed_Feed&lt;&gt;"High",MIN(AV66,AV74*AV318/Wind)&gt;VCE_HighTotal)),"Yes","No"))</f>
        <v>No</v>
      </c>
      <c r="AW316" s="83"/>
      <c r="AX316" s="102" t="str">
        <f>IF(OR(Flash_Pt_Feed="",AX66=0,Location&lt;&gt;"Outdoors"),"No",IF(OR(AND(Flame_Speed_Feed="High",MIN(AX66,AX74*AX318/Wind)&gt;VCE_LowTotal),AND(Flame_Speed_Feed&lt;&gt;"High",MIN(AX66,AX74*AX318/Wind)&gt;VCE_HighTotal)),"Yes","No"))</f>
        <v>No</v>
      </c>
      <c r="AY316" s="83"/>
      <c r="AZ316" s="102" t="str">
        <f>IF(OR(Flash_Pt_Feed="",AZ66=0,Location&lt;&gt;"Outdoors"),"No",IF(OR(AND(Flame_Speed_Feed="High",MIN(AZ66,AZ74*AZ318/Wind)&gt;VCE_LowTotal),AND(Flame_Speed_Feed&lt;&gt;"High",MIN(AZ66,AZ74*AZ318/Wind)&gt;VCE_HighTotal)),"Yes","No"))</f>
        <v>No</v>
      </c>
      <c r="BA316" s="83"/>
      <c r="BB316" s="102" t="str">
        <f>IF(OR(Flash_Pt_Feed="",BB66=0,Location&lt;&gt;"Outdoors"),"No",IF(OR(AND(Flame_Speed_Feed="High",MIN(BB66,BB74*BB318/Wind)&gt;VCE_LowTotal),AND(Flame_Speed_Feed&lt;&gt;"High",MIN(BB66,BB74*BB318/Wind)&gt;VCE_HighTotal)),"Yes","No"))</f>
        <v>No</v>
      </c>
      <c r="BC316" s="83"/>
      <c r="BD316" s="102" t="str">
        <f>IF(OR(Flash_Pt_Feed="",BD66=0,Location&lt;&gt;"Outdoors"),"No",IF(OR(AND(Flame_Speed_Feed="High",MIN(BD66,BD74*BD318/Wind)&gt;VCE_LowTotal),AND(Flame_Speed_Feed&lt;&gt;"High",MIN(BD66,BD74*BD318/Wind)&gt;VCE_HighTotal)),"Yes","No"))</f>
        <v>No</v>
      </c>
      <c r="BE316" s="83"/>
      <c r="BF316" s="102" t="str">
        <f>IF(OR(Flash_Pt_Feed="",BF66=0,Location&lt;&gt;"Outdoors"),"No",IF(OR(AND(Flame_Speed_Feed="High",MIN(BF66,BF74*BF318/Wind)&gt;VCE_LowTotal),AND(Flame_Speed_Feed&lt;&gt;"High",MIN(BF66,BF74*BF318/Wind)&gt;VCE_HighTotal)),"Yes","No"))</f>
        <v>No</v>
      </c>
      <c r="BG316" s="83"/>
      <c r="BH316" s="102" t="str">
        <f>IF(OR(Flash_Pt_Feed="",BH66=0,Location&lt;&gt;"Outdoors"),"No",IF(OR(AND(Flame_Speed_Feed="High",MIN(BH66,BH74*BH318/Wind)&gt;VCE_LowTotal),AND(Flame_Speed_Feed&lt;&gt;"High",MIN(BH66,BH74*BH318/Wind)&gt;VCE_HighTotal)),"Yes","No"))</f>
        <v>No</v>
      </c>
      <c r="BI316" s="83"/>
      <c r="BJ316" s="102" t="str">
        <f>IF(OR(Flash_Pt_Feed="",BJ66=0,Location&lt;&gt;"Outdoors"),"No",IF(OR(AND(Flame_Speed_Feed="High",MIN(BJ66,BJ74*BJ318/Wind)&gt;VCE_LowTotal),AND(Flame_Speed_Feed&lt;&gt;"High",MIN(BJ66,BJ74*BJ318/Wind)&gt;VCE_HighTotal)),"Yes","No"))</f>
        <v>No</v>
      </c>
      <c r="BK316" s="83"/>
      <c r="BL316" s="102" t="str">
        <f>IF(OR(Flash_Pt_Feed="",BL66=0,Location&lt;&gt;"Outdoors"),"No",IF(OR(AND(Flame_Speed_Feed="High",MIN(BL66,BL74*BL318/Wind)&gt;VCE_LowTotal),AND(Flame_Speed_Feed&lt;&gt;"High",MIN(BL66,BL74*BL318/Wind)&gt;VCE_HighTotal)),"Yes","No"))</f>
        <v>No</v>
      </c>
      <c r="BM316" s="83"/>
      <c r="BN316" s="102" t="str">
        <f>IF(OR(Flash_Pt_Feed="",BN66=0,Location&lt;&gt;"Outdoors"),"No",IF(OR(AND(Flame_Speed_Feed="High",MIN(BN66,BN74*BN318/Wind)&gt;VCE_LowTotal),AND(Flame_Speed_Feed&lt;&gt;"High",MIN(BN66,BN74*BN318/Wind)&gt;VCE_HighTotal)),"Yes","No"))</f>
        <v>No</v>
      </c>
      <c r="BO316" s="83"/>
      <c r="BP316" s="997"/>
      <c r="BQ316" s="83"/>
      <c r="BR316" s="81"/>
      <c r="BS316" s="23" t="s">
        <v>628</v>
      </c>
      <c r="BT316" s="81"/>
      <c r="BU316" s="1182">
        <f>IF(BU307&lt;&gt;"Yes",0,Bldg2_Explosion_Press)</f>
        <v>0</v>
      </c>
      <c r="BV316" s="81"/>
      <c r="BW316" s="4239"/>
      <c r="BX316" s="81"/>
      <c r="BY316" s="1182">
        <f>IF(BY307&lt;&gt;"Yes",0,Bldg2_Explosion_Press)</f>
        <v>0</v>
      </c>
      <c r="BZ316" s="81"/>
      <c r="CA316" s="1182">
        <f>IF(CA307&lt;&gt;"Yes",0,Bldg2_Explosion_Press)</f>
        <v>0</v>
      </c>
      <c r="CB316" s="81"/>
      <c r="CC316" s="4239"/>
      <c r="CD316" s="81"/>
      <c r="CE316" s="85" t="s">
        <v>968</v>
      </c>
      <c r="CF316" s="81"/>
      <c r="CG316" s="26"/>
      <c r="CH316" s="26"/>
      <c r="CI316" s="26"/>
      <c r="CJ316" s="26"/>
      <c r="CK316" s="26"/>
      <c r="CL316" s="26"/>
      <c r="CM316" s="26"/>
      <c r="CN316" s="26"/>
      <c r="CO316" s="26"/>
      <c r="CP316" s="26"/>
      <c r="CQ316" s="26"/>
      <c r="CR316" s="26"/>
    </row>
    <row r="317" spans="1:97" ht="15" customHeight="1" thickBot="1" x14ac:dyDescent="0.3">
      <c r="A317" s="2"/>
      <c r="B317" s="849" t="s">
        <v>1863</v>
      </c>
      <c r="C317" s="83"/>
      <c r="D317" s="98" t="str">
        <f>IF(AND(D311&gt;10,OR(D314&gt;Bldg_Type_Correction,D316&gt;Bldg2_Type_Correction)),"Yes","No")</f>
        <v>No</v>
      </c>
      <c r="E317" s="83"/>
      <c r="F317" s="98" t="str">
        <f>IF(AND(F311&gt;10,OR(F314&gt;Bldg_Type_Correction,F316&gt;Bldg2_Type_Correction)),"Yes","No")</f>
        <v>No</v>
      </c>
      <c r="G317" s="83"/>
      <c r="H317" s="98" t="str">
        <f>IF(AND(H311&gt;10,OR(H314&gt;Bldg_Type_Correction,H316&gt;Bldg2_Type_Correction)),"Yes","No")</f>
        <v>No</v>
      </c>
      <c r="I317" s="83"/>
      <c r="J317" s="98" t="str">
        <f>IF(AND(J311&gt;10,OR(J314&gt;Bldg_Type_Correction,J316&gt;Bldg2_Type_Correction)),"Yes","No")</f>
        <v>No</v>
      </c>
      <c r="K317" s="83"/>
      <c r="L317" s="98" t="str">
        <f>IF(AND(L311&gt;10,OR(L314&gt;Bldg_Type_Correction,L316&gt;Bldg2_Type_Correction)),"Yes","No")</f>
        <v>No</v>
      </c>
      <c r="M317" s="83"/>
      <c r="N317" s="98" t="str">
        <f>IF(AND(N311&gt;10,OR(N314&gt;Bldg_Type_Correction,N316&gt;Bldg2_Type_Correction)),"Yes","No")</f>
        <v>No</v>
      </c>
      <c r="O317" s="83"/>
      <c r="P317" s="98" t="str">
        <f>IF(AND(P311&gt;10,OR(P314&gt;Bldg_Type_Correction,P316&gt;Bldg2_Type_Correction)),"Yes","No")</f>
        <v>No</v>
      </c>
      <c r="Q317" s="83"/>
      <c r="R317" s="98" t="str">
        <f>IF(AND(R311&gt;10,OR(R314&gt;Bldg_Type_Correction,R316&gt;Bldg2_Type_Correction)),"Yes","No")</f>
        <v>No</v>
      </c>
      <c r="S317" s="83"/>
      <c r="T317" s="98" t="str">
        <f>IF(AND(T311&gt;10,OR(T314&gt;Bldg_Type_Correction,T316&gt;Bldg2_Type_Correction)),"Yes","No")</f>
        <v>No</v>
      </c>
      <c r="U317" s="83"/>
      <c r="V317" s="98" t="str">
        <f>IF(AND(V311&gt;10,OR(V314&gt;Bldg_Type_Correction,V316&gt;Bldg2_Type_Correction)),"Yes","No")</f>
        <v>No</v>
      </c>
      <c r="W317" s="83"/>
      <c r="X317" s="98" t="str">
        <f>IF(AND(X311&gt;10,OR(X314&gt;Bldg_Type_Correction,X316&gt;Bldg2_Type_Correction)),"Yes","No")</f>
        <v>No</v>
      </c>
      <c r="Y317" s="83"/>
      <c r="Z317" s="89"/>
      <c r="AA317" s="83"/>
      <c r="AB317" s="81"/>
      <c r="AC317" s="848" t="s">
        <v>4714</v>
      </c>
      <c r="AD317" s="81"/>
      <c r="AE317" s="1183" t="str">
        <f>IF(AND(AE294="Indoors",AE89&gt;0,AE268&lt;&gt;""),IF(1-AE268*AE98/(88020000000*AE89/(MAX(Vent_Nat,Enclosed_Ventilation_Rate)*Enclosed_Process_Volume+88020*AE89/AE98))&gt;0,-Max_Duration*MAX(Vent_Nat,Enclosed_Ventilation_Rate)*LN(1-AE268*AE98/(88020000000*AE89/(MAX(Vent_Nat,Enclosed_Ventilation_Rate)*Enclosed_Process_Volume+88020*AE89/AE98))),""),"")</f>
        <v/>
      </c>
      <c r="AF317" s="81"/>
      <c r="AG317" s="1183" t="str">
        <f>IF(AND(AG294="Indoors",AG89&gt;0,AG268&lt;&gt;""),IF(1-AG268*AG98/(88020000000*AG89/(MAX(Vent_Nat,Enclosed_Ventilation_Rate)*Enclosed_Process_Volume+88020*AG89/AG98))&gt;0,-Max_Duration*MAX(Vent_Nat,Enclosed_Ventilation_Rate)*LN(1-AG268*AG98/(88020000000*AG89/(MAX(Vent_Nat,Enclosed_Ventilation_Rate)*Enclosed_Process_Volume+88020*AG89/AG98))),""),"")</f>
        <v/>
      </c>
      <c r="AH317" s="81"/>
      <c r="AI317" s="1183" t="str">
        <f>IF(AND(AI294="Indoors",AI89&gt;0,AI268&lt;&gt;""),IF(1-AI268*AI98/(88020000000*AI89/(MAX(Vent_Nat,Enclosed_Ventilation_Rate)*Enclosed_Process_Volume+88020*AI89/AI98))&gt;0,-Max_Duration*MAX(Vent_Nat,Enclosed_Ventilation_Rate)*LN(1-AI268*AI98/(88020000000*AI89/(MAX(Vent_Nat,Enclosed_Ventilation_Rate)*Enclosed_Process_Volume+88020*AI89/AI98))),""),"")</f>
        <v/>
      </c>
      <c r="AJ317" s="81"/>
      <c r="AK317" s="1183" t="str">
        <f>IF(AND(AK294="Indoors",AK89&gt;0,AK268&lt;&gt;""),IF(1-AK268*AK98/(88020000000*AK89/(MAX(Vent_Nat,Enclosed_Ventilation_Rate)*Enclosed_Process_Volume+88020*AK89/AK98))&gt;0,-Max_Duration*MAX(Vent_Nat,Enclosed_Ventilation_Rate)*LN(1-AK268*AK98/(88020000000*AK89/(MAX(Vent_Nat,Enclosed_Ventilation_Rate)*Enclosed_Process_Volume+88020*AK89/AK98))),""),"")</f>
        <v/>
      </c>
      <c r="AL317" s="81"/>
      <c r="AM317" s="1183" t="str">
        <f>IF(AND(AM294="Indoors",AM89&gt;0,AM268&lt;&gt;""),IF(1-AM268*AM98/(88020000000*AM89/(MAX(Vent_Nat,Enclosed_Ventilation_Rate)*Enclosed_Process_Volume+88020*AM89/AM98))&gt;0,-Max_Duration*MAX(Vent_Nat,Enclosed_Ventilation_Rate)*LN(1-AM268*AM98/(88020000000*AM89/(MAX(Vent_Nat,Enclosed_Ventilation_Rate)*Enclosed_Process_Volume+88020*AM89/AM98))),""),"")</f>
        <v/>
      </c>
      <c r="AN317" s="81"/>
      <c r="AO317" s="1183" t="str">
        <f>IF(AND(AO294="Indoors",AO89&gt;0,AO268&lt;&gt;""),IF(1-AO268*AO98/(88020000000*AO89/(MAX(Vent_Nat,Enclosed_Ventilation_Rate)*Enclosed_Process_Volume+88020*AO89/AO98))&gt;0,-Max_Duration*MAX(Vent_Nat,Enclosed_Ventilation_Rate)*LN(1-AO268*AO98/(88020000000*AO89/(MAX(Vent_Nat,Enclosed_Ventilation_Rate)*Enclosed_Process_Volume+88020*AO89/AO98))),""),"")</f>
        <v/>
      </c>
      <c r="AP317" s="81"/>
      <c r="AQ317" s="85"/>
      <c r="AR317" s="81"/>
      <c r="AS317" s="83"/>
      <c r="AT317" s="85" t="s">
        <v>5140</v>
      </c>
      <c r="AU317" s="83"/>
      <c r="AV317" s="2589">
        <f>IF(OR(Flammable_Potential&lt;&gt;"Yes",AV246="",AV74=0),0,IF(OR(Ease_of_Ignition_Feed="High",Aerosol_Potential="Yes"),MAX(Spray_Distance,IF((100/LFL_Fract_FlashFIre)/AV246&lt;=1/AV$84,0,IF(AV153="Instantaneous",AV$150*((AV66/AV82)*(IF(AV128&gt;AV246/100,AvgTime_Correction,1)*(100/LFL_Fract_FlashFIre)/AV246))^AV$151-AV$152,AV$124*(AV74*(IF(AV103&gt;AV246/100,AvgTime_Correction,1)*(100/LFL_Fract_FlashFIre)/AV246)/(AV82*Wind))^AV$125-AV$126))),IF((100/LFL_Fract_FlashFIre)/AV246&lt;=1/AV$84,0,IF(AV153="Instantaneous",AV$150*((AV66/AV82)*(IF(AV128&gt;AV246/100,AvgTime_Correction,1)*(100/LFL_Fract_FlashFIre)/AV246))^AV$151-AV$152,AV$124*(AV74*(IF(AV103&gt;AV246/100,AvgTime_Correction,1)*(100/LFL_Fract_FlashFIre)/AV246)/(AV82*Wind))^AV$125-AV$126))))</f>
        <v>0</v>
      </c>
      <c r="AW317" s="83"/>
      <c r="AX317" s="2589">
        <f>IF(OR(Flammable_Potential&lt;&gt;"Yes",AX246="",AX74=0),0,IF(OR(Ease_of_Ignition_Feed="High",Aerosol_Potential="Yes"),MAX(Spray_Distance,IF((100/LFL_Fract_FlashFIre)/AX246&lt;=1/AX$84,0,IF(AX153="Instantaneous",AX$150*((AX66/AX82)*(IF(AX128&gt;AX246/100,AvgTime_Correction,1)*(100/LFL_Fract_FlashFIre)/AX246))^AX$151-AX$152,AX$124*(AX74*(IF(AX103&gt;AX246/100,AvgTime_Correction,1)*(100/LFL_Fract_FlashFIre)/AX246)/(AX82*Wind))^AX$125-AX$126))),IF((100/LFL_Fract_FlashFIre)/AX246&lt;=1/AX$84,0,IF(AX153="Instantaneous",AX$150*((AX66/AX82)*(IF(AX128&gt;AX246/100,AvgTime_Correction,1)*(100/LFL_Fract_FlashFIre)/AX246))^AX$151-AX$152,AX$124*(AX74*(IF(AX103&gt;AX246/100,AvgTime_Correction,1)*(100/LFL_Fract_FlashFIre)/AX246)/(AX82*Wind))^AX$125-AX$126))))</f>
        <v>0</v>
      </c>
      <c r="AY317" s="83"/>
      <c r="AZ317" s="2589">
        <f>IF(OR(Flammable_Potential&lt;&gt;"Yes",AZ246="",AZ74=0),0,IF(OR(Ease_of_Ignition_Feed="High",Aerosol_Potential="Yes"),MAX(Spray_Distance,IF((100/LFL_Fract_FlashFIre)/AZ246&lt;=1/AZ$84,0,IF(AZ153="Instantaneous",AZ$150*((AZ66/AZ82)*(IF(AZ128&gt;AZ246/100,AvgTime_Correction,1)*(100/LFL_Fract_FlashFIre)/AZ246))^AZ$151-AZ$152,AZ$124*(AZ74*(IF(AZ103&gt;AZ246/100,AvgTime_Correction,1)*(100/LFL_Fract_FlashFIre)/AZ246)/(AZ82*Wind))^AZ$125-AZ$126))),IF((100/LFL_Fract_FlashFIre)/AZ246&lt;=1/AZ$84,0,IF(AZ153="Instantaneous",AZ$150*((AZ66/AZ82)*(IF(AZ128&gt;AZ246/100,AvgTime_Correction,1)*(100/LFL_Fract_FlashFIre)/AZ246))^AZ$151-AZ$152,AZ$124*(AZ74*(IF(AZ103&gt;AZ246/100,AvgTime_Correction,1)*(100/LFL_Fract_FlashFIre)/AZ246)/(AZ82*Wind))^AZ$125-AZ$126))))</f>
        <v>0</v>
      </c>
      <c r="BA317" s="83"/>
      <c r="BB317" s="2589">
        <f>IF(OR(Flammable_Potential&lt;&gt;"Yes",BB246="",BB74=0),0,IF(OR(Ease_of_Ignition_Feed="High",Aerosol_Potential="Yes"),MAX(Spray_Distance,IF((100/LFL_Fract_FlashFIre)/BB246&lt;=1/BB$84,0,IF(BB153="Instantaneous",BB$150*((BB66/BB82)*(IF(BB128&gt;BB246/100,AvgTime_Correction,1)*(100/LFL_Fract_FlashFIre)/BB246))^BB$151-BB$152,BB$124*(BB74*(IF(BB103&gt;BB246/100,AvgTime_Correction,1)*(100/LFL_Fract_FlashFIre)/BB246)/(BB82*Wind))^BB$125-BB$126))),IF((100/LFL_Fract_FlashFIre)/BB246&lt;=1/BB$84,0,IF(BB153="Instantaneous",BB$150*((BB66/BB82)*(IF(BB128&gt;BB246/100,AvgTime_Correction,1)*(100/LFL_Fract_FlashFIre)/BB246))^BB$151-BB$152,BB$124*(BB74*(IF(BB103&gt;BB246/100,AvgTime_Correction,1)*(100/LFL_Fract_FlashFIre)/BB246)/(BB82*Wind))^BB$125-BB$126))))</f>
        <v>0</v>
      </c>
      <c r="BC317" s="83"/>
      <c r="BD317" s="2589">
        <f>IF(OR(Flammable_Potential&lt;&gt;"Yes",BD246="",BD74=0),0,IF(OR(Ease_of_Ignition_Feed="High",Aerosol_Potential="Yes"),MAX(Spray_Distance,IF((100/LFL_Fract_FlashFIre)/BD246&lt;=1/BD$84,0,IF(BD153="Instantaneous",BD$150*((BD66/BD82)*(IF(BD128&gt;BD246/100,AvgTime_Correction,1)*(100/LFL_Fract_FlashFIre)/BD246))^BD$151-BD$152,BD$124*(BD74*(IF(BD103&gt;BD246/100,AvgTime_Correction,1)*(100/LFL_Fract_FlashFIre)/BD246)/(BD82*Wind))^BD$125-BD$126))),IF((100/LFL_Fract_FlashFIre)/BD246&lt;=1/BD$84,0,IF(BD153="Instantaneous",BD$150*((BD66/BD82)*(IF(BD128&gt;BD246/100,AvgTime_Correction,1)*(100/LFL_Fract_FlashFIre)/BD246))^BD$151-BD$152,BD$124*(BD74*(IF(BD103&gt;BD246/100,AvgTime_Correction,1)*(100/LFL_Fract_FlashFIre)/BD246)/(BD82*Wind))^BD$125-BD$126))))</f>
        <v>0</v>
      </c>
      <c r="BE317" s="83"/>
      <c r="BF317" s="2589">
        <f>IF(OR(Flammable_Potential&lt;&gt;"Yes",BF246="",BF74=0),0,IF(OR(Ease_of_Ignition_Feed="High",Aerosol_Potential="Yes"),MAX(Spray_Distance,IF((100/LFL_Fract_FlashFIre)/BF246&lt;=1/BF$84,0,IF(BF153="Instantaneous",BF$150*((BF66/BF82)*(IF(BF128&gt;BF246/100,AvgTime_Correction,1)*(100/LFL_Fract_FlashFIre)/BF246))^BF$151-BF$152,BF$124*(BF74*(IF(BF103&gt;BF246/100,AvgTime_Correction,1)*(100/LFL_Fract_FlashFIre)/BF246)/(BF82*Wind))^BF$125-BF$126))),IF((100/LFL_Fract_FlashFIre)/BF246&lt;=1/BF$84,0,IF(BF153="Instantaneous",BF$150*((BF66/BF82)*(IF(BF128&gt;BF246/100,AvgTime_Correction,1)*(100/LFL_Fract_FlashFIre)/BF246))^BF$151-BF$152,BF$124*(BF74*(IF(BF103&gt;BF246/100,AvgTime_Correction,1)*(100/LFL_Fract_FlashFIre)/BF246)/(BF82*Wind))^BF$125-BF$126))))</f>
        <v>0</v>
      </c>
      <c r="BG317" s="83"/>
      <c r="BH317" s="2589">
        <f>IF(OR(Flammable_Potential&lt;&gt;"Yes",BH246="",BH74=0),0,IF(OR(Ease_of_Ignition_Feed="High",Aerosol_Potential="Yes"),MAX(Spray_Distance,IF((100/LFL_Fract_FlashFIre)/BH246&lt;=1/BH$84,0,IF(BH153="Instantaneous",BH$150*((BH66/BH82)*(IF(BH128&gt;BH246/100,AvgTime_Correction,1)*(100/LFL_Fract_FlashFIre)/BH246))^BH$151-BH$152,BH$124*(BH74*(IF(BH103&gt;BH246/100,AvgTime_Correction,1)*(100/LFL_Fract_FlashFIre)/BH246)/(BH82*Wind))^BH$125-BH$126))),IF((100/LFL_Fract_FlashFIre)/BH246&lt;=1/BH$84,0,IF(BH153="Instantaneous",BH$150*((BH66/BH82)*(IF(BH128&gt;BH246/100,AvgTime_Correction,1)*(100/LFL_Fract_FlashFIre)/BH246))^BH$151-BH$152,BH$124*(BH74*(IF(BH103&gt;BH246/100,AvgTime_Correction,1)*(100/LFL_Fract_FlashFIre)/BH246)/(BH82*Wind))^BH$125-BH$126))))</f>
        <v>0</v>
      </c>
      <c r="BI317" s="83"/>
      <c r="BJ317" s="2589">
        <f>IF(OR(Flammable_Potential&lt;&gt;"Yes",BJ246="",BJ74=0),0,IF(OR(Ease_of_Ignition_Feed="High",Aerosol_Potential="Yes"),MAX(Spray_Distance,IF((100/LFL_Fract_FlashFIre)/BJ246&lt;=1/BJ$84,0,IF(BJ153="Instantaneous",BJ$150*((BJ66/BJ82)*(IF(BJ128&gt;BJ246/100,AvgTime_Correction,1)*(100/LFL_Fract_FlashFIre)/BJ246))^BJ$151-BJ$152,BJ$124*(BJ74*(IF(BJ103&gt;BJ246/100,AvgTime_Correction,1)*(100/LFL_Fract_FlashFIre)/BJ246)/(BJ82*Wind))^BJ$125-BJ$126))),IF((100/LFL_Fract_FlashFIre)/BJ246&lt;=1/BJ$84,0,IF(BJ153="Instantaneous",BJ$150*((BJ66/BJ82)*(IF(BJ128&gt;BJ246/100,AvgTime_Correction,1)*(100/LFL_Fract_FlashFIre)/BJ246))^BJ$151-BJ$152,BJ$124*(BJ74*(IF(BJ103&gt;BJ246/100,AvgTime_Correction,1)*(100/LFL_Fract_FlashFIre)/BJ246)/(BJ82*Wind))^BJ$125-BJ$126))))</f>
        <v>0</v>
      </c>
      <c r="BK317" s="83"/>
      <c r="BL317" s="2589">
        <f>IF(OR(Flammable_Potential&lt;&gt;"Yes",BL246="",BL74=0),0,IF(OR(Ease_of_Ignition_Feed="High",Aerosol_Potential="Yes"),MAX(Spray_Distance,IF((100/LFL_Fract_FlashFIre)/BL246&lt;=1/BL$84,0,IF(BL153="Instantaneous",BL$150*((BL66/BL82)*(IF(BL128&gt;BL246/100,AvgTime_Correction,1)*(100/LFL_Fract_FlashFIre)/BL246))^BL$151-BL$152,BL$124*(BL74*(IF(BL103&gt;BL246/100,AvgTime_Correction,1)*(100/LFL_Fract_FlashFIre)/BL246)/(BL82*Wind))^BL$125-BL$126))),IF((100/LFL_Fract_FlashFIre)/BL246&lt;=1/BL$84,0,IF(BL153="Instantaneous",BL$150*((BL66/BL82)*(IF(BL128&gt;BL246/100,AvgTime_Correction,1)*(100/LFL_Fract_FlashFIre)/BL246))^BL$151-BL$152,BL$124*(BL74*(IF(BL103&gt;BL246/100,AvgTime_Correction,1)*(100/LFL_Fract_FlashFIre)/BL246)/(BL82*Wind))^BL$125-BL$126))))</f>
        <v>0</v>
      </c>
      <c r="BM317" s="83"/>
      <c r="BN317" s="2589">
        <f>IF(OR(Flammable_Potential&lt;&gt;"Yes",BN246="",BN74=0),0,IF(OR(Ease_of_Ignition_Feed="High",Aerosol_Potential="Yes"),MAX(Spray_Distance,IF((100/LFL_Fract_FlashFIre)/BN246&lt;=1/BN$84,0,IF(BN153="Instantaneous",BN$150*((BN66/BN82)*(IF(BN128&gt;BN246/100,AvgTime_Correction,1)*(100/LFL_Fract_FlashFIre)/BN246))^BN$151-BN$152,BN$124*(BN74*(IF(BN103&gt;BN246/100,AvgTime_Correction,1)*(100/LFL_Fract_FlashFIre)/BN246)/(BN82*Wind))^BN$125-BN$126))),IF((100/LFL_Fract_FlashFIre)/BN246&lt;=1/BN$84,0,IF(BN153="Instantaneous",BN$150*((BN66/BN82)*(IF(BN128&gt;BN246/100,AvgTime_Correction,1)*(100/LFL_Fract_FlashFIre)/BN246))^BN$151-BN$152,BN$124*(BN74*(IF(BN103&gt;BN246/100,AvgTime_Correction,1)*(100/LFL_Fract_FlashFIre)/BN246)/(BN82*Wind))^BN$125-BN$126))))</f>
        <v>0</v>
      </c>
      <c r="BO317" s="83"/>
      <c r="BP317" s="100" t="s">
        <v>1068</v>
      </c>
      <c r="BQ317" s="83"/>
      <c r="BR317" s="81"/>
      <c r="BS317" s="25" t="s">
        <v>1863</v>
      </c>
      <c r="BT317" s="81"/>
      <c r="BU317" s="98" t="str">
        <f>IF(AND(BU311&gt;10,OR(BU314&gt;Bldg_Type_Correction,BU316&gt;Bldg2_Type_Correction)),"Yes","No")</f>
        <v>No</v>
      </c>
      <c r="BV317" s="81"/>
      <c r="BW317" s="4239"/>
      <c r="BX317" s="81"/>
      <c r="BY317" s="98" t="str">
        <f>IF(AND(BY311&gt;10,OR(BY314&gt;Bldg_Type_Correction,BY316&gt;Bldg2_Type_Correction)),"Yes","No")</f>
        <v>No</v>
      </c>
      <c r="BZ317" s="81"/>
      <c r="CA317" s="98" t="str">
        <f>IF(AND(CA311&gt;10,OR(CA314&gt;Bldg_Type_Correction,CA316&gt;Bldg2_Type_Correction)),"Yes","No")</f>
        <v>No</v>
      </c>
      <c r="CB317" s="81"/>
      <c r="CC317" s="4239"/>
      <c r="CD317" s="81"/>
      <c r="CE317" s="25"/>
      <c r="CF317" s="81"/>
      <c r="CG317" s="26"/>
      <c r="CH317" s="26"/>
      <c r="CI317" s="26"/>
      <c r="CJ317" s="26"/>
      <c r="CK317" s="26"/>
      <c r="CL317" s="26"/>
      <c r="CM317" s="26"/>
      <c r="CN317" s="26"/>
      <c r="CO317" s="26"/>
      <c r="CP317" s="26"/>
      <c r="CQ317" s="26"/>
      <c r="CR317" s="26"/>
    </row>
    <row r="318" spans="1:97" ht="15" customHeight="1" thickBot="1" x14ac:dyDescent="0.3">
      <c r="A318" s="2"/>
      <c r="B318" s="850" t="s">
        <v>1532</v>
      </c>
      <c r="C318" s="83"/>
      <c r="D318" s="102" t="str">
        <f>IF(OR(Flash_Pt_Feed="",D69=0,Location&lt;&gt;"Outdoors"),"No",IF(OR(AND(Flame_Speed_Feed="High",MIN(D69,D90*D320/Wind)&gt;VCE_LowTotal),AND(Flame_Speed_Feed&lt;&gt;"High",MIN(D69,D90*D320/Wind)&gt;VCE_HighTotal)),"Yes","No"))</f>
        <v>No</v>
      </c>
      <c r="E318" s="83"/>
      <c r="F318" s="102" t="str">
        <f>IF(OR(Flash_Pt_Feed="",F69=0,Location&lt;&gt;"Outdoors"),"No",IF(OR(AND(Flame_Speed_Feed="High",MIN(F69,F90*F320/Wind)&gt;VCE_LowTotal),AND(Flame_Speed_Feed&lt;&gt;"High",MIN(F69,F90*F320/Wind)&gt;VCE_HighTotal)),"Yes","No"))</f>
        <v>No</v>
      </c>
      <c r="G318" s="83"/>
      <c r="H318" s="102" t="str">
        <f>IF(OR(Flash_Pt_Feed="",H69=0,Location&lt;&gt;"Outdoors"),"No",IF(OR(AND(Flame_Speed_Feed="High",MIN(H69,H90*H320/Wind)&gt;VCE_LowTotal),AND(Flame_Speed_Feed&lt;&gt;"High",MIN(H69,H90*H320/Wind)&gt;VCE_HighTotal)),"Yes","No"))</f>
        <v>No</v>
      </c>
      <c r="I318" s="83"/>
      <c r="J318" s="102" t="str">
        <f>IF(OR(Flash_Pt_Feed="",J69=0,Location&lt;&gt;"Outdoors"),"No",IF(OR(AND(Flame_Speed_Feed="High",MIN(J69,J90*J320/Wind)&gt;VCE_LowTotal),AND(Flame_Speed_Feed&lt;&gt;"High",MIN(J69,J90*J320/Wind)&gt;VCE_HighTotal)),"Yes","No"))</f>
        <v>No</v>
      </c>
      <c r="K318" s="83"/>
      <c r="L318" s="102" t="str">
        <f>IF(OR(Flash_Pt_Feed="",L69=0,Location&lt;&gt;"Outdoors"),"No",IF(OR(AND(Flame_Speed_Feed="High",MIN(L69,L90*L320/Wind)&gt;VCE_LowTotal),AND(Flame_Speed_Feed&lt;&gt;"High",MIN(L69,L90*L320/Wind)&gt;VCE_HighTotal)),"Yes","No"))</f>
        <v>No</v>
      </c>
      <c r="M318" s="83"/>
      <c r="N318" s="102" t="str">
        <f>IF(OR(Flash_Pt_Feed="",N69=0,Location&lt;&gt;"Outdoors"),"No",IF(OR(AND(Flame_Speed_Feed="High",MIN(N69,N90*N320/Wind)&gt;VCE_LowTotal),AND(Flame_Speed_Feed&lt;&gt;"High",MIN(N69,N90*N320/Wind)&gt;VCE_HighTotal)),"Yes","No"))</f>
        <v>No</v>
      </c>
      <c r="O318" s="83"/>
      <c r="P318" s="102" t="str">
        <f>IF(OR(Flash_Pt_Feed="",P69=0,Location&lt;&gt;"Outdoors"),"No",IF(OR(AND(Flame_Speed_Feed="High",MIN(P69,P90*P320/Wind)&gt;VCE_LowTotal),AND(Flame_Speed_Feed&lt;&gt;"High",MIN(P69,P90*P320/Wind)&gt;VCE_HighTotal)),"Yes","No"))</f>
        <v>No</v>
      </c>
      <c r="Q318" s="83"/>
      <c r="R318" s="102" t="str">
        <f>IF(OR(Flash_Pt_Feed="",R69=0,Location&lt;&gt;"Outdoors"),"No",IF(OR(AND(Flame_Speed_Feed="High",MIN(R69,R90*R320/Wind)&gt;VCE_LowTotal),AND(Flame_Speed_Feed&lt;&gt;"High",MIN(R69,R90*R320/Wind)&gt;VCE_HighTotal)),"Yes","No"))</f>
        <v>No</v>
      </c>
      <c r="S318" s="83"/>
      <c r="T318" s="102" t="str">
        <f>IF(OR(Flash_Pt_Feed="",T69=0,Location&lt;&gt;"Outdoors"),"No",IF(OR(AND(Flame_Speed_Feed="High",MIN(T69,T90*T320/Wind)&gt;VCE_LowTotal),AND(Flame_Speed_Feed&lt;&gt;"High",MIN(T69,T90*T320/Wind)&gt;VCE_HighTotal)),"Yes","No"))</f>
        <v>No</v>
      </c>
      <c r="U318" s="83"/>
      <c r="V318" s="102" t="str">
        <f>IF(OR(Flash_Pt_Feed="",V69=0,Location&lt;&gt;"Outdoors"),"No",IF(OR(AND(Flame_Speed_Feed="High",MIN(V69,V90*V320/Wind)&gt;VCE_LowTotal),AND(Flame_Speed_Feed&lt;&gt;"High",MIN(V69,V90*V320/Wind)&gt;VCE_HighTotal)),"Yes","No"))</f>
        <v>No</v>
      </c>
      <c r="W318" s="83"/>
      <c r="X318" s="102" t="str">
        <f>IF(OR(Flash_Pt_Feed="",X69=0,Location&lt;&gt;"Outdoors"),"No",IF(OR(AND(Flame_Speed_Feed="High",MIN(X69,X90*X320/Wind)&gt;VCE_LowTotal),AND(Flame_Speed_Feed&lt;&gt;"High",MIN(X69,X90*X320/Wind)&gt;VCE_HighTotal)),"Yes","No"))</f>
        <v>No</v>
      </c>
      <c r="Y318" s="83"/>
      <c r="Z318" s="23"/>
      <c r="AA318" s="83"/>
      <c r="AB318" s="81"/>
      <c r="AC318" s="848" t="s">
        <v>4498</v>
      </c>
      <c r="AD318" s="81"/>
      <c r="AE318" s="1183" t="str">
        <f>IF(AND(AE314&gt;1,AE314&gt;AE244),"Yes","No")</f>
        <v>No</v>
      </c>
      <c r="AF318" s="81"/>
      <c r="AG318" s="1183" t="str">
        <f>IF(AND(AG314&gt;1,AG314&gt;AG244),"Yes","No")</f>
        <v>No</v>
      </c>
      <c r="AH318" s="81"/>
      <c r="AI318" s="1183" t="str">
        <f>IF(AND(AI314&gt;1,AI314&gt;AI244),"Yes","No")</f>
        <v>No</v>
      </c>
      <c r="AJ318" s="81"/>
      <c r="AK318" s="1183" t="str">
        <f>IF(AND(AK314&gt;1,AK314&gt;AK244),"Yes","No")</f>
        <v>No</v>
      </c>
      <c r="AL318" s="81"/>
      <c r="AM318" s="1183" t="str">
        <f>IF(AND(AM314&gt;1,AM314&gt;AM244),"Yes","No")</f>
        <v>No</v>
      </c>
      <c r="AN318" s="81"/>
      <c r="AO318" s="1183" t="str">
        <f>IF(AND(AO314&gt;1,AO314&gt;AO244),"Yes","No")</f>
        <v>No</v>
      </c>
      <c r="AP318" s="81"/>
      <c r="AQ318" s="85"/>
      <c r="AR318" s="81"/>
      <c r="AS318" s="83"/>
      <c r="AT318" s="25" t="s">
        <v>4726</v>
      </c>
      <c r="AU318" s="83"/>
      <c r="AV318" s="2582">
        <f>IF(OR(Flammable_Potential&lt;&gt;"Yes",AV246="",AV74=0),0,IF(OR(Ease_of_Ignition_Feed="High",Aerosol_Potential="Yes"),MAX(Spray_Distance,IF(100/AV246&lt;=1/AV$84,0,IF(AV153="Instantaneous",AV$150*((AV66/AV82)*(IF(AV128&gt;AV246/100,AvgTime_Correction,1)*100/AV246))^AV$151-AV$152,AV$124*(AV74*(IF(AV103&gt;AV246/100,AvgTime_Correction,1)*100/AV246)/(AV82*Wind))^AV$125-AV$126))),IF(100/AV246&lt;=1/AV$84,0,IF(AV153="Instantaneous",AV$150*((AV66/AV82)*(IF(AV128&gt;AV246/100,AvgTime_Correction,1)*100/AV246))^AV$151-AV$152,AV$124*(AV74*(IF(AV103&gt;AV246/100,AvgTime_Correction,1)*100/AV246)/(AV82*Wind))^AV$125-AV$126))))</f>
        <v>0</v>
      </c>
      <c r="AW318" s="83"/>
      <c r="AX318" s="2582">
        <f>IF(OR(Flammable_Potential&lt;&gt;"Yes",AX246="",AX74=0),0,IF(OR(Ease_of_Ignition_Feed="High",Aerosol_Potential="Yes"),MAX(Spray_Distance,IF(100/AX246&lt;=1/AX$84,0,IF(AX153="Instantaneous",AX$150*((AX66/AX82)*(IF(AX128&gt;AX246/100,AvgTime_Correction,1)*100/AX246))^AX$151-AX$152,AX$124*(AX74*(IF(AX103&gt;AX246/100,AvgTime_Correction,1)*100/AX246)/(AX82*Wind))^AX$125-AX$126))),IF(100/AX246&lt;=1/AX$84,0,IF(AX153="Instantaneous",AX$150*((AX66/AX82)*(IF(AX128&gt;AX246/100,AvgTime_Correction,1)*100/AX246))^AX$151-AX$152,AX$124*(AX74*(IF(AX103&gt;AX246/100,AvgTime_Correction,1)*100/AX246)/(AX82*Wind))^AX$125-AX$126))))</f>
        <v>0</v>
      </c>
      <c r="AY318" s="83"/>
      <c r="AZ318" s="2582">
        <f>IF(OR(Flammable_Potential&lt;&gt;"Yes",AZ246="",AZ74=0),0,IF(OR(Ease_of_Ignition_Feed="High",Aerosol_Potential="Yes"),MAX(Spray_Distance,IF(100/AZ246&lt;=1/AZ$84,0,IF(AZ153="Instantaneous",AZ$150*((AZ66/AZ82)*(IF(AZ128&gt;AZ246/100,AvgTime_Correction,1)*100/AZ246))^AZ$151-AZ$152,AZ$124*(AZ74*(IF(AZ103&gt;AZ246/100,AvgTime_Correction,1)*100/AZ246)/(AZ82*Wind))^AZ$125-AZ$126))),IF(100/AZ246&lt;=1/AZ$84,0,IF(AZ153="Instantaneous",AZ$150*((AZ66/AZ82)*(IF(AZ128&gt;AZ246/100,AvgTime_Correction,1)*100/AZ246))^AZ$151-AZ$152,AZ$124*(AZ74*(IF(AZ103&gt;AZ246/100,AvgTime_Correction,1)*100/AZ246)/(AZ82*Wind))^AZ$125-AZ$126))))</f>
        <v>0</v>
      </c>
      <c r="BA318" s="83"/>
      <c r="BB318" s="2582">
        <f>IF(OR(Flammable_Potential&lt;&gt;"Yes",BB246="",BB74=0),0,IF(OR(Ease_of_Ignition_Feed="High",Aerosol_Potential="Yes"),MAX(Spray_Distance,IF(100/BB246&lt;=1/BB$84,0,IF(BB153="Instantaneous",BB$150*((BB66/BB82)*(IF(BB128&gt;BB246/100,AvgTime_Correction,1)*100/BB246))^BB$151-BB$152,BB$124*(BB74*(IF(BB103&gt;BB246/100,AvgTime_Correction,1)*100/BB246)/(BB82*Wind))^BB$125-BB$126))),IF(100/BB246&lt;=1/BB$84,0,IF(BB153="Instantaneous",BB$150*((BB66/BB82)*(IF(BB128&gt;BB246/100,AvgTime_Correction,1)*100/BB246))^BB$151-BB$152,BB$124*(BB74*(IF(BB103&gt;BB246/100,AvgTime_Correction,1)*100/BB246)/(BB82*Wind))^BB$125-BB$126))))</f>
        <v>0</v>
      </c>
      <c r="BC318" s="83"/>
      <c r="BD318" s="2582">
        <f>IF(OR(Flammable_Potential&lt;&gt;"Yes",BD246="",BD74=0),0,IF(OR(Ease_of_Ignition_Feed="High",Aerosol_Potential="Yes"),MAX(Spray_Distance,IF(100/BD246&lt;=1/BD$84,0,IF(BD153="Instantaneous",BD$150*((BD66/BD82)*(IF(BD128&gt;BD246/100,AvgTime_Correction,1)*100/BD246))^BD$151-BD$152,BD$124*(BD74*(IF(BD103&gt;BD246/100,AvgTime_Correction,1)*100/BD246)/(BD82*Wind))^BD$125-BD$126))),IF(100/BD246&lt;=1/BD$84,0,IF(BD153="Instantaneous",BD$150*((BD66/BD82)*(IF(BD128&gt;BD246/100,AvgTime_Correction,1)*100/BD246))^BD$151-BD$152,BD$124*(BD74*(IF(BD103&gt;BD246/100,AvgTime_Correction,1)*100/BD246)/(BD82*Wind))^BD$125-BD$126))))</f>
        <v>0</v>
      </c>
      <c r="BE318" s="83"/>
      <c r="BF318" s="2582">
        <f>IF(OR(Flammable_Potential&lt;&gt;"Yes",BF246="",BF74=0),0,IF(OR(Ease_of_Ignition_Feed="High",Aerosol_Potential="Yes"),MAX(Spray_Distance,IF(100/BF246&lt;=1/BF$84,0,IF(BF153="Instantaneous",BF$150*((BF66/BF82)*(IF(BF128&gt;BF246/100,AvgTime_Correction,1)*100/BF246))^BF$151-BF$152,BF$124*(BF74*(IF(BF103&gt;BF246/100,AvgTime_Correction,1)*100/BF246)/(BF82*Wind))^BF$125-BF$126))),IF(100/BF246&lt;=1/BF$84,0,IF(BF153="Instantaneous",BF$150*((BF66/BF82)*(IF(BF128&gt;BF246/100,AvgTime_Correction,1)*100/BF246))^BF$151-BF$152,BF$124*(BF74*(IF(BF103&gt;BF246/100,AvgTime_Correction,1)*100/BF246)/(BF82*Wind))^BF$125-BF$126))))</f>
        <v>0</v>
      </c>
      <c r="BG318" s="83"/>
      <c r="BH318" s="2582">
        <f>IF(OR(Flammable_Potential&lt;&gt;"Yes",BH246="",BH74=0),0,IF(OR(Ease_of_Ignition_Feed="High",Aerosol_Potential="Yes"),MAX(Spray_Distance,IF(100/BH246&lt;=1/BH$84,0,IF(BH153="Instantaneous",BH$150*((BH66/BH82)*(IF(BH128&gt;BH246/100,AvgTime_Correction,1)*100/BH246))^BH$151-BH$152,BH$124*(BH74*(IF(BH103&gt;BH246/100,AvgTime_Correction,1)*100/BH246)/(BH82*Wind))^BH$125-BH$126))),IF(100/BH246&lt;=1/BH$84,0,IF(BH153="Instantaneous",BH$150*((BH66/BH82)*(IF(BH128&gt;BH246/100,AvgTime_Correction,1)*100/BH246))^BH$151-BH$152,BH$124*(BH74*(IF(BH103&gt;BH246/100,AvgTime_Correction,1)*100/BH246)/(BH82*Wind))^BH$125-BH$126))))</f>
        <v>0</v>
      </c>
      <c r="BI318" s="83"/>
      <c r="BJ318" s="2582">
        <f>IF(OR(Flammable_Potential&lt;&gt;"Yes",BJ246="",BJ74=0),0,IF(OR(Ease_of_Ignition_Feed="High",Aerosol_Potential="Yes"),MAX(Spray_Distance,IF(100/BJ246&lt;=1/BJ$84,0,IF(BJ153="Instantaneous",BJ$150*((BJ66/BJ82)*(IF(BJ128&gt;BJ246/100,AvgTime_Correction,1)*100/BJ246))^BJ$151-BJ$152,BJ$124*(BJ74*(IF(BJ103&gt;BJ246/100,AvgTime_Correction,1)*100/BJ246)/(BJ82*Wind))^BJ$125-BJ$126))),IF(100/BJ246&lt;=1/BJ$84,0,IF(BJ153="Instantaneous",BJ$150*((BJ66/BJ82)*(IF(BJ128&gt;BJ246/100,AvgTime_Correction,1)*100/BJ246))^BJ$151-BJ$152,BJ$124*(BJ74*(IF(BJ103&gt;BJ246/100,AvgTime_Correction,1)*100/BJ246)/(BJ82*Wind))^BJ$125-BJ$126))))</f>
        <v>0</v>
      </c>
      <c r="BK318" s="83"/>
      <c r="BL318" s="2582">
        <f>IF(OR(Flammable_Potential&lt;&gt;"Yes",BL246="",BL74=0),0,IF(OR(Ease_of_Ignition_Feed="High",Aerosol_Potential="Yes"),MAX(Spray_Distance,IF(100/BL246&lt;=1/BL$84,0,IF(BL153="Instantaneous",BL$150*((BL66/BL82)*(IF(BL128&gt;BL246/100,AvgTime_Correction,1)*100/BL246))^BL$151-BL$152,BL$124*(BL74*(IF(BL103&gt;BL246/100,AvgTime_Correction,1)*100/BL246)/(BL82*Wind))^BL$125-BL$126))),IF(100/BL246&lt;=1/BL$84,0,IF(BL153="Instantaneous",BL$150*((BL66/BL82)*(IF(BL128&gt;BL246/100,AvgTime_Correction,1)*100/BL246))^BL$151-BL$152,BL$124*(BL74*(IF(BL103&gt;BL246/100,AvgTime_Correction,1)*100/BL246)/(BL82*Wind))^BL$125-BL$126))))</f>
        <v>0</v>
      </c>
      <c r="BM318" s="83"/>
      <c r="BN318" s="2582">
        <f>IF(OR(Flammable_Potential&lt;&gt;"Yes",BN246="",BN74=0),0,IF(OR(Ease_of_Ignition_Feed="High",Aerosol_Potential="Yes"),MAX(Spray_Distance,IF(100/BN246&lt;=1/BN$84,0,IF(BN153="Instantaneous",BN$150*((BN66/BN82)*(IF(BN128&gt;BN246/100,AvgTime_Correction,1)*100/BN246))^BN$151-BN$152,BN$124*(BN74*(IF(BN103&gt;BN246/100,AvgTime_Correction,1)*100/BN246)/(BN82*Wind))^BN$125-BN$126))),IF(100/BN246&lt;=1/BN$84,0,IF(BN153="Instantaneous",BN$150*((BN66/BN82)*(IF(BN128&gt;BN246/100,AvgTime_Correction,1)*100/BN246))^BN$151-BN$152,BN$124*(BN74*(IF(BN103&gt;BN246/100,AvgTime_Correction,1)*100/BN246)/(BN82*Wind))^BN$125-BN$126))))</f>
        <v>0</v>
      </c>
      <c r="BO318" s="83"/>
      <c r="BP318" s="100"/>
      <c r="BQ318" s="83"/>
      <c r="BR318" s="81"/>
      <c r="BS318" s="92" t="s">
        <v>1532</v>
      </c>
      <c r="BT318" s="81"/>
      <c r="BU318" s="102" t="str">
        <f>IF(OR(Flash_Pt_Feed="",BU69=0,Location&lt;&gt;"Outdoors"),"No",IF(OR(AND(Flame_Speed_Feed="High",IF(BU156="Instantaneous",BU69,BU90*BU320)&gt;VCE_LowTotal),AND(Flame_Speed_Feed&lt;&gt;"High",IF(BU156="Instantaneous",BU69,BU90*BU320)&gt;VCE_HighTotal)),"Yes","No"))</f>
        <v>No</v>
      </c>
      <c r="BV318" s="81"/>
      <c r="BW318" s="4239"/>
      <c r="BX318" s="81"/>
      <c r="BY318" s="102" t="str">
        <f>IF(OR(Flash_Pt_Feed="",BY69=0,Location&lt;&gt;"Outdoors"),"No",IF(OR(AND(Flame_Speed_Feed="High",IF(BY156="Instantaneous",BY69,BY90*BY320)&gt;VCE_LowTotal),AND(Flame_Speed_Feed&lt;&gt;"High",IF(BY156="Instantaneous",BY69,BY90*BY320)&gt;VCE_HighTotal)),"Yes","No"))</f>
        <v>No</v>
      </c>
      <c r="BZ318" s="81"/>
      <c r="CA318" s="102" t="str">
        <f>IF(OR(Flash_Pt_Feed="",CA69=0,Location&lt;&gt;"Outdoors"),"No",IF(OR(AND(Flame_Speed_Feed="High",IF(CA156="Instantaneous",CA69,CA90*CA320)&gt;VCE_LowTotal),AND(Flame_Speed_Feed&lt;&gt;"High",IF(CA156="Instantaneous",CA69,CA90*CA320)&gt;VCE_HighTotal)),"Yes","No"))</f>
        <v>No</v>
      </c>
      <c r="CB318" s="81"/>
      <c r="CC318" s="4239"/>
      <c r="CD318" s="81"/>
      <c r="CE318" s="85"/>
      <c r="CF318" s="81"/>
      <c r="CG318" s="26"/>
      <c r="CH318" s="26"/>
      <c r="CI318" s="26"/>
      <c r="CJ318" s="26"/>
      <c r="CK318" s="26"/>
      <c r="CL318" s="26"/>
      <c r="CM318" s="26"/>
      <c r="CN318" s="26"/>
      <c r="CO318" s="26"/>
      <c r="CP318" s="26"/>
      <c r="CQ318" s="26"/>
      <c r="CR318" s="26"/>
    </row>
    <row r="319" spans="1:97" ht="15" customHeight="1" thickBot="1" x14ac:dyDescent="0.3">
      <c r="A319" s="2"/>
      <c r="B319" s="85" t="s">
        <v>5127</v>
      </c>
      <c r="C319" s="83"/>
      <c r="D319" s="2589">
        <f>IF(OR(Flammable_Potential&lt;&gt;"Yes",D249="",D90=0),0,IF(OR(Ease_of_Ignition_Feed="High",Aerosol_Potential="Yes"),MAX(Spray_Distance,IF((100/LFL_Fract_FlashFIre)/D249&lt;=1/D$100,0,IF(D156="Instantaneous",D$153*((D69/D98)*(IF(D131&gt;D249/100,AvgTime_Correction,1)*(100/LFL_Fract_FlashFIre)/D249))^D$154-D$155,D$127*(D90*(IF(D106&gt;D249/100,AvgTime_Correction,1)*(100/LFL_Fract_FlashFIre)/D249)/(D98*Wind))^D$128-D$129))),IF((100/LFL_Fract_FlashFIre)/D249&lt;=1/D$100,0,IF(D156="Instantaneous",D$153*((D69/D98)*(IF(D131&gt;D249/100,AvgTime_Correction,1)*(100/LFL_Fract_FlashFIre)/D249))^D$154-D$155,D$127*(D90*(IF(D106&gt;D249/100,AvgTime_Correction,1)*(100/LFL_Fract_FlashFIre)/D249)/(D98*Wind))^D$128-D$129))))</f>
        <v>0</v>
      </c>
      <c r="E319" s="83"/>
      <c r="F319" s="2589">
        <f>IF(OR(Flammable_Potential&lt;&gt;"Yes",F249="",F90=0),0,IF(OR(Ease_of_Ignition_Feed="High",Aerosol_Potential="Yes"),MAX(Spray_Distance,IF((100/LFL_Fract_FlashFIre)/F249&lt;=1/F$100,0,IF(F156="Instantaneous",F$153*((F69/F98)*(IF(F131&gt;F249/100,AvgTime_Correction,1)*(100/LFL_Fract_FlashFIre)/F249))^F$154-F$155,F$127*(F90*(IF(F106&gt;F249/100,AvgTime_Correction,1)*(100/LFL_Fract_FlashFIre)/F249)/(F98*Wind))^F$128-F$129))),IF((100/LFL_Fract_FlashFIre)/F249&lt;=1/F$100,0,IF(F156="Instantaneous",F$153*((F69/F98)*(IF(F131&gt;F249/100,AvgTime_Correction,1)*(100/LFL_Fract_FlashFIre)/F249))^F$154-F$155,F$127*(F90*(IF(F106&gt;F249/100,AvgTime_Correction,1)*(100/LFL_Fract_FlashFIre)/F249)/(F98*Wind))^F$128-F$129))))</f>
        <v>0</v>
      </c>
      <c r="G319" s="83"/>
      <c r="H319" s="2589">
        <f>IF(OR(Flammable_Potential&lt;&gt;"Yes",H249="",H90=0),0,IF(OR(Ease_of_Ignition_Feed="High",Aerosol_Potential="Yes"),MAX(Spray_Distance,IF((100/LFL_Fract_FlashFIre)/H249&lt;=1/H$100,0,IF(H156="Instantaneous",H$153*((H69/H98)*(IF(H131&gt;H249/100,AvgTime_Correction,1)*(100/LFL_Fract_FlashFIre)/H249))^H$154-H$155,H$127*(H90*(IF(H106&gt;H249/100,AvgTime_Correction,1)*(100/LFL_Fract_FlashFIre)/H249)/(H98*Wind))^H$128-H$129))),IF((100/LFL_Fract_FlashFIre)/H249&lt;=1/H$100,0,IF(H156="Instantaneous",H$153*((H69/H98)*(IF(H131&gt;H249/100,AvgTime_Correction,1)*(100/LFL_Fract_FlashFIre)/H249))^H$154-H$155,H$127*(H90*(IF(H106&gt;H249/100,AvgTime_Correction,1)*(100/LFL_Fract_FlashFIre)/H249)/(H98*Wind))^H$128-H$129))))</f>
        <v>0</v>
      </c>
      <c r="I319" s="83"/>
      <c r="J319" s="2589">
        <f>IF(OR(Flammable_Potential&lt;&gt;"Yes",J249="",J90=0),0,IF(OR(Ease_of_Ignition_Feed="High",Aerosol_Potential="Yes"),MAX(Spray_Distance,IF((100/LFL_Fract_FlashFIre)/J249&lt;=1/J$100,0,IF(J156="Instantaneous",J$153*((J69/J98)*(IF(J131&gt;J249/100,AvgTime_Correction,1)*(100/LFL_Fract_FlashFIre)/J249))^J$154-J$155,J$127*(J90*(IF(J106&gt;J249/100,AvgTime_Correction,1)*(100/LFL_Fract_FlashFIre)/J249)/(J98*Wind))^J$128-J$129))),IF((100/LFL_Fract_FlashFIre)/J249&lt;=1/J$100,0,IF(J156="Instantaneous",J$153*((J69/J98)*(IF(J131&gt;J249/100,AvgTime_Correction,1)*(100/LFL_Fract_FlashFIre)/J249))^J$154-J$155,J$127*(J90*(IF(J106&gt;J249/100,AvgTime_Correction,1)*(100/LFL_Fract_FlashFIre)/J249)/(J98*Wind))^J$128-J$129))))</f>
        <v>0</v>
      </c>
      <c r="K319" s="83"/>
      <c r="L319" s="2589">
        <f>IF(OR(Flammable_Potential&lt;&gt;"Yes",L249="",L90=0),0,IF(OR(Ease_of_Ignition_Feed="High",Aerosol_Potential="Yes"),MAX(Spray_Distance,IF((100/LFL_Fract_FlashFIre)/L249&lt;=1/L$100,0,IF(L156="Instantaneous",L$153*((L69/L98)*(IF(L131&gt;L249/100,AvgTime_Correction,1)*(100/LFL_Fract_FlashFIre)/L249))^L$154-L$155,L$127*(L90*(IF(L106&gt;L249/100,AvgTime_Correction,1)*(100/LFL_Fract_FlashFIre)/L249)/(L98*Wind))^L$128-L$129))),IF((100/LFL_Fract_FlashFIre)/L249&lt;=1/L$100,0,IF(L156="Instantaneous",L$153*((L69/L98)*(IF(L131&gt;L249/100,AvgTime_Correction,1)*(100/LFL_Fract_FlashFIre)/L249))^L$154-L$155,L$127*(L90*(IF(L106&gt;L249/100,AvgTime_Correction,1)*(100/LFL_Fract_FlashFIre)/L249)/(L98*Wind))^L$128-L$129))))</f>
        <v>0</v>
      </c>
      <c r="M319" s="83"/>
      <c r="N319" s="2589">
        <f>IF(OR(Flammable_Potential&lt;&gt;"Yes",N249="",N90=0),0,IF(OR(Ease_of_Ignition_Feed="High",Aerosol_Potential="Yes"),MAX(Spray_Distance,IF((100/LFL_Fract_FlashFIre)/N249&lt;=1/N$100,0,IF(N156="Instantaneous",N$153*((N69/N98)*(IF(N131&gt;N249/100,AvgTime_Correction,1)*(100/LFL_Fract_FlashFIre)/N249))^N$154-N$155,N$127*(N90*(IF(N106&gt;N249/100,AvgTime_Correction,1)*(100/LFL_Fract_FlashFIre)/N249)/(N98*Wind))^N$128-N$129))),IF((100/LFL_Fract_FlashFIre)/N249&lt;=1/N$100,0,IF(N156="Instantaneous",N$153*((N69/N98)*(IF(N131&gt;N249/100,AvgTime_Correction,1)*(100/LFL_Fract_FlashFIre)/N249))^N$154-N$155,N$127*(N90*(IF(N106&gt;N249/100,AvgTime_Correction,1)*(100/LFL_Fract_FlashFIre)/N249)/(N98*Wind))^N$128-N$129))))</f>
        <v>0</v>
      </c>
      <c r="O319" s="83"/>
      <c r="P319" s="2589">
        <f>IF(OR(Flammable_Potential&lt;&gt;"Yes",P249="",P90=0),0,IF(OR(Ease_of_Ignition_Feed="High",Aerosol_Potential="Yes"),MAX(Spray_Distance,IF((100/LFL_Fract_FlashFIre)/P249&lt;=1/P$100,0,IF(P156="Instantaneous",P$153*((P69/P98)*(IF(P131&gt;P249/100,AvgTime_Correction,1)*(100/LFL_Fract_FlashFIre)/P249))^P$154-P$155,P$127*(P90*(IF(P106&gt;P249/100,AvgTime_Correction,1)*(100/LFL_Fract_FlashFIre)/P249)/(P98*Wind))^P$128-P$129))),IF((100/LFL_Fract_FlashFIre)/P249&lt;=1/P$100,0,IF(P156="Instantaneous",P$153*((P69/P98)*(IF(P131&gt;P249/100,AvgTime_Correction,1)*(100/LFL_Fract_FlashFIre)/P249))^P$154-P$155,P$127*(P90*(IF(P106&gt;P249/100,AvgTime_Correction,1)*(100/LFL_Fract_FlashFIre)/P249)/(P98*Wind))^P$128-P$129))))</f>
        <v>0</v>
      </c>
      <c r="Q319" s="83"/>
      <c r="R319" s="2589">
        <f>IF(OR(Flammable_Potential&lt;&gt;"Yes",R249="",R90=0),0,IF(OR(Ease_of_Ignition_Feed="High",Aerosol_Potential="Yes"),MAX(Spray_Distance,IF((100/LFL_Fract_FlashFIre)/R249&lt;=1/R$100,0,IF(R156="Instantaneous",R$153*((R69/R98)*(IF(R131&gt;R249/100,AvgTime_Correction,1)*(100/LFL_Fract_FlashFIre)/R249))^R$154-R$155,R$127*(R90*(IF(R106&gt;R249/100,AvgTime_Correction,1)*(100/LFL_Fract_FlashFIre)/R249)/(R98*Wind))^R$128-R$129))),IF((100/LFL_Fract_FlashFIre)/R249&lt;=1/R$100,0,IF(R156="Instantaneous",R$153*((R69/R98)*(IF(R131&gt;R249/100,AvgTime_Correction,1)*(100/LFL_Fract_FlashFIre)/R249))^R$154-R$155,R$127*(R90*(IF(R106&gt;R249/100,AvgTime_Correction,1)*(100/LFL_Fract_FlashFIre)/R249)/(R98*Wind))^R$128-R$129))))</f>
        <v>0</v>
      </c>
      <c r="S319" s="83"/>
      <c r="T319" s="2589">
        <f>IF(OR(Flammable_Potential&lt;&gt;"Yes",T249="",T90=0),0,IF(OR(Ease_of_Ignition_Feed="High",Aerosol_Potential="Yes"),MAX(Spray_Distance,IF((100/LFL_Fract_FlashFIre)/T249&lt;=1/T$100,0,IF(T156="Instantaneous",T$153*((T69/T98)*(IF(T131&gt;T249/100,AvgTime_Correction,1)*(100/LFL_Fract_FlashFIre)/T249))^T$154-T$155,T$127*(T90*(IF(T106&gt;T249/100,AvgTime_Correction,1)*(100/LFL_Fract_FlashFIre)/T249)/(T98*Wind))^T$128-T$129))),IF((100/LFL_Fract_FlashFIre)/T249&lt;=1/T$100,0,IF(T156="Instantaneous",T$153*((T69/T98)*(IF(T131&gt;T249/100,AvgTime_Correction,1)*(100/LFL_Fract_FlashFIre)/T249))^T$154-T$155,T$127*(T90*(IF(T106&gt;T249/100,AvgTime_Correction,1)*(100/LFL_Fract_FlashFIre)/T249)/(T98*Wind))^T$128-T$129))))</f>
        <v>0</v>
      </c>
      <c r="U319" s="83"/>
      <c r="V319" s="2589">
        <f>IF(OR(Flammable_Potential&lt;&gt;"Yes",V249="",V90=0),0,IF(OR(Ease_of_Ignition_Feed="High",Aerosol_Potential="Yes"),MAX(Spray_Distance,IF((100/LFL_Fract_FlashFIre)/V249&lt;=1/V$100,0,IF(V156="Instantaneous",V$153*((V69/V98)*(IF(V131&gt;V249/100,AvgTime_Correction,1)*(100/LFL_Fract_FlashFIre)/V249))^V$154-V$155,V$127*(V90*(IF(V106&gt;V249/100,AvgTime_Correction,1)*(100/LFL_Fract_FlashFIre)/V249)/(V98*Wind))^V$128-V$129))),IF((100/LFL_Fract_FlashFIre)/V249&lt;=1/V$100,0,IF(V156="Instantaneous",V$153*((V69/V98)*(IF(V131&gt;V249/100,AvgTime_Correction,1)*(100/LFL_Fract_FlashFIre)/V249))^V$154-V$155,V$127*(V90*(IF(V106&gt;V249/100,AvgTime_Correction,1)*(100/LFL_Fract_FlashFIre)/V249)/(V98*Wind))^V$128-V$129))))</f>
        <v>0</v>
      </c>
      <c r="W319" s="83"/>
      <c r="X319" s="2589">
        <f>IF(OR(Flammable_Potential&lt;&gt;"Yes",X249="",X90=0),0,IF(OR(Ease_of_Ignition_Feed="High",Aerosol_Potential="Yes"),MAX(Spray_Distance,IF((100/LFL_Fract_FlashFIre)/X249&lt;=1/X$100,0,IF(X156="Instantaneous",X$153*((X69/X98)*(IF(X131&gt;X249/100,AvgTime_Correction,1)*(100/LFL_Fract_FlashFIre)/X249))^X$154-X$155,X$127*(X90*(IF(X106&gt;X249/100,AvgTime_Correction,1)*(100/LFL_Fract_FlashFIre)/X249)/(X98*Wind))^X$128-X$129))),IF((100/LFL_Fract_FlashFIre)/X249&lt;=1/X$100,0,IF(X156="Instantaneous",X$153*((X69/X98)*(IF(X131&gt;X249/100,AvgTime_Correction,1)*(100/LFL_Fract_FlashFIre)/X249))^X$154-X$155,X$127*(X90*(IF(X106&gt;X249/100,AvgTime_Correction,1)*(100/LFL_Fract_FlashFIre)/X249)/(X98*Wind))^X$128-X$129))))</f>
        <v>0</v>
      </c>
      <c r="Y319" s="83"/>
      <c r="Z319" s="85" t="s">
        <v>1068</v>
      </c>
      <c r="AA319" s="83"/>
      <c r="AB319" s="81"/>
      <c r="AC319" s="848" t="s">
        <v>1433</v>
      </c>
      <c r="AD319" s="81"/>
      <c r="AE319" s="3010" t="str">
        <f>IF(AE$98&gt;0,IF(AE314&gt;1000000*(0.21-Asp_Screen)/0.21,"Yes","No"),"No")</f>
        <v>No</v>
      </c>
      <c r="AF319" s="81"/>
      <c r="AG319" s="3010" t="str">
        <f>IF(AG$98&gt;0,IF(AG314&gt;1000000*(0.21-Asp_Screen)/0.21,"Yes","No"),"No")</f>
        <v>No</v>
      </c>
      <c r="AH319" s="81"/>
      <c r="AI319" s="3010" t="str">
        <f>IF(AI$98&gt;0,IF(AI314&gt;1000000*(0.21-Asp_Screen)/0.21,"Yes","No"),"No")</f>
        <v>No</v>
      </c>
      <c r="AJ319" s="81"/>
      <c r="AK319" s="3010" t="str">
        <f>IF(AK$98&gt;0,IF(AK314&gt;1000000*(0.21-Asp_Screen)/0.21,"Yes","No"),"No")</f>
        <v>No</v>
      </c>
      <c r="AL319" s="81"/>
      <c r="AM319" s="3010" t="str">
        <f>IF(AM$98&gt;0,IF(AM314&gt;1000000*(0.21-Asp_Screen)/0.21,"Yes","No"),"No")</f>
        <v>No</v>
      </c>
      <c r="AN319" s="81"/>
      <c r="AO319" s="3010" t="str">
        <f>IF(AO$98&gt;0,IF(AO314&gt;1000000*(0.21-Asp_Screen)/0.21,"Yes","No"),"No")</f>
        <v>No</v>
      </c>
      <c r="AP319" s="81"/>
      <c r="AQ319" s="25"/>
      <c r="AR319" s="81"/>
      <c r="AS319" s="83"/>
      <c r="AT319" s="851" t="s">
        <v>4725</v>
      </c>
      <c r="AU319" s="83"/>
      <c r="AV319" s="15">
        <f>IF(AV246="",0,IF(AV205="Continuous",MIN(AV74*AV318/Wind,AV48),AV48)*2440/(AV82*AV246*AvgConc_Correction))</f>
        <v>0</v>
      </c>
      <c r="AW319" s="83"/>
      <c r="AX319" s="15">
        <f>IF(AX246="",0,IF(AX205="Continuous",MIN(AX74*AX318/Wind,AX48),AX48)*2440/(AX82*AX246*AvgConc_Correction))</f>
        <v>0</v>
      </c>
      <c r="AY319" s="83"/>
      <c r="AZ319" s="15">
        <f>IF(AZ246="",0,IF(AZ205="Continuous",MIN(AZ74*AZ318/Wind,AZ48),AZ48)*2440/(AZ82*AZ246*AvgConc_Correction))</f>
        <v>0</v>
      </c>
      <c r="BA319" s="83"/>
      <c r="BB319" s="15">
        <f>IF(BB246="",0,IF(BB205="Continuous",MIN(BB74*BB318/Wind,BB48),BB48)*2440/(BB82*BB246*AvgConc_Correction))</f>
        <v>0</v>
      </c>
      <c r="BC319" s="83"/>
      <c r="BD319" s="15">
        <f>IF(BD246="",0,IF(BD205="Continuous",MIN(BD74*BD318/Wind,BD48),BD48)*2440/(BD82*BD246*AvgConc_Correction))</f>
        <v>0</v>
      </c>
      <c r="BE319" s="83"/>
      <c r="BF319" s="15">
        <f>IF(BF246="",0,IF(BF205="Continuous",MIN(BF74*BF318/Wind,BF48),BF48)*2440/(BF82*BF246*AvgConc_Correction))</f>
        <v>0</v>
      </c>
      <c r="BG319" s="83"/>
      <c r="BH319" s="15">
        <f>IF(BH246="",0,IF(BH205="Continuous",MIN(BH74*BH318/Wind,BH48),BH48)*2440/(BH82*BH246*AvgConc_Correction))</f>
        <v>0</v>
      </c>
      <c r="BI319" s="83"/>
      <c r="BJ319" s="15">
        <f>IF(BJ246="",0,IF(BJ205="Continuous",MIN(BJ74*BJ318/Wind,BJ48),BJ48)*2440/(BJ82*BJ246*AvgConc_Correction))</f>
        <v>0</v>
      </c>
      <c r="BK319" s="83"/>
      <c r="BL319" s="15">
        <f>IF(BL246="",0,IF(BL205="Continuous",MIN(BL74*BL318/Wind,BL48),BL48)*2440/(BL82*BL246*AvgConc_Correction))</f>
        <v>0</v>
      </c>
      <c r="BM319" s="83"/>
      <c r="BN319" s="15">
        <f>IF(BN246="",0,IF(BN205="Continuous",MIN(BN74*BN318/Wind,BN48),BN48)*2440/(BN82*BN246*AvgConc_Correction))</f>
        <v>0</v>
      </c>
      <c r="BO319" s="83"/>
      <c r="BP319" s="85" t="s">
        <v>1270</v>
      </c>
      <c r="BQ319" s="83"/>
      <c r="BR319" s="81"/>
      <c r="BS319" s="85" t="s">
        <v>5140</v>
      </c>
      <c r="BT319" s="81"/>
      <c r="BU319" s="2589">
        <f>IF(OR(Flammable_Potential&lt;&gt;"Yes",BU249="",BU69=0),0,IF(OR(Ease_of_Ignition_Feed="High",Aerosol_Potential="Yes"),MAX(Spray_Distance,IF((100/LFL_Fract_FlashFIre)/BU249&lt;=1/BU$100,0,IF(BU156="Instantaneous",BU$153*((BU69/BU98)*(IF(BU131&gt;BU249/100,AvgTime_Correction,1)*(100/LFL_Fract_FlashFIre)/BU249))^BU$154-BU$155,BU$127*(BU90*(IF(BU106&gt;BU249/100,AvgTime_Correction,1)*(100/LFL_Fract_FlashFIre)/BU249)/(BU98*Wind))^BU$128-BU$129))),IF((100/LFL_Fract_FlashFIre)/BU249&lt;=1/BU$100,0,IF(BU156="Instantaneous",BU$153*((BU69/BU98)*(IF(BU131&gt;BU249/100,AvgTime_Correction,1)*(100/LFL_Fract_FlashFIre)/BU249))^BU$154-BU$155,BU$127*(BU90*(IF(BU106&gt;BU249/100,AvgTime_Correction,1)*(100/LFL_Fract_FlashFIre)/BU249)/(BU98*Wind))^BU$128-BU$129))))</f>
        <v>0</v>
      </c>
      <c r="BV319" s="81"/>
      <c r="BW319" s="4239"/>
      <c r="BX319" s="81"/>
      <c r="BY319" s="2589">
        <f>IF(OR(Flammable_Potential&lt;&gt;"Yes",BY249="",BY69=0),0,IF(OR(Ease_of_Ignition_Feed="High",Aerosol_Potential="Yes"),MAX(Spray_Distance,IF((100/LFL_Fract_FlashFIre)/BY249&lt;=1/BY$100,0,IF(BY156="Instantaneous",BY$153*((BY69/BY98)*(IF(BY131&gt;BY249/100,AvgTime_Correction,1)*(100/LFL_Fract_FlashFIre)/BY249))^BY$154-BY$155,BY$127*(BY90*(IF(BY106&gt;BY249/100,AvgTime_Correction,1)*(100/LFL_Fract_FlashFIre)/BY249)/(BY98*Wind))^BY$128-BY$129))),IF((100/LFL_Fract_FlashFIre)/BY249&lt;=1/BY$100,0,IF(BY156="Instantaneous",BY$153*((BY69/BY98)*(IF(BY131&gt;BY249/100,AvgTime_Correction,1)*(100/LFL_Fract_FlashFIre)/BY249))^BY$154-BY$155,BY$127*(BY90*(IF(BY106&gt;BY249/100,AvgTime_Correction,1)*(100/LFL_Fract_FlashFIre)/BY249)/(BY98*Wind))^BY$128-BY$129))))</f>
        <v>0</v>
      </c>
      <c r="BZ319" s="81"/>
      <c r="CA319" s="2589">
        <f>IF(OR(Flammable_Potential&lt;&gt;"Yes",CA249="",CA69=0),0,IF(OR(Ease_of_Ignition_Feed="High",Aerosol_Potential="Yes"),MAX(Spray_Distance,IF((100/LFL_Fract_FlashFIre)/CA249&lt;=1/CA$100,0,IF(CA156="Instantaneous",CA$153*((CA69/CA98)*(IF(CA131&gt;CA249/100,AvgTime_Correction,1)*(100/LFL_Fract_FlashFIre)/CA249))^CA$154-CA$155,CA$127*(CA90*(IF(CA106&gt;CA249/100,AvgTime_Correction,1)*(100/LFL_Fract_FlashFIre)/CA249)/(CA98*Wind))^CA$128-CA$129))),IF((100/LFL_Fract_FlashFIre)/CA249&lt;=1/CA$100,0,IF(CA156="Instantaneous",CA$153*((CA69/CA98)*(IF(CA131&gt;CA249/100,AvgTime_Correction,1)*(100/LFL_Fract_FlashFIre)/CA249))^CA$154-CA$155,CA$127*(CA90*(IF(CA106&gt;CA249/100,AvgTime_Correction,1)*(100/LFL_Fract_FlashFIre)/CA249)/(CA98*Wind))^CA$128-CA$129))))</f>
        <v>0</v>
      </c>
      <c r="CB319" s="81"/>
      <c r="CC319" s="4239"/>
      <c r="CD319" s="81"/>
      <c r="CE319" s="85" t="s">
        <v>1068</v>
      </c>
      <c r="CF319" s="81"/>
      <c r="CG319" s="26"/>
      <c r="CH319" s="26"/>
      <c r="CI319" s="26"/>
      <c r="CJ319" s="26"/>
      <c r="CK319" s="26"/>
      <c r="CL319" s="26"/>
      <c r="CM319" s="26"/>
      <c r="CN319" s="26"/>
      <c r="CO319" s="26"/>
      <c r="CP319" s="26"/>
      <c r="CQ319" s="26"/>
      <c r="CR319" s="26"/>
    </row>
    <row r="320" spans="1:97" ht="15" customHeight="1" thickBot="1" x14ac:dyDescent="0.3">
      <c r="A320" s="2"/>
      <c r="B320" s="2995" t="s">
        <v>4726</v>
      </c>
      <c r="C320" s="83"/>
      <c r="D320" s="2582">
        <f>IF(OR(Flammable_Potential&lt;&gt;"Yes",D249="",D90=0),0,IF(OR(Ease_of_Ignition_Feed="High",Aerosol_Potential="Yes"),MAX(Spray_Distance,IF(100/D249&lt;=1/D$100,0,IF(D156="Instantaneous",D$153*((D69/D98)*(IF(D131&gt;D249/100,AvgTime_Correction,1)*100/D249))^D$154-D$155,D$127*(D90*(IF(D106&gt;D249/100,AvgTime_Correction,1)*100/D249)/(D98*Wind))^D$128-D$129))),IF(100/D249&lt;=1/D$100,0,IF(D156="Instantaneous",D$153*((D69/D98)*(IF(D131&gt;D249/100,AvgTime_Correction,1)*100/D249))^D$154-D$155,D$127*(D90*(IF(D106&gt;D249/100,AvgTime_Correction,1)*100/D249)/(D98*Wind))^D$128-D$129))))</f>
        <v>0</v>
      </c>
      <c r="E320" s="83"/>
      <c r="F320" s="2582">
        <f>IF(OR(Flammable_Potential&lt;&gt;"Yes",F249="",F90=0),0,IF(OR(Ease_of_Ignition_Feed="High",Aerosol_Potential="Yes"),MAX(Spray_Distance,IF(100/F249&lt;=1/F$100,0,IF(F156="Instantaneous",F$153*((F69/F98)*(IF(F131&gt;F249/100,AvgTime_Correction,1)*100/F249))^F$154-F$155,F$127*(F90*(IF(F106&gt;F249/100,AvgTime_Correction,1)*100/F249)/(F98*Wind))^F$128-F$129))),IF(100/F249&lt;=1/F$100,0,IF(F156="Instantaneous",F$153*((F69/F98)*(IF(F131&gt;F249/100,AvgTime_Correction,1)*100/F249))^F$154-F$155,F$127*(F90*(IF(F106&gt;F249/100,AvgTime_Correction,1)*100/F249)/(F98*Wind))^F$128-F$129))))</f>
        <v>0</v>
      </c>
      <c r="G320" s="83"/>
      <c r="H320" s="2582">
        <f>IF(OR(Flammable_Potential&lt;&gt;"Yes",H249="",H90=0),0,IF(OR(Ease_of_Ignition_Feed="High",Aerosol_Potential="Yes"),MAX(Spray_Distance,IF(100/H249&lt;=1/H$100,0,IF(H156="Instantaneous",H$153*((H69/H98)*(IF(H131&gt;H249/100,AvgTime_Correction,1)*100/H249))^H$154-H$155,H$127*(H90*(IF(H106&gt;H249/100,AvgTime_Correction,1)*100/H249)/(H98*Wind))^H$128-H$129))),IF(100/H249&lt;=1/H$100,0,IF(H156="Instantaneous",H$153*((H69/H98)*(IF(H131&gt;H249/100,AvgTime_Correction,1)*100/H249))^H$154-H$155,H$127*(H90*(IF(H106&gt;H249/100,AvgTime_Correction,1)*100/H249)/(H98*Wind))^H$128-H$129))))</f>
        <v>0</v>
      </c>
      <c r="I320" s="83"/>
      <c r="J320" s="2582">
        <f>IF(OR(Flammable_Potential&lt;&gt;"Yes",J249="",J90=0),0,IF(OR(Ease_of_Ignition_Feed="High",Aerosol_Potential="Yes"),MAX(Spray_Distance,IF(100/J249&lt;=1/J$100,0,IF(J156="Instantaneous",J$153*((J69/J98)*(IF(J131&gt;J249/100,AvgTime_Correction,1)*100/J249))^J$154-J$155,J$127*(J90*(IF(J106&gt;J249/100,AvgTime_Correction,1)*100/J249)/(J98*Wind))^J$128-J$129))),IF(100/J249&lt;=1/J$100,0,IF(J156="Instantaneous",J$153*((J69/J98)*(IF(J131&gt;J249/100,AvgTime_Correction,1)*100/J249))^J$154-J$155,J$127*(J90*(IF(J106&gt;J249/100,AvgTime_Correction,1)*100/J249)/(J98*Wind))^J$128-J$129))))</f>
        <v>0</v>
      </c>
      <c r="K320" s="83"/>
      <c r="L320" s="2582">
        <f>IF(OR(Flammable_Potential&lt;&gt;"Yes",L249="",L90=0),0,IF(OR(Ease_of_Ignition_Feed="High",Aerosol_Potential="Yes"),MAX(Spray_Distance,IF(100/L249&lt;=1/L$100,0,IF(L156="Instantaneous",L$153*((L69/L98)*(IF(L131&gt;L249/100,AvgTime_Correction,1)*100/L249))^L$154-L$155,L$127*(L90*(IF(L106&gt;L249/100,AvgTime_Correction,1)*100/L249)/(L98*Wind))^L$128-L$129))),IF(100/L249&lt;=1/L$100,0,IF(L156="Instantaneous",L$153*((L69/L98)*(IF(L131&gt;L249/100,AvgTime_Correction,1)*100/L249))^L$154-L$155,L$127*(L90*(IF(L106&gt;L249/100,AvgTime_Correction,1)*100/L249)/(L98*Wind))^L$128-L$129))))</f>
        <v>0</v>
      </c>
      <c r="M320" s="83"/>
      <c r="N320" s="2582">
        <f>IF(OR(Flammable_Potential&lt;&gt;"Yes",N249="",N90=0),0,IF(OR(Ease_of_Ignition_Feed="High",Aerosol_Potential="Yes"),MAX(Spray_Distance,IF(100/N249&lt;=1/N$100,0,IF(N156="Instantaneous",N$153*((N69/N98)*(IF(N131&gt;N249/100,AvgTime_Correction,1)*100/N249))^N$154-N$155,N$127*(N90*(IF(N106&gt;N249/100,AvgTime_Correction,1)*100/N249)/(N98*Wind))^N$128-N$129))),IF(100/N249&lt;=1/N$100,0,IF(N156="Instantaneous",N$153*((N69/N98)*(IF(N131&gt;N249/100,AvgTime_Correction,1)*100/N249))^N$154-N$155,N$127*(N90*(IF(N106&gt;N249/100,AvgTime_Correction,1)*100/N249)/(N98*Wind))^N$128-N$129))))</f>
        <v>0</v>
      </c>
      <c r="O320" s="83"/>
      <c r="P320" s="2582">
        <f>IF(OR(Flammable_Potential&lt;&gt;"Yes",P249="",P90=0),0,IF(OR(Ease_of_Ignition_Feed="High",Aerosol_Potential="Yes"),MAX(Spray_Distance,IF(100/P249&lt;=1/P$100,0,IF(P156="Instantaneous",P$153*((P69/P98)*(IF(P131&gt;P249/100,AvgTime_Correction,1)*100/P249))^P$154-P$155,P$127*(P90*(IF(P106&gt;P249/100,AvgTime_Correction,1)*100/P249)/(P98*Wind))^P$128-P$129))),IF(100/P249&lt;=1/P$100,0,IF(P156="Instantaneous",P$153*((P69/P98)*(IF(P131&gt;P249/100,AvgTime_Correction,1)*100/P249))^P$154-P$155,P$127*(P90*(IF(P106&gt;P249/100,AvgTime_Correction,1)*100/P249)/(P98*Wind))^P$128-P$129))))</f>
        <v>0</v>
      </c>
      <c r="Q320" s="83"/>
      <c r="R320" s="2582">
        <f>IF(OR(Flammable_Potential&lt;&gt;"Yes",R249="",R90=0),0,IF(OR(Ease_of_Ignition_Feed="High",Aerosol_Potential="Yes"),MAX(Spray_Distance,IF(100/R249&lt;=1/R$100,0,IF(R156="Instantaneous",R$153*((R69/R98)*(IF(R131&gt;R249/100,AvgTime_Correction,1)*100/R249))^R$154-R$155,R$127*(R90*(IF(R106&gt;R249/100,AvgTime_Correction,1)*100/R249)/(R98*Wind))^R$128-R$129))),IF(100/R249&lt;=1/R$100,0,IF(R156="Instantaneous",R$153*((R69/R98)*(IF(R131&gt;R249/100,AvgTime_Correction,1)*100/R249))^R$154-R$155,R$127*(R90*(IF(R106&gt;R249/100,AvgTime_Correction,1)*100/R249)/(R98*Wind))^R$128-R$129))))</f>
        <v>0</v>
      </c>
      <c r="S320" s="83"/>
      <c r="T320" s="2582">
        <f>IF(OR(Flammable_Potential&lt;&gt;"Yes",T249="",T90=0),0,IF(OR(Ease_of_Ignition_Feed="High",Aerosol_Potential="Yes"),MAX(Spray_Distance,IF(100/T249&lt;=1/T$100,0,IF(T156="Instantaneous",T$153*((T69/T98)*(IF(T131&gt;T249/100,AvgTime_Correction,1)*100/T249))^T$154-T$155,T$127*(T90*(IF(T106&gt;T249/100,AvgTime_Correction,1)*100/T249)/(T98*Wind))^T$128-T$129))),IF(100/T249&lt;=1/T$100,0,IF(T156="Instantaneous",T$153*((T69/T98)*(IF(T131&gt;T249/100,AvgTime_Correction,1)*100/T249))^T$154-T$155,T$127*(T90*(IF(T106&gt;T249/100,AvgTime_Correction,1)*100/T249)/(T98*Wind))^T$128-T$129))))</f>
        <v>0</v>
      </c>
      <c r="U320" s="83"/>
      <c r="V320" s="2582">
        <f>IF(OR(Flammable_Potential&lt;&gt;"Yes",V249="",V90=0),0,IF(OR(Ease_of_Ignition_Feed="High",Aerosol_Potential="Yes"),MAX(Spray_Distance,IF(100/V249&lt;=1/V$100,0,IF(V156="Instantaneous",V$153*((V69/V98)*(IF(V131&gt;V249/100,AvgTime_Correction,1)*100/V249))^V$154-V$155,V$127*(V90*(IF(V106&gt;V249/100,AvgTime_Correction,1)*100/V249)/(V98*Wind))^V$128-V$129))),IF(100/V249&lt;=1/V$100,0,IF(V156="Instantaneous",V$153*((V69/V98)*(IF(V131&gt;V249/100,AvgTime_Correction,1)*100/V249))^V$154-V$155,V$127*(V90*(IF(V106&gt;V249/100,AvgTime_Correction,1)*100/V249)/(V98*Wind))^V$128-V$129))))</f>
        <v>0</v>
      </c>
      <c r="W320" s="83"/>
      <c r="X320" s="2582">
        <f>IF(OR(Flammable_Potential&lt;&gt;"Yes",X249="",X90=0),0,IF(OR(Ease_of_Ignition_Feed="High",Aerosol_Potential="Yes"),MAX(Spray_Distance,IF(100/X249&lt;=1/X$100,0,IF(X156="Instantaneous",X$153*((X69/X98)*(IF(X131&gt;X249/100,AvgTime_Correction,1)*100/X249))^X$154-X$155,X$127*(X90*(IF(X106&gt;X249/100,AvgTime_Correction,1)*100/X249)/(X98*Wind))^X$128-X$129))),IF(100/X249&lt;=1/X$100,0,IF(X156="Instantaneous",X$153*((X69/X98)*(IF(X131&gt;X249/100,AvgTime_Correction,1)*100/X249))^X$154-X$155,X$127*(X90*(IF(X106&gt;X249/100,AvgTime_Correction,1)*100/X249)/(X98*Wind))^X$128-X$129))))</f>
        <v>0</v>
      </c>
      <c r="Y320" s="83"/>
      <c r="Z320" s="85" t="s">
        <v>1068</v>
      </c>
      <c r="AA320" s="83"/>
      <c r="AB320" s="81"/>
      <c r="AC320" s="113" t="s">
        <v>2217</v>
      </c>
      <c r="AD320" s="81"/>
      <c r="AE320" s="371">
        <f>IF(OR(Flammable_Potential&lt;&gt;"Yes",AE262="",AE90=0),0,IF(OR(Ease_of_Ignition_Feed="High",Aerosol_Potential="Yes"),MAX(Spray_Distance,IF(400/AE262&lt;=1/AE$100,0,IF(AE169="Instantaneous",AE$166*((AE69/AE98)*(IF(AE144&gt;AE262/100,AvgTime_Correction,1)*400/AE262))^AE$167-AE$168,AE$140*(AE90*(IF(AE144&gt;AE262/100,AvgTime_Correction,1)*400/AE262)/(AE98*Wind))^AE$141-AE$142))),IF(400/AE262&lt;=1/AE$100,0,IF(AE169="Instantaneous",AE$166*((AE69/AE98)*(IF(AE144&gt;AE262/100,AvgTime_Correction,1)*400/AE262))^AE$167-AE$168,AE$140*(AE90*(IF(AE119&gt;AE262/100,AvgTime_Correction,1)*400/AE262)/(AE98*Wind))^AE$141-AE$142))))</f>
        <v>0</v>
      </c>
      <c r="AF320" s="81"/>
      <c r="AG320" s="371">
        <f>IF(OR(Flammable_Potential&lt;&gt;"Yes",AG262="",AG90=0),0,IF(OR(Ease_of_Ignition_Feed="High",Aerosol_Potential="Yes"),MAX(Spray_Distance,IF(400/AG262&lt;=1/AG$100,0,IF(AG169="Instantaneous",AG$166*((AG69/AG98)*(IF(AG144&gt;AG262/100,AvgTime_Correction,1)*400/AG262))^AG$167-AG$168,AG$140*(AG90*(IF(AG144&gt;AG262/100,AvgTime_Correction,1)*400/AG262)/(AG98*Wind))^AG$141-AG$142))),IF(400/AG262&lt;=1/AG$100,0,IF(AG169="Instantaneous",AG$166*((AG69/AG98)*(IF(AG144&gt;AG262/100,AvgTime_Correction,1)*400/AG262))^AG$167-AG$168,AG$140*(AG90*(IF(AG119&gt;AG262/100,AvgTime_Correction,1)*400/AG262)/(AG98*Wind))^AG$141-AG$142))))</f>
        <v>0</v>
      </c>
      <c r="AH320" s="81"/>
      <c r="AI320" s="371">
        <f>IF(OR(Flammable_Potential&lt;&gt;"Yes",AI262="",AI90=0),0,IF(OR(Ease_of_Ignition_Feed="High",Aerosol_Potential="Yes"),MAX(Spray_Distance,IF(400/AI262&lt;=1/AI$100,0,IF(AI169="Instantaneous",AI$166*((AI69/AI98)*(IF(AI144&gt;AI262/100,AvgTime_Correction,1)*400/AI262))^AI$167-AI$168,AI$140*(AI90*(IF(AI144&gt;AI262/100,AvgTime_Correction,1)*400/AI262)/(AI98*Wind))^AI$141-AI$142))),IF(400/AI262&lt;=1/AI$100,0,IF(AI169="Instantaneous",AI$166*((AI69/AI98)*(IF(AI144&gt;AI262/100,AvgTime_Correction,1)*400/AI262))^AI$167-AI$168,AI$140*(AI90*(IF(AI119&gt;AI262/100,AvgTime_Correction,1)*400/AI262)/(AI98*Wind))^AI$141-AI$142))))</f>
        <v>0</v>
      </c>
      <c r="AJ320" s="81"/>
      <c r="AK320" s="371">
        <f>IF(OR(Flammable_Potential&lt;&gt;"Yes",AK262="",AK90=0),0,IF(OR(Ease_of_Ignition_Feed="High",Aerosol_Potential="Yes"),MAX(Spray_Distance,IF(400/AK262&lt;=1/AK$100,0,IF(AK169="Instantaneous",AK$166*((AK69/AK98)*(IF(AK144&gt;AK262/100,AvgTime_Correction,1)*400/AK262))^AK$167-AK$168,AK$140*(AK90*(IF(AK144&gt;AK262/100,AvgTime_Correction,1)*400/AK262)/(AK98*Wind))^AK$141-AK$142))),IF(400/AK262&lt;=1/AK$100,0,IF(AK169="Instantaneous",AK$166*((AK69/AK98)*(IF(AK144&gt;AK262/100,AvgTime_Correction,1)*400/AK262))^AK$167-AK$168,AK$140*(AK90*(IF(AK119&gt;AK262/100,AvgTime_Correction,1)*400/AK262)/(AK98*Wind))^AK$141-AK$142))))</f>
        <v>0</v>
      </c>
      <c r="AL320" s="81"/>
      <c r="AM320" s="371">
        <f>IF(OR(Flammable_Potential&lt;&gt;"Yes",AM262="",AM90=0),0,IF(OR(Ease_of_Ignition_Feed="High",Aerosol_Potential="Yes"),MAX(Spray_Distance,IF(400/AM262&lt;=1/AM$100,0,IF(AM169="Instantaneous",AM$166*((AM69/AM98)*(IF(AM144&gt;AM262/100,AvgTime_Correction,1)*400/AM262))^AM$167-AM$168,AM$140*(AM90*(IF(AM144&gt;AM262/100,AvgTime_Correction,1)*400/AM262)/(AM98*Wind))^AM$141-AM$142))),IF(400/AM262&lt;=1/AM$100,0,IF(AM169="Instantaneous",AM$166*((AM69/AM98)*(IF(AM144&gt;AM262/100,AvgTime_Correction,1)*400/AM262))^AM$167-AM$168,AM$140*(AM90*(IF(AM119&gt;AM262/100,AvgTime_Correction,1)*400/AM262)/(AM98*Wind))^AM$141-AM$142))))</f>
        <v>0</v>
      </c>
      <c r="AN320" s="81"/>
      <c r="AO320" s="371">
        <f>IF(OR(Flammable_Potential&lt;&gt;"Yes",AO262="",AO90=0),0,IF(OR(Ease_of_Ignition_Feed="High",Aerosol_Potential="Yes"),MAX(Spray_Distance,IF(400/AO262&lt;=1/AO$100,0,IF(AO169="Instantaneous",AO$166*((AO69/AO98)*(IF(AO144&gt;AO262/100,AvgTime_Correction,1)*400/AO262))^AO$167-AO$168,AO$140*(AO90*(IF(AO144&gt;AO262/100,AvgTime_Correction,1)*400/AO262)/(AO98*Wind))^AO$141-AO$142))),IF(400/AO262&lt;=1/AO$100,0,IF(AO169="Instantaneous",AO$166*((AO69/AO98)*(IF(AO144&gt;AO262/100,AvgTime_Correction,1)*400/AO262))^AO$167-AO$168,AO$140*(AO90*(IF(AO119&gt;AO262/100,AvgTime_Correction,1)*400/AO262)/(AO98*Wind))^AO$141-AO$142))))</f>
        <v>0</v>
      </c>
      <c r="AP320" s="81"/>
      <c r="AQ320" s="92" t="s">
        <v>1068</v>
      </c>
      <c r="AR320" s="81"/>
      <c r="AS320" s="83"/>
      <c r="AT320" s="23" t="s">
        <v>18</v>
      </c>
      <c r="AU320" s="83"/>
      <c r="AV320" s="2846">
        <f>IF(AV316="No",0,IF(AV319*ExplEng_perVolume&lt;ExplEng_Limit,AV319*ExplEng_perVolume,ExplEng_Limit))</f>
        <v>0</v>
      </c>
      <c r="AW320" s="83"/>
      <c r="AX320" s="2846">
        <f>IF(AX316="No",0,IF(AX319*ExplEng_perVolume&lt;ExplEng_Limit,AX319*ExplEng_perVolume,ExplEng_Limit))</f>
        <v>0</v>
      </c>
      <c r="AY320" s="83"/>
      <c r="AZ320" s="2846">
        <f>IF(AZ316="No",0,IF(AZ319*ExplEng_perVolume&lt;ExplEng_Limit,AZ319*ExplEng_perVolume,ExplEng_Limit))</f>
        <v>0</v>
      </c>
      <c r="BA320" s="83"/>
      <c r="BB320" s="2846">
        <f>IF(BB316="No",0,IF(BB319*ExplEng_perVolume&lt;ExplEng_Limit,BB319*ExplEng_perVolume,ExplEng_Limit))</f>
        <v>0</v>
      </c>
      <c r="BC320" s="83"/>
      <c r="BD320" s="2846">
        <f>IF(BD316="No",0,IF(BD319*ExplEng_perVolume&lt;ExplEng_Limit,BD319*ExplEng_perVolume,ExplEng_Limit))</f>
        <v>0</v>
      </c>
      <c r="BE320" s="83"/>
      <c r="BF320" s="2846">
        <f>IF(BF316="No",0,IF(BF319*ExplEng_perVolume&lt;ExplEng_Limit,BF319*ExplEng_perVolume,ExplEng_Limit))</f>
        <v>0</v>
      </c>
      <c r="BG320" s="83"/>
      <c r="BH320" s="2846">
        <f>IF(BH316="No",0,IF(BH319*ExplEng_perVolume&lt;ExplEng_Limit,BH319*ExplEng_perVolume,ExplEng_Limit))</f>
        <v>0</v>
      </c>
      <c r="BI320" s="83"/>
      <c r="BJ320" s="2846">
        <f>IF(BJ316="No",0,IF(BJ319*ExplEng_perVolume&lt;ExplEng_Limit,BJ319*ExplEng_perVolume,ExplEng_Limit))</f>
        <v>0</v>
      </c>
      <c r="BK320" s="83"/>
      <c r="BL320" s="2846">
        <f>IF(BL316="No",0,IF(BL319*ExplEng_perVolume&lt;ExplEng_Limit,BL319*ExplEng_perVolume,ExplEng_Limit))</f>
        <v>0</v>
      </c>
      <c r="BM320" s="83"/>
      <c r="BN320" s="2846">
        <f>IF(BN316="No",0,IF(BN319*ExplEng_perVolume&lt;ExplEng_Limit,BN319*ExplEng_perVolume,ExplEng_Limit))</f>
        <v>0</v>
      </c>
      <c r="BO320" s="83"/>
      <c r="BP320" s="100" t="s">
        <v>1761</v>
      </c>
      <c r="BQ320" s="83"/>
      <c r="BR320" s="81"/>
      <c r="BS320" s="25" t="s">
        <v>4726</v>
      </c>
      <c r="BT320" s="81"/>
      <c r="BU320" s="2582">
        <f>IF(OR(Flammable_Potential&lt;&gt;"Yes",BU249="",BU69=0),0,IF(OR(Ease_of_Ignition_Feed="High",Aerosol_Potential="Yes"),MAX(Spray_Distance,IF(100/BU249&lt;=1/BU$100,0,IF(BU156="Instantaneous",BU$153*((BU69/BU98)*(IF(BU131&gt;BU249/100,AvgTime_Correction,1)*100/BU249))^BU$154-BU$155,BU$127*(BU90*(IF(BU106&gt;BU249/100,AvgTime_Correction,1)*100/BU249)/(BU98*Wind))^BU$128-BU$129))),IF(100/BU249&lt;=1/BU$100,0,IF(BU156="Instantaneous",BU$153*((BU69/BU98)*(IF(BU131&gt;BU249/100,AvgTime_Correction,1)*100/BU249))^BU$154-BU$155,BU$127*(BU90*(IF(BU106&gt;BU249/100,AvgTime_Correction,1)*100/BU249)/(BU98*Wind))^BU$128-BU$129))))</f>
        <v>0</v>
      </c>
      <c r="BV320" s="81"/>
      <c r="BW320" s="4239"/>
      <c r="BX320" s="81"/>
      <c r="BY320" s="2582">
        <f>IF(OR(Flammable_Potential&lt;&gt;"Yes",BY249="",BY69=0),0,IF(OR(Ease_of_Ignition_Feed="High",Aerosol_Potential="Yes"),MAX(Spray_Distance,IF(100/BY249&lt;=1/BY$100,0,IF(BY156="Instantaneous",BY$153*((BY69/BY98)*(IF(BY131&gt;BY249/100,AvgTime_Correction,1)*100/BY249))^BY$154-BY$155,BY$127*(BY90*(IF(BY106&gt;BY249/100,AvgTime_Correction,1)*100/BY249)/(BY98*Wind))^BY$128-BY$129))),IF(100/BY249&lt;=1/BY$100,0,IF(BY156="Instantaneous",BY$153*((BY69/BY98)*(IF(BY131&gt;BY249/100,AvgTime_Correction,1)*100/BY249))^BY$154-BY$155,BY$127*(BY90*(IF(BY106&gt;BY249/100,AvgTime_Correction,1)*100/BY249)/(BY98*Wind))^BY$128-BY$129))))</f>
        <v>0</v>
      </c>
      <c r="BZ320" s="81"/>
      <c r="CA320" s="2582">
        <f>IF(OR(Flammable_Potential&lt;&gt;"Yes",CA249="",CA69=0),0,IF(OR(Ease_of_Ignition_Feed="High",Aerosol_Potential="Yes"),MAX(Spray_Distance,IF(100/CA249&lt;=1/CA$100,0,IF(CA156="Instantaneous",CA$153*((CA69/CA98)*(IF(CA131&gt;CA249/100,AvgTime_Correction,1)*100/CA249))^CA$154-CA$155,CA$127*(CA90*(IF(CA106&gt;CA249/100,AvgTime_Correction,1)*100/CA249)/(CA98*Wind))^CA$128-CA$129))),IF(100/CA249&lt;=1/CA$100,0,IF(CA156="Instantaneous",CA$153*((CA69/CA98)*(IF(CA131&gt;CA249/100,AvgTime_Correction,1)*100/CA249))^CA$154-CA$155,CA$127*(CA90*(IF(CA106&gt;CA249/100,AvgTime_Correction,1)*100/CA249)/(CA98*Wind))^CA$128-CA$129))))</f>
        <v>0</v>
      </c>
      <c r="CB320" s="81"/>
      <c r="CC320" s="4239"/>
      <c r="CD320" s="81"/>
      <c r="CE320" s="85"/>
      <c r="CF320" s="81"/>
      <c r="CG320" s="26"/>
      <c r="CH320" s="26"/>
      <c r="CI320" s="26"/>
      <c r="CJ320" s="26"/>
      <c r="CK320" s="26"/>
      <c r="CL320" s="26"/>
      <c r="CM320" s="26"/>
      <c r="CN320" s="26"/>
      <c r="CO320" s="26"/>
      <c r="CP320" s="26"/>
      <c r="CQ320" s="26"/>
      <c r="CR320" s="26"/>
    </row>
    <row r="321" spans="1:96" ht="15" customHeight="1" x14ac:dyDescent="0.25">
      <c r="A321" s="2"/>
      <c r="B321" s="851" t="s">
        <v>4725</v>
      </c>
      <c r="C321" s="83"/>
      <c r="D321" s="15">
        <f>IF(D249="",0,IF(D208="Continuous",MIN(D90*D320/Wind,D70),D70)*2440/(D98*D249*AvgConc_Correction))</f>
        <v>0</v>
      </c>
      <c r="E321" s="83"/>
      <c r="F321" s="15">
        <f>IF(F249="",0,IF(F208="Continuous",MIN(F90*F320/Wind,F70),F70)*2440/(F98*F249*AvgConc_Correction))</f>
        <v>0</v>
      </c>
      <c r="G321" s="83"/>
      <c r="H321" s="15">
        <f>IF(H249="",0,IF(H208="Continuous",MIN(H90*H320/Wind,H70),H70)*2440/(H98*H249*AvgConc_Correction))</f>
        <v>0</v>
      </c>
      <c r="I321" s="83"/>
      <c r="J321" s="15">
        <f>IF(J249="",0,IF(J208="Continuous",MIN(J90*J320/Wind,J70),J70)*2440/(J98*J249*AvgConc_Correction))</f>
        <v>0</v>
      </c>
      <c r="K321" s="83"/>
      <c r="L321" s="15">
        <f>IF(L249="",0,IF(L208="Continuous",MIN(L90*L320/Wind,L70),L70)*2440/(L98*L249*AvgConc_Correction))</f>
        <v>0</v>
      </c>
      <c r="M321" s="83"/>
      <c r="N321" s="15">
        <f>IF(N249="",0,IF(N208="Continuous",MIN(N90*N320/Wind,N70),N70)*2440/(N98*N249*AvgConc_Correction))</f>
        <v>0</v>
      </c>
      <c r="O321" s="83"/>
      <c r="P321" s="15">
        <f>IF(P249="",0,IF(P208="Continuous",MIN(P90*P320/Wind,P70),P70)*2440/(P98*P249*AvgConc_Correction))</f>
        <v>0</v>
      </c>
      <c r="Q321" s="83"/>
      <c r="R321" s="15">
        <f>IF(R249="",0,IF(R208="Continuous",MIN(R90*R320/Wind,R70),R70)*2440/(R98*R249*AvgConc_Correction))</f>
        <v>0</v>
      </c>
      <c r="S321" s="83"/>
      <c r="T321" s="15">
        <f>IF(T249="",0,IF(T208="Continuous",MIN(T90*T320/Wind,T70),T70)*2440/(T98*T249*AvgConc_Correction))</f>
        <v>0</v>
      </c>
      <c r="U321" s="83"/>
      <c r="V321" s="15">
        <f>IF(V249="",0,IF(V208="Continuous",MIN(V90*V320/Wind,V70),V70)*2440/(V98*V249*AvgConc_Correction))</f>
        <v>0</v>
      </c>
      <c r="W321" s="83"/>
      <c r="X321" s="15">
        <f>IF(X249="",0,IF(X208="Continuous",MIN(X90*X320/Wind,X70),X70)*2440/(X98*X249*AvgConc_Correction))</f>
        <v>0</v>
      </c>
      <c r="Y321" s="83"/>
      <c r="Z321" s="85" t="s">
        <v>3803</v>
      </c>
      <c r="AA321" s="83"/>
      <c r="AB321" s="81"/>
      <c r="AC321" s="848" t="s">
        <v>4679</v>
      </c>
      <c r="AD321" s="81"/>
      <c r="AE321" s="99" t="str">
        <f>IF(OR(Flash_Pt_Feed="",AE83=0,AE262=""),"No",IF(OR(AND(Flash_Pt_Feed&gt;38,T&lt;(Flash_Pt_Feed-5)),AE294&lt;&gt;"Indoors"),"No",IF(OR(AE314&gt;LFL_Limit*10000*AE262,AE315&gt;10000*AE262),"Yes","No")))</f>
        <v>No</v>
      </c>
      <c r="AF321" s="81"/>
      <c r="AG321" s="99" t="str">
        <f>IF(OR(Flash_Pt_Feed="",AG83=0,AG262=""),"No",IF(OR(AND(Flash_Pt_Feed&gt;38,T&lt;(Flash_Pt_Feed-5)),AG294&lt;&gt;"Indoors"),"No",IF(OR(AG314&gt;LFL_Limit*10000*AG262,AG315&gt;10000*AG262),"Yes","No")))</f>
        <v>No</v>
      </c>
      <c r="AH321" s="81"/>
      <c r="AI321" s="99" t="str">
        <f>IF(OR(Flash_Pt_Feed="",AI83=0,AI262=""),"No",IF(OR(AND(Flash_Pt_Feed&gt;38,T&lt;(Flash_Pt_Feed-5)),AI294&lt;&gt;"Indoors"),"No",IF(OR(AI314&gt;LFL_Limit*10000*AI262,AI315&gt;10000*AI262),"Yes","No")))</f>
        <v>No</v>
      </c>
      <c r="AJ321" s="81"/>
      <c r="AK321" s="99" t="str">
        <f>IF(OR(Flash_Pt_Feed="",AK83=0,AK262=""),"No",IF(OR(AND(Flash_Pt_Feed&gt;38,T&lt;(Flash_Pt_Feed-5)),AK294&lt;&gt;"Indoors"),"No",IF(OR(AK314&gt;LFL_Limit*10000*AK262,AK315&gt;10000*AK262),"Yes","No")))</f>
        <v>No</v>
      </c>
      <c r="AL321" s="81"/>
      <c r="AM321" s="99" t="str">
        <f>IF(OR(Flash_Pt_Feed="",AM83=0,AM262=""),"No",IF(OR(AND(Flash_Pt_Feed&gt;38,T&lt;(Flash_Pt_Feed-5)),AM294&lt;&gt;"Indoors"),"No",IF(OR(AM314&gt;LFL_Limit*10000*AM262,AM315&gt;10000*AM262),"Yes","No")))</f>
        <v>No</v>
      </c>
      <c r="AN321" s="81"/>
      <c r="AO321" s="99" t="str">
        <f>IF(OR(Flash_Pt_Feed="",AO83=0,AO262=""),"No",IF(OR(AND(Flash_Pt_Feed&gt;38,T&lt;(Flash_Pt_Feed-5)),AO294&lt;&gt;"Indoors"),"No",IF(OR(AO314&gt;LFL_Limit*10000*AO262,AO315&gt;10000*AO262),"Yes","No")))</f>
        <v>No</v>
      </c>
      <c r="AP321" s="81"/>
      <c r="AQ321" s="85"/>
      <c r="AR321" s="81"/>
      <c r="AS321" s="83"/>
      <c r="AT321" s="23" t="s">
        <v>695</v>
      </c>
      <c r="AU321" s="83"/>
      <c r="AV321" s="2846" t="str">
        <f>IF(Flash_Pt_Feed="","",IF(OR(AND(AV318&gt;10,FiredEq_ProcessArea="within 10 m (33 ft)"),AND(AV318&gt;20,FiredEq_ProcessArea="within 20 m (65 ft)"),AND(AV318&gt;30,FiredEq_ProcessArea="within 30 m (100 ft)"),Ease_of_Ignition_Feed="High",AV9&gt;IF(AIgnite_Feed&lt;&gt;"",AIgnite_Feed,AIDefault)),0,IF(Ease_of_Ignition_Feed="Low",IF(AV318&lt;FFire_Low_Dist,3,IF(AV318&gt;FFire_High_Dist,1,2)),IF(Ease_of_Ignition_Feed="Elevated",IF(AV318&lt;FFire_Low_Dist,1,0),IF(AV318&lt;FFire_Low_Dist,2,IF(AV318&lt;FFire_High_Dist,1,0))))))</f>
        <v/>
      </c>
      <c r="AW321" s="83"/>
      <c r="AX321" s="2846" t="str">
        <f>IF(Flash_Pt_Feed="","",IF(OR(AND(AX318&gt;10,FiredEq_ProcessArea="within 10 m (33 ft)"),AND(AX318&gt;20,FiredEq_ProcessArea="within 20 m (65 ft)"),AND(AX318&gt;30,FiredEq_ProcessArea="within 30 m (100 ft)"),Ease_of_Ignition_Feed="High",AX9&gt;IF(AIgnite_Feed&lt;&gt;"",AIgnite_Feed,AIDefault)),0,IF(Ease_of_Ignition_Feed="Low",IF(AX318&lt;FFire_Low_Dist,3,IF(AX318&gt;FFire_High_Dist,1,2)),IF(Ease_of_Ignition_Feed="Elevated",IF(AX318&lt;FFire_Low_Dist,1,0),IF(AX318&lt;FFire_Low_Dist,2,IF(AX318&lt;FFire_High_Dist,1,0))))))</f>
        <v/>
      </c>
      <c r="AY321" s="83"/>
      <c r="AZ321" s="2846" t="str">
        <f>IF(Flash_Pt_Feed="","",IF(OR(AND(AZ318&gt;10,FiredEq_ProcessArea="within 10 m (33 ft)"),AND(AZ318&gt;20,FiredEq_ProcessArea="within 20 m (65 ft)"),AND(AZ318&gt;30,FiredEq_ProcessArea="within 30 m (100 ft)"),Ease_of_Ignition_Feed="High",AZ9&gt;IF(AIgnite_Feed&lt;&gt;"",AIgnite_Feed,AIDefault)),0,IF(Ease_of_Ignition_Feed="Low",IF(AZ318&lt;FFire_Low_Dist,3,IF(AZ318&gt;FFire_High_Dist,1,2)),IF(Ease_of_Ignition_Feed="Elevated",IF(AZ318&lt;FFire_Low_Dist,1,0),IF(AZ318&lt;FFire_Low_Dist,2,IF(AZ318&lt;FFire_High_Dist,1,0))))))</f>
        <v/>
      </c>
      <c r="BA321" s="83"/>
      <c r="BB321" s="2846" t="str">
        <f>IF(Flash_Pt_Feed="","",IF(OR(AND(BB318&gt;10,FiredEq_ProcessArea="within 10 m (33 ft)"),AND(BB318&gt;20,FiredEq_ProcessArea="within 20 m (65 ft)"),AND(BB318&gt;30,FiredEq_ProcessArea="within 30 m (100 ft)"),Ease_of_Ignition_Feed="High",BB9&gt;IF(AIgnite_Feed&lt;&gt;"",AIgnite_Feed,AIDefault)),0,IF(Ease_of_Ignition_Feed="Low",IF(BB318&lt;FFire_Low_Dist,3,IF(BB318&gt;FFire_High_Dist,1,2)),IF(Ease_of_Ignition_Feed="Elevated",IF(BB318&lt;FFire_Low_Dist,1,0),IF(BB318&lt;FFire_Low_Dist,2,IF(BB318&lt;FFire_High_Dist,1,0))))))</f>
        <v/>
      </c>
      <c r="BC321" s="83"/>
      <c r="BD321" s="2846" t="str">
        <f>IF(Flash_Pt_Feed="","",IF(OR(AND(BD318&gt;10,FiredEq_ProcessArea="within 10 m (33 ft)"),AND(BD318&gt;20,FiredEq_ProcessArea="within 20 m (65 ft)"),AND(BD318&gt;30,FiredEq_ProcessArea="within 30 m (100 ft)"),Ease_of_Ignition_Feed="High",BD9&gt;IF(AIgnite_Feed&lt;&gt;"",AIgnite_Feed,AIDefault)),0,IF(Ease_of_Ignition_Feed="Low",IF(BD318&lt;FFire_Low_Dist,3,IF(BD318&gt;FFire_High_Dist,1,2)),IF(Ease_of_Ignition_Feed="Elevated",IF(BD318&lt;FFire_Low_Dist,1,0),IF(BD318&lt;FFire_Low_Dist,2,IF(BD318&lt;FFire_High_Dist,1,0))))))</f>
        <v/>
      </c>
      <c r="BE321" s="83"/>
      <c r="BF321" s="2846" t="str">
        <f>IF(Flash_Pt_Feed="","",IF(OR(AND(BF318&gt;10,FiredEq_ProcessArea="within 10 m (33 ft)"),AND(BF318&gt;20,FiredEq_ProcessArea="within 20 m (65 ft)"),AND(BF318&gt;30,FiredEq_ProcessArea="within 30 m (100 ft)"),Ease_of_Ignition_Feed="High",BF9&gt;IF(AIgnite_Feed&lt;&gt;"",AIgnite_Feed,AIDefault)),0,IF(Ease_of_Ignition_Feed="Low",IF(BF318&lt;FFire_Low_Dist,3,IF(BF318&gt;FFire_High_Dist,1,2)),IF(Ease_of_Ignition_Feed="Elevated",IF(BF318&lt;FFire_Low_Dist,1,0),IF(BF318&lt;FFire_Low_Dist,2,IF(BF318&lt;FFire_High_Dist,1,0))))))</f>
        <v/>
      </c>
      <c r="BG321" s="83"/>
      <c r="BH321" s="2846" t="str">
        <f>IF(Flash_Pt_Feed="","",IF(OR(AND(BH318&gt;10,FiredEq_ProcessArea="within 10 m (33 ft)"),AND(BH318&gt;20,FiredEq_ProcessArea="within 20 m (65 ft)"),AND(BH318&gt;30,FiredEq_ProcessArea="within 30 m (100 ft)"),Ease_of_Ignition_Feed="High",BH9&gt;IF(AIgnite_Feed&lt;&gt;"",AIgnite_Feed,AIDefault)),0,IF(Ease_of_Ignition_Feed="Low",IF(BH318&lt;FFire_Low_Dist,3,IF(BH318&gt;FFire_High_Dist,1,2)),IF(Ease_of_Ignition_Feed="Elevated",IF(BH318&lt;FFire_Low_Dist,1,0),IF(BH318&lt;FFire_Low_Dist,2,IF(BH318&lt;FFire_High_Dist,1,0))))))</f>
        <v/>
      </c>
      <c r="BI321" s="83"/>
      <c r="BJ321" s="2846" t="str">
        <f>IF(Flash_Pt_Feed="","",IF(OR(AND(BJ318&gt;10,FiredEq_ProcessArea="within 10 m (33 ft)"),AND(BJ318&gt;20,FiredEq_ProcessArea="within 20 m (65 ft)"),AND(BJ318&gt;30,FiredEq_ProcessArea="within 30 m (100 ft)"),Ease_of_Ignition_Feed="High",BJ9&gt;IF(AIgnite_Feed&lt;&gt;"",AIgnite_Feed,AIDefault)),0,IF(Ease_of_Ignition_Feed="Low",IF(BJ318&lt;FFire_Low_Dist,3,IF(BJ318&gt;FFire_High_Dist,1,2)),IF(Ease_of_Ignition_Feed="Elevated",IF(BJ318&lt;FFire_Low_Dist,1,0),IF(BJ318&lt;FFire_Low_Dist,2,IF(BJ318&lt;FFire_High_Dist,1,0))))))</f>
        <v/>
      </c>
      <c r="BK321" s="83"/>
      <c r="BL321" s="2846" t="str">
        <f>IF(Flash_Pt_Feed="","",IF(OR(AND(BL318&gt;10,FiredEq_ProcessArea="within 10 m (33 ft)"),AND(BL318&gt;20,FiredEq_ProcessArea="within 20 m (65 ft)"),AND(BL318&gt;30,FiredEq_ProcessArea="within 30 m (100 ft)"),Ease_of_Ignition_Feed="High",BL9&gt;IF(AIgnite_Feed&lt;&gt;"",AIgnite_Feed,AIDefault)),0,IF(Ease_of_Ignition_Feed="Low",IF(BL318&lt;FFire_Low_Dist,3,IF(BL318&gt;FFire_High_Dist,1,2)),IF(Ease_of_Ignition_Feed="Elevated",IF(BL318&lt;FFire_Low_Dist,1,0),IF(BL318&lt;FFire_Low_Dist,2,IF(BL318&lt;FFire_High_Dist,1,0))))))</f>
        <v/>
      </c>
      <c r="BM321" s="83"/>
      <c r="BN321" s="2846" t="str">
        <f>IF(Flash_Pt_Feed="","",IF(OR(AND(BN318&gt;10,FiredEq_ProcessArea="within 10 m (33 ft)"),AND(BN318&gt;20,FiredEq_ProcessArea="within 20 m (65 ft)"),AND(BN318&gt;30,FiredEq_ProcessArea="within 30 m (100 ft)"),Ease_of_Ignition_Feed="High",BN9&gt;IF(AIgnite_Feed&lt;&gt;"",AIgnite_Feed,AIDefault)),0,IF(Ease_of_Ignition_Feed="Low",IF(BN318&lt;FFire_Low_Dist,3,IF(BN318&gt;FFire_High_Dist,1,2)),IF(Ease_of_Ignition_Feed="Elevated",IF(BN318&lt;FFire_Low_Dist,1,0),IF(BN318&lt;FFire_Low_Dist,2,IF(BN318&lt;FFire_High_Dist,1,0))))))</f>
        <v/>
      </c>
      <c r="BO321" s="83"/>
      <c r="BP321" s="100"/>
      <c r="BQ321" s="83"/>
      <c r="BR321" s="81"/>
      <c r="BS321" s="851" t="s">
        <v>4725</v>
      </c>
      <c r="BT321" s="81"/>
      <c r="BU321" s="2991">
        <f>IF(BU249="",0,IF(BU208="Continuous",MIN(BU90*BU320/Wind,BU70),BU70)*2440/(BU98*BU249*AvgConc_Correction))</f>
        <v>0</v>
      </c>
      <c r="BV321" s="81"/>
      <c r="BW321" s="4239"/>
      <c r="BX321" s="81"/>
      <c r="BY321" s="2991">
        <f>IF(BY249="",0,IF(BY208="Continuous",MIN(BY90*BY320/Wind,BY70),BY70)*2440/(BY98*BY249*AvgConc_Correction))</f>
        <v>0</v>
      </c>
      <c r="BZ321" s="81"/>
      <c r="CA321" s="2991">
        <f>IF(CA249="",0,IF(CA208="Continuous",MIN(CA90*CA320/Wind,CA70),CA70)*2440/(CA98*CA249*AvgConc_Correction))</f>
        <v>0</v>
      </c>
      <c r="CB321" s="81"/>
      <c r="CC321" s="4239"/>
      <c r="CD321" s="81"/>
      <c r="CE321" s="85" t="s">
        <v>3803</v>
      </c>
      <c r="CF321" s="81"/>
      <c r="CG321" s="26"/>
      <c r="CH321" s="26"/>
      <c r="CI321" s="26"/>
      <c r="CJ321" s="26"/>
      <c r="CK321" s="26"/>
      <c r="CL321" s="26"/>
      <c r="CM321" s="26"/>
      <c r="CN321" s="26"/>
      <c r="CO321" s="26"/>
      <c r="CP321" s="26"/>
      <c r="CQ321" s="26"/>
      <c r="CR321" s="26"/>
    </row>
    <row r="322" spans="1:96" ht="15" customHeight="1" x14ac:dyDescent="0.25">
      <c r="A322" s="2"/>
      <c r="B322" s="851" t="s">
        <v>18</v>
      </c>
      <c r="C322" s="83"/>
      <c r="D322" s="2846">
        <f>IF(D318="No",0,IF(D321*ExplEng_perVolume&lt;ExplEng_Limit,D321*ExplEng_perVolume,ExplEng_Limit))</f>
        <v>0</v>
      </c>
      <c r="E322" s="83"/>
      <c r="F322" s="2846">
        <f>IF(F318="No",0,IF(F321*ExplEng_perVolume&lt;ExplEng_Limit,F321*ExplEng_perVolume,ExplEng_Limit))</f>
        <v>0</v>
      </c>
      <c r="G322" s="83"/>
      <c r="H322" s="2846">
        <f>IF(H318="No",0,IF(H321*ExplEng_perVolume&lt;ExplEng_Limit,H321*ExplEng_perVolume,ExplEng_Limit))</f>
        <v>0</v>
      </c>
      <c r="I322" s="83"/>
      <c r="J322" s="2846">
        <f>IF(J318="No",0,IF(J321*ExplEng_perVolume&lt;ExplEng_Limit,J321*ExplEng_perVolume,ExplEng_Limit))</f>
        <v>0</v>
      </c>
      <c r="K322" s="83"/>
      <c r="L322" s="2846">
        <f>IF(L318="No",0,IF(L321*ExplEng_perVolume&lt;ExplEng_Limit,L321*ExplEng_perVolume,ExplEng_Limit))</f>
        <v>0</v>
      </c>
      <c r="M322" s="83"/>
      <c r="N322" s="2846">
        <f>IF(N318="No",0,IF(N321*ExplEng_perVolume&lt;ExplEng_Limit,N321*ExplEng_perVolume,ExplEng_Limit))</f>
        <v>0</v>
      </c>
      <c r="O322" s="83"/>
      <c r="P322" s="2846">
        <f>IF(P318="No",0,IF(P321*ExplEng_perVolume&lt;ExplEng_Limit,P321*ExplEng_perVolume,ExplEng_Limit))</f>
        <v>0</v>
      </c>
      <c r="Q322" s="83"/>
      <c r="R322" s="2846">
        <f>IF(R318="No",0,IF(R321*ExplEng_perVolume&lt;ExplEng_Limit,R321*ExplEng_perVolume,ExplEng_Limit))</f>
        <v>0</v>
      </c>
      <c r="S322" s="83"/>
      <c r="T322" s="2846">
        <f>IF(T318="No",0,IF(T321*ExplEng_perVolume&lt;ExplEng_Limit,T321*ExplEng_perVolume,ExplEng_Limit))</f>
        <v>0</v>
      </c>
      <c r="U322" s="83"/>
      <c r="V322" s="2846">
        <f>IF(V318="No",0,IF(V321*ExplEng_perVolume&lt;ExplEng_Limit,V321*ExplEng_perVolume,ExplEng_Limit))</f>
        <v>0</v>
      </c>
      <c r="W322" s="83"/>
      <c r="X322" s="2846">
        <f>IF(X318="No",0,IF(X321*ExplEng_perVolume&lt;ExplEng_Limit,X321*ExplEng_perVolume,ExplEng_Limit))</f>
        <v>0</v>
      </c>
      <c r="Y322" s="83"/>
      <c r="Z322" s="85" t="s">
        <v>1761</v>
      </c>
      <c r="AA322" s="83"/>
      <c r="AB322" s="81"/>
      <c r="AC322" s="851" t="s">
        <v>165</v>
      </c>
      <c r="AD322" s="81"/>
      <c r="AE322" s="96">
        <f>IF(AE321="No",0,Bldg_Explosion_Energy)</f>
        <v>0</v>
      </c>
      <c r="AF322" s="81"/>
      <c r="AG322" s="96">
        <f>IF(AG321="No",0,Bldg_Explosion_Energy)</f>
        <v>0</v>
      </c>
      <c r="AH322" s="81"/>
      <c r="AI322" s="96">
        <f>IF(AI321="No",0,Bldg_Explosion_Energy)</f>
        <v>0</v>
      </c>
      <c r="AJ322" s="81"/>
      <c r="AK322" s="96">
        <f>IF(AK321="No",0,Bldg_Explosion_Energy)</f>
        <v>0</v>
      </c>
      <c r="AL322" s="81"/>
      <c r="AM322" s="96">
        <f>IF(AM321="No",0,Bldg_Explosion_Energy)</f>
        <v>0</v>
      </c>
      <c r="AN322" s="81"/>
      <c r="AO322" s="96">
        <f>IF(AO321="No",0,Bldg_Explosion_Energy)</f>
        <v>0</v>
      </c>
      <c r="AP322" s="81"/>
      <c r="AQ322" s="85" t="s">
        <v>1761</v>
      </c>
      <c r="AR322" s="81"/>
      <c r="AS322" s="83"/>
      <c r="AT322" s="23" t="s">
        <v>694</v>
      </c>
      <c r="AU322" s="83"/>
      <c r="AV322" s="2846" t="str">
        <f>IF(Flash_Pt_Feed="","",IF(OR(AND(AV318&gt;10,FiredEq_ProcessArea="within 10 m (33 ft)"),AND(AV318&gt;20,FiredEq_ProcessArea="within 20 m (65 ft)"),AND(AV318&gt;30,FiredEq_ProcessArea="within 30 m (100 ft)"),Ease_of_Ignition_Feed="High",AV9&gt;IF(AIgnite_Feed&lt;&gt;"",AIgnite_Feed,AIDefault)),0,IF(Ease_of_Ignition_Feed="Low",IF(AV318&lt;VCE_Low_Dist,3,IF(AV318&gt;VCE_High_Dist,1,2)),IF(Ease_of_Ignition_Feed="Elevated",IF(AV318&lt;VCE_Low_Dist,1,0),IF(AV318&lt;VCE_Low_Dist,2,IF(AV318&lt;VCE_High_Dist,1,0))))))</f>
        <v/>
      </c>
      <c r="AW322" s="83"/>
      <c r="AX322" s="2846" t="str">
        <f>IF(Flash_Pt_Feed="","",IF(OR(AND(AX318&gt;10,FiredEq_ProcessArea="within 10 m (33 ft)"),AND(AX318&gt;20,FiredEq_ProcessArea="within 20 m (65 ft)"),AND(AX318&gt;30,FiredEq_ProcessArea="within 30 m (100 ft)"),Ease_of_Ignition_Feed="High",AX9&gt;IF(AIgnite_Feed&lt;&gt;"",AIgnite_Feed,AIDefault)),0,IF(Ease_of_Ignition_Feed="Low",IF(AX318&lt;VCE_Low_Dist,3,IF(AX318&gt;VCE_High_Dist,1,2)),IF(Ease_of_Ignition_Feed="Elevated",IF(AX318&lt;VCE_Low_Dist,1,0),IF(AX318&lt;VCE_Low_Dist,2,IF(AX318&lt;VCE_High_Dist,1,0))))))</f>
        <v/>
      </c>
      <c r="AY322" s="83"/>
      <c r="AZ322" s="2846" t="str">
        <f>IF(Flash_Pt_Feed="","",IF(OR(AND(AZ318&gt;10,FiredEq_ProcessArea="within 10 m (33 ft)"),AND(AZ318&gt;20,FiredEq_ProcessArea="within 20 m (65 ft)"),AND(AZ318&gt;30,FiredEq_ProcessArea="within 30 m (100 ft)"),Ease_of_Ignition_Feed="High",AZ9&gt;IF(AIgnite_Feed&lt;&gt;"",AIgnite_Feed,AIDefault)),0,IF(Ease_of_Ignition_Feed="Low",IF(AZ318&lt;VCE_Low_Dist,3,IF(AZ318&gt;VCE_High_Dist,1,2)),IF(Ease_of_Ignition_Feed="Elevated",IF(AZ318&lt;VCE_Low_Dist,1,0),IF(AZ318&lt;VCE_Low_Dist,2,IF(AZ318&lt;VCE_High_Dist,1,0))))))</f>
        <v/>
      </c>
      <c r="BA322" s="83"/>
      <c r="BB322" s="2846" t="str">
        <f>IF(Flash_Pt_Feed="","",IF(OR(AND(BB318&gt;10,FiredEq_ProcessArea="within 10 m (33 ft)"),AND(BB318&gt;20,FiredEq_ProcessArea="within 20 m (65 ft)"),AND(BB318&gt;30,FiredEq_ProcessArea="within 30 m (100 ft)"),Ease_of_Ignition_Feed="High",BB9&gt;IF(AIgnite_Feed&lt;&gt;"",AIgnite_Feed,AIDefault)),0,IF(Ease_of_Ignition_Feed="Low",IF(BB318&lt;VCE_Low_Dist,3,IF(BB318&gt;VCE_High_Dist,1,2)),IF(Ease_of_Ignition_Feed="Elevated",IF(BB318&lt;VCE_Low_Dist,1,0),IF(BB318&lt;VCE_Low_Dist,2,IF(BB318&lt;VCE_High_Dist,1,0))))))</f>
        <v/>
      </c>
      <c r="BC322" s="83"/>
      <c r="BD322" s="2846" t="str">
        <f>IF(Flash_Pt_Feed="","",IF(OR(AND(BD318&gt;10,FiredEq_ProcessArea="within 10 m (33 ft)"),AND(BD318&gt;20,FiredEq_ProcessArea="within 20 m (65 ft)"),AND(BD318&gt;30,FiredEq_ProcessArea="within 30 m (100 ft)"),Ease_of_Ignition_Feed="High",BD9&gt;IF(AIgnite_Feed&lt;&gt;"",AIgnite_Feed,AIDefault)),0,IF(Ease_of_Ignition_Feed="Low",IF(BD318&lt;VCE_Low_Dist,3,IF(BD318&gt;VCE_High_Dist,1,2)),IF(Ease_of_Ignition_Feed="Elevated",IF(BD318&lt;VCE_Low_Dist,1,0),IF(BD318&lt;VCE_Low_Dist,2,IF(BD318&lt;VCE_High_Dist,1,0))))))</f>
        <v/>
      </c>
      <c r="BE322" s="83"/>
      <c r="BF322" s="2846" t="str">
        <f>IF(Flash_Pt_Feed="","",IF(OR(AND(BF318&gt;10,FiredEq_ProcessArea="within 10 m (33 ft)"),AND(BF318&gt;20,FiredEq_ProcessArea="within 20 m (65 ft)"),AND(BF318&gt;30,FiredEq_ProcessArea="within 30 m (100 ft)"),Ease_of_Ignition_Feed="High",BF9&gt;IF(AIgnite_Feed&lt;&gt;"",AIgnite_Feed,AIDefault)),0,IF(Ease_of_Ignition_Feed="Low",IF(BF318&lt;VCE_Low_Dist,3,IF(BF318&gt;VCE_High_Dist,1,2)),IF(Ease_of_Ignition_Feed="Elevated",IF(BF318&lt;VCE_Low_Dist,1,0),IF(BF318&lt;VCE_Low_Dist,2,IF(BF318&lt;VCE_High_Dist,1,0))))))</f>
        <v/>
      </c>
      <c r="BG322" s="83"/>
      <c r="BH322" s="2846" t="str">
        <f>IF(Flash_Pt_Feed="","",IF(OR(AND(BH318&gt;10,FiredEq_ProcessArea="within 10 m (33 ft)"),AND(BH318&gt;20,FiredEq_ProcessArea="within 20 m (65 ft)"),AND(BH318&gt;30,FiredEq_ProcessArea="within 30 m (100 ft)"),Ease_of_Ignition_Feed="High",BH9&gt;IF(AIgnite_Feed&lt;&gt;"",AIgnite_Feed,AIDefault)),0,IF(Ease_of_Ignition_Feed="Low",IF(BH318&lt;VCE_Low_Dist,3,IF(BH318&gt;VCE_High_Dist,1,2)),IF(Ease_of_Ignition_Feed="Elevated",IF(BH318&lt;VCE_Low_Dist,1,0),IF(BH318&lt;VCE_Low_Dist,2,IF(BH318&lt;VCE_High_Dist,1,0))))))</f>
        <v/>
      </c>
      <c r="BI322" s="83"/>
      <c r="BJ322" s="2846" t="str">
        <f>IF(Flash_Pt_Feed="","",IF(OR(AND(BJ318&gt;10,FiredEq_ProcessArea="within 10 m (33 ft)"),AND(BJ318&gt;20,FiredEq_ProcessArea="within 20 m (65 ft)"),AND(BJ318&gt;30,FiredEq_ProcessArea="within 30 m (100 ft)"),Ease_of_Ignition_Feed="High",BJ9&gt;IF(AIgnite_Feed&lt;&gt;"",AIgnite_Feed,AIDefault)),0,IF(Ease_of_Ignition_Feed="Low",IF(BJ318&lt;VCE_Low_Dist,3,IF(BJ318&gt;VCE_High_Dist,1,2)),IF(Ease_of_Ignition_Feed="Elevated",IF(BJ318&lt;VCE_Low_Dist,1,0),IF(BJ318&lt;VCE_Low_Dist,2,IF(BJ318&lt;VCE_High_Dist,1,0))))))</f>
        <v/>
      </c>
      <c r="BK322" s="83"/>
      <c r="BL322" s="2846" t="str">
        <f>IF(Flash_Pt_Feed="","",IF(OR(AND(BL318&gt;10,FiredEq_ProcessArea="within 10 m (33 ft)"),AND(BL318&gt;20,FiredEq_ProcessArea="within 20 m (65 ft)"),AND(BL318&gt;30,FiredEq_ProcessArea="within 30 m (100 ft)"),Ease_of_Ignition_Feed="High",BL9&gt;IF(AIgnite_Feed&lt;&gt;"",AIgnite_Feed,AIDefault)),0,IF(Ease_of_Ignition_Feed="Low",IF(BL318&lt;VCE_Low_Dist,3,IF(BL318&gt;VCE_High_Dist,1,2)),IF(Ease_of_Ignition_Feed="Elevated",IF(BL318&lt;VCE_Low_Dist,1,0),IF(BL318&lt;VCE_Low_Dist,2,IF(BL318&lt;VCE_High_Dist,1,0))))))</f>
        <v/>
      </c>
      <c r="BM322" s="83"/>
      <c r="BN322" s="2846" t="str">
        <f>IF(Flash_Pt_Feed="","",IF(OR(AND(BN318&gt;10,FiredEq_ProcessArea="within 10 m (33 ft)"),AND(BN318&gt;20,FiredEq_ProcessArea="within 20 m (65 ft)"),AND(BN318&gt;30,FiredEq_ProcessArea="within 30 m (100 ft)"),Ease_of_Ignition_Feed="High",BN9&gt;IF(AIgnite_Feed&lt;&gt;"",AIgnite_Feed,AIDefault)),0,IF(Ease_of_Ignition_Feed="Low",IF(BN318&lt;VCE_Low_Dist,3,IF(BN318&gt;VCE_High_Dist,1,2)),IF(Ease_of_Ignition_Feed="Elevated",IF(BN318&lt;VCE_Low_Dist,1,0),IF(BN318&lt;VCE_Low_Dist,2,IF(BN318&lt;VCE_High_Dist,1,0))))))</f>
        <v/>
      </c>
      <c r="BO322" s="83"/>
      <c r="BP322" s="100"/>
      <c r="BQ322" s="83"/>
      <c r="BR322" s="81"/>
      <c r="BS322" s="23" t="s">
        <v>18</v>
      </c>
      <c r="BT322" s="81"/>
      <c r="BU322" s="2846">
        <f>IF(BU318="No",0,MIN(BU69*10000,BU321*ExplEng_perVolume,ExplEng_Limit))</f>
        <v>0</v>
      </c>
      <c r="BV322" s="81"/>
      <c r="BW322" s="4239"/>
      <c r="BX322" s="81"/>
      <c r="BY322" s="2846">
        <f>IF(BY318="No",0,MIN(BY69*10000,BY321*ExplEng_perVolume,ExplEng_Limit))</f>
        <v>0</v>
      </c>
      <c r="BZ322" s="81"/>
      <c r="CA322" s="2846">
        <f>IF(CA318="No",0,MIN(CA69*10000,CA321*ExplEng_perVolume,ExplEng_Limit))</f>
        <v>0</v>
      </c>
      <c r="CB322" s="81"/>
      <c r="CC322" s="4239"/>
      <c r="CD322" s="81"/>
      <c r="CE322" s="85" t="s">
        <v>1761</v>
      </c>
      <c r="CF322" s="81"/>
      <c r="CG322" s="26"/>
      <c r="CH322" s="26"/>
      <c r="CI322" s="26"/>
      <c r="CJ322" s="26"/>
      <c r="CK322" s="26"/>
      <c r="CL322" s="26"/>
      <c r="CM322" s="26"/>
      <c r="CN322" s="26"/>
      <c r="CO322" s="26"/>
      <c r="CP322" s="26"/>
      <c r="CQ322" s="26"/>
      <c r="CR322" s="26"/>
    </row>
    <row r="323" spans="1:96" ht="15" customHeight="1" x14ac:dyDescent="0.25">
      <c r="A323" s="2"/>
      <c r="B323" s="851" t="s">
        <v>695</v>
      </c>
      <c r="C323" s="83"/>
      <c r="D323" s="2846" t="str">
        <f>IF(Flash_Pt_Feed="","",IF(OR(AND(D320&gt;10,FiredEq_ProcessArea="within 10 m (33 ft)"),AND(D320&gt;20,FiredEq_ProcessArea="within 20 m (65 ft)"),AND(D320&gt;30,FiredEq_ProcessArea="within 30 m (100 ft)"),Ease_of_Ignition_Feed="High",D9&gt;IF(AIgnite_Feed&lt;&gt;"",AIgnite_Feed,AIDefault)),0,IF(OR(Ease_of_Ignition_Feed="Low",AND(T&lt;Flash_Pt_Feed-5,Aerosol_Potential="Yes")),IF(D320&lt;FFire_Low_Dist,3,IF(D320&gt;FFire_High_Dist,1,2)),IF(Ease_of_Ignition_Feed="Elevated",IF(D320&lt;FFire_Low_Dist,1,0),IF(D320&lt;FFire_Low_Dist,2,IF(D320&lt;FFire_High_Dist,1,0))))))</f>
        <v/>
      </c>
      <c r="E323" s="83"/>
      <c r="F323" s="2846" t="str">
        <f>IF(Flash_Pt_Feed="","",IF(OR(AND(F320&gt;10,FiredEq_ProcessArea="within 10 m (33 ft)"),AND(F320&gt;20,FiredEq_ProcessArea="within 20 m (65 ft)"),AND(F320&gt;30,FiredEq_ProcessArea="within 30 m (100 ft)"),Ease_of_Ignition_Feed="High",F9&gt;IF(AIgnite_Feed&lt;&gt;"",AIgnite_Feed,AIDefault)),0,IF(OR(Ease_of_Ignition_Feed="Low",AND(T&lt;Flash_Pt_Feed-5,Aerosol_Potential="Yes")),IF(F320&lt;FFire_Low_Dist,3,IF(F320&gt;FFire_High_Dist,1,2)),IF(Ease_of_Ignition_Feed="Elevated",IF(F320&lt;FFire_Low_Dist,1,0),IF(F320&lt;FFire_Low_Dist,2,IF(F320&lt;FFire_High_Dist,1,0))))))</f>
        <v/>
      </c>
      <c r="G323" s="83"/>
      <c r="H323" s="2846" t="str">
        <f>IF(Flash_Pt_Feed="","",IF(OR(AND(H320&gt;10,FiredEq_ProcessArea="within 10 m (33 ft)"),AND(H320&gt;20,FiredEq_ProcessArea="within 20 m (65 ft)"),AND(H320&gt;30,FiredEq_ProcessArea="within 30 m (100 ft)"),Ease_of_Ignition_Feed="High",H9&gt;IF(AIgnite_Feed&lt;&gt;"",AIgnite_Feed,AIDefault)),0,IF(OR(Ease_of_Ignition_Feed="Low",AND(T&lt;Flash_Pt_Feed-5,Aerosol_Potential="Yes")),IF(H320&lt;FFire_Low_Dist,3,IF(H320&gt;FFire_High_Dist,1,2)),IF(Ease_of_Ignition_Feed="Elevated",IF(H320&lt;FFire_Low_Dist,1,0),IF(H320&lt;FFire_Low_Dist,2,IF(H320&lt;FFire_High_Dist,1,0))))))</f>
        <v/>
      </c>
      <c r="I323" s="83"/>
      <c r="J323" s="2846" t="str">
        <f>IF(Flash_Pt_Feed="","",IF(OR(AND(J320&gt;10,FiredEq_ProcessArea="within 10 m (33 ft)"),AND(J320&gt;20,FiredEq_ProcessArea="within 20 m (65 ft)"),AND(J320&gt;30,FiredEq_ProcessArea="within 30 m (100 ft)"),Ease_of_Ignition_Feed="High",J9&gt;IF(AIgnite_Feed&lt;&gt;"",AIgnite_Feed,AIDefault)),0,IF(OR(Ease_of_Ignition_Feed="Low",AND(T&lt;Flash_Pt_Feed-5,Aerosol_Potential="Yes")),IF(J320&lt;FFire_Low_Dist,3,IF(J320&gt;FFire_High_Dist,1,2)),IF(Ease_of_Ignition_Feed="Elevated",IF(J320&lt;FFire_Low_Dist,1,0),IF(J320&lt;FFire_Low_Dist,2,IF(J320&lt;FFire_High_Dist,1,0))))))</f>
        <v/>
      </c>
      <c r="K323" s="83"/>
      <c r="L323" s="2846" t="str">
        <f>IF(Flash_Pt_Feed="","",IF(OR(AND(L320&gt;10,FiredEq_ProcessArea="within 10 m (33 ft)"),AND(L320&gt;20,FiredEq_ProcessArea="within 20 m (65 ft)"),AND(L320&gt;30,FiredEq_ProcessArea="within 30 m (100 ft)"),Ease_of_Ignition_Feed="High",L9&gt;IF(AIgnite_Feed&lt;&gt;"",AIgnite_Feed,AIDefault)),0,IF(OR(Ease_of_Ignition_Feed="Low",AND(T&lt;Flash_Pt_Feed-5,Aerosol_Potential="Yes")),IF(L320&lt;FFire_Low_Dist,3,IF(L320&gt;FFire_High_Dist,1,2)),IF(Ease_of_Ignition_Feed="Elevated",IF(L320&lt;FFire_Low_Dist,1,0),IF(L320&lt;FFire_Low_Dist,2,IF(L320&lt;FFire_High_Dist,1,0))))))</f>
        <v/>
      </c>
      <c r="M323" s="83"/>
      <c r="N323" s="2846" t="str">
        <f>IF(Flash_Pt_Feed="","",IF(OR(AND(N320&gt;10,FiredEq_ProcessArea="within 10 m (33 ft)"),AND(N320&gt;20,FiredEq_ProcessArea="within 20 m (65 ft)"),AND(N320&gt;30,FiredEq_ProcessArea="within 30 m (100 ft)"),Ease_of_Ignition_Feed="High",N9&gt;IF(AIgnite_Feed&lt;&gt;"",AIgnite_Feed,AIDefault)),0,IF(OR(Ease_of_Ignition_Feed="Low",AND(T&lt;Flash_Pt_Feed-5,Aerosol_Potential="Yes")),IF(N320&lt;FFire_Low_Dist,3,IF(N320&gt;FFire_High_Dist,1,2)),IF(Ease_of_Ignition_Feed="Elevated",IF(N320&lt;FFire_Low_Dist,1,0),IF(N320&lt;FFire_Low_Dist,2,IF(N320&lt;FFire_High_Dist,1,0))))))</f>
        <v/>
      </c>
      <c r="O323" s="83"/>
      <c r="P323" s="2846" t="str">
        <f>IF(Flash_Pt_Feed="","",IF(OR(AND(P320&gt;10,FiredEq_ProcessArea="within 10 m (33 ft)"),AND(P320&gt;20,FiredEq_ProcessArea="within 20 m (65 ft)"),AND(P320&gt;30,FiredEq_ProcessArea="within 30 m (100 ft)"),Ease_of_Ignition_Feed="High",P9&gt;IF(AIgnite_Feed&lt;&gt;"",AIgnite_Feed,AIDefault)),0,IF(OR(Ease_of_Ignition_Feed="Low",AND(T&lt;Flash_Pt_Feed-5,Aerosol_Potential="Yes")),IF(P320&lt;FFire_Low_Dist,3,IF(P320&gt;FFire_High_Dist,1,2)),IF(Ease_of_Ignition_Feed="Elevated",IF(P320&lt;FFire_Low_Dist,1,0),IF(P320&lt;FFire_Low_Dist,2,IF(P320&lt;FFire_High_Dist,1,0))))))</f>
        <v/>
      </c>
      <c r="Q323" s="83"/>
      <c r="R323" s="2846" t="str">
        <f>IF(Flash_Pt_Feed="","",IF(OR(AND(R320&gt;10,FiredEq_ProcessArea="within 10 m (33 ft)"),AND(R320&gt;20,FiredEq_ProcessArea="within 20 m (65 ft)"),AND(R320&gt;30,FiredEq_ProcessArea="within 30 m (100 ft)"),Ease_of_Ignition_Feed="High",R9&gt;IF(AIgnite_Feed&lt;&gt;"",AIgnite_Feed,AIDefault)),0,IF(OR(Ease_of_Ignition_Feed="Low",AND(T&lt;Flash_Pt_Feed-5,Aerosol_Potential="Yes")),IF(R320&lt;FFire_Low_Dist,3,IF(R320&gt;FFire_High_Dist,1,2)),IF(Ease_of_Ignition_Feed="Elevated",IF(R320&lt;FFire_Low_Dist,1,0),IF(R320&lt;FFire_Low_Dist,2,IF(R320&lt;FFire_High_Dist,1,0))))))</f>
        <v/>
      </c>
      <c r="S323" s="83"/>
      <c r="T323" s="2846" t="str">
        <f>IF(Flash_Pt_Feed="","",IF(OR(AND(T320&gt;10,FiredEq_ProcessArea="within 10 m (33 ft)"),AND(T320&gt;20,FiredEq_ProcessArea="within 20 m (65 ft)"),AND(T320&gt;30,FiredEq_ProcessArea="within 30 m (100 ft)"),Ease_of_Ignition_Feed="High",T9&gt;IF(AIgnite_Feed&lt;&gt;"",AIgnite_Feed,AIDefault)),0,IF(OR(Ease_of_Ignition_Feed="Low",AND(T&lt;Flash_Pt_Feed-5,Aerosol_Potential="Yes")),IF(T320&lt;FFire_Low_Dist,3,IF(T320&gt;FFire_High_Dist,1,2)),IF(Ease_of_Ignition_Feed="Elevated",IF(T320&lt;FFire_Low_Dist,1,0),IF(T320&lt;FFire_Low_Dist,2,IF(T320&lt;FFire_High_Dist,1,0))))))</f>
        <v/>
      </c>
      <c r="U323" s="83"/>
      <c r="V323" s="2846" t="str">
        <f>IF(Flash_Pt_Feed="","",IF(OR(AND(V320&gt;10,FiredEq_ProcessArea="within 10 m (33 ft)"),AND(V320&gt;20,FiredEq_ProcessArea="within 20 m (65 ft)"),AND(V320&gt;30,FiredEq_ProcessArea="within 30 m (100 ft)"),Ease_of_Ignition_Feed="High",V9&gt;IF(AIgnite_Feed&lt;&gt;"",AIgnite_Feed,AIDefault)),0,IF(OR(Ease_of_Ignition_Feed="Low",AND(T&lt;Flash_Pt_Feed-5,Aerosol_Potential="Yes")),IF(V320&lt;FFire_Low_Dist,3,IF(V320&gt;FFire_High_Dist,1,2)),IF(Ease_of_Ignition_Feed="Elevated",IF(V320&lt;FFire_Low_Dist,1,0),IF(V320&lt;FFire_Low_Dist,2,IF(V320&lt;FFire_High_Dist,1,0))))))</f>
        <v/>
      </c>
      <c r="W323" s="83"/>
      <c r="X323" s="2846" t="str">
        <f>IF(Flash_Pt_Feed="","",IF(OR(AND(X320&gt;10,FiredEq_ProcessArea="within 10 m (33 ft)"),AND(X320&gt;20,FiredEq_ProcessArea="within 20 m (65 ft)"),AND(X320&gt;30,FiredEq_ProcessArea="within 30 m (100 ft)"),Ease_of_Ignition_Feed="High",X9&gt;IF(AIgnite_Feed&lt;&gt;"",AIgnite_Feed,AIDefault)),0,IF(OR(Ease_of_Ignition_Feed="Low",AND(T&lt;Flash_Pt_Feed-5,Aerosol_Potential="Yes")),IF(X320&lt;FFire_Low_Dist,3,IF(X320&gt;FFire_High_Dist,1,2)),IF(Ease_of_Ignition_Feed="Elevated",IF(X320&lt;FFire_Low_Dist,1,0),IF(X320&lt;FFire_Low_Dist,2,IF(X320&lt;FFire_High_Dist,1,0))))))</f>
        <v/>
      </c>
      <c r="Y323" s="83"/>
      <c r="Z323" s="23"/>
      <c r="AA323" s="83"/>
      <c r="AB323" s="81"/>
      <c r="AC323" s="851" t="s">
        <v>2703</v>
      </c>
      <c r="AD323" s="81"/>
      <c r="AE323" s="96" t="str">
        <f>IF(Flash_Pt_Feed="","",IF(OR(Ease_of_Ignition_Feed&lt;&gt;"High",Ease_of_Ignition_Feed&lt;&gt;"Elevated"),1,0))</f>
        <v/>
      </c>
      <c r="AF323" s="81"/>
      <c r="AG323" s="96" t="str">
        <f>IF(Flash_Pt_Feed="","",IF(OR(Ease_of_Ignition_Feed&lt;&gt;"High",Ease_of_Ignition_Feed&lt;&gt;"Elevated"),1,0))</f>
        <v/>
      </c>
      <c r="AH323" s="81"/>
      <c r="AI323" s="96" t="str">
        <f>IF(Flash_Pt_Feed="","",IF(OR(Ease_of_Ignition_Feed&lt;&gt;"High",Ease_of_Ignition_Feed&lt;&gt;"Elevated"),1,0))</f>
        <v/>
      </c>
      <c r="AJ323" s="81"/>
      <c r="AK323" s="96" t="str">
        <f>IF(Flash_Pt_Feed="","",IF(OR(Ease_of_Ignition_Feed&lt;&gt;"High",Ease_of_Ignition_Feed&lt;&gt;"Elevated"),1,0))</f>
        <v/>
      </c>
      <c r="AL323" s="81"/>
      <c r="AM323" s="96" t="str">
        <f>IF(Flash_Pt_Feed="","",IF(OR(Ease_of_Ignition_Feed&lt;&gt;"High",Ease_of_Ignition_Feed&lt;&gt;"Elevated"),1,0))</f>
        <v/>
      </c>
      <c r="AN323" s="81"/>
      <c r="AO323" s="96" t="str">
        <f>IF(Flash_Pt_Feed="","",IF(OR(Ease_of_Ignition_Feed&lt;&gt;"High",Ease_of_Ignition_Feed&lt;&gt;"Elevated"),1,0))</f>
        <v/>
      </c>
      <c r="AP323" s="81"/>
      <c r="AQ323" s="85"/>
      <c r="AR323" s="81"/>
      <c r="AS323" s="83"/>
      <c r="AT323" s="85" t="s">
        <v>471</v>
      </c>
      <c r="AU323" s="83"/>
      <c r="AV323" s="1183">
        <f>IF(AV316="No",0,VCE_R_1psi*(2*4.18*AV320/101.3)^0.333+LFL_Fract_VCE_Epicenter*AV318)</f>
        <v>0</v>
      </c>
      <c r="AW323" s="83"/>
      <c r="AX323" s="1183">
        <f>IF(AX316="No",0,VCE_R_1psi*(2*4.18*AX320/101.3)^0.333+LFL_Fract_VCE_Epicenter*AX318)</f>
        <v>0</v>
      </c>
      <c r="AY323" s="83"/>
      <c r="AZ323" s="1183">
        <f>IF(AZ316="No",0,VCE_R_1psi*(2*4.18*AZ320/101.3)^0.333+LFL_Fract_VCE_Epicenter*AZ318)</f>
        <v>0</v>
      </c>
      <c r="BA323" s="83"/>
      <c r="BB323" s="1183">
        <f>IF(BB316="No",0,VCE_R_1psi*(2*4.18*BB320/101.3)^0.333+LFL_Fract_VCE_Epicenter*BB318)</f>
        <v>0</v>
      </c>
      <c r="BC323" s="83"/>
      <c r="BD323" s="1183">
        <f>IF(BD316="No",0,VCE_R_1psi*(2*4.18*BD320/101.3)^0.333+LFL_Fract_VCE_Epicenter*BD318)</f>
        <v>0</v>
      </c>
      <c r="BE323" s="83"/>
      <c r="BF323" s="1183">
        <f>IF(BF316="No",0,VCE_R_1psi*(2*4.18*BF320/101.3)^0.333+LFL_Fract_VCE_Epicenter*BF318)</f>
        <v>0</v>
      </c>
      <c r="BG323" s="83"/>
      <c r="BH323" s="1183">
        <f>IF(BH316="No",0,VCE_R_1psi*(2*4.18*BH320/101.3)^0.333+LFL_Fract_VCE_Epicenter*BH318)</f>
        <v>0</v>
      </c>
      <c r="BI323" s="83"/>
      <c r="BJ323" s="1183">
        <f>IF(BJ316="No",0,VCE_R_1psi*(2*4.18*BJ320/101.3)^0.333+LFL_Fract_VCE_Epicenter*BJ318)</f>
        <v>0</v>
      </c>
      <c r="BK323" s="83"/>
      <c r="BL323" s="1183">
        <f>IF(BL316="No",0,VCE_R_1psi*(2*4.18*BL320/101.3)^0.333+LFL_Fract_VCE_Epicenter*BL318)</f>
        <v>0</v>
      </c>
      <c r="BM323" s="83"/>
      <c r="BN323" s="1183">
        <f>IF(BN316="No",0,VCE_R_1psi*(2*4.18*BN320/101.3)^0.333+LFL_Fract_VCE_Epicenter*BN318)</f>
        <v>0</v>
      </c>
      <c r="BO323" s="83"/>
      <c r="BP323" s="100" t="s">
        <v>1068</v>
      </c>
      <c r="BQ323" s="83"/>
      <c r="BR323" s="81"/>
      <c r="BS323" s="23" t="s">
        <v>695</v>
      </c>
      <c r="BT323" s="81"/>
      <c r="BU323" s="2846" t="str">
        <f>IF(Flash_Pt_Feed="","",IF(OR(AND(BU320&gt;10,FiredEq_ProcessArea="within 10 m (33 ft)"),AND(BU320&gt;20,FiredEq_ProcessArea="within 20 m (65 ft)"),AND(BU320&gt;30,FiredEq_ProcessArea="within 30 m (100 ft)"),Ease_of_Ignition_Feed="High",BU15&gt;IF(AIgnite_Feed&lt;&gt;"",AIgnite_Feed,AIDefault)),0,IF(OR(Ease_of_Ignition_Feed="Low",AND(BU15&lt;Flash_Pt_Feed-5,Aerosol_Potential="Yes")),IF(BU320&lt;FFire_Low_Dist,3,IF(BU320&gt;FFire_High_Dist,1,2)),IF(Ease_of_Ignition_Feed="Elevated",IF(BU320&lt;FFire_Low_Dist,1,0),IF(BU320&lt;FFire_Low_Dist,2,IF(BU320&lt;FFire_High_Dist,1,0))))))</f>
        <v/>
      </c>
      <c r="BV323" s="81"/>
      <c r="BW323" s="4239"/>
      <c r="BX323" s="81"/>
      <c r="BY323" s="2846" t="str">
        <f>IF(Flash_Pt_Feed="","",IF(OR(AND(BY320&gt;10,FiredEq_ProcessArea="within 10 m (33 ft)"),AND(BY320&gt;20,FiredEq_ProcessArea="within 20 m (65 ft)"),AND(BY320&gt;30,FiredEq_ProcessArea="within 30 m (100 ft)"),Ease_of_Ignition_Feed="High",BY15&gt;IF(AIgnite_Feed&lt;&gt;"",AIgnite_Feed,AIDefault)),0,IF(OR(Ease_of_Ignition_Feed="Low",AND(BY15&lt;Flash_Pt_Feed-5,Aerosol_Potential="Yes")),IF(BY320&lt;FFire_Low_Dist,3,IF(BY320&gt;FFire_High_Dist,1,2)),IF(Ease_of_Ignition_Feed="Elevated",IF(BY320&lt;FFire_Low_Dist,1,0),IF(BY320&lt;FFire_Low_Dist,2,IF(BY320&lt;FFire_High_Dist,1,0))))))</f>
        <v/>
      </c>
      <c r="BZ323" s="81"/>
      <c r="CA323" s="2846" t="str">
        <f>IF(Flash_Pt_Feed="","",IF(OR(AND(CA320&gt;10,FiredEq_ProcessArea="within 10 m (33 ft)"),AND(CA320&gt;20,FiredEq_ProcessArea="within 20 m (65 ft)"),AND(CA320&gt;30,FiredEq_ProcessArea="within 30 m (100 ft)"),Ease_of_Ignition_Feed="High",CA15&gt;IF(AIgnite_Feed&lt;&gt;"",AIgnite_Feed,AIDefault)),0,IF(OR(Ease_of_Ignition_Feed="Low",AND(CA15&lt;Flash_Pt_Feed-5,Aerosol_Potential="Yes")),IF(CA320&lt;FFire_Low_Dist,3,IF(CA320&gt;FFire_High_Dist,1,2)),IF(Ease_of_Ignition_Feed="Elevated",IF(CA320&lt;FFire_Low_Dist,1,0),IF(CA320&lt;FFire_Low_Dist,2,IF(CA320&lt;FFire_High_Dist,1,0))))))</f>
        <v/>
      </c>
      <c r="CB323" s="81"/>
      <c r="CC323" s="4239"/>
      <c r="CD323" s="81"/>
      <c r="CE323" s="85"/>
      <c r="CF323" s="81"/>
      <c r="CG323" s="26"/>
      <c r="CH323" s="26"/>
      <c r="CI323" s="26"/>
      <c r="CJ323" s="26"/>
      <c r="CK323" s="26"/>
      <c r="CL323" s="26"/>
      <c r="CM323" s="26"/>
      <c r="CN323" s="26"/>
      <c r="CO323" s="26"/>
      <c r="CP323" s="26"/>
      <c r="CQ323" s="26"/>
      <c r="CR323" s="26"/>
    </row>
    <row r="324" spans="1:96" ht="15" customHeight="1" x14ac:dyDescent="0.25">
      <c r="A324" s="2"/>
      <c r="B324" s="851" t="s">
        <v>694</v>
      </c>
      <c r="C324" s="83"/>
      <c r="D324" s="2846" t="str">
        <f>IF(Flash_Pt_Feed="","",IF(OR(AND(D320&gt;10,FiredEq_ProcessArea="within 10 m (33 ft)"),AND(D320&gt;20,FiredEq_ProcessArea="within 20 m (65 ft)"),AND(D320&gt;30,FiredEq_ProcessArea="within 30 m (100 ft)"),Ease_of_Ignition_Feed="High",D9&gt;IF(AIgnite_Feed&lt;&gt;"",AIgnite_Feed,AIDefault)),0,IF(OR(Ease_of_Ignition_Feed="Low",AND(T&lt;Flash_Pt_Feed-5,Aerosol_Potential="Yes")),IF(D320&lt;VCE_Low_Dist,3,IF(D320&gt;VCE_High_Dist,1,2)),IF(Ease_of_Ignition_Feed="Elevated",IF(D320&lt;VCE_Low_Dist,1,0),IF(D320&lt;VCE_Low_Dist,2,IF(D320&lt;VCE_High_Dist,1,0))))))</f>
        <v/>
      </c>
      <c r="E324" s="83"/>
      <c r="F324" s="2846" t="str">
        <f>IF(Flash_Pt_Feed="","",IF(OR(AND(F320&gt;10,FiredEq_ProcessArea="within 10 m (33 ft)"),AND(F320&gt;20,FiredEq_ProcessArea="within 20 m (65 ft)"),AND(F320&gt;30,FiredEq_ProcessArea="within 30 m (100 ft)"),Ease_of_Ignition_Feed="High",F9&gt;IF(AIgnite_Feed&lt;&gt;"",AIgnite_Feed,AIDefault)),0,IF(OR(Ease_of_Ignition_Feed="Low",AND(T&lt;Flash_Pt_Feed-5,Aerosol_Potential="Yes")),IF(F320&lt;VCE_Low_Dist,3,IF(F320&gt;VCE_High_Dist,1,2)),IF(Ease_of_Ignition_Feed="Elevated",IF(F320&lt;VCE_Low_Dist,1,0),IF(F320&lt;VCE_Low_Dist,2,IF(F320&lt;VCE_High_Dist,1,0))))))</f>
        <v/>
      </c>
      <c r="G324" s="83"/>
      <c r="H324" s="2846" t="str">
        <f>IF(Flash_Pt_Feed="","",IF(OR(AND(H320&gt;10,FiredEq_ProcessArea="within 10 m (33 ft)"),AND(H320&gt;20,FiredEq_ProcessArea="within 20 m (65 ft)"),AND(H320&gt;30,FiredEq_ProcessArea="within 30 m (100 ft)"),Ease_of_Ignition_Feed="High",H9&gt;IF(AIgnite_Feed&lt;&gt;"",AIgnite_Feed,AIDefault)),0,IF(OR(Ease_of_Ignition_Feed="Low",AND(T&lt;Flash_Pt_Feed-5,Aerosol_Potential="Yes")),IF(H320&lt;VCE_Low_Dist,3,IF(H320&gt;VCE_High_Dist,1,2)),IF(Ease_of_Ignition_Feed="Elevated",IF(H320&lt;VCE_Low_Dist,1,0),IF(H320&lt;VCE_Low_Dist,2,IF(H320&lt;VCE_High_Dist,1,0))))))</f>
        <v/>
      </c>
      <c r="I324" s="83"/>
      <c r="J324" s="2846" t="str">
        <f>IF(Flash_Pt_Feed="","",IF(OR(AND(J320&gt;10,FiredEq_ProcessArea="within 10 m (33 ft)"),AND(J320&gt;20,FiredEq_ProcessArea="within 20 m (65 ft)"),AND(J320&gt;30,FiredEq_ProcessArea="within 30 m (100 ft)"),Ease_of_Ignition_Feed="High",J9&gt;IF(AIgnite_Feed&lt;&gt;"",AIgnite_Feed,AIDefault)),0,IF(OR(Ease_of_Ignition_Feed="Low",AND(T&lt;Flash_Pt_Feed-5,Aerosol_Potential="Yes")),IF(J320&lt;VCE_Low_Dist,3,IF(J320&gt;VCE_High_Dist,1,2)),IF(Ease_of_Ignition_Feed="Elevated",IF(J320&lt;VCE_Low_Dist,1,0),IF(J320&lt;VCE_Low_Dist,2,IF(J320&lt;VCE_High_Dist,1,0))))))</f>
        <v/>
      </c>
      <c r="K324" s="83"/>
      <c r="L324" s="2846" t="str">
        <f>IF(Flash_Pt_Feed="","",IF(OR(AND(L320&gt;10,FiredEq_ProcessArea="within 10 m (33 ft)"),AND(L320&gt;20,FiredEq_ProcessArea="within 20 m (65 ft)"),AND(L320&gt;30,FiredEq_ProcessArea="within 30 m (100 ft)"),Ease_of_Ignition_Feed="High",L9&gt;IF(AIgnite_Feed&lt;&gt;"",AIgnite_Feed,AIDefault)),0,IF(OR(Ease_of_Ignition_Feed="Low",AND(T&lt;Flash_Pt_Feed-5,Aerosol_Potential="Yes")),IF(L320&lt;VCE_Low_Dist,3,IF(L320&gt;VCE_High_Dist,1,2)),IF(Ease_of_Ignition_Feed="Elevated",IF(L320&lt;VCE_Low_Dist,1,0),IF(L320&lt;VCE_Low_Dist,2,IF(L320&lt;VCE_High_Dist,1,0))))))</f>
        <v/>
      </c>
      <c r="M324" s="83"/>
      <c r="N324" s="2846" t="str">
        <f>IF(Flash_Pt_Feed="","",IF(OR(AND(N320&gt;10,FiredEq_ProcessArea="within 10 m (33 ft)"),AND(N320&gt;20,FiredEq_ProcessArea="within 20 m (65 ft)"),AND(N320&gt;30,FiredEq_ProcessArea="within 30 m (100 ft)"),Ease_of_Ignition_Feed="High",N9&gt;IF(AIgnite_Feed&lt;&gt;"",AIgnite_Feed,AIDefault)),0,IF(OR(Ease_of_Ignition_Feed="Low",AND(T&lt;Flash_Pt_Feed-5,Aerosol_Potential="Yes")),IF(N320&lt;VCE_Low_Dist,3,IF(N320&gt;VCE_High_Dist,1,2)),IF(Ease_of_Ignition_Feed="Elevated",IF(N320&lt;VCE_Low_Dist,1,0),IF(N320&lt;VCE_Low_Dist,2,IF(N320&lt;VCE_High_Dist,1,0))))))</f>
        <v/>
      </c>
      <c r="O324" s="83"/>
      <c r="P324" s="2846" t="str">
        <f>IF(Flash_Pt_Feed="","",IF(OR(AND(P320&gt;10,FiredEq_ProcessArea="within 10 m (33 ft)"),AND(P320&gt;20,FiredEq_ProcessArea="within 20 m (65 ft)"),AND(P320&gt;30,FiredEq_ProcessArea="within 30 m (100 ft)"),Ease_of_Ignition_Feed="High",P9&gt;IF(AIgnite_Feed&lt;&gt;"",AIgnite_Feed,AIDefault)),0,IF(OR(Ease_of_Ignition_Feed="Low",AND(T&lt;Flash_Pt_Feed-5,Aerosol_Potential="Yes")),IF(P320&lt;VCE_Low_Dist,3,IF(P320&gt;VCE_High_Dist,1,2)),IF(Ease_of_Ignition_Feed="Elevated",IF(P320&lt;VCE_Low_Dist,1,0),IF(P320&lt;VCE_Low_Dist,2,IF(P320&lt;VCE_High_Dist,1,0))))))</f>
        <v/>
      </c>
      <c r="Q324" s="83"/>
      <c r="R324" s="2846" t="str">
        <f>IF(Flash_Pt_Feed="","",IF(OR(AND(R320&gt;10,FiredEq_ProcessArea="within 10 m (33 ft)"),AND(R320&gt;20,FiredEq_ProcessArea="within 20 m (65 ft)"),AND(R320&gt;30,FiredEq_ProcessArea="within 30 m (100 ft)"),Ease_of_Ignition_Feed="High",R9&gt;IF(AIgnite_Feed&lt;&gt;"",AIgnite_Feed,AIDefault)),0,IF(OR(Ease_of_Ignition_Feed="Low",AND(T&lt;Flash_Pt_Feed-5,Aerosol_Potential="Yes")),IF(R320&lt;VCE_Low_Dist,3,IF(R320&gt;VCE_High_Dist,1,2)),IF(Ease_of_Ignition_Feed="Elevated",IF(R320&lt;VCE_Low_Dist,1,0),IF(R320&lt;VCE_Low_Dist,2,IF(R320&lt;VCE_High_Dist,1,0))))))</f>
        <v/>
      </c>
      <c r="S324" s="83"/>
      <c r="T324" s="2846" t="str">
        <f>IF(Flash_Pt_Feed="","",IF(OR(AND(T320&gt;10,FiredEq_ProcessArea="within 10 m (33 ft)"),AND(T320&gt;20,FiredEq_ProcessArea="within 20 m (65 ft)"),AND(T320&gt;30,FiredEq_ProcessArea="within 30 m (100 ft)"),Ease_of_Ignition_Feed="High",T9&gt;IF(AIgnite_Feed&lt;&gt;"",AIgnite_Feed,AIDefault)),0,IF(OR(Ease_of_Ignition_Feed="Low",AND(T&lt;Flash_Pt_Feed-5,Aerosol_Potential="Yes")),IF(T320&lt;VCE_Low_Dist,3,IF(T320&gt;VCE_High_Dist,1,2)),IF(Ease_of_Ignition_Feed="Elevated",IF(T320&lt;VCE_Low_Dist,1,0),IF(T320&lt;VCE_Low_Dist,2,IF(T320&lt;VCE_High_Dist,1,0))))))</f>
        <v/>
      </c>
      <c r="U324" s="83"/>
      <c r="V324" s="2846" t="str">
        <f>IF(Flash_Pt_Feed="","",IF(OR(AND(V320&gt;10,FiredEq_ProcessArea="within 10 m (33 ft)"),AND(V320&gt;20,FiredEq_ProcessArea="within 20 m (65 ft)"),AND(V320&gt;30,FiredEq_ProcessArea="within 30 m (100 ft)"),Ease_of_Ignition_Feed="High",V9&gt;IF(AIgnite_Feed&lt;&gt;"",AIgnite_Feed,AIDefault)),0,IF(OR(Ease_of_Ignition_Feed="Low",AND(T&lt;Flash_Pt_Feed-5,Aerosol_Potential="Yes")),IF(V320&lt;VCE_Low_Dist,3,IF(V320&gt;VCE_High_Dist,1,2)),IF(Ease_of_Ignition_Feed="Elevated",IF(V320&lt;VCE_Low_Dist,1,0),IF(V320&lt;VCE_Low_Dist,2,IF(V320&lt;VCE_High_Dist,1,0))))))</f>
        <v/>
      </c>
      <c r="W324" s="83"/>
      <c r="X324" s="2846" t="str">
        <f>IF(Flash_Pt_Feed="","",IF(OR(AND(X320&gt;10,FiredEq_ProcessArea="within 10 m (33 ft)"),AND(X320&gt;20,FiredEq_ProcessArea="within 20 m (65 ft)"),AND(X320&gt;30,FiredEq_ProcessArea="within 30 m (100 ft)"),Ease_of_Ignition_Feed="High",X9&gt;IF(AIgnite_Feed&lt;&gt;"",AIgnite_Feed,AIDefault)),0,IF(OR(Ease_of_Ignition_Feed="Low",AND(T&lt;Flash_Pt_Feed-5,Aerosol_Potential="Yes")),IF(X320&lt;VCE_Low_Dist,3,IF(X320&gt;VCE_High_Dist,1,2)),IF(Ease_of_Ignition_Feed="Elevated",IF(X320&lt;VCE_Low_Dist,1,0),IF(X320&lt;VCE_Low_Dist,2,IF(X320&lt;VCE_High_Dist,1,0))))))</f>
        <v/>
      </c>
      <c r="Y324" s="83"/>
      <c r="Z324" s="23"/>
      <c r="AA324" s="83"/>
      <c r="AB324" s="81"/>
      <c r="AC324" s="851" t="s">
        <v>166</v>
      </c>
      <c r="AD324" s="81"/>
      <c r="AE324" s="1194">
        <f>IF(AE321="Yes",Bldg_Explosion_0.3psi,0)</f>
        <v>0</v>
      </c>
      <c r="AF324" s="81"/>
      <c r="AG324" s="1194">
        <f>IF(AG321="Yes",Bldg_Explosion_0.3psi,0)</f>
        <v>0</v>
      </c>
      <c r="AH324" s="81"/>
      <c r="AI324" s="1194">
        <f>IF(AI321="Yes",Bldg_Explosion_0.3psi,0)</f>
        <v>0</v>
      </c>
      <c r="AJ324" s="81"/>
      <c r="AK324" s="1194">
        <f>IF(AK321="Yes",Bldg_Explosion_0.3psi,0)</f>
        <v>0</v>
      </c>
      <c r="AL324" s="81"/>
      <c r="AM324" s="1194">
        <f>IF(AM321="Yes",Bldg_Explosion_0.3psi,0)</f>
        <v>0</v>
      </c>
      <c r="AN324" s="81"/>
      <c r="AO324" s="1194">
        <f>IF(AO321="Yes",Bldg_Explosion_0.3psi,0)</f>
        <v>0</v>
      </c>
      <c r="AP324" s="81"/>
      <c r="AQ324" s="85" t="s">
        <v>1068</v>
      </c>
      <c r="AR324" s="81"/>
      <c r="AS324" s="83"/>
      <c r="AT324" s="85" t="s">
        <v>1748</v>
      </c>
      <c r="AU324" s="83"/>
      <c r="AV324" s="1183" t="str">
        <f>IF(AV323&gt;Public,"Yes","No")</f>
        <v>No</v>
      </c>
      <c r="AW324" s="83"/>
      <c r="AX324" s="1183" t="str">
        <f>IF(AX323&gt;Public,"Yes","No")</f>
        <v>No</v>
      </c>
      <c r="AY324" s="83"/>
      <c r="AZ324" s="1183" t="str">
        <f>IF(AZ323&gt;Public,"Yes","No")</f>
        <v>No</v>
      </c>
      <c r="BA324" s="83"/>
      <c r="BB324" s="1183" t="str">
        <f>IF(BB323&gt;Public,"Yes","No")</f>
        <v>No</v>
      </c>
      <c r="BC324" s="83"/>
      <c r="BD324" s="1183" t="str">
        <f>IF(BD323&gt;Public,"Yes","No")</f>
        <v>No</v>
      </c>
      <c r="BE324" s="83"/>
      <c r="BF324" s="1183" t="str">
        <f>IF(BF323&gt;Public,"Yes","No")</f>
        <v>No</v>
      </c>
      <c r="BG324" s="83"/>
      <c r="BH324" s="1183" t="str">
        <f>IF(BH323&gt;Public,"Yes","No")</f>
        <v>No</v>
      </c>
      <c r="BI324" s="83"/>
      <c r="BJ324" s="1183" t="str">
        <f>IF(BJ323&gt;Public,"Yes","No")</f>
        <v>No</v>
      </c>
      <c r="BK324" s="83"/>
      <c r="BL324" s="1183" t="str">
        <f>IF(BL323&gt;Public,"Yes","No")</f>
        <v>No</v>
      </c>
      <c r="BM324" s="83"/>
      <c r="BN324" s="1183" t="str">
        <f>IF(BN323&gt;Public,"Yes","No")</f>
        <v>No</v>
      </c>
      <c r="BO324" s="83"/>
      <c r="BP324" s="100" t="s">
        <v>1068</v>
      </c>
      <c r="BQ324" s="83"/>
      <c r="BR324" s="81"/>
      <c r="BS324" s="23" t="s">
        <v>694</v>
      </c>
      <c r="BT324" s="81"/>
      <c r="BU324" s="2846" t="str">
        <f>IF(Flash_Pt_Feed="","",IF(OR(Ease_of_Ignition_Feed="High",BU15&gt;IF(AIgnite_Feed&lt;&gt;"",AIgnite_Feed,BU15)),3,IF(Ease_of_Ignition_Feed="Low",IF(BU320&lt;VCE_Low_Dist,3,IF(BU320&gt;VCE_High_Dist,1,2)),IF(BU320&lt;VCE_Low_Dist,2,IF(BU320&lt;VCE_High_Dist,1,0)))))</f>
        <v/>
      </c>
      <c r="BV324" s="81"/>
      <c r="BW324" s="4239"/>
      <c r="BX324" s="81"/>
      <c r="BY324" s="2846" t="str">
        <f>IF(Flash_Pt_Feed="","",IF(OR(Ease_of_Ignition_Feed="High",BY15&gt;IF(AIgnite_Feed&lt;&gt;"",AIgnite_Feed,BY15)),3,IF(Ease_of_Ignition_Feed="Low",IF(BY320&lt;VCE_Low_Dist,3,IF(BY320&gt;VCE_High_Dist,1,2)),IF(BY320&lt;VCE_Low_Dist,2,IF(BY320&lt;VCE_High_Dist,1,0)))))</f>
        <v/>
      </c>
      <c r="BZ324" s="81"/>
      <c r="CA324" s="2846" t="str">
        <f>IF(Flash_Pt_Feed="","",IF(OR(Ease_of_Ignition_Feed="High",CA15&gt;IF(AIgnite_Feed&lt;&gt;"",AIgnite_Feed,CA15)),3,IF(Ease_of_Ignition_Feed="Low",IF(CA320&lt;VCE_Low_Dist,3,IF(CA320&gt;VCE_High_Dist,1,2)),IF(CA320&lt;VCE_Low_Dist,2,IF(CA320&lt;VCE_High_Dist,1,0)))))</f>
        <v/>
      </c>
      <c r="CB324" s="81"/>
      <c r="CC324" s="4239"/>
      <c r="CD324" s="81"/>
      <c r="CE324" s="85"/>
      <c r="CF324" s="81"/>
      <c r="CG324" s="26"/>
      <c r="CH324" s="26"/>
      <c r="CI324" s="26"/>
      <c r="CJ324" s="26"/>
      <c r="CK324" s="26"/>
      <c r="CL324" s="26"/>
      <c r="CM324" s="26"/>
      <c r="CN324" s="26"/>
      <c r="CO324" s="26"/>
      <c r="CP324" s="26"/>
      <c r="CQ324" s="26"/>
    </row>
    <row r="325" spans="1:96" ht="15" customHeight="1" x14ac:dyDescent="0.25">
      <c r="A325" s="2"/>
      <c r="B325" s="848" t="s">
        <v>471</v>
      </c>
      <c r="C325" s="83"/>
      <c r="D325" s="1183">
        <f>IF(D318="No",0,VCE_R_1psi*(2*4.18*D322/101.3)^0.333+LFL_Fract_VCE_Epicenter*D320)</f>
        <v>0</v>
      </c>
      <c r="E325" s="83"/>
      <c r="F325" s="1183">
        <f>IF(F318="No",0,VCE_R_1psi*(2*4.18*F322/101.3)^0.333+LFL_Fract_VCE_Epicenter*F320)</f>
        <v>0</v>
      </c>
      <c r="G325" s="83"/>
      <c r="H325" s="1183">
        <f>IF(H318="No",0,VCE_R_1psi*(2*4.18*H322/101.3)^0.333+LFL_Fract_VCE_Epicenter*H320)</f>
        <v>0</v>
      </c>
      <c r="I325" s="83"/>
      <c r="J325" s="1183">
        <f>IF(J318="No",0,VCE_R_1psi*(2*4.18*J322/101.3)^0.333+LFL_Fract_VCE_Epicenter*J320)</f>
        <v>0</v>
      </c>
      <c r="K325" s="83"/>
      <c r="L325" s="1183">
        <f>IF(L318="No",0,VCE_R_1psi*(2*4.18*L322/101.3)^0.333+LFL_Fract_VCE_Epicenter*L320)</f>
        <v>0</v>
      </c>
      <c r="M325" s="83"/>
      <c r="N325" s="1183">
        <f>IF(N318="No",0,VCE_R_1psi*(2*4.18*N322/101.3)^0.333+LFL_Fract_VCE_Epicenter*N320)</f>
        <v>0</v>
      </c>
      <c r="O325" s="83"/>
      <c r="P325" s="1183">
        <f>IF(P318="No",0,VCE_R_1psi*(2*4.18*P322/101.3)^0.333+LFL_Fract_VCE_Epicenter*P320)</f>
        <v>0</v>
      </c>
      <c r="Q325" s="83"/>
      <c r="R325" s="1183">
        <f>IF(R318="No",0,VCE_R_1psi*(2*4.18*R322/101.3)^0.333+LFL_Fract_VCE_Epicenter*R320)</f>
        <v>0</v>
      </c>
      <c r="S325" s="83"/>
      <c r="T325" s="1183">
        <f>IF(T318="No",0,VCE_R_1psi*(2*4.18*T322/101.3)^0.333+LFL_Fract_VCE_Epicenter*T320)</f>
        <v>0</v>
      </c>
      <c r="U325" s="83"/>
      <c r="V325" s="1183">
        <f>IF(V318="No",0,VCE_R_1psi*(2*4.18*V322/101.3)^0.333+LFL_Fract_VCE_Epicenter*V320)</f>
        <v>0</v>
      </c>
      <c r="W325" s="83"/>
      <c r="X325" s="1183">
        <f>IF(X318="No",0,VCE_R_1psi*(2*4.18*X322/101.3)^0.333+LFL_Fract_VCE_Epicenter*X320)</f>
        <v>0</v>
      </c>
      <c r="Y325" s="83"/>
      <c r="Z325" s="85" t="s">
        <v>1068</v>
      </c>
      <c r="AA325" s="83"/>
      <c r="AB325" s="81"/>
      <c r="AC325" s="848" t="s">
        <v>17</v>
      </c>
      <c r="AD325" s="81"/>
      <c r="AE325" s="1183">
        <f>IF(AE321="Yes",Bldg_Explosion_1psi,0)</f>
        <v>0</v>
      </c>
      <c r="AF325" s="81"/>
      <c r="AG325" s="1183">
        <f>IF(AG321="Yes",Bldg_Explosion_1psi,0)</f>
        <v>0</v>
      </c>
      <c r="AH325" s="81"/>
      <c r="AI325" s="1183">
        <f>IF(AI321="Yes",Bldg_Explosion_1psi,0)</f>
        <v>0</v>
      </c>
      <c r="AJ325" s="81"/>
      <c r="AK325" s="1183">
        <f>IF(AK321="Yes",Bldg_Explosion_1psi,0)</f>
        <v>0</v>
      </c>
      <c r="AL325" s="81"/>
      <c r="AM325" s="1183">
        <f>IF(AM321="Yes",Bldg_Explosion_1psi,0)</f>
        <v>0</v>
      </c>
      <c r="AN325" s="81"/>
      <c r="AO325" s="1183">
        <f>IF(AO321="Yes",Bldg_Explosion_1psi,0)</f>
        <v>0</v>
      </c>
      <c r="AP325" s="81"/>
      <c r="AQ325" s="85" t="s">
        <v>1068</v>
      </c>
      <c r="AR325" s="81"/>
      <c r="AS325" s="83"/>
      <c r="AT325" s="23" t="s">
        <v>3025</v>
      </c>
      <c r="AU325" s="83"/>
      <c r="AV325" s="2109">
        <f>IF(AND(AV320&gt;0,IF(Occ_Bldg_Cntr_Relief&gt;0,Occ_Bldg_Cntr_Relief,IF(Occ_Bldg_Relief&gt;0,Occ_Bldg_Relief,Occ_Bldg))&gt;0),IF(IF(Occ_Bldg_Cntr_Relief&gt;0,Occ_Bldg_Cntr_Relief,IF(Occ_Bldg_Relief&gt;0,Occ_Bldg_Relief,Occ_Bldg))&gt;1+LFL_Fract_VCE_Epicenter*AV318,(IF(Occ_Bldg_Cntr_Relief&gt;0,Occ_Bldg_Cntr_Relief,IF(Occ_Bldg_Relief&gt;0,Occ_Bldg_Relief,Occ_Bldg))-LFL_Fract_VCE_Epicenter*AV318)/(2*AV320*4.18/101.3)^0.333,1/(2*AV320*4.18/101.3)^0.333),0)</f>
        <v>0</v>
      </c>
      <c r="AW325" s="83"/>
      <c r="AX325" s="2109">
        <f>IF(AND(AX320&gt;0,IF(Occ_Bldg_Cntr_Relief&gt;0,Occ_Bldg_Cntr_Relief,IF(Occ_Bldg_Relief&gt;0,Occ_Bldg_Relief,Occ_Bldg))&gt;0),IF(IF(Occ_Bldg_Cntr_Relief&gt;0,Occ_Bldg_Cntr_Relief,IF(Occ_Bldg_Relief&gt;0,Occ_Bldg_Relief,Occ_Bldg))&gt;1+LFL_Fract_VCE_Epicenter*AX318,(IF(Occ_Bldg_Cntr_Relief&gt;0,Occ_Bldg_Cntr_Relief,IF(Occ_Bldg_Relief&gt;0,Occ_Bldg_Relief,Occ_Bldg))-LFL_Fract_VCE_Epicenter*AX318)/(2*AX320*4.18/101.3)^0.333,1/(2*AX320*4.18/101.3)^0.333),0)</f>
        <v>0</v>
      </c>
      <c r="AY325" s="83"/>
      <c r="AZ325" s="2109">
        <f>IF(AND(AZ320&gt;0,IF(Occ_Bldg_Cntr_Relief&gt;0,Occ_Bldg_Cntr_Relief,IF(Occ_Bldg_Relief&gt;0,Occ_Bldg_Relief,Occ_Bldg))&gt;0),IF(IF(Occ_Bldg_Cntr_Relief&gt;0,Occ_Bldg_Cntr_Relief,IF(Occ_Bldg_Relief&gt;0,Occ_Bldg_Relief,Occ_Bldg))&gt;1+LFL_Fract_VCE_Epicenter*AZ318,(IF(Occ_Bldg_Cntr_Relief&gt;0,Occ_Bldg_Cntr_Relief,IF(Occ_Bldg_Relief&gt;0,Occ_Bldg_Relief,Occ_Bldg))-LFL_Fract_VCE_Epicenter*AZ318)/(2*AZ320*4.18/101.3)^0.333,1/(2*AZ320*4.18/101.3)^0.333),0)</f>
        <v>0</v>
      </c>
      <c r="BA325" s="83"/>
      <c r="BB325" s="2109">
        <f>IF(AND(BB320&gt;0,IF(Occ_Bldg_Cntr_Relief&gt;0,Occ_Bldg_Cntr_Relief,IF(Occ_Bldg_Relief&gt;0,Occ_Bldg_Relief,Occ_Bldg))&gt;0),IF(IF(Occ_Bldg_Cntr_Relief&gt;0,Occ_Bldg_Cntr_Relief,IF(Occ_Bldg_Relief&gt;0,Occ_Bldg_Relief,Occ_Bldg))&gt;1+LFL_Fract_VCE_Epicenter*BB318,(IF(Occ_Bldg_Cntr_Relief&gt;0,Occ_Bldg_Cntr_Relief,IF(Occ_Bldg_Relief&gt;0,Occ_Bldg_Relief,Occ_Bldg))-LFL_Fract_VCE_Epicenter*BB318)/(2*BB320*4.18/101.3)^0.333,1/(2*BB320*4.18/101.3)^0.333),0)</f>
        <v>0</v>
      </c>
      <c r="BC325" s="83"/>
      <c r="BD325" s="2109">
        <f>IF(AND(BD320&gt;0,IF(Occ_Bldg_Cntr_Relief&gt;0,Occ_Bldg_Cntr_Relief,IF(Occ_Bldg_Relief&gt;0,Occ_Bldg_Relief,Occ_Bldg))&gt;0),IF(IF(Occ_Bldg_Cntr_Relief&gt;0,Occ_Bldg_Cntr_Relief,IF(Occ_Bldg_Relief&gt;0,Occ_Bldg_Relief,Occ_Bldg))&gt;1+LFL_Fract_VCE_Epicenter*BD318,(IF(Occ_Bldg_Cntr_Relief&gt;0,Occ_Bldg_Cntr_Relief,IF(Occ_Bldg_Relief&gt;0,Occ_Bldg_Relief,Occ_Bldg))-LFL_Fract_VCE_Epicenter*BD318)/(2*BD320*4.18/101.3)^0.333,1/(2*BD320*4.18/101.3)^0.333),0)</f>
        <v>0</v>
      </c>
      <c r="BE325" s="83"/>
      <c r="BF325" s="2109">
        <f>IF(AND(BF320&gt;0,IF(Occ_Bldg_Cntr_Relief&gt;0,Occ_Bldg_Cntr_Relief,IF(Occ_Bldg_Relief&gt;0,Occ_Bldg_Relief,Occ_Bldg))&gt;0),IF(IF(Occ_Bldg_Cntr_Relief&gt;0,Occ_Bldg_Cntr_Relief,IF(Occ_Bldg_Relief&gt;0,Occ_Bldg_Relief,Occ_Bldg))&gt;1+LFL_Fract_VCE_Epicenter*BF318,(IF(Occ_Bldg_Cntr_Relief&gt;0,Occ_Bldg_Cntr_Relief,IF(Occ_Bldg_Relief&gt;0,Occ_Bldg_Relief,Occ_Bldg))-LFL_Fract_VCE_Epicenter*BF318)/(2*BF320*4.18/101.3)^0.333,1/(2*BF320*4.18/101.3)^0.333),0)</f>
        <v>0</v>
      </c>
      <c r="BG325" s="83"/>
      <c r="BH325" s="2109">
        <f>IF(AND(BH320&gt;0,IF(Occ_Bldg_Cntr_Relief&gt;0,Occ_Bldg_Cntr_Relief,IF(Occ_Bldg_Relief&gt;0,Occ_Bldg_Relief,Occ_Bldg))&gt;0),IF(IF(Occ_Bldg_Cntr_Relief&gt;0,Occ_Bldg_Cntr_Relief,IF(Occ_Bldg_Relief&gt;0,Occ_Bldg_Relief,Occ_Bldg))&gt;1+LFL_Fract_VCE_Epicenter*BH318,(IF(Occ_Bldg_Cntr_Relief&gt;0,Occ_Bldg_Cntr_Relief,IF(Occ_Bldg_Relief&gt;0,Occ_Bldg_Relief,Occ_Bldg))-LFL_Fract_VCE_Epicenter*BH318)/(2*BH320*4.18/101.3)^0.333,1/(2*BH320*4.18/101.3)^0.333),0)</f>
        <v>0</v>
      </c>
      <c r="BI325" s="83"/>
      <c r="BJ325" s="2109">
        <f>IF(AND(BJ320&gt;0,IF(Occ_Bldg_Cntr_Relief&gt;0,Occ_Bldg_Cntr_Relief,IF(Occ_Bldg_Relief&gt;0,Occ_Bldg_Relief,Occ_Bldg))&gt;0),IF(IF(Occ_Bldg_Cntr_Relief&gt;0,Occ_Bldg_Cntr_Relief,IF(Occ_Bldg_Relief&gt;0,Occ_Bldg_Relief,Occ_Bldg))&gt;1+LFL_Fract_VCE_Epicenter*BJ318,(IF(Occ_Bldg_Cntr_Relief&gt;0,Occ_Bldg_Cntr_Relief,IF(Occ_Bldg_Relief&gt;0,Occ_Bldg_Relief,Occ_Bldg))-LFL_Fract_VCE_Epicenter*BJ318)/(2*BJ320*4.18/101.3)^0.333,1/(2*BJ320*4.18/101.3)^0.333),0)</f>
        <v>0</v>
      </c>
      <c r="BK325" s="83"/>
      <c r="BL325" s="2109">
        <f>IF(AND(BL320&gt;0,IF(Occ_Bldg_Cntr_Relief&gt;0,Occ_Bldg_Cntr_Relief,IF(Occ_Bldg_Relief&gt;0,Occ_Bldg_Relief,Occ_Bldg))&gt;0),IF(IF(Occ_Bldg_Cntr_Relief&gt;0,Occ_Bldg_Cntr_Relief,IF(Occ_Bldg_Relief&gt;0,Occ_Bldg_Relief,Occ_Bldg))&gt;1+LFL_Fract_VCE_Epicenter*BL318,(IF(Occ_Bldg_Cntr_Relief&gt;0,Occ_Bldg_Cntr_Relief,IF(Occ_Bldg_Relief&gt;0,Occ_Bldg_Relief,Occ_Bldg))-LFL_Fract_VCE_Epicenter*BL318)/(2*BL320*4.18/101.3)^0.333,1/(2*BL320*4.18/101.3)^0.333),0)</f>
        <v>0</v>
      </c>
      <c r="BM325" s="83"/>
      <c r="BN325" s="2109">
        <f>IF(AND(BN320&gt;0,IF(Occ_Bldg_Cntr_Relief&gt;0,Occ_Bldg_Cntr_Relief,IF(Occ_Bldg_Relief&gt;0,Occ_Bldg_Relief,Occ_Bldg))&gt;0),IF(IF(Occ_Bldg_Cntr_Relief&gt;0,Occ_Bldg_Cntr_Relief,IF(Occ_Bldg_Relief&gt;0,Occ_Bldg_Relief,Occ_Bldg))&gt;1+LFL_Fract_VCE_Epicenter*BN318,(IF(Occ_Bldg_Cntr_Relief&gt;0,Occ_Bldg_Cntr_Relief,IF(Occ_Bldg_Relief&gt;0,Occ_Bldg_Relief,Occ_Bldg))-LFL_Fract_VCE_Epicenter*BN318)/(2*BN320*4.18/101.3)^0.333,1/(2*BN320*4.18/101.3)^0.333),0)</f>
        <v>0</v>
      </c>
      <c r="BO325" s="83"/>
      <c r="BP325" s="100"/>
      <c r="BQ325" s="83"/>
      <c r="BR325" s="81"/>
      <c r="BS325" s="85" t="s">
        <v>471</v>
      </c>
      <c r="BT325" s="81"/>
      <c r="BU325" s="1183">
        <f>IF(BU318="No",0,VCE_R_1psi*(2*4.18*BU322/101.3)^0.333+LFL_Fract_VCE_Epicenter*BU320)</f>
        <v>0</v>
      </c>
      <c r="BV325" s="81"/>
      <c r="BW325" s="4239"/>
      <c r="BX325" s="81"/>
      <c r="BY325" s="1183">
        <f>IF(BY318="No",0,VCE_R_1psi*(2*4.18*BY322/101.3)^0.333+LFL_Fract_VCE_Epicenter*BY320)</f>
        <v>0</v>
      </c>
      <c r="BZ325" s="81"/>
      <c r="CA325" s="1183">
        <f>IF(CA318="No",0,VCE_R_1psi*(2*4.18*CA322/101.3)^0.333+LFL_Fract_VCE_Epicenter*CA320)</f>
        <v>0</v>
      </c>
      <c r="CB325" s="81"/>
      <c r="CC325" s="4239"/>
      <c r="CD325" s="81"/>
      <c r="CE325" s="85" t="s">
        <v>1068</v>
      </c>
      <c r="CF325" s="81"/>
      <c r="CG325" s="26"/>
      <c r="CH325" s="26"/>
      <c r="CI325" s="26"/>
      <c r="CJ325" s="26"/>
      <c r="CK325" s="26"/>
      <c r="CL325" s="26"/>
      <c r="CM325" s="26"/>
      <c r="CN325" s="26"/>
      <c r="CO325" s="26"/>
      <c r="CP325" s="26"/>
      <c r="CQ325" s="26"/>
    </row>
    <row r="326" spans="1:96" ht="15" customHeight="1" x14ac:dyDescent="0.25">
      <c r="A326" s="2"/>
      <c r="B326" s="848" t="s">
        <v>1748</v>
      </c>
      <c r="C326" s="83"/>
      <c r="D326" s="1183" t="str">
        <f>IF(D325&gt;Public,"Yes","No")</f>
        <v>No</v>
      </c>
      <c r="E326" s="83"/>
      <c r="F326" s="1183" t="str">
        <f>IF(F325&gt;Public,"Yes","No")</f>
        <v>No</v>
      </c>
      <c r="G326" s="83"/>
      <c r="H326" s="1183" t="str">
        <f>IF(H325&gt;Public,"Yes","No")</f>
        <v>No</v>
      </c>
      <c r="I326" s="83"/>
      <c r="J326" s="1183" t="str">
        <f>IF(J325&gt;Public,"Yes","No")</f>
        <v>No</v>
      </c>
      <c r="K326" s="83"/>
      <c r="L326" s="1183" t="str">
        <f>IF(L325&gt;Public,"Yes","No")</f>
        <v>No</v>
      </c>
      <c r="M326" s="83"/>
      <c r="N326" s="1183" t="str">
        <f>IF(N325&gt;Public,"Yes","No")</f>
        <v>No</v>
      </c>
      <c r="O326" s="83"/>
      <c r="P326" s="1183" t="str">
        <f>IF(P325&gt;Public,"Yes","No")</f>
        <v>No</v>
      </c>
      <c r="Q326" s="83"/>
      <c r="R326" s="1183" t="str">
        <f>IF(R325&gt;Public,"Yes","No")</f>
        <v>No</v>
      </c>
      <c r="S326" s="83"/>
      <c r="T326" s="1183" t="str">
        <f>IF(T325&gt;Public,"Yes","No")</f>
        <v>No</v>
      </c>
      <c r="U326" s="83"/>
      <c r="V326" s="1183" t="str">
        <f>IF(V325&gt;Public,"Yes","No")</f>
        <v>No</v>
      </c>
      <c r="W326" s="83"/>
      <c r="X326" s="1183" t="str">
        <f>IF(X325&gt;Public,"Yes","No")</f>
        <v>No</v>
      </c>
      <c r="Y326" s="83"/>
      <c r="Z326" s="23"/>
      <c r="AA326" s="83"/>
      <c r="AB326" s="81"/>
      <c r="AC326" s="848" t="s">
        <v>689</v>
      </c>
      <c r="AD326" s="81"/>
      <c r="AE326" s="3010" t="str">
        <f>IF(AE325&gt;Public,"Yes","No")</f>
        <v>No</v>
      </c>
      <c r="AF326" s="81"/>
      <c r="AG326" s="3010" t="str">
        <f>IF(AG325&gt;Public,"Yes","No")</f>
        <v>No</v>
      </c>
      <c r="AH326" s="81"/>
      <c r="AI326" s="3010" t="str">
        <f>IF(AI325&gt;Public,"Yes","No")</f>
        <v>No</v>
      </c>
      <c r="AJ326" s="81"/>
      <c r="AK326" s="3010" t="str">
        <f>IF(AK325&gt;Public,"Yes","No")</f>
        <v>No</v>
      </c>
      <c r="AL326" s="81"/>
      <c r="AM326" s="3010" t="str">
        <f>IF(AM325&gt;Public,"Yes","No")</f>
        <v>No</v>
      </c>
      <c r="AN326" s="81"/>
      <c r="AO326" s="3010" t="str">
        <f>IF(AO325&gt;Public,"Yes","No")</f>
        <v>No</v>
      </c>
      <c r="AP326" s="81"/>
      <c r="AQ326" s="85"/>
      <c r="AR326" s="81"/>
      <c r="AS326" s="83"/>
      <c r="AT326" s="23" t="s">
        <v>1534</v>
      </c>
      <c r="AU326" s="83"/>
      <c r="AV326" s="2101">
        <f>IF(AND(AV316="Yes",AV325&gt;0),IF(VCE_BST_Coeff/AV325^VCE_BST_Exp&lt;VCE_BST_Limit,14.7*VCE_BST_Coeff/AV325^VCE_BST_Exp,14.7*VCE_BST_Limit),AV328)</f>
        <v>0</v>
      </c>
      <c r="AW326" s="83"/>
      <c r="AX326" s="2101">
        <f>IF(AND(AX316="Yes",AX325&gt;0),IF(VCE_BST_Coeff/AX325^VCE_BST_Exp&lt;VCE_BST_Limit,14.7*VCE_BST_Coeff/AX325^VCE_BST_Exp,14.7*VCE_BST_Limit),AX328)</f>
        <v>0</v>
      </c>
      <c r="AY326" s="83"/>
      <c r="AZ326" s="2101">
        <f>IF(AND(AZ316="Yes",AZ325&gt;0),IF(VCE_BST_Coeff/AZ325^VCE_BST_Exp&lt;VCE_BST_Limit,14.7*VCE_BST_Coeff/AZ325^VCE_BST_Exp,14.7*VCE_BST_Limit),AZ328)</f>
        <v>0</v>
      </c>
      <c r="BA326" s="83"/>
      <c r="BB326" s="2101">
        <f>IF(AND(BB316="Yes",BB325&gt;0),IF(VCE_BST_Coeff/BB325^VCE_BST_Exp&lt;VCE_BST_Limit,14.7*VCE_BST_Coeff/BB325^VCE_BST_Exp,14.7*VCE_BST_Limit),BB328)</f>
        <v>0</v>
      </c>
      <c r="BC326" s="83"/>
      <c r="BD326" s="2101">
        <f>IF(AND(BD316="Yes",BD325&gt;0),IF(VCE_BST_Coeff/BD325^VCE_BST_Exp&lt;VCE_BST_Limit,14.7*VCE_BST_Coeff/BD325^VCE_BST_Exp,14.7*VCE_BST_Limit),BD328)</f>
        <v>0</v>
      </c>
      <c r="BE326" s="83"/>
      <c r="BF326" s="2101">
        <f>IF(AND(BF316="Yes",BF325&gt;0),IF(VCE_BST_Coeff/BF325^VCE_BST_Exp&lt;VCE_BST_Limit,14.7*VCE_BST_Coeff/BF325^VCE_BST_Exp,14.7*VCE_BST_Limit),BF328)</f>
        <v>0</v>
      </c>
      <c r="BG326" s="83"/>
      <c r="BH326" s="2101">
        <f>IF(AND(BH316="Yes",BH325&gt;0),IF(VCE_BST_Coeff/BH325^VCE_BST_Exp&lt;VCE_BST_Limit,14.7*VCE_BST_Coeff/BH325^VCE_BST_Exp,14.7*VCE_BST_Limit),BH328)</f>
        <v>0</v>
      </c>
      <c r="BI326" s="83"/>
      <c r="BJ326" s="2101">
        <f>IF(AND(BJ316="Yes",BJ325&gt;0),IF(VCE_BST_Coeff/BJ325^VCE_BST_Exp&lt;VCE_BST_Limit,14.7*VCE_BST_Coeff/BJ325^VCE_BST_Exp,14.7*VCE_BST_Limit),BJ328)</f>
        <v>0</v>
      </c>
      <c r="BK326" s="83"/>
      <c r="BL326" s="2101">
        <f>IF(AND(BL316="Yes",BL325&gt;0),IF(VCE_BST_Coeff/BL325^VCE_BST_Exp&lt;VCE_BST_Limit,14.7*VCE_BST_Coeff/BL325^VCE_BST_Exp,14.7*VCE_BST_Limit),BL328)</f>
        <v>0</v>
      </c>
      <c r="BM326" s="83"/>
      <c r="BN326" s="2101">
        <f>IF(AND(BN316="Yes",BN325&gt;0),IF(VCE_BST_Coeff/BN325^VCE_BST_Exp&lt;VCE_BST_Limit,14.7*VCE_BST_Coeff/BN325^VCE_BST_Exp,14.7*VCE_BST_Limit),BN328)</f>
        <v>0</v>
      </c>
      <c r="BO326" s="83"/>
      <c r="BP326" s="85" t="s">
        <v>968</v>
      </c>
      <c r="BQ326" s="83"/>
      <c r="BR326" s="81"/>
      <c r="BS326" s="85" t="s">
        <v>1748</v>
      </c>
      <c r="BT326" s="81"/>
      <c r="BU326" s="1183" t="str">
        <f>IF(BU325&gt;Public,"Yes","No")</f>
        <v>No</v>
      </c>
      <c r="BV326" s="81"/>
      <c r="BW326" s="4239"/>
      <c r="BX326" s="81"/>
      <c r="BY326" s="1183" t="str">
        <f>IF(BY325&gt;Public,"Yes","No")</f>
        <v>No</v>
      </c>
      <c r="BZ326" s="81"/>
      <c r="CA326" s="1183" t="str">
        <f>IF(CA325&gt;Public,"Yes","No")</f>
        <v>No</v>
      </c>
      <c r="CB326" s="81"/>
      <c r="CC326" s="4239"/>
      <c r="CD326" s="81"/>
      <c r="CE326" s="85"/>
      <c r="CF326" s="81"/>
      <c r="CG326" s="26"/>
      <c r="CH326" s="26"/>
      <c r="CI326" s="26"/>
      <c r="CJ326" s="26"/>
      <c r="CK326" s="26"/>
      <c r="CL326" s="26"/>
      <c r="CM326" s="26"/>
      <c r="CN326" s="26"/>
      <c r="CO326" s="26"/>
      <c r="CP326" s="26"/>
      <c r="CQ326" s="26"/>
    </row>
    <row r="327" spans="1:96" ht="15" customHeight="1" x14ac:dyDescent="0.25">
      <c r="A327" s="2"/>
      <c r="B327" s="851" t="s">
        <v>3025</v>
      </c>
      <c r="C327" s="83"/>
      <c r="D327" s="2109">
        <f>IF(AND(D322&gt;0,Occ_Bldg_Cntr&gt;0),IF(Occ_Bldg_Cntr&gt;1+LFL_Fract_VCE_Epicenter*D320,(Occ_Bldg_Cntr-LFL_Fract_VCE_Epicenter*D320)/(2*D322*4.18/101.3)^0.333,1/(2*D322*4.18/101.3)^0.333),0)</f>
        <v>0</v>
      </c>
      <c r="E327" s="83"/>
      <c r="F327" s="2109">
        <f>IF(AND(F322&gt;0,Occ_Bldg_Cntr&gt;0),IF(Occ_Bldg_Cntr&gt;1+LFL_Fract_VCE_Epicenter*F320,(Occ_Bldg_Cntr-LFL_Fract_VCE_Epicenter*F320)/(2*F322*4.18/101.3)^0.333,1/(2*F322*4.18/101.3)^0.333),0)</f>
        <v>0</v>
      </c>
      <c r="G327" s="83"/>
      <c r="H327" s="2109">
        <f>IF(AND(H322&gt;0,Occ_Bldg_Cntr&gt;0),IF(Occ_Bldg_Cntr&gt;1+LFL_Fract_VCE_Epicenter*H320,(Occ_Bldg_Cntr-LFL_Fract_VCE_Epicenter*H320)/(2*H322*4.18/101.3)^0.333,1/(2*H322*4.18/101.3)^0.333),0)</f>
        <v>0</v>
      </c>
      <c r="I327" s="83"/>
      <c r="J327" s="2109">
        <f>IF(AND(J322&gt;0,Occ_Bldg_Cntr&gt;0),IF(Occ_Bldg_Cntr&gt;1+LFL_Fract_VCE_Epicenter*J320,(Occ_Bldg_Cntr-LFL_Fract_VCE_Epicenter*J320)/(2*J322*4.18/101.3)^0.333,1/(2*J322*4.18/101.3)^0.333),0)</f>
        <v>0</v>
      </c>
      <c r="K327" s="83"/>
      <c r="L327" s="2109">
        <f>IF(AND(L322&gt;0,Occ_Bldg_Cntr&gt;0),IF(Occ_Bldg_Cntr&gt;1+LFL_Fract_VCE_Epicenter*L320,(Occ_Bldg_Cntr-LFL_Fract_VCE_Epicenter*L320)/(2*L322*4.18/101.3)^0.333,1/(2*L322*4.18/101.3)^0.333),0)</f>
        <v>0</v>
      </c>
      <c r="M327" s="83"/>
      <c r="N327" s="2109">
        <f>IF(AND(N322&gt;0,Occ_Bldg_Cntr&gt;0),IF(Occ_Bldg_Cntr&gt;1+LFL_Fract_VCE_Epicenter*N320,(Occ_Bldg_Cntr-LFL_Fract_VCE_Epicenter*N320)/(2*N322*4.18/101.3)^0.333,1/(2*N322*4.18/101.3)^0.333),0)</f>
        <v>0</v>
      </c>
      <c r="O327" s="83"/>
      <c r="P327" s="2109">
        <f>IF(AND(P322&gt;0,Occ_Bldg_Cntr&gt;0),IF(Occ_Bldg_Cntr&gt;1+LFL_Fract_VCE_Epicenter*P320,(Occ_Bldg_Cntr-LFL_Fract_VCE_Epicenter*P320)/(2*P322*4.18/101.3)^0.333,1/(2*P322*4.18/101.3)^0.333),0)</f>
        <v>0</v>
      </c>
      <c r="Q327" s="83"/>
      <c r="R327" s="2109">
        <f>IF(AND(R322&gt;0,Occ_Bldg_Cntr&gt;0),IF(Occ_Bldg_Cntr&gt;1+LFL_Fract_VCE_Epicenter*R320,(Occ_Bldg_Cntr-LFL_Fract_VCE_Epicenter*R320)/(2*R322*4.18/101.3)^0.333,1/(2*R322*4.18/101.3)^0.333),0)</f>
        <v>0</v>
      </c>
      <c r="S327" s="83"/>
      <c r="T327" s="2109">
        <f>IF(AND(T322&gt;0,Occ_Bldg_Cntr&gt;0),IF(Occ_Bldg_Cntr&gt;1+LFL_Fract_VCE_Epicenter*T320,(Occ_Bldg_Cntr-LFL_Fract_VCE_Epicenter*T320)/(2*T322*4.18/101.3)^0.333,1/(2*T322*4.18/101.3)^0.333),0)</f>
        <v>0</v>
      </c>
      <c r="U327" s="83"/>
      <c r="V327" s="2109">
        <f>IF(AND(V322&gt;0,Occ_Bldg_Cntr&gt;0),IF(Occ_Bldg_Cntr&gt;1+LFL_Fract_VCE_Epicenter*V320,(Occ_Bldg_Cntr-LFL_Fract_VCE_Epicenter*V320)/(2*V322*4.18/101.3)^0.333,1/(2*V322*4.18/101.3)^0.333),0)</f>
        <v>0</v>
      </c>
      <c r="W327" s="83"/>
      <c r="X327" s="2109">
        <f>IF(AND(X322&gt;0,Occ_Bldg_Cntr&gt;0),IF(Occ_Bldg_Cntr&gt;1+LFL_Fract_VCE_Epicenter*X320,(Occ_Bldg_Cntr-LFL_Fract_VCE_Epicenter*X320)/(2*X322*4.18/101.3)^0.333,1/(2*X322*4.18/101.3)^0.333),0)</f>
        <v>0</v>
      </c>
      <c r="Y327" s="83"/>
      <c r="Z327" s="23"/>
      <c r="AA327" s="83"/>
      <c r="AB327" s="81"/>
      <c r="AC327" s="851" t="s">
        <v>1534</v>
      </c>
      <c r="AD327" s="81"/>
      <c r="AE327" s="2996">
        <f>IF(AE321&lt;&gt;"Yes",0,Bldg_Explosion_Center)</f>
        <v>0</v>
      </c>
      <c r="AF327" s="81"/>
      <c r="AG327" s="2996">
        <f>IF(AG321&lt;&gt;"Yes",0,Bldg_Explosion_Center)</f>
        <v>0</v>
      </c>
      <c r="AH327" s="81"/>
      <c r="AI327" s="2996">
        <f>IF(AI321&lt;&gt;"Yes",0,Bldg_Explosion_Center)</f>
        <v>0</v>
      </c>
      <c r="AJ327" s="81"/>
      <c r="AK327" s="2996">
        <f>IF(AK321&lt;&gt;"Yes",0,Bldg_Explosion_Center)</f>
        <v>0</v>
      </c>
      <c r="AL327" s="81"/>
      <c r="AM327" s="2996">
        <f>IF(AM321&lt;&gt;"Yes",0,Bldg_Explosion_Center)</f>
        <v>0</v>
      </c>
      <c r="AN327" s="81"/>
      <c r="AO327" s="2996">
        <f>IF(AO321&lt;&gt;"Yes",0,Bldg_Explosion_Center)</f>
        <v>0</v>
      </c>
      <c r="AP327" s="81"/>
      <c r="AQ327" s="85" t="s">
        <v>968</v>
      </c>
      <c r="AR327" s="81"/>
      <c r="AS327" s="83"/>
      <c r="AT327" s="23" t="s">
        <v>3024</v>
      </c>
      <c r="AU327" s="83"/>
      <c r="AV327" s="1181">
        <f>IF(AND(AV320&gt;0,IF(Occ_Bldg_Relief&gt;0,Occ_Bldg_Relief,Occ_Bldg)&gt;0),IF(IF(Occ_Bldg_Relief&gt;0,Occ_Bldg_Relief,Occ_Bldg)&gt;1+LFL_Fract_VCE_Epicenter*AV318,(IF(Occ_Bldg_Relief&gt;0,Occ_Bldg_Relief,Occ_Bldg)-LFL_Fract_VCE_Epicenter*AV318)/(2*AV320*4.18/101.3)^0.333,1/(2*AV320*4.18/101.3)^0.333),0)</f>
        <v>0</v>
      </c>
      <c r="AW327" s="83"/>
      <c r="AX327" s="1181">
        <f>IF(AND(AX320&gt;0,IF(Occ_Bldg_Relief&gt;0,Occ_Bldg_Relief,Occ_Bldg)&gt;0),IF(IF(Occ_Bldg_Relief&gt;0,Occ_Bldg_Relief,Occ_Bldg)&gt;1+LFL_Fract_VCE_Epicenter*AX318,(IF(Occ_Bldg_Relief&gt;0,Occ_Bldg_Relief,Occ_Bldg)-LFL_Fract_VCE_Epicenter*AX318)/(2*AX320*4.18/101.3)^0.333,1/(2*AX320*4.18/101.3)^0.333),0)</f>
        <v>0</v>
      </c>
      <c r="AY327" s="83"/>
      <c r="AZ327" s="1181">
        <f>IF(AND(AZ320&gt;0,IF(Occ_Bldg_Relief&gt;0,Occ_Bldg_Relief,Occ_Bldg)&gt;0),IF(IF(Occ_Bldg_Relief&gt;0,Occ_Bldg_Relief,Occ_Bldg)&gt;1+LFL_Fract_VCE_Epicenter*AZ318,(IF(Occ_Bldg_Relief&gt;0,Occ_Bldg_Relief,Occ_Bldg)-LFL_Fract_VCE_Epicenter*AZ318)/(2*AZ320*4.18/101.3)^0.333,1/(2*AZ320*4.18/101.3)^0.333),0)</f>
        <v>0</v>
      </c>
      <c r="BA327" s="83"/>
      <c r="BB327" s="1181">
        <f>IF(AND(BB320&gt;0,IF(Occ_Bldg_Relief&gt;0,Occ_Bldg_Relief,Occ_Bldg)&gt;0),IF(IF(Occ_Bldg_Relief&gt;0,Occ_Bldg_Relief,Occ_Bldg)&gt;1+LFL_Fract_VCE_Epicenter*BB318,(IF(Occ_Bldg_Relief&gt;0,Occ_Bldg_Relief,Occ_Bldg)-LFL_Fract_VCE_Epicenter*BB318)/(2*BB320*4.18/101.3)^0.333,1/(2*BB320*4.18/101.3)^0.333),0)</f>
        <v>0</v>
      </c>
      <c r="BC327" s="83"/>
      <c r="BD327" s="1181">
        <f>IF(AND(BD320&gt;0,IF(Occ_Bldg_Relief&gt;0,Occ_Bldg_Relief,Occ_Bldg)&gt;0),IF(IF(Occ_Bldg_Relief&gt;0,Occ_Bldg_Relief,Occ_Bldg)&gt;1+LFL_Fract_VCE_Epicenter*BD318,(IF(Occ_Bldg_Relief&gt;0,Occ_Bldg_Relief,Occ_Bldg)-LFL_Fract_VCE_Epicenter*BD318)/(2*BD320*4.18/101.3)^0.333,1/(2*BD320*4.18/101.3)^0.333),0)</f>
        <v>0</v>
      </c>
      <c r="BE327" s="83"/>
      <c r="BF327" s="1181">
        <f>IF(AND(BF320&gt;0,IF(Occ_Bldg_Relief&gt;0,Occ_Bldg_Relief,Occ_Bldg)&gt;0),IF(IF(Occ_Bldg_Relief&gt;0,Occ_Bldg_Relief,Occ_Bldg)&gt;1+LFL_Fract_VCE_Epicenter*BF318,(IF(Occ_Bldg_Relief&gt;0,Occ_Bldg_Relief,Occ_Bldg)-LFL_Fract_VCE_Epicenter*BF318)/(2*BF320*4.18/101.3)^0.333,1/(2*BF320*4.18/101.3)^0.333),0)</f>
        <v>0</v>
      </c>
      <c r="BG327" s="83"/>
      <c r="BH327" s="1181">
        <f>IF(AND(BH320&gt;0,IF(Occ_Bldg_Relief&gt;0,Occ_Bldg_Relief,Occ_Bldg)&gt;0),IF(IF(Occ_Bldg_Relief&gt;0,Occ_Bldg_Relief,Occ_Bldg)&gt;1+LFL_Fract_VCE_Epicenter*BH318,(IF(Occ_Bldg_Relief&gt;0,Occ_Bldg_Relief,Occ_Bldg)-LFL_Fract_VCE_Epicenter*BH318)/(2*BH320*4.18/101.3)^0.333,1/(2*BH320*4.18/101.3)^0.333),0)</f>
        <v>0</v>
      </c>
      <c r="BI327" s="83"/>
      <c r="BJ327" s="1181">
        <f>IF(AND(BJ320&gt;0,IF(Occ_Bldg_Relief&gt;0,Occ_Bldg_Relief,Occ_Bldg)&gt;0),IF(IF(Occ_Bldg_Relief&gt;0,Occ_Bldg_Relief,Occ_Bldg)&gt;1+LFL_Fract_VCE_Epicenter*BJ318,(IF(Occ_Bldg_Relief&gt;0,Occ_Bldg_Relief,Occ_Bldg)-LFL_Fract_VCE_Epicenter*BJ318)/(2*BJ320*4.18/101.3)^0.333,1/(2*BJ320*4.18/101.3)^0.333),0)</f>
        <v>0</v>
      </c>
      <c r="BK327" s="83"/>
      <c r="BL327" s="1181">
        <f>IF(AND(BL320&gt;0,IF(Occ_Bldg_Relief&gt;0,Occ_Bldg_Relief,Occ_Bldg)&gt;0),IF(IF(Occ_Bldg_Relief&gt;0,Occ_Bldg_Relief,Occ_Bldg)&gt;1+LFL_Fract_VCE_Epicenter*BL318,(IF(Occ_Bldg_Relief&gt;0,Occ_Bldg_Relief,Occ_Bldg)-LFL_Fract_VCE_Epicenter*BL318)/(2*BL320*4.18/101.3)^0.333,1/(2*BL320*4.18/101.3)^0.333),0)</f>
        <v>0</v>
      </c>
      <c r="BM327" s="83"/>
      <c r="BN327" s="1181">
        <f>IF(AND(BN320&gt;0,IF(Occ_Bldg_Relief&gt;0,Occ_Bldg_Relief,Occ_Bldg)&gt;0),IF(IF(Occ_Bldg_Relief&gt;0,Occ_Bldg_Relief,Occ_Bldg)&gt;1+LFL_Fract_VCE_Epicenter*BN318,(IF(Occ_Bldg_Relief&gt;0,Occ_Bldg_Relief,Occ_Bldg)-LFL_Fract_VCE_Epicenter*BN318)/(2*BN320*4.18/101.3)^0.333,1/(2*BN320*4.18/101.3)^0.333),0)</f>
        <v>0</v>
      </c>
      <c r="BO327" s="83"/>
      <c r="BP327" s="85"/>
      <c r="BQ327" s="83"/>
      <c r="BR327" s="81"/>
      <c r="BS327" s="23" t="s">
        <v>3025</v>
      </c>
      <c r="BT327" s="81"/>
      <c r="BU327" s="2109">
        <f>IF(AND(BU322&gt;0,Occ_Bldg_Cntr&gt;0),IF(Occ_Bldg_Cntr&gt;1+LFL_Fract_VCE_Epicenter*BU320,(Occ_Bldg_Cntr-LFL_Fract_VCE_Epicenter*BU320)/(2*BU322*4.18/101.3)^0.333,1/(2*BU322*4.18/101.3)^0.333),0)</f>
        <v>0</v>
      </c>
      <c r="BV327" s="81"/>
      <c r="BW327" s="4239"/>
      <c r="BX327" s="81"/>
      <c r="BY327" s="2109">
        <f>IF(AND(BY322&gt;0,Occ_Bldg_Cntr&gt;0),IF(Occ_Bldg_Cntr&gt;1+LFL_Fract_VCE_Epicenter*BY320,(Occ_Bldg_Cntr-LFL_Fract_VCE_Epicenter*BY320)/(2*BY322*4.18/101.3)^0.333,1/(2*BY322*4.18/101.3)^0.333),0)</f>
        <v>0</v>
      </c>
      <c r="BZ327" s="81"/>
      <c r="CA327" s="2109">
        <f>IF(AND(CA322&gt;0,Occ_Bldg_Cntr&gt;0),IF(Occ_Bldg_Cntr&gt;1+LFL_Fract_VCE_Epicenter*CA320,(Occ_Bldg_Cntr-LFL_Fract_VCE_Epicenter*CA320)/(2*CA322*4.18/101.3)^0.333,1/(2*CA322*4.18/101.3)^0.333),0)</f>
        <v>0</v>
      </c>
      <c r="CB327" s="81"/>
      <c r="CC327" s="4239"/>
      <c r="CD327" s="81"/>
      <c r="CE327" s="85"/>
      <c r="CF327" s="81"/>
      <c r="CG327" s="26"/>
      <c r="CH327" s="26"/>
      <c r="CI327" s="26"/>
      <c r="CJ327" s="26"/>
      <c r="CK327" s="26"/>
      <c r="CL327" s="26"/>
      <c r="CM327" s="26"/>
      <c r="CN327" s="26"/>
      <c r="CO327" s="26"/>
      <c r="CP327" s="26"/>
      <c r="CQ327" s="26"/>
    </row>
    <row r="328" spans="1:96" ht="15" customHeight="1" x14ac:dyDescent="0.25">
      <c r="A328" s="2"/>
      <c r="B328" s="851" t="s">
        <v>1534</v>
      </c>
      <c r="C328" s="83"/>
      <c r="D328" s="2101">
        <f>IF(AND(D318="Yes",D327&gt;0),IF(VCE_BST_Coeff/D327^VCE_BST_Exp&lt;VCE_BST_Limit,14.7*VCE_BST_Coeff/D327^VCE_BST_Exp,14.7*VCE_BST_Limit),D330)</f>
        <v>0</v>
      </c>
      <c r="E328" s="515"/>
      <c r="F328" s="2101">
        <f>IF(AND(F318="Yes",F327&gt;0),IF(VCE_BST_Coeff/F327^VCE_BST_Exp&lt;VCE_BST_Limit,14.7*VCE_BST_Coeff/F327^VCE_BST_Exp,14.7*VCE_BST_Limit),F330)</f>
        <v>0</v>
      </c>
      <c r="G328" s="515"/>
      <c r="H328" s="2101">
        <f>IF(AND(H318="Yes",H327&gt;0),IF(VCE_BST_Coeff/H327^VCE_BST_Exp&lt;VCE_BST_Limit,14.7*VCE_BST_Coeff/H327^VCE_BST_Exp,14.7*VCE_BST_Limit),H330)</f>
        <v>0</v>
      </c>
      <c r="I328" s="515"/>
      <c r="J328" s="2101">
        <f>IF(AND(J318="Yes",J327&gt;0),IF(VCE_BST_Coeff/J327^VCE_BST_Exp&lt;VCE_BST_Limit,14.7*VCE_BST_Coeff/J327^VCE_BST_Exp,14.7*VCE_BST_Limit),J330)</f>
        <v>0</v>
      </c>
      <c r="K328" s="515"/>
      <c r="L328" s="2101">
        <f>IF(AND(L318="Yes",L327&gt;0),IF(VCE_BST_Coeff/L327^VCE_BST_Exp&lt;VCE_BST_Limit,14.7*VCE_BST_Coeff/L327^VCE_BST_Exp,14.7*VCE_BST_Limit),L330)</f>
        <v>0</v>
      </c>
      <c r="M328" s="515"/>
      <c r="N328" s="2101">
        <f>IF(AND(N318="Yes",N327&gt;0),IF(VCE_BST_Coeff/N327^VCE_BST_Exp&lt;VCE_BST_Limit,14.7*VCE_BST_Coeff/N327^VCE_BST_Exp,14.7*VCE_BST_Limit),N330)</f>
        <v>0</v>
      </c>
      <c r="O328" s="515"/>
      <c r="P328" s="2101">
        <f>IF(AND(P318="Yes",P327&gt;0),IF(VCE_BST_Coeff/P327^VCE_BST_Exp&lt;VCE_BST_Limit,14.7*VCE_BST_Coeff/P327^VCE_BST_Exp,14.7*VCE_BST_Limit),P330)</f>
        <v>0</v>
      </c>
      <c r="Q328" s="515"/>
      <c r="R328" s="2101">
        <f>IF(AND(R318="Yes",R327&gt;0),IF(VCE_BST_Coeff/R327^VCE_BST_Exp&lt;VCE_BST_Limit,14.7*VCE_BST_Coeff/R327^VCE_BST_Exp,14.7*VCE_BST_Limit),R330)</f>
        <v>0</v>
      </c>
      <c r="S328" s="515"/>
      <c r="T328" s="2101">
        <f>IF(AND(T318="Yes",T327&gt;0),IF(VCE_BST_Coeff/T327^VCE_BST_Exp&lt;VCE_BST_Limit,14.7*VCE_BST_Coeff/T327^VCE_BST_Exp,14.7*VCE_BST_Limit),T330)</f>
        <v>0</v>
      </c>
      <c r="U328" s="515"/>
      <c r="V328" s="2101">
        <f>IF(AND(V318="Yes",V327&gt;0),IF(VCE_BST_Coeff/V327^VCE_BST_Exp&lt;VCE_BST_Limit,14.7*VCE_BST_Coeff/V327^VCE_BST_Exp,14.7*VCE_BST_Limit),V330)</f>
        <v>0</v>
      </c>
      <c r="W328" s="515"/>
      <c r="X328" s="2101">
        <f>IF(AND(X318="Yes",X327&gt;0),IF(VCE_BST_Coeff/X327^VCE_BST_Exp&lt;VCE_BST_Limit,14.7*VCE_BST_Coeff/X327^VCE_BST_Exp,14.7*VCE_BST_Limit),X330)</f>
        <v>0</v>
      </c>
      <c r="Y328" s="83"/>
      <c r="Z328" s="85" t="s">
        <v>968</v>
      </c>
      <c r="AA328" s="83"/>
      <c r="AB328" s="81"/>
      <c r="AC328" s="851" t="s">
        <v>698</v>
      </c>
      <c r="AD328" s="81"/>
      <c r="AE328" s="1182">
        <f>IF(AE321&lt;&gt;"Yes",0,Bldg_Explosion_Press)</f>
        <v>0</v>
      </c>
      <c r="AF328" s="81"/>
      <c r="AG328" s="1182">
        <f>IF(AG321&lt;&gt;"Yes",0,Bldg_Explosion_Press)</f>
        <v>0</v>
      </c>
      <c r="AH328" s="81"/>
      <c r="AI328" s="1182">
        <f>IF(AI321&lt;&gt;"Yes",0,Bldg_Explosion_Press)</f>
        <v>0</v>
      </c>
      <c r="AJ328" s="81"/>
      <c r="AK328" s="1182">
        <f>IF(AK321&lt;&gt;"Yes",0,Bldg_Explosion_Press)</f>
        <v>0</v>
      </c>
      <c r="AL328" s="81"/>
      <c r="AM328" s="1182">
        <f>IF(AM321&lt;&gt;"Yes",0,Bldg_Explosion_Press)</f>
        <v>0</v>
      </c>
      <c r="AN328" s="81"/>
      <c r="AO328" s="1182">
        <f>IF(AO321&lt;&gt;"Yes",0,Bldg_Explosion_Press)</f>
        <v>0</v>
      </c>
      <c r="AP328" s="81"/>
      <c r="AQ328" s="85" t="s">
        <v>968</v>
      </c>
      <c r="AR328" s="81"/>
      <c r="AS328" s="83"/>
      <c r="AT328" s="23" t="s">
        <v>698</v>
      </c>
      <c r="AU328" s="83"/>
      <c r="AV328" s="1181">
        <f>IF(AND(AV316="Yes",AV327&gt;0),IF(VCE_BST_Coeff/AV327^VCE_BST_Exp&lt;VCE_BST_Limit,14.7*VCE_BST_Coeff/AV327^VCE_BST_Exp,14.7*VCE_BST_Limit),0)</f>
        <v>0</v>
      </c>
      <c r="AW328" s="83"/>
      <c r="AX328" s="1181">
        <f>IF(AND(AX316="Yes",AX327&gt;0),IF(VCE_BST_Coeff/AX327^VCE_BST_Exp&lt;VCE_BST_Limit,14.7*VCE_BST_Coeff/AX327^VCE_BST_Exp,14.7*VCE_BST_Limit),0)</f>
        <v>0</v>
      </c>
      <c r="AY328" s="83"/>
      <c r="AZ328" s="1181">
        <f>IF(AND(AZ316="Yes",AZ327&gt;0),IF(VCE_BST_Coeff/AZ327^VCE_BST_Exp&lt;VCE_BST_Limit,14.7*VCE_BST_Coeff/AZ327^VCE_BST_Exp,14.7*VCE_BST_Limit),0)</f>
        <v>0</v>
      </c>
      <c r="BA328" s="83"/>
      <c r="BB328" s="1181">
        <f>IF(AND(BB316="Yes",BB327&gt;0),IF(VCE_BST_Coeff/BB327^VCE_BST_Exp&lt;VCE_BST_Limit,14.7*VCE_BST_Coeff/BB327^VCE_BST_Exp,14.7*VCE_BST_Limit),0)</f>
        <v>0</v>
      </c>
      <c r="BC328" s="83"/>
      <c r="BD328" s="1181">
        <f>IF(AND(BD316="Yes",BD327&gt;0),IF(VCE_BST_Coeff/BD327^VCE_BST_Exp&lt;VCE_BST_Limit,14.7*VCE_BST_Coeff/BD327^VCE_BST_Exp,14.7*VCE_BST_Limit),0)</f>
        <v>0</v>
      </c>
      <c r="BE328" s="83"/>
      <c r="BF328" s="1181">
        <f>IF(AND(BF316="Yes",BF327&gt;0),IF(VCE_BST_Coeff/BF327^VCE_BST_Exp&lt;VCE_BST_Limit,14.7*VCE_BST_Coeff/BF327^VCE_BST_Exp,14.7*VCE_BST_Limit),0)</f>
        <v>0</v>
      </c>
      <c r="BG328" s="83"/>
      <c r="BH328" s="1181">
        <f>IF(AND(BH316="Yes",BH327&gt;0),IF(VCE_BST_Coeff/BH327^VCE_BST_Exp&lt;VCE_BST_Limit,14.7*VCE_BST_Coeff/BH327^VCE_BST_Exp,14.7*VCE_BST_Limit),0)</f>
        <v>0</v>
      </c>
      <c r="BI328" s="83"/>
      <c r="BJ328" s="1181">
        <f>IF(AND(BJ316="Yes",BJ327&gt;0),IF(VCE_BST_Coeff/BJ327^VCE_BST_Exp&lt;VCE_BST_Limit,14.7*VCE_BST_Coeff/BJ327^VCE_BST_Exp,14.7*VCE_BST_Limit),0)</f>
        <v>0</v>
      </c>
      <c r="BK328" s="83"/>
      <c r="BL328" s="1181">
        <f>IF(AND(BL316="Yes",BL327&gt;0),IF(VCE_BST_Coeff/BL327^VCE_BST_Exp&lt;VCE_BST_Limit,14.7*VCE_BST_Coeff/BL327^VCE_BST_Exp,14.7*VCE_BST_Limit),0)</f>
        <v>0</v>
      </c>
      <c r="BM328" s="83"/>
      <c r="BN328" s="1181">
        <f>IF(AND(BN316="Yes",BN327&gt;0),IF(VCE_BST_Coeff/BN327^VCE_BST_Exp&lt;VCE_BST_Limit,14.7*VCE_BST_Coeff/BN327^VCE_BST_Exp,14.7*VCE_BST_Limit),0)</f>
        <v>0</v>
      </c>
      <c r="BO328" s="83"/>
      <c r="BP328" s="85" t="s">
        <v>968</v>
      </c>
      <c r="BQ328" s="83"/>
      <c r="BR328" s="81"/>
      <c r="BS328" s="23" t="s">
        <v>1534</v>
      </c>
      <c r="BT328" s="81"/>
      <c r="BU328" s="2101">
        <f>IF(AND(BU318="Yes",BU327&gt;0),IF(VCE_BST_Coeff/BU327^VCE_BST_Exp&lt;VCE_BST_Limit,14.7*VCE_BST_Coeff/BU327^VCE_BST_Exp,14.7*VCE_BST_Limit),BU330)</f>
        <v>0</v>
      </c>
      <c r="BV328" s="81"/>
      <c r="BW328" s="4239"/>
      <c r="BX328" s="81"/>
      <c r="BY328" s="2101">
        <f>IF(AND(BY318="Yes",BY327&gt;0),IF(VCE_BST_Coeff/BY327^VCE_BST_Exp&lt;VCE_BST_Limit,14.7*VCE_BST_Coeff/BY327^VCE_BST_Exp,14.7*VCE_BST_Limit),BY330)</f>
        <v>0</v>
      </c>
      <c r="BZ328" s="81"/>
      <c r="CA328" s="2101">
        <f>IF(AND(CA318="Yes",CA327&gt;0),IF(VCE_BST_Coeff/CA327^VCE_BST_Exp&lt;VCE_BST_Limit,14.7*VCE_BST_Coeff/CA327^VCE_BST_Exp,14.7*VCE_BST_Limit),CA330)</f>
        <v>0</v>
      </c>
      <c r="CB328" s="81"/>
      <c r="CC328" s="4239"/>
      <c r="CD328" s="81"/>
      <c r="CE328" s="85" t="s">
        <v>968</v>
      </c>
      <c r="CF328" s="81"/>
      <c r="CG328" s="26"/>
      <c r="CH328" s="26"/>
      <c r="CI328" s="26"/>
      <c r="CJ328" s="26"/>
      <c r="CK328" s="26"/>
      <c r="CL328" s="26"/>
      <c r="CM328" s="26"/>
      <c r="CN328" s="26"/>
      <c r="CO328" s="26"/>
      <c r="CP328" s="26"/>
      <c r="CQ328" s="26"/>
    </row>
    <row r="329" spans="1:96" ht="15" customHeight="1" x14ac:dyDescent="0.25">
      <c r="A329" s="2"/>
      <c r="B329" s="851" t="s">
        <v>3024</v>
      </c>
      <c r="C329" s="83"/>
      <c r="D329" s="1181">
        <f>IF(AND(D322&gt;0,Occ_Bldg&gt;0),IF(Occ_Bldg&gt;1+LFL_Fract_VCE_Epicenter*D320,(Occ_Bldg-LFL_Fract_VCE_Epicenter*D320)/(2*D322*4.18/101.3)^0.333,1/(2*D322*4.18/101.3)^0.333),0)</f>
        <v>0</v>
      </c>
      <c r="E329" s="83"/>
      <c r="F329" s="1181">
        <f>IF(AND(F322&gt;0,Occ_Bldg&gt;0),IF(Occ_Bldg&gt;1+LFL_Fract_VCE_Epicenter*F320,(Occ_Bldg-LFL_Fract_VCE_Epicenter*F320)/(2*F322*4.18/101.3)^0.333,1/(2*F322*4.18/101.3)^0.333),0)</f>
        <v>0</v>
      </c>
      <c r="G329" s="83"/>
      <c r="H329" s="1181">
        <f>IF(AND(H322&gt;0,Occ_Bldg&gt;0),IF(Occ_Bldg&gt;1+LFL_Fract_VCE_Epicenter*H320,(Occ_Bldg-LFL_Fract_VCE_Epicenter*H320)/(2*H322*4.18/101.3)^0.333,1/(2*H322*4.18/101.3)^0.333),0)</f>
        <v>0</v>
      </c>
      <c r="I329" s="83"/>
      <c r="J329" s="1181">
        <f>IF(AND(J322&gt;0,Occ_Bldg&gt;0),IF(Occ_Bldg&gt;1+LFL_Fract_VCE_Epicenter*J320,(Occ_Bldg-LFL_Fract_VCE_Epicenter*J320)/(2*J322*4.18/101.3)^0.333,1/(2*J322*4.18/101.3)^0.333),0)</f>
        <v>0</v>
      </c>
      <c r="K329" s="83"/>
      <c r="L329" s="1181">
        <f>IF(AND(L322&gt;0,Occ_Bldg&gt;0),IF(Occ_Bldg&gt;1+LFL_Fract_VCE_Epicenter*L320,(Occ_Bldg-LFL_Fract_VCE_Epicenter*L320)/(2*L322*4.18/101.3)^0.333,1/(2*L322*4.18/101.3)^0.333),0)</f>
        <v>0</v>
      </c>
      <c r="M329" s="83"/>
      <c r="N329" s="1181">
        <f>IF(AND(N322&gt;0,Occ_Bldg&gt;0),IF(Occ_Bldg&gt;1+LFL_Fract_VCE_Epicenter*N320,(Occ_Bldg-LFL_Fract_VCE_Epicenter*N320)/(2*N322*4.18/101.3)^0.333,1/(2*N322*4.18/101.3)^0.333),0)</f>
        <v>0</v>
      </c>
      <c r="O329" s="83"/>
      <c r="P329" s="1181">
        <f>IF(AND(P322&gt;0,Occ_Bldg&gt;0),IF(Occ_Bldg&gt;1+LFL_Fract_VCE_Epicenter*P320,(Occ_Bldg-LFL_Fract_VCE_Epicenter*P320)/(2*P322*4.18/101.3)^0.333,1/(2*P322*4.18/101.3)^0.333),0)</f>
        <v>0</v>
      </c>
      <c r="Q329" s="83"/>
      <c r="R329" s="1181">
        <f>IF(AND(R322&gt;0,Occ_Bldg&gt;0),IF(Occ_Bldg&gt;1+LFL_Fract_VCE_Epicenter*R320,(Occ_Bldg-LFL_Fract_VCE_Epicenter*R320)/(2*R322*4.18/101.3)^0.333,1/(2*R322*4.18/101.3)^0.333),0)</f>
        <v>0</v>
      </c>
      <c r="S329" s="83"/>
      <c r="T329" s="1181">
        <f>IF(AND(T322&gt;0,Occ_Bldg&gt;0),IF(Occ_Bldg&gt;1+LFL_Fract_VCE_Epicenter*T320,(Occ_Bldg-LFL_Fract_VCE_Epicenter*T320)/(2*T322*4.18/101.3)^0.333,1/(2*T322*4.18/101.3)^0.333),0)</f>
        <v>0</v>
      </c>
      <c r="U329" s="83"/>
      <c r="V329" s="1181">
        <f>IF(AND(V322&gt;0,Occ_Bldg&gt;0),IF(Occ_Bldg&gt;1+LFL_Fract_VCE_Epicenter*V320,(Occ_Bldg-LFL_Fract_VCE_Epicenter*V320)/(2*V322*4.18/101.3)^0.333,1/(2*V322*4.18/101.3)^0.333),0)</f>
        <v>0</v>
      </c>
      <c r="W329" s="83"/>
      <c r="X329" s="1181">
        <f>IF(AND(X322&gt;0,Occ_Bldg&gt;0),IF(Occ_Bldg&gt;1+LFL_Fract_VCE_Epicenter*X320,(Occ_Bldg-LFL_Fract_VCE_Epicenter*X320)/(2*X322*4.18/101.3)^0.333,1/(2*X322*4.18/101.3)^0.333),0)</f>
        <v>0</v>
      </c>
      <c r="Y329" s="83"/>
      <c r="Z329" s="85"/>
      <c r="AA329" s="83"/>
      <c r="AB329" s="81"/>
      <c r="AC329" s="851" t="s">
        <v>2936</v>
      </c>
      <c r="AD329" s="81"/>
      <c r="AE329" s="1182">
        <f>IF(AE321&lt;&gt;"Yes",0,Bldg2_Explosion_Center)</f>
        <v>0</v>
      </c>
      <c r="AF329" s="81"/>
      <c r="AG329" s="1182">
        <f>IF(AG321&lt;&gt;"Yes",0,Bldg2_Explosion_Center)</f>
        <v>0</v>
      </c>
      <c r="AH329" s="81"/>
      <c r="AI329" s="1182">
        <f>IF(AI321&lt;&gt;"Yes",0,Bldg2_Explosion_Center)</f>
        <v>0</v>
      </c>
      <c r="AJ329" s="81"/>
      <c r="AK329" s="1182">
        <f>IF(AK321&lt;&gt;"Yes",0,Bldg2_Explosion_Center)</f>
        <v>0</v>
      </c>
      <c r="AL329" s="81"/>
      <c r="AM329" s="1182">
        <f>IF(AM321&lt;&gt;"Yes",0,Bldg2_Explosion_Center)</f>
        <v>0</v>
      </c>
      <c r="AN329" s="81"/>
      <c r="AO329" s="1182">
        <f>IF(AO321&lt;&gt;"Yes",0,Bldg2_Explosion_Center)</f>
        <v>0</v>
      </c>
      <c r="AP329" s="81"/>
      <c r="AQ329" s="85" t="s">
        <v>968</v>
      </c>
      <c r="AR329" s="81"/>
      <c r="AS329" s="83"/>
      <c r="AT329" s="23" t="s">
        <v>3026</v>
      </c>
      <c r="AU329" s="83"/>
      <c r="AV329" s="1181">
        <f>IF(AND(AV320&gt;0,IF(Occ_Bldg2_Cntr_Relief&gt;0,Occ_Bldg2_Cntr_Relief,IF(Occ_Bldg2_Relief&gt;0,Occ_Bldg2_Relief,Occ_Bldg2))&gt;0),IF(IF(Occ_Bldg2_Cntr_Relief&gt;0,Occ_Bldg2_Cntr_Relief,IF(Occ_Bldg2_Relief&gt;0,Occ_Bldg2_Relief,Occ_Bldg2))&gt;1+LFL_Fract_VCE_Epicenter*AV318,(IF(Occ_Bldg2_Cntr_Relief&gt;0,Occ_Bldg2_Cntr_Relief,IF(Occ_Bldg2_Relief&gt;0,Occ_Bldg2_Relief,Occ_Bldg2))-LFL_Fract_VCE_Epicenter*AV318)/(2*AV320*4.18/101.3)^0.333,1/(2*AV320*4.18/101.3)^0.333),0)</f>
        <v>0</v>
      </c>
      <c r="AW329" s="83"/>
      <c r="AX329" s="1181">
        <f>IF(AND(AX320&gt;0,IF(Occ_Bldg2_Cntr_Relief&gt;0,Occ_Bldg2_Cntr_Relief,IF(Occ_Bldg2_Relief&gt;0,Occ_Bldg2_Relief,Occ_Bldg2))&gt;0),IF(IF(Occ_Bldg2_Cntr_Relief&gt;0,Occ_Bldg2_Cntr_Relief,IF(Occ_Bldg2_Relief&gt;0,Occ_Bldg2_Relief,Occ_Bldg2))&gt;1+LFL_Fract_VCE_Epicenter*AX318,(IF(Occ_Bldg2_Cntr_Relief&gt;0,Occ_Bldg2_Cntr_Relief,IF(Occ_Bldg2_Relief&gt;0,Occ_Bldg2_Relief,Occ_Bldg2))-LFL_Fract_VCE_Epicenter*AX318)/(2*AX320*4.18/101.3)^0.333,1/(2*AX320*4.18/101.3)^0.333),0)</f>
        <v>0</v>
      </c>
      <c r="AY329" s="83"/>
      <c r="AZ329" s="1181">
        <f>IF(AND(AZ320&gt;0,IF(Occ_Bldg2_Cntr_Relief&gt;0,Occ_Bldg2_Cntr_Relief,IF(Occ_Bldg2_Relief&gt;0,Occ_Bldg2_Relief,Occ_Bldg2))&gt;0),IF(IF(Occ_Bldg2_Cntr_Relief&gt;0,Occ_Bldg2_Cntr_Relief,IF(Occ_Bldg2_Relief&gt;0,Occ_Bldg2_Relief,Occ_Bldg2))&gt;1+LFL_Fract_VCE_Epicenter*AZ318,(IF(Occ_Bldg2_Cntr_Relief&gt;0,Occ_Bldg2_Cntr_Relief,IF(Occ_Bldg2_Relief&gt;0,Occ_Bldg2_Relief,Occ_Bldg2))-LFL_Fract_VCE_Epicenter*AZ318)/(2*AZ320*4.18/101.3)^0.333,1/(2*AZ320*4.18/101.3)^0.333),0)</f>
        <v>0</v>
      </c>
      <c r="BA329" s="83"/>
      <c r="BB329" s="1181">
        <f>IF(AND(BB320&gt;0,IF(Occ_Bldg2_Cntr_Relief&gt;0,Occ_Bldg2_Cntr_Relief,IF(Occ_Bldg2_Relief&gt;0,Occ_Bldg2_Relief,Occ_Bldg2))&gt;0),IF(IF(Occ_Bldg2_Cntr_Relief&gt;0,Occ_Bldg2_Cntr_Relief,IF(Occ_Bldg2_Relief&gt;0,Occ_Bldg2_Relief,Occ_Bldg2))&gt;1+LFL_Fract_VCE_Epicenter*BB318,(IF(Occ_Bldg2_Cntr_Relief&gt;0,Occ_Bldg2_Cntr_Relief,IF(Occ_Bldg2_Relief&gt;0,Occ_Bldg2_Relief,Occ_Bldg2))-LFL_Fract_VCE_Epicenter*BB318)/(2*BB320*4.18/101.3)^0.333,1/(2*BB320*4.18/101.3)^0.333),0)</f>
        <v>0</v>
      </c>
      <c r="BC329" s="83"/>
      <c r="BD329" s="1181">
        <f>IF(AND(BD320&gt;0,IF(Occ_Bldg2_Cntr_Relief&gt;0,Occ_Bldg2_Cntr_Relief,IF(Occ_Bldg2_Relief&gt;0,Occ_Bldg2_Relief,Occ_Bldg2))&gt;0),IF(IF(Occ_Bldg2_Cntr_Relief&gt;0,Occ_Bldg2_Cntr_Relief,IF(Occ_Bldg2_Relief&gt;0,Occ_Bldg2_Relief,Occ_Bldg2))&gt;1+LFL_Fract_VCE_Epicenter*BD318,(IF(Occ_Bldg2_Cntr_Relief&gt;0,Occ_Bldg2_Cntr_Relief,IF(Occ_Bldg2_Relief&gt;0,Occ_Bldg2_Relief,Occ_Bldg2))-LFL_Fract_VCE_Epicenter*BD318)/(2*BD320*4.18/101.3)^0.333,1/(2*BD320*4.18/101.3)^0.333),0)</f>
        <v>0</v>
      </c>
      <c r="BE329" s="83"/>
      <c r="BF329" s="1181">
        <f>IF(AND(BF320&gt;0,IF(Occ_Bldg2_Cntr_Relief&gt;0,Occ_Bldg2_Cntr_Relief,IF(Occ_Bldg2_Relief&gt;0,Occ_Bldg2_Relief,Occ_Bldg2))&gt;0),IF(IF(Occ_Bldg2_Cntr_Relief&gt;0,Occ_Bldg2_Cntr_Relief,IF(Occ_Bldg2_Relief&gt;0,Occ_Bldg2_Relief,Occ_Bldg2))&gt;1+LFL_Fract_VCE_Epicenter*BF318,(IF(Occ_Bldg2_Cntr_Relief&gt;0,Occ_Bldg2_Cntr_Relief,IF(Occ_Bldg2_Relief&gt;0,Occ_Bldg2_Relief,Occ_Bldg2))-LFL_Fract_VCE_Epicenter*BF318)/(2*BF320*4.18/101.3)^0.333,1/(2*BF320*4.18/101.3)^0.333),0)</f>
        <v>0</v>
      </c>
      <c r="BG329" s="83"/>
      <c r="BH329" s="1181">
        <f>IF(AND(BH320&gt;0,IF(Occ_Bldg2_Cntr_Relief&gt;0,Occ_Bldg2_Cntr_Relief,IF(Occ_Bldg2_Relief&gt;0,Occ_Bldg2_Relief,Occ_Bldg2))&gt;0),IF(IF(Occ_Bldg2_Cntr_Relief&gt;0,Occ_Bldg2_Cntr_Relief,IF(Occ_Bldg2_Relief&gt;0,Occ_Bldg2_Relief,Occ_Bldg2))&gt;1+LFL_Fract_VCE_Epicenter*BH318,(IF(Occ_Bldg2_Cntr_Relief&gt;0,Occ_Bldg2_Cntr_Relief,IF(Occ_Bldg2_Relief&gt;0,Occ_Bldg2_Relief,Occ_Bldg2))-LFL_Fract_VCE_Epicenter*BH318)/(2*BH320*4.18/101.3)^0.333,1/(2*BH320*4.18/101.3)^0.333),0)</f>
        <v>0</v>
      </c>
      <c r="BI329" s="83"/>
      <c r="BJ329" s="1181">
        <f>IF(AND(BJ320&gt;0,IF(Occ_Bldg2_Cntr_Relief&gt;0,Occ_Bldg2_Cntr_Relief,IF(Occ_Bldg2_Relief&gt;0,Occ_Bldg2_Relief,Occ_Bldg2))&gt;0),IF(IF(Occ_Bldg2_Cntr_Relief&gt;0,Occ_Bldg2_Cntr_Relief,IF(Occ_Bldg2_Relief&gt;0,Occ_Bldg2_Relief,Occ_Bldg2))&gt;1+LFL_Fract_VCE_Epicenter*BJ318,(IF(Occ_Bldg2_Cntr_Relief&gt;0,Occ_Bldg2_Cntr_Relief,IF(Occ_Bldg2_Relief&gt;0,Occ_Bldg2_Relief,Occ_Bldg2))-LFL_Fract_VCE_Epicenter*BJ318)/(2*BJ320*4.18/101.3)^0.333,1/(2*BJ320*4.18/101.3)^0.333),0)</f>
        <v>0</v>
      </c>
      <c r="BK329" s="83"/>
      <c r="BL329" s="1181">
        <f>IF(AND(BL320&gt;0,IF(Occ_Bldg2_Cntr_Relief&gt;0,Occ_Bldg2_Cntr_Relief,IF(Occ_Bldg2_Relief&gt;0,Occ_Bldg2_Relief,Occ_Bldg2))&gt;0),IF(IF(Occ_Bldg2_Cntr_Relief&gt;0,Occ_Bldg2_Cntr_Relief,IF(Occ_Bldg2_Relief&gt;0,Occ_Bldg2_Relief,Occ_Bldg2))&gt;1+LFL_Fract_VCE_Epicenter*BL318,(IF(Occ_Bldg2_Cntr_Relief&gt;0,Occ_Bldg2_Cntr_Relief,IF(Occ_Bldg2_Relief&gt;0,Occ_Bldg2_Relief,Occ_Bldg2))-LFL_Fract_VCE_Epicenter*BL318)/(2*BL320*4.18/101.3)^0.333,1/(2*BL320*4.18/101.3)^0.333),0)</f>
        <v>0</v>
      </c>
      <c r="BM329" s="83"/>
      <c r="BN329" s="1181">
        <f>IF(AND(BN320&gt;0,IF(Occ_Bldg2_Cntr_Relief&gt;0,Occ_Bldg2_Cntr_Relief,IF(Occ_Bldg2_Relief&gt;0,Occ_Bldg2_Relief,Occ_Bldg2))&gt;0),IF(IF(Occ_Bldg2_Cntr_Relief&gt;0,Occ_Bldg2_Cntr_Relief,IF(Occ_Bldg2_Relief&gt;0,Occ_Bldg2_Relief,Occ_Bldg2))&gt;1+LFL_Fract_VCE_Epicenter*BN318,(IF(Occ_Bldg2_Cntr_Relief&gt;0,Occ_Bldg2_Cntr_Relief,IF(Occ_Bldg2_Relief&gt;0,Occ_Bldg2_Relief,Occ_Bldg2))-LFL_Fract_VCE_Epicenter*BN318)/(2*BN320*4.18/101.3)^0.333,1/(2*BN320*4.18/101.3)^0.333),0)</f>
        <v>0</v>
      </c>
      <c r="BO329" s="83"/>
      <c r="BP329" s="85"/>
      <c r="BQ329" s="83"/>
      <c r="BR329" s="81"/>
      <c r="BS329" s="23" t="s">
        <v>3024</v>
      </c>
      <c r="BT329" s="81"/>
      <c r="BU329" s="1181">
        <f>IF(AND(BU322&gt;0,Occ_Bldg&gt;0),IF(Occ_Bldg&gt;1+LFL_Fract_VCE_Epicenter*BU320,(Occ_Bldg-LFL_Fract_VCE_Epicenter*BU320)/(2*BU322*4.18/101.3)^0.333,1/(2*BU322*4.18/101.3)^0.333),0)</f>
        <v>0</v>
      </c>
      <c r="BV329" s="81"/>
      <c r="BW329" s="4239"/>
      <c r="BX329" s="81"/>
      <c r="BY329" s="1181">
        <f>IF(AND(BY322&gt;0,Occ_Bldg&gt;0),IF(Occ_Bldg&gt;1+LFL_Fract_VCE_Epicenter*BY320,(Occ_Bldg-LFL_Fract_VCE_Epicenter*BY320)/(2*BY322*4.18/101.3)^0.333,1/(2*BY322*4.18/101.3)^0.333),0)</f>
        <v>0</v>
      </c>
      <c r="BZ329" s="81"/>
      <c r="CA329" s="1181">
        <f>IF(AND(CA322&gt;0,Occ_Bldg&gt;0),IF(Occ_Bldg&gt;1+LFL_Fract_VCE_Epicenter*CA320,(Occ_Bldg-LFL_Fract_VCE_Epicenter*CA320)/(2*CA322*4.18/101.3)^0.333,1/(2*CA322*4.18/101.3)^0.333),0)</f>
        <v>0</v>
      </c>
      <c r="CB329" s="81"/>
      <c r="CC329" s="4239"/>
      <c r="CD329" s="81"/>
      <c r="CE329" s="85"/>
      <c r="CF329" s="81"/>
      <c r="CG329" s="26"/>
      <c r="CH329" s="26"/>
      <c r="CI329" s="26"/>
      <c r="CJ329" s="26"/>
      <c r="CK329" s="26"/>
      <c r="CL329" s="26"/>
      <c r="CM329" s="26"/>
      <c r="CN329" s="26"/>
      <c r="CO329" s="26"/>
      <c r="CP329" s="26"/>
      <c r="CQ329" s="26"/>
    </row>
    <row r="330" spans="1:96" ht="15" customHeight="1" x14ac:dyDescent="0.25">
      <c r="A330" s="2"/>
      <c r="B330" s="851" t="s">
        <v>698</v>
      </c>
      <c r="C330" s="83"/>
      <c r="D330" s="1181">
        <f>IF(AND(D318="Yes",D329&gt;0),IF(VCE_BST_Coeff/D329^VCE_BST_Exp&lt;VCE_BST_Limit,14.7*VCE_BST_Coeff/D329^VCE_BST_Exp,14.7*VCE_BST_Limit),0)</f>
        <v>0</v>
      </c>
      <c r="E330" s="83"/>
      <c r="F330" s="1181">
        <f>IF(AND(F318="Yes",F329&gt;0),IF(VCE_BST_Coeff/F329^VCE_BST_Exp&lt;VCE_BST_Limit,14.7*VCE_BST_Coeff/F329^VCE_BST_Exp,14.7*VCE_BST_Limit),0)</f>
        <v>0</v>
      </c>
      <c r="G330" s="83"/>
      <c r="H330" s="1181">
        <f>IF(AND(H318="Yes",H329&gt;0),IF(VCE_BST_Coeff/H329^VCE_BST_Exp&lt;VCE_BST_Limit,14.7*VCE_BST_Coeff/H329^VCE_BST_Exp,14.7*VCE_BST_Limit),0)</f>
        <v>0</v>
      </c>
      <c r="I330" s="83"/>
      <c r="J330" s="1181">
        <f>IF(AND(J318="Yes",J329&gt;0),IF(VCE_BST_Coeff/J329^VCE_BST_Exp&lt;VCE_BST_Limit,14.7*VCE_BST_Coeff/J329^VCE_BST_Exp,14.7*VCE_BST_Limit),0)</f>
        <v>0</v>
      </c>
      <c r="K330" s="83"/>
      <c r="L330" s="1181">
        <f>IF(AND(L318="Yes",L329&gt;0),IF(VCE_BST_Coeff/L329^VCE_BST_Exp&lt;VCE_BST_Limit,14.7*VCE_BST_Coeff/L329^VCE_BST_Exp,14.7*VCE_BST_Limit),0)</f>
        <v>0</v>
      </c>
      <c r="M330" s="83"/>
      <c r="N330" s="1181">
        <f>IF(AND(N318="Yes",N329&gt;0),IF(VCE_BST_Coeff/N329^VCE_BST_Exp&lt;VCE_BST_Limit,14.7*VCE_BST_Coeff/N329^VCE_BST_Exp,14.7*VCE_BST_Limit),0)</f>
        <v>0</v>
      </c>
      <c r="O330" s="83"/>
      <c r="P330" s="1181">
        <f>IF(AND(P318="Yes",P329&gt;0),IF(VCE_BST_Coeff/P329^VCE_BST_Exp&lt;VCE_BST_Limit,14.7*VCE_BST_Coeff/P329^VCE_BST_Exp,14.7*VCE_BST_Limit),0)</f>
        <v>0</v>
      </c>
      <c r="Q330" s="83"/>
      <c r="R330" s="1181">
        <f>IF(AND(R318="Yes",R329&gt;0),IF(VCE_BST_Coeff/R329^VCE_BST_Exp&lt;VCE_BST_Limit,14.7*VCE_BST_Coeff/R329^VCE_BST_Exp,14.7*VCE_BST_Limit),0)</f>
        <v>0</v>
      </c>
      <c r="S330" s="83"/>
      <c r="T330" s="1181">
        <f>IF(AND(T318="Yes",T329&gt;0),IF(VCE_BST_Coeff/T329^VCE_BST_Exp&lt;VCE_BST_Limit,14.7*VCE_BST_Coeff/T329^VCE_BST_Exp,14.7*VCE_BST_Limit),0)</f>
        <v>0</v>
      </c>
      <c r="U330" s="83"/>
      <c r="V330" s="1181">
        <f>IF(AND(V318="Yes",V329&gt;0),IF(VCE_BST_Coeff/V329^VCE_BST_Exp&lt;VCE_BST_Limit,14.7*VCE_BST_Coeff/V329^VCE_BST_Exp,14.7*VCE_BST_Limit),0)</f>
        <v>0</v>
      </c>
      <c r="W330" s="83"/>
      <c r="X330" s="1181">
        <f>IF(AND(X318="Yes",X329&gt;0),IF(VCE_BST_Coeff/X329^VCE_BST_Exp&lt;VCE_BST_Limit,14.7*VCE_BST_Coeff/X329^VCE_BST_Exp,14.7*VCE_BST_Limit),0)</f>
        <v>0</v>
      </c>
      <c r="Y330" s="83"/>
      <c r="Z330" s="85" t="s">
        <v>968</v>
      </c>
      <c r="AA330" s="83"/>
      <c r="AB330" s="81"/>
      <c r="AC330" s="851" t="s">
        <v>628</v>
      </c>
      <c r="AD330" s="81"/>
      <c r="AE330" s="1182">
        <f>IF(AE321&lt;&gt;"Yes",0,Bldg2_Explosion_Press)</f>
        <v>0</v>
      </c>
      <c r="AF330" s="81"/>
      <c r="AG330" s="1182">
        <f>IF(AG321&lt;&gt;"Yes",0,Bldg2_Explosion_Press)</f>
        <v>0</v>
      </c>
      <c r="AH330" s="81"/>
      <c r="AI330" s="1182">
        <f>IF(AI321&lt;&gt;"Yes",0,Bldg2_Explosion_Press)</f>
        <v>0</v>
      </c>
      <c r="AJ330" s="81"/>
      <c r="AK330" s="1182">
        <f>IF(AK321&lt;&gt;"Yes",0,Bldg2_Explosion_Press)</f>
        <v>0</v>
      </c>
      <c r="AL330" s="81"/>
      <c r="AM330" s="1182">
        <f>IF(AM321&lt;&gt;"Yes",0,Bldg2_Explosion_Press)</f>
        <v>0</v>
      </c>
      <c r="AN330" s="81"/>
      <c r="AO330" s="1182">
        <f>IF(AO321&lt;&gt;"Yes",0,Bldg2_Explosion_Press)</f>
        <v>0</v>
      </c>
      <c r="AP330" s="81"/>
      <c r="AQ330" s="85" t="s">
        <v>968</v>
      </c>
      <c r="AR330" s="81"/>
      <c r="AS330" s="83"/>
      <c r="AT330" s="23" t="s">
        <v>2936</v>
      </c>
      <c r="AU330" s="83"/>
      <c r="AV330" s="1181">
        <f>IF(AND(AV316="Yes",AV329&gt;0),IF(VCE_BST_Coeff/AV329^VCE_BST_Exp&lt;VCE_BST_Limit,14.7*VCE_BST_Coeff/AV329^VCE_BST_Exp,14.7*VCE_BST_Limit),AV332)</f>
        <v>0</v>
      </c>
      <c r="AW330" s="83"/>
      <c r="AX330" s="1181">
        <f>IF(AND(AX316="Yes",AX329&gt;0),IF(VCE_BST_Coeff/AX329^VCE_BST_Exp&lt;VCE_BST_Limit,14.7*VCE_BST_Coeff/AX329^VCE_BST_Exp,14.7*VCE_BST_Limit),AX332)</f>
        <v>0</v>
      </c>
      <c r="AY330" s="83"/>
      <c r="AZ330" s="1181">
        <f>IF(AND(AZ316="Yes",AZ329&gt;0),IF(VCE_BST_Coeff/AZ329^VCE_BST_Exp&lt;VCE_BST_Limit,14.7*VCE_BST_Coeff/AZ329^VCE_BST_Exp,14.7*VCE_BST_Limit),AZ332)</f>
        <v>0</v>
      </c>
      <c r="BA330" s="83"/>
      <c r="BB330" s="1181">
        <f>IF(AND(BB316="Yes",BB329&gt;0),IF(VCE_BST_Coeff/BB329^VCE_BST_Exp&lt;VCE_BST_Limit,14.7*VCE_BST_Coeff/BB329^VCE_BST_Exp,14.7*VCE_BST_Limit),BB332)</f>
        <v>0</v>
      </c>
      <c r="BC330" s="83"/>
      <c r="BD330" s="1181">
        <f>IF(AND(BD316="Yes",BD329&gt;0),IF(VCE_BST_Coeff/BD329^VCE_BST_Exp&lt;VCE_BST_Limit,14.7*VCE_BST_Coeff/BD329^VCE_BST_Exp,14.7*VCE_BST_Limit),BD332)</f>
        <v>0</v>
      </c>
      <c r="BE330" s="83"/>
      <c r="BF330" s="1181">
        <f>IF(AND(BF316="Yes",BF329&gt;0),IF(VCE_BST_Coeff/BF329^VCE_BST_Exp&lt;VCE_BST_Limit,14.7*VCE_BST_Coeff/BF329^VCE_BST_Exp,14.7*VCE_BST_Limit),BF332)</f>
        <v>0</v>
      </c>
      <c r="BG330" s="83"/>
      <c r="BH330" s="1181">
        <f>IF(AND(BH316="Yes",BH329&gt;0),IF(VCE_BST_Coeff/BH329^VCE_BST_Exp&lt;VCE_BST_Limit,14.7*VCE_BST_Coeff/BH329^VCE_BST_Exp,14.7*VCE_BST_Limit),BH332)</f>
        <v>0</v>
      </c>
      <c r="BI330" s="83"/>
      <c r="BJ330" s="1181">
        <f>IF(AND(BJ316="Yes",BJ329&gt;0),IF(VCE_BST_Coeff/BJ329^VCE_BST_Exp&lt;VCE_BST_Limit,14.7*VCE_BST_Coeff/BJ329^VCE_BST_Exp,14.7*VCE_BST_Limit),BJ332)</f>
        <v>0</v>
      </c>
      <c r="BK330" s="83"/>
      <c r="BL330" s="1181">
        <f>IF(AND(BL316="Yes",BL329&gt;0),IF(VCE_BST_Coeff/BL329^VCE_BST_Exp&lt;VCE_BST_Limit,14.7*VCE_BST_Coeff/BL329^VCE_BST_Exp,14.7*VCE_BST_Limit),BL332)</f>
        <v>0</v>
      </c>
      <c r="BM330" s="83"/>
      <c r="BN330" s="1181">
        <f>IF(AND(BN316="Yes",BN329&gt;0),IF(VCE_BST_Coeff/BN329^VCE_BST_Exp&lt;VCE_BST_Limit,14.7*VCE_BST_Coeff/BN329^VCE_BST_Exp,14.7*VCE_BST_Limit),BN332)</f>
        <v>0</v>
      </c>
      <c r="BO330" s="83"/>
      <c r="BP330" s="85" t="s">
        <v>968</v>
      </c>
      <c r="BQ330" s="83"/>
      <c r="BR330" s="81"/>
      <c r="BS330" s="23" t="s">
        <v>698</v>
      </c>
      <c r="BT330" s="81"/>
      <c r="BU330" s="1181">
        <f>IF(AND(BU318="Yes",BU329&gt;0),IF(VCE_BST_Coeff/BU329^VCE_BST_Exp&lt;VCE_BST_Limit,14.7*VCE_BST_Coeff/BU329^VCE_BST_Exp,14.7*VCE_BST_Limit),0)</f>
        <v>0</v>
      </c>
      <c r="BV330" s="81"/>
      <c r="BW330" s="4239"/>
      <c r="BX330" s="81"/>
      <c r="BY330" s="1181">
        <f>IF(AND(BY318="Yes",BY329&gt;0),IF(VCE_BST_Coeff/BY329^VCE_BST_Exp&lt;VCE_BST_Limit,14.7*VCE_BST_Coeff/BY329^VCE_BST_Exp,14.7*VCE_BST_Limit),0)</f>
        <v>0</v>
      </c>
      <c r="BZ330" s="81"/>
      <c r="CA330" s="1181">
        <f>IF(AND(CA318="Yes",CA329&gt;0),IF(VCE_BST_Coeff/CA329^VCE_BST_Exp&lt;VCE_BST_Limit,14.7*VCE_BST_Coeff/CA329^VCE_BST_Exp,14.7*VCE_BST_Limit),0)</f>
        <v>0</v>
      </c>
      <c r="CB330" s="81"/>
      <c r="CC330" s="4239"/>
      <c r="CD330" s="81"/>
      <c r="CE330" s="85" t="s">
        <v>968</v>
      </c>
      <c r="CF330" s="81"/>
      <c r="CG330" s="26"/>
      <c r="CH330" s="26"/>
      <c r="CI330" s="26"/>
      <c r="CJ330" s="26"/>
      <c r="CK330" s="26"/>
      <c r="CL330" s="26"/>
      <c r="CM330" s="26"/>
      <c r="CN330" s="26"/>
      <c r="CO330" s="26"/>
      <c r="CP330" s="26"/>
      <c r="CQ330" s="26"/>
    </row>
    <row r="331" spans="1:96" ht="15" customHeight="1" thickBot="1" x14ac:dyDescent="0.3">
      <c r="A331" s="2"/>
      <c r="B331" s="851" t="s">
        <v>3026</v>
      </c>
      <c r="C331" s="83"/>
      <c r="D331" s="1181">
        <f>IF(AND(D322&gt;0,Occ_Bldg2_Cntr&gt;0),IF(Occ_Bldg2_Cntr&gt;1+LFL_Fract_VCE_Epicenter*D320,(Occ_Bldg2_Cntr-LFL_Fract_VCE_Epicenter*D320)/(2*D322*4.18/101.3)^0.333,1/(2*D322*4.18/101.3)^0.333),0)</f>
        <v>0</v>
      </c>
      <c r="E331" s="83"/>
      <c r="F331" s="1181">
        <f>IF(AND(F322&gt;0,Occ_Bldg2_Cntr&gt;0),IF(Occ_Bldg2_Cntr&gt;1+LFL_Fract_VCE_Epicenter*F320,(Occ_Bldg2_Cntr-LFL_Fract_VCE_Epicenter*F320)/(2*F322*4.18/101.3)^0.333,1/(2*F322*4.18/101.3)^0.333),0)</f>
        <v>0</v>
      </c>
      <c r="G331" s="83"/>
      <c r="H331" s="1181">
        <f>IF(AND(H322&gt;0,Occ_Bldg2_Cntr&gt;0),IF(Occ_Bldg2_Cntr&gt;1+LFL_Fract_VCE_Epicenter*H320,(Occ_Bldg2_Cntr-LFL_Fract_VCE_Epicenter*H320)/(2*H322*4.18/101.3)^0.333,1/(2*H322*4.18/101.3)^0.333),0)</f>
        <v>0</v>
      </c>
      <c r="I331" s="83"/>
      <c r="J331" s="1181">
        <f>IF(AND(J322&gt;0,Occ_Bldg2_Cntr&gt;0),IF(Occ_Bldg2_Cntr&gt;1+LFL_Fract_VCE_Epicenter*J320,(Occ_Bldg2_Cntr-LFL_Fract_VCE_Epicenter*J320)/(2*J322*4.18/101.3)^0.333,1/(2*J322*4.18/101.3)^0.333),0)</f>
        <v>0</v>
      </c>
      <c r="K331" s="83"/>
      <c r="L331" s="1181">
        <f>IF(AND(L322&gt;0,Occ_Bldg2_Cntr&gt;0),IF(Occ_Bldg2_Cntr&gt;1+LFL_Fract_VCE_Epicenter*L320,(Occ_Bldg2_Cntr-LFL_Fract_VCE_Epicenter*L320)/(2*L322*4.18/101.3)^0.333,1/(2*L322*4.18/101.3)^0.333),0)</f>
        <v>0</v>
      </c>
      <c r="M331" s="83"/>
      <c r="N331" s="1181">
        <f>IF(AND(N322&gt;0,Occ_Bldg2_Cntr&gt;0),IF(Occ_Bldg2_Cntr&gt;1+LFL_Fract_VCE_Epicenter*N320,(Occ_Bldg2_Cntr-LFL_Fract_VCE_Epicenter*N320)/(2*N322*4.18/101.3)^0.333,1/(2*N322*4.18/101.3)^0.333),0)</f>
        <v>0</v>
      </c>
      <c r="O331" s="83"/>
      <c r="P331" s="1181">
        <f>IF(AND(P322&gt;0,Occ_Bldg2_Cntr&gt;0),IF(Occ_Bldg2_Cntr&gt;1+LFL_Fract_VCE_Epicenter*P320,(Occ_Bldg2_Cntr-LFL_Fract_VCE_Epicenter*P320)/(2*P322*4.18/101.3)^0.333,1/(2*P322*4.18/101.3)^0.333),0)</f>
        <v>0</v>
      </c>
      <c r="Q331" s="83"/>
      <c r="R331" s="1181">
        <f>IF(AND(R322&gt;0,Occ_Bldg2_Cntr&gt;0),IF(Occ_Bldg2_Cntr&gt;1+LFL_Fract_VCE_Epicenter*R320,(Occ_Bldg2_Cntr-LFL_Fract_VCE_Epicenter*R320)/(2*R322*4.18/101.3)^0.333,1/(2*R322*4.18/101.3)^0.333),0)</f>
        <v>0</v>
      </c>
      <c r="S331" s="83"/>
      <c r="T331" s="1181">
        <f>IF(AND(T322&gt;0,Occ_Bldg2_Cntr&gt;0),IF(Occ_Bldg2_Cntr&gt;1+LFL_Fract_VCE_Epicenter*T320,(Occ_Bldg2_Cntr-LFL_Fract_VCE_Epicenter*T320)/(2*T322*4.18/101.3)^0.333,1/(2*T322*4.18/101.3)^0.333),0)</f>
        <v>0</v>
      </c>
      <c r="U331" s="83"/>
      <c r="V331" s="1181">
        <f>IF(AND(V322&gt;0,Occ_Bldg2_Cntr&gt;0),IF(Occ_Bldg2_Cntr&gt;1+LFL_Fract_VCE_Epicenter*V320,(Occ_Bldg2_Cntr-LFL_Fract_VCE_Epicenter*V320)/(2*V322*4.18/101.3)^0.333,1/(2*V322*4.18/101.3)^0.333),0)</f>
        <v>0</v>
      </c>
      <c r="W331" s="83"/>
      <c r="X331" s="1181">
        <f>IF(AND(X322&gt;0,Occ_Bldg2_Cntr&gt;0),IF(Occ_Bldg2_Cntr&gt;1+LFL_Fract_VCE_Epicenter*X320,(Occ_Bldg2_Cntr-LFL_Fract_VCE_Epicenter*X320)/(2*X322*4.18/101.3)^0.333,1/(2*X322*4.18/101.3)^0.333),0)</f>
        <v>0</v>
      </c>
      <c r="Y331" s="83"/>
      <c r="Z331" s="85"/>
      <c r="AA331" s="83"/>
      <c r="AB331" s="81"/>
      <c r="AC331" s="849" t="s">
        <v>1863</v>
      </c>
      <c r="AD331" s="81"/>
      <c r="AE331" s="98" t="str">
        <f>IF(AND(AE325&gt;10,OR(AE328&gt;Bldg_Type_Correction,AE330&gt;Bldg2_Type_Correction)),"Yes","No")</f>
        <v>No</v>
      </c>
      <c r="AF331" s="81"/>
      <c r="AG331" s="98" t="str">
        <f>IF(AND(AG325&gt;10,OR(AG328&gt;Bldg_Type_Correction,AG330&gt;Bldg2_Type_Correction)),"Yes","No")</f>
        <v>No</v>
      </c>
      <c r="AH331" s="81"/>
      <c r="AI331" s="98" t="str">
        <f>IF(AND(AI325&gt;10,OR(AI328&gt;Bldg_Type_Correction,AI330&gt;Bldg2_Type_Correction)),"Yes","No")</f>
        <v>No</v>
      </c>
      <c r="AJ331" s="81"/>
      <c r="AK331" s="98" t="str">
        <f>IF(AND(AK325&gt;10,OR(AK328&gt;Bldg_Type_Correction,AK330&gt;Bldg2_Type_Correction)),"Yes","No")</f>
        <v>No</v>
      </c>
      <c r="AL331" s="81"/>
      <c r="AM331" s="98" t="str">
        <f>IF(AND(AM325&gt;10,OR(AM328&gt;Bldg_Type_Correction,AM330&gt;Bldg2_Type_Correction)),"Yes","No")</f>
        <v>No</v>
      </c>
      <c r="AN331" s="81"/>
      <c r="AO331" s="98" t="str">
        <f>IF(AND(AO325&gt;10,OR(AO328&gt;Bldg_Type_Correction,AO330&gt;Bldg2_Type_Correction)),"Yes","No")</f>
        <v>No</v>
      </c>
      <c r="AP331" s="81"/>
      <c r="AQ331" s="89"/>
      <c r="AR331" s="81"/>
      <c r="AS331" s="83"/>
      <c r="AT331" s="23" t="s">
        <v>3027</v>
      </c>
      <c r="AU331" s="83"/>
      <c r="AV331" s="1181">
        <f>IF(AND(AV320&gt;0,IF(Occ_Bldg2_Relief&gt;0,Occ_Bldg2_Relief,Occ_Bldg2)&gt;0),IF(IF(Occ_Bldg2_Relief&gt;0,Occ_Bldg2_Relief,Occ_Bldg2)&gt;1+LFL_Fract_VCE_Epicenter*AV318,(IF(Occ_Bldg2_Relief&gt;0,Occ_Bldg2_Relief,Occ_Bldg2)-LFL_Fract_VCE_Epicenter*AV318)/(2*AV320*4.18/101.3)^0.333,1/(2*AV320*4.18/101.3)^0.333),0)</f>
        <v>0</v>
      </c>
      <c r="AW331" s="83"/>
      <c r="AX331" s="1181">
        <f>IF(AND(AX320&gt;0,IF(Occ_Bldg2_Relief&gt;0,Occ_Bldg2_Relief,Occ_Bldg2)&gt;0),IF(IF(Occ_Bldg2_Relief&gt;0,Occ_Bldg2_Relief,Occ_Bldg2)&gt;1+LFL_Fract_VCE_Epicenter*AX318,(IF(Occ_Bldg2_Relief&gt;0,Occ_Bldg2_Relief,Occ_Bldg2)-LFL_Fract_VCE_Epicenter*AX318)/(2*AX320*4.18/101.3)^0.333,1/(2*AX320*4.18/101.3)^0.333),0)</f>
        <v>0</v>
      </c>
      <c r="AY331" s="83"/>
      <c r="AZ331" s="1181">
        <f>IF(AND(AZ320&gt;0,IF(Occ_Bldg2_Relief&gt;0,Occ_Bldg2_Relief,Occ_Bldg2)&gt;0),IF(IF(Occ_Bldg2_Relief&gt;0,Occ_Bldg2_Relief,Occ_Bldg2)&gt;1+LFL_Fract_VCE_Epicenter*AZ318,(IF(Occ_Bldg2_Relief&gt;0,Occ_Bldg2_Relief,Occ_Bldg2)-LFL_Fract_VCE_Epicenter*AZ318)/(2*AZ320*4.18/101.3)^0.333,1/(2*AZ320*4.18/101.3)^0.333),0)</f>
        <v>0</v>
      </c>
      <c r="BA331" s="83"/>
      <c r="BB331" s="1181">
        <f>IF(AND(BB320&gt;0,IF(Occ_Bldg2_Relief&gt;0,Occ_Bldg2_Relief,Occ_Bldg2)&gt;0),IF(IF(Occ_Bldg2_Relief&gt;0,Occ_Bldg2_Relief,Occ_Bldg2)&gt;1+LFL_Fract_VCE_Epicenter*BB318,(IF(Occ_Bldg2_Relief&gt;0,Occ_Bldg2_Relief,Occ_Bldg2)-LFL_Fract_VCE_Epicenter*BB318)/(2*BB320*4.18/101.3)^0.333,1/(2*BB320*4.18/101.3)^0.333),0)</f>
        <v>0</v>
      </c>
      <c r="BC331" s="83"/>
      <c r="BD331" s="1181">
        <f>IF(AND(BD320&gt;0,IF(Occ_Bldg2_Relief&gt;0,Occ_Bldg2_Relief,Occ_Bldg2)&gt;0),IF(IF(Occ_Bldg2_Relief&gt;0,Occ_Bldg2_Relief,Occ_Bldg2)&gt;1+LFL_Fract_VCE_Epicenter*BD318,(IF(Occ_Bldg2_Relief&gt;0,Occ_Bldg2_Relief,Occ_Bldg2)-LFL_Fract_VCE_Epicenter*BD318)/(2*BD320*4.18/101.3)^0.333,1/(2*BD320*4.18/101.3)^0.333),0)</f>
        <v>0</v>
      </c>
      <c r="BE331" s="83"/>
      <c r="BF331" s="1181">
        <f>IF(AND(BF320&gt;0,IF(Occ_Bldg2_Relief&gt;0,Occ_Bldg2_Relief,Occ_Bldg2)&gt;0),IF(IF(Occ_Bldg2_Relief&gt;0,Occ_Bldg2_Relief,Occ_Bldg2)&gt;1+LFL_Fract_VCE_Epicenter*BF318,(IF(Occ_Bldg2_Relief&gt;0,Occ_Bldg2_Relief,Occ_Bldg2)-LFL_Fract_VCE_Epicenter*BF318)/(2*BF320*4.18/101.3)^0.333,1/(2*BF320*4.18/101.3)^0.333),0)</f>
        <v>0</v>
      </c>
      <c r="BG331" s="83"/>
      <c r="BH331" s="1181">
        <f>IF(AND(BH320&gt;0,IF(Occ_Bldg2_Relief&gt;0,Occ_Bldg2_Relief,Occ_Bldg2)&gt;0),IF(IF(Occ_Bldg2_Relief&gt;0,Occ_Bldg2_Relief,Occ_Bldg2)&gt;1+LFL_Fract_VCE_Epicenter*BH318,(IF(Occ_Bldg2_Relief&gt;0,Occ_Bldg2_Relief,Occ_Bldg2)-LFL_Fract_VCE_Epicenter*BH318)/(2*BH320*4.18/101.3)^0.333,1/(2*BH320*4.18/101.3)^0.333),0)</f>
        <v>0</v>
      </c>
      <c r="BI331" s="83"/>
      <c r="BJ331" s="1181">
        <f>IF(AND(BJ320&gt;0,IF(Occ_Bldg2_Relief&gt;0,Occ_Bldg2_Relief,Occ_Bldg2)&gt;0),IF(IF(Occ_Bldg2_Relief&gt;0,Occ_Bldg2_Relief,Occ_Bldg2)&gt;1+LFL_Fract_VCE_Epicenter*BJ318,(IF(Occ_Bldg2_Relief&gt;0,Occ_Bldg2_Relief,Occ_Bldg2)-LFL_Fract_VCE_Epicenter*BJ318)/(2*BJ320*4.18/101.3)^0.333,1/(2*BJ320*4.18/101.3)^0.333),0)</f>
        <v>0</v>
      </c>
      <c r="BK331" s="83"/>
      <c r="BL331" s="1181">
        <f>IF(AND(BL320&gt;0,IF(Occ_Bldg2_Relief&gt;0,Occ_Bldg2_Relief,Occ_Bldg2)&gt;0),IF(IF(Occ_Bldg2_Relief&gt;0,Occ_Bldg2_Relief,Occ_Bldg2)&gt;1+LFL_Fract_VCE_Epicenter*BL318,(IF(Occ_Bldg2_Relief&gt;0,Occ_Bldg2_Relief,Occ_Bldg2)-LFL_Fract_VCE_Epicenter*BL318)/(2*BL320*4.18/101.3)^0.333,1/(2*BL320*4.18/101.3)^0.333),0)</f>
        <v>0</v>
      </c>
      <c r="BM331" s="83"/>
      <c r="BN331" s="1181">
        <f>IF(AND(BN320&gt;0,IF(Occ_Bldg2_Relief&gt;0,Occ_Bldg2_Relief,Occ_Bldg2)&gt;0),IF(IF(Occ_Bldg2_Relief&gt;0,Occ_Bldg2_Relief,Occ_Bldg2)&gt;1+LFL_Fract_VCE_Epicenter*BN318,(IF(Occ_Bldg2_Relief&gt;0,Occ_Bldg2_Relief,Occ_Bldg2)-LFL_Fract_VCE_Epicenter*BN318)/(2*BN320*4.18/101.3)^0.333,1/(2*BN320*4.18/101.3)^0.333),0)</f>
        <v>0</v>
      </c>
      <c r="BO331" s="83"/>
      <c r="BP331" s="85"/>
      <c r="BQ331" s="83"/>
      <c r="BR331" s="81"/>
      <c r="BS331" s="23" t="s">
        <v>3026</v>
      </c>
      <c r="BT331" s="81"/>
      <c r="BU331" s="1181">
        <f>IF(AND(BU322&gt;0,Occ_Bldg2_Cntr&gt;0),IF(Occ_Bldg2_Cntr&gt;1+LFL_Fract_VCE_Epicenter*BU320,(Occ_Bldg2_Cntr-LFL_Fract_VCE_Epicenter*BU320)/(2*BU322*4.18/101.3)^0.333,1/(2*BU322*4.18/101.3)^0.333),0)</f>
        <v>0</v>
      </c>
      <c r="BV331" s="81"/>
      <c r="BW331" s="4239"/>
      <c r="BX331" s="81"/>
      <c r="BY331" s="1181">
        <f>IF(AND(BY322&gt;0,Occ_Bldg2_Cntr&gt;0),IF(Occ_Bldg2_Cntr&gt;1+LFL_Fract_VCE_Epicenter*BY320,(Occ_Bldg2_Cntr-LFL_Fract_VCE_Epicenter*BY320)/(2*BY322*4.18/101.3)^0.333,1/(2*BY322*4.18/101.3)^0.333),0)</f>
        <v>0</v>
      </c>
      <c r="BZ331" s="81"/>
      <c r="CA331" s="1181">
        <f>IF(AND(CA322&gt;0,Occ_Bldg2_Cntr&gt;0),IF(Occ_Bldg2_Cntr&gt;1+LFL_Fract_VCE_Epicenter*CA320,(Occ_Bldg2_Cntr-LFL_Fract_VCE_Epicenter*CA320)/(2*CA322*4.18/101.3)^0.333,1/(2*CA322*4.18/101.3)^0.333),0)</f>
        <v>0</v>
      </c>
      <c r="CB331" s="81"/>
      <c r="CC331" s="4239"/>
      <c r="CD331" s="81"/>
      <c r="CE331" s="85"/>
      <c r="CF331" s="81"/>
      <c r="CG331" s="26"/>
      <c r="CH331" s="26"/>
      <c r="CI331" s="26"/>
      <c r="CJ331" s="26"/>
      <c r="CK331" s="26"/>
      <c r="CL331" s="26"/>
      <c r="CM331" s="26"/>
      <c r="CN331" s="26"/>
      <c r="CO331" s="26"/>
      <c r="CP331" s="26"/>
      <c r="CQ331" s="26"/>
    </row>
    <row r="332" spans="1:96" ht="15" customHeight="1" x14ac:dyDescent="0.25">
      <c r="A332" s="2"/>
      <c r="B332" s="851" t="s">
        <v>2936</v>
      </c>
      <c r="C332" s="83"/>
      <c r="D332" s="1181">
        <f>IF(AND(D318="Yes",D331&gt;0),IF(VCE_BST_Coeff/D331^VCE_BST_Exp&lt;VCE_BST_Limit,14.7*VCE_BST_Coeff/D331^VCE_BST_Exp,14.7*VCE_BST_Limit),D334)</f>
        <v>0</v>
      </c>
      <c r="E332" s="83"/>
      <c r="F332" s="1181">
        <f>IF(AND(F318="Yes",F331&gt;0),IF(VCE_BST_Coeff/F331^VCE_BST_Exp&lt;VCE_BST_Limit,14.7*VCE_BST_Coeff/F331^VCE_BST_Exp,14.7*VCE_BST_Limit),F334)</f>
        <v>0</v>
      </c>
      <c r="G332" s="83"/>
      <c r="H332" s="1181">
        <f>IF(AND(H318="Yes",H331&gt;0),IF(VCE_BST_Coeff/H331^VCE_BST_Exp&lt;VCE_BST_Limit,14.7*VCE_BST_Coeff/H331^VCE_BST_Exp,14.7*VCE_BST_Limit),H334)</f>
        <v>0</v>
      </c>
      <c r="I332" s="83"/>
      <c r="J332" s="1181">
        <f>IF(AND(J318="Yes",J331&gt;0),IF(VCE_BST_Coeff/J331^VCE_BST_Exp&lt;VCE_BST_Limit,14.7*VCE_BST_Coeff/J331^VCE_BST_Exp,14.7*VCE_BST_Limit),J334)</f>
        <v>0</v>
      </c>
      <c r="K332" s="83"/>
      <c r="L332" s="1181">
        <f>IF(AND(L318="Yes",L331&gt;0),IF(VCE_BST_Coeff/L331^VCE_BST_Exp&lt;VCE_BST_Limit,14.7*VCE_BST_Coeff/L331^VCE_BST_Exp,14.7*VCE_BST_Limit),L334)</f>
        <v>0</v>
      </c>
      <c r="M332" s="83"/>
      <c r="N332" s="1181">
        <f>IF(AND(N318="Yes",N331&gt;0),IF(VCE_BST_Coeff/N331^VCE_BST_Exp&lt;VCE_BST_Limit,14.7*VCE_BST_Coeff/N331^VCE_BST_Exp,14.7*VCE_BST_Limit),N334)</f>
        <v>0</v>
      </c>
      <c r="O332" s="83"/>
      <c r="P332" s="1181">
        <f>IF(AND(P318="Yes",P331&gt;0),IF(VCE_BST_Coeff/P331^VCE_BST_Exp&lt;VCE_BST_Limit,14.7*VCE_BST_Coeff/P331^VCE_BST_Exp,14.7*VCE_BST_Limit),P334)</f>
        <v>0</v>
      </c>
      <c r="Q332" s="83"/>
      <c r="R332" s="1181">
        <f>IF(AND(R318="Yes",R331&gt;0),IF(VCE_BST_Coeff/R331^VCE_BST_Exp&lt;VCE_BST_Limit,14.7*VCE_BST_Coeff/R331^VCE_BST_Exp,14.7*VCE_BST_Limit),R334)</f>
        <v>0</v>
      </c>
      <c r="S332" s="83"/>
      <c r="T332" s="1181">
        <f>IF(AND(T318="Yes",T331&gt;0),IF(VCE_BST_Coeff/T331^VCE_BST_Exp&lt;VCE_BST_Limit,14.7*VCE_BST_Coeff/T331^VCE_BST_Exp,14.7*VCE_BST_Limit),T334)</f>
        <v>0</v>
      </c>
      <c r="U332" s="83"/>
      <c r="V332" s="1181">
        <f>IF(AND(V318="Yes",V331&gt;0),IF(VCE_BST_Coeff/V331^VCE_BST_Exp&lt;VCE_BST_Limit,14.7*VCE_BST_Coeff/V331^VCE_BST_Exp,14.7*VCE_BST_Limit),V334)</f>
        <v>0</v>
      </c>
      <c r="W332" s="83"/>
      <c r="X332" s="1181">
        <f>IF(AND(X318="Yes",X331&gt;0),IF(VCE_BST_Coeff/X331^VCE_BST_Exp&lt;VCE_BST_Limit,14.7*VCE_BST_Coeff/X331^VCE_BST_Exp,14.7*VCE_BST_Limit),X334)</f>
        <v>0</v>
      </c>
      <c r="Y332" s="83"/>
      <c r="Z332" s="85" t="s">
        <v>968</v>
      </c>
      <c r="AA332" s="83"/>
      <c r="AB332" s="81"/>
      <c r="AC332" s="850" t="s">
        <v>1532</v>
      </c>
      <c r="AD332" s="81"/>
      <c r="AE332" s="102" t="str">
        <f>IF(OR(Flash_Pt_Feed="",AE69=0,Location&lt;&gt;"Outdoors"),"No",IF(OR(AND(Flame_Speed_Feed="High",MIN(AE69,AE90*AE334/Wind)&gt;VCE_LowTotal),AND(Flame_Speed_Feed&lt;&gt;"High",MIN(AE69,AE90*AE334/Wind)&gt;VCE_HighTotal)),"Yes","No"))</f>
        <v>No</v>
      </c>
      <c r="AF332" s="81"/>
      <c r="AG332" s="102" t="str">
        <f>IF(OR(Flash_Pt_Feed="",AG69=0,Location&lt;&gt;"Outdoors"),"No",IF(OR(AND(Flame_Speed_Feed="High",MIN(AG69,AG90*AG334/Wind)&gt;VCE_LowTotal),AND(Flame_Speed_Feed&lt;&gt;"High",MIN(AG69,AG90*AG334/Wind)&gt;VCE_HighTotal)),"Yes","No"))</f>
        <v>No</v>
      </c>
      <c r="AH332" s="81"/>
      <c r="AI332" s="102" t="str">
        <f>IF(OR(Flash_Pt_Feed="",AI69=0,Location&lt;&gt;"Outdoors"),"No",IF(OR(AND(Flame_Speed_Feed="High",MIN(AI69,AI90*AI334/Wind)&gt;VCE_LowTotal),AND(Flame_Speed_Feed&lt;&gt;"High",MIN(AI69,AI90*AI334/Wind)&gt;VCE_HighTotal)),"Yes","No"))</f>
        <v>No</v>
      </c>
      <c r="AJ332" s="81"/>
      <c r="AK332" s="102" t="str">
        <f>IF(OR(Flash_Pt_Feed="",AK69=0,Location&lt;&gt;"Outdoors"),"No",IF(OR(AND(Flame_Speed_Feed="High",MIN(AK69,AK90*AK334/Wind)&gt;VCE_LowTotal),AND(Flame_Speed_Feed&lt;&gt;"High",MIN(AK69,AK90*AK334/Wind)&gt;VCE_HighTotal)),"Yes","No"))</f>
        <v>No</v>
      </c>
      <c r="AL332" s="81"/>
      <c r="AM332" s="102" t="str">
        <f>IF(OR(Flash_Pt_Feed="",AM69=0,Location&lt;&gt;"Outdoors"),"No",IF(OR(AND(Flame_Speed_Feed="High",MIN(AM69,AM90*AM334/Wind)&gt;VCE_LowTotal),AND(Flame_Speed_Feed&lt;&gt;"High",MIN(AM69,AM90*AM334/Wind)&gt;VCE_HighTotal)),"Yes","No"))</f>
        <v>No</v>
      </c>
      <c r="AN332" s="81"/>
      <c r="AO332" s="102" t="str">
        <f>IF(OR(Flash_Pt_Feed="",AO69=0,Location&lt;&gt;"Outdoors"),"No",IF(OR(AND(Flame_Speed_Feed="High",MIN(AO69,AO90*AO334/Wind)&gt;VCE_LowTotal),AND(Flame_Speed_Feed&lt;&gt;"High",MIN(AO69,AO90*AO334/Wind)&gt;VCE_HighTotal)),"Yes","No"))</f>
        <v>No</v>
      </c>
      <c r="AP332" s="81"/>
      <c r="AQ332" s="23"/>
      <c r="AR332" s="81"/>
      <c r="AS332" s="83"/>
      <c r="AT332" s="23" t="s">
        <v>628</v>
      </c>
      <c r="AU332" s="83"/>
      <c r="AV332" s="1181">
        <f>IF(AND(AV316="Yes",AV331&gt;0),IF(VCE_BST_Coeff/AV331^VCE_BST_Exp&lt;VCE_BST_Limit,14.7*VCE_BST_Coeff/AV331^VCE_BST_Exp,14.7*VCE_BST_Limit),0)</f>
        <v>0</v>
      </c>
      <c r="AW332" s="83"/>
      <c r="AX332" s="1181">
        <f>IF(AND(AX316="Yes",AX331&gt;0),IF(VCE_BST_Coeff/AX331^VCE_BST_Exp&lt;VCE_BST_Limit,14.7*VCE_BST_Coeff/AX331^VCE_BST_Exp,14.7*VCE_BST_Limit),0)</f>
        <v>0</v>
      </c>
      <c r="AY332" s="83"/>
      <c r="AZ332" s="1181">
        <f>IF(AND(AZ316="Yes",AZ331&gt;0),IF(VCE_BST_Coeff/AZ331^VCE_BST_Exp&lt;VCE_BST_Limit,14.7*VCE_BST_Coeff/AZ331^VCE_BST_Exp,14.7*VCE_BST_Limit),0)</f>
        <v>0</v>
      </c>
      <c r="BA332" s="83"/>
      <c r="BB332" s="1181">
        <f>IF(AND(BB316="Yes",BB331&gt;0),IF(VCE_BST_Coeff/BB331^VCE_BST_Exp&lt;VCE_BST_Limit,14.7*VCE_BST_Coeff/BB331^VCE_BST_Exp,14.7*VCE_BST_Limit),0)</f>
        <v>0</v>
      </c>
      <c r="BC332" s="83"/>
      <c r="BD332" s="1181">
        <f>IF(AND(BD316="Yes",BD331&gt;0),IF(VCE_BST_Coeff/BD331^VCE_BST_Exp&lt;VCE_BST_Limit,14.7*VCE_BST_Coeff/BD331^VCE_BST_Exp,14.7*VCE_BST_Limit),0)</f>
        <v>0</v>
      </c>
      <c r="BE332" s="83"/>
      <c r="BF332" s="1181">
        <f>IF(AND(BF316="Yes",BF331&gt;0),IF(VCE_BST_Coeff/BF331^VCE_BST_Exp&lt;VCE_BST_Limit,14.7*VCE_BST_Coeff/BF331^VCE_BST_Exp,14.7*VCE_BST_Limit),0)</f>
        <v>0</v>
      </c>
      <c r="BG332" s="83"/>
      <c r="BH332" s="1181">
        <f>IF(AND(BH316="Yes",BH331&gt;0),IF(VCE_BST_Coeff/BH331^VCE_BST_Exp&lt;VCE_BST_Limit,14.7*VCE_BST_Coeff/BH331^VCE_BST_Exp,14.7*VCE_BST_Limit),0)</f>
        <v>0</v>
      </c>
      <c r="BI332" s="83"/>
      <c r="BJ332" s="1181">
        <f>IF(AND(BJ316="Yes",BJ331&gt;0),IF(VCE_BST_Coeff/BJ331^VCE_BST_Exp&lt;VCE_BST_Limit,14.7*VCE_BST_Coeff/BJ331^VCE_BST_Exp,14.7*VCE_BST_Limit),0)</f>
        <v>0</v>
      </c>
      <c r="BK332" s="83"/>
      <c r="BL332" s="1181">
        <f>IF(AND(BL316="Yes",BL331&gt;0),IF(VCE_BST_Coeff/BL331^VCE_BST_Exp&lt;VCE_BST_Limit,14.7*VCE_BST_Coeff/BL331^VCE_BST_Exp,14.7*VCE_BST_Limit),0)</f>
        <v>0</v>
      </c>
      <c r="BM332" s="83"/>
      <c r="BN332" s="1181">
        <f>IF(AND(BN316="Yes",BN331&gt;0),IF(VCE_BST_Coeff/BN331^VCE_BST_Exp&lt;VCE_BST_Limit,14.7*VCE_BST_Coeff/BN331^VCE_BST_Exp,14.7*VCE_BST_Limit),0)</f>
        <v>0</v>
      </c>
      <c r="BO332" s="83"/>
      <c r="BP332" s="85" t="s">
        <v>968</v>
      </c>
      <c r="BQ332" s="83"/>
      <c r="BR332" s="81"/>
      <c r="BS332" s="23" t="s">
        <v>2936</v>
      </c>
      <c r="BT332" s="81"/>
      <c r="BU332" s="1181">
        <f>IF(AND(BU318="Yes",BU331&gt;0),IF(VCE_BST_Coeff/BU331^VCE_BST_Exp&lt;VCE_BST_Limit,14.7*VCE_BST_Coeff/BU331^VCE_BST_Exp,14.7*VCE_BST_Limit),BU334)</f>
        <v>0</v>
      </c>
      <c r="BV332" s="81"/>
      <c r="BW332" s="4239"/>
      <c r="BX332" s="81"/>
      <c r="BY332" s="1181">
        <f>IF(AND(BY318="Yes",BY331&gt;0),IF(VCE_BST_Coeff/BY331^VCE_BST_Exp&lt;VCE_BST_Limit,14.7*VCE_BST_Coeff/BY331^VCE_BST_Exp,14.7*VCE_BST_Limit),BY334)</f>
        <v>0</v>
      </c>
      <c r="BZ332" s="81"/>
      <c r="CA332" s="1181">
        <f>IF(AND(CA318="Yes",CA331&gt;0),IF(VCE_BST_Coeff/CA331^VCE_BST_Exp&lt;VCE_BST_Limit,14.7*VCE_BST_Coeff/CA331^VCE_BST_Exp,14.7*VCE_BST_Limit),CA334)</f>
        <v>0</v>
      </c>
      <c r="CB332" s="81"/>
      <c r="CC332" s="4239"/>
      <c r="CD332" s="81"/>
      <c r="CE332" s="85" t="s">
        <v>968</v>
      </c>
      <c r="CF332" s="81"/>
      <c r="CG332" s="26"/>
      <c r="CH332" s="26"/>
      <c r="CI332" s="26"/>
      <c r="CJ332" s="26"/>
      <c r="CK332" s="26"/>
      <c r="CL332" s="26"/>
      <c r="CM332" s="26"/>
      <c r="CN332" s="26"/>
      <c r="CQ332" s="26"/>
    </row>
    <row r="333" spans="1:96" ht="15" customHeight="1" thickBot="1" x14ac:dyDescent="0.3">
      <c r="A333" s="2"/>
      <c r="B333" s="851" t="s">
        <v>3027</v>
      </c>
      <c r="C333" s="83"/>
      <c r="D333" s="1181">
        <f>IF(AND(D322&gt;0,Occ_Bldg2&gt;0),IF(Occ_Bldg2&gt;1+LFL_Fract_VCE_Epicenter*D320,(Occ_Bldg2-LFL_Fract_VCE_Epicenter*D320)/(2*D322*4.18/101.3)^0.333,1/(2*D322*4.18/101.3)^0.333),0)</f>
        <v>0</v>
      </c>
      <c r="E333" s="83"/>
      <c r="F333" s="1181">
        <f>IF(AND(F322&gt;0,Occ_Bldg2&gt;0),IF(Occ_Bldg2&gt;1+LFL_Fract_VCE_Epicenter*F320,(Occ_Bldg2-LFL_Fract_VCE_Epicenter*F320)/(2*F322*4.18/101.3)^0.333,1/(2*F322*4.18/101.3)^0.333),0)</f>
        <v>0</v>
      </c>
      <c r="G333" s="83"/>
      <c r="H333" s="1181">
        <f>IF(AND(H322&gt;0,Occ_Bldg2&gt;0),IF(Occ_Bldg2&gt;1+LFL_Fract_VCE_Epicenter*H320,(Occ_Bldg2-LFL_Fract_VCE_Epicenter*H320)/(2*H322*4.18/101.3)^0.333,1/(2*H322*4.18/101.3)^0.333),0)</f>
        <v>0</v>
      </c>
      <c r="I333" s="83"/>
      <c r="J333" s="1181">
        <f>IF(AND(J322&gt;0,Occ_Bldg2&gt;0),IF(Occ_Bldg2&gt;1+LFL_Fract_VCE_Epicenter*J320,(Occ_Bldg2-LFL_Fract_VCE_Epicenter*J320)/(2*J322*4.18/101.3)^0.333,1/(2*J322*4.18/101.3)^0.333),0)</f>
        <v>0</v>
      </c>
      <c r="K333" s="83"/>
      <c r="L333" s="1181">
        <f>IF(AND(L322&gt;0,Occ_Bldg2&gt;0),IF(Occ_Bldg2&gt;1+LFL_Fract_VCE_Epicenter*L320,(Occ_Bldg2-LFL_Fract_VCE_Epicenter*L320)/(2*L322*4.18/101.3)^0.333,1/(2*L322*4.18/101.3)^0.333),0)</f>
        <v>0</v>
      </c>
      <c r="M333" s="83"/>
      <c r="N333" s="1181">
        <f>IF(AND(N322&gt;0,Occ_Bldg2&gt;0),IF(Occ_Bldg2&gt;1+LFL_Fract_VCE_Epicenter*N320,(Occ_Bldg2-LFL_Fract_VCE_Epicenter*N320)/(2*N322*4.18/101.3)^0.333,1/(2*N322*4.18/101.3)^0.333),0)</f>
        <v>0</v>
      </c>
      <c r="O333" s="83"/>
      <c r="P333" s="1181">
        <f>IF(AND(P322&gt;0,Occ_Bldg2&gt;0),IF(Occ_Bldg2&gt;1+LFL_Fract_VCE_Epicenter*P320,(Occ_Bldg2-LFL_Fract_VCE_Epicenter*P320)/(2*P322*4.18/101.3)^0.333,1/(2*P322*4.18/101.3)^0.333),0)</f>
        <v>0</v>
      </c>
      <c r="Q333" s="83"/>
      <c r="R333" s="1181">
        <f>IF(AND(R322&gt;0,Occ_Bldg2&gt;0),IF(Occ_Bldg2&gt;1+LFL_Fract_VCE_Epicenter*R320,(Occ_Bldg2-LFL_Fract_VCE_Epicenter*R320)/(2*R322*4.18/101.3)^0.333,1/(2*R322*4.18/101.3)^0.333),0)</f>
        <v>0</v>
      </c>
      <c r="S333" s="83"/>
      <c r="T333" s="1181">
        <f>IF(AND(T322&gt;0,Occ_Bldg2&gt;0),IF(Occ_Bldg2&gt;1+LFL_Fract_VCE_Epicenter*T320,(Occ_Bldg2-LFL_Fract_VCE_Epicenter*T320)/(2*T322*4.18/101.3)^0.333,1/(2*T322*4.18/101.3)^0.333),0)</f>
        <v>0</v>
      </c>
      <c r="U333" s="83"/>
      <c r="V333" s="1181">
        <f>IF(AND(V322&gt;0,Occ_Bldg2&gt;0),IF(Occ_Bldg2&gt;1+LFL_Fract_VCE_Epicenter*V320,(Occ_Bldg2-LFL_Fract_VCE_Epicenter*V320)/(2*V322*4.18/101.3)^0.333,1/(2*V322*4.18/101.3)^0.333),0)</f>
        <v>0</v>
      </c>
      <c r="W333" s="83"/>
      <c r="X333" s="1181">
        <f>IF(AND(X322&gt;0,Occ_Bldg2&gt;0),IF(Occ_Bldg2&gt;1+LFL_Fract_VCE_Epicenter*X320,(Occ_Bldg2-LFL_Fract_VCE_Epicenter*X320)/(2*X322*4.18/101.3)^0.333,1/(2*X322*4.18/101.3)^0.333),0)</f>
        <v>0</v>
      </c>
      <c r="Y333" s="83"/>
      <c r="Z333" s="85"/>
      <c r="AA333" s="83"/>
      <c r="AB333" s="81"/>
      <c r="AC333" s="85" t="s">
        <v>5140</v>
      </c>
      <c r="AD333" s="81"/>
      <c r="AE333" s="2589">
        <f>IF(OR(Flammable_Potential&lt;&gt;"Yes",AE262="",AE90=0),0,IF(OR(Ease_of_Ignition_Feed="High",Aerosol_Potential="Yes"),MAX(Spray_Distance,IF((100/LFL_Fract_FlashFIre)/AE262&lt;=1/AE$100,0,IF(AE169="Instantaneous",AE$166*((AE69/AE98)*(IF(AE144&gt;AE262/100,AvgTime_Correction,1)*(100/LFL_Fract_FlashFIre)/AE262))^AE$167-AE$168,AE$140*(AE90*(IF(AE119&gt;AE262/100,AvgTime_Correction,1)*(100/LFL_Fract_FlashFIre)/AE262)/(AE98*Wind))^AE$141-AE$142))),IF((100/LFL_Fract_FlashFIre)/AE262&lt;=1/AE$100,0,IF(AE169="Instantaneous",AE$166*((AE69/AE98)*(IF(AE144&gt;AE262/100,AvgTime_Correction,1)*(100/LFL_Fract_FlashFIre)/AE262))^AE$167-AE$168,AE$140*(AE90*(IF(AE119&gt;AE262/100,AvgTime_Correction,1)*(100/LFL_Fract_FlashFIre)/AE262)/(AE98*Wind))^AE$141-AE$142))))</f>
        <v>0</v>
      </c>
      <c r="AF333" s="81"/>
      <c r="AG333" s="2589">
        <f>IF(OR(Flammable_Potential&lt;&gt;"Yes",AG262="",AG90=0),0,IF(OR(Ease_of_Ignition_Feed="High",Aerosol_Potential="Yes"),MAX(Spray_Distance,IF((100/LFL_Fract_FlashFIre)/AG262&lt;=1/AG$100,0,IF(AG169="Instantaneous",AG$166*((AG69/AG98)*(IF(AG144&gt;AG262/100,AvgTime_Correction,1)*(100/LFL_Fract_FlashFIre)/AG262))^AG$167-AG$168,AG$140*(AG90*(IF(AG119&gt;AG262/100,AvgTime_Correction,1)*(100/LFL_Fract_FlashFIre)/AG262)/(AG98*Wind))^AG$141-AG$142))),IF((100/LFL_Fract_FlashFIre)/AG262&lt;=1/AG$100,0,IF(AG169="Instantaneous",AG$166*((AG69/AG98)*(IF(AG144&gt;AG262/100,AvgTime_Correction,1)*(100/LFL_Fract_FlashFIre)/AG262))^AG$167-AG$168,AG$140*(AG90*(IF(AG119&gt;AG262/100,AvgTime_Correction,1)*(100/LFL_Fract_FlashFIre)/AG262)/(AG98*Wind))^AG$141-AG$142))))</f>
        <v>0</v>
      </c>
      <c r="AH333" s="81"/>
      <c r="AI333" s="2589">
        <f>IF(OR(Flammable_Potential&lt;&gt;"Yes",AI262="",AI90=0),0,IF(OR(Ease_of_Ignition_Feed="High",Aerosol_Potential="Yes"),MAX(Spray_Distance,IF((100/LFL_Fract_FlashFIre)/AI262&lt;=1/AI$100,0,IF(AI169="Instantaneous",AI$166*((AI69/AI98)*(IF(AI144&gt;AI262/100,AvgTime_Correction,1)*(100/LFL_Fract_FlashFIre)/AI262))^AI$167-AI$168,AI$140*(AI90*(IF(AI119&gt;AI262/100,AvgTime_Correction,1)*(100/LFL_Fract_FlashFIre)/AI262)/(AI98*Wind))^AI$141-AI$142))),IF((100/LFL_Fract_FlashFIre)/AI262&lt;=1/AI$100,0,IF(AI169="Instantaneous",AI$166*((AI69/AI98)*(IF(AI144&gt;AI262/100,AvgTime_Correction,1)*(100/LFL_Fract_FlashFIre)/AI262))^AI$167-AI$168,AI$140*(AI90*(IF(AI119&gt;AI262/100,AvgTime_Correction,1)*(100/LFL_Fract_FlashFIre)/AI262)/(AI98*Wind))^AI$141-AI$142))))</f>
        <v>0</v>
      </c>
      <c r="AJ333" s="81"/>
      <c r="AK333" s="2589">
        <f>IF(OR(Flammable_Potential&lt;&gt;"Yes",AK262="",AK90=0),0,IF(OR(Ease_of_Ignition_Feed="High",Aerosol_Potential="Yes"),MAX(Spray_Distance,IF((100/LFL_Fract_FlashFIre)/AK262&lt;=1/AK$100,0,IF(AK169="Instantaneous",AK$166*((AK69/AK98)*(IF(AK144&gt;AK262/100,AvgTime_Correction,1)*(100/LFL_Fract_FlashFIre)/AK262))^AK$167-AK$168,AK$140*(AK90*(IF(AK119&gt;AK262/100,AvgTime_Correction,1)*(100/LFL_Fract_FlashFIre)/AK262)/(AK98*Wind))^AK$141-AK$142))),IF((100/LFL_Fract_FlashFIre)/AK262&lt;=1/AK$100,0,IF(AK169="Instantaneous",AK$166*((AK69/AK98)*(IF(AK144&gt;AK262/100,AvgTime_Correction,1)*(100/LFL_Fract_FlashFIre)/AK262))^AK$167-AK$168,AK$140*(AK90*(IF(AK119&gt;AK262/100,AvgTime_Correction,1)*(100/LFL_Fract_FlashFIre)/AK262)/(AK98*Wind))^AK$141-AK$142))))</f>
        <v>0</v>
      </c>
      <c r="AL333" s="81"/>
      <c r="AM333" s="2589">
        <f>IF(OR(Flammable_Potential&lt;&gt;"Yes",AM262="",AM90=0),0,IF(OR(Ease_of_Ignition_Feed="High",Aerosol_Potential="Yes"),MAX(Spray_Distance,IF((100/LFL_Fract_FlashFIre)/AM262&lt;=1/AM$100,0,IF(AM169="Instantaneous",AM$166*((AM69/AM98)*(IF(AM144&gt;AM262/100,AvgTime_Correction,1)*(100/LFL_Fract_FlashFIre)/AM262))^AM$167-AM$168,AM$140*(AM90*(IF(AM119&gt;AM262/100,AvgTime_Correction,1)*(100/LFL_Fract_FlashFIre)/AM262)/(AM98*Wind))^AM$141-AM$142))),IF((100/LFL_Fract_FlashFIre)/AM262&lt;=1/AM$100,0,IF(AM169="Instantaneous",AM$166*((AM69/AM98)*(IF(AM144&gt;AM262/100,AvgTime_Correction,1)*(100/LFL_Fract_FlashFIre)/AM262))^AM$167-AM$168,AM$140*(AM90*(IF(AM119&gt;AM262/100,AvgTime_Correction,1)*(100/LFL_Fract_FlashFIre)/AM262)/(AM98*Wind))^AM$141-AM$142))))</f>
        <v>0</v>
      </c>
      <c r="AN333" s="81"/>
      <c r="AO333" s="2589">
        <f>IF(OR(Flammable_Potential&lt;&gt;"Yes",AO262="",AO90=0),0,IF(OR(Ease_of_Ignition_Feed="High",Aerosol_Potential="Yes"),MAX(Spray_Distance,IF((100/LFL_Fract_FlashFIre)/AO262&lt;=1/AO$100,0,IF(AO169="Instantaneous",AO$166*((AO69/AO98)*(IF(AO144&gt;AO262/100,AvgTime_Correction,1)*(100/LFL_Fract_FlashFIre)/AO262))^AO$167-AO$168,AO$140*(AO90*(IF(AO119&gt;AO262/100,AvgTime_Correction,1)*(100/LFL_Fract_FlashFIre)/AO262)/(AO98*Wind))^AO$141-AO$142))),IF((100/LFL_Fract_FlashFIre)/AO262&lt;=1/AO$100,0,IF(AO169="Instantaneous",AO$166*((AO69/AO98)*(IF(AO144&gt;AO262/100,AvgTime_Correction,1)*(100/LFL_Fract_FlashFIre)/AO262))^AO$167-AO$168,AO$140*(AO90*(IF(AO119&gt;AO262/100,AvgTime_Correction,1)*(100/LFL_Fract_FlashFIre)/AO262)/(AO98*Wind))^AO$141-AO$142))))</f>
        <v>0</v>
      </c>
      <c r="AP333" s="81"/>
      <c r="AQ333" s="85" t="s">
        <v>1068</v>
      </c>
      <c r="AR333" s="81"/>
      <c r="AS333" s="83"/>
      <c r="AT333" s="25" t="s">
        <v>1863</v>
      </c>
      <c r="AU333" s="83"/>
      <c r="AV333" s="1184" t="str">
        <f>IF(OR(AV328&gt;Bldg_Type_Correction,AV332&gt;Bldg2_Type_Correction),"Yes","No")</f>
        <v>No</v>
      </c>
      <c r="AW333" s="83"/>
      <c r="AX333" s="1184" t="str">
        <f>IF(OR(AX328&gt;Bldg_Type_Correction,AX332&gt;Bldg2_Type_Correction),"Yes","No")</f>
        <v>No</v>
      </c>
      <c r="AY333" s="83"/>
      <c r="AZ333" s="1184" t="str">
        <f>IF(OR(AZ328&gt;Bldg_Type_Correction,AZ332&gt;Bldg2_Type_Correction),"Yes","No")</f>
        <v>No</v>
      </c>
      <c r="BA333" s="83"/>
      <c r="BB333" s="1184" t="str">
        <f>IF(OR(BB328&gt;Bldg_Type_Correction,BB332&gt;Bldg2_Type_Correction),"Yes","No")</f>
        <v>No</v>
      </c>
      <c r="BC333" s="83"/>
      <c r="BD333" s="1184" t="str">
        <f>IF(OR(BD328&gt;Bldg_Type_Correction,BD332&gt;Bldg2_Type_Correction),"Yes","No")</f>
        <v>No</v>
      </c>
      <c r="BE333" s="83"/>
      <c r="BF333" s="1184" t="str">
        <f>IF(OR(BF328&gt;Bldg_Type_Correction,BF332&gt;Bldg2_Type_Correction),"Yes","No")</f>
        <v>No</v>
      </c>
      <c r="BG333" s="83"/>
      <c r="BH333" s="1184" t="str">
        <f>IF(OR(BH328&gt;Bldg_Type_Correction,BH332&gt;Bldg2_Type_Correction),"Yes","No")</f>
        <v>No</v>
      </c>
      <c r="BI333" s="83"/>
      <c r="BJ333" s="1184" t="str">
        <f>IF(OR(BJ328&gt;Bldg_Type_Correction,BJ332&gt;Bldg2_Type_Correction),"Yes","No")</f>
        <v>No</v>
      </c>
      <c r="BK333" s="83"/>
      <c r="BL333" s="1184" t="str">
        <f>IF(OR(BL328&gt;Bldg_Type_Correction,BL332&gt;Bldg2_Type_Correction),"Yes","No")</f>
        <v>No</v>
      </c>
      <c r="BM333" s="83"/>
      <c r="BN333" s="1184" t="str">
        <f>IF(OR(BN328&gt;Bldg_Type_Correction,BN332&gt;Bldg2_Type_Correction),"Yes","No")</f>
        <v>No</v>
      </c>
      <c r="BO333" s="83"/>
      <c r="BP333" s="25"/>
      <c r="BQ333" s="83"/>
      <c r="BR333" s="81"/>
      <c r="BS333" s="23" t="s">
        <v>3027</v>
      </c>
      <c r="BT333" s="81"/>
      <c r="BU333" s="1181">
        <f>IF(AND(BU322&gt;0,Occ_Bldg2&gt;0),IF(Occ_Bldg2&gt;1+LFL_Fract_VCE_Epicenter*BU320,(Occ_Bldg2-LFL_Fract_VCE_Epicenter*BU320)/(2*BU322*4.18/101.3)^0.333,1/(2*BU322*4.18/101.3)^0.333),0)</f>
        <v>0</v>
      </c>
      <c r="BV333" s="81"/>
      <c r="BW333" s="4239"/>
      <c r="BX333" s="81"/>
      <c r="BY333" s="1181">
        <f>IF(AND(BY322&gt;0,Occ_Bldg2&gt;0),IF(Occ_Bldg2&gt;1+LFL_Fract_VCE_Epicenter*BY320,(Occ_Bldg2-LFL_Fract_VCE_Epicenter*BY320)/(2*BY322*4.18/101.3)^0.333,1/(2*BY322*4.18/101.3)^0.333),0)</f>
        <v>0</v>
      </c>
      <c r="BZ333" s="81"/>
      <c r="CA333" s="1181">
        <f>IF(AND(CA322&gt;0,Occ_Bldg2&gt;0),IF(Occ_Bldg2&gt;1+LFL_Fract_VCE_Epicenter*CA320,(Occ_Bldg2-LFL_Fract_VCE_Epicenter*CA320)/(2*CA322*4.18/101.3)^0.333,1/(2*CA322*4.18/101.3)^0.333),0)</f>
        <v>0</v>
      </c>
      <c r="CB333" s="81"/>
      <c r="CC333" s="4239"/>
      <c r="CD333" s="81"/>
      <c r="CE333" s="85"/>
      <c r="CF333" s="81"/>
      <c r="CG333" s="26"/>
      <c r="CH333" s="26"/>
      <c r="CI333" s="26"/>
      <c r="CJ333" s="26"/>
      <c r="CK333" s="26"/>
      <c r="CL333" s="26"/>
      <c r="CM333" s="26"/>
      <c r="CN333" s="26"/>
      <c r="CQ333" s="26"/>
    </row>
    <row r="334" spans="1:96" ht="15" customHeight="1" thickBot="1" x14ac:dyDescent="0.3">
      <c r="A334" s="2"/>
      <c r="B334" s="851" t="s">
        <v>628</v>
      </c>
      <c r="C334" s="83"/>
      <c r="D334" s="1181">
        <f>IF(AND(D318="Yes",D333&gt;0),IF(VCE_BST_Coeff/D333^VCE_BST_Exp&lt;VCE_BST_Limit,14.7*VCE_BST_Coeff/D333^VCE_BST_Exp,14.7*VCE_BST_Limit),0)</f>
        <v>0</v>
      </c>
      <c r="E334" s="83"/>
      <c r="F334" s="1181">
        <f>IF(AND(F318="Yes",F333&gt;0),IF(VCE_BST_Coeff/F333^VCE_BST_Exp&lt;VCE_BST_Limit,14.7*VCE_BST_Coeff/F333^VCE_BST_Exp,14.7*VCE_BST_Limit),0)</f>
        <v>0</v>
      </c>
      <c r="G334" s="83"/>
      <c r="H334" s="1181">
        <f>IF(AND(H318="Yes",H333&gt;0),IF(VCE_BST_Coeff/H333^VCE_BST_Exp&lt;VCE_BST_Limit,14.7*VCE_BST_Coeff/H333^VCE_BST_Exp,14.7*VCE_BST_Limit),0)</f>
        <v>0</v>
      </c>
      <c r="I334" s="83"/>
      <c r="J334" s="1181">
        <f>IF(AND(J318="Yes",J333&gt;0),IF(VCE_BST_Coeff/J333^VCE_BST_Exp&lt;VCE_BST_Limit,14.7*VCE_BST_Coeff/J333^VCE_BST_Exp,14.7*VCE_BST_Limit),0)</f>
        <v>0</v>
      </c>
      <c r="K334" s="83"/>
      <c r="L334" s="1181">
        <f>IF(AND(L318="Yes",L333&gt;0),IF(VCE_BST_Coeff/L333^VCE_BST_Exp&lt;VCE_BST_Limit,14.7*VCE_BST_Coeff/L333^VCE_BST_Exp,14.7*VCE_BST_Limit),0)</f>
        <v>0</v>
      </c>
      <c r="M334" s="83"/>
      <c r="N334" s="1181">
        <f>IF(AND(N318="Yes",N333&gt;0),IF(VCE_BST_Coeff/N333^VCE_BST_Exp&lt;VCE_BST_Limit,14.7*VCE_BST_Coeff/N333^VCE_BST_Exp,14.7*VCE_BST_Limit),0)</f>
        <v>0</v>
      </c>
      <c r="O334" s="83"/>
      <c r="P334" s="1181">
        <f>IF(AND(P318="Yes",P333&gt;0),IF(VCE_BST_Coeff/P333^VCE_BST_Exp&lt;VCE_BST_Limit,14.7*VCE_BST_Coeff/P333^VCE_BST_Exp,14.7*VCE_BST_Limit),0)</f>
        <v>0</v>
      </c>
      <c r="Q334" s="83"/>
      <c r="R334" s="1181">
        <f>IF(AND(R318="Yes",R333&gt;0),IF(VCE_BST_Coeff/R333^VCE_BST_Exp&lt;VCE_BST_Limit,14.7*VCE_BST_Coeff/R333^VCE_BST_Exp,14.7*VCE_BST_Limit),0)</f>
        <v>0</v>
      </c>
      <c r="S334" s="83"/>
      <c r="T334" s="1181">
        <f>IF(AND(T318="Yes",T333&gt;0),IF(VCE_BST_Coeff/T333^VCE_BST_Exp&lt;VCE_BST_Limit,14.7*VCE_BST_Coeff/T333^VCE_BST_Exp,14.7*VCE_BST_Limit),0)</f>
        <v>0</v>
      </c>
      <c r="U334" s="83"/>
      <c r="V334" s="1181">
        <f>IF(AND(V318="Yes",V333&gt;0),IF(VCE_BST_Coeff/V333^VCE_BST_Exp&lt;VCE_BST_Limit,14.7*VCE_BST_Coeff/V333^VCE_BST_Exp,14.7*VCE_BST_Limit),0)</f>
        <v>0</v>
      </c>
      <c r="W334" s="83"/>
      <c r="X334" s="1181">
        <f>IF(AND(X318="Yes",X333&gt;0),IF(VCE_BST_Coeff/X333^VCE_BST_Exp&lt;VCE_BST_Limit,14.7*VCE_BST_Coeff/X333^VCE_BST_Exp,14.7*VCE_BST_Limit),0)</f>
        <v>0</v>
      </c>
      <c r="Y334" s="83"/>
      <c r="Z334" s="85" t="s">
        <v>968</v>
      </c>
      <c r="AA334" s="83"/>
      <c r="AB334" s="81"/>
      <c r="AC334" s="25" t="s">
        <v>4726</v>
      </c>
      <c r="AD334" s="81"/>
      <c r="AE334" s="2582">
        <f>IF(OR(Flammable_Potential&lt;&gt;"Yes",AE262="",AE90=0),0,IF(OR(Ease_of_Ignition_Feed="High",Aerosol_Potential="Yes"),MAX(Spray_Distance,IF(100/AE262&lt;=1/AE$100,0,IF(AE169="Instantaneous",AE$166*((AE69/AE98)*(IF(AE144&gt;AE262/100,AvgTime_Correction,1)*100/AE262))^AE$167-AE$168,AE$140*(AE90*(IF(AE119&gt;AE262/100,AvgTime_Correction,1)*100/AE262)/(AE98*Wind))^AE$141-AE$142))),IF(100/AE262&lt;=1/AE$100,0,IF(AE169="Instantaneous",AE$166*((AE69/AE98)*(IF(AE144&gt;AE262/100,AvgTime_Correction,1)*100/AE262))^AE$167-AE$168,AE$140*(AE90*(IF(AE119&gt;AE262/100,AvgTime_Correction,1)*100/AE262)/(AE98*Wind))^AE$141-AE$142))))</f>
        <v>0</v>
      </c>
      <c r="AF334" s="81"/>
      <c r="AG334" s="2582">
        <f>IF(OR(Flammable_Potential&lt;&gt;"Yes",AG262="",AG90=0),0,IF(OR(Ease_of_Ignition_Feed="High",Aerosol_Potential="Yes"),MAX(Spray_Distance,IF(100/AG262&lt;=1/AG$100,0,IF(AG169="Instantaneous",AG$166*((AG69/AG98)*(IF(AG144&gt;AG262/100,AvgTime_Correction,1)*100/AG262))^AG$167-AG$168,AG$140*(AG90*(IF(AG119&gt;AG262/100,AvgTime_Correction,1)*100/AG262)/(AG98*Wind))^AG$141-AG$142))),IF(100/AG262&lt;=1/AG$100,0,IF(AG169="Instantaneous",AG$166*((AG69/AG98)*(IF(AG144&gt;AG262/100,AvgTime_Correction,1)*100/AG262))^AG$167-AG$168,AG$140*(AG90*(IF(AG119&gt;AG262/100,AvgTime_Correction,1)*100/AG262)/(AG98*Wind))^AG$141-AG$142))))</f>
        <v>0</v>
      </c>
      <c r="AH334" s="81"/>
      <c r="AI334" s="2582">
        <f>IF(OR(Flammable_Potential&lt;&gt;"Yes",AI262="",AI90=0),0,IF(OR(Ease_of_Ignition_Feed="High",Aerosol_Potential="Yes"),MAX(Spray_Distance,IF(100/AI262&lt;=1/AI$100,0,IF(AI169="Instantaneous",AI$166*((AI69/AI98)*(IF(AI144&gt;AI262/100,AvgTime_Correction,1)*100/AI262))^AI$167-AI$168,AI$140*(AI90*(IF(AI119&gt;AI262/100,AvgTime_Correction,1)*100/AI262)/(AI98*Wind))^AI$141-AI$142))),IF(100/AI262&lt;=1/AI$100,0,IF(AI169="Instantaneous",AI$166*((AI69/AI98)*(IF(AI144&gt;AI262/100,AvgTime_Correction,1)*100/AI262))^AI$167-AI$168,AI$140*(AI90*(IF(AI119&gt;AI262/100,AvgTime_Correction,1)*100/AI262)/(AI98*Wind))^AI$141-AI$142))))</f>
        <v>0</v>
      </c>
      <c r="AJ334" s="81"/>
      <c r="AK334" s="2582">
        <f>IF(OR(Flammable_Potential&lt;&gt;"Yes",AK262="",AK90=0),0,IF(OR(Ease_of_Ignition_Feed="High",Aerosol_Potential="Yes"),MAX(Spray_Distance,IF(100/AK262&lt;=1/AK$100,0,IF(AK169="Instantaneous",AK$166*((AK69/AK98)*(IF(AK144&gt;AK262/100,AvgTime_Correction,1)*100/AK262))^AK$167-AK$168,AK$140*(AK90*(IF(AK119&gt;AK262/100,AvgTime_Correction,1)*100/AK262)/(AK98*Wind))^AK$141-AK$142))),IF(100/AK262&lt;=1/AK$100,0,IF(AK169="Instantaneous",AK$166*((AK69/AK98)*(IF(AK144&gt;AK262/100,AvgTime_Correction,1)*100/AK262))^AK$167-AK$168,AK$140*(AK90*(IF(AK119&gt;AK262/100,AvgTime_Correction,1)*100/AK262)/(AK98*Wind))^AK$141-AK$142))))</f>
        <v>0</v>
      </c>
      <c r="AL334" s="81"/>
      <c r="AM334" s="2582">
        <f>IF(OR(Flammable_Potential&lt;&gt;"Yes",AM262="",AM90=0),0,IF(OR(Ease_of_Ignition_Feed="High",Aerosol_Potential="Yes"),MAX(Spray_Distance,IF(100/AM262&lt;=1/AM$100,0,IF(AM169="Instantaneous",AM$166*((AM69/AM98)*(IF(AM144&gt;AM262/100,AvgTime_Correction,1)*100/AM262))^AM$167-AM$168,AM$140*(AM90*(IF(AM119&gt;AM262/100,AvgTime_Correction,1)*100/AM262)/(AM98*Wind))^AM$141-AM$142))),IF(100/AM262&lt;=1/AM$100,0,IF(AM169="Instantaneous",AM$166*((AM69/AM98)*(IF(AM144&gt;AM262/100,AvgTime_Correction,1)*100/AM262))^AM$167-AM$168,AM$140*(AM90*(IF(AM119&gt;AM262/100,AvgTime_Correction,1)*100/AM262)/(AM98*Wind))^AM$141-AM$142))))</f>
        <v>0</v>
      </c>
      <c r="AN334" s="81"/>
      <c r="AO334" s="2582">
        <f>IF(OR(Flammable_Potential&lt;&gt;"Yes",AO262="",AO90=0),0,IF(OR(Ease_of_Ignition_Feed="High",Aerosol_Potential="Yes"),MAX(Spray_Distance,IF(100/AO262&lt;=1/AO$100,0,IF(AO169="Instantaneous",AO$166*((AO69/AO98)*(IF(AO144&gt;AO262/100,AvgTime_Correction,1)*100/AO262))^AO$167-AO$168,AO$140*(AO90*(IF(AO119&gt;AO262/100,AvgTime_Correction,1)*100/AO262)/(AO98*Wind))^AO$141-AO$142))),IF(100/AO262&lt;=1/AO$100,0,IF(AO169="Instantaneous",AO$166*((AO69/AO98)*(IF(AO144&gt;AO262/100,AvgTime_Correction,1)*100/AO262))^AO$167-AO$168,AO$140*(AO90*(IF(AO119&gt;AO262/100,AvgTime_Correction,1)*100/AO262)/(AO98*Wind))^AO$141-AO$142))))</f>
        <v>0</v>
      </c>
      <c r="AP334" s="81"/>
      <c r="AQ334" s="85"/>
      <c r="AR334" s="81"/>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1"/>
      <c r="BS334" s="23" t="s">
        <v>628</v>
      </c>
      <c r="BT334" s="81"/>
      <c r="BU334" s="1181">
        <f>IF(AND(BU318="Yes",BU333&gt;0),IF(VCE_BST_Coeff/BU333^VCE_BST_Exp&lt;VCE_BST_Limit,14.7*VCE_BST_Coeff/BU333^VCE_BST_Exp,14.7*VCE_BST_Limit),0)</f>
        <v>0</v>
      </c>
      <c r="BV334" s="81"/>
      <c r="BW334" s="4239"/>
      <c r="BX334" s="81"/>
      <c r="BY334" s="1181">
        <f>IF(AND(BY318="Yes",BY333&gt;0),IF(VCE_BST_Coeff/BY333^VCE_BST_Exp&lt;VCE_BST_Limit,14.7*VCE_BST_Coeff/BY333^VCE_BST_Exp,14.7*VCE_BST_Limit),0)</f>
        <v>0</v>
      </c>
      <c r="BZ334" s="81"/>
      <c r="CA334" s="1181">
        <f>IF(AND(CA318="Yes",CA333&gt;0),IF(VCE_BST_Coeff/CA333^VCE_BST_Exp&lt;VCE_BST_Limit,14.7*VCE_BST_Coeff/CA333^VCE_BST_Exp,14.7*VCE_BST_Limit),0)</f>
        <v>0</v>
      </c>
      <c r="CB334" s="81"/>
      <c r="CC334" s="4239"/>
      <c r="CD334" s="81"/>
      <c r="CE334" s="85" t="s">
        <v>968</v>
      </c>
      <c r="CF334" s="81"/>
      <c r="CG334" s="26"/>
      <c r="CH334" s="26"/>
      <c r="CI334" s="26"/>
      <c r="CJ334" s="26"/>
      <c r="CK334" s="26"/>
      <c r="CL334" s="26"/>
      <c r="CM334" s="26"/>
      <c r="CN334" s="26"/>
      <c r="CQ334" s="26"/>
    </row>
    <row r="335" spans="1:96" ht="15" customHeight="1" thickBot="1" x14ac:dyDescent="0.3">
      <c r="A335" s="2"/>
      <c r="B335" s="849" t="s">
        <v>1863</v>
      </c>
      <c r="C335" s="83"/>
      <c r="D335" s="1184" t="str">
        <f>IF(OR(D330&gt;Bldg_Type_Correction,D334&gt;Bldg2_Type_Correction),"Yes","No")</f>
        <v>No</v>
      </c>
      <c r="E335" s="83"/>
      <c r="F335" s="1184" t="str">
        <f>IF(OR(F330&gt;Bldg_Type_Correction,F334&gt;Bldg2_Type_Correction),"Yes","No")</f>
        <v>No</v>
      </c>
      <c r="G335" s="83"/>
      <c r="H335" s="1184" t="str">
        <f>IF(OR(H330&gt;Bldg_Type_Correction,H334&gt;Bldg2_Type_Correction),"Yes","No")</f>
        <v>No</v>
      </c>
      <c r="I335" s="83"/>
      <c r="J335" s="1184" t="str">
        <f>IF(OR(J330&gt;Bldg_Type_Correction,J334&gt;Bldg2_Type_Correction),"Yes","No")</f>
        <v>No</v>
      </c>
      <c r="K335" s="83"/>
      <c r="L335" s="1184" t="str">
        <f>IF(OR(L330&gt;Bldg_Type_Correction,L334&gt;Bldg2_Type_Correction),"Yes","No")</f>
        <v>No</v>
      </c>
      <c r="M335" s="83"/>
      <c r="N335" s="1184" t="str">
        <f>IF(OR(N330&gt;Bldg_Type_Correction,N334&gt;Bldg2_Type_Correction),"Yes","No")</f>
        <v>No</v>
      </c>
      <c r="O335" s="83"/>
      <c r="P335" s="1184" t="str">
        <f>IF(OR(P330&gt;Bldg_Type_Correction,P334&gt;Bldg2_Type_Correction),"Yes","No")</f>
        <v>No</v>
      </c>
      <c r="Q335" s="83"/>
      <c r="R335" s="1184" t="str">
        <f>IF(OR(R330&gt;Bldg_Type_Correction,R334&gt;Bldg2_Type_Correction),"Yes","No")</f>
        <v>No</v>
      </c>
      <c r="S335" s="83"/>
      <c r="T335" s="1184" t="str">
        <f>IF(OR(T330&gt;Bldg_Type_Correction,T334&gt;Bldg2_Type_Correction),"Yes","No")</f>
        <v>No</v>
      </c>
      <c r="U335" s="83"/>
      <c r="V335" s="1184" t="str">
        <f>IF(OR(V330&gt;Bldg_Type_Correction,V334&gt;Bldg2_Type_Correction),"Yes","No")</f>
        <v>No</v>
      </c>
      <c r="W335" s="83"/>
      <c r="X335" s="1184" t="str">
        <f>IF(OR(X330&gt;Bldg_Type_Correction,X334&gt;Bldg2_Type_Correction),"Yes","No")</f>
        <v>No</v>
      </c>
      <c r="Y335" s="83"/>
      <c r="Z335" s="104"/>
      <c r="AA335" s="83"/>
      <c r="AB335" s="81"/>
      <c r="AC335" s="851" t="s">
        <v>4725</v>
      </c>
      <c r="AD335" s="81"/>
      <c r="AE335" s="15">
        <f>IF(AE262="",0,IF(AE221="Continuous",MIN(AE90*AE320/Wind,AE70),AE70)*2440/(AE98*AE262*AvgConc_Correction))</f>
        <v>0</v>
      </c>
      <c r="AF335" s="81"/>
      <c r="AG335" s="15">
        <f>IF(AG262="",0,IF(AG221="Continuous",MIN(AG90*AG320/Wind,AG70),AG70)*2440/(AG98*AG262*AvgConc_Correction))</f>
        <v>0</v>
      </c>
      <c r="AH335" s="81"/>
      <c r="AI335" s="15">
        <f>IF(AI262="",0,IF(AI221="Continuous",MIN(AI90*AI320/Wind,AI70),AI70)*2440/(AI98*AI262*AvgConc_Correction))</f>
        <v>0</v>
      </c>
      <c r="AJ335" s="81"/>
      <c r="AK335" s="15">
        <f>IF(AK262="",0,IF(AK221="Continuous",MIN(AK90*AK320/Wind,AK70),AK70)*2440/(AK98*AK262*AvgConc_Correction))</f>
        <v>0</v>
      </c>
      <c r="AL335" s="81"/>
      <c r="AM335" s="15">
        <f>IF(AM262="",0,IF(AM221="Continuous",MIN(AM90*AM320/Wind,AM70),AM70)*2440/(AM98*AM262*AvgConc_Correction))</f>
        <v>0</v>
      </c>
      <c r="AN335" s="81"/>
      <c r="AO335" s="15">
        <f>IF(AO262="",0,IF(AO221="Continuous",MIN(AO90*AO320/Wind,AO70),AO70)*2440/(AO98*AO262*AvgConc_Correction))</f>
        <v>0</v>
      </c>
      <c r="AP335" s="81"/>
      <c r="AQ335" s="85" t="s">
        <v>3803</v>
      </c>
      <c r="AR335" s="81"/>
      <c r="AS335" s="83"/>
      <c r="AT335" s="1403" t="s">
        <v>610</v>
      </c>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1"/>
      <c r="BS335" s="25" t="s">
        <v>1863</v>
      </c>
      <c r="BT335" s="81"/>
      <c r="BU335" s="1184" t="str">
        <f>IF(OR(BU330&gt;Bldg_Type_Correction,BU334&gt;Bldg2_Type_Correction),"Yes","No")</f>
        <v>No</v>
      </c>
      <c r="BV335" s="81"/>
      <c r="BW335" s="4240"/>
      <c r="BX335" s="81"/>
      <c r="BY335" s="1184" t="str">
        <f>IF(OR(BY330&gt;Bldg_Type_Correction,BY334&gt;Bldg2_Type_Correction),"Yes","No")</f>
        <v>No</v>
      </c>
      <c r="BZ335" s="81"/>
      <c r="CA335" s="1184" t="str">
        <f>IF(OR(CA330&gt;Bldg_Type_Correction,CA334&gt;Bldg2_Type_Correction),"Yes","No")</f>
        <v>No</v>
      </c>
      <c r="CB335" s="81"/>
      <c r="CC335" s="4240"/>
      <c r="CD335" s="81"/>
      <c r="CE335" s="1830"/>
      <c r="CF335" s="81"/>
      <c r="CG335" s="26"/>
      <c r="CH335" s="26"/>
      <c r="CI335" s="26"/>
      <c r="CJ335" s="26"/>
      <c r="CK335" s="26"/>
      <c r="CL335" s="26"/>
      <c r="CM335" s="26"/>
      <c r="CN335" s="26"/>
    </row>
    <row r="336" spans="1:96" ht="15" customHeight="1" thickBot="1" x14ac:dyDescent="0.3">
      <c r="A336" s="2"/>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1"/>
      <c r="AC336" s="851" t="s">
        <v>18</v>
      </c>
      <c r="AD336" s="81"/>
      <c r="AE336" s="2846">
        <f>IF(AE332="No",0,IF(AE335*ExplEng_perVolume&lt;ExplEng_Limit,AE335*ExplEng_perVolume,ExplEng_Limit))</f>
        <v>0</v>
      </c>
      <c r="AF336" s="81"/>
      <c r="AG336" s="2846">
        <f>IF(AG332="No",0,IF(AG335*ExplEng_perVolume&lt;ExplEng_Limit,AG335*ExplEng_perVolume,ExplEng_Limit))</f>
        <v>0</v>
      </c>
      <c r="AH336" s="81"/>
      <c r="AI336" s="2846">
        <f>IF(AI332="No",0,IF(AI335*ExplEng_perVolume&lt;ExplEng_Limit,AI335*ExplEng_perVolume,ExplEng_Limit))</f>
        <v>0</v>
      </c>
      <c r="AJ336" s="81"/>
      <c r="AK336" s="2846">
        <f>IF(AK332="No",0,IF(AK335*ExplEng_perVolume&lt;ExplEng_Limit,AK335*ExplEng_perVolume,ExplEng_Limit))</f>
        <v>0</v>
      </c>
      <c r="AL336" s="81"/>
      <c r="AM336" s="2846">
        <f>IF(AM332="No",0,IF(AM335*ExplEng_perVolume&lt;ExplEng_Limit,AM335*ExplEng_perVolume,ExplEng_Limit))</f>
        <v>0</v>
      </c>
      <c r="AN336" s="81"/>
      <c r="AO336" s="2846">
        <f>IF(AO332="No",0,IF(AO335*ExplEng_perVolume&lt;ExplEng_Limit,AO335*ExplEng_perVolume,ExplEng_Limit))</f>
        <v>0</v>
      </c>
      <c r="AP336" s="81"/>
      <c r="AQ336" s="85" t="s">
        <v>1761</v>
      </c>
      <c r="AR336" s="81"/>
      <c r="AS336" s="83"/>
      <c r="AT336" s="85" t="s">
        <v>4222</v>
      </c>
      <c r="AU336" s="83"/>
      <c r="AV336" s="3024" t="str">
        <f>IF(OR(Regulatory_Tox="Yes",AND(ER3_Min&lt;=Toxic_Limit,AV281="Yes")),IF(Conseq_Criteria="Hazard Distance",AV360,AV361),"NA")</f>
        <v>NA</v>
      </c>
      <c r="AW336" s="83"/>
      <c r="AX336" s="3024" t="str">
        <f>IF(OR(Regulatory_Tox="Yes",AND(ER3_Min&lt;=Toxic_Limit,AX281="Yes")),IF(Conseq_Criteria="Hazard Distance",AX360,AX361),"NA")</f>
        <v>NA</v>
      </c>
      <c r="AY336" s="83"/>
      <c r="AZ336" s="3024" t="str">
        <f>IF(OR(Regulatory_Tox="Yes",AND(ER3_Min&lt;=Toxic_Limit,AZ281="Yes")),IF(Conseq_Criteria="Hazard Distance",AZ360,AZ361),"NA")</f>
        <v>NA</v>
      </c>
      <c r="BA336" s="83"/>
      <c r="BB336" s="3024" t="str">
        <f>IF(OR(Regulatory_Tox="Yes",AND(ER3_Min&lt;=Toxic_Limit,BB281="Yes")),IF(Conseq_Criteria="Hazard Distance",BB360,BB361),"NA")</f>
        <v>NA</v>
      </c>
      <c r="BC336" s="83"/>
      <c r="BD336" s="3024" t="str">
        <f>IF(OR(Regulatory_Tox="Yes",AND(ER3_Min&lt;=Toxic_Limit,BD281="Yes")),IF(Conseq_Criteria="Hazard Distance",BD360,BD361),"NA")</f>
        <v>NA</v>
      </c>
      <c r="BE336" s="83"/>
      <c r="BF336" s="3024" t="str">
        <f>IF(OR(Regulatory_Tox="Yes",AND(ER3_Min&lt;=Toxic_Limit,BF281="Yes")),IF(Conseq_Criteria="Hazard Distance",BF360,BF361),"NA")</f>
        <v>NA</v>
      </c>
      <c r="BG336" s="83"/>
      <c r="BH336" s="3024" t="str">
        <f>IF(OR(Regulatory_Tox="Yes",AND(ER3_Min&lt;=Toxic_Limit,BH281="Yes")),IF(Conseq_Criteria="Hazard Distance",BH360,BH361),"NA")</f>
        <v>NA</v>
      </c>
      <c r="BI336" s="83"/>
      <c r="BJ336" s="3024" t="str">
        <f>IF(OR(Regulatory_Tox="Yes",AND(ER3_Min&lt;=Toxic_Limit,BJ281="Yes")),IF(Conseq_Criteria="Hazard Distance",BJ360,BJ361),"NA")</f>
        <v>NA</v>
      </c>
      <c r="BK336" s="83"/>
      <c r="BL336" s="3024" t="str">
        <f>IF(OR(Regulatory_Tox="Yes",AND(ER3_Min&lt;=Toxic_Limit,BL281="Yes")),IF(Conseq_Criteria="Hazard Distance",BL360,BL361),"NA")</f>
        <v>NA</v>
      </c>
      <c r="BM336" s="83"/>
      <c r="BN336" s="3024" t="str">
        <f>IF(OR(Regulatory_Tox="Yes",AND(ER3_Min&lt;=Toxic_Limit,BN281="Yes")),IF(Conseq_Criteria="Hazard Distance",BN360,BN361),"NA")</f>
        <v>NA</v>
      </c>
      <c r="BO336" s="83"/>
      <c r="BP336" s="84"/>
      <c r="BQ336" s="83"/>
      <c r="BR336" s="81"/>
      <c r="BS336" s="84" t="s">
        <v>1395</v>
      </c>
      <c r="BT336" s="81"/>
      <c r="BU336" s="117">
        <f>IF(Mw_Mix=0,0,IF(Equipment="Pump",2*Pump_V,Volume)*(Effective_Fill_Fract*BU27*MAX(10,Liq_rho/(Mw_Mix*(1+Burst_P)/(82.06*(273+BU15))))+(1-Effective_Fill_Fract)))</f>
        <v>0</v>
      </c>
      <c r="BV336" s="81"/>
      <c r="BW336" s="117">
        <f>Deflagration_Volume*1000</f>
        <v>0</v>
      </c>
      <c r="BX336" s="81"/>
      <c r="BY336" s="117">
        <f>IF(Mw_Mix=0,0,IF(Equipment="Pump",2*Pump_V,Volume)*(Effective_Fill_Fract*BY27*MAX(10,Liq_rho_atTBurst/(Mw_Mix*(1+Burst_P)/(82.06*(273+BY15))))+(1-Effective_Fill_Fract)))</f>
        <v>0</v>
      </c>
      <c r="BZ336" s="81"/>
      <c r="CA336" s="117">
        <f>IF(Mw_Mix=0,0,IF(Equipment="Pump",2*Pump_V,Volume)*(Effective_Fill_Fract*CA27*MAX(10,Liq_rho_atTPeak/(Mw_Mix*(1+Burst_P)/(82.06*(273+CA15))))+(1-Effective_Fill_Fract)))</f>
        <v>0</v>
      </c>
      <c r="CB336" s="81"/>
      <c r="CC336" s="117">
        <f>IF(Mw_Mix=0,0,IF(Equipment="Pump",2*Pump_V,Volume)*(Effective_Fill_Fract*CC27*MAX(10,Liq_rho_atTFireBurst/(Mw_Mix*(1+Burst_P)/(82.06*(273+CC15))))+(1-Effective_Fill_Fract)))</f>
        <v>0</v>
      </c>
      <c r="CD336" s="81"/>
      <c r="CE336" s="85" t="s">
        <v>1496</v>
      </c>
      <c r="CF336" s="81"/>
      <c r="CG336" s="26"/>
      <c r="CH336" s="26"/>
      <c r="CI336" s="26"/>
      <c r="CJ336" s="26"/>
      <c r="CK336" s="26"/>
      <c r="CL336" s="26"/>
      <c r="CM336" s="26"/>
      <c r="CN336" s="26"/>
    </row>
    <row r="337" spans="1:92" ht="15" customHeight="1" x14ac:dyDescent="0.25">
      <c r="A337" s="2"/>
      <c r="B337" s="1403" t="s">
        <v>610</v>
      </c>
      <c r="C337" s="83"/>
      <c r="D337" s="2"/>
      <c r="E337" s="83"/>
      <c r="F337" s="2"/>
      <c r="G337" s="83"/>
      <c r="H337" s="2"/>
      <c r="I337" s="83"/>
      <c r="J337" s="2"/>
      <c r="K337" s="83"/>
      <c r="L337" s="2"/>
      <c r="M337" s="83"/>
      <c r="N337" s="2"/>
      <c r="O337" s="83"/>
      <c r="P337" s="2"/>
      <c r="Q337" s="83"/>
      <c r="R337" s="2"/>
      <c r="S337" s="83"/>
      <c r="T337" s="2"/>
      <c r="U337" s="83"/>
      <c r="V337" s="2"/>
      <c r="W337" s="83"/>
      <c r="X337" s="2"/>
      <c r="Y337" s="83"/>
      <c r="Z337" s="2"/>
      <c r="AA337" s="83"/>
      <c r="AB337" s="81"/>
      <c r="AC337" s="851" t="s">
        <v>695</v>
      </c>
      <c r="AD337" s="81"/>
      <c r="AE337" s="2846" t="str">
        <f>IF(Flash_Pt_Feed="","",IF(OR(AND(AE334&gt;10,FiredEq_ProcessArea="within 10 m (33 ft)"),AND(AE334&gt;20,FiredEq_ProcessArea="within 20 m (65 ft)"),AND(AE334&gt;30,FiredEq_ProcessArea="within 30 m (100 ft)"),Ease_of_Ignition_Feed="High",AE9&gt;IF(AIgnite_Feed&lt;&gt;"",AIgnite_Feed,AIDefault)),0,IF(Ease_of_Ignition_Feed="Low",IF(AE334&lt;FFire_Low_Dist,3,IF(AE334&gt;FFire_High_Dist,1,2)),IF(Ease_of_Ignition_Feed="Elevated",IF(AE334&lt;FFire_Low_Dist,1,0),IF(AE334&lt;FFire_Low_Dist,2,IF(AE334&lt;FFire_High_Dist,1,0))))))</f>
        <v/>
      </c>
      <c r="AF337" s="81"/>
      <c r="AG337" s="2846" t="str">
        <f>IF(Flash_Pt_Feed="","",IF(OR(AND(AG334&gt;10,FiredEq_ProcessArea="within 10 m (33 ft)"),AND(AG334&gt;20,FiredEq_ProcessArea="within 20 m (65 ft)"),AND(AG334&gt;30,FiredEq_ProcessArea="within 30 m (100 ft)"),Ease_of_Ignition_Feed="High",AG9&gt;IF(AIgnite_Feed&lt;&gt;"",AIgnite_Feed,AIDefault)),0,IF(Ease_of_Ignition_Feed="Low",IF(AG334&lt;FFire_Low_Dist,3,IF(AG334&gt;FFire_High_Dist,1,2)),IF(Ease_of_Ignition_Feed="Elevated",IF(AG334&lt;FFire_Low_Dist,1,0),IF(AG334&lt;FFire_Low_Dist,2,IF(AG334&lt;FFire_High_Dist,1,0))))))</f>
        <v/>
      </c>
      <c r="AH337" s="81"/>
      <c r="AI337" s="2846" t="str">
        <f>IF(Flash_Pt_Feed="","",IF(OR(AND(AI334&gt;10,FiredEq_ProcessArea="within 10 m (33 ft)"),AND(AI334&gt;20,FiredEq_ProcessArea="within 20 m (65 ft)"),AND(AI334&gt;30,FiredEq_ProcessArea="within 30 m (100 ft)"),Ease_of_Ignition_Feed="High",AI9&gt;IF(AIgnite_Feed&lt;&gt;"",AIgnite_Feed,AIDefault)),0,IF(Ease_of_Ignition_Feed="Low",IF(AI334&lt;FFire_Low_Dist,3,IF(AI334&gt;FFire_High_Dist,1,2)),IF(Ease_of_Ignition_Feed="Elevated",IF(AI334&lt;FFire_Low_Dist,1,0),IF(AI334&lt;FFire_Low_Dist,2,IF(AI334&lt;FFire_High_Dist,1,0))))))</f>
        <v/>
      </c>
      <c r="AJ337" s="81"/>
      <c r="AK337" s="2846" t="str">
        <f>IF(Flash_Pt_Feed="","",IF(OR(AND(AK334&gt;10,FiredEq_ProcessArea="within 10 m (33 ft)"),AND(AK334&gt;20,FiredEq_ProcessArea="within 20 m (65 ft)"),AND(AK334&gt;30,FiredEq_ProcessArea="within 30 m (100 ft)"),Ease_of_Ignition_Feed="High",AK9&gt;IF(AIgnite_Feed&lt;&gt;"",AIgnite_Feed,AIDefault)),0,IF(Ease_of_Ignition_Feed="Low",IF(AK334&lt;FFire_Low_Dist,3,IF(AK334&gt;FFire_High_Dist,1,2)),IF(Ease_of_Ignition_Feed="Elevated",IF(AK334&lt;FFire_Low_Dist,1,0),IF(AK334&lt;FFire_Low_Dist,2,IF(AK334&lt;FFire_High_Dist,1,0))))))</f>
        <v/>
      </c>
      <c r="AL337" s="81"/>
      <c r="AM337" s="2846" t="str">
        <f>IF(Flash_Pt_Feed="","",IF(OR(AND(AM334&gt;10,FiredEq_ProcessArea="within 10 m (33 ft)"),AND(AM334&gt;20,FiredEq_ProcessArea="within 20 m (65 ft)"),AND(AM334&gt;30,FiredEq_ProcessArea="within 30 m (100 ft)"),Ease_of_Ignition_Feed="High",AM9&gt;IF(AIgnite_Feed&lt;&gt;"",AIgnite_Feed,AIDefault)),0,IF(Ease_of_Ignition_Feed="Low",IF(AM334&lt;FFire_Low_Dist,3,IF(AM334&gt;FFire_High_Dist,1,2)),IF(Ease_of_Ignition_Feed="Elevated",IF(AM334&lt;FFire_Low_Dist,1,0),IF(AM334&lt;FFire_Low_Dist,2,IF(AM334&lt;FFire_High_Dist,1,0))))))</f>
        <v/>
      </c>
      <c r="AN337" s="81"/>
      <c r="AO337" s="2846" t="str">
        <f>IF(Flash_Pt_Feed="","",IF(OR(AND(AO334&gt;10,FiredEq_ProcessArea="within 10 m (33 ft)"),AND(AO334&gt;20,FiredEq_ProcessArea="within 20 m (65 ft)"),AND(AO334&gt;30,FiredEq_ProcessArea="within 30 m (100 ft)"),Ease_of_Ignition_Feed="High",AO9&gt;IF(AIgnite_Feed&lt;&gt;"",AIgnite_Feed,AIDefault)),0,IF(Ease_of_Ignition_Feed="Low",IF(AO334&lt;FFire_Low_Dist,3,IF(AO334&gt;FFire_High_Dist,1,2)),IF(Ease_of_Ignition_Feed="Elevated",IF(AO334&lt;FFire_Low_Dist,1,0),IF(AO334&lt;FFire_Low_Dist,2,IF(AO334&lt;FFire_High_Dist,1,0))))))</f>
        <v/>
      </c>
      <c r="AP337" s="81"/>
      <c r="AQ337" s="85"/>
      <c r="AR337" s="81"/>
      <c r="AS337" s="83"/>
      <c r="AT337" s="23" t="s">
        <v>3628</v>
      </c>
      <c r="AU337" s="83"/>
      <c r="AV337" s="1206">
        <f>IF(AND(AV82&gt;0,AV274&gt;0),IF(AV278="Indoors",IF(AV299&lt;=AV274,0,AV$124*((IF(Enclosed_Ventilation_Rate&gt;1,Enclosed_Ventilation_Rate,1)*Enclosed_Process_Volume*AV82*AV299/88020000000)*1000000*(1/AV274-1/AV299)/(AV82*Wind))^AV$125),IF(OR(AV274=0,AV274=1000000),0,MAX(0,IF(AV153="Instantaneous",AV$150*((AV67/AV82)*(1000000/AV274))^AV$151-AV$152,AV$124*(AV73*(1000000/AV274)/(AV82*Wind))^AV$125-AV$126)))),0.1)</f>
        <v>0.1</v>
      </c>
      <c r="AW337" s="83"/>
      <c r="AX337" s="1206">
        <f>IF(AND(AX82&gt;0,AX274&gt;0),IF(AX278="Indoors",IF(AX299&lt;=AX274,0,AX$124*((IF(Enclosed_Ventilation_Rate&gt;1,Enclosed_Ventilation_Rate,1)*Enclosed_Process_Volume*AX82*AX299/88020000000)*1000000*(1/AX274-1/AX299)/(AX82*Wind))^AX$125),IF(OR(AX274=0,AX274=1000000),0,MAX(0,IF(AX153="Instantaneous",AX$150*((AX67/AX82)*(1000000/AX274))^AX$151-AX$152+AX92,AX$124*(AX73*(1000000/AX274)/(AX82*Wind))^AX$125-AX$126+AX92)))),0.1)</f>
        <v>0.1</v>
      </c>
      <c r="AY337" s="83"/>
      <c r="AZ337" s="1206">
        <f>IF(AND(AZ82&gt;0,AZ274&gt;0),IF(AZ278="Indoors",IF(AZ299&lt;=AZ274,0,AZ$124*((IF(Enclosed_Ventilation_Rate&gt;1,Enclosed_Ventilation_Rate,1)*Enclosed_Process_Volume*AZ82*AZ299/88020000000)*1000000*(1/AZ274-1/AZ299)/(AZ82*Wind))^AZ$125),IF(OR(AZ274=0,AZ274=1000000),0,MAX(0,IF(AZ153="Instantaneous",AZ$150*((AZ67/AZ82)*(1000000/AZ274))^AZ$151-AZ$152+AZ92,AZ$124*(AZ73*(1000000/AZ274)/(AZ82*Wind))^AZ$125-AZ$126+AZ92)))),0.1)</f>
        <v>0.1</v>
      </c>
      <c r="BA337" s="83"/>
      <c r="BB337" s="1206">
        <f>IF(AND(BB82&gt;0,BB274&gt;0),IF(BB278="Indoors",IF(BB299&lt;=BB274,0,BB$124*((IF(Enclosed_Ventilation_Rate&gt;1,Enclosed_Ventilation_Rate,1)*Enclosed_Process_Volume*BB82*BB299/88020000000)*1000000*(1/BB274-1/BB299)/(BB82*Wind))^BB$125),IF(OR(BB274=0,BB274=1000000),0,MAX(0,IF(BB153="Instantaneous",BB$150*((BB67/BB82)*(1000000/BB274))^BB$151-BB$152+BB92,BB$124*(BB73*(1000000/BB274)/(BB82*Wind))^BB$125-BB$126+BB92)))),0.1)</f>
        <v>0.1</v>
      </c>
      <c r="BC337" s="83"/>
      <c r="BD337" s="1206">
        <f>IF(AND(BD82&gt;0,BD274&gt;0),IF(BD278="Indoors",IF(BD299&lt;=BD274,0,BD$124*((IF(Enclosed_Ventilation_Rate&gt;1,Enclosed_Ventilation_Rate,1)*Enclosed_Process_Volume*BD82*BD299/88020000000)*1000000*(1/BD274-1/BD299)/(BD82*Wind))^BD$125),IF(OR(BD274=0,BD274=1000000),0,MAX(0,IF(BD153="Instantaneous",BD$150*((BD67/BD82)*(1000000/BD274))^BD$151-BD$152+BD92,BD$124*(BD73*(1000000/BD274)/(BD82*Wind))^BD$125-BD$126+BD92)))),0.1)</f>
        <v>0.1</v>
      </c>
      <c r="BE337" s="83"/>
      <c r="BF337" s="1206">
        <f>IF(AND(BF82&gt;0,BF274&gt;0),IF(BF278="Indoors",IF(BF299&lt;=BF274,0,BF$124*((IF(Enclosed_Ventilation_Rate&gt;1,Enclosed_Ventilation_Rate,1)*Enclosed_Process_Volume*BF82*BF299/88020000000)*1000000*(1/BF274-1/BF299)/(BF82*Wind))^BF$125),IF(OR(BF274=0,BF274=1000000),0,MAX(0,IF(BF153="Instantaneous",BF$150*((BF67/BF82)*(1000000/BF274))^BF$151-BF$152+BF92,BF$124*(BF73*(1000000/BF274)/(BF82*Wind))^BF$125-BF$126+BF92)))),0.1)</f>
        <v>0.1</v>
      </c>
      <c r="BG337" s="83"/>
      <c r="BH337" s="1206">
        <f>IF(AND(BH82&gt;0,BH274&gt;0),IF(BH278="Indoors",IF(BH299&lt;=BH274,0,BH$124*((IF(Enclosed_Ventilation_Rate&gt;1,Enclosed_Ventilation_Rate,1)*Enclosed_Process_Volume*BH82*BH299/88020000000)*1000000*(1/BH274-1/BH299)/(BH82*Wind))^BH$125),IF(OR(BH274=0,BH274=1000000),0,MAX(0,IF(BH153="Instantaneous",BH$150*((BH67/BH82)*(1000000/BH274))^BH$151-BH$152+BH92,BH$124*(BH73*(1000000/BH274)/(BH82*Wind))^BH$125-BH$126+BH92)))),0.1)</f>
        <v>0.1</v>
      </c>
      <c r="BI337" s="83"/>
      <c r="BJ337" s="1206">
        <f>IF(AND(BJ82&gt;0,BJ274&gt;0),IF(BJ278="Indoors",IF(BJ299&lt;=BJ274,0,BJ$124*((IF(Enclosed_Ventilation_Rate&gt;1,Enclosed_Ventilation_Rate,1)*Enclosed_Process_Volume*BJ82*BJ299/88020000000)*1000000*(1/BJ274-1/BJ299)/(BJ82*Wind))^BJ$125),IF(OR(BJ274=0,BJ274=1000000),0,MAX(0,IF(BJ153="Instantaneous",BJ$150*((BJ67/BJ82)*(1000000/BJ274))^BJ$151-BJ$152+BJ92,BJ$124*(BJ73*(1000000/BJ274)/(BJ82*Wind))^BJ$125-BJ$126+BJ92)))),0.1)</f>
        <v>0.1</v>
      </c>
      <c r="BK337" s="83"/>
      <c r="BL337" s="1206">
        <f>IF(AND(BL82&gt;0,BL274&gt;0),IF(BL278="Indoors",IF(BL299&lt;=BL274,0,BL$124*((IF(Enclosed_Ventilation_Rate&gt;1,Enclosed_Ventilation_Rate,1)*Enclosed_Process_Volume*BL82*BL299/88020000000)*1000000*(1/BL274-1/BL299)/(BL82*Wind))^BL$125),IF(OR(BL274=0,BL274=1000000),0,MAX(0,IF(BL153="Instantaneous",BL$150*((BL67/BL82)*(1000000/BL274))^BL$151-BL$152+BL92,BL$124*(BL73*(1000000/BL274)/(BL82*Wind))^BL$125-BL$126+BL92)))),0.1)</f>
        <v>0.1</v>
      </c>
      <c r="BM337" s="83"/>
      <c r="BN337" s="1206">
        <f>IF(AND(BN82&gt;0,BN274&gt;0),IF(BN278="Indoors",IF(BN299&lt;=BN274,0,BN$124*((IF(Enclosed_Ventilation_Rate&gt;1,Enclosed_Ventilation_Rate,1)*Enclosed_Process_Volume*BN82*BN299/88020000000)*1000000*(1/BN274-1/BN299)/(BN82*Wind))^BN$125),IF(OR(BN274=0,BN274=1000000),0,MAX(0,IF(BN153="Instantaneous",BN$150*((BN67/BN82)*(1000000/BN274))^BN$151-BN$152+BN92,BN$124*(BN73*(1000000/BN274)/(BN82*Wind))^BN$125-BN$126+BN92)))),0.1)</f>
        <v>0.1</v>
      </c>
      <c r="BO337" s="83"/>
      <c r="BP337" s="85" t="s">
        <v>1068</v>
      </c>
      <c r="BQ337" s="83"/>
      <c r="BR337" s="81"/>
      <c r="BS337" s="23" t="s">
        <v>1064</v>
      </c>
      <c r="BT337" s="81"/>
      <c r="BU337" s="109"/>
      <c r="BV337" s="81"/>
      <c r="BW337" s="2115"/>
      <c r="BX337" s="81"/>
      <c r="BY337" s="3043" t="str">
        <f>'Special Calcs'!G141</f>
        <v>No</v>
      </c>
      <c r="BZ337" s="81"/>
      <c r="CA337" s="3043"/>
      <c r="CB337" s="81"/>
      <c r="CC337" s="2103" t="str">
        <f>Fire_Duration_Rupture</f>
        <v/>
      </c>
      <c r="CD337" s="81"/>
      <c r="CE337" s="85"/>
      <c r="CF337" s="81"/>
      <c r="CG337" s="26"/>
      <c r="CH337" s="26"/>
      <c r="CI337" s="26"/>
      <c r="CJ337" s="26"/>
      <c r="CK337" s="26"/>
      <c r="CL337" s="26"/>
      <c r="CM337" s="26"/>
      <c r="CN337" s="26"/>
    </row>
    <row r="338" spans="1:92" ht="15" customHeight="1" x14ac:dyDescent="0.25">
      <c r="A338" s="2"/>
      <c r="B338" s="85" t="s">
        <v>4222</v>
      </c>
      <c r="C338" s="83"/>
      <c r="D338" s="3011" t="str">
        <f>IF(OR(Regulatory_Tox="Yes",AND(ER3_Min&lt;=Toxic_Limit,D284="Yes")),IF(Conseq_Criteria="Hazard Distance",D362,D363),"NA")</f>
        <v>NA</v>
      </c>
      <c r="E338" s="83"/>
      <c r="F338" s="3011" t="str">
        <f>IF(OR(Regulatory_Tox="Yes",AND(ER3_Min&lt;=Toxic_Limit,F284="Yes")),IF(Conseq_Criteria="Hazard Distance",F362,F363),"NA")</f>
        <v>NA</v>
      </c>
      <c r="G338" s="83"/>
      <c r="H338" s="3011" t="str">
        <f>IF(OR(Regulatory_Tox="Yes",AND(ER3_Min&lt;=Toxic_Limit,H284="Yes")),IF(Conseq_Criteria="Hazard Distance",H362,H363),"NA")</f>
        <v>NA</v>
      </c>
      <c r="I338" s="83"/>
      <c r="J338" s="3011" t="str">
        <f>IF(OR(Regulatory_Tox="Yes",AND(ER3_Min&lt;=Toxic_Limit,J284="Yes")),IF(Conseq_Criteria="Hazard Distance",J362,J363),"NA")</f>
        <v>NA</v>
      </c>
      <c r="K338" s="83"/>
      <c r="L338" s="3011" t="str">
        <f>IF(OR(Regulatory_Tox="Yes",AND(ER3_Min&lt;=Toxic_Limit,L284="Yes")),IF(Conseq_Criteria="Hazard Distance",L362,L363),"NA")</f>
        <v>NA</v>
      </c>
      <c r="M338" s="83"/>
      <c r="N338" s="3011" t="str">
        <f>IF(OR(Regulatory_Tox="Yes",AND(ER3_Min&lt;=Toxic_Limit,N284="Yes")),IF(Conseq_Criteria="Hazard Distance",N362,N363),"NA")</f>
        <v>NA</v>
      </c>
      <c r="O338" s="83"/>
      <c r="P338" s="3011" t="str">
        <f>IF(OR(Regulatory_Tox="Yes",AND(ER3_Min&lt;=Toxic_Limit,P284="Yes")),IF(Conseq_Criteria="Hazard Distance",P362,P363),"NA")</f>
        <v>NA</v>
      </c>
      <c r="Q338" s="83"/>
      <c r="R338" s="3011" t="str">
        <f>IF(OR(Regulatory_Tox="Yes",AND(ER3_Min&lt;=Toxic_Limit,R284="Yes")),IF(Conseq_Criteria="Hazard Distance",R362,R363),"NA")</f>
        <v>NA</v>
      </c>
      <c r="S338" s="83"/>
      <c r="T338" s="3011" t="str">
        <f>IF(OR(Regulatory_Tox="Yes",AND(ER3_Min&lt;=Toxic_Limit,T284="Yes")),IF(Conseq_Criteria="Hazard Distance",T362,T363),"NA")</f>
        <v>NA</v>
      </c>
      <c r="U338" s="83"/>
      <c r="V338" s="3011" t="str">
        <f>IF(OR(Regulatory_Tox="Yes",AND(ER3_Min&lt;=Toxic_Limit,V284="Yes")),IF(Conseq_Criteria="Hazard Distance",V362,V363),"NA")</f>
        <v>NA</v>
      </c>
      <c r="W338" s="83"/>
      <c r="X338" s="3011" t="str">
        <f>IF(OR(Regulatory_Tox="Yes",AND(ER3_Min&lt;=Toxic_Limit,X284="Yes")),IF(Conseq_Criteria="Hazard Distance",X362,X363),"NA")</f>
        <v>NA</v>
      </c>
      <c r="Y338" s="83"/>
      <c r="Z338" s="23"/>
      <c r="AA338" s="83"/>
      <c r="AB338" s="81"/>
      <c r="AC338" s="851" t="s">
        <v>694</v>
      </c>
      <c r="AD338" s="81"/>
      <c r="AE338" s="2846" t="str">
        <f>IF(Flash_Pt_Feed="","",IF(OR(AND(AE334&gt;10,FiredEq_ProcessArea="within 10 m (33 ft)"),AND(AE334&gt;20,FiredEq_ProcessArea="within 20 m (65 ft)"),AND(AE334&gt;30,FiredEq_ProcessArea="within 30 m (100 ft)"),Ease_of_Ignition_Feed="High",AE9&gt;IF(AIgnite_Feed&lt;&gt;"",AIgnite_Feed,AIDefault)),0,IF(Ease_of_Ignition_Feed="Low",IF(AE334&lt;VCE_Low_Dist,3,IF(AE334&gt;VCE_High_Dist,1,2)),IF(Ease_of_Ignition_Feed="Elevated",IF(AE334&lt;VCE_Low_Dist,1,0),IF(AE334&lt;VCE_Low_Dist,2,IF(AE334&lt;VCE_High_Dist,1,0))))))</f>
        <v/>
      </c>
      <c r="AF338" s="81"/>
      <c r="AG338" s="2846" t="str">
        <f>IF(Flash_Pt_Feed="","",IF(OR(AND(AG334&gt;10,FiredEq_ProcessArea="within 10 m (33 ft)"),AND(AG334&gt;20,FiredEq_ProcessArea="within 20 m (65 ft)"),AND(AG334&gt;30,FiredEq_ProcessArea="within 30 m (100 ft)"),Ease_of_Ignition_Feed="High",AG9&gt;IF(AIgnite_Feed&lt;&gt;"",AIgnite_Feed,AIDefault)),0,IF(Ease_of_Ignition_Feed="Low",IF(AG334&lt;VCE_Low_Dist,3,IF(AG334&gt;VCE_High_Dist,1,2)),IF(Ease_of_Ignition_Feed="Elevated",IF(AG334&lt;VCE_Low_Dist,1,0),IF(AG334&lt;VCE_Low_Dist,2,IF(AG334&lt;VCE_High_Dist,1,0))))))</f>
        <v/>
      </c>
      <c r="AH338" s="81"/>
      <c r="AI338" s="2846" t="str">
        <f>IF(Flash_Pt_Feed="","",IF(OR(AND(AI334&gt;10,FiredEq_ProcessArea="within 10 m (33 ft)"),AND(AI334&gt;20,FiredEq_ProcessArea="within 20 m (65 ft)"),AND(AI334&gt;30,FiredEq_ProcessArea="within 30 m (100 ft)"),Ease_of_Ignition_Feed="High",AI9&gt;IF(AIgnite_Feed&lt;&gt;"",AIgnite_Feed,AIDefault)),0,IF(Ease_of_Ignition_Feed="Low",IF(AI334&lt;VCE_Low_Dist,3,IF(AI334&gt;VCE_High_Dist,1,2)),IF(Ease_of_Ignition_Feed="Elevated",IF(AI334&lt;VCE_Low_Dist,1,0),IF(AI334&lt;VCE_Low_Dist,2,IF(AI334&lt;VCE_High_Dist,1,0))))))</f>
        <v/>
      </c>
      <c r="AJ338" s="81"/>
      <c r="AK338" s="2846" t="str">
        <f>IF(Flash_Pt_Feed="","",IF(OR(AND(AK334&gt;10,FiredEq_ProcessArea="within 10 m (33 ft)"),AND(AK334&gt;20,FiredEq_ProcessArea="within 20 m (65 ft)"),AND(AK334&gt;30,FiredEq_ProcessArea="within 30 m (100 ft)"),Ease_of_Ignition_Feed="High",AK9&gt;IF(AIgnite_Feed&lt;&gt;"",AIgnite_Feed,AIDefault)),0,IF(Ease_of_Ignition_Feed="Low",IF(AK334&lt;VCE_Low_Dist,3,IF(AK334&gt;VCE_High_Dist,1,2)),IF(Ease_of_Ignition_Feed="Elevated",IF(AK334&lt;VCE_Low_Dist,1,0),IF(AK334&lt;VCE_Low_Dist,2,IF(AK334&lt;VCE_High_Dist,1,0))))))</f>
        <v/>
      </c>
      <c r="AL338" s="81"/>
      <c r="AM338" s="2846" t="str">
        <f>IF(Flash_Pt_Feed="","",IF(OR(AND(AM334&gt;10,FiredEq_ProcessArea="within 10 m (33 ft)"),AND(AM334&gt;20,FiredEq_ProcessArea="within 20 m (65 ft)"),AND(AM334&gt;30,FiredEq_ProcessArea="within 30 m (100 ft)"),Ease_of_Ignition_Feed="High",AM9&gt;IF(AIgnite_Feed&lt;&gt;"",AIgnite_Feed,AIDefault)),0,IF(Ease_of_Ignition_Feed="Low",IF(AM334&lt;VCE_Low_Dist,3,IF(AM334&gt;VCE_High_Dist,1,2)),IF(Ease_of_Ignition_Feed="Elevated",IF(AM334&lt;VCE_Low_Dist,1,0),IF(AM334&lt;VCE_Low_Dist,2,IF(AM334&lt;VCE_High_Dist,1,0))))))</f>
        <v/>
      </c>
      <c r="AN338" s="81"/>
      <c r="AO338" s="2846" t="str">
        <f>IF(Flash_Pt_Feed="","",IF(OR(AND(AO334&gt;10,FiredEq_ProcessArea="within 10 m (33 ft)"),AND(AO334&gt;20,FiredEq_ProcessArea="within 20 m (65 ft)"),AND(AO334&gt;30,FiredEq_ProcessArea="within 30 m (100 ft)"),Ease_of_Ignition_Feed="High",AO9&gt;IF(AIgnite_Feed&lt;&gt;"",AIgnite_Feed,AIDefault)),0,IF(Ease_of_Ignition_Feed="Low",IF(AO334&lt;VCE_Low_Dist,3,IF(AO334&gt;VCE_High_Dist,1,2)),IF(Ease_of_Ignition_Feed="Elevated",IF(AO334&lt;VCE_Low_Dist,1,0),IF(AO334&lt;VCE_Low_Dist,2,IF(AO334&lt;VCE_High_Dist,1,0))))))</f>
        <v/>
      </c>
      <c r="AP338" s="81"/>
      <c r="AQ338" s="85"/>
      <c r="AR338" s="81"/>
      <c r="AS338" s="83"/>
      <c r="AT338" s="23" t="s">
        <v>3629</v>
      </c>
      <c r="AU338" s="83"/>
      <c r="AV338" s="1206" t="e">
        <f>IF(AV153="Instantaneous",Dispersion_I,Dispersion_D)*(MAX(AV337,Public,(AV93-MIN(AV93,WorkArea_Elevation))*Dispersion_E^0.5)^2-MAX(Public,(AV93-MIN(AV93,WorkArea_Elevation))*Dispersion_E^0.5)^2)</f>
        <v>#DIV/0!</v>
      </c>
      <c r="AW338" s="83"/>
      <c r="AX338" s="1206" t="e">
        <f>IF(AX153="Instantaneous",Dispersion_I,Dispersion_D)*(MAX(AX337,Public,(AX93-MIN(AX93,WorkArea_Elevation))*Dispersion_E^0.5)^2-MAX(Public,(AX93-MIN(AX93,WorkArea_Elevation))*Dispersion_E^0.5)^2)</f>
        <v>#DIV/0!</v>
      </c>
      <c r="AY338" s="83"/>
      <c r="AZ338" s="1206" t="e">
        <f>IF(AZ153="Instantaneous",Dispersion_I,Dispersion_D)*(MAX(AZ337,Public,(AZ93-MIN(AZ93,WorkArea_Elevation))*Dispersion_E^0.5)^2-MAX(Public,(AZ93-MIN(AZ93,WorkArea_Elevation))*Dispersion_E^0.5)^2)</f>
        <v>#DIV/0!</v>
      </c>
      <c r="BA338" s="83"/>
      <c r="BB338" s="1206" t="e">
        <f>IF(BB153="Instantaneous",Dispersion_I,Dispersion_D)*(MAX(BB337,Public,(BB93-MIN(BB93,WorkArea_Elevation))*Dispersion_E^0.5)^2-MAX(Public,(BB93-MIN(BB93,WorkArea_Elevation))*Dispersion_E^0.5)^2)</f>
        <v>#DIV/0!</v>
      </c>
      <c r="BC338" s="83"/>
      <c r="BD338" s="1206" t="e">
        <f>IF(BD153="Instantaneous",Dispersion_I,Dispersion_D)*(MAX(BD337,Public,(BD93-MIN(BD93,WorkArea_Elevation))*Dispersion_E^0.5)^2-MAX(Public,(BD93-MIN(BD93,WorkArea_Elevation))*Dispersion_E^0.5)^2)</f>
        <v>#DIV/0!</v>
      </c>
      <c r="BE338" s="83"/>
      <c r="BF338" s="1206" t="e">
        <f>IF(BF153="Instantaneous",Dispersion_I,Dispersion_D)*(MAX(BF337,Public,(BF93-MIN(BF93,WorkArea_Elevation))*Dispersion_E^0.5)^2-MAX(Public,(BF93-MIN(BF93,WorkArea_Elevation))*Dispersion_E^0.5)^2)</f>
        <v>#DIV/0!</v>
      </c>
      <c r="BG338" s="83"/>
      <c r="BH338" s="1206" t="e">
        <f>IF(BH153="Instantaneous",Dispersion_I,Dispersion_D)*(MAX(BH337,Public,(BH93-MIN(BH93,WorkArea_Elevation))*Dispersion_E^0.5)^2-MAX(Public,(BH93-MIN(BH93,WorkArea_Elevation))*Dispersion_E^0.5)^2)</f>
        <v>#DIV/0!</v>
      </c>
      <c r="BI338" s="83"/>
      <c r="BJ338" s="1206" t="e">
        <f>IF(BJ153="Instantaneous",Dispersion_I,Dispersion_D)*(MAX(BJ337,Public,(BJ93-MIN(BJ93,WorkArea_Elevation))*Dispersion_E^0.5)^2-MAX(Public,(BJ93-MIN(BJ93,WorkArea_Elevation))*Dispersion_E^0.5)^2)</f>
        <v>#DIV/0!</v>
      </c>
      <c r="BK338" s="83"/>
      <c r="BL338" s="1206" t="e">
        <f>IF(BL153="Instantaneous",Dispersion_I,Dispersion_D)*(MAX(BL337,Public,(BL93-MIN(BL93,WorkArea_Elevation))*Dispersion_E^0.5)^2-MAX(Public,(BL93-MIN(BL93,WorkArea_Elevation))*Dispersion_E^0.5)^2)</f>
        <v>#DIV/0!</v>
      </c>
      <c r="BM338" s="83"/>
      <c r="BN338" s="1206" t="e">
        <f>IF(BN153="Instantaneous",Dispersion_I,Dispersion_D)*(MAX(BN337,Public,(BN93-MIN(BN93,WorkArea_Elevation))*Dispersion_E^0.5)^2-MAX(Public,(BN93-MIN(BN93,WorkArea_Elevation))*Dispersion_E^0.5)^2)</f>
        <v>#DIV/0!</v>
      </c>
      <c r="BO338" s="83"/>
      <c r="BP338" s="85" t="s">
        <v>3804</v>
      </c>
      <c r="BQ338" s="83"/>
      <c r="BR338" s="81"/>
      <c r="BS338" s="23" t="s">
        <v>135</v>
      </c>
      <c r="BT338" s="81"/>
      <c r="BU338" s="109"/>
      <c r="BV338" s="81"/>
      <c r="BW338" s="2115"/>
      <c r="BX338" s="81"/>
      <c r="BY338" s="276" t="str">
        <f>IF(OR('Special Calcs'!G143="Yes",'Special Calcs'!G159="Yes"),"Yes","No")</f>
        <v>No</v>
      </c>
      <c r="BZ338" s="81"/>
      <c r="CA338" s="276"/>
      <c r="CB338" s="81"/>
      <c r="CC338" s="2103" t="str">
        <f>Fire_Duration_Rupture</f>
        <v/>
      </c>
      <c r="CD338" s="81"/>
      <c r="CE338" s="85"/>
      <c r="CF338" s="81"/>
      <c r="CG338" s="26"/>
      <c r="CH338" s="26"/>
      <c r="CI338" s="26"/>
      <c r="CJ338" s="26"/>
      <c r="CK338" s="26"/>
      <c r="CL338" s="26"/>
      <c r="CM338" s="26"/>
      <c r="CN338" s="26"/>
    </row>
    <row r="339" spans="1:92" ht="15" customHeight="1" x14ac:dyDescent="0.25">
      <c r="A339" s="2"/>
      <c r="B339" s="23" t="s">
        <v>3628</v>
      </c>
      <c r="C339" s="83"/>
      <c r="D339" s="1206">
        <f>IF(AND(D277&gt;0,D98&gt;0),IF(Location="Indoors",IF(D301&lt;=D277,0.1,D$127*((IF(Enclosed_Ventilation_Rate&gt;1,Enclosed_Ventilation_Rate,1)*Enclosed_Process_Volume*D98*D301/88020000000)*1000000*(1/D277-1/D301)/(D98*Wind))^D$128),IF(OR(D277=0,D277&gt;=1000000*D$99),0,IF(D156="Instantaneous",D$153*((D83/D98)*(1000000/D277))^D$154-D$155,D$127*(D89*(1000000/D277)/(D98*Wind))^D$128-D$129))),0.1)</f>
        <v>0.1</v>
      </c>
      <c r="E339" s="83"/>
      <c r="F339" s="1206">
        <f>IF(AND(F277&gt;0,F98&gt;0),IF(Location="Indoors",IF(F301&lt;=F277,0.1,F$127*((IF(Enclosed_Ventilation_Rate&gt;1,Enclosed_Ventilation_Rate,1)*Enclosed_Process_Volume*F98*F301/88020000000)*1000000*(1/F277-1/F301)/(F98*Wind))^F$128),IF(OR(F277=0,F277&gt;=1000000*F$99),0,IF(F156="Instantaneous",F$153*((F83/F98)*(1000000/F277))^F$154-F$155,F$127*(F89*(1000000/F277)/(F98*Wind))^F$128-F$129))),0.1)</f>
        <v>0.1</v>
      </c>
      <c r="G339" s="83"/>
      <c r="H339" s="1206">
        <f>IF(AND(H277&gt;0,H98&gt;0),IF(Location="Indoors",IF(H301&lt;=H277,0.1,H$127*((IF(Enclosed_Ventilation_Rate&gt;1,Enclosed_Ventilation_Rate,1)*Enclosed_Process_Volume*H98*H301/88020000000)*1000000*(1/H277-1/H301)/(H98*Wind))^H$128),IF(OR(H277=0,H277&gt;=1000000*H$99),0,IF(H156="Instantaneous",H$153*((H83/H98)*(1000000/H277))^H$154-H$155,H$127*(H89*(1000000/H277)/(H98*Wind))^H$128-H$129))),0.1)</f>
        <v>0.1</v>
      </c>
      <c r="I339" s="83"/>
      <c r="J339" s="1206">
        <f>IF(AND(J277&gt;0,J98&gt;0),IF(Location="Indoors",IF(J301&lt;=J277,0.1,J$127*((IF(Enclosed_Ventilation_Rate&gt;1,Enclosed_Ventilation_Rate,1)*Enclosed_Process_Volume*J98*J301/88020000000)*1000000*(1/J277-1/J301)/(J98*Wind))^J$128),IF(OR(J277=0,J277&gt;=1000000*J$99),0,IF(J156="Instantaneous",J$153*((J83/J98)*(1000000/J277))^J$154-J$155,J$127*(J89*(1000000/J277)/(J98*Wind))^J$128-J$129))),0.1)</f>
        <v>0.1</v>
      </c>
      <c r="K339" s="83"/>
      <c r="L339" s="1206">
        <f>IF(AND(L277&gt;0,L98&gt;0),IF(Location="Indoors",IF(L301&lt;=L277,0.1,L$127*((IF(Enclosed_Ventilation_Rate&gt;1,Enclosed_Ventilation_Rate,1)*Enclosed_Process_Volume*L98*L301/88020000000)*1000000*(1/L277-1/L301)/(L98*Wind))^L$128),IF(OR(L277=0,L277&gt;=1000000*L$99),0,IF(L156="Instantaneous",L$153*((L83/L98)*(1000000/L277))^L$154-L$155,L$127*(L89*(1000000/L277)/(L98*Wind))^L$128-L$129))),0.1)</f>
        <v>0.1</v>
      </c>
      <c r="M339" s="83"/>
      <c r="N339" s="1206">
        <f>IF(AND(N277&gt;0,N98&gt;0),IF(Location="Indoors",IF(N301&lt;=N277,0.1,N$127*((IF(Enclosed_Ventilation_Rate&gt;1,Enclosed_Ventilation_Rate,1)*Enclosed_Process_Volume*N98*N301/88020000000)*1000000*(1/N277-1/N301)/(N98*Wind))^N$128),IF(OR(N277=0,N277&gt;=1000000*N$99),0,IF(N156="Instantaneous",N$153*((N83/N98)*(1000000/N277))^N$154-N$155,N$127*(N89*(1000000/N277)/(N98*Wind))^N$128-N$129))),0.1)</f>
        <v>0.1</v>
      </c>
      <c r="O339" s="83"/>
      <c r="P339" s="1206">
        <f>IF(AND(P277&gt;0,P98&gt;0),IF(Location="Indoors",IF(P301&lt;=P277,0.1,P$127*((IF(Enclosed_Ventilation_Rate&gt;1,Enclosed_Ventilation_Rate,1)*Enclosed_Process_Volume*P98*P301/88020000000)*1000000*(1/P277-1/P301)/(P98*Wind))^P$128),IF(OR(P277=0,P277&gt;=1000000*P$99),0,IF(P156="Instantaneous",P$153*((P83/P98)*(1000000/P277))^P$154-P$155,P$127*(P89*(1000000/P277)/(P98*Wind))^P$128-P$129))),0.1)</f>
        <v>0.1</v>
      </c>
      <c r="Q339" s="83"/>
      <c r="R339" s="1206">
        <f>IF(AND(R277&gt;0,R98&gt;0),IF(Location="Indoors",IF(R301&lt;=R277,0.1,R$127*((IF(Enclosed_Ventilation_Rate&gt;1,Enclosed_Ventilation_Rate,1)*Enclosed_Process_Volume*R98*R301/88020000000)*1000000*(1/R277-1/R301)/(R98*Wind))^R$128),IF(OR(R277=0,R277&gt;=1000000*R$99),0,IF(R156="Instantaneous",R$153*((R83/R98)*(1000000/R277))^R$154-R$155,R$127*(R89*(1000000/R277)/(R98*Wind))^R$128-R$129))),0.1)</f>
        <v>0.1</v>
      </c>
      <c r="S339" s="83"/>
      <c r="T339" s="1206">
        <f>IF(AND(T277&gt;0,T98&gt;0),IF(Location="Indoors",IF(T301&lt;=T277,0.1,T$127*((IF(Enclosed_Ventilation_Rate&gt;1,Enclosed_Ventilation_Rate,1)*Enclosed_Process_Volume*T98*T301/88020000000)*1000000*(1/T277-1/T301)/(T98*Wind))^T$128),IF(OR(T277=0,T277&gt;=1000000*T$99),0,IF(T156="Instantaneous",T$153*((T83/T98)*(1000000/T277))^T$154-T$155,T$127*(T89*(1000000/T277)/(T98*Wind))^T$128-T$129))),0.1)</f>
        <v>0.1</v>
      </c>
      <c r="U339" s="83"/>
      <c r="V339" s="1206">
        <f>IF(AND(V277&gt;0,V98&gt;0),IF(Location="Indoors",IF(V301&lt;=V277,0.1,V$127*((IF(Enclosed_Ventilation_Rate&gt;1,Enclosed_Ventilation_Rate,1)*Enclosed_Process_Volume*V98*V301/88020000000)*1000000*(1/V277-1/V301)/(V98*Wind))^V$128),IF(OR(V277=0,V277&gt;=1000000*V$99),0,IF(V156="Instantaneous",V$153*((V83/V98)*(1000000/V277))^V$154-V$155,V$127*(V89*(1000000/V277)/(V98*Wind))^V$128-V$129))),0.1)</f>
        <v>0.1</v>
      </c>
      <c r="W339" s="83"/>
      <c r="X339" s="1206">
        <f>IF(AND(X277&gt;0,X98&gt;0),IF(Location="Indoors",IF(X301&lt;=X277,0.1,X$127*((IF(Enclosed_Ventilation_Rate&gt;1,Enclosed_Ventilation_Rate,1)*Enclosed_Process_Volume*X98*X301/88020000000)*1000000*(1/X277-1/X301)/(X98*Wind))^X$128),IF(OR(X277=0,X277&gt;=1000000*X$99),0,IF(X156="Instantaneous",X$153*((X83/X98)*(1000000/X277))^X$154-X$155,X$127*(X89*(1000000/X277)/(X98*Wind))^X$128-X$129))),0.1)</f>
        <v>0.1</v>
      </c>
      <c r="Y339" s="83"/>
      <c r="Z339" s="85" t="s">
        <v>1068</v>
      </c>
      <c r="AA339" s="83"/>
      <c r="AB339" s="81"/>
      <c r="AC339" s="848" t="s">
        <v>471</v>
      </c>
      <c r="AD339" s="81"/>
      <c r="AE339" s="1183">
        <f>IF(AE332="No",0,VCE_R_1psi*(2*4.18*AE336/101.3)^0.333+LFL_Fract_VCE_Epicenter*AE334)</f>
        <v>0</v>
      </c>
      <c r="AF339" s="81"/>
      <c r="AG339" s="1183">
        <f>IF(AG332="No",0,VCE_R_1psi*(2*4.18*AG336/101.3)^0.333+LFL_Fract_VCE_Epicenter*AG334)</f>
        <v>0</v>
      </c>
      <c r="AH339" s="81"/>
      <c r="AI339" s="1183">
        <f>IF(AI332="No",0,VCE_R_1psi*(2*4.18*AI336/101.3)^0.333+LFL_Fract_VCE_Epicenter*AI334)</f>
        <v>0</v>
      </c>
      <c r="AJ339" s="81"/>
      <c r="AK339" s="1183">
        <f>IF(AK332="No",0,VCE_R_1psi*(2*4.18*AK336/101.3)^0.333+LFL_Fract_VCE_Epicenter*AK334)</f>
        <v>0</v>
      </c>
      <c r="AL339" s="81"/>
      <c r="AM339" s="1183">
        <f>IF(AM332="No",0,VCE_R_1psi*(2*4.18*AM336/101.3)^0.333+LFL_Fract_VCE_Epicenter*AM334)</f>
        <v>0</v>
      </c>
      <c r="AN339" s="81"/>
      <c r="AO339" s="1183">
        <f>IF(AO332="No",0,VCE_R_1psi*(2*4.18*AO336/101.3)^0.333+LFL_Fract_VCE_Epicenter*AO334)</f>
        <v>0</v>
      </c>
      <c r="AP339" s="81"/>
      <c r="AQ339" s="85" t="s">
        <v>1068</v>
      </c>
      <c r="AR339" s="81"/>
      <c r="AS339" s="83"/>
      <c r="AT339" s="23" t="s">
        <v>3705</v>
      </c>
      <c r="AU339" s="83"/>
      <c r="AV339" s="1206">
        <f>IF(OR(AV$273=0,AV$264=""),0,IF(AV337&gt;Zone_1,IF(AV153="Instantaneous",Dispersion_I,Dispersion_D)*(MAX(Public,(AV93-MIN(AV93,WorkArea_Elevation))*Dispersion_E^0.5,Zone_1)^2-MAX(Public,(AV93-MIN(AV93,WorkArea_Elevation))*Dispersion_E^0.5,AV337)^2),IF(AV153="Instantaneous",Dispersion_I,Dispersion_D)*AV$264^(2*IF(AV153="Instantaneous",AV$151,AV$125))*AV$285^2*(EXP(AV$271+AV$273*MAX(Public,(AV93-MIN(AV93,WorkArea_Elevation))*Dispersion_E^0.5,Zone_1)^2/(AV$264^(2*IF(AV153="Instantaneous",AV$151,AV$125))*AV$285^2))-EXP(AV$271+AV$273*MAX(Public,(AV93-MIN(AV93,WorkArea_Elevation))*Dispersion_E^0.5,AV337)^2/(AV$264^(2*IF(AV153="Instantaneous",AV$151,AV$125))*AV$285^2)))/AV$273))</f>
        <v>0</v>
      </c>
      <c r="AW339" s="83"/>
      <c r="AX339" s="1206">
        <f>IF(OR(AX$273=0,AX$264=""),0,IF(AX337&gt;Zone_1,IF(AX153="Instantaneous",Dispersion_I,Dispersion_D)*(MAX(Public,(AX93-MIN(AX93,WorkArea_Elevation))*Dispersion_E^0.5,Zone_1)^2-MAX(Public,(AX93-MIN(AX93,WorkArea_Elevation))*Dispersion_E^0.5,AX337)^2),IF(AX153="Instantaneous",Dispersion_I,Dispersion_D)*AX$264^(2*IF(AX153="Instantaneous",AX$151,AX$125))*AX$285^2*(EXP(AX$271+AX$273*MAX(Public,(AX93-MIN(AX93,WorkArea_Elevation))*Dispersion_E^0.5,Zone_1)^2/(AX$264^(2*IF(AX153="Instantaneous",AX$151,AX$125))*AX$285^2))-EXP(AX$271+AX$273*MAX(Public,(AX93-MIN(AX93,WorkArea_Elevation))*Dispersion_E^0.5,AX337)^2/(AX$264^(2*IF(AX153="Instantaneous",AX$151,AX$125))*AX$285^2)))/AX$273))</f>
        <v>0</v>
      </c>
      <c r="AY339" s="83"/>
      <c r="AZ339" s="1206">
        <f>IF(OR(AZ$273=0,AZ$264=""),0,IF(AZ337&gt;Zone_1,IF(AZ153="Instantaneous",Dispersion_I,Dispersion_D)*(MAX(Public,(AZ93-MIN(AZ93,WorkArea_Elevation))*Dispersion_E^0.5,Zone_1)^2-MAX(Public,(AZ93-MIN(AZ93,WorkArea_Elevation))*Dispersion_E^0.5,AZ337)^2),IF(AZ153="Instantaneous",Dispersion_I,Dispersion_D)*AZ$264^(2*IF(AZ153="Instantaneous",AZ$151,AZ$125))*AZ$285^2*(EXP(AZ$271+AZ$273*MAX(Public,(AZ93-MIN(AZ93,WorkArea_Elevation))*Dispersion_E^0.5,Zone_1)^2/(AZ$264^(2*IF(AZ153="Instantaneous",AZ$151,AZ$125))*AZ$285^2))-EXP(AZ$271+AZ$273*MAX(Public,(AZ93-MIN(AZ93,WorkArea_Elevation))*Dispersion_E^0.5,AZ337)^2/(AZ$264^(2*IF(AZ153="Instantaneous",AZ$151,AZ$125))*AZ$285^2)))/AZ$273))</f>
        <v>0</v>
      </c>
      <c r="BA339" s="83"/>
      <c r="BB339" s="1206">
        <f>IF(OR(BB$273=0,BB$264=""),0,IF(BB337&gt;Zone_1,IF(BB153="Instantaneous",Dispersion_I,Dispersion_D)*(MAX(Public,(BB93-MIN(BB93,WorkArea_Elevation))*Dispersion_E^0.5,Zone_1)^2-MAX(Public,(BB93-MIN(BB93,WorkArea_Elevation))*Dispersion_E^0.5,BB337)^2),IF(BB153="Instantaneous",Dispersion_I,Dispersion_D)*BB$264^(2*IF(BB153="Instantaneous",BB$151,BB$125))*BB$285^2*(EXP(BB$271+BB$273*MAX(Public,(BB93-MIN(BB93,WorkArea_Elevation))*Dispersion_E^0.5,Zone_1)^2/(BB$264^(2*IF(BB153="Instantaneous",BB$151,BB$125))*BB$285^2))-EXP(BB$271+BB$273*MAX(Public,(BB93-MIN(BB93,WorkArea_Elevation))*Dispersion_E^0.5,BB337)^2/(BB$264^(2*IF(BB153="Instantaneous",BB$151,BB$125))*BB$285^2)))/BB$273))</f>
        <v>0</v>
      </c>
      <c r="BC339" s="83"/>
      <c r="BD339" s="1206">
        <f>IF(OR(BD$273=0,BD$264=""),0,IF(BD337&gt;Zone_1,IF(BD153="Instantaneous",Dispersion_I,Dispersion_D)*(MAX(Public,(BD93-MIN(BD93,WorkArea_Elevation))*Dispersion_E^0.5,Zone_1)^2-MAX(Public,(BD93-MIN(BD93,WorkArea_Elevation))*Dispersion_E^0.5,BD337)^2),IF(BD153="Instantaneous",Dispersion_I,Dispersion_D)*BD$264^(2*IF(BD153="Instantaneous",BD$151,BD$125))*BD$285^2*(EXP(BD$271+BD$273*MAX(Public,(BD93-MIN(BD93,WorkArea_Elevation))*Dispersion_E^0.5,Zone_1)^2/(BD$264^(2*IF(BD153="Instantaneous",BD$151,BD$125))*BD$285^2))-EXP(BD$271+BD$273*MAX(Public,(BD93-MIN(BD93,WorkArea_Elevation))*Dispersion_E^0.5,BD337)^2/(BD$264^(2*IF(BD153="Instantaneous",BD$151,BD$125))*BD$285^2)))/BD$273))</f>
        <v>0</v>
      </c>
      <c r="BE339" s="83"/>
      <c r="BF339" s="1206">
        <f>IF(OR(BF$273=0,BF$264=""),0,IF(BF337&gt;Zone_1,IF(BF153="Instantaneous",Dispersion_I,Dispersion_D)*(MAX(Public,(BF93-MIN(BF93,WorkArea_Elevation))*Dispersion_E^0.5,Zone_1)^2-MAX(Public,(BF93-MIN(BF93,WorkArea_Elevation))*Dispersion_E^0.5,BF337)^2),IF(BF153="Instantaneous",Dispersion_I,Dispersion_D)*BF$264^(2*IF(BF153="Instantaneous",BF$151,BF$125))*BF$285^2*(EXP(BF$271+BF$273*MAX(Public,(BF93-MIN(BF93,WorkArea_Elevation))*Dispersion_E^0.5,Zone_1)^2/(BF$264^(2*IF(BF153="Instantaneous",BF$151,BF$125))*BF$285^2))-EXP(BF$271+BF$273*MAX(Public,(BF93-MIN(BF93,WorkArea_Elevation))*Dispersion_E^0.5,BF337)^2/(BF$264^(2*IF(BF153="Instantaneous",BF$151,BF$125))*BF$285^2)))/BF$273))</f>
        <v>0</v>
      </c>
      <c r="BG339" s="83"/>
      <c r="BH339" s="1206">
        <f>IF(OR(BH$273=0,BH$264=""),0,IF(BH337&gt;Zone_1,IF(BH153="Instantaneous",Dispersion_I,Dispersion_D)*(MAX(Public,(BH93-MIN(BH93,WorkArea_Elevation))*Dispersion_E^0.5,Zone_1)^2-MAX(Public,(BH93-MIN(BH93,WorkArea_Elevation))*Dispersion_E^0.5,BH337)^2),IF(BH153="Instantaneous",Dispersion_I,Dispersion_D)*BH$264^(2*IF(BH153="Instantaneous",BH$151,BH$125))*BH$285^2*(EXP(BH$271+BH$273*MAX(Public,(BH93-MIN(BH93,WorkArea_Elevation))*Dispersion_E^0.5,Zone_1)^2/(BH$264^(2*IF(BH153="Instantaneous",BH$151,BH$125))*BH$285^2))-EXP(BH$271+BH$273*MAX(Public,(BH93-MIN(BH93,WorkArea_Elevation))*Dispersion_E^0.5,BH337)^2/(BH$264^(2*IF(BH153="Instantaneous",BH$151,BH$125))*BH$285^2)))/BH$273))</f>
        <v>0</v>
      </c>
      <c r="BI339" s="83"/>
      <c r="BJ339" s="1206">
        <f>IF(OR(BJ$273=0,BJ$264=""),0,IF(BJ337&gt;Zone_1,IF(BJ153="Instantaneous",Dispersion_I,Dispersion_D)*(MAX(Public,(BJ93-MIN(BJ93,WorkArea_Elevation))*Dispersion_E^0.5,Zone_1)^2-MAX(Public,(BJ93-MIN(BJ93,WorkArea_Elevation))*Dispersion_E^0.5,BJ337)^2),IF(BJ153="Instantaneous",Dispersion_I,Dispersion_D)*BJ$264^(2*IF(BJ153="Instantaneous",BJ$151,BJ$125))*BJ$285^2*(EXP(BJ$271+BJ$273*MAX(Public,(BJ93-MIN(BJ93,WorkArea_Elevation))*Dispersion_E^0.5,Zone_1)^2/(BJ$264^(2*IF(BJ153="Instantaneous",BJ$151,BJ$125))*BJ$285^2))-EXP(BJ$271+BJ$273*MAX(Public,(BJ93-MIN(BJ93,WorkArea_Elevation))*Dispersion_E^0.5,BJ337)^2/(BJ$264^(2*IF(BJ153="Instantaneous",BJ$151,BJ$125))*BJ$285^2)))/BJ$273))</f>
        <v>0</v>
      </c>
      <c r="BK339" s="83"/>
      <c r="BL339" s="1206">
        <f>IF(OR(BL$273=0,BL$264=""),0,IF(BL337&gt;Zone_1,IF(BL153="Instantaneous",Dispersion_I,Dispersion_D)*(MAX(Public,(BL93-MIN(BL93,WorkArea_Elevation))*Dispersion_E^0.5,Zone_1)^2-MAX(Public,(BL93-MIN(BL93,WorkArea_Elevation))*Dispersion_E^0.5,BL337)^2),IF(BL153="Instantaneous",Dispersion_I,Dispersion_D)*BL$264^(2*IF(BL153="Instantaneous",BL$151,BL$125))*BL$285^2*(EXP(BL$271+BL$273*MAX(Public,(BL93-MIN(BL93,WorkArea_Elevation))*Dispersion_E^0.5,Zone_1)^2/(BL$264^(2*IF(BL153="Instantaneous",BL$151,BL$125))*BL$285^2))-EXP(BL$271+BL$273*MAX(Public,(BL93-MIN(BL93,WorkArea_Elevation))*Dispersion_E^0.5,BL337)^2/(BL$264^(2*IF(BL153="Instantaneous",BL$151,BL$125))*BL$285^2)))/BL$273))</f>
        <v>0</v>
      </c>
      <c r="BM339" s="83"/>
      <c r="BN339" s="1206">
        <f>IF(OR(BN$273=0,BN$264=""),0,IF(BN337&gt;Zone_1,IF(BN153="Instantaneous",Dispersion_I,Dispersion_D)*(MAX(Public,(BN93-MIN(BN93,WorkArea_Elevation))*Dispersion_E^0.5,Zone_1)^2-MAX(Public,(BN93-MIN(BN93,WorkArea_Elevation))*Dispersion_E^0.5,BN337)^2),IF(BN153="Instantaneous",Dispersion_I,Dispersion_D)*BN$264^(2*IF(BN153="Instantaneous",BN$151,BN$125))*BN$285^2*(EXP(BN$271+BN$273*MAX(Public,(BN93-MIN(BN93,WorkArea_Elevation))*Dispersion_E^0.5,Zone_1)^2/(BN$264^(2*IF(BN153="Instantaneous",BN$151,BN$125))*BN$285^2))-EXP(BN$271+BN$273*MAX(Public,(BN93-MIN(BN93,WorkArea_Elevation))*Dispersion_E^0.5,BN337)^2/(BN$264^(2*IF(BN153="Instantaneous",BN$151,BN$125))*BN$285^2)))/BN$273))</f>
        <v>0</v>
      </c>
      <c r="BO339" s="83"/>
      <c r="BP339" s="85" t="s">
        <v>3804</v>
      </c>
      <c r="BQ339" s="83"/>
      <c r="BR339" s="81"/>
      <c r="BS339" s="23" t="s">
        <v>1392</v>
      </c>
      <c r="BT339" s="81"/>
      <c r="BU339" s="96">
        <f>0.0242*BU336*(Burst_P+1)*(LN(Burst_P+1)-1+1/(Burst_P+1))</f>
        <v>0</v>
      </c>
      <c r="BV339" s="81"/>
      <c r="BW339" s="1194">
        <f>0.0242*BW336*(Burst_P+1)*(LN(Burst_P+1)-1+1/(Burst_P+1))</f>
        <v>0</v>
      </c>
      <c r="BX339" s="81"/>
      <c r="BY339" s="1194">
        <f>0.0242*BY336*(Burst_P+1)*(LN(Burst_P+1)-1+1/(Burst_P+1))</f>
        <v>0</v>
      </c>
      <c r="BZ339" s="81"/>
      <c r="CA339" s="1194">
        <f>IF(State="Solid",0,0.0242*CA336*(Burst_P+1)*(LN(Burst_P+1)-1+1/(Burst_P+1)))</f>
        <v>0</v>
      </c>
      <c r="CB339" s="81"/>
      <c r="CC339" s="1194">
        <f>IF(State="Solid",0,0.0242*CC336*(Fire_Burst+1)*(LN(Fire_Burst+1)-1+1/(Fire_Burst+1)))</f>
        <v>0</v>
      </c>
      <c r="CD339" s="81"/>
      <c r="CE339" s="85" t="s">
        <v>1761</v>
      </c>
      <c r="CF339" s="81"/>
      <c r="CG339" s="26"/>
      <c r="CH339" s="26"/>
      <c r="CI339" s="26"/>
      <c r="CJ339" s="26"/>
      <c r="CK339" s="26"/>
      <c r="CL339" s="26"/>
      <c r="CM339" s="26"/>
      <c r="CN339" s="26"/>
    </row>
    <row r="340" spans="1:92" ht="15" customHeight="1" x14ac:dyDescent="0.25">
      <c r="A340" s="2"/>
      <c r="B340" s="23" t="s">
        <v>3629</v>
      </c>
      <c r="C340" s="83"/>
      <c r="D340" s="1206">
        <f>IF(D156="Instantaneous",Dispersion_I,Dispersion_D)*(MAX(D339,Public)^2-Public^2)+(MAX(D339,Public)-Public)*IF(D156="Instantaneous",DC_Duration_Initial*(D83/D98)^(1/3),2*(D$55/3.142)^0.5)</f>
        <v>3.0000000000000005E-3</v>
      </c>
      <c r="E340" s="83"/>
      <c r="F340" s="1206">
        <f>IF(F156="Instantaneous",Dispersion_I,Dispersion_D)*(MAX(F339,Public)^2-Public^2)+(MAX(F339,Public)-Public)*IF(F156="Instantaneous",DC_Duration_Initial*(F83/F98)^(1/3),2*(F$55/3.142)^0.5)</f>
        <v>3.0000000000000005E-3</v>
      </c>
      <c r="G340" s="83"/>
      <c r="H340" s="1206">
        <f>IF(H156="Instantaneous",Dispersion_I,Dispersion_D)*(MAX(H339,Public)^2-Public^2)+(MAX(H339,Public)-Public)*IF(H156="Instantaneous",DC_Duration_Initial*(H83/H98)^(1/3),2*(H$55/3.142)^0.5)</f>
        <v>3.0000000000000005E-3</v>
      </c>
      <c r="I340" s="83"/>
      <c r="J340" s="1206">
        <f>IF(J156="Instantaneous",Dispersion_I,Dispersion_D)*(MAX(J339,Public)^2-Public^2)+(MAX(J339,Public)-Public)*IF(J156="Instantaneous",DC_Duration_Initial*(J83/J98)^(1/3),2*(J$55/3.142)^0.5)</f>
        <v>3.0000000000000005E-3</v>
      </c>
      <c r="K340" s="83"/>
      <c r="L340" s="1206">
        <f>IF(L156="Instantaneous",Dispersion_I,Dispersion_D)*(MAX(L339,Public)^2-Public^2)+(MAX(L339,Public)-Public)*IF(L156="Instantaneous",DC_Duration_Initial*(L83/L98)^(1/3),2*(L$55/3.142)^0.5)</f>
        <v>3.0000000000000005E-3</v>
      </c>
      <c r="M340" s="83"/>
      <c r="N340" s="1206">
        <f>IF(N156="Instantaneous",Dispersion_I,Dispersion_D)*(MAX(N339,Public)^2-Public^2)+(MAX(N339,Public)-Public)*IF(N156="Instantaneous",DC_Duration_Initial*(N83/N98)^(1/3),2*(N$55/3.142)^0.5)</f>
        <v>3.0000000000000005E-3</v>
      </c>
      <c r="O340" s="83"/>
      <c r="P340" s="1206">
        <f>IF(P156="Instantaneous",Dispersion_I,Dispersion_D)*(MAX(P339,Public)^2-Public^2)+(MAX(P339,Public)-Public)*IF(P156="Instantaneous",DC_Duration_Initial*(P83/P98)^(1/3),2*(P$55/3.142)^0.5)</f>
        <v>3.0000000000000005E-3</v>
      </c>
      <c r="Q340" s="83"/>
      <c r="R340" s="1206">
        <f>IF(R156="Instantaneous",Dispersion_I,Dispersion_D)*(MAX(R339,Public)^2-Public^2)+(MAX(R339,Public)-Public)*IF(R156="Instantaneous",DC_Duration_Initial*(R83/R98)^(1/3),2*(R$55/3.142)^0.5)</f>
        <v>3.0000000000000005E-3</v>
      </c>
      <c r="S340" s="83"/>
      <c r="T340" s="1206">
        <f>IF(T156="Instantaneous",Dispersion_I,Dispersion_D)*(MAX(T339,Public)^2-Public^2)+(MAX(T339,Public)-Public)*IF(T156="Instantaneous",DC_Duration_Initial*(T83/T98)^(1/3),2*(T$55/3.142)^0.5)</f>
        <v>3.0000000000000005E-3</v>
      </c>
      <c r="U340" s="83"/>
      <c r="V340" s="1206">
        <f>IF(V156="Instantaneous",Dispersion_I,Dispersion_D)*(MAX(V339,Public)^2-Public^2)+(MAX(V339,Public)-Public)*IF(V156="Instantaneous",DC_Duration_Initial*(V83/V98)^(1/3),2*(V$55/3.142)^0.5)</f>
        <v>3.0000000000000005E-3</v>
      </c>
      <c r="W340" s="83"/>
      <c r="X340" s="1206">
        <f>IF(X156="Instantaneous",Dispersion_I,Dispersion_D)*(MAX(X339,Public)^2-Public^2)+(MAX(X339,Public)-Public)*IF(X156="Instantaneous",DC_Duration_Initial*(X83/X98)^(1/3),2*(X$55/3.142)^0.5)</f>
        <v>3.0000000000000005E-3</v>
      </c>
      <c r="Y340" s="83"/>
      <c r="Z340" s="85" t="s">
        <v>3804</v>
      </c>
      <c r="AA340" s="83"/>
      <c r="AB340" s="81"/>
      <c r="AC340" s="848" t="s">
        <v>1748</v>
      </c>
      <c r="AD340" s="81"/>
      <c r="AE340" s="1183" t="str">
        <f>IF(AE339&gt;Public,"Yes","No")</f>
        <v>No</v>
      </c>
      <c r="AF340" s="81"/>
      <c r="AG340" s="1183" t="str">
        <f>IF(AG339&gt;Public,"Yes","No")</f>
        <v>No</v>
      </c>
      <c r="AH340" s="81"/>
      <c r="AI340" s="1183" t="str">
        <f>IF(AI339&gt;Public,"Yes","No")</f>
        <v>No</v>
      </c>
      <c r="AJ340" s="81"/>
      <c r="AK340" s="1183" t="str">
        <f>IF(AK339&gt;Public,"Yes","No")</f>
        <v>No</v>
      </c>
      <c r="AL340" s="81"/>
      <c r="AM340" s="1183" t="str">
        <f>IF(AM339&gt;Public,"Yes","No")</f>
        <v>No</v>
      </c>
      <c r="AN340" s="81"/>
      <c r="AO340" s="1183" t="str">
        <f>IF(AO339&gt;Public,"Yes","No")</f>
        <v>No</v>
      </c>
      <c r="AP340" s="81"/>
      <c r="AQ340" s="85"/>
      <c r="AR340" s="81"/>
      <c r="AS340" s="83"/>
      <c r="AT340" s="23" t="s">
        <v>3706</v>
      </c>
      <c r="AU340" s="83"/>
      <c r="AV340" s="1206">
        <f>IF(Zone_1&lt;Public,IF(AV153="Instantaneous",Dispersion_I,Dispersion_D)*(MAX(AV337,Public,(AV93-MIN(AV93,WorkArea_Elevation))*Dispersion_E^0.5)^2-MAX((AV93-MIN(AV93,WorkArea_Elevation))*Dispersion_E^0.5,Public)^2),IF(AV153="Instantaneous",Dispersion_I,Dispersion_D)*(MAX(AV337,Zone_1)^2-Zone_1^2))</f>
        <v>3.0000000000000005E-3</v>
      </c>
      <c r="AW340" s="83"/>
      <c r="AX340" s="1206">
        <f>IF(Zone_1&lt;Public,IF(AX153="Instantaneous",Dispersion_I,Dispersion_D)*(MAX(AX337,Public,(AX93-MIN(AX93,WorkArea_Elevation))*Dispersion_E^0.5)^2-MAX((AX93-MIN(AX93,WorkArea_Elevation))*Dispersion_E^0.5,Public)^2),IF(AX153="Instantaneous",Dispersion_I,Dispersion_D)*(MAX(AX337,Zone_1)^2-Zone_1^2))</f>
        <v>3.0000000000000005E-3</v>
      </c>
      <c r="AY340" s="83"/>
      <c r="AZ340" s="1206">
        <f>IF(Zone_1&lt;Public,IF(AZ153="Instantaneous",Dispersion_I,Dispersion_D)*(MAX(AZ337,Public,(AZ93-MIN(AZ93,WorkArea_Elevation))*Dispersion_E^0.5)^2-MAX((AZ93-MIN(AZ93,WorkArea_Elevation))*Dispersion_E^0.5,Public)^2),IF(AZ153="Instantaneous",Dispersion_I,Dispersion_D)*(MAX(AZ337,Zone_1)^2-Zone_1^2))</f>
        <v>3.0000000000000005E-3</v>
      </c>
      <c r="BA340" s="83"/>
      <c r="BB340" s="1206">
        <f>IF(Zone_1&lt;Public,IF(BB153="Instantaneous",Dispersion_I,Dispersion_D)*(MAX(BB337,Public,(BB93-MIN(BB93,WorkArea_Elevation))*Dispersion_E^0.5)^2-MAX((BB93-MIN(BB93,WorkArea_Elevation))*Dispersion_E^0.5,Public)^2),IF(BB153="Instantaneous",Dispersion_I,Dispersion_D)*(MAX(BB337,Zone_1)^2-Zone_1^2))</f>
        <v>3.0000000000000005E-3</v>
      </c>
      <c r="BC340" s="83"/>
      <c r="BD340" s="1206">
        <f>IF(Zone_1&lt;Public,IF(BD153="Instantaneous",Dispersion_I,Dispersion_D)*(MAX(BD337,Public,(BD93-MIN(BD93,WorkArea_Elevation))*Dispersion_E^0.5)^2-MAX((BD93-MIN(BD93,WorkArea_Elevation))*Dispersion_E^0.5,Public)^2),IF(BD153="Instantaneous",Dispersion_I,Dispersion_D)*(MAX(BD337,Zone_1)^2-Zone_1^2))</f>
        <v>3.0000000000000005E-3</v>
      </c>
      <c r="BE340" s="83"/>
      <c r="BF340" s="1206">
        <f>IF(Zone_1&lt;Public,IF(BF153="Instantaneous",Dispersion_I,Dispersion_D)*(MAX(BF337,Public,(BF93-MIN(BF93,WorkArea_Elevation))*Dispersion_E^0.5)^2-MAX((BF93-MIN(BF93,WorkArea_Elevation))*Dispersion_E^0.5,Public)^2),IF(BF153="Instantaneous",Dispersion_I,Dispersion_D)*(MAX(BF337,Zone_1)^2-Zone_1^2))</f>
        <v>3.0000000000000005E-3</v>
      </c>
      <c r="BG340" s="83"/>
      <c r="BH340" s="1206">
        <f>IF(Zone_1&lt;Public,IF(BH153="Instantaneous",Dispersion_I,Dispersion_D)*(MAX(BH337,Public,(BH93-MIN(BH93,WorkArea_Elevation))*Dispersion_E^0.5)^2-MAX((BH93-MIN(BH93,WorkArea_Elevation))*Dispersion_E^0.5,Public)^2),IF(BH153="Instantaneous",Dispersion_I,Dispersion_D)*(MAX(BH337,Zone_1)^2-Zone_1^2))</f>
        <v>3.0000000000000005E-3</v>
      </c>
      <c r="BI340" s="83"/>
      <c r="BJ340" s="1206">
        <f>IF(Zone_1&lt;Public,IF(BJ153="Instantaneous",Dispersion_I,Dispersion_D)*(MAX(BJ337,Public,(BJ93-MIN(BJ93,WorkArea_Elevation))*Dispersion_E^0.5)^2-MAX((BJ93-MIN(BJ93,WorkArea_Elevation))*Dispersion_E^0.5,Public)^2),IF(BJ153="Instantaneous",Dispersion_I,Dispersion_D)*(MAX(BJ337,Zone_1)^2-Zone_1^2))</f>
        <v>3.0000000000000005E-3</v>
      </c>
      <c r="BK340" s="83"/>
      <c r="BL340" s="1206">
        <f>IF(Zone_1&lt;Public,IF(BL153="Instantaneous",Dispersion_I,Dispersion_D)*(MAX(BL337,Public,(BL93-MIN(BL93,WorkArea_Elevation))*Dispersion_E^0.5)^2-MAX((BL93-MIN(BL93,WorkArea_Elevation))*Dispersion_E^0.5,Public)^2),IF(BL153="Instantaneous",Dispersion_I,Dispersion_D)*(MAX(BL337,Zone_1)^2-Zone_1^2))</f>
        <v>3.0000000000000005E-3</v>
      </c>
      <c r="BM340" s="83"/>
      <c r="BN340" s="1206">
        <f>IF(Zone_1&lt;Public,IF(BN153="Instantaneous",Dispersion_I,Dispersion_D)*(MAX(BN337,Public,(BN93-MIN(BN93,WorkArea_Elevation))*Dispersion_E^0.5)^2-MAX((BN93-MIN(BN93,WorkArea_Elevation))*Dispersion_E^0.5,Public)^2),IF(BN153="Instantaneous",Dispersion_I,Dispersion_D)*(MAX(BN337,Zone_1)^2-Zone_1^2))</f>
        <v>3.0000000000000005E-3</v>
      </c>
      <c r="BO340" s="83"/>
      <c r="BP340" s="85" t="s">
        <v>3804</v>
      </c>
      <c r="BQ340" s="83"/>
      <c r="BR340" s="81"/>
      <c r="BS340" s="23" t="s">
        <v>1241</v>
      </c>
      <c r="BT340" s="81"/>
      <c r="BU340" s="15"/>
      <c r="BV340" s="81"/>
      <c r="BW340" s="1194">
        <f>Deflagration_Energy</f>
        <v>0</v>
      </c>
      <c r="BX340" s="81"/>
      <c r="BY340" s="1194"/>
      <c r="BZ340" s="81"/>
      <c r="CA340" s="1194"/>
      <c r="CB340" s="81"/>
      <c r="CC340" s="1194"/>
      <c r="CD340" s="81"/>
      <c r="CE340" s="85" t="s">
        <v>1761</v>
      </c>
      <c r="CF340" s="81"/>
      <c r="CG340" s="26"/>
      <c r="CH340" s="26"/>
      <c r="CI340" s="26"/>
      <c r="CJ340" s="26"/>
      <c r="CK340" s="26"/>
      <c r="CL340" s="26"/>
      <c r="CM340" s="26"/>
      <c r="CN340" s="26"/>
    </row>
    <row r="341" spans="1:92" ht="15" customHeight="1" x14ac:dyDescent="0.25">
      <c r="A341" s="2"/>
      <c r="B341" s="23" t="s">
        <v>3705</v>
      </c>
      <c r="C341" s="83"/>
      <c r="D341" s="1206">
        <f>IF(OR(D$276=0,D$267=""),0,IF(D339&gt;Zone_1,IF(D156="Instantaneous",Dispersion_I,Dispersion_D)*(MAX(Public,Zone_1)^2-MAX(Public,D339)^2)+(MAX(Public,Zone_1)-MAX(Public,D339))*IF(D156="Instantaneous",DC_Duration_Initial*(D83/D98)^(1/3),2*(D$55/3.142)^0.5),IF(D156="Instantaneous",Dispersion_I,Dispersion_D)*D$267^(2*IF(D156="Instantaneous",D$154,D$128))*D$288^2*(EXP(D$274+D$276*MAX(Public,Zone_1)^2/(D$267^(2*IF(D156="Instantaneous",D$154,D$128))*D$288^2))-EXP(D$274+D$276*MAX(Public,D339)^2/(D$267^(2*IF(D156="Instantaneous",D$154,D$128))*D$288^2)))/D$276))</f>
        <v>0</v>
      </c>
      <c r="E341" s="83"/>
      <c r="F341" s="1206">
        <f>IF(OR(F$276=0,F$267=""),0,IF(F339&gt;Zone_1,IF(F156="Instantaneous",Dispersion_I,Dispersion_D)*(MAX(Public,Zone_1)^2-MAX(Public,F339)^2)+(MAX(Public,Zone_1)-MAX(Public,F339))*IF(F156="Instantaneous",DC_Duration_Initial*(F83/F98)^(1/3),2*(F$55/3.142)^0.5),IF(F156="Instantaneous",Dispersion_I,Dispersion_D)*F$267^(2*IF(F156="Instantaneous",F$154,F$128))*F$288^2*(EXP(F$274+F$276*MAX(Public,Zone_1)^2/(F$267^(2*IF(F156="Instantaneous",F$154,F$128))*F$288^2))-EXP(F$274+F$276*MAX(Public,F339)^2/(F$267^(2*IF(F156="Instantaneous",F$154,F$128))*F$288^2)))/F$276))</f>
        <v>0</v>
      </c>
      <c r="G341" s="83"/>
      <c r="H341" s="1206">
        <f>IF(OR(H$276=0,H$267=""),0,IF(H339&gt;Zone_1,IF(H156="Instantaneous",Dispersion_I,Dispersion_D)*(MAX(Public,Zone_1)^2-MAX(Public,H339)^2)+(MAX(Public,Zone_1)-MAX(Public,H339))*IF(H156="Instantaneous",DC_Duration_Initial*(H83/H98)^(1/3),2*(H$55/3.142)^0.5),IF(H156="Instantaneous",Dispersion_I,Dispersion_D)*H$267^(2*IF(H156="Instantaneous",H$154,H$128))*H$288^2*(EXP(H$274+H$276*MAX(Public,Zone_1)^2/(H$267^(2*IF(H156="Instantaneous",H$154,H$128))*H$288^2))-EXP(H$274+H$276*MAX(Public,H339)^2/(H$267^(2*IF(H156="Instantaneous",H$154,H$128))*H$288^2)))/H$276))</f>
        <v>0</v>
      </c>
      <c r="I341" s="83"/>
      <c r="J341" s="1206">
        <f>IF(OR(J$276=0,J$267=""),0,IF(J339&gt;Zone_1,IF(J156="Instantaneous",Dispersion_I,Dispersion_D)*(MAX(Public,Zone_1)^2-MAX(Public,J339)^2)+(MAX(Public,Zone_1)-MAX(Public,J339))*IF(J156="Instantaneous",DC_Duration_Initial*(J83/J98)^(1/3),2*(J$55/3.142)^0.5),IF(J156="Instantaneous",Dispersion_I,Dispersion_D)*J$267^(2*IF(J156="Instantaneous",J$154,J$128))*J$288^2*(EXP(J$274+J$276*MAX(Public,Zone_1)^2/(J$267^(2*IF(J156="Instantaneous",J$154,J$128))*J$288^2))-EXP(J$274+J$276*MAX(Public,J339)^2/(J$267^(2*IF(J156="Instantaneous",J$154,J$128))*J$288^2)))/J$276))</f>
        <v>0</v>
      </c>
      <c r="K341" s="83"/>
      <c r="L341" s="1206">
        <f>IF(OR(L$276=0,L$267=""),0,IF(L339&gt;Zone_1,IF(L156="Instantaneous",Dispersion_I,Dispersion_D)*(MAX(Public,Zone_1)^2-MAX(Public,L339)^2)+(MAX(Public,Zone_1)-MAX(Public,L339))*IF(L156="Instantaneous",DC_Duration_Initial*(L83/L98)^(1/3),2*(L$55/3.142)^0.5),IF(L156="Instantaneous",Dispersion_I,Dispersion_D)*L$267^(2*IF(L156="Instantaneous",L$154,L$128))*L$288^2*(EXP(L$274+L$276*MAX(Public,Zone_1)^2/(L$267^(2*IF(L156="Instantaneous",L$154,L$128))*L$288^2))-EXP(L$274+L$276*MAX(Public,L339)^2/(L$267^(2*IF(L156="Instantaneous",L$154,L$128))*L$288^2)))/L$276))</f>
        <v>0</v>
      </c>
      <c r="M341" s="83"/>
      <c r="N341" s="1206">
        <f>IF(OR(N$276=0,N$267=""),0,IF(N339&gt;Zone_1,IF(N156="Instantaneous",Dispersion_I,Dispersion_D)*(MAX(Public,Zone_1)^2-MAX(Public,N339)^2)+(MAX(Public,Zone_1)-MAX(Public,N339))*IF(N156="Instantaneous",DC_Duration_Initial*(N83/N98)^(1/3),2*(N$55/3.142)^0.5),IF(N156="Instantaneous",Dispersion_I,Dispersion_D)*N$267^(2*IF(N156="Instantaneous",N$154,N$128))*N$288^2*(EXP(N$274+N$276*MAX(Public,Zone_1)^2/(N$267^(2*IF(N156="Instantaneous",N$154,N$128))*N$288^2))-EXP(N$274+N$276*MAX(Public,N339)^2/(N$267^(2*IF(N156="Instantaneous",N$154,N$128))*N$288^2)))/N$276))</f>
        <v>0</v>
      </c>
      <c r="O341" s="83"/>
      <c r="P341" s="1206">
        <f>IF(OR(P$276=0,P$267=""),0,IF(P339&gt;Zone_1,IF(P156="Instantaneous",Dispersion_I,Dispersion_D)*(MAX(Public,Zone_1)^2-MAX(Public,P339)^2)+(MAX(Public,Zone_1)-MAX(Public,P339))*IF(P156="Instantaneous",DC_Duration_Initial*(P83/P98)^(1/3),2*(P$55/3.142)^0.5),IF(P156="Instantaneous",Dispersion_I,Dispersion_D)*P$267^(2*IF(P156="Instantaneous",P$154,P$128))*P$288^2*(EXP(P$274+P$276*MAX(Public,Zone_1)^2/(P$267^(2*IF(P156="Instantaneous",P$154,P$128))*P$288^2))-EXP(P$274+P$276*MAX(Public,P339)^2/(P$267^(2*IF(P156="Instantaneous",P$154,P$128))*P$288^2)))/P$276))</f>
        <v>0</v>
      </c>
      <c r="Q341" s="83"/>
      <c r="R341" s="1206">
        <f>IF(OR(R$276=0,R$267=""),0,IF(R339&gt;Zone_1,IF(R156="Instantaneous",Dispersion_I,Dispersion_D)*(MAX(Public,Zone_1)^2-MAX(Public,R339)^2)+(MAX(Public,Zone_1)-MAX(Public,R339))*IF(R156="Instantaneous",DC_Duration_Initial*(R83/R98)^(1/3),2*(R$55/3.142)^0.5),IF(R156="Instantaneous",Dispersion_I,Dispersion_D)*R$267^(2*IF(R156="Instantaneous",R$154,R$128))*R$288^2*(EXP(R$274+R$276*MAX(Public,Zone_1)^2/(R$267^(2*IF(R156="Instantaneous",R$154,R$128))*R$288^2))-EXP(R$274+R$276*MAX(Public,R339)^2/(R$267^(2*IF(R156="Instantaneous",R$154,R$128))*R$288^2)))/R$276))</f>
        <v>0</v>
      </c>
      <c r="S341" s="83"/>
      <c r="T341" s="1206">
        <f>IF(OR(T$276=0,T$267=""),0,IF(T339&gt;Zone_1,IF(T156="Instantaneous",Dispersion_I,Dispersion_D)*(MAX(Public,Zone_1)^2-MAX(Public,T339)^2)+(MAX(Public,Zone_1)-MAX(Public,T339))*IF(T156="Instantaneous",DC_Duration_Initial*(T83/T98)^(1/3),2*(T$55/3.142)^0.5),IF(T156="Instantaneous",Dispersion_I,Dispersion_D)*T$267^(2*IF(T156="Instantaneous",T$154,T$128))*T$288^2*(EXP(T$274+T$276*MAX(Public,Zone_1)^2/(T$267^(2*IF(T156="Instantaneous",T$154,T$128))*T$288^2))-EXP(T$274+T$276*MAX(Public,T339)^2/(T$267^(2*IF(T156="Instantaneous",T$154,T$128))*T$288^2)))/T$276))</f>
        <v>0</v>
      </c>
      <c r="U341" s="83"/>
      <c r="V341" s="1206">
        <f>IF(OR(V$276=0,V$267=""),0,IF(V339&gt;Zone_1,IF(V156="Instantaneous",Dispersion_I,Dispersion_D)*(MAX(Public,Zone_1)^2-MAX(Public,V339)^2)+(MAX(Public,Zone_1)-MAX(Public,V339))*IF(V156="Instantaneous",DC_Duration_Initial*(V83/V98)^(1/3),2*(V$55/3.142)^0.5),IF(V156="Instantaneous",Dispersion_I,Dispersion_D)*V$267^(2*IF(V156="Instantaneous",V$154,V$128))*V$288^2*(EXP(V$274+V$276*MAX(Public,Zone_1)^2/(V$267^(2*IF(V156="Instantaneous",V$154,V$128))*V$288^2))-EXP(V$274+V$276*MAX(Public,V339)^2/(V$267^(2*IF(V156="Instantaneous",V$154,V$128))*V$288^2)))/V$276))</f>
        <v>0</v>
      </c>
      <c r="W341" s="83"/>
      <c r="X341" s="1206">
        <f>IF(OR(X$276=0,X$267=""),0,IF(X339&gt;Zone_1,IF(X156="Instantaneous",Dispersion_I,Dispersion_D)*(MAX(Public,Zone_1)^2-MAX(Public,X339)^2)+(MAX(Public,Zone_1)-MAX(Public,X339))*IF(X156="Instantaneous",DC_Duration_Initial*(X83/X98)^(1/3),2*(X$55/3.142)^0.5),IF(X156="Instantaneous",Dispersion_I,Dispersion_D)*X$267^(2*IF(X156="Instantaneous",X$154,X$128))*X$288^2*(EXP(X$274+X$276*MAX(Public,Zone_1)^2/(X$267^(2*IF(X156="Instantaneous",X$154,X$128))*X$288^2))-EXP(X$274+X$276*MAX(Public,X339)^2/(X$267^(2*IF(X156="Instantaneous",X$154,X$128))*X$288^2)))/X$276))</f>
        <v>0</v>
      </c>
      <c r="Y341" s="83"/>
      <c r="Z341" s="85" t="s">
        <v>3804</v>
      </c>
      <c r="AA341" s="83"/>
      <c r="AB341" s="81"/>
      <c r="AC341" s="851" t="s">
        <v>3025</v>
      </c>
      <c r="AD341" s="81"/>
      <c r="AE341" s="2091">
        <f>IF(AND(AE336&gt;0,IF(Occ_Bldg_Cntr_Relief&gt;0,Occ_Bldg_Cntr_Relief,IF(Occ_Bldg_Relief&gt;0,Occ_Bldg_Relief,Occ_Bldg))&gt;0),IF(IF(Occ_Bldg_Cntr_Relief&gt;0,Occ_Bldg_Cntr_Relief,IF(Occ_Bldg_Relief&gt;0,Occ_Bldg_Relief,Occ_Bldg))&gt;1+LFL_Fract_VCE_Epicenter*AE334,(IF(Occ_Bldg_Cntr_Relief&gt;0,Occ_Bldg_Cntr_Relief,IF(Occ_Bldg_Relief&gt;0,Occ_Bldg_Relief,Occ_Bldg))-LFL_Fract_VCE_Epicenter*AE334)/(2*AE336*4.18/101.3)^0.333,1/(2*AE336*4.18/101.3)^0.333),0)</f>
        <v>0</v>
      </c>
      <c r="AF341" s="81"/>
      <c r="AG341" s="2091">
        <f>IF(AND(AG336&gt;0,IF(Occ_Bldg_Cntr_Relief&gt;0,Occ_Bldg_Cntr_Relief,IF(Occ_Bldg_Relief&gt;0,Occ_Bldg_Relief,Occ_Bldg))&gt;0),IF(IF(Occ_Bldg_Cntr_Relief&gt;0,Occ_Bldg_Cntr_Relief,IF(Occ_Bldg_Relief&gt;0,Occ_Bldg_Relief,Occ_Bldg))&gt;1+LFL_Fract_VCE_Epicenter*AG334,(IF(Occ_Bldg_Cntr_Relief&gt;0,Occ_Bldg_Cntr_Relief,IF(Occ_Bldg_Relief&gt;0,Occ_Bldg_Relief,Occ_Bldg))-LFL_Fract_VCE_Epicenter*AG334)/(2*AG336*4.18/101.3)^0.333,1/(2*AG336*4.18/101.3)^0.333),0)</f>
        <v>0</v>
      </c>
      <c r="AH341" s="81"/>
      <c r="AI341" s="2091">
        <f>IF(AND(AI336&gt;0,IF(Occ_Bldg_Cntr_Relief&gt;0,Occ_Bldg_Cntr_Relief,IF(Occ_Bldg_Relief&gt;0,Occ_Bldg_Relief,Occ_Bldg))&gt;0),IF(IF(Occ_Bldg_Cntr_Relief&gt;0,Occ_Bldg_Cntr_Relief,IF(Occ_Bldg_Relief&gt;0,Occ_Bldg_Relief,Occ_Bldg))&gt;1+LFL_Fract_VCE_Epicenter*AI334,(IF(Occ_Bldg_Cntr_Relief&gt;0,Occ_Bldg_Cntr_Relief,IF(Occ_Bldg_Relief&gt;0,Occ_Bldg_Relief,Occ_Bldg))-LFL_Fract_VCE_Epicenter*AI334)/(2*AI336*4.18/101.3)^0.333,1/(2*AI336*4.18/101.3)^0.333),0)</f>
        <v>0</v>
      </c>
      <c r="AJ341" s="81"/>
      <c r="AK341" s="2091">
        <f>IF(AND(AK336&gt;0,IF(Occ_Bldg_Cntr_Relief&gt;0,Occ_Bldg_Cntr_Relief,IF(Occ_Bldg_Relief&gt;0,Occ_Bldg_Relief,Occ_Bldg))&gt;0),IF(IF(Occ_Bldg_Cntr_Relief&gt;0,Occ_Bldg_Cntr_Relief,IF(Occ_Bldg_Relief&gt;0,Occ_Bldg_Relief,Occ_Bldg))&gt;1+LFL_Fract_VCE_Epicenter*AK334,(IF(Occ_Bldg_Cntr_Relief&gt;0,Occ_Bldg_Cntr_Relief,IF(Occ_Bldg_Relief&gt;0,Occ_Bldg_Relief,Occ_Bldg))-LFL_Fract_VCE_Epicenter*AK334)/(2*AK336*4.18/101.3)^0.333,1/(2*AK336*4.18/101.3)^0.333),0)</f>
        <v>0</v>
      </c>
      <c r="AL341" s="81"/>
      <c r="AM341" s="2091">
        <f>IF(AND(AM336&gt;0,IF(Occ_Bldg_Cntr_Relief&gt;0,Occ_Bldg_Cntr_Relief,IF(Occ_Bldg_Relief&gt;0,Occ_Bldg_Relief,Occ_Bldg))&gt;0),IF(IF(Occ_Bldg_Cntr_Relief&gt;0,Occ_Bldg_Cntr_Relief,IF(Occ_Bldg_Relief&gt;0,Occ_Bldg_Relief,Occ_Bldg))&gt;1+LFL_Fract_VCE_Epicenter*AM334,(IF(Occ_Bldg_Cntr_Relief&gt;0,Occ_Bldg_Cntr_Relief,IF(Occ_Bldg_Relief&gt;0,Occ_Bldg_Relief,Occ_Bldg))-LFL_Fract_VCE_Epicenter*AM334)/(2*AM336*4.18/101.3)^0.333,1/(2*AM336*4.18/101.3)^0.333),0)</f>
        <v>0</v>
      </c>
      <c r="AN341" s="81"/>
      <c r="AO341" s="2091">
        <f>IF(AND(AO336&gt;0,IF(Occ_Bldg_Cntr_Relief&gt;0,Occ_Bldg_Cntr_Relief,IF(Occ_Bldg_Relief&gt;0,Occ_Bldg_Relief,Occ_Bldg))&gt;0),IF(IF(Occ_Bldg_Cntr_Relief&gt;0,Occ_Bldg_Cntr_Relief,IF(Occ_Bldg_Relief&gt;0,Occ_Bldg_Relief,Occ_Bldg))&gt;1+LFL_Fract_VCE_Epicenter*AO334,(IF(Occ_Bldg_Cntr_Relief&gt;0,Occ_Bldg_Cntr_Relief,IF(Occ_Bldg_Relief&gt;0,Occ_Bldg_Relief,Occ_Bldg))-LFL_Fract_VCE_Epicenter*AO334)/(2*AO336*4.18/101.3)^0.333,1/(2*AO336*4.18/101.3)^0.333),0)</f>
        <v>0</v>
      </c>
      <c r="AP341" s="81"/>
      <c r="AQ341" s="85"/>
      <c r="AR341" s="81"/>
      <c r="AS341" s="83"/>
      <c r="AT341" s="23" t="s">
        <v>3707</v>
      </c>
      <c r="AU341" s="83"/>
      <c r="AV341" s="1206">
        <f>IF(OR(AV$273=0,AV$264=""),0,IF(Zone_1&lt;MAX((AV93-MIN(AV93,WorkArea_Elevation))*Dispersion_E^0.5,Public),IF(AV153="Instantaneous",Dispersion_I,Dispersion_D)*AV$264^(2*IF(AV153="Instantaneous",AV$151,AV$125))*AV$285^2*(0-EXP(AV$271+AV$273*MAX(AV337,Public,(AV93-MIN(AV93,WorkArea_Elevation))*Dispersion_E^0.5)^2/(AV$264^(2*IF(AV153="Instantaneous",AV$151,AV$125))*AV$285^2)))/AV$273,IF(AV153="Instantaneous",Dispersion_I,Dispersion_D)*AV$264^(2*IF(AV153="Instantaneous",AV$151,AV$125))*AV$285^2*(0-EXP(AV$271+AV$273*MAX(AV337,Zone_1)^2/(AV$264^(2*IF(AV153="Instantaneous",AV$151,AV$125))*AV$285^2)))/AV$273))</f>
        <v>0</v>
      </c>
      <c r="AW341" s="83"/>
      <c r="AX341" s="1206">
        <f>IF(OR(AX$273=0,AX$264=""),0,IF(Zone_1&lt;MAX((AX93-MIN(AX93,WorkArea_Elevation))*Dispersion_E^0.5,Public),IF(AX153="Instantaneous",Dispersion_I,Dispersion_D)*AX$264^(2*IF(AX153="Instantaneous",AX$151,AX$125))*AX$285^2*(0-EXP(AX$271+AX$273*MAX(AX337,Public,(AX93-MIN(AX93,WorkArea_Elevation))*Dispersion_E^0.5)^2/(AX$264^(2*IF(AX153="Instantaneous",AX$151,AX$125))*AX$285^2)))/AX$273,IF(AX153="Instantaneous",Dispersion_I,Dispersion_D)*AX$264^(2*IF(AX153="Instantaneous",AX$151,AX$125))*AX$285^2*(0-EXP(AX$271+AX$273*MAX(AX337,Zone_1)^2/(AX$264^(2*IF(AX153="Instantaneous",AX$151,AX$125))*AX$285^2)))/AX$273))</f>
        <v>0</v>
      </c>
      <c r="AY341" s="83"/>
      <c r="AZ341" s="1206">
        <f>IF(OR(AZ$273=0,AZ$264=""),0,IF(Zone_1&lt;MAX((AZ93-MIN(AZ93,WorkArea_Elevation))*Dispersion_E^0.5,Public),IF(AZ153="Instantaneous",Dispersion_I,Dispersion_D)*AZ$264^(2*IF(AZ153="Instantaneous",AZ$151,AZ$125))*AZ$285^2*(0-EXP(AZ$271+AZ$273*MAX(AZ337,Public,(AZ93-MIN(AZ93,WorkArea_Elevation))*Dispersion_E^0.5)^2/(AZ$264^(2*IF(AZ153="Instantaneous",AZ$151,AZ$125))*AZ$285^2)))/AZ$273,IF(AZ153="Instantaneous",Dispersion_I,Dispersion_D)*AZ$264^(2*IF(AZ153="Instantaneous",AZ$151,AZ$125))*AZ$285^2*(0-EXP(AZ$271+AZ$273*MAX(AZ337,Zone_1)^2/(AZ$264^(2*IF(AZ153="Instantaneous",AZ$151,AZ$125))*AZ$285^2)))/AZ$273))</f>
        <v>0</v>
      </c>
      <c r="BA341" s="83"/>
      <c r="BB341" s="1206">
        <f>IF(OR(BB$273=0,BB$264=""),0,IF(Zone_1&lt;MAX((BB93-MIN(BB93,WorkArea_Elevation))*Dispersion_E^0.5,Public),IF(BB153="Instantaneous",Dispersion_I,Dispersion_D)*BB$264^(2*IF(BB153="Instantaneous",BB$151,BB$125))*BB$285^2*(0-EXP(BB$271+BB$273*MAX(BB337,Public,(BB93-MIN(BB93,WorkArea_Elevation))*Dispersion_E^0.5)^2/(BB$264^(2*IF(BB153="Instantaneous",BB$151,BB$125))*BB$285^2)))/BB$273,IF(BB153="Instantaneous",Dispersion_I,Dispersion_D)*BB$264^(2*IF(BB153="Instantaneous",BB$151,BB$125))*BB$285^2*(0-EXP(BB$271+BB$273*MAX(BB337,Zone_1)^2/(BB$264^(2*IF(BB153="Instantaneous",BB$151,BB$125))*BB$285^2)))/BB$273))</f>
        <v>0</v>
      </c>
      <c r="BC341" s="83"/>
      <c r="BD341" s="1206">
        <f>IF(OR(BD$273=0,BD$264=""),0,IF(Zone_1&lt;MAX((BD93-MIN(BD93,WorkArea_Elevation))*Dispersion_E^0.5,Public),IF(BD153="Instantaneous",Dispersion_I,Dispersion_D)*BD$264^(2*IF(BD153="Instantaneous",BD$151,BD$125))*BD$285^2*(0-EXP(BD$271+BD$273*MAX(BD337,Public,(BD93-MIN(BD93,WorkArea_Elevation))*Dispersion_E^0.5)^2/(BD$264^(2*IF(BD153="Instantaneous",BD$151,BD$125))*BD$285^2)))/BD$273,IF(BD153="Instantaneous",Dispersion_I,Dispersion_D)*BD$264^(2*IF(BD153="Instantaneous",BD$151,BD$125))*BD$285^2*(0-EXP(BD$271+BD$273*MAX(BD337,Zone_1)^2/(BD$264^(2*IF(BD153="Instantaneous",BD$151,BD$125))*BD$285^2)))/BD$273))</f>
        <v>0</v>
      </c>
      <c r="BE341" s="83"/>
      <c r="BF341" s="1206">
        <f>IF(OR(BF$273=0,BF$264=""),0,IF(Zone_1&lt;MAX((BF93-MIN(BF93,WorkArea_Elevation))*Dispersion_E^0.5,Public),IF(BF153="Instantaneous",Dispersion_I,Dispersion_D)*BF$264^(2*IF(BF153="Instantaneous",BF$151,BF$125))*BF$285^2*(0-EXP(BF$271+BF$273*MAX(BF337,Public,(BF93-MIN(BF93,WorkArea_Elevation))*Dispersion_E^0.5)^2/(BF$264^(2*IF(BF153="Instantaneous",BF$151,BF$125))*BF$285^2)))/BF$273,IF(BF153="Instantaneous",Dispersion_I,Dispersion_D)*BF$264^(2*IF(BF153="Instantaneous",BF$151,BF$125))*BF$285^2*(0-EXP(BF$271+BF$273*MAX(BF337,Zone_1)^2/(BF$264^(2*IF(BF153="Instantaneous",BF$151,BF$125))*BF$285^2)))/BF$273))</f>
        <v>0</v>
      </c>
      <c r="BG341" s="83"/>
      <c r="BH341" s="1206">
        <f>IF(OR(BH$273=0,BH$264=""),0,IF(Zone_1&lt;MAX((BH93-MIN(BH93,WorkArea_Elevation))*Dispersion_E^0.5,Public),IF(BH153="Instantaneous",Dispersion_I,Dispersion_D)*BH$264^(2*IF(BH153="Instantaneous",BH$151,BH$125))*BH$285^2*(0-EXP(BH$271+BH$273*MAX(BH337,Public,(BH93-MIN(BH93,WorkArea_Elevation))*Dispersion_E^0.5)^2/(BH$264^(2*IF(BH153="Instantaneous",BH$151,BH$125))*BH$285^2)))/BH$273,IF(BH153="Instantaneous",Dispersion_I,Dispersion_D)*BH$264^(2*IF(BH153="Instantaneous",BH$151,BH$125))*BH$285^2*(0-EXP(BH$271+BH$273*MAX(BH337,Zone_1)^2/(BH$264^(2*IF(BH153="Instantaneous",BH$151,BH$125))*BH$285^2)))/BH$273))</f>
        <v>0</v>
      </c>
      <c r="BI341" s="83"/>
      <c r="BJ341" s="1206">
        <f>IF(OR(BJ$273=0,BJ$264=""),0,IF(Zone_1&lt;MAX((BJ93-MIN(BJ93,WorkArea_Elevation))*Dispersion_E^0.5,Public),IF(BJ153="Instantaneous",Dispersion_I,Dispersion_D)*BJ$264^(2*IF(BJ153="Instantaneous",BJ$151,BJ$125))*BJ$285^2*(0-EXP(BJ$271+BJ$273*MAX(BJ337,Public,(BJ93-MIN(BJ93,WorkArea_Elevation))*Dispersion_E^0.5)^2/(BJ$264^(2*IF(BJ153="Instantaneous",BJ$151,BJ$125))*BJ$285^2)))/BJ$273,IF(BJ153="Instantaneous",Dispersion_I,Dispersion_D)*BJ$264^(2*IF(BJ153="Instantaneous",BJ$151,BJ$125))*BJ$285^2*(0-EXP(BJ$271+BJ$273*MAX(BJ337,Zone_1)^2/(BJ$264^(2*IF(BJ153="Instantaneous",BJ$151,BJ$125))*BJ$285^2)))/BJ$273))</f>
        <v>0</v>
      </c>
      <c r="BK341" s="83"/>
      <c r="BL341" s="1206">
        <f>IF(OR(BL$273=0,BL$264=""),0,IF(Zone_1&lt;MAX((BL93-MIN(BL93,WorkArea_Elevation))*Dispersion_E^0.5,Public),IF(BL153="Instantaneous",Dispersion_I,Dispersion_D)*BL$264^(2*IF(BL153="Instantaneous",BL$151,BL$125))*BL$285^2*(0-EXP(BL$271+BL$273*MAX(BL337,Public,(BL93-MIN(BL93,WorkArea_Elevation))*Dispersion_E^0.5)^2/(BL$264^(2*IF(BL153="Instantaneous",BL$151,BL$125))*BL$285^2)))/BL$273,IF(BL153="Instantaneous",Dispersion_I,Dispersion_D)*BL$264^(2*IF(BL153="Instantaneous",BL$151,BL$125))*BL$285^2*(0-EXP(BL$271+BL$273*MAX(BL337,Zone_1)^2/(BL$264^(2*IF(BL153="Instantaneous",BL$151,BL$125))*BL$285^2)))/BL$273))</f>
        <v>0</v>
      </c>
      <c r="BM341" s="83"/>
      <c r="BN341" s="1206">
        <f>IF(OR(BN$273=0,BN$264=""),0,IF(Zone_1&lt;MAX((BN93-MIN(BN93,WorkArea_Elevation))*Dispersion_E^0.5,Public),IF(BN153="Instantaneous",Dispersion_I,Dispersion_D)*BN$264^(2*IF(BN153="Instantaneous",BN$151,BN$125))*BN$285^2*(0-EXP(BN$271+BN$273*MAX(BN337,Public,(BN93-MIN(BN93,WorkArea_Elevation))*Dispersion_E^0.5)^2/(BN$264^(2*IF(BN153="Instantaneous",BN$151,BN$125))*BN$285^2)))/BN$273,IF(BN153="Instantaneous",Dispersion_I,Dispersion_D)*BN$264^(2*IF(BN153="Instantaneous",BN$151,BN$125))*BN$285^2*(0-EXP(BN$271+BN$273*MAX(BN337,Zone_1)^2/(BN$264^(2*IF(BN153="Instantaneous",BN$151,BN$125))*BN$285^2)))/BN$273))</f>
        <v>0</v>
      </c>
      <c r="BO341" s="83"/>
      <c r="BP341" s="85" t="s">
        <v>3804</v>
      </c>
      <c r="BQ341" s="83"/>
      <c r="BR341" s="81"/>
      <c r="BS341" s="23" t="s">
        <v>1394</v>
      </c>
      <c r="BT341" s="81"/>
      <c r="BU341" s="1206">
        <f>(PV_Energy/1120)^0.33*EXP((TNT_A/(LN(0.3/14.7)+TNT_B)-TNT_C))</f>
        <v>0</v>
      </c>
      <c r="BV341" s="81"/>
      <c r="BW341" s="1206">
        <f>Deflagration_0.3psi_Distance</f>
        <v>0</v>
      </c>
      <c r="BX341" s="81"/>
      <c r="BY341" s="1206">
        <f>IF(PV_Energy_Tsat&gt;0,(PV_Energy_Tsat/1120)^0.33*EXP((TNT_A/(LN(0.3/14.7)+TNT_B)-TNT_C)),0)</f>
        <v>0</v>
      </c>
      <c r="BZ341" s="81"/>
      <c r="CA341" s="1206">
        <f>IF(PV_Energy_Tsat&gt;0,(PV_Energy_Tsat/1120)^0.33*EXP((TNT_A/(LN(0.3/14.7)+TNT_B)-TNT_C)),0)</f>
        <v>0</v>
      </c>
      <c r="CB341" s="81"/>
      <c r="CC341" s="1206">
        <f>IF(PV_Energy_Fire&gt;0,(PV_Energy_Fire/1120)^0.33*EXP((TNT_A/(LN(0.3/14.7)+TNT_B)-TNT_C)),0)</f>
        <v>0</v>
      </c>
      <c r="CD341" s="81"/>
      <c r="CE341" s="85" t="s">
        <v>1068</v>
      </c>
      <c r="CF341" s="81"/>
      <c r="CG341" s="26"/>
      <c r="CH341" s="26"/>
      <c r="CI341" s="26"/>
      <c r="CJ341" s="26"/>
      <c r="CK341" s="26"/>
      <c r="CL341" s="26"/>
      <c r="CM341" s="26"/>
      <c r="CN341" s="26"/>
    </row>
    <row r="342" spans="1:92" ht="15" customHeight="1" x14ac:dyDescent="0.25">
      <c r="A342" s="2"/>
      <c r="B342" s="23" t="s">
        <v>3706</v>
      </c>
      <c r="C342" s="83"/>
      <c r="D342" s="1206">
        <f>IF(Zone_1&lt;Public,IF(D156="Instantaneous",Dispersion_I,Dispersion_D)*(MAX(D339,Public)^2-Public^2)+(MAX(Public,Zone_1)-MAX(Public,D339))*IF(D208="Instantaneous",DC_Duration_Initial*(D83/D98)^(1/3),2*(D$55/3.142)^0.5),IF(D156="Instantaneous",Dispersion_I,Dispersion_D)*(MAX(D339,Zone_1)^2-Zone_1^2)+(MAX(D339,Zone_1)-Zone_1)*IF(D156="Instantaneous",DC_Duration_Initial*(D83/D98)^(1/3),2*(D$55/3.142)^0.5))</f>
        <v>3.0000000000000005E-3</v>
      </c>
      <c r="E342" s="83"/>
      <c r="F342" s="1206">
        <f>IF(Zone_1&lt;Public,IF(F156="Instantaneous",Dispersion_I,Dispersion_D)*(MAX(F339,Public)^2-Public^2)+(MAX(Public,Zone_1)-MAX(Public,F339))*IF(F208="Instantaneous",DC_Duration_Initial*(F83/F98)^(1/3),2*(F$55/3.142)^0.5),IF(F156="Instantaneous",Dispersion_I,Dispersion_D)*(MAX(F339,Zone_1)^2-Zone_1^2)+(MAX(F339,Zone_1)-Zone_1)*IF(F156="Instantaneous",DC_Duration_Initial*(F83/F98)^(1/3),2*(F$55/3.142)^0.5))</f>
        <v>3.0000000000000005E-3</v>
      </c>
      <c r="G342" s="83"/>
      <c r="H342" s="1206">
        <f>IF(Zone_1&lt;Public,IF(H156="Instantaneous",Dispersion_I,Dispersion_D)*(MAX(H339,Public)^2-Public^2)+(MAX(Public,Zone_1)-MAX(Public,H339))*IF(H208="Instantaneous",DC_Duration_Initial*(H83/H98)^(1/3),2*(H$55/3.142)^0.5),IF(H156="Instantaneous",Dispersion_I,Dispersion_D)*(MAX(H339,Zone_1)^2-Zone_1^2)+(MAX(H339,Zone_1)-Zone_1)*IF(H156="Instantaneous",DC_Duration_Initial*(H83/H98)^(1/3),2*(H$55/3.142)^0.5))</f>
        <v>3.0000000000000005E-3</v>
      </c>
      <c r="I342" s="83"/>
      <c r="J342" s="1206">
        <f>IF(Zone_1&lt;Public,IF(J156="Instantaneous",Dispersion_I,Dispersion_D)*(MAX(J339,Public)^2-Public^2)+(MAX(Public,Zone_1)-MAX(Public,J339))*IF(J208="Instantaneous",DC_Duration_Initial*(J83/J98)^(1/3),2*(J$55/3.142)^0.5),IF(J156="Instantaneous",Dispersion_I,Dispersion_D)*(MAX(J339,Zone_1)^2-Zone_1^2)+(MAX(J339,Zone_1)-Zone_1)*IF(J156="Instantaneous",DC_Duration_Initial*(J83/J98)^(1/3),2*(J$55/3.142)^0.5))</f>
        <v>3.0000000000000005E-3</v>
      </c>
      <c r="K342" s="83"/>
      <c r="L342" s="1206">
        <f>IF(Zone_1&lt;Public,IF(L156="Instantaneous",Dispersion_I,Dispersion_D)*(MAX(L339,Public)^2-Public^2)+(MAX(Public,Zone_1)-MAX(Public,L339))*IF(L208="Instantaneous",DC_Duration_Initial*(L83/L98)^(1/3),2*(L$55/3.142)^0.5),IF(L156="Instantaneous",Dispersion_I,Dispersion_D)*(MAX(L339,Zone_1)^2-Zone_1^2)+(MAX(L339,Zone_1)-Zone_1)*IF(L156="Instantaneous",DC_Duration_Initial*(L83/L98)^(1/3),2*(L$55/3.142)^0.5))</f>
        <v>3.0000000000000005E-3</v>
      </c>
      <c r="M342" s="83"/>
      <c r="N342" s="1206">
        <f>IF(Zone_1&lt;Public,IF(N156="Instantaneous",Dispersion_I,Dispersion_D)*(MAX(N339,Public)^2-Public^2)+(MAX(Public,Zone_1)-MAX(Public,N339))*IF(N208="Instantaneous",DC_Duration_Initial*(N83/N98)^(1/3),2*(N$55/3.142)^0.5),IF(N156="Instantaneous",Dispersion_I,Dispersion_D)*(MAX(N339,Zone_1)^2-Zone_1^2)+(MAX(N339,Zone_1)-Zone_1)*IF(N156="Instantaneous",DC_Duration_Initial*(N83/N98)^(1/3),2*(N$55/3.142)^0.5))</f>
        <v>3.0000000000000005E-3</v>
      </c>
      <c r="O342" s="83"/>
      <c r="P342" s="1206">
        <f>IF(Zone_1&lt;Public,IF(P156="Instantaneous",Dispersion_I,Dispersion_D)*(MAX(P339,Public)^2-Public^2)+(MAX(Public,Zone_1)-MAX(Public,P339))*IF(P208="Instantaneous",DC_Duration_Initial*(P83/P98)^(1/3),2*(P$55/3.142)^0.5),IF(P156="Instantaneous",Dispersion_I,Dispersion_D)*(MAX(P339,Zone_1)^2-Zone_1^2)+(MAX(P339,Zone_1)-Zone_1)*IF(P156="Instantaneous",DC_Duration_Initial*(P83/P98)^(1/3),2*(P$55/3.142)^0.5))</f>
        <v>3.0000000000000005E-3</v>
      </c>
      <c r="Q342" s="83"/>
      <c r="R342" s="1206">
        <f>IF(Zone_1&lt;Public,IF(R156="Instantaneous",Dispersion_I,Dispersion_D)*(MAX(R339,Public)^2-Public^2)+(MAX(Public,Zone_1)-MAX(Public,R339))*IF(R208="Instantaneous",DC_Duration_Initial*(R83/R98)^(1/3),2*(R$55/3.142)^0.5),IF(R156="Instantaneous",Dispersion_I,Dispersion_D)*(MAX(R339,Zone_1)^2-Zone_1^2)+(MAX(R339,Zone_1)-Zone_1)*IF(R156="Instantaneous",DC_Duration_Initial*(R83/R98)^(1/3),2*(R$55/3.142)^0.5))</f>
        <v>3.0000000000000005E-3</v>
      </c>
      <c r="S342" s="83"/>
      <c r="T342" s="1206">
        <f>IF(Zone_1&lt;Public,IF(T156="Instantaneous",Dispersion_I,Dispersion_D)*(MAX(T339,Public)^2-Public^2)+(MAX(Public,Zone_1)-MAX(Public,T339))*IF(T208="Instantaneous",DC_Duration_Initial*(T83/T98)^(1/3),2*(T$55/3.142)^0.5),IF(T156="Instantaneous",Dispersion_I,Dispersion_D)*(MAX(T339,Zone_1)^2-Zone_1^2)+(MAX(T339,Zone_1)-Zone_1)*IF(T156="Instantaneous",DC_Duration_Initial*(T83/T98)^(1/3),2*(T$55/3.142)^0.5))</f>
        <v>3.0000000000000005E-3</v>
      </c>
      <c r="U342" s="83"/>
      <c r="V342" s="1206">
        <f>IF(Zone_1&lt;Public,IF(V156="Instantaneous",Dispersion_I,Dispersion_D)*(MAX(V339,Public)^2-Public^2)+(MAX(Public,Zone_1)-MAX(Public,V339))*IF(V208="Instantaneous",DC_Duration_Initial*(V83/V98)^(1/3),2*(V$55/3.142)^0.5),IF(V156="Instantaneous",Dispersion_I,Dispersion_D)*(MAX(V339,Zone_1)^2-Zone_1^2)+(MAX(V339,Zone_1)-Zone_1)*IF(V156="Instantaneous",DC_Duration_Initial*(V83/V98)^(1/3),2*(V$55/3.142)^0.5))</f>
        <v>3.0000000000000005E-3</v>
      </c>
      <c r="W342" s="83"/>
      <c r="X342" s="1206">
        <f>IF(Zone_1&lt;Public,IF(X156="Instantaneous",Dispersion_I,Dispersion_D)*(MAX(X339,Public)^2-Public^2)+(MAX(Public,Zone_1)-MAX(Public,X339))*IF(X208="Instantaneous",DC_Duration_Initial*(X83/X98)^(1/3),2*(X$55/3.142)^0.5),IF(X156="Instantaneous",Dispersion_I,Dispersion_D)*(MAX(X339,Zone_1)^2-Zone_1^2)+(MAX(X339,Zone_1)-Zone_1)*IF(X156="Instantaneous",DC_Duration_Initial*(X83/X98)^(1/3),2*(X$55/3.142)^0.5))</f>
        <v>3.0000000000000005E-3</v>
      </c>
      <c r="Y342" s="83"/>
      <c r="Z342" s="85" t="s">
        <v>3804</v>
      </c>
      <c r="AA342" s="83"/>
      <c r="AB342" s="81"/>
      <c r="AC342" s="23" t="s">
        <v>1534</v>
      </c>
      <c r="AD342" s="81"/>
      <c r="AE342" s="2101">
        <f>IF(AND(AE332="Yes",AE341&gt;0),IF(VCE_BST_Coeff/AE341^VCE_BST_Exp&lt;VCE_BST_Limit,14.7*VCE_BST_Coeff/AE341^VCE_BST_Exp,14.7*VCE_BST_Limit),AE344)</f>
        <v>0</v>
      </c>
      <c r="AF342" s="81"/>
      <c r="AG342" s="2101">
        <f>IF(AND(AG332="Yes",AG341&gt;0),IF(VCE_BST_Coeff/AG341^VCE_BST_Exp&lt;VCE_BST_Limit,14.7*VCE_BST_Coeff/AG341^VCE_BST_Exp,14.7*VCE_BST_Limit),AG344)</f>
        <v>0</v>
      </c>
      <c r="AH342" s="81"/>
      <c r="AI342" s="2101">
        <f>IF(AND(AI332="Yes",AI341&gt;0),IF(VCE_BST_Coeff/AI341^VCE_BST_Exp&lt;VCE_BST_Limit,14.7*VCE_BST_Coeff/AI341^VCE_BST_Exp,14.7*VCE_BST_Limit),AI344)</f>
        <v>0</v>
      </c>
      <c r="AJ342" s="81"/>
      <c r="AK342" s="2101">
        <f>IF(AND(AK332="Yes",AK341&gt;0),IF(VCE_BST_Coeff/AK341^VCE_BST_Exp&lt;VCE_BST_Limit,14.7*VCE_BST_Coeff/AK341^VCE_BST_Exp,14.7*VCE_BST_Limit),AK344)</f>
        <v>0</v>
      </c>
      <c r="AL342" s="81"/>
      <c r="AM342" s="2101">
        <f>IF(AND(AM332="Yes",AM341&gt;0),IF(VCE_BST_Coeff/AM341^VCE_BST_Exp&lt;VCE_BST_Limit,14.7*VCE_BST_Coeff/AM341^VCE_BST_Exp,14.7*VCE_BST_Limit),AM344)</f>
        <v>0</v>
      </c>
      <c r="AN342" s="81"/>
      <c r="AO342" s="2101">
        <f>IF(AND(AO332="Yes",AO341&gt;0),IF(VCE_BST_Coeff/AO341^VCE_BST_Exp&lt;VCE_BST_Limit,14.7*VCE_BST_Coeff/AO341^VCE_BST_Exp,14.7*VCE_BST_Limit),AO344)</f>
        <v>0</v>
      </c>
      <c r="AP342" s="81"/>
      <c r="AQ342" s="85" t="s">
        <v>968</v>
      </c>
      <c r="AR342" s="81"/>
      <c r="AS342" s="83"/>
      <c r="AT342" s="23" t="s">
        <v>3704</v>
      </c>
      <c r="AU342" s="83"/>
      <c r="AV342" s="1206">
        <f>IF(AND(AV82&gt;0,AV274&gt;0),IF(AV278="Indoors",IF(ConcFract_Indoor*AV299&lt;=AV274,0,AV$124*((IF(Enclosed_Ventilation_Rate&gt;1,Enclosed_Ventilation_Rate,1)*Enclosed_Process_Volume*AV82*AV299/88020000000)*1000000*(1/AV274-1/AV299)/(AV82*Wind))^AV$125),IF(OR(AV274=0,AV274&gt;=ConcFract_Indoor*1000000),0,MAX(0,IF(AV153="Instantaneous",AV$150*((AV67/AV82)*(ConcFract_Indoor*1000000/AV274))^AV$151-AV$152,AV$124*(AV73*(ConcFract_Indoor*1000000/AV274)/(AV82*Wind))^AV$125-AV$126)))),0.1)</f>
        <v>0.1</v>
      </c>
      <c r="AW342" s="83"/>
      <c r="AX342" s="1206">
        <f>IF(AND(AX82&gt;0,AX274&gt;0),IF(AX278="Indoors",IF(ConcFract_Indoor*AX299&lt;=AX274,0,AX$124*((IF(Enclosed_Ventilation_Rate&gt;1,Enclosed_Ventilation_Rate,1)*Enclosed_Process_Volume*AX82*AX299/88020000000)*1000000*(1/AX274-1/AX299)/(AX82*Wind))^AX$125),IF(OR(AX274=0,AX274&gt;=ConcFract_Indoor*1000000),0,MAX(0,IF(AX153="Instantaneous",AX$150*((AX67/AX82)*(ConcFract_Indoor*1000000/AX274))^AX$151-AX$152+AX92,AX$124*(AX73*(ConcFract_Indoor*1000000/AX274)/(AX82*Wind))^AX$125-AX$126+AX92)))),0.1)</f>
        <v>0.1</v>
      </c>
      <c r="AY342" s="83"/>
      <c r="AZ342" s="1206">
        <f>IF(AND(AZ82&gt;0,AZ274&gt;0),IF(AZ278="Indoors",IF(ConcFract_Indoor*AZ299&lt;=AZ274,0,AZ$124*((IF(Enclosed_Ventilation_Rate&gt;1,Enclosed_Ventilation_Rate,1)*Enclosed_Process_Volume*AZ82*AZ299/88020000000)*1000000*(1/AZ274-1/AZ299)/(AZ82*Wind))^AZ$125),IF(OR(AZ274=0,AZ274&gt;=ConcFract_Indoor*1000000),0,MAX(0,IF(AZ153="Instantaneous",AZ$150*((AZ67/AZ82)*(ConcFract_Indoor*1000000/AZ274))^AZ$151-AZ$152+AZ92,AZ$124*(AZ73*(ConcFract_Indoor*1000000/AZ274)/(AZ82*Wind))^AZ$125-AZ$126+AZ92)))),0.1)</f>
        <v>0.1</v>
      </c>
      <c r="BA342" s="83"/>
      <c r="BB342" s="1206">
        <f>IF(AND(BB82&gt;0,BB274&gt;0),IF(BB278="Indoors",IF(ConcFract_Indoor*BB299&lt;=BB274,0,BB$124*((IF(Enclosed_Ventilation_Rate&gt;1,Enclosed_Ventilation_Rate,1)*Enclosed_Process_Volume*BB82*BB299/88020000000)*1000000*(1/BB274-1/BB299)/(BB82*Wind))^BB$125),IF(OR(BB274=0,BB274&gt;=ConcFract_Indoor*1000000),0,MAX(0,IF(BB153="Instantaneous",BB$150*((BB67/BB82)*(ConcFract_Indoor*1000000/BB274))^BB$151-BB$152+BB92,BB$124*(BB73*(ConcFract_Indoor*1000000/BB274)/(BB82*Wind))^BB$125-BB$126+BB92)))),0.1)</f>
        <v>0.1</v>
      </c>
      <c r="BC342" s="83"/>
      <c r="BD342" s="1206">
        <f>IF(AND(BD82&gt;0,BD274&gt;0),IF(BD278="Indoors",IF(ConcFract_Indoor*BD299&lt;=BD274,0,BD$124*((IF(Enclosed_Ventilation_Rate&gt;1,Enclosed_Ventilation_Rate,1)*Enclosed_Process_Volume*BD82*BD299/88020000000)*1000000*(1/BD274-1/BD299)/(BD82*Wind))^BD$125),IF(OR(BD274=0,BD274&gt;=ConcFract_Indoor*1000000),0,MAX(0,IF(BD153="Instantaneous",BD$150*((BD67/BD82)*(ConcFract_Indoor*1000000/BD274))^BD$151-BD$152+BD92,BD$124*(BD73*(ConcFract_Indoor*1000000/BD274)/(BD82*Wind))^BD$125-BD$126+BD92)))),0.1)</f>
        <v>0.1</v>
      </c>
      <c r="BE342" s="83"/>
      <c r="BF342" s="1206">
        <f>IF(AND(BF82&gt;0,BF274&gt;0),IF(BF278="Indoors",IF(ConcFract_Indoor*BF299&lt;=BF274,0,BF$124*((IF(Enclosed_Ventilation_Rate&gt;1,Enclosed_Ventilation_Rate,1)*Enclosed_Process_Volume*BF82*BF299/88020000000)*1000000*(1/BF274-1/BF299)/(BF82*Wind))^BF$125),IF(OR(BF274=0,BF274&gt;=ConcFract_Indoor*1000000),0,MAX(0,IF(BF153="Instantaneous",BF$150*((BF67/BF82)*(ConcFract_Indoor*1000000/BF274))^BF$151-BF$152+BF92,BF$124*(BF73*(ConcFract_Indoor*1000000/BF274)/(BF82*Wind))^BF$125-BF$126+BF92)))),0.1)</f>
        <v>0.1</v>
      </c>
      <c r="BG342" s="83"/>
      <c r="BH342" s="1206">
        <f>IF(AND(BH82&gt;0,BH274&gt;0),IF(BH278="Indoors",IF(ConcFract_Indoor*BH299&lt;=BH274,0,BH$124*((IF(Enclosed_Ventilation_Rate&gt;1,Enclosed_Ventilation_Rate,1)*Enclosed_Process_Volume*BH82*BH299/88020000000)*1000000*(1/BH274-1/BH299)/(BH82*Wind))^BH$125),IF(OR(BH274=0,BH274&gt;=ConcFract_Indoor*1000000),0,MAX(0,IF(BH153="Instantaneous",BH$150*((BH67/BH82)*(ConcFract_Indoor*1000000/BH274))^BH$151-BH$152+BH92,BH$124*(BH73*(ConcFract_Indoor*1000000/BH274)/(BH82*Wind))^BH$125-BH$126+BH92)))),0.1)</f>
        <v>0.1</v>
      </c>
      <c r="BI342" s="83"/>
      <c r="BJ342" s="1206">
        <f>IF(AND(BJ82&gt;0,BJ274&gt;0),IF(BJ278="Indoors",IF(ConcFract_Indoor*BJ299&lt;=BJ274,0,BJ$124*((IF(Enclosed_Ventilation_Rate&gt;1,Enclosed_Ventilation_Rate,1)*Enclosed_Process_Volume*BJ82*BJ299/88020000000)*1000000*(1/BJ274-1/BJ299)/(BJ82*Wind))^BJ$125),IF(OR(BJ274=0,BJ274&gt;=ConcFract_Indoor*1000000),0,MAX(0,IF(BJ153="Instantaneous",BJ$150*((BJ67/BJ82)*(ConcFract_Indoor*1000000/BJ274))^BJ$151-BJ$152+BJ92,BJ$124*(BJ73*(ConcFract_Indoor*1000000/BJ274)/(BJ82*Wind))^BJ$125-BJ$126+BJ92)))),0.1)</f>
        <v>0.1</v>
      </c>
      <c r="BK342" s="83"/>
      <c r="BL342" s="1206">
        <f>IF(AND(BL82&gt;0,BL274&gt;0),IF(BL278="Indoors",IF(ConcFract_Indoor*BL299&lt;=BL274,0,BL$124*((IF(Enclosed_Ventilation_Rate&gt;1,Enclosed_Ventilation_Rate,1)*Enclosed_Process_Volume*BL82*BL299/88020000000)*1000000*(1/BL274-1/BL299)/(BL82*Wind))^BL$125),IF(OR(BL274=0,BL274&gt;=ConcFract_Indoor*1000000),0,MAX(0,IF(BL153="Instantaneous",BL$150*((BL67/BL82)*(ConcFract_Indoor*1000000/BL274))^BL$151-BL$152+BL92,BL$124*(BL73*(ConcFract_Indoor*1000000/BL274)/(BL82*Wind))^BL$125-BL$126+BL92)))),0.1)</f>
        <v>0.1</v>
      </c>
      <c r="BM342" s="83"/>
      <c r="BN342" s="1206">
        <f>IF(AND(BN82&gt;0,BN274&gt;0),IF(BN278="Indoors",IF(ConcFract_Indoor*BN299&lt;=BN274,0,BN$124*((IF(Enclosed_Ventilation_Rate&gt;1,Enclosed_Ventilation_Rate,1)*Enclosed_Process_Volume*BN82*BN299/88020000000)*1000000*(1/BN274-1/BN299)/(BN82*Wind))^BN$125),IF(OR(BN274=0,BN274&gt;=ConcFract_Indoor*1000000),0,MAX(0,IF(BN153="Instantaneous",BN$150*((BN67/BN82)*(ConcFract_Indoor*1000000/BN274))^BN$151-BN$152+BN92,BN$124*(BN73*(ConcFract_Indoor*1000000/BN274)/(BN82*Wind))^BN$125-BN$126+BN92)))),0.1)</f>
        <v>0.1</v>
      </c>
      <c r="BO342" s="83"/>
      <c r="BP342" s="85" t="s">
        <v>1068</v>
      </c>
      <c r="BQ342" s="83"/>
      <c r="BR342" s="81"/>
      <c r="BS342" s="85" t="s">
        <v>1393</v>
      </c>
      <c r="BT342" s="81"/>
      <c r="BU342" s="1209">
        <f>(PV_Energy/1120)^0.33*EXP((TNT_A/(LN(1/14.7)+TNT_B)-TNT_C))</f>
        <v>0</v>
      </c>
      <c r="BV342" s="81"/>
      <c r="BW342" s="1209">
        <f>Deflagration_1.0psi_Distance</f>
        <v>0</v>
      </c>
      <c r="BX342" s="81"/>
      <c r="BY342" s="1286">
        <f>IF(PV_Energy_Tsat&gt;0,(PV_Energy_Tsat/1120)^0.33*EXP((TNT_A/(LN(1/14.7)+TNT_B)-TNT_C)),0)</f>
        <v>0</v>
      </c>
      <c r="BZ342" s="81"/>
      <c r="CA342" s="1286">
        <f>IF(PV_Energy_Tsat&gt;0,(PV_Energy_Tsat/1120)^0.33*EXP((TNT_A/(LN(1/14.7)+TNT_B)-TNT_C)),0)</f>
        <v>0</v>
      </c>
      <c r="CB342" s="81"/>
      <c r="CC342" s="1286">
        <f>IF(PV_Energy_Fire&gt;0,(PV_Energy_Fire/1120)^0.33*EXP((TNT_A/(LN(1/14.7)+TNT_B)-TNT_C)),0)</f>
        <v>0</v>
      </c>
      <c r="CD342" s="81"/>
      <c r="CE342" s="85" t="s">
        <v>1068</v>
      </c>
      <c r="CF342" s="81"/>
      <c r="CG342" s="26"/>
      <c r="CH342" s="26"/>
      <c r="CI342" s="26"/>
      <c r="CJ342" s="26"/>
      <c r="CK342" s="26"/>
      <c r="CL342" s="26"/>
      <c r="CM342" s="26"/>
      <c r="CN342" s="26"/>
    </row>
    <row r="343" spans="1:92" ht="15" customHeight="1" x14ac:dyDescent="0.25">
      <c r="A343" s="2"/>
      <c r="B343" s="23" t="s">
        <v>3707</v>
      </c>
      <c r="C343" s="83"/>
      <c r="D343" s="1206">
        <f>IF(OR(D$276=0,D$267=""),0,IF(Zone_1&lt;Public,IF(D156="Instantaneous",Dispersion_I,Dispersion_D)*D$267^(2*IF(D156="Instantaneous",D$154,D$128))*D$288^2*(0-EXP(D$274+D$276*MAX(D339,Public)^2/(D$267^(2*IF(D156="Instantaneous",D$154,D$128))*D$288^2)))/D$276,IF(D156="Instantaneous",Dispersion_I,Dispersion_D)*D$267^(2*IF(D156="Instantaneous",D$154,D$128))*D$288^2*(0-EXP(D$274+D$276*MAX(D339,Zone_1)^2/(D$267^(2*IF(D156="Instantaneous",D$154,D$128))*D$288^2)))/D$276))</f>
        <v>0</v>
      </c>
      <c r="E343" s="83"/>
      <c r="F343" s="1206">
        <f>IF(OR(F$276=0,F$267=""),0,IF(Zone_1&lt;Public,IF(F156="Instantaneous",Dispersion_I,Dispersion_D)*F$267^(2*IF(F156="Instantaneous",F$154,F$128))*F$288^2*(0-EXP(F$274+F$276*MAX(F339,Public)^2/(F$267^(2*IF(F156="Instantaneous",F$154,F$128))*F$288^2)))/F$276,IF(F156="Instantaneous",Dispersion_I,Dispersion_D)*F$267^(2*IF(F156="Instantaneous",F$154,F$128))*F$288^2*(0-EXP(F$274+F$276*MAX(F339,Zone_1)^2/(F$267^(2*IF(F156="Instantaneous",F$154,F$128))*F$288^2)))/F$276))</f>
        <v>0</v>
      </c>
      <c r="G343" s="83"/>
      <c r="H343" s="1206">
        <f>IF(OR(H$276=0,H$267=""),0,IF(Zone_1&lt;Public,IF(H156="Instantaneous",Dispersion_I,Dispersion_D)*H$267^(2*IF(H156="Instantaneous",H$154,H$128))*H$288^2*(0-EXP(H$274+H$276*MAX(H339,Public)^2/(H$267^(2*IF(H156="Instantaneous",H$154,H$128))*H$288^2)))/H$276,IF(H156="Instantaneous",Dispersion_I,Dispersion_D)*H$267^(2*IF(H156="Instantaneous",H$154,H$128))*H$288^2*(0-EXP(H$274+H$276*MAX(H339,Zone_1)^2/(H$267^(2*IF(H156="Instantaneous",H$154,H$128))*H$288^2)))/H$276))</f>
        <v>0</v>
      </c>
      <c r="I343" s="83"/>
      <c r="J343" s="1206">
        <f>IF(OR(J$276=0,J$267=""),0,IF(Zone_1&lt;Public,IF(J156="Instantaneous",Dispersion_I,Dispersion_D)*J$267^(2*IF(J156="Instantaneous",J$154,J$128))*J$288^2*(0-EXP(J$274+J$276*MAX(J339,Public)^2/(J$267^(2*IF(J156="Instantaneous",J$154,J$128))*J$288^2)))/J$276,IF(J156="Instantaneous",Dispersion_I,Dispersion_D)*J$267^(2*IF(J156="Instantaneous",J$154,J$128))*J$288^2*(0-EXP(J$274+J$276*MAX(J339,Zone_1)^2/(J$267^(2*IF(J156="Instantaneous",J$154,J$128))*J$288^2)))/J$276))</f>
        <v>0</v>
      </c>
      <c r="K343" s="83"/>
      <c r="L343" s="1206">
        <f>IF(OR(L$276=0,L$267=""),0,IF(Zone_1&lt;Public,IF(L156="Instantaneous",Dispersion_I,Dispersion_D)*L$267^(2*IF(L156="Instantaneous",L$154,L$128))*L$288^2*(0-EXP(L$274+L$276*MAX(L339,Public)^2/(L$267^(2*IF(L156="Instantaneous",L$154,L$128))*L$288^2)))/L$276,IF(L156="Instantaneous",Dispersion_I,Dispersion_D)*L$267^(2*IF(L156="Instantaneous",L$154,L$128))*L$288^2*(0-EXP(L$274+L$276*MAX(L339,Zone_1)^2/(L$267^(2*IF(L156="Instantaneous",L$154,L$128))*L$288^2)))/L$276))</f>
        <v>0</v>
      </c>
      <c r="M343" s="83"/>
      <c r="N343" s="1206">
        <f>IF(OR(N$276=0,N$267=""),0,IF(Zone_1&lt;Public,IF(N156="Instantaneous",Dispersion_I,Dispersion_D)*N$267^(2*IF(N156="Instantaneous",N$154,N$128))*N$288^2*(0-EXP(N$274+N$276*MAX(N339,Public)^2/(N$267^(2*IF(N156="Instantaneous",N$154,N$128))*N$288^2)))/N$276,IF(N156="Instantaneous",Dispersion_I,Dispersion_D)*N$267^(2*IF(N156="Instantaneous",N$154,N$128))*N$288^2*(0-EXP(N$274+N$276*MAX(N339,Zone_1)^2/(N$267^(2*IF(N156="Instantaneous",N$154,N$128))*N$288^2)))/N$276))</f>
        <v>0</v>
      </c>
      <c r="O343" s="83"/>
      <c r="P343" s="1206">
        <f>IF(OR(P$276=0,P$267=""),0,IF(Zone_1&lt;Public,IF(P156="Instantaneous",Dispersion_I,Dispersion_D)*P$267^(2*IF(P156="Instantaneous",P$154,P$128))*P$288^2*(0-EXP(P$274+P$276*MAX(P339,Public)^2/(P$267^(2*IF(P156="Instantaneous",P$154,P$128))*P$288^2)))/P$276,IF(P156="Instantaneous",Dispersion_I,Dispersion_D)*P$267^(2*IF(P156="Instantaneous",P$154,P$128))*P$288^2*(0-EXP(P$274+P$276*MAX(P339,Zone_1)^2/(P$267^(2*IF(P156="Instantaneous",P$154,P$128))*P$288^2)))/P$276))</f>
        <v>0</v>
      </c>
      <c r="Q343" s="83"/>
      <c r="R343" s="1206">
        <f>IF(OR(R$276=0,R$267=""),0,IF(Zone_1&lt;Public,IF(R156="Instantaneous",Dispersion_I,Dispersion_D)*R$267^(2*IF(R156="Instantaneous",R$154,R$128))*R$288^2*(0-EXP(R$274+R$276*MAX(R339,Public)^2/(R$267^(2*IF(R156="Instantaneous",R$154,R$128))*R$288^2)))/R$276,IF(R156="Instantaneous",Dispersion_I,Dispersion_D)*R$267^(2*IF(R156="Instantaneous",R$154,R$128))*R$288^2*(0-EXP(R$274+R$276*MAX(R339,Zone_1)^2/(R$267^(2*IF(R156="Instantaneous",R$154,R$128))*R$288^2)))/R$276))</f>
        <v>0</v>
      </c>
      <c r="S343" s="83"/>
      <c r="T343" s="1206">
        <f>IF(OR(T$276=0,T$267=""),0,IF(Zone_1&lt;Public,IF(T156="Instantaneous",Dispersion_I,Dispersion_D)*T$267^(2*IF(T156="Instantaneous",T$154,T$128))*T$288^2*(0-EXP(T$274+T$276*MAX(T339,Public)^2/(T$267^(2*IF(T156="Instantaneous",T$154,T$128))*T$288^2)))/T$276,IF(T156="Instantaneous",Dispersion_I,Dispersion_D)*T$267^(2*IF(T156="Instantaneous",T$154,T$128))*T$288^2*(0-EXP(T$274+T$276*MAX(T339,Zone_1)^2/(T$267^(2*IF(T156="Instantaneous",T$154,T$128))*T$288^2)))/T$276))</f>
        <v>0</v>
      </c>
      <c r="U343" s="83"/>
      <c r="V343" s="1206">
        <f>IF(OR(V$276=0,V$267=""),0,IF(Zone_1&lt;Public,IF(V156="Instantaneous",Dispersion_I,Dispersion_D)*V$267^(2*IF(V156="Instantaneous",V$154,V$128))*V$288^2*(0-EXP(V$274+V$276*MAX(V339,Public)^2/(V$267^(2*IF(V156="Instantaneous",V$154,V$128))*V$288^2)))/V$276,IF(V156="Instantaneous",Dispersion_I,Dispersion_D)*V$267^(2*IF(V156="Instantaneous",V$154,V$128))*V$288^2*(0-EXP(V$274+V$276*MAX(V339,Zone_1)^2/(V$267^(2*IF(V156="Instantaneous",V$154,V$128))*V$288^2)))/V$276))</f>
        <v>0</v>
      </c>
      <c r="W343" s="83"/>
      <c r="X343" s="1206">
        <f>IF(OR(X$276=0,X$267=""),0,IF(Zone_1&lt;Public,IF(X156="Instantaneous",Dispersion_I,Dispersion_D)*X$267^(2*IF(X156="Instantaneous",X$154,X$128))*X$288^2*(0-EXP(X$274+X$276*MAX(X339,Public)^2/(X$267^(2*IF(X156="Instantaneous",X$154,X$128))*X$288^2)))/X$276,IF(X156="Instantaneous",Dispersion_I,Dispersion_D)*X$267^(2*IF(X156="Instantaneous",X$154,X$128))*X$288^2*(0-EXP(X$274+X$276*MAX(X339,Zone_1)^2/(X$267^(2*IF(X156="Instantaneous",X$154,X$128))*X$288^2)))/X$276))</f>
        <v>0</v>
      </c>
      <c r="Y343" s="83"/>
      <c r="Z343" s="85" t="s">
        <v>3804</v>
      </c>
      <c r="AA343" s="83"/>
      <c r="AB343" s="81"/>
      <c r="AC343" s="23" t="s">
        <v>3024</v>
      </c>
      <c r="AD343" s="81"/>
      <c r="AE343" s="1181">
        <f>IF(AND(AE336&gt;0,IF(Occ_Bldg_Relief&gt;0,Occ_Bldg_Relief,Occ_Bldg)&gt;0),IF(IF(Occ_Bldg_Relief&gt;0,Occ_Bldg_Relief,Occ_Bldg)&gt;1+LFL_Fract_VCE_Epicenter*AE334,(IF(Occ_Bldg_Relief&gt;0,Occ_Bldg_Relief,Occ_Bldg)-LFL_Fract_VCE_Epicenter*AE334)/(2*AE336*4.18/101.3)^0.333,1/(2*AE336*4.18/101.3)^0.333),0)</f>
        <v>0</v>
      </c>
      <c r="AF343" s="81"/>
      <c r="AG343" s="1181">
        <f>IF(AND(AG336&gt;0,IF(Occ_Bldg_Relief&gt;0,Occ_Bldg_Relief,Occ_Bldg)&gt;0),IF(IF(Occ_Bldg_Relief&gt;0,Occ_Bldg_Relief,Occ_Bldg)&gt;1+LFL_Fract_VCE_Epicenter*AG334,(IF(Occ_Bldg_Relief&gt;0,Occ_Bldg_Relief,Occ_Bldg)-LFL_Fract_VCE_Epicenter*AG334)/(2*AG336*4.18/101.3)^0.333,1/(2*AG336*4.18/101.3)^0.333),0)</f>
        <v>0</v>
      </c>
      <c r="AH343" s="81"/>
      <c r="AI343" s="1181">
        <f>IF(AND(AI336&gt;0,IF(Occ_Bldg_Relief&gt;0,Occ_Bldg_Relief,Occ_Bldg)&gt;0),IF(IF(Occ_Bldg_Relief&gt;0,Occ_Bldg_Relief,Occ_Bldg)&gt;1+LFL_Fract_VCE_Epicenter*AI334,(IF(Occ_Bldg_Relief&gt;0,Occ_Bldg_Relief,Occ_Bldg)-LFL_Fract_VCE_Epicenter*AI334)/(2*AI336*4.18/101.3)^0.333,1/(2*AI336*4.18/101.3)^0.333),0)</f>
        <v>0</v>
      </c>
      <c r="AJ343" s="81"/>
      <c r="AK343" s="1181">
        <f>IF(AND(AK336&gt;0,IF(Occ_Bldg_Relief&gt;0,Occ_Bldg_Relief,Occ_Bldg)&gt;0),IF(IF(Occ_Bldg_Relief&gt;0,Occ_Bldg_Relief,Occ_Bldg)&gt;1+LFL_Fract_VCE_Epicenter*AK334,(IF(Occ_Bldg_Relief&gt;0,Occ_Bldg_Relief,Occ_Bldg)-LFL_Fract_VCE_Epicenter*AK334)/(2*AK336*4.18/101.3)^0.333,1/(2*AK336*4.18/101.3)^0.333),0)</f>
        <v>0</v>
      </c>
      <c r="AL343" s="81"/>
      <c r="AM343" s="1181">
        <f>IF(AND(AM336&gt;0,IF(Occ_Bldg_Relief&gt;0,Occ_Bldg_Relief,Occ_Bldg)&gt;0),IF(IF(Occ_Bldg_Relief&gt;0,Occ_Bldg_Relief,Occ_Bldg)&gt;1+LFL_Fract_VCE_Epicenter*AM334,(IF(Occ_Bldg_Relief&gt;0,Occ_Bldg_Relief,Occ_Bldg)-LFL_Fract_VCE_Epicenter*AM334)/(2*AM336*4.18/101.3)^0.333,1/(2*AM336*4.18/101.3)^0.333),0)</f>
        <v>0</v>
      </c>
      <c r="AN343" s="81"/>
      <c r="AO343" s="1181">
        <f>IF(AND(AO336&gt;0,IF(Occ_Bldg_Relief&gt;0,Occ_Bldg_Relief,Occ_Bldg)&gt;0),IF(IF(Occ_Bldg_Relief&gt;0,Occ_Bldg_Relief,Occ_Bldg)&gt;1+LFL_Fract_VCE_Epicenter*AO334,(IF(Occ_Bldg_Relief&gt;0,Occ_Bldg_Relief,Occ_Bldg)-LFL_Fract_VCE_Epicenter*AO334)/(2*AO336*4.18/101.3)^0.333,1/(2*AO336*4.18/101.3)^0.333),0)</f>
        <v>0</v>
      </c>
      <c r="AP343" s="81"/>
      <c r="AQ343" s="85"/>
      <c r="AR343" s="81"/>
      <c r="AS343" s="83"/>
      <c r="AT343" s="23" t="s">
        <v>3708</v>
      </c>
      <c r="AU343" s="83"/>
      <c r="AV343" s="1206" t="e">
        <f>IF(AV153="Instantaneous",Dispersion_I,Dispersion_D)*(MAX(AV342,Public,(AV93-MIN(AV93,WorkArea_Elevation))*Dispersion_E^0.5)^2-MAX((AV93-MIN(AV93,WorkArea_Elevation))*Dispersion_E^0.5,Public)^2)</f>
        <v>#DIV/0!</v>
      </c>
      <c r="AW343" s="83"/>
      <c r="AX343" s="1206" t="e">
        <f>IF(AX153="Instantaneous",Dispersion_I,Dispersion_D)*(MAX(AX342,Public,(AX93-MIN(AX93,WorkArea_Elevation))*Dispersion_E^0.5)^2-MAX((AX93-MIN(AX93,WorkArea_Elevation))*Dispersion_E^0.5,Public)^2)</f>
        <v>#DIV/0!</v>
      </c>
      <c r="AY343" s="83"/>
      <c r="AZ343" s="1206" t="e">
        <f>IF(AZ153="Instantaneous",Dispersion_I,Dispersion_D)*(MAX(AZ342,Public,(AZ93-MIN(AZ93,WorkArea_Elevation))*Dispersion_E^0.5)^2-MAX((AZ93-MIN(AZ93,WorkArea_Elevation))*Dispersion_E^0.5,Public)^2)</f>
        <v>#DIV/0!</v>
      </c>
      <c r="BA343" s="83"/>
      <c r="BB343" s="1206" t="e">
        <f>IF(BB153="Instantaneous",Dispersion_I,Dispersion_D)*(MAX(BB342,Public,(BB93-MIN(BB93,WorkArea_Elevation))*Dispersion_E^0.5)^2-MAX((BB93-MIN(BB93,WorkArea_Elevation))*Dispersion_E^0.5,Public)^2)</f>
        <v>#DIV/0!</v>
      </c>
      <c r="BC343" s="83"/>
      <c r="BD343" s="1206" t="e">
        <f>IF(BD153="Instantaneous",Dispersion_I,Dispersion_D)*(MAX(BD342,Public,(BD93-MIN(BD93,WorkArea_Elevation))*Dispersion_E^0.5)^2-MAX((BD93-MIN(BD93,WorkArea_Elevation))*Dispersion_E^0.5,Public)^2)</f>
        <v>#DIV/0!</v>
      </c>
      <c r="BE343" s="83"/>
      <c r="BF343" s="1206" t="e">
        <f>IF(BF153="Instantaneous",Dispersion_I,Dispersion_D)*(MAX(BF342,Public,(BF93-MIN(BF93,WorkArea_Elevation))*Dispersion_E^0.5)^2-MAX((BF93-MIN(BF93,WorkArea_Elevation))*Dispersion_E^0.5,Public)^2)</f>
        <v>#DIV/0!</v>
      </c>
      <c r="BG343" s="83"/>
      <c r="BH343" s="1206" t="e">
        <f>IF(BH153="Instantaneous",Dispersion_I,Dispersion_D)*(MAX(BH342,Public,(BH93-MIN(BH93,WorkArea_Elevation))*Dispersion_E^0.5)^2-MAX((BH93-MIN(BH93,WorkArea_Elevation))*Dispersion_E^0.5,Public)^2)</f>
        <v>#DIV/0!</v>
      </c>
      <c r="BI343" s="83"/>
      <c r="BJ343" s="1206" t="e">
        <f>IF(BJ153="Instantaneous",Dispersion_I,Dispersion_D)*(MAX(BJ342,Public,(BJ93-MIN(BJ93,WorkArea_Elevation))*Dispersion_E^0.5)^2-MAX((BJ93-MIN(BJ93,WorkArea_Elevation))*Dispersion_E^0.5,Public)^2)</f>
        <v>#DIV/0!</v>
      </c>
      <c r="BK343" s="83"/>
      <c r="BL343" s="1206" t="e">
        <f>IF(BL153="Instantaneous",Dispersion_I,Dispersion_D)*(MAX(BL342,Public,(BL93-MIN(BL93,WorkArea_Elevation))*Dispersion_E^0.5)^2-MAX((BL93-MIN(BL93,WorkArea_Elevation))*Dispersion_E^0.5,Public)^2)</f>
        <v>#DIV/0!</v>
      </c>
      <c r="BM343" s="83"/>
      <c r="BN343" s="1206" t="e">
        <f>IF(BN153="Instantaneous",Dispersion_I,Dispersion_D)*(MAX(BN342,Public,(BN93-MIN(BN93,WorkArea_Elevation))*Dispersion_E^0.5)^2-MAX((BN93-MIN(BN93,WorkArea_Elevation))*Dispersion_E^0.5,Public)^2)</f>
        <v>#DIV/0!</v>
      </c>
      <c r="BO343" s="83"/>
      <c r="BP343" s="85" t="s">
        <v>3804</v>
      </c>
      <c r="BQ343" s="83"/>
      <c r="BR343" s="81"/>
      <c r="BS343" s="85" t="s">
        <v>481</v>
      </c>
      <c r="BT343" s="81"/>
      <c r="BU343" s="1183" t="str">
        <f>IF(BU342&gt;Public,"Yes","No")</f>
        <v>No</v>
      </c>
      <c r="BV343" s="81"/>
      <c r="BW343" s="1183" t="str">
        <f>IF(BW342&gt;Public,"Yes","No")</f>
        <v>No</v>
      </c>
      <c r="BX343" s="81"/>
      <c r="BY343" s="1183" t="str">
        <f>IF(BY342&gt;Public,"Yes","No")</f>
        <v>No</v>
      </c>
      <c r="BZ343" s="81"/>
      <c r="CA343" s="1183" t="str">
        <f>IF(CA342&gt;Public,"Yes","No")</f>
        <v>No</v>
      </c>
      <c r="CB343" s="81"/>
      <c r="CC343" s="1183" t="str">
        <f>IF(CC342&gt;Public,"Yes","No")</f>
        <v>No</v>
      </c>
      <c r="CD343" s="81"/>
      <c r="CE343" s="85"/>
      <c r="CF343" s="81"/>
      <c r="CG343" s="26"/>
      <c r="CH343" s="2370"/>
      <c r="CI343" s="26"/>
      <c r="CJ343" s="26"/>
      <c r="CK343" s="26"/>
      <c r="CL343" s="26"/>
      <c r="CM343" s="26"/>
      <c r="CN343" s="26"/>
    </row>
    <row r="344" spans="1:92" ht="15" customHeight="1" x14ac:dyDescent="0.25">
      <c r="A344" s="2"/>
      <c r="B344" s="23" t="s">
        <v>3704</v>
      </c>
      <c r="C344" s="83"/>
      <c r="D344" s="1206">
        <f>IF(AND(D98&gt;0,D277&gt;0),IF(Location="Indoors",IF(ConcFract_Indoor*D301&lt;=D277,0.1,D$127*((IF(Enclosed_Ventilation_Rate&gt;1,Enclosed_Ventilation_Rate,1)*Enclosed_Process_Volume*D98*D301/88020000000)*1000000*(ConcFract_Indoor/D277-1/D301)/(D98*Wind))^D$128),IF(OR(D277=0,D277&gt;=ConcFract_Indoor*1000000*D$99),0,IF(D156="Instantaneous",D$153*((D83/D98)*(ConcFract_Indoor*1000000/D277))^D$154-D$155,D$127*(D89*(ConcFract_Indoor*1000000/D277)/(D98*Wind))^D$128-D$129))),0.1)</f>
        <v>0.1</v>
      </c>
      <c r="E344" s="83"/>
      <c r="F344" s="1206">
        <f>IF(AND(F98&gt;0,F277&gt;0),IF(Location="Indoors",IF(ConcFract_Indoor*F301&lt;=F277,0.1,F$127*((IF(Enclosed_Ventilation_Rate&gt;1,Enclosed_Ventilation_Rate,1)*Enclosed_Process_Volume*F98*F301/88020000000)*1000000*(ConcFract_Indoor/F277-1/F301)/(F98*Wind))^F$128),IF(OR(F277=0,F277&gt;=ConcFract_Indoor*1000000*F$99),0,IF(F156="Instantaneous",F$153*((F83/F98)*(ConcFract_Indoor*1000000/F277))^F$154-F$155,F$127*(F89*(ConcFract_Indoor*1000000/F277)/(F98*Wind))^F$128-F$129))),0.1)</f>
        <v>0.1</v>
      </c>
      <c r="G344" s="83"/>
      <c r="H344" s="1206">
        <f>IF(AND(H98&gt;0,H277&gt;0),IF(Location="Indoors",IF(ConcFract_Indoor*H301&lt;=H277,0.1,H$127*((IF(Enclosed_Ventilation_Rate&gt;1,Enclosed_Ventilation_Rate,1)*Enclosed_Process_Volume*H98*H301/88020000000)*1000000*(ConcFract_Indoor/H277-1/H301)/(H98*Wind))^H$128),IF(OR(H277=0,H277&gt;=ConcFract_Indoor*1000000*H$99),0,IF(H156="Instantaneous",H$153*((H83/H98)*(ConcFract_Indoor*1000000/H277))^H$154-H$155,H$127*(H89*(ConcFract_Indoor*1000000/H277)/(H98*Wind))^H$128-H$129))),0.1)</f>
        <v>0.1</v>
      </c>
      <c r="I344" s="83"/>
      <c r="J344" s="1206">
        <f>IF(AND(J98&gt;0,J277&gt;0),IF(Location="Indoors",IF(ConcFract_Indoor*J301&lt;=J277,0.1,J$127*((IF(Enclosed_Ventilation_Rate&gt;1,Enclosed_Ventilation_Rate,1)*Enclosed_Process_Volume*J98*J301/88020000000)*1000000*(ConcFract_Indoor/J277-1/J301)/(J98*Wind))^J$128),IF(OR(J277=0,J277&gt;=ConcFract_Indoor*1000000*J$99),0,IF(J156="Instantaneous",J$153*((J83/J98)*(ConcFract_Indoor*1000000/J277))^J$154-J$155,J$127*(J89*(ConcFract_Indoor*1000000/J277)/(J98*Wind))^J$128-J$129))),0.1)</f>
        <v>0.1</v>
      </c>
      <c r="K344" s="83"/>
      <c r="L344" s="1206">
        <f>IF(AND(L98&gt;0,L277&gt;0),IF(Location="Indoors",IF(ConcFract_Indoor*L301&lt;=L277,0.1,L$127*((IF(Enclosed_Ventilation_Rate&gt;1,Enclosed_Ventilation_Rate,1)*Enclosed_Process_Volume*L98*L301/88020000000)*1000000*(ConcFract_Indoor/L277-1/L301)/(L98*Wind))^L$128),IF(OR(L277=0,L277&gt;=ConcFract_Indoor*1000000*L$99),0,IF(L156="Instantaneous",L$153*((L83/L98)*(ConcFract_Indoor*1000000/L277))^L$154-L$155,L$127*(L89*(ConcFract_Indoor*1000000/L277)/(L98*Wind))^L$128-L$129))),0.1)</f>
        <v>0.1</v>
      </c>
      <c r="M344" s="83"/>
      <c r="N344" s="1206">
        <f>IF(AND(N98&gt;0,N277&gt;0),IF(Location="Indoors",IF(ConcFract_Indoor*N301&lt;=N277,0.1,N$127*((IF(Enclosed_Ventilation_Rate&gt;1,Enclosed_Ventilation_Rate,1)*Enclosed_Process_Volume*N98*N301/88020000000)*1000000*(ConcFract_Indoor/N277-1/N301)/(N98*Wind))^N$128),IF(OR(N277=0,N277&gt;=ConcFract_Indoor*1000000*N$99),0,IF(N156="Instantaneous",N$153*((N83/N98)*(ConcFract_Indoor*1000000/N277))^N$154-N$155,N$127*(N89*(ConcFract_Indoor*1000000/N277)/(N98*Wind))^N$128-N$129))),0.1)</f>
        <v>0.1</v>
      </c>
      <c r="O344" s="83"/>
      <c r="P344" s="1206">
        <f>IF(AND(P98&gt;0,P277&gt;0),IF(Location="Indoors",IF(ConcFract_Indoor*P301&lt;=P277,0.1,P$127*((IF(Enclosed_Ventilation_Rate&gt;1,Enclosed_Ventilation_Rate,1)*Enclosed_Process_Volume*P98*P301/88020000000)*1000000*(ConcFract_Indoor/P277-1/P301)/(P98*Wind))^P$128),IF(OR(P277=0,P277&gt;=ConcFract_Indoor*1000000*P$99),0,IF(P156="Instantaneous",P$153*((P83/P98)*(ConcFract_Indoor*1000000/P277))^P$154-P$155,P$127*(P89*(ConcFract_Indoor*1000000/P277)/(P98*Wind))^P$128-P$129))),0.1)</f>
        <v>0.1</v>
      </c>
      <c r="Q344" s="83"/>
      <c r="R344" s="1206">
        <f>IF(AND(R98&gt;0,R277&gt;0),IF(Location="Indoors",IF(ConcFract_Indoor*R301&lt;=R277,0.1,R$127*((IF(Enclosed_Ventilation_Rate&gt;1,Enclosed_Ventilation_Rate,1)*Enclosed_Process_Volume*R98*R301/88020000000)*1000000*(ConcFract_Indoor/R277-1/R301)/(R98*Wind))^R$128),IF(OR(R277=0,R277&gt;=ConcFract_Indoor*1000000*R$99),0,IF(R156="Instantaneous",R$153*((R83/R98)*(ConcFract_Indoor*1000000/R277))^R$154-R$155,R$127*(R89*(ConcFract_Indoor*1000000/R277)/(R98*Wind))^R$128-R$129))),0.1)</f>
        <v>0.1</v>
      </c>
      <c r="S344" s="83"/>
      <c r="T344" s="1206">
        <f>IF(AND(T98&gt;0,T277&gt;0),IF(Location="Indoors",IF(ConcFract_Indoor*T301&lt;=T277,0.1,T$127*((IF(Enclosed_Ventilation_Rate&gt;1,Enclosed_Ventilation_Rate,1)*Enclosed_Process_Volume*T98*T301/88020000000)*1000000*(ConcFract_Indoor/T277-1/T301)/(T98*Wind))^T$128),IF(OR(T277=0,T277&gt;=ConcFract_Indoor*1000000*T$99),0,IF(T156="Instantaneous",T$153*((T83/T98)*(ConcFract_Indoor*1000000/T277))^T$154-T$155,T$127*(T89*(ConcFract_Indoor*1000000/T277)/(T98*Wind))^T$128-T$129))),0.1)</f>
        <v>0.1</v>
      </c>
      <c r="U344" s="83"/>
      <c r="V344" s="1206">
        <f>IF(AND(V98&gt;0,V277&gt;0),IF(Location="Indoors",IF(ConcFract_Indoor*V301&lt;=V277,0.1,V$127*((IF(Enclosed_Ventilation_Rate&gt;1,Enclosed_Ventilation_Rate,1)*Enclosed_Process_Volume*V98*V301/88020000000)*1000000*(ConcFract_Indoor/V277-1/V301)/(V98*Wind))^V$128),IF(OR(V277=0,V277&gt;=ConcFract_Indoor*1000000*V$99),0,IF(V156="Instantaneous",V$153*((V83/V98)*(ConcFract_Indoor*1000000/V277))^V$154-V$155,V$127*(V89*(ConcFract_Indoor*1000000/V277)/(V98*Wind))^V$128-V$129))),0.1)</f>
        <v>0.1</v>
      </c>
      <c r="W344" s="83"/>
      <c r="X344" s="1206">
        <f>IF(AND(X98&gt;0,X277&gt;0),IF(Location="Indoors",IF(ConcFract_Indoor*X301&lt;=X277,0.1,X$127*((IF(Enclosed_Ventilation_Rate&gt;1,Enclosed_Ventilation_Rate,1)*Enclosed_Process_Volume*X98*X301/88020000000)*1000000*(ConcFract_Indoor/X277-1/X301)/(X98*Wind))^X$128),IF(OR(X277=0,X277&gt;=ConcFract_Indoor*1000000*X$99),0,IF(X156="Instantaneous",X$153*((X83/X98)*(ConcFract_Indoor*1000000/X277))^X$154-X$155,X$127*(X89*(ConcFract_Indoor*1000000/X277)/(X98*Wind))^X$128-X$129))),0.1)</f>
        <v>0.1</v>
      </c>
      <c r="Y344" s="83"/>
      <c r="Z344" s="85" t="s">
        <v>1068</v>
      </c>
      <c r="AA344" s="83"/>
      <c r="AB344" s="81"/>
      <c r="AC344" s="23" t="s">
        <v>698</v>
      </c>
      <c r="AD344" s="81"/>
      <c r="AE344" s="1181">
        <f>IF(AND(AE332="Yes",AE343&gt;0),IF(VCE_BST_Coeff/AE343^VCE_BST_Exp&lt;VCE_BST_Limit,14.7*VCE_BST_Coeff/AE343^VCE_BST_Exp,14.7*VCE_BST_Limit),0)</f>
        <v>0</v>
      </c>
      <c r="AF344" s="81"/>
      <c r="AG344" s="1181">
        <f>IF(AND(AG332="Yes",AG343&gt;0),IF(VCE_BST_Coeff/AG343^VCE_BST_Exp&lt;VCE_BST_Limit,14.7*VCE_BST_Coeff/AG343^VCE_BST_Exp,14.7*VCE_BST_Limit),0)</f>
        <v>0</v>
      </c>
      <c r="AH344" s="81"/>
      <c r="AI344" s="1181">
        <f>IF(AND(AI332="Yes",AI343&gt;0),IF(VCE_BST_Coeff/AI343^VCE_BST_Exp&lt;VCE_BST_Limit,14.7*VCE_BST_Coeff/AI343^VCE_BST_Exp,14.7*VCE_BST_Limit),0)</f>
        <v>0</v>
      </c>
      <c r="AJ344" s="81"/>
      <c r="AK344" s="1181">
        <f>IF(AND(AK332="Yes",AK343&gt;0),IF(VCE_BST_Coeff/AK343^VCE_BST_Exp&lt;VCE_BST_Limit,14.7*VCE_BST_Coeff/AK343^VCE_BST_Exp,14.7*VCE_BST_Limit),0)</f>
        <v>0</v>
      </c>
      <c r="AL344" s="81"/>
      <c r="AM344" s="1181">
        <f>IF(AND(AM332="Yes",AM343&gt;0),IF(VCE_BST_Coeff/AM343^VCE_BST_Exp&lt;VCE_BST_Limit,14.7*VCE_BST_Coeff/AM343^VCE_BST_Exp,14.7*VCE_BST_Limit),0)</f>
        <v>0</v>
      </c>
      <c r="AN344" s="81"/>
      <c r="AO344" s="1181">
        <f>IF(AND(AO332="Yes",AO343&gt;0),IF(VCE_BST_Coeff/AO343^VCE_BST_Exp&lt;VCE_BST_Limit,14.7*VCE_BST_Coeff/AO343^VCE_BST_Exp,14.7*VCE_BST_Limit),0)</f>
        <v>0</v>
      </c>
      <c r="AP344" s="81"/>
      <c r="AQ344" s="85" t="s">
        <v>968</v>
      </c>
      <c r="AR344" s="81"/>
      <c r="AS344" s="83"/>
      <c r="AT344" s="23" t="s">
        <v>3709</v>
      </c>
      <c r="AU344" s="83"/>
      <c r="AV344" s="1206">
        <f>IF(OR(AV$273=0,AV$264=""),0,IF(AV342&gt;Zone_1,IF(AV153="Instantaneous",Dispersion_I,Dispersion_D)*(MAX(Public,(AV93-MIN(AV93,WorkArea_Elevation))*Dispersion_E^0.5,Zone_1)^2-MAX(Public,(AV93-MIN(AV93,WorkArea_Elevation))*Dispersion_E^0.5,AV342)^2),IF(AV153="Instantaneous",Dispersion_I,Dispersion_D)*AV$264^(2*IF(AV153="Instantaneous",AV$151,AV$125))*AV$286^2*(EXP(AV$271+AV$273*MAX(Public,(AV93-MIN(AV93,WorkArea_Elevation))*Dispersion_E^0.5,Zone_1)^2/(AV$264^(2*IF(AV153="Instantaneous",AV$151,AV$125))*AV$286^2))-EXP(AV$271+AV$273*MAX(Public,(AV93-MIN(AV93,WorkArea_Elevation))*Dispersion_E^0.5,AV342)^2/(AV$264^(2*IF(AV153="Instantaneous",AV$151,AV$125))*AV$286^2)))/AV$273))</f>
        <v>0</v>
      </c>
      <c r="AW344" s="83"/>
      <c r="AX344" s="1206">
        <f>IF(OR(AX$273=0,AX$264=""),0,IF(AX342&gt;Zone_1,IF(AX153="Instantaneous",Dispersion_I,Dispersion_D)*(MAX(Public,(AX93-MIN(AX93,WorkArea_Elevation))*Dispersion_E^0.5,Zone_1)^2-MAX(Public,(AX93-MIN(AX93,WorkArea_Elevation))*Dispersion_E^0.5,AX342)^2),IF(AX153="Instantaneous",Dispersion_I,Dispersion_D)*AX$264^(2*IF(AX153="Instantaneous",AX$151,AX$125))*AX$286^2*(EXP(AX$271+AX$273*MAX(Public,(AX93-MIN(AX93,WorkArea_Elevation))*Dispersion_E^0.5,Zone_1)^2/(AX$264^(2*IF(AX153="Instantaneous",AX$151,AX$125))*AX$286^2))-EXP(AX$271+AX$273*MAX(Public,(AX93-MIN(AX93,WorkArea_Elevation))*Dispersion_E^0.5,AX342)^2/(AX$264^(2*IF(AX153="Instantaneous",AX$151,AX$125))*AX$286^2)))/AX$273))</f>
        <v>0</v>
      </c>
      <c r="AY344" s="83"/>
      <c r="AZ344" s="1206">
        <f>IF(OR(AZ$273=0,AZ$264=""),0,IF(AZ342&gt;Zone_1,IF(AZ153="Instantaneous",Dispersion_I,Dispersion_D)*(MAX(Public,(AZ93-MIN(AZ93,WorkArea_Elevation))*Dispersion_E^0.5,Zone_1)^2-MAX(Public,(AZ93-MIN(AZ93,WorkArea_Elevation))*Dispersion_E^0.5,AZ342)^2),IF(AZ153="Instantaneous",Dispersion_I,Dispersion_D)*AZ$264^(2*IF(AZ153="Instantaneous",AZ$151,AZ$125))*AZ$286^2*(EXP(AZ$271+AZ$273*MAX(Public,(AZ93-MIN(AZ93,WorkArea_Elevation))*Dispersion_E^0.5,Zone_1)^2/(AZ$264^(2*IF(AZ153="Instantaneous",AZ$151,AZ$125))*AZ$286^2))-EXP(AZ$271+AZ$273*MAX(Public,(AZ93-MIN(AZ93,WorkArea_Elevation))*Dispersion_E^0.5,AZ342)^2/(AZ$264^(2*IF(AZ153="Instantaneous",AZ$151,AZ$125))*AZ$286^2)))/AZ$273))</f>
        <v>0</v>
      </c>
      <c r="BA344" s="83"/>
      <c r="BB344" s="1206">
        <f>IF(OR(BB$273=0,BB$264=""),0,IF(BB342&gt;Zone_1,IF(BB153="Instantaneous",Dispersion_I,Dispersion_D)*(MAX(Public,(BB93-MIN(BB93,WorkArea_Elevation))*Dispersion_E^0.5,Zone_1)^2-MAX(Public,(BB93-MIN(BB93,WorkArea_Elevation))*Dispersion_E^0.5,BB342)^2),IF(BB153="Instantaneous",Dispersion_I,Dispersion_D)*BB$264^(2*IF(BB153="Instantaneous",BB$151,BB$125))*BB$286^2*(EXP(BB$271+BB$273*MAX(Public,(BB93-MIN(BB93,WorkArea_Elevation))*Dispersion_E^0.5,Zone_1)^2/(BB$264^(2*IF(BB153="Instantaneous",BB$151,BB$125))*BB$286^2))-EXP(BB$271+BB$273*MAX(Public,(BB93-MIN(BB93,WorkArea_Elevation))*Dispersion_E^0.5,BB342)^2/(BB$264^(2*IF(BB153="Instantaneous",BB$151,BB$125))*BB$286^2)))/BB$273))</f>
        <v>0</v>
      </c>
      <c r="BC344" s="83"/>
      <c r="BD344" s="1206">
        <f>IF(OR(BD$273=0,BD$264=""),0,IF(BD342&gt;Zone_1,IF(BD153="Instantaneous",Dispersion_I,Dispersion_D)*(MAX(Public,(BD93-MIN(BD93,WorkArea_Elevation))*Dispersion_E^0.5,Zone_1)^2-MAX(Public,(BD93-MIN(BD93,WorkArea_Elevation))*Dispersion_E^0.5,BD342)^2),IF(BD153="Instantaneous",Dispersion_I,Dispersion_D)*BD$264^(2*IF(BD153="Instantaneous",BD$151,BD$125))*BD$286^2*(EXP(BD$271+BD$273*MAX(Public,(BD93-MIN(BD93,WorkArea_Elevation))*Dispersion_E^0.5,Zone_1)^2/(BD$264^(2*IF(BD153="Instantaneous",BD$151,BD$125))*BD$286^2))-EXP(BD$271+BD$273*MAX(Public,(BD93-MIN(BD93,WorkArea_Elevation))*Dispersion_E^0.5,BD342)^2/(BD$264^(2*IF(BD153="Instantaneous",BD$151,BD$125))*BD$286^2)))/BD$273))</f>
        <v>0</v>
      </c>
      <c r="BE344" s="83"/>
      <c r="BF344" s="1206">
        <f>IF(OR(BF$273=0,BF$264=""),0,IF(BF342&gt;Zone_1,IF(BF153="Instantaneous",Dispersion_I,Dispersion_D)*(MAX(Public,(BF93-MIN(BF93,WorkArea_Elevation))*Dispersion_E^0.5,Zone_1)^2-MAX(Public,(BF93-MIN(BF93,WorkArea_Elevation))*Dispersion_E^0.5,BF342)^2),IF(BF153="Instantaneous",Dispersion_I,Dispersion_D)*BF$264^(2*IF(BF153="Instantaneous",BF$151,BF$125))*BF$286^2*(EXP(BF$271+BF$273*MAX(Public,(BF93-MIN(BF93,WorkArea_Elevation))*Dispersion_E^0.5,Zone_1)^2/(BF$264^(2*IF(BF153="Instantaneous",BF$151,BF$125))*BF$286^2))-EXP(BF$271+BF$273*MAX(Public,(BF93-MIN(BF93,WorkArea_Elevation))*Dispersion_E^0.5,BF342)^2/(BF$264^(2*IF(BF153="Instantaneous",BF$151,BF$125))*BF$286^2)))/BF$273))</f>
        <v>0</v>
      </c>
      <c r="BG344" s="83"/>
      <c r="BH344" s="1206">
        <f>IF(OR(BH$273=0,BH$264=""),0,IF(BH342&gt;Zone_1,IF(BH153="Instantaneous",Dispersion_I,Dispersion_D)*(MAX(Public,(BH93-MIN(BH93,WorkArea_Elevation))*Dispersion_E^0.5,Zone_1)^2-MAX(Public,(BH93-MIN(BH93,WorkArea_Elevation))*Dispersion_E^0.5,BH342)^2),IF(BH153="Instantaneous",Dispersion_I,Dispersion_D)*BH$264^(2*IF(BH153="Instantaneous",BH$151,BH$125))*BH$286^2*(EXP(BH$271+BH$273*MAX(Public,(BH93-MIN(BH93,WorkArea_Elevation))*Dispersion_E^0.5,Zone_1)^2/(BH$264^(2*IF(BH153="Instantaneous",BH$151,BH$125))*BH$286^2))-EXP(BH$271+BH$273*MAX(Public,(BH93-MIN(BH93,WorkArea_Elevation))*Dispersion_E^0.5,BH342)^2/(BH$264^(2*IF(BH153="Instantaneous",BH$151,BH$125))*BH$286^2)))/BH$273))</f>
        <v>0</v>
      </c>
      <c r="BI344" s="83"/>
      <c r="BJ344" s="1206">
        <f>IF(OR(BJ$273=0,BJ$264=""),0,IF(BJ342&gt;Zone_1,IF(BJ153="Instantaneous",Dispersion_I,Dispersion_D)*(MAX(Public,(BJ93-MIN(BJ93,WorkArea_Elevation))*Dispersion_E^0.5,Zone_1)^2-MAX(Public,(BJ93-MIN(BJ93,WorkArea_Elevation))*Dispersion_E^0.5,BJ342)^2),IF(BJ153="Instantaneous",Dispersion_I,Dispersion_D)*BJ$264^(2*IF(BJ153="Instantaneous",BJ$151,BJ$125))*BJ$286^2*(EXP(BJ$271+BJ$273*MAX(Public,(BJ93-MIN(BJ93,WorkArea_Elevation))*Dispersion_E^0.5,Zone_1)^2/(BJ$264^(2*IF(BJ153="Instantaneous",BJ$151,BJ$125))*BJ$286^2))-EXP(BJ$271+BJ$273*MAX(Public,(BJ93-MIN(BJ93,WorkArea_Elevation))*Dispersion_E^0.5,BJ342)^2/(BJ$264^(2*IF(BJ153="Instantaneous",BJ$151,BJ$125))*BJ$286^2)))/BJ$273))</f>
        <v>0</v>
      </c>
      <c r="BK344" s="83"/>
      <c r="BL344" s="1206">
        <f>IF(OR(BL$273=0,BL$264=""),0,IF(BL342&gt;Zone_1,IF(BL153="Instantaneous",Dispersion_I,Dispersion_D)*(MAX(Public,(BL93-MIN(BL93,WorkArea_Elevation))*Dispersion_E^0.5,Zone_1)^2-MAX(Public,(BL93-MIN(BL93,WorkArea_Elevation))*Dispersion_E^0.5,BL342)^2),IF(BL153="Instantaneous",Dispersion_I,Dispersion_D)*BL$264^(2*IF(BL153="Instantaneous",BL$151,BL$125))*BL$286^2*(EXP(BL$271+BL$273*MAX(Public,(BL93-MIN(BL93,WorkArea_Elevation))*Dispersion_E^0.5,Zone_1)^2/(BL$264^(2*IF(BL153="Instantaneous",BL$151,BL$125))*BL$286^2))-EXP(BL$271+BL$273*MAX(Public,(BL93-MIN(BL93,WorkArea_Elevation))*Dispersion_E^0.5,BL342)^2/(BL$264^(2*IF(BL153="Instantaneous",BL$151,BL$125))*BL$286^2)))/BL$273))</f>
        <v>0</v>
      </c>
      <c r="BM344" s="83"/>
      <c r="BN344" s="1206">
        <f>IF(OR(BN$273=0,BN$264=""),0,IF(BN342&gt;Zone_1,IF(BN153="Instantaneous",Dispersion_I,Dispersion_D)*(MAX(Public,(BN93-MIN(BN93,WorkArea_Elevation))*Dispersion_E^0.5,Zone_1)^2-MAX(Public,(BN93-MIN(BN93,WorkArea_Elevation))*Dispersion_E^0.5,BN342)^2),IF(BN153="Instantaneous",Dispersion_I,Dispersion_D)*BN$264^(2*IF(BN153="Instantaneous",BN$151,BN$125))*BN$286^2*(EXP(BN$271+BN$273*MAX(Public,(BN93-MIN(BN93,WorkArea_Elevation))*Dispersion_E^0.5,Zone_1)^2/(BN$264^(2*IF(BN153="Instantaneous",BN$151,BN$125))*BN$286^2))-EXP(BN$271+BN$273*MAX(Public,(BN93-MIN(BN93,WorkArea_Elevation))*Dispersion_E^0.5,BN342)^2/(BN$264^(2*IF(BN153="Instantaneous",BN$151,BN$125))*BN$286^2)))/BN$273))</f>
        <v>0</v>
      </c>
      <c r="BO344" s="83"/>
      <c r="BP344" s="85" t="s">
        <v>3804</v>
      </c>
      <c r="BQ344" s="83"/>
      <c r="BR344" s="81"/>
      <c r="BS344" s="23" t="s">
        <v>808</v>
      </c>
      <c r="BT344" s="81"/>
      <c r="BU344" s="1181">
        <f>IF(AND(Occ_Bldg_Cntr&gt;0,BU339&gt;0),IF(EXP(TNT_A/(LN(Occ_Bldg_Cntr/(BU339/1100)^0.33)+TNT_C)-TNT_B)&gt;Burst_P,14.7*Burst_P,14.7*EXP(TNT_A/(LN(Occ_Bldg_Cntr/(BU339/1100)^0.33)+TNT_C)-TNT_B)),BU345)</f>
        <v>0</v>
      </c>
      <c r="BV344" s="81"/>
      <c r="BW344" s="1181">
        <f>Deflagration_Press_Bldg1_Cntr</f>
        <v>0</v>
      </c>
      <c r="BX344" s="81"/>
      <c r="BY344" s="1181">
        <f>IF(AND(Occ_Bldg_Cntr&gt;0,BY339&gt;0),IF(EXP(TNT_A/(LN(Occ_Bldg_Cntr/(BY339/1100)^0.33)+TNT_C)-TNT_B)&gt;Burst_P,14.7*Burst_P,14.7*EXP(TNT_A/(LN(Occ_Bldg_Cntr/(BY339/1100)^0.33)+TNT_C)-TNT_B)),BY345)</f>
        <v>0</v>
      </c>
      <c r="BZ344" s="81"/>
      <c r="CA344" s="1181">
        <f>IF(AND(Occ_Bldg_Cntr&gt;0,CA339&gt;0),IF(EXP(TNT_A/(LN(Occ_Bldg_Cntr/(CA339/1100)^0.33)+TNT_C)-TNT_B)&gt;Burst_P,14.7*Burst_P,14.7*EXP(TNT_A/(LN(Occ_Bldg_Cntr/(CA339/1100)^0.33)+TNT_C)-TNT_B)),CA345)</f>
        <v>0</v>
      </c>
      <c r="CB344" s="81"/>
      <c r="CC344" s="1181">
        <f>IF(AND(Occ_Bldg_Cntr&gt;0,CC339&gt;0),IF(EXP(TNT_A/(LN(Occ_Bldg_Cntr/(CC339/1100)^0.33)+TNT_C)-TNT_B)&gt;Burst_P,14.7*Burst_P,14.7*EXP(TNT_A/(LN(Occ_Bldg_Cntr/(CC339/1100)^0.33)+TNT_C)-TNT_B)),CC345)</f>
        <v>0</v>
      </c>
      <c r="CD344" s="81"/>
      <c r="CE344" s="85" t="s">
        <v>968</v>
      </c>
      <c r="CF344" s="81"/>
      <c r="CG344" s="26"/>
      <c r="CH344" s="26"/>
      <c r="CI344" s="26"/>
      <c r="CJ344" s="26"/>
      <c r="CK344" s="26"/>
      <c r="CL344" s="26"/>
      <c r="CM344" s="26"/>
      <c r="CN344" s="26"/>
    </row>
    <row r="345" spans="1:92" ht="15" customHeight="1" x14ac:dyDescent="0.25">
      <c r="A345" s="2"/>
      <c r="B345" s="23" t="s">
        <v>3708</v>
      </c>
      <c r="C345" s="83"/>
      <c r="D345" s="1206">
        <f>IF(D156="Instantaneous",Dispersion_I,Dispersion_D)*(MAX(D344,Public)^2-Public^2)+(MAX(D344,Public)-Public)*IF(D156="Instantaneous",DC_Duration_Initial*(D83/D98)^(1/3),2*(D$55/3.142)^0.5)</f>
        <v>3.0000000000000005E-3</v>
      </c>
      <c r="E345" s="83"/>
      <c r="F345" s="1206">
        <f>IF(F156="Instantaneous",Dispersion_I,Dispersion_D)*(MAX(F344,Public)^2-Public^2)+(MAX(F344,Public)-Public)*IF(F156="Instantaneous",DC_Duration_Initial*(F83/F98)^(1/3),2*(F$55/3.142)^0.5)</f>
        <v>3.0000000000000005E-3</v>
      </c>
      <c r="G345" s="83"/>
      <c r="H345" s="1206">
        <f>IF(H156="Instantaneous",Dispersion_I,Dispersion_D)*(MAX(H344,Public)^2-Public^2)+(MAX(H344,Public)-Public)*IF(H156="Instantaneous",DC_Duration_Initial*(H83/H98)^(1/3),2*(H$55/3.142)^0.5)</f>
        <v>3.0000000000000005E-3</v>
      </c>
      <c r="I345" s="83"/>
      <c r="J345" s="1206">
        <f>IF(J156="Instantaneous",Dispersion_I,Dispersion_D)*(MAX(J344,Public)^2-Public^2)+(MAX(J344,Public)-Public)*IF(J156="Instantaneous",DC_Duration_Initial*(J83/J98)^(1/3),2*(J$55/3.142)^0.5)</f>
        <v>3.0000000000000005E-3</v>
      </c>
      <c r="K345" s="83"/>
      <c r="L345" s="1206">
        <f>IF(L156="Instantaneous",Dispersion_I,Dispersion_D)*(MAX(L344,Public)^2-Public^2)+(MAX(L344,Public)-Public)*IF(L156="Instantaneous",DC_Duration_Initial*(L83/L98)^(1/3),2*(L$55/3.142)^0.5)</f>
        <v>3.0000000000000005E-3</v>
      </c>
      <c r="M345" s="83"/>
      <c r="N345" s="1206">
        <f>IF(N156="Instantaneous",Dispersion_I,Dispersion_D)*(MAX(N344,Public)^2-Public^2)+(MAX(N344,Public)-Public)*IF(N156="Instantaneous",DC_Duration_Initial*(N83/N98)^(1/3),2*(N$55/3.142)^0.5)</f>
        <v>3.0000000000000005E-3</v>
      </c>
      <c r="O345" s="83"/>
      <c r="P345" s="1206">
        <f>IF(P156="Instantaneous",Dispersion_I,Dispersion_D)*(MAX(P344,Public)^2-Public^2)+(MAX(P344,Public)-Public)*IF(P156="Instantaneous",DC_Duration_Initial*(P83/P98)^(1/3),2*(P$55/3.142)^0.5)</f>
        <v>3.0000000000000005E-3</v>
      </c>
      <c r="Q345" s="83"/>
      <c r="R345" s="1206">
        <f>IF(R156="Instantaneous",Dispersion_I,Dispersion_D)*(MAX(R344,Public)^2-Public^2)+(MAX(R344,Public)-Public)*IF(R156="Instantaneous",DC_Duration_Initial*(R83/R98)^(1/3),2*(R$55/3.142)^0.5)</f>
        <v>3.0000000000000005E-3</v>
      </c>
      <c r="S345" s="83"/>
      <c r="T345" s="1206">
        <f>IF(T156="Instantaneous",Dispersion_I,Dispersion_D)*(MAX(T344,Public)^2-Public^2)+(MAX(T344,Public)-Public)*IF(T156="Instantaneous",DC_Duration_Initial*(T83/T98)^(1/3),2*(T$55/3.142)^0.5)</f>
        <v>3.0000000000000005E-3</v>
      </c>
      <c r="U345" s="83"/>
      <c r="V345" s="1206">
        <f>IF(V156="Instantaneous",Dispersion_I,Dispersion_D)*(MAX(V344,Public)^2-Public^2)+(MAX(V344,Public)-Public)*IF(V156="Instantaneous",DC_Duration_Initial*(V83/V98)^(1/3),2*(V$55/3.142)^0.5)</f>
        <v>3.0000000000000005E-3</v>
      </c>
      <c r="W345" s="83"/>
      <c r="X345" s="1206">
        <f>IF(X156="Instantaneous",Dispersion_I,Dispersion_D)*(MAX(X344,Public)^2-Public^2)+(MAX(X344,Public)-Public)*IF(X156="Instantaneous",DC_Duration_Initial*(X83/X98)^(1/3),2*(X$55/3.142)^0.5)</f>
        <v>3.0000000000000005E-3</v>
      </c>
      <c r="Y345" s="83"/>
      <c r="Z345" s="85" t="s">
        <v>3804</v>
      </c>
      <c r="AA345" s="83"/>
      <c r="AB345" s="81"/>
      <c r="AC345" s="23" t="s">
        <v>3026</v>
      </c>
      <c r="AD345" s="81"/>
      <c r="AE345" s="1181">
        <f>IF(AND(AE336&gt;0,IF(Occ_Bldg2_Cntr_Relief&gt;0,Occ_Bldg2_Cntr_Relief,IF(Occ_Bldg2_Relief&gt;0,Occ_Bldg2_Relief,Occ_Bldg2))&gt;0),IF(IF(Occ_Bldg2_Cntr_Relief&gt;0,Occ_Bldg2_Cntr_Relief,IF(Occ_Bldg2_Relief&gt;0,Occ_Bldg2_Relief,Occ_Bldg2))&gt;1+LFL_Fract_VCE_Epicenter*AE334,(IF(Occ_Bldg2_Cntr_Relief&gt;0,Occ_Bldg2_Cntr_Relief,IF(Occ_Bldg2_Relief&gt;0,Occ_Bldg2_Relief,Occ_Bldg2))-LFL_Fract_VCE_Epicenter*AE334)/(2*AE336*4.18/101.3)^0.333,1/(2*AE336*4.18/101.3)^0.333),0)</f>
        <v>0</v>
      </c>
      <c r="AF345" s="81"/>
      <c r="AG345" s="1181">
        <f>IF(AND(AG336&gt;0,IF(Occ_Bldg2_Cntr_Relief&gt;0,Occ_Bldg2_Cntr_Relief,IF(Occ_Bldg2_Relief&gt;0,Occ_Bldg2_Relief,Occ_Bldg2))&gt;0),IF(IF(Occ_Bldg2_Cntr_Relief&gt;0,Occ_Bldg2_Cntr_Relief,IF(Occ_Bldg2_Relief&gt;0,Occ_Bldg2_Relief,Occ_Bldg2))&gt;1+LFL_Fract_VCE_Epicenter*AG334,(IF(Occ_Bldg2_Cntr_Relief&gt;0,Occ_Bldg2_Cntr_Relief,IF(Occ_Bldg2_Relief&gt;0,Occ_Bldg2_Relief,Occ_Bldg2))-LFL_Fract_VCE_Epicenter*AG334)/(2*AG336*4.18/101.3)^0.333,1/(2*AG336*4.18/101.3)^0.333),0)</f>
        <v>0</v>
      </c>
      <c r="AH345" s="81"/>
      <c r="AI345" s="1181">
        <f>IF(AND(AI336&gt;0,IF(Occ_Bldg2_Cntr_Relief&gt;0,Occ_Bldg2_Cntr_Relief,IF(Occ_Bldg2_Relief&gt;0,Occ_Bldg2_Relief,Occ_Bldg2))&gt;0),IF(IF(Occ_Bldg2_Cntr_Relief&gt;0,Occ_Bldg2_Cntr_Relief,IF(Occ_Bldg2_Relief&gt;0,Occ_Bldg2_Relief,Occ_Bldg2))&gt;1+LFL_Fract_VCE_Epicenter*AI334,(IF(Occ_Bldg2_Cntr_Relief&gt;0,Occ_Bldg2_Cntr_Relief,IF(Occ_Bldg2_Relief&gt;0,Occ_Bldg2_Relief,Occ_Bldg2))-LFL_Fract_VCE_Epicenter*AI334)/(2*AI336*4.18/101.3)^0.333,1/(2*AI336*4.18/101.3)^0.333),0)</f>
        <v>0</v>
      </c>
      <c r="AJ345" s="81"/>
      <c r="AK345" s="1181">
        <f>IF(AND(AK336&gt;0,IF(Occ_Bldg2_Cntr_Relief&gt;0,Occ_Bldg2_Cntr_Relief,IF(Occ_Bldg2_Relief&gt;0,Occ_Bldg2_Relief,Occ_Bldg2))&gt;0),IF(IF(Occ_Bldg2_Cntr_Relief&gt;0,Occ_Bldg2_Cntr_Relief,IF(Occ_Bldg2_Relief&gt;0,Occ_Bldg2_Relief,Occ_Bldg2))&gt;1+LFL_Fract_VCE_Epicenter*AK334,(IF(Occ_Bldg2_Cntr_Relief&gt;0,Occ_Bldg2_Cntr_Relief,IF(Occ_Bldg2_Relief&gt;0,Occ_Bldg2_Relief,Occ_Bldg2))-LFL_Fract_VCE_Epicenter*AK334)/(2*AK336*4.18/101.3)^0.333,1/(2*AK336*4.18/101.3)^0.333),0)</f>
        <v>0</v>
      </c>
      <c r="AL345" s="81"/>
      <c r="AM345" s="1181">
        <f>IF(AND(AM336&gt;0,IF(Occ_Bldg2_Cntr_Relief&gt;0,Occ_Bldg2_Cntr_Relief,IF(Occ_Bldg2_Relief&gt;0,Occ_Bldg2_Relief,Occ_Bldg2))&gt;0),IF(IF(Occ_Bldg2_Cntr_Relief&gt;0,Occ_Bldg2_Cntr_Relief,IF(Occ_Bldg2_Relief&gt;0,Occ_Bldg2_Relief,Occ_Bldg2))&gt;1+LFL_Fract_VCE_Epicenter*AM334,(IF(Occ_Bldg2_Cntr_Relief&gt;0,Occ_Bldg2_Cntr_Relief,IF(Occ_Bldg2_Relief&gt;0,Occ_Bldg2_Relief,Occ_Bldg2))-LFL_Fract_VCE_Epicenter*AM334)/(2*AM336*4.18/101.3)^0.333,1/(2*AM336*4.18/101.3)^0.333),0)</f>
        <v>0</v>
      </c>
      <c r="AN345" s="81"/>
      <c r="AO345" s="1181">
        <f>IF(AND(AO336&gt;0,IF(Occ_Bldg2_Cntr_Relief&gt;0,Occ_Bldg2_Cntr_Relief,IF(Occ_Bldg2_Relief&gt;0,Occ_Bldg2_Relief,Occ_Bldg2))&gt;0),IF(IF(Occ_Bldg2_Cntr_Relief&gt;0,Occ_Bldg2_Cntr_Relief,IF(Occ_Bldg2_Relief&gt;0,Occ_Bldg2_Relief,Occ_Bldg2))&gt;1+LFL_Fract_VCE_Epicenter*AO334,(IF(Occ_Bldg2_Cntr_Relief&gt;0,Occ_Bldg2_Cntr_Relief,IF(Occ_Bldg2_Relief&gt;0,Occ_Bldg2_Relief,Occ_Bldg2))-LFL_Fract_VCE_Epicenter*AO334)/(2*AO336*4.18/101.3)^0.333,1/(2*AO336*4.18/101.3)^0.333),0)</f>
        <v>0</v>
      </c>
      <c r="AP345" s="81"/>
      <c r="AQ345" s="85"/>
      <c r="AR345" s="81"/>
      <c r="AS345" s="83"/>
      <c r="AT345" s="23" t="s">
        <v>3710</v>
      </c>
      <c r="AU345" s="83"/>
      <c r="AV345" s="1206" t="e">
        <f>IF(Zone_1&lt;MAX((AV93-MIN(AV93,WorkArea_Elevation))*Dispersion_E^0.5,Public),IF(AV153="Instantaneous",Dispersion_I,Dispersion_D)*(MAX(AV342,(AV93-MIN(AV93,WorkArea_Elevation))*Dispersion_E^0.5,Public)^2-MAX((AV93-MIN(AV93,WorkArea_Elevation))*Dispersion_E^0.5,Public)^2),IF(AV153="Instantaneous",Dispersion_I,Dispersion_D)*(MAX(AV342,Zone_1)^2-Zone_1^2))</f>
        <v>#DIV/0!</v>
      </c>
      <c r="AW345" s="83"/>
      <c r="AX345" s="1206" t="e">
        <f>IF(Zone_1&lt;MAX((AX93-MIN(AX93,WorkArea_Elevation))*Dispersion_E^0.5,Public),IF(AX153="Instantaneous",Dispersion_I,Dispersion_D)*(MAX(AX342,(AX93-MIN(AX93,WorkArea_Elevation))*Dispersion_E^0.5,Public)^2-MAX((AX93-MIN(AX93,WorkArea_Elevation))*Dispersion_E^0.5,Public)^2),IF(AX153="Instantaneous",Dispersion_I,Dispersion_D)*(MAX(AX342,Zone_1)^2-Zone_1^2))</f>
        <v>#DIV/0!</v>
      </c>
      <c r="AY345" s="83"/>
      <c r="AZ345" s="1206" t="e">
        <f>IF(Zone_1&lt;MAX((AZ93-MIN(AZ93,WorkArea_Elevation))*Dispersion_E^0.5,Public),IF(AZ153="Instantaneous",Dispersion_I,Dispersion_D)*(MAX(AZ342,(AZ93-MIN(AZ93,WorkArea_Elevation))*Dispersion_E^0.5,Public)^2-MAX((AZ93-MIN(AZ93,WorkArea_Elevation))*Dispersion_E^0.5,Public)^2),IF(AZ153="Instantaneous",Dispersion_I,Dispersion_D)*(MAX(AZ342,Zone_1)^2-Zone_1^2))</f>
        <v>#DIV/0!</v>
      </c>
      <c r="BA345" s="83"/>
      <c r="BB345" s="1206" t="e">
        <f>IF(Zone_1&lt;MAX((BB93-MIN(BB93,WorkArea_Elevation))*Dispersion_E^0.5,Public),IF(BB153="Instantaneous",Dispersion_I,Dispersion_D)*(MAX(BB342,(BB93-MIN(BB93,WorkArea_Elevation))*Dispersion_E^0.5,Public)^2-MAX((BB93-MIN(BB93,WorkArea_Elevation))*Dispersion_E^0.5,Public)^2),IF(BB153="Instantaneous",Dispersion_I,Dispersion_D)*(MAX(BB342,Zone_1)^2-Zone_1^2))</f>
        <v>#DIV/0!</v>
      </c>
      <c r="BC345" s="83"/>
      <c r="BD345" s="1206" t="e">
        <f>IF(Zone_1&lt;MAX((BD93-MIN(BD93,WorkArea_Elevation))*Dispersion_E^0.5,Public),IF(BD153="Instantaneous",Dispersion_I,Dispersion_D)*(MAX(BD342,(BD93-MIN(BD93,WorkArea_Elevation))*Dispersion_E^0.5,Public)^2-MAX((BD93-MIN(BD93,WorkArea_Elevation))*Dispersion_E^0.5,Public)^2),IF(BD153="Instantaneous",Dispersion_I,Dispersion_D)*(MAX(BD342,Zone_1)^2-Zone_1^2))</f>
        <v>#DIV/0!</v>
      </c>
      <c r="BE345" s="83"/>
      <c r="BF345" s="1206" t="e">
        <f>IF(Zone_1&lt;MAX((BF93-MIN(BF93,WorkArea_Elevation))*Dispersion_E^0.5,Public),IF(BF153="Instantaneous",Dispersion_I,Dispersion_D)*(MAX(BF342,(BF93-MIN(BF93,WorkArea_Elevation))*Dispersion_E^0.5,Public)^2-MAX((BF93-MIN(BF93,WorkArea_Elevation))*Dispersion_E^0.5,Public)^2),IF(BF153="Instantaneous",Dispersion_I,Dispersion_D)*(MAX(BF342,Zone_1)^2-Zone_1^2))</f>
        <v>#DIV/0!</v>
      </c>
      <c r="BG345" s="83"/>
      <c r="BH345" s="1206" t="e">
        <f>IF(Zone_1&lt;MAX((BH93-MIN(BH93,WorkArea_Elevation))*Dispersion_E^0.5,Public),IF(BH153="Instantaneous",Dispersion_I,Dispersion_D)*(MAX(BH342,(BH93-MIN(BH93,WorkArea_Elevation))*Dispersion_E^0.5,Public)^2-MAX((BH93-MIN(BH93,WorkArea_Elevation))*Dispersion_E^0.5,Public)^2),IF(BH153="Instantaneous",Dispersion_I,Dispersion_D)*(MAX(BH342,Zone_1)^2-Zone_1^2))</f>
        <v>#DIV/0!</v>
      </c>
      <c r="BI345" s="83"/>
      <c r="BJ345" s="1206" t="e">
        <f>IF(Zone_1&lt;MAX((BJ93-MIN(BJ93,WorkArea_Elevation))*Dispersion_E^0.5,Public),IF(BJ153="Instantaneous",Dispersion_I,Dispersion_D)*(MAX(BJ342,(BJ93-MIN(BJ93,WorkArea_Elevation))*Dispersion_E^0.5,Public)^2-MAX((BJ93-MIN(BJ93,WorkArea_Elevation))*Dispersion_E^0.5,Public)^2),IF(BJ153="Instantaneous",Dispersion_I,Dispersion_D)*(MAX(BJ342,Zone_1)^2-Zone_1^2))</f>
        <v>#DIV/0!</v>
      </c>
      <c r="BK345" s="83"/>
      <c r="BL345" s="1206" t="e">
        <f>IF(Zone_1&lt;MAX((BL93-MIN(BL93,WorkArea_Elevation))*Dispersion_E^0.5,Public),IF(BL153="Instantaneous",Dispersion_I,Dispersion_D)*(MAX(BL342,(BL93-MIN(BL93,WorkArea_Elevation))*Dispersion_E^0.5,Public)^2-MAX((BL93-MIN(BL93,WorkArea_Elevation))*Dispersion_E^0.5,Public)^2),IF(BL153="Instantaneous",Dispersion_I,Dispersion_D)*(MAX(BL342,Zone_1)^2-Zone_1^2))</f>
        <v>#DIV/0!</v>
      </c>
      <c r="BM345" s="83"/>
      <c r="BN345" s="1206" t="e">
        <f>IF(Zone_1&lt;MAX((BN93-MIN(BN93,WorkArea_Elevation))*Dispersion_E^0.5,Public),IF(BN153="Instantaneous",Dispersion_I,Dispersion_D)*(MAX(BN342,(BN93-MIN(BN93,WorkArea_Elevation))*Dispersion_E^0.5,Public)^2-MAX((BN93-MIN(BN93,WorkArea_Elevation))*Dispersion_E^0.5,Public)^2),IF(BN153="Instantaneous",Dispersion_I,Dispersion_D)*(MAX(BN342,Zone_1)^2-Zone_1^2))</f>
        <v>#DIV/0!</v>
      </c>
      <c r="BO345" s="83"/>
      <c r="BP345" s="85" t="s">
        <v>3804</v>
      </c>
      <c r="BQ345" s="83"/>
      <c r="BR345" s="81"/>
      <c r="BS345" s="23" t="s">
        <v>1492</v>
      </c>
      <c r="BT345" s="81"/>
      <c r="BU345" s="1182">
        <f>IF(AND(Occ_Bldg&gt;0,BU339&gt;0),IF(EXP(TNT_A/(LN(Occ_Bldg/(BU339/1100)^0.33)+TNT_C)-TNT_B)&gt;Burst_P,14.7*Burst_P,14.7*EXP(TNT_A/(LN(Occ_Bldg/(BU339/1100)^0.33)+TNT_C)-TNT_B)),0)</f>
        <v>0</v>
      </c>
      <c r="BV345" s="81"/>
      <c r="BW345" s="1182">
        <f>Deflagration_Press_Bldg1</f>
        <v>0</v>
      </c>
      <c r="BX345" s="81"/>
      <c r="BY345" s="1182">
        <f>IF(AND(Occ_Bldg&gt;0,BY339&gt;0),IF(EXP(TNT_A/(LN(Occ_Bldg/(BY339/1100)^0.33)+TNT_C)-TNT_B)&gt;Burst_P,14.7*Burst_P,14.7*EXP(TNT_A/(LN(Occ_Bldg/(BY339/1100)^0.33)+TNT_C)-TNT_B)),0)</f>
        <v>0</v>
      </c>
      <c r="BZ345" s="81"/>
      <c r="CA345" s="1182">
        <f>IF(AND(Occ_Bldg&gt;0,CA339&gt;0),IF(EXP(TNT_A/(LN(Occ_Bldg/(CA339/1100)^0.33)+TNT_C)-TNT_B)&gt;Burst_P,14.7*Burst_P,14.7*EXP(TNT_A/(LN(Occ_Bldg/(CA339/1100)^0.33)+TNT_C)-TNT_B)),0)</f>
        <v>0</v>
      </c>
      <c r="CB345" s="81"/>
      <c r="CC345" s="1182">
        <f>IF(AND(Occ_Bldg&gt;0,CC339&gt;0),IF(EXP(TNT_A/(LN(Occ_Bldg/(CC339/1100)^0.33)+TNT_C)-TNT_B)&gt;Burst_P,14.7*Burst_P,14.7*EXP(TNT_A/(LN(Occ_Bldg/(CC339/1100)^0.33)+TNT_C)-TNT_B)),0)</f>
        <v>0</v>
      </c>
      <c r="CD345" s="81"/>
      <c r="CE345" s="85" t="s">
        <v>968</v>
      </c>
      <c r="CF345" s="81"/>
      <c r="CG345" s="26"/>
      <c r="CH345" s="26"/>
      <c r="CI345" s="26"/>
      <c r="CJ345" s="26"/>
      <c r="CK345" s="26"/>
      <c r="CL345" s="26"/>
      <c r="CM345" s="26"/>
      <c r="CN345" s="26"/>
    </row>
    <row r="346" spans="1:92" ht="15" customHeight="1" x14ac:dyDescent="0.25">
      <c r="A346" s="2"/>
      <c r="B346" s="23" t="s">
        <v>3709</v>
      </c>
      <c r="C346" s="83"/>
      <c r="D346" s="1206">
        <f>IF(OR(D$276=0,D$267=""),0,IF(D344&gt;Zone_1,IF(D156="Instantaneous",Dispersion_I,Dispersion_D)*(MAX(Public,Zone_1)^2-MAX(Public,D344)^2)+(MAX(Public,Zone_1)-MAX(Public,D344))*IF(D156="Instantaneous",DC_Duration_Initial*(D83/D98)^(1/3),2*(D$55/3.142)^0.5),IF(D156="Instantaneous",Dispersion_I,Dispersion_D)*D$267^(2*IF(D156="Instantaneous",D$154,D$128))*D$289^2*(EXP(D$274+D$276*MAX(Public,Zone_1)^2/(D$267^(2*IF(D156="Instantaneous",D$154,D$128))*D$289^2))-EXP(D$274+D$276*MAX(Public,D344)^2/(D$267^(2*IF(D156="Instantaneous",D$154,D$128))*D$289^2)))/D$276))</f>
        <v>0</v>
      </c>
      <c r="E346" s="83"/>
      <c r="F346" s="1206">
        <f>IF(OR(F$276=0,F$267=""),0,IF(F344&gt;Zone_1,IF(F156="Instantaneous",Dispersion_I,Dispersion_D)*(MAX(Public,Zone_1)^2-MAX(Public,F344)^2)+(MAX(Public,Zone_1)-MAX(Public,F344))*IF(F156="Instantaneous",DC_Duration_Initial*(F83/F98)^(1/3),2*(F$55/3.142)^0.5),IF(F156="Instantaneous",Dispersion_I,Dispersion_D)*F$267^(2*IF(F156="Instantaneous",F$154,F$128))*F$289^2*(EXP(F$274+F$276*MAX(Public,Zone_1)^2/(F$267^(2*IF(F156="Instantaneous",F$154,F$128))*F$289^2))-EXP(F$274+F$276*MAX(Public,F344)^2/(F$267^(2*IF(F156="Instantaneous",F$154,F$128))*F$289^2)))/F$276))</f>
        <v>0</v>
      </c>
      <c r="G346" s="83"/>
      <c r="H346" s="1206">
        <f>IF(OR(H$276=0,H$267=""),0,IF(H344&gt;Zone_1,IF(H156="Instantaneous",Dispersion_I,Dispersion_D)*(MAX(Public,Zone_1)^2-MAX(Public,H344)^2)+(MAX(Public,Zone_1)-MAX(Public,H344))*IF(H156="Instantaneous",DC_Duration_Initial*(H83/H98)^(1/3),2*(H$55/3.142)^0.5),IF(H156="Instantaneous",Dispersion_I,Dispersion_D)*H$267^(2*IF(H156="Instantaneous",H$154,H$128))*H$289^2*(EXP(H$274+H$276*MAX(Public,Zone_1)^2/(H$267^(2*IF(H156="Instantaneous",H$154,H$128))*H$289^2))-EXP(H$274+H$276*MAX(Public,H344)^2/(H$267^(2*IF(H156="Instantaneous",H$154,H$128))*H$289^2)))/H$276))</f>
        <v>0</v>
      </c>
      <c r="I346" s="83"/>
      <c r="J346" s="1206">
        <f>IF(OR(J$276=0,J$267=""),0,IF(J344&gt;Zone_1,IF(J156="Instantaneous",Dispersion_I,Dispersion_D)*(MAX(Public,Zone_1)^2-MAX(Public,J344)^2)+(MAX(Public,Zone_1)-MAX(Public,J344))*IF(J156="Instantaneous",DC_Duration_Initial*(J83/J98)^(1/3),2*(J$55/3.142)^0.5),IF(J156="Instantaneous",Dispersion_I,Dispersion_D)*J$267^(2*IF(J156="Instantaneous",J$154,J$128))*J$289^2*(EXP(J$274+J$276*MAX(Public,Zone_1)^2/(J$267^(2*IF(J156="Instantaneous",J$154,J$128))*J$289^2))-EXP(J$274+J$276*MAX(Public,J344)^2/(J$267^(2*IF(J156="Instantaneous",J$154,J$128))*J$289^2)))/J$276))</f>
        <v>0</v>
      </c>
      <c r="K346" s="83"/>
      <c r="L346" s="1206">
        <f>IF(OR(L$276=0,L$267=""),0,IF(L344&gt;Zone_1,IF(L156="Instantaneous",Dispersion_I,Dispersion_D)*(MAX(Public,Zone_1)^2-MAX(Public,L344)^2)+(MAX(Public,Zone_1)-MAX(Public,L344))*IF(L156="Instantaneous",DC_Duration_Initial*(L83/L98)^(1/3),2*(L$55/3.142)^0.5),IF(L156="Instantaneous",Dispersion_I,Dispersion_D)*L$267^(2*IF(L156="Instantaneous",L$154,L$128))*L$289^2*(EXP(L$274+L$276*MAX(Public,Zone_1)^2/(L$267^(2*IF(L156="Instantaneous",L$154,L$128))*L$289^2))-EXP(L$274+L$276*MAX(Public,L344)^2/(L$267^(2*IF(L156="Instantaneous",L$154,L$128))*L$289^2)))/L$276))</f>
        <v>0</v>
      </c>
      <c r="M346" s="83"/>
      <c r="N346" s="1206">
        <f>IF(OR(N$276=0,N$267=""),0,IF(N344&gt;Zone_1,IF(N156="Instantaneous",Dispersion_I,Dispersion_D)*(MAX(Public,Zone_1)^2-MAX(Public,N344)^2)+(MAX(Public,Zone_1)-MAX(Public,N344))*IF(N156="Instantaneous",DC_Duration_Initial*(N83/N98)^(1/3),2*(N$55/3.142)^0.5),IF(N156="Instantaneous",Dispersion_I,Dispersion_D)*N$267^(2*IF(N156="Instantaneous",N$154,N$128))*N$289^2*(EXP(N$274+N$276*MAX(Public,Zone_1)^2/(N$267^(2*IF(N156="Instantaneous",N$154,N$128))*N$289^2))-EXP(N$274+N$276*MAX(Public,N344)^2/(N$267^(2*IF(N156="Instantaneous",N$154,N$128))*N$289^2)))/N$276))</f>
        <v>0</v>
      </c>
      <c r="O346" s="83"/>
      <c r="P346" s="1206">
        <f>IF(OR(P$276=0,P$267=""),0,IF(P344&gt;Zone_1,IF(P156="Instantaneous",Dispersion_I,Dispersion_D)*(MAX(Public,Zone_1)^2-MAX(Public,P344)^2)+(MAX(Public,Zone_1)-MAX(Public,P344))*IF(P156="Instantaneous",DC_Duration_Initial*(P83/P98)^(1/3),2*(P$55/3.142)^0.5),IF(P156="Instantaneous",Dispersion_I,Dispersion_D)*P$267^(2*IF(P156="Instantaneous",P$154,P$128))*P$289^2*(EXP(P$274+P$276*MAX(Public,Zone_1)^2/(P$267^(2*IF(P156="Instantaneous",P$154,P$128))*P$289^2))-EXP(P$274+P$276*MAX(Public,P344)^2/(P$267^(2*IF(P156="Instantaneous",P$154,P$128))*P$289^2)))/P$276))</f>
        <v>0</v>
      </c>
      <c r="Q346" s="83"/>
      <c r="R346" s="1206">
        <f>IF(OR(R$276=0,R$267=""),0,IF(R344&gt;Zone_1,IF(R156="Instantaneous",Dispersion_I,Dispersion_D)*(MAX(Public,Zone_1)^2-MAX(Public,R344)^2)+(MAX(Public,Zone_1)-MAX(Public,R344))*IF(R156="Instantaneous",DC_Duration_Initial*(R83/R98)^(1/3),2*(R$55/3.142)^0.5),IF(R156="Instantaneous",Dispersion_I,Dispersion_D)*R$267^(2*IF(R156="Instantaneous",R$154,R$128))*R$289^2*(EXP(R$274+R$276*MAX(Public,Zone_1)^2/(R$267^(2*IF(R156="Instantaneous",R$154,R$128))*R$289^2))-EXP(R$274+R$276*MAX(Public,R344)^2/(R$267^(2*IF(R156="Instantaneous",R$154,R$128))*R$289^2)))/R$276))</f>
        <v>0</v>
      </c>
      <c r="S346" s="83"/>
      <c r="T346" s="1206">
        <f>IF(OR(T$276=0,T$267=""),0,IF(T344&gt;Zone_1,IF(T156="Instantaneous",Dispersion_I,Dispersion_D)*(MAX(Public,Zone_1)^2-MAX(Public,T344)^2)+(MAX(Public,Zone_1)-MAX(Public,T344))*IF(T156="Instantaneous",DC_Duration_Initial*(T83/T98)^(1/3),2*(T$55/3.142)^0.5),IF(T156="Instantaneous",Dispersion_I,Dispersion_D)*T$267^(2*IF(T156="Instantaneous",T$154,T$128))*T$289^2*(EXP(T$274+T$276*MAX(Public,Zone_1)^2/(T$267^(2*IF(T156="Instantaneous",T$154,T$128))*T$289^2))-EXP(T$274+T$276*MAX(Public,T344)^2/(T$267^(2*IF(T156="Instantaneous",T$154,T$128))*T$289^2)))/T$276))</f>
        <v>0</v>
      </c>
      <c r="U346" s="83"/>
      <c r="V346" s="1206">
        <f>IF(OR(V$276=0,V$267=""),0,IF(V344&gt;Zone_1,IF(V156="Instantaneous",Dispersion_I,Dispersion_D)*(MAX(Public,Zone_1)^2-MAX(Public,V344)^2)+(MAX(Public,Zone_1)-MAX(Public,V344))*IF(V156="Instantaneous",DC_Duration_Initial*(V83/V98)^(1/3),2*(V$55/3.142)^0.5),IF(V156="Instantaneous",Dispersion_I,Dispersion_D)*V$267^(2*IF(V156="Instantaneous",V$154,V$128))*V$289^2*(EXP(V$274+V$276*MAX(Public,Zone_1)^2/(V$267^(2*IF(V156="Instantaneous",V$154,V$128))*V$289^2))-EXP(V$274+V$276*MAX(Public,V344)^2/(V$267^(2*IF(V156="Instantaneous",V$154,V$128))*V$289^2)))/V$276))</f>
        <v>0</v>
      </c>
      <c r="W346" s="83"/>
      <c r="X346" s="1206">
        <f>IF(OR(X$276=0,X$267=""),0,IF(X344&gt;Zone_1,IF(X156="Instantaneous",Dispersion_I,Dispersion_D)*(MAX(Public,Zone_1)^2-MAX(Public,X344)^2)+(MAX(Public,Zone_1)-MAX(Public,X344))*IF(X156="Instantaneous",DC_Duration_Initial*(X83/X98)^(1/3),2*(X$55/3.142)^0.5),IF(X156="Instantaneous",Dispersion_I,Dispersion_D)*X$267^(2*IF(X156="Instantaneous",X$154,X$128))*X$289^2*(EXP(X$274+X$276*MAX(Public,Zone_1)^2/(X$267^(2*IF(X156="Instantaneous",X$154,X$128))*X$289^2))-EXP(X$274+X$276*MAX(Public,X344)^2/(X$267^(2*IF(X156="Instantaneous",X$154,X$128))*X$289^2)))/X$276))</f>
        <v>0</v>
      </c>
      <c r="Y346" s="83"/>
      <c r="Z346" s="85" t="s">
        <v>3804</v>
      </c>
      <c r="AA346" s="83"/>
      <c r="AB346" s="81"/>
      <c r="AC346" s="23" t="s">
        <v>2936</v>
      </c>
      <c r="AD346" s="81"/>
      <c r="AE346" s="1181">
        <f>IF(AND(AE332="Yes",AE345&gt;0),IF(VCE_BST_Coeff/AE345^VCE_BST_Exp&lt;VCE_BST_Limit,14.7*VCE_BST_Coeff/AE345^VCE_BST_Exp,14.7*VCE_BST_Limit),AE348)</f>
        <v>0</v>
      </c>
      <c r="AF346" s="81"/>
      <c r="AG346" s="1181">
        <f>IF(AND(AG332="Yes",AG345&gt;0),IF(VCE_BST_Coeff/AG345^VCE_BST_Exp&lt;VCE_BST_Limit,14.7*VCE_BST_Coeff/AG345^VCE_BST_Exp,14.7*VCE_BST_Limit),AG348)</f>
        <v>0</v>
      </c>
      <c r="AH346" s="81"/>
      <c r="AI346" s="1181">
        <f>IF(AND(AI332="Yes",AI345&gt;0),IF(VCE_BST_Coeff/AI345^VCE_BST_Exp&lt;VCE_BST_Limit,14.7*VCE_BST_Coeff/AI345^VCE_BST_Exp,14.7*VCE_BST_Limit),AI348)</f>
        <v>0</v>
      </c>
      <c r="AJ346" s="81"/>
      <c r="AK346" s="1181">
        <f>IF(AND(AK332="Yes",AK345&gt;0),IF(VCE_BST_Coeff/AK345^VCE_BST_Exp&lt;VCE_BST_Limit,14.7*VCE_BST_Coeff/AK345^VCE_BST_Exp,14.7*VCE_BST_Limit),AK348)</f>
        <v>0</v>
      </c>
      <c r="AL346" s="81"/>
      <c r="AM346" s="1181">
        <f>IF(AND(AM332="Yes",AM345&gt;0),IF(VCE_BST_Coeff/AM345^VCE_BST_Exp&lt;VCE_BST_Limit,14.7*VCE_BST_Coeff/AM345^VCE_BST_Exp,14.7*VCE_BST_Limit),AM348)</f>
        <v>0</v>
      </c>
      <c r="AN346" s="81"/>
      <c r="AO346" s="1181">
        <f>IF(AND(AO332="Yes",AO345&gt;0),IF(VCE_BST_Coeff/AO345^VCE_BST_Exp&lt;VCE_BST_Limit,14.7*VCE_BST_Coeff/AO345^VCE_BST_Exp,14.7*VCE_BST_Limit),AO348)</f>
        <v>0</v>
      </c>
      <c r="AP346" s="81"/>
      <c r="AQ346" s="85" t="s">
        <v>968</v>
      </c>
      <c r="AR346" s="81"/>
      <c r="AS346" s="83"/>
      <c r="AT346" s="23" t="s">
        <v>3711</v>
      </c>
      <c r="AU346" s="83"/>
      <c r="AV346" s="1206">
        <f>IF(OR(AV$273=0,AV$264=""),0,IF(Zone_1&lt;MAX((AV93-MIN(AV93,WorkArea_Elevation))*Dispersion_E^0.5,Public),IF(AV153="Instantaneous",Dispersion_I,Dispersion_D)*AV$264^(2*IF(AV153="Instantaneous",AV$151,AV$125))*AV$286^2*(0-EXP(AV$271+AV$273*MAX(AV342,Public,(AV93-MIN(AV93,WorkArea_Elevation))*Dispersion_E^0.5)^2/(AV$264^(2*IF(AV153="Instantaneous",AV$151,AV$125))*AV$286^2)))/AV$273,IF(AV153="Instantaneous",Dispersion_I,Dispersion_D)*AV$264^(2*IF(AV153="Instantaneous",AV$151,AV$125))*AV$286^2*(0-EXP(AV$271+AV$273*MAX(AV342,Zone_1)^2/(AV$264^(2*IF(AV153="Instantaneous",AV$151,AV$125))*AV$286^2)))/AV$273))</f>
        <v>0</v>
      </c>
      <c r="AW346" s="83"/>
      <c r="AX346" s="1206">
        <f>IF(OR(AX$273=0,AX$264=""),0,IF(Zone_1&lt;MAX((AX93-MIN(AX93,WorkArea_Elevation))*Dispersion_E^0.5,Public),IF(AX153="Instantaneous",Dispersion_I,Dispersion_D)*AX$264^(2*IF(AX153="Instantaneous",AX$151,AX$125))*AX$286^2*(0-EXP(AX$271+AX$273*MAX(AX342,Public,(AX93-MIN(AX93,WorkArea_Elevation))*Dispersion_E^0.5)^2/(AX$264^(2*IF(AX153="Instantaneous",AX$151,AX$125))*AX$286^2)))/AX$273,IF(AX153="Instantaneous",Dispersion_I,Dispersion_D)*AX$264^(2*IF(AX153="Instantaneous",AX$151,AX$125))*AX$286^2*(0-EXP(AX$271+AX$273*MAX(AX342,Zone_1)^2/(AX$264^(2*IF(AX153="Instantaneous",AX$151,AX$125))*AX$286^2)))/AX$273))</f>
        <v>0</v>
      </c>
      <c r="AY346" s="83"/>
      <c r="AZ346" s="1206">
        <f>IF(OR(AZ$273=0,AZ$264=""),0,IF(Zone_1&lt;MAX((AZ93-MIN(AZ93,WorkArea_Elevation))*Dispersion_E^0.5,Public),IF(AZ153="Instantaneous",Dispersion_I,Dispersion_D)*AZ$264^(2*IF(AZ153="Instantaneous",AZ$151,AZ$125))*AZ$286^2*(0-EXP(AZ$271+AZ$273*MAX(AZ342,Public,(AZ93-MIN(AZ93,WorkArea_Elevation))*Dispersion_E^0.5)^2/(AZ$264^(2*IF(AZ153="Instantaneous",AZ$151,AZ$125))*AZ$286^2)))/AZ$273,IF(AZ153="Instantaneous",Dispersion_I,Dispersion_D)*AZ$264^(2*IF(AZ153="Instantaneous",AZ$151,AZ$125))*AZ$286^2*(0-EXP(AZ$271+AZ$273*MAX(AZ342,Zone_1)^2/(AZ$264^(2*IF(AZ153="Instantaneous",AZ$151,AZ$125))*AZ$286^2)))/AZ$273))</f>
        <v>0</v>
      </c>
      <c r="BA346" s="83"/>
      <c r="BB346" s="1206">
        <f>IF(OR(BB$273=0,BB$264=""),0,IF(Zone_1&lt;MAX((BB93-MIN(BB93,WorkArea_Elevation))*Dispersion_E^0.5,Public),IF(BB153="Instantaneous",Dispersion_I,Dispersion_D)*BB$264^(2*IF(BB153="Instantaneous",BB$151,BB$125))*BB$286^2*(0-EXP(BB$271+BB$273*MAX(BB342,Public,(BB93-MIN(BB93,WorkArea_Elevation))*Dispersion_E^0.5)^2/(BB$264^(2*IF(BB153="Instantaneous",BB$151,BB$125))*BB$286^2)))/BB$273,IF(BB153="Instantaneous",Dispersion_I,Dispersion_D)*BB$264^(2*IF(BB153="Instantaneous",BB$151,BB$125))*BB$286^2*(0-EXP(BB$271+BB$273*MAX(BB342,Zone_1)^2/(BB$264^(2*IF(BB153="Instantaneous",BB$151,BB$125))*BB$286^2)))/BB$273))</f>
        <v>0</v>
      </c>
      <c r="BC346" s="83"/>
      <c r="BD346" s="1206">
        <f>IF(OR(BD$273=0,BD$264=""),0,IF(Zone_1&lt;MAX((BD93-MIN(BD93,WorkArea_Elevation))*Dispersion_E^0.5,Public),IF(BD153="Instantaneous",Dispersion_I,Dispersion_D)*BD$264^(2*IF(BD153="Instantaneous",BD$151,BD$125))*BD$286^2*(0-EXP(BD$271+BD$273*MAX(BD342,Public,(BD93-MIN(BD93,WorkArea_Elevation))*Dispersion_E^0.5)^2/(BD$264^(2*IF(BD153="Instantaneous",BD$151,BD$125))*BD$286^2)))/BD$273,IF(BD153="Instantaneous",Dispersion_I,Dispersion_D)*BD$264^(2*IF(BD153="Instantaneous",BD$151,BD$125))*BD$286^2*(0-EXP(BD$271+BD$273*MAX(BD342,Zone_1)^2/(BD$264^(2*IF(BD153="Instantaneous",BD$151,BD$125))*BD$286^2)))/BD$273))</f>
        <v>0</v>
      </c>
      <c r="BE346" s="83"/>
      <c r="BF346" s="1206">
        <f>IF(OR(BF$273=0,BF$264=""),0,IF(Zone_1&lt;MAX((BF93-MIN(BF93,WorkArea_Elevation))*Dispersion_E^0.5,Public),IF(BF153="Instantaneous",Dispersion_I,Dispersion_D)*BF$264^(2*IF(BF153="Instantaneous",BF$151,BF$125))*BF$286^2*(0-EXP(BF$271+BF$273*MAX(BF342,Public,(BF93-MIN(BF93,WorkArea_Elevation))*Dispersion_E^0.5)^2/(BF$264^(2*IF(BF153="Instantaneous",BF$151,BF$125))*BF$286^2)))/BF$273,IF(BF153="Instantaneous",Dispersion_I,Dispersion_D)*BF$264^(2*IF(BF153="Instantaneous",BF$151,BF$125))*BF$286^2*(0-EXP(BF$271+BF$273*MAX(BF342,Zone_1)^2/(BF$264^(2*IF(BF153="Instantaneous",BF$151,BF$125))*BF$286^2)))/BF$273))</f>
        <v>0</v>
      </c>
      <c r="BG346" s="83"/>
      <c r="BH346" s="1206">
        <f>IF(OR(BH$273=0,BH$264=""),0,IF(Zone_1&lt;MAX((BH93-MIN(BH93,WorkArea_Elevation))*Dispersion_E^0.5,Public),IF(BH153="Instantaneous",Dispersion_I,Dispersion_D)*BH$264^(2*IF(BH153="Instantaneous",BH$151,BH$125))*BH$286^2*(0-EXP(BH$271+BH$273*MAX(BH342,Public,(BH93-MIN(BH93,WorkArea_Elevation))*Dispersion_E^0.5)^2/(BH$264^(2*IF(BH153="Instantaneous",BH$151,BH$125))*BH$286^2)))/BH$273,IF(BH153="Instantaneous",Dispersion_I,Dispersion_D)*BH$264^(2*IF(BH153="Instantaneous",BH$151,BH$125))*BH$286^2*(0-EXP(BH$271+BH$273*MAX(BH342,Zone_1)^2/(BH$264^(2*IF(BH153="Instantaneous",BH$151,BH$125))*BH$286^2)))/BH$273))</f>
        <v>0</v>
      </c>
      <c r="BI346" s="83"/>
      <c r="BJ346" s="1206">
        <f>IF(OR(BJ$273=0,BJ$264=""),0,IF(Zone_1&lt;MAX((BJ93-MIN(BJ93,WorkArea_Elevation))*Dispersion_E^0.5,Public),IF(BJ153="Instantaneous",Dispersion_I,Dispersion_D)*BJ$264^(2*IF(BJ153="Instantaneous",BJ$151,BJ$125))*BJ$286^2*(0-EXP(BJ$271+BJ$273*MAX(BJ342,Public,(BJ93-MIN(BJ93,WorkArea_Elevation))*Dispersion_E^0.5)^2/(BJ$264^(2*IF(BJ153="Instantaneous",BJ$151,BJ$125))*BJ$286^2)))/BJ$273,IF(BJ153="Instantaneous",Dispersion_I,Dispersion_D)*BJ$264^(2*IF(BJ153="Instantaneous",BJ$151,BJ$125))*BJ$286^2*(0-EXP(BJ$271+BJ$273*MAX(BJ342,Zone_1)^2/(BJ$264^(2*IF(BJ153="Instantaneous",BJ$151,BJ$125))*BJ$286^2)))/BJ$273))</f>
        <v>0</v>
      </c>
      <c r="BK346" s="83"/>
      <c r="BL346" s="1206">
        <f>IF(OR(BL$273=0,BL$264=""),0,IF(Zone_1&lt;MAX((BL93-MIN(BL93,WorkArea_Elevation))*Dispersion_E^0.5,Public),IF(BL153="Instantaneous",Dispersion_I,Dispersion_D)*BL$264^(2*IF(BL153="Instantaneous",BL$151,BL$125))*BL$286^2*(0-EXP(BL$271+BL$273*MAX(BL342,Public,(BL93-MIN(BL93,WorkArea_Elevation))*Dispersion_E^0.5)^2/(BL$264^(2*IF(BL153="Instantaneous",BL$151,BL$125))*BL$286^2)))/BL$273,IF(BL153="Instantaneous",Dispersion_I,Dispersion_D)*BL$264^(2*IF(BL153="Instantaneous",BL$151,BL$125))*BL$286^2*(0-EXP(BL$271+BL$273*MAX(BL342,Zone_1)^2/(BL$264^(2*IF(BL153="Instantaneous",BL$151,BL$125))*BL$286^2)))/BL$273))</f>
        <v>0</v>
      </c>
      <c r="BM346" s="83"/>
      <c r="BN346" s="1206">
        <f>IF(OR(BN$273=0,BN$264=""),0,IF(Zone_1&lt;MAX((BN93-MIN(BN93,WorkArea_Elevation))*Dispersion_E^0.5,Public),IF(BN153="Instantaneous",Dispersion_I,Dispersion_D)*BN$264^(2*IF(BN153="Instantaneous",BN$151,BN$125))*BN$286^2*(0-EXP(BN$271+BN$273*MAX(BN342,Public,(BN93-MIN(BN93,WorkArea_Elevation))*Dispersion_E^0.5)^2/(BN$264^(2*IF(BN153="Instantaneous",BN$151,BN$125))*BN$286^2)))/BN$273,IF(BN153="Instantaneous",Dispersion_I,Dispersion_D)*BN$264^(2*IF(BN153="Instantaneous",BN$151,BN$125))*BN$286^2*(0-EXP(BN$271+BN$273*MAX(BN342,Zone_1)^2/(BN$264^(2*IF(BN153="Instantaneous",BN$151,BN$125))*BN$286^2)))/BN$273))</f>
        <v>0</v>
      </c>
      <c r="BO346" s="83"/>
      <c r="BP346" s="85" t="s">
        <v>3804</v>
      </c>
      <c r="BQ346" s="83"/>
      <c r="BR346" s="81"/>
      <c r="BS346" s="23" t="s">
        <v>2976</v>
      </c>
      <c r="BT346" s="81"/>
      <c r="BU346" s="106">
        <f>IF(AND(Occ_Bldg2_Cntr&gt;0,BU339&gt;0),IF(EXP(TNT_A/(LN(Occ_Bldg2_Cntr/(BU339/1100)^0.33)+TNT_C)-TNT_B)&gt;Burst_P,14.7*Burst_P,14.7*EXP(TNT_A/(LN(Occ_Bldg2_Cntr/(BU339/1100)^0.33)+TNT_C)-TNT_B)),BU347)</f>
        <v>0</v>
      </c>
      <c r="BV346" s="81"/>
      <c r="BW346" s="106">
        <f>Deflagration_Press_Bldg2_Cntr</f>
        <v>0</v>
      </c>
      <c r="BX346" s="81"/>
      <c r="BY346" s="106">
        <f>IF(AND(Occ_Bldg2_Cntr&gt;0,BY339&gt;0),IF(EXP(TNT_A/(LN(Occ_Bldg2_Cntr/(BY339/1100)^0.33)+TNT_C)-TNT_B)&gt;Burst_P,14.7*Burst_P,14.7*EXP(TNT_A/(LN(Occ_Bldg2_Cntr/(BY339/1100)^0.33)+TNT_C)-TNT_B)),BY347)</f>
        <v>0</v>
      </c>
      <c r="BZ346" s="81"/>
      <c r="CA346" s="106">
        <f>IF(AND(Occ_Bldg2_Cntr&gt;0,CA339&gt;0),IF(EXP(TNT_A/(LN(Occ_Bldg2_Cntr/(CA339/1100)^0.33)+TNT_C)-TNT_B)&gt;Burst_P,14.7*Burst_P,14.7*EXP(TNT_A/(LN(Occ_Bldg2_Cntr/(CA339/1100)^0.33)+TNT_C)-TNT_B)),CA347)</f>
        <v>0</v>
      </c>
      <c r="CB346" s="81"/>
      <c r="CC346" s="106">
        <f>IF(AND(Occ_Bldg2_Cntr&gt;0,CC339&gt;0),IF(EXP(TNT_A/(LN(Occ_Bldg2_Cntr/(CC339/1100)^0.33)+TNT_C)-TNT_B)&gt;Burst_P,14.7*Burst_P,14.7*EXP(TNT_A/(LN(Occ_Bldg2_Cntr/(CC339/1100)^0.33)+TNT_C)-TNT_B)),CC347)</f>
        <v>0</v>
      </c>
      <c r="CD346" s="81"/>
      <c r="CE346" s="85" t="s">
        <v>968</v>
      </c>
      <c r="CF346" s="81"/>
      <c r="CG346" s="26"/>
      <c r="CH346" s="26"/>
      <c r="CI346" s="26"/>
      <c r="CJ346" s="26"/>
      <c r="CK346" s="26"/>
      <c r="CL346" s="26"/>
      <c r="CM346" s="26"/>
      <c r="CN346" s="26"/>
    </row>
    <row r="347" spans="1:92" ht="15" customHeight="1" x14ac:dyDescent="0.25">
      <c r="A347" s="2"/>
      <c r="B347" s="23" t="s">
        <v>3710</v>
      </c>
      <c r="C347" s="83"/>
      <c r="D347" s="1206">
        <f>IF(Zone_1&lt;Public,IF(D156="Instantaneous",Dispersion_I,Dispersion_D)*(MAX(D344,Public)^2-Public^2)+(MAX(D344,Public)-Public)*IF(D208="Instantaneous",DC_Duration_Initial*(D83/D98)^(1/3),2*(D$55/3.142)^0.5),IF(D156="Instantaneous",Dispersion_I,Dispersion_D)*(MAX(D344,Zone_1)^2-Zone_1^2)+(MAX(D344,Zone_1)-Zone_1)*IF(D156="Instantaneous",DC_Duration_Initial*(D83/D98)^(1/3),2*(D$55/3.142)^0.5))</f>
        <v>3.0000000000000005E-3</v>
      </c>
      <c r="E347" s="83"/>
      <c r="F347" s="1206">
        <f>IF(Zone_1&lt;Public,IF(F156="Instantaneous",Dispersion_I,Dispersion_D)*(MAX(F344,Public)^2-Public^2)+(MAX(F344,Public)-Public)*IF(F208="Instantaneous",DC_Duration_Initial*(F83/F98)^(1/3),2*(F$55/3.142)^0.5),IF(F156="Instantaneous",Dispersion_I,Dispersion_D)*(MAX(F344,Zone_1)^2-Zone_1^2)+(MAX(F344,Zone_1)-Zone_1)*IF(F156="Instantaneous",DC_Duration_Initial*(F83/F98)^(1/3),2*(F$55/3.142)^0.5))</f>
        <v>3.0000000000000005E-3</v>
      </c>
      <c r="G347" s="83"/>
      <c r="H347" s="1206">
        <f>IF(Zone_1&lt;Public,IF(H156="Instantaneous",Dispersion_I,Dispersion_D)*(MAX(H344,Public)^2-Public^2)+(MAX(H344,Public)-Public)*IF(H208="Instantaneous",DC_Duration_Initial*(H83/H98)^(1/3),2*(H$55/3.142)^0.5),IF(H156="Instantaneous",Dispersion_I,Dispersion_D)*(MAX(H344,Zone_1)^2-Zone_1^2)+(MAX(H344,Zone_1)-Zone_1)*IF(H156="Instantaneous",DC_Duration_Initial*(H83/H98)^(1/3),2*(H$55/3.142)^0.5))</f>
        <v>3.0000000000000005E-3</v>
      </c>
      <c r="I347" s="83"/>
      <c r="J347" s="1206">
        <f>IF(Zone_1&lt;Public,IF(J156="Instantaneous",Dispersion_I,Dispersion_D)*(MAX(J344,Public)^2-Public^2)+(MAX(J344,Public)-Public)*IF(J208="Instantaneous",DC_Duration_Initial*(J83/J98)^(1/3),2*(J$55/3.142)^0.5),IF(J156="Instantaneous",Dispersion_I,Dispersion_D)*(MAX(J344,Zone_1)^2-Zone_1^2)+(MAX(J344,Zone_1)-Zone_1)*IF(J156="Instantaneous",DC_Duration_Initial*(J83/J98)^(1/3),2*(J$55/3.142)^0.5))</f>
        <v>3.0000000000000005E-3</v>
      </c>
      <c r="K347" s="83"/>
      <c r="L347" s="1206">
        <f>IF(Zone_1&lt;Public,IF(L156="Instantaneous",Dispersion_I,Dispersion_D)*(MAX(L344,Public)^2-Public^2)+(MAX(L344,Public)-Public)*IF(L208="Instantaneous",DC_Duration_Initial*(L83/L98)^(1/3),2*(L$55/3.142)^0.5),IF(L156="Instantaneous",Dispersion_I,Dispersion_D)*(MAX(L344,Zone_1)^2-Zone_1^2)+(MAX(L344,Zone_1)-Zone_1)*IF(L156="Instantaneous",DC_Duration_Initial*(L83/L98)^(1/3),2*(L$55/3.142)^0.5))</f>
        <v>3.0000000000000005E-3</v>
      </c>
      <c r="M347" s="83"/>
      <c r="N347" s="1206">
        <f>IF(Zone_1&lt;Public,IF(N156="Instantaneous",Dispersion_I,Dispersion_D)*(MAX(N344,Public)^2-Public^2)+(MAX(N344,Public)-Public)*IF(N208="Instantaneous",DC_Duration_Initial*(N83/N98)^(1/3),2*(N$55/3.142)^0.5),IF(N156="Instantaneous",Dispersion_I,Dispersion_D)*(MAX(N344,Zone_1)^2-Zone_1^2)+(MAX(N344,Zone_1)-Zone_1)*IF(N156="Instantaneous",DC_Duration_Initial*(N83/N98)^(1/3),2*(N$55/3.142)^0.5))</f>
        <v>3.0000000000000005E-3</v>
      </c>
      <c r="O347" s="83"/>
      <c r="P347" s="1206">
        <f>IF(Zone_1&lt;Public,IF(P156="Instantaneous",Dispersion_I,Dispersion_D)*(MAX(P344,Public)^2-Public^2)+(MAX(P344,Public)-Public)*IF(P208="Instantaneous",DC_Duration_Initial*(P83/P98)^(1/3),2*(P$55/3.142)^0.5),IF(P156="Instantaneous",Dispersion_I,Dispersion_D)*(MAX(P344,Zone_1)^2-Zone_1^2)+(MAX(P344,Zone_1)-Zone_1)*IF(P156="Instantaneous",DC_Duration_Initial*(P83/P98)^(1/3),2*(P$55/3.142)^0.5))</f>
        <v>3.0000000000000005E-3</v>
      </c>
      <c r="Q347" s="83"/>
      <c r="R347" s="1206">
        <f>IF(Zone_1&lt;Public,IF(R156="Instantaneous",Dispersion_I,Dispersion_D)*(MAX(R344,Public)^2-Public^2)+(MAX(R344,Public)-Public)*IF(R208="Instantaneous",DC_Duration_Initial*(R83/R98)^(1/3),2*(R$55/3.142)^0.5),IF(R156="Instantaneous",Dispersion_I,Dispersion_D)*(MAX(R344,Zone_1)^2-Zone_1^2)+(MAX(R344,Zone_1)-Zone_1)*IF(R156="Instantaneous",DC_Duration_Initial*(R83/R98)^(1/3),2*(R$55/3.142)^0.5))</f>
        <v>3.0000000000000005E-3</v>
      </c>
      <c r="S347" s="83"/>
      <c r="T347" s="1206">
        <f>IF(Zone_1&lt;Public,IF(T156="Instantaneous",Dispersion_I,Dispersion_D)*(MAX(T344,Public)^2-Public^2)+(MAX(T344,Public)-Public)*IF(T208="Instantaneous",DC_Duration_Initial*(T83/T98)^(1/3),2*(T$55/3.142)^0.5),IF(T156="Instantaneous",Dispersion_I,Dispersion_D)*(MAX(T344,Zone_1)^2-Zone_1^2)+(MAX(T344,Zone_1)-Zone_1)*IF(T156="Instantaneous",DC_Duration_Initial*(T83/T98)^(1/3),2*(T$55/3.142)^0.5))</f>
        <v>3.0000000000000005E-3</v>
      </c>
      <c r="U347" s="83"/>
      <c r="V347" s="1206">
        <f>IF(Zone_1&lt;Public,IF(V156="Instantaneous",Dispersion_I,Dispersion_D)*(MAX(V344,Public)^2-Public^2)+(MAX(V344,Public)-Public)*IF(V208="Instantaneous",DC_Duration_Initial*(V83/V98)^(1/3),2*(V$55/3.142)^0.5),IF(V156="Instantaneous",Dispersion_I,Dispersion_D)*(MAX(V344,Zone_1)^2-Zone_1^2)+(MAX(V344,Zone_1)-Zone_1)*IF(V156="Instantaneous",DC_Duration_Initial*(V83/V98)^(1/3),2*(V$55/3.142)^0.5))</f>
        <v>3.0000000000000005E-3</v>
      </c>
      <c r="W347" s="83"/>
      <c r="X347" s="1206">
        <f>IF(Zone_1&lt;Public,IF(X156="Instantaneous",Dispersion_I,Dispersion_D)*(MAX(X344,Public)^2-Public^2)+(MAX(X344,Public)-Public)*IF(X208="Instantaneous",DC_Duration_Initial*(X83/X98)^(1/3),2*(X$55/3.142)^0.5),IF(X156="Instantaneous",Dispersion_I,Dispersion_D)*(MAX(X344,Zone_1)^2-Zone_1^2)+(MAX(X344,Zone_1)-Zone_1)*IF(X156="Instantaneous",DC_Duration_Initial*(X83/X98)^(1/3),2*(X$55/3.142)^0.5))</f>
        <v>3.0000000000000005E-3</v>
      </c>
      <c r="Y347" s="83"/>
      <c r="Z347" s="85" t="s">
        <v>3804</v>
      </c>
      <c r="AA347" s="83"/>
      <c r="AB347" s="81"/>
      <c r="AC347" s="851" t="s">
        <v>3027</v>
      </c>
      <c r="AD347" s="81"/>
      <c r="AE347" s="1181">
        <f>IF(AND(AE336&gt;0,IF(Occ_Bldg2_Relief&gt;0,Occ_Bldg2_Relief,Occ_Bldg2)&gt;0),IF(IF(Occ_Bldg2_Relief&gt;0,Occ_Bldg2_Relief,Occ_Bldg2)&gt;1+LFL_Fract_VCE_Epicenter*AE334,(IF(Occ_Bldg2_Relief&gt;0,Occ_Bldg2_Relief,Occ_Bldg2)-LFL_Fract_VCE_Epicenter*AE334)/(2*AE336*4.18/101.3)^0.333,1/(2*AE336*4.18/101.3)^0.333),0)</f>
        <v>0</v>
      </c>
      <c r="AF347" s="81"/>
      <c r="AG347" s="1181">
        <f>IF(AND(AG336&gt;0,IF(Occ_Bldg2_Relief&gt;0,Occ_Bldg2_Relief,Occ_Bldg2)&gt;0),IF(IF(Occ_Bldg2_Relief&gt;0,Occ_Bldg2_Relief,Occ_Bldg2)&gt;1+LFL_Fract_VCE_Epicenter*AG334,(IF(Occ_Bldg2_Relief&gt;0,Occ_Bldg2_Relief,Occ_Bldg2)-LFL_Fract_VCE_Epicenter*AG334)/(2*AG336*4.18/101.3)^0.333,1/(2*AG336*4.18/101.3)^0.333),0)</f>
        <v>0</v>
      </c>
      <c r="AH347" s="81"/>
      <c r="AI347" s="1181">
        <f>IF(AND(AI336&gt;0,IF(Occ_Bldg2_Relief&gt;0,Occ_Bldg2_Relief,Occ_Bldg2)&gt;0),IF(IF(Occ_Bldg2_Relief&gt;0,Occ_Bldg2_Relief,Occ_Bldg2)&gt;1+LFL_Fract_VCE_Epicenter*AI334,(IF(Occ_Bldg2_Relief&gt;0,Occ_Bldg2_Relief,Occ_Bldg2)-LFL_Fract_VCE_Epicenter*AI334)/(2*AI336*4.18/101.3)^0.333,1/(2*AI336*4.18/101.3)^0.333),0)</f>
        <v>0</v>
      </c>
      <c r="AJ347" s="81"/>
      <c r="AK347" s="1181">
        <f>IF(AND(AK336&gt;0,IF(Occ_Bldg2_Relief&gt;0,Occ_Bldg2_Relief,Occ_Bldg2)&gt;0),IF(IF(Occ_Bldg2_Relief&gt;0,Occ_Bldg2_Relief,Occ_Bldg2)&gt;1+LFL_Fract_VCE_Epicenter*AK334,(IF(Occ_Bldg2_Relief&gt;0,Occ_Bldg2_Relief,Occ_Bldg2)-LFL_Fract_VCE_Epicenter*AK334)/(2*AK336*4.18/101.3)^0.333,1/(2*AK336*4.18/101.3)^0.333),0)</f>
        <v>0</v>
      </c>
      <c r="AL347" s="81"/>
      <c r="AM347" s="1181">
        <f>IF(AND(AM336&gt;0,IF(Occ_Bldg2_Relief&gt;0,Occ_Bldg2_Relief,Occ_Bldg2)&gt;0),IF(IF(Occ_Bldg2_Relief&gt;0,Occ_Bldg2_Relief,Occ_Bldg2)&gt;1+LFL_Fract_VCE_Epicenter*AM334,(IF(Occ_Bldg2_Relief&gt;0,Occ_Bldg2_Relief,Occ_Bldg2)-LFL_Fract_VCE_Epicenter*AM334)/(2*AM336*4.18/101.3)^0.333,1/(2*AM336*4.18/101.3)^0.333),0)</f>
        <v>0</v>
      </c>
      <c r="AN347" s="81"/>
      <c r="AO347" s="1181">
        <f>IF(AND(AO336&gt;0,IF(Occ_Bldg2_Relief&gt;0,Occ_Bldg2_Relief,Occ_Bldg2)&gt;0),IF(IF(Occ_Bldg2_Relief&gt;0,Occ_Bldg2_Relief,Occ_Bldg2)&gt;1+LFL_Fract_VCE_Epicenter*AO334,(IF(Occ_Bldg2_Relief&gt;0,Occ_Bldg2_Relief,Occ_Bldg2)-LFL_Fract_VCE_Epicenter*AO334)/(2*AO336*4.18/101.3)^0.333,1/(2*AO336*4.18/101.3)^0.333),0)</f>
        <v>0</v>
      </c>
      <c r="AP347" s="81"/>
      <c r="AQ347" s="85"/>
      <c r="AR347" s="81"/>
      <c r="AS347" s="83"/>
      <c r="AT347" s="23" t="s">
        <v>3712</v>
      </c>
      <c r="AU347" s="83"/>
      <c r="AV347" s="1861" t="e">
        <f>Outdoor_Fract*((AV338+AV339)*IF(Offsite_PD1="",Offsite_PD,1000000*Offsite_PD1)+(AV340+AV341)*IF(Offsite_PD2="",Offsite_PD,1000000*Offsite_PD2))/1000000+(1-Outdoor_Fract)*((AV343+AV344)*IF(Offsite_PD1="",Offsite_PD,1000000*Offsite_PD1)+(AV345+AV346)*IF(Offsite_PD2="",Offsite_PD,1000000*Offsite_PD2))/1000000</f>
        <v>#DIV/0!</v>
      </c>
      <c r="AW347" s="83"/>
      <c r="AX347" s="1861" t="e">
        <f>Outdoor_Fract*((AX338+AX339)*IF(Offsite_PD1="",Offsite_PD,1000000*Offsite_PD1)+(AX340+AX341)*IF(Offsite_PD2="",Offsite_PD,1000000*Offsite_PD2))/1000000+(1-Outdoor_Fract)*((AX343+AX344)*IF(Offsite_PD1="",Offsite_PD,1000000*Offsite_PD1)+(AX345+AX346)*IF(Offsite_PD2="",Offsite_PD,1000000*Offsite_PD2))/1000000</f>
        <v>#DIV/0!</v>
      </c>
      <c r="AY347" s="83"/>
      <c r="AZ347" s="1861" t="e">
        <f>Outdoor_Fract*((AZ338+AZ339)*IF(Offsite_PD1="",Offsite_PD,1000000*Offsite_PD1)+(AZ340+AZ341)*IF(Offsite_PD2="",Offsite_PD,1000000*Offsite_PD2))/1000000+(1-Outdoor_Fract)*((AZ343+AZ344)*IF(Offsite_PD1="",Offsite_PD,1000000*Offsite_PD1)+(AZ345+AZ346)*IF(Offsite_PD2="",Offsite_PD,1000000*Offsite_PD2))/1000000</f>
        <v>#DIV/0!</v>
      </c>
      <c r="BA347" s="83"/>
      <c r="BB347" s="1861" t="e">
        <f>Outdoor_Fract*((BB338+BB339)*IF(Offsite_PD1="",Offsite_PD,1000000*Offsite_PD1)+(BB340+BB341)*IF(Offsite_PD2="",Offsite_PD,1000000*Offsite_PD2))/1000000+(1-Outdoor_Fract)*((BB343+BB344)*IF(Offsite_PD1="",Offsite_PD,1000000*Offsite_PD1)+(BB345+BB346)*IF(Offsite_PD2="",Offsite_PD,1000000*Offsite_PD2))/1000000</f>
        <v>#DIV/0!</v>
      </c>
      <c r="BC347" s="83"/>
      <c r="BD347" s="1861" t="e">
        <f>Outdoor_Fract*((BD338+BD339)*IF(Offsite_PD1="",Offsite_PD,1000000*Offsite_PD1)+(BD340+BD341)*IF(Offsite_PD2="",Offsite_PD,1000000*Offsite_PD2))/1000000+(1-Outdoor_Fract)*((BD343+BD344)*IF(Offsite_PD1="",Offsite_PD,1000000*Offsite_PD1)+(BD345+BD346)*IF(Offsite_PD2="",Offsite_PD,1000000*Offsite_PD2))/1000000</f>
        <v>#DIV/0!</v>
      </c>
      <c r="BE347" s="83"/>
      <c r="BF347" s="1861" t="e">
        <f>Outdoor_Fract*((BF338+BF339)*IF(Offsite_PD1="",Offsite_PD,1000000*Offsite_PD1)+(BF340+BF341)*IF(Offsite_PD2="",Offsite_PD,1000000*Offsite_PD2))/1000000+(1-Outdoor_Fract)*((BF343+BF344)*IF(Offsite_PD1="",Offsite_PD,1000000*Offsite_PD1)+(BF345+BF346)*IF(Offsite_PD2="",Offsite_PD,1000000*Offsite_PD2))/1000000</f>
        <v>#DIV/0!</v>
      </c>
      <c r="BG347" s="83"/>
      <c r="BH347" s="1861" t="e">
        <f>Outdoor_Fract*((BH338+BH339)*IF(Offsite_PD1="",Offsite_PD,1000000*Offsite_PD1)+(BH340+BH341)*IF(Offsite_PD2="",Offsite_PD,1000000*Offsite_PD2))/1000000+(1-Outdoor_Fract)*((BH343+BH344)*IF(Offsite_PD1="",Offsite_PD,1000000*Offsite_PD1)+(BH345+BH346)*IF(Offsite_PD2="",Offsite_PD,1000000*Offsite_PD2))/1000000</f>
        <v>#DIV/0!</v>
      </c>
      <c r="BI347" s="83"/>
      <c r="BJ347" s="1861" t="e">
        <f>Outdoor_Fract*((BJ338+BJ339)*IF(Offsite_PD1="",Offsite_PD,1000000*Offsite_PD1)+(BJ340+BJ341)*IF(Offsite_PD2="",Offsite_PD,1000000*Offsite_PD2))/1000000+(1-Outdoor_Fract)*((BJ343+BJ344)*IF(Offsite_PD1="",Offsite_PD,1000000*Offsite_PD1)+(BJ345+BJ346)*IF(Offsite_PD2="",Offsite_PD,1000000*Offsite_PD2))/1000000</f>
        <v>#DIV/0!</v>
      </c>
      <c r="BK347" s="83"/>
      <c r="BL347" s="1861" t="e">
        <f>Outdoor_Fract*((BL338+BL339)*IF(Offsite_PD1="",Offsite_PD,1000000*Offsite_PD1)+(BL340+BL341)*IF(Offsite_PD2="",Offsite_PD,1000000*Offsite_PD2))/1000000+(1-Outdoor_Fract)*((BL343+BL344)*IF(Offsite_PD1="",Offsite_PD,1000000*Offsite_PD1)+(BL345+BL346)*IF(Offsite_PD2="",Offsite_PD,1000000*Offsite_PD2))/1000000</f>
        <v>#DIV/0!</v>
      </c>
      <c r="BM347" s="83"/>
      <c r="BN347" s="1861" t="e">
        <f>Outdoor_Fract*((BN338+BN339)*IF(Offsite_PD1="",Offsite_PD,1000000*Offsite_PD1)+(BN340+BN341)*IF(Offsite_PD2="",Offsite_PD,1000000*Offsite_PD2))/1000000+(1-Outdoor_Fract)*((BN343+BN344)*IF(Offsite_PD1="",Offsite_PD,1000000*Offsite_PD1)+(BN345+BN346)*IF(Offsite_PD2="",Offsite_PD,1000000*Offsite_PD2))/1000000</f>
        <v>#DIV/0!</v>
      </c>
      <c r="BO347" s="83"/>
      <c r="BP347" s="23"/>
      <c r="BQ347" s="83"/>
      <c r="BR347" s="81"/>
      <c r="BS347" s="23" t="s">
        <v>2977</v>
      </c>
      <c r="BT347" s="81"/>
      <c r="BU347" s="1182">
        <f>IF(AND(Occ_Bldg2&gt;0,BU339&gt;0),IF(EXP(TNT_A/(LN(Occ_Bldg2/(BU339/1100)^0.33)+TNT_C)-TNT_B)&gt;Burst_P,14.7*Burst_P,14.7*EXP(TNT_A/(LN(Occ_Bldg2/(BU339/1100)^0.33)+TNT_C)-TNT_B)),0)</f>
        <v>0</v>
      </c>
      <c r="BV347" s="81"/>
      <c r="BW347" s="1182">
        <f>Deflagration_Press_Bldg2</f>
        <v>0</v>
      </c>
      <c r="BX347" s="81"/>
      <c r="BY347" s="1182">
        <f>IF(AND(Occ_Bldg2&gt;0,BY339&gt;0),IF(EXP(TNT_A/(LN(Occ_Bldg2/(BY339/1100)^0.33)+TNT_C)-TNT_B)&gt;Burst_P,14.7*Burst_P,14.7*EXP(TNT_A/(LN(Occ_Bldg2/(BY339/1100)^0.33)+TNT_C)-TNT_B)),0)</f>
        <v>0</v>
      </c>
      <c r="BZ347" s="81"/>
      <c r="CA347" s="1182">
        <f>IF(AND(Occ_Bldg2&gt;0,CA339&gt;0),IF(EXP(TNT_A/(LN(Occ_Bldg2/(CA339/1100)^0.33)+TNT_C)-TNT_B)&gt;Burst_P,14.7*Burst_P,14.7*EXP(TNT_A/(LN(Occ_Bldg2/(CA339/1100)^0.33)+TNT_C)-TNT_B)),0)</f>
        <v>0</v>
      </c>
      <c r="CB347" s="81"/>
      <c r="CC347" s="1182">
        <f>IF(AND(Occ_Bldg2&gt;0,CC339&gt;0),IF(EXP(TNT_A/(LN(Occ_Bldg2/(CC339/1100)^0.33)+TNT_C)-TNT_B)&gt;Burst_P,14.7*Burst_P,14.7*EXP(TNT_A/(LN(Occ_Bldg2/(CC339/1100)^0.33)+TNT_C)-TNT_B)),0)</f>
        <v>0</v>
      </c>
      <c r="CD347" s="81"/>
      <c r="CE347" s="85" t="s">
        <v>968</v>
      </c>
      <c r="CF347" s="81"/>
      <c r="CG347" s="26"/>
      <c r="CH347" s="26"/>
      <c r="CI347" s="26"/>
      <c r="CJ347" s="26"/>
      <c r="CK347" s="26"/>
      <c r="CL347" s="26"/>
      <c r="CM347" s="26"/>
      <c r="CN347" s="26"/>
    </row>
    <row r="348" spans="1:92" ht="15" customHeight="1" thickBot="1" x14ac:dyDescent="0.3">
      <c r="A348" s="2"/>
      <c r="B348" s="23" t="s">
        <v>3711</v>
      </c>
      <c r="C348" s="83"/>
      <c r="D348" s="1206">
        <f>IF(OR(D$276=0,D$267=""),0,IF(Zone_1&lt;Public,IF(D156="Instantaneous",Dispersion_I,Dispersion_D)*D$267^(2*IF(D156="Instantaneous",D$154,D$128))*D$289^2*(0-EXP(D$274+D$276*MAX(D344,Public)^2/(D$267^(2*IF(D156="Instantaneous",D$154,D$128))*D$289^2)))/D$276,IF(D156="Instantaneous",D$154,D$128)*D$267^(2*IF(D156="Instantaneous",D$154,D$128))*D$289^2*(0-EXP(D$274+D$276*MAX(D344,Zone_1)^2/(D$267^(2*IF(D156="Instantaneous",D$154,D$128))*D$289^2)))/D$276))</f>
        <v>0</v>
      </c>
      <c r="E348" s="83"/>
      <c r="F348" s="1206">
        <f>IF(OR(F$276=0,F$267=""),0,IF(Zone_1&lt;Public,IF(F156="Instantaneous",Dispersion_I,Dispersion_D)*F$267^(2*IF(F156="Instantaneous",F$154,F$128))*F$289^2*(0-EXP(F$274+F$276*MAX(F344,Public)^2/(F$267^(2*IF(F156="Instantaneous",F$154,F$128))*F$289^2)))/F$276,IF(F156="Instantaneous",F$154,F$128)*F$267^(2*IF(F156="Instantaneous",F$154,F$128))*F$289^2*(0-EXP(F$274+F$276*MAX(F344,Zone_1)^2/(F$267^(2*IF(F156="Instantaneous",F$154,F$128))*F$289^2)))/F$276))</f>
        <v>0</v>
      </c>
      <c r="G348" s="83"/>
      <c r="H348" s="1206">
        <f>IF(OR(H$276=0,H$267=""),0,IF(Zone_1&lt;Public,IF(H156="Instantaneous",Dispersion_I,Dispersion_D)*H$267^(2*IF(H156="Instantaneous",H$154,H$128))*H$289^2*(0-EXP(H$274+H$276*MAX(H344,Public)^2/(H$267^(2*IF(H156="Instantaneous",H$154,H$128))*H$289^2)))/H$276,IF(H156="Instantaneous",H$154,H$128)*H$267^(2*IF(H156="Instantaneous",H$154,H$128))*H$289^2*(0-EXP(H$274+H$276*MAX(H344,Zone_1)^2/(H$267^(2*IF(H156="Instantaneous",H$154,H$128))*H$289^2)))/H$276))</f>
        <v>0</v>
      </c>
      <c r="I348" s="83"/>
      <c r="J348" s="1206">
        <f>IF(OR(J$276=0,J$267=""),0,IF(Zone_1&lt;Public,IF(J156="Instantaneous",Dispersion_I,Dispersion_D)*J$267^(2*IF(J156="Instantaneous",J$154,J$128))*J$289^2*(0-EXP(J$274+J$276*MAX(J344,Public)^2/(J$267^(2*IF(J156="Instantaneous",J$154,J$128))*J$289^2)))/J$276,IF(J156="Instantaneous",J$154,J$128)*J$267^(2*IF(J156="Instantaneous",J$154,J$128))*J$289^2*(0-EXP(J$274+J$276*MAX(J344,Zone_1)^2/(J$267^(2*IF(J156="Instantaneous",J$154,J$128))*J$289^2)))/J$276))</f>
        <v>0</v>
      </c>
      <c r="K348" s="83"/>
      <c r="L348" s="1206">
        <f>IF(OR(L$276=0,L$267=""),0,IF(Zone_1&lt;Public,IF(L156="Instantaneous",Dispersion_I,Dispersion_D)*L$267^(2*IF(L156="Instantaneous",L$154,L$128))*L$289^2*(0-EXP(L$274+L$276*MAX(L344,Public)^2/(L$267^(2*IF(L156="Instantaneous",L$154,L$128))*L$289^2)))/L$276,IF(L156="Instantaneous",L$154,L$128)*L$267^(2*IF(L156="Instantaneous",L$154,L$128))*L$289^2*(0-EXP(L$274+L$276*MAX(L344,Zone_1)^2/(L$267^(2*IF(L156="Instantaneous",L$154,L$128))*L$289^2)))/L$276))</f>
        <v>0</v>
      </c>
      <c r="M348" s="83"/>
      <c r="N348" s="1206">
        <f>IF(OR(N$276=0,N$267=""),0,IF(Zone_1&lt;Public,IF(N156="Instantaneous",Dispersion_I,Dispersion_D)*N$267^(2*IF(N156="Instantaneous",N$154,N$128))*N$289^2*(0-EXP(N$274+N$276*MAX(N344,Public)^2/(N$267^(2*IF(N156="Instantaneous",N$154,N$128))*N$289^2)))/N$276,IF(N156="Instantaneous",N$154,N$128)*N$267^(2*IF(N156="Instantaneous",N$154,N$128))*N$289^2*(0-EXP(N$274+N$276*MAX(N344,Zone_1)^2/(N$267^(2*IF(N156="Instantaneous",N$154,N$128))*N$289^2)))/N$276))</f>
        <v>0</v>
      </c>
      <c r="O348" s="83"/>
      <c r="P348" s="1206">
        <f>IF(OR(P$276=0,P$267=""),0,IF(Zone_1&lt;Public,IF(P156="Instantaneous",Dispersion_I,Dispersion_D)*P$267^(2*IF(P156="Instantaneous",P$154,P$128))*P$289^2*(0-EXP(P$274+P$276*MAX(P344,Public)^2/(P$267^(2*IF(P156="Instantaneous",P$154,P$128))*P$289^2)))/P$276,IF(P156="Instantaneous",P$154,P$128)*P$267^(2*IF(P156="Instantaneous",P$154,P$128))*P$289^2*(0-EXP(P$274+P$276*MAX(P344,Zone_1)^2/(P$267^(2*IF(P156="Instantaneous",P$154,P$128))*P$289^2)))/P$276))</f>
        <v>0</v>
      </c>
      <c r="Q348" s="83"/>
      <c r="R348" s="1206">
        <f>IF(OR(R$276=0,R$267=""),0,IF(Zone_1&lt;Public,IF(R156="Instantaneous",Dispersion_I,Dispersion_D)*R$267^(2*IF(R156="Instantaneous",R$154,R$128))*R$289^2*(0-EXP(R$274+R$276*MAX(R344,Public)^2/(R$267^(2*IF(R156="Instantaneous",R$154,R$128))*R$289^2)))/R$276,IF(R156="Instantaneous",R$154,R$128)*R$267^(2*IF(R156="Instantaneous",R$154,R$128))*R$289^2*(0-EXP(R$274+R$276*MAX(R344,Zone_1)^2/(R$267^(2*IF(R156="Instantaneous",R$154,R$128))*R$289^2)))/R$276))</f>
        <v>0</v>
      </c>
      <c r="S348" s="83"/>
      <c r="T348" s="1206">
        <f>IF(OR(T$276=0,T$267=""),0,IF(Zone_1&lt;Public,IF(T156="Instantaneous",Dispersion_I,Dispersion_D)*T$267^(2*IF(T156="Instantaneous",T$154,T$128))*T$289^2*(0-EXP(T$274+T$276*MAX(T344,Public)^2/(T$267^(2*IF(T156="Instantaneous",T$154,T$128))*T$289^2)))/T$276,IF(T156="Instantaneous",T$154,T$128)*T$267^(2*IF(T156="Instantaneous",T$154,T$128))*T$289^2*(0-EXP(T$274+T$276*MAX(T344,Zone_1)^2/(T$267^(2*IF(T156="Instantaneous",T$154,T$128))*T$289^2)))/T$276))</f>
        <v>0</v>
      </c>
      <c r="U348" s="83"/>
      <c r="V348" s="1206">
        <f>IF(OR(V$276=0,V$267=""),0,IF(Zone_1&lt;Public,IF(V156="Instantaneous",Dispersion_I,Dispersion_D)*V$267^(2*IF(V156="Instantaneous",V$154,V$128))*V$289^2*(0-EXP(V$274+V$276*MAX(V344,Public)^2/(V$267^(2*IF(V156="Instantaneous",V$154,V$128))*V$289^2)))/V$276,IF(V156="Instantaneous",V$154,V$128)*V$267^(2*IF(V156="Instantaneous",V$154,V$128))*V$289^2*(0-EXP(V$274+V$276*MAX(V344,Zone_1)^2/(V$267^(2*IF(V156="Instantaneous",V$154,V$128))*V$289^2)))/V$276))</f>
        <v>0</v>
      </c>
      <c r="W348" s="83"/>
      <c r="X348" s="1206">
        <f>IF(OR(X$276=0,X$267=""),0,IF(Zone_1&lt;Public,IF(X156="Instantaneous",Dispersion_I,Dispersion_D)*X$267^(2*IF(X156="Instantaneous",X$154,X$128))*X$289^2*(0-EXP(X$274+X$276*MAX(X344,Public)^2/(X$267^(2*IF(X156="Instantaneous",X$154,X$128))*X$289^2)))/X$276,IF(X156="Instantaneous",X$154,X$128)*X$267^(2*IF(X156="Instantaneous",X$154,X$128))*X$289^2*(0-EXP(X$274+X$276*MAX(X344,Zone_1)^2/(X$267^(2*IF(X156="Instantaneous",X$154,X$128))*X$289^2)))/X$276))</f>
        <v>0</v>
      </c>
      <c r="Y348" s="83"/>
      <c r="Z348" s="85" t="s">
        <v>3804</v>
      </c>
      <c r="AA348" s="83"/>
      <c r="AB348" s="81"/>
      <c r="AC348" s="851" t="s">
        <v>628</v>
      </c>
      <c r="AD348" s="81"/>
      <c r="AE348" s="1181">
        <f>IF(AND(AE332="Yes",AE347&gt;0),IF(VCE_BST_Coeff/AE347^VCE_BST_Exp&lt;VCE_BST_Limit,14.7*VCE_BST_Coeff/AE347^VCE_BST_Exp,14.7*VCE_BST_Limit),0)</f>
        <v>0</v>
      </c>
      <c r="AF348" s="81"/>
      <c r="AG348" s="1181">
        <f>IF(AND(AG332="Yes",AG347&gt;0),IF(VCE_BST_Coeff/AG347^VCE_BST_Exp&lt;VCE_BST_Limit,14.7*VCE_BST_Coeff/AG347^VCE_BST_Exp,14.7*VCE_BST_Limit),0)</f>
        <v>0</v>
      </c>
      <c r="AH348" s="81"/>
      <c r="AI348" s="1181">
        <f>IF(AND(AI332="Yes",AI347&gt;0),IF(VCE_BST_Coeff/AI347^VCE_BST_Exp&lt;VCE_BST_Limit,14.7*VCE_BST_Coeff/AI347^VCE_BST_Exp,14.7*VCE_BST_Limit),0)</f>
        <v>0</v>
      </c>
      <c r="AJ348" s="81"/>
      <c r="AK348" s="1181">
        <f>IF(AND(AK332="Yes",AK347&gt;0),IF(VCE_BST_Coeff/AK347^VCE_BST_Exp&lt;VCE_BST_Limit,14.7*VCE_BST_Coeff/AK347^VCE_BST_Exp,14.7*VCE_BST_Limit),0)</f>
        <v>0</v>
      </c>
      <c r="AL348" s="81"/>
      <c r="AM348" s="1181">
        <f>IF(AND(AM332="Yes",AM347&gt;0),IF(VCE_BST_Coeff/AM347^VCE_BST_Exp&lt;VCE_BST_Limit,14.7*VCE_BST_Coeff/AM347^VCE_BST_Exp,14.7*VCE_BST_Limit),0)</f>
        <v>0</v>
      </c>
      <c r="AN348" s="81"/>
      <c r="AO348" s="1181">
        <f>IF(AND(AO332="Yes",AO347&gt;0),IF(VCE_BST_Coeff/AO347^VCE_BST_Exp&lt;VCE_BST_Limit,14.7*VCE_BST_Coeff/AO347^VCE_BST_Exp,14.7*VCE_BST_Limit),0)</f>
        <v>0</v>
      </c>
      <c r="AP348" s="81"/>
      <c r="AQ348" s="85" t="s">
        <v>968</v>
      </c>
      <c r="AR348" s="81"/>
      <c r="AS348" s="83"/>
      <c r="AT348" s="23" t="s">
        <v>3627</v>
      </c>
      <c r="AU348" s="83"/>
      <c r="AV348" s="2112">
        <f>IF(AND(AV82&gt;0,AV277&gt;0),IF(AV278="Indoors",IF(AV299&lt;=AV277,0,AV$176*((IF(Enclosed_Ventilation_Rate&gt;1,Enclosed_Ventilation_Rate,1)*Enclosed_Process_Volume*AV82*AV299/88020000000)*1000000*(1/AV277-1/AV299)/(AV82*Wind_Night))^AV$177),IF(OR(AV277=0,AV277=1000000),0,MAX(0,IF(AV205="Instantaneous",AV$202*((AV67/AV82)*(1000000/AV277))^AV$203-AV$204,AV$176*(AV73*(1000000/AV277)/(AV82*Wind_Night))^AV$177-AV$178)))),0.1)</f>
        <v>0.1</v>
      </c>
      <c r="AW348" s="83"/>
      <c r="AX348" s="2112">
        <f>IF(AND(AX82&gt;0,AX277&gt;0),IF(AX278="Indoors",IF(AX299&lt;=AX277,0,AX$176*((IF(Enclosed_Ventilation_Rate&gt;1,Enclosed_Ventilation_Rate,1)*Enclosed_Process_Volume*AX82*AX299/88020000000)*1000000*(1/AX277-1/AX299)/(AX82*Wind_Night))^AX$177),IF(OR(AX277=0,AX277=1000000),0,MAX(0,IF(AX205="Instantaneous",AX$202*((AX67/AX82)*(1000000/AX277))^AX$203-AX$204+AX92,AX$176*(AX73*(1000000/AX277)/(AX82*Wind_Night))^AX$177-AX$178+AX92)))),0.1)</f>
        <v>0.1</v>
      </c>
      <c r="AY348" s="83"/>
      <c r="AZ348" s="2112">
        <f>IF(AND(AZ82&gt;0,AZ277&gt;0),IF(AZ278="Indoors",IF(AZ299&lt;=AZ277,0,AZ$176*((IF(Enclosed_Ventilation_Rate&gt;1,Enclosed_Ventilation_Rate,1)*Enclosed_Process_Volume*AZ82*AZ299/88020000000)*1000000*(1/AZ277-1/AZ299)/(AZ82*Wind_Night))^AZ$177),IF(OR(AZ277=0,AZ277=1000000),0,MAX(0,IF(AZ205="Instantaneous",AZ$202*((AZ67/AZ82)*(1000000/AZ277))^AZ$203-AZ$204+AZ92,AZ$176*(AZ73*(1000000/AZ277)/(AZ82*Wind_Night))^AZ$177-AZ$178+AZ92)))),0.1)</f>
        <v>0.1</v>
      </c>
      <c r="BA348" s="83"/>
      <c r="BB348" s="2112">
        <f>IF(AND(BB82&gt;0,BB277&gt;0),IF(BB278="Indoors",IF(BB299&lt;=BB277,0,BB$176*((IF(Enclosed_Ventilation_Rate&gt;1,Enclosed_Ventilation_Rate,1)*Enclosed_Process_Volume*BB82*BB299/88020000000)*1000000*(1/BB277-1/BB299)/(BB82*Wind_Night))^BB$177),IF(OR(BB277=0,BB277=1000000),0,MAX(0,IF(BB205="Instantaneous",BB$202*((BB67/BB82)*(1000000/BB277))^BB$203-BB$204+BB92,BB$176*(BB73*(1000000/BB277)/(BB82*Wind_Night))^BB$177-BB$178+BB92)))),0.1)</f>
        <v>0.1</v>
      </c>
      <c r="BC348" s="83"/>
      <c r="BD348" s="2112">
        <f>IF(AND(BD82&gt;0,BD277&gt;0),IF(BD278="Indoors",IF(BD299&lt;=BD277,0,BD$176*((IF(Enclosed_Ventilation_Rate&gt;1,Enclosed_Ventilation_Rate,1)*Enclosed_Process_Volume*BD82*BD299/88020000000)*1000000*(1/BD277-1/BD299)/(BD82*Wind_Night))^BD$177),IF(OR(BD277=0,BD277=1000000),0,MAX(0,IF(BD205="Instantaneous",BD$202*((BD67/BD82)*(1000000/BD277))^BD$203-BD$204+BD92,BD$176*(BD73*(1000000/BD277)/(BD82*Wind_Night))^BD$177-BD$178+BD92)))),0.1)</f>
        <v>0.1</v>
      </c>
      <c r="BE348" s="83"/>
      <c r="BF348" s="2112">
        <f>IF(AND(BF82&gt;0,BF277&gt;0),IF(BF278="Indoors",IF(BF299&lt;=BF277,0,BF$176*((IF(Enclosed_Ventilation_Rate&gt;1,Enclosed_Ventilation_Rate,1)*Enclosed_Process_Volume*BF82*BF299/88020000000)*1000000*(1/BF277-1/BF299)/(BF82*Wind_Night))^BF$177),IF(OR(BF277=0,BF277=1000000),0,MAX(0,IF(BF205="Instantaneous",BF$202*((BF67/BF82)*(1000000/BF277))^BF$203-BF$204+BF92,BF$176*(BF73*(1000000/BF277)/(BF82*Wind_Night))^BF$177-BF$178+BF92)))),0.1)</f>
        <v>0.1</v>
      </c>
      <c r="BG348" s="83"/>
      <c r="BH348" s="2112">
        <f>IF(AND(BH82&gt;0,BH277&gt;0),IF(BH278="Indoors",IF(BH299&lt;=BH277,0,BH$176*((IF(Enclosed_Ventilation_Rate&gt;1,Enclosed_Ventilation_Rate,1)*Enclosed_Process_Volume*BH82*BH299/88020000000)*1000000*(1/BH277-1/BH299)/(BH82*Wind_Night))^BH$177),IF(OR(BH277=0,BH277=1000000),0,MAX(0,IF(BH205="Instantaneous",BH$202*((BH67/BH82)*(1000000/BH277))^BH$203-BH$204+BH92,BH$176*(BH73*(1000000/BH277)/(BH82*Wind_Night))^BH$177-BH$178+BH92)))),0.1)</f>
        <v>0.1</v>
      </c>
      <c r="BI348" s="83"/>
      <c r="BJ348" s="2112">
        <f>IF(AND(BJ82&gt;0,BJ277&gt;0),IF(BJ278="Indoors",IF(BJ299&lt;=BJ277,0,BJ$176*((IF(Enclosed_Ventilation_Rate&gt;1,Enclosed_Ventilation_Rate,1)*Enclosed_Process_Volume*BJ82*BJ299/88020000000)*1000000*(1/BJ277-1/BJ299)/(BJ82*Wind_Night))^BJ$177),IF(OR(BJ277=0,BJ277=1000000),0,MAX(0,IF(BJ205="Instantaneous",BJ$202*((BJ67/BJ82)*(1000000/BJ277))^BJ$203-BJ$204+BJ92,BJ$176*(BJ73*(1000000/BJ277)/(BJ82*Wind_Night))^BJ$177-BJ$178+BJ92)))),0.1)</f>
        <v>0.1</v>
      </c>
      <c r="BK348" s="83"/>
      <c r="BL348" s="2112">
        <f>IF(AND(BL82&gt;0,BL277&gt;0),IF(BL278="Indoors",IF(BL299&lt;=BL277,0,BL$176*((IF(Enclosed_Ventilation_Rate&gt;1,Enclosed_Ventilation_Rate,1)*Enclosed_Process_Volume*BL82*BL299/88020000000)*1000000*(1/BL277-1/BL299)/(BL82*Wind_Night))^BL$177),IF(OR(BL277=0,BL277=1000000),0,MAX(0,IF(BL205="Instantaneous",BL$202*((BL67/BL82)*(1000000/BL277))^BL$203-BL$204+BL92,BL$176*(BL73*(1000000/BL277)/(BL82*Wind_Night))^BL$177-BL$178+BL92)))),0.1)</f>
        <v>0.1</v>
      </c>
      <c r="BM348" s="83"/>
      <c r="BN348" s="2112">
        <f>IF(AND(BN82&gt;0,BN277&gt;0),IF(BN278="Indoors",IF(BN299&lt;=BN277,0,BN$176*((IF(Enclosed_Ventilation_Rate&gt;1,Enclosed_Ventilation_Rate,1)*Enclosed_Process_Volume*BN82*BN299/88020000000)*1000000*(1/BN277-1/BN299)/(BN82*Wind_Night))^BN$177),IF(OR(BN277=0,BN277=1000000),0,MAX(0,IF(BN205="Instantaneous",BN$202*((BN67/BN82)*(1000000/BN277))^BN$203-BN$204+BN92,BN$176*(BN73*(1000000/BN277)/(BN82*Wind_Night))^BN$177-BN$178+BN92)))),0.1)</f>
        <v>0.1</v>
      </c>
      <c r="BO348" s="83"/>
      <c r="BP348" s="85" t="s">
        <v>1068</v>
      </c>
      <c r="BQ348" s="83"/>
      <c r="BR348" s="81"/>
      <c r="BS348" s="25" t="s">
        <v>1863</v>
      </c>
      <c r="BT348" s="81"/>
      <c r="BU348" s="98" t="str">
        <f>IF(OR(BU345&gt;Bldg_Type_Correction,BU347&gt;Bldg2_Type_Correction),"Yes","No")</f>
        <v>No</v>
      </c>
      <c r="BV348" s="81"/>
      <c r="BW348" s="98" t="str">
        <f>IF(OR(BW345&gt;Bldg_Type_Correction,BW347&gt;Bldg2_Type_Correction),"Yes","No")</f>
        <v>No</v>
      </c>
      <c r="BX348" s="81"/>
      <c r="BY348" s="98" t="str">
        <f>IF(OR(BY345&gt;Bldg_Type_Correction,BY347&gt;Bldg2_Type_Correction),"Yes","No")</f>
        <v>No</v>
      </c>
      <c r="BZ348" s="81"/>
      <c r="CA348" s="98" t="str">
        <f>IF(OR(CA345&gt;Bldg_Type_Correction,CA347&gt;Bldg2_Type_Correction),"Yes","No")</f>
        <v>No</v>
      </c>
      <c r="CB348" s="81"/>
      <c r="CC348" s="98" t="str">
        <f>IF(OR(CC345&gt;Bldg_Type_Correction,CC347&gt;Bldg2_Type_Correction),"Yes","No")</f>
        <v>No</v>
      </c>
      <c r="CD348" s="81"/>
      <c r="CE348" s="25"/>
      <c r="CF348" s="81"/>
      <c r="CG348" s="26"/>
      <c r="CH348" s="26"/>
      <c r="CI348" s="26"/>
      <c r="CJ348" s="26"/>
      <c r="CK348" s="26"/>
      <c r="CL348" s="26"/>
      <c r="CM348" s="26"/>
      <c r="CN348" s="26"/>
    </row>
    <row r="349" spans="1:92" ht="15" customHeight="1" thickBot="1" x14ac:dyDescent="0.3">
      <c r="A349" s="2"/>
      <c r="B349" s="23" t="s">
        <v>3712</v>
      </c>
      <c r="C349" s="83"/>
      <c r="D349" s="1861">
        <f>Outdoor_Fract*((D340+D341)*IF(Offsite_PD1="",Offsite_PD,1000000*Offsite_PD1)+(D342+D343)*IF(Offsite_PD2="",Offsite_PD,1000000*Offsite_PD2))/1000000+(1-Outdoor_Fract)*((D345+D346)*IF(Offsite_PD1="",Offsite_PD,1000000*Offsite_PD1)+(D347+D348)*IF(Offsite_PD2="",Offsite_PD,1000000*Offsite_PD2))/1000000</f>
        <v>9.0000000000000019E-6</v>
      </c>
      <c r="E349" s="83"/>
      <c r="F349" s="1861">
        <f>Outdoor_Fract*((F340+F341)*IF(Offsite_PD1="",Offsite_PD,1000000*Offsite_PD1)+(F342+F343)*IF(Offsite_PD2="",Offsite_PD,1000000*Offsite_PD2))/1000000+(1-Outdoor_Fract)*((F345+F346)*IF(Offsite_PD1="",Offsite_PD,1000000*Offsite_PD1)+(F347+F348)*IF(Offsite_PD2="",Offsite_PD,1000000*Offsite_PD2))/1000000</f>
        <v>9.0000000000000019E-6</v>
      </c>
      <c r="G349" s="83"/>
      <c r="H349" s="1861">
        <f>Outdoor_Fract*((H340+H341)*IF(Offsite_PD1="",Offsite_PD,1000000*Offsite_PD1)+(H342+H343)*IF(Offsite_PD2="",Offsite_PD,1000000*Offsite_PD2))/1000000+(1-Outdoor_Fract)*((H345+H346)*IF(Offsite_PD1="",Offsite_PD,1000000*Offsite_PD1)+(H347+H348)*IF(Offsite_PD2="",Offsite_PD,1000000*Offsite_PD2))/1000000</f>
        <v>9.0000000000000019E-6</v>
      </c>
      <c r="I349" s="83"/>
      <c r="J349" s="1861">
        <f>Outdoor_Fract*((J340+J341)*IF(Offsite_PD1="",Offsite_PD,1000000*Offsite_PD1)+(J342+J343)*IF(Offsite_PD2="",Offsite_PD,1000000*Offsite_PD2))/1000000+(1-Outdoor_Fract)*((J345+J346)*IF(Offsite_PD1="",Offsite_PD,1000000*Offsite_PD1)+(J347+J348)*IF(Offsite_PD2="",Offsite_PD,1000000*Offsite_PD2))/1000000</f>
        <v>9.0000000000000019E-6</v>
      </c>
      <c r="K349" s="83"/>
      <c r="L349" s="1861">
        <f>Outdoor_Fract*((L340+L341)*IF(Offsite_PD1="",Offsite_PD,1000000*Offsite_PD1)+(L342+L343)*IF(Offsite_PD2="",Offsite_PD,1000000*Offsite_PD2))/1000000+(1-Outdoor_Fract)*((L345+L346)*IF(Offsite_PD1="",Offsite_PD,1000000*Offsite_PD1)+(L347+L348)*IF(Offsite_PD2="",Offsite_PD,1000000*Offsite_PD2))/1000000</f>
        <v>9.0000000000000019E-6</v>
      </c>
      <c r="M349" s="83"/>
      <c r="N349" s="1861">
        <f>Outdoor_Fract*((N340+N341)*IF(Offsite_PD1="",Offsite_PD,1000000*Offsite_PD1)+(N342+N343)*IF(Offsite_PD2="",Offsite_PD,1000000*Offsite_PD2))/1000000+(1-Outdoor_Fract)*((N345+N346)*IF(Offsite_PD1="",Offsite_PD,1000000*Offsite_PD1)+(N347+N348)*IF(Offsite_PD2="",Offsite_PD,1000000*Offsite_PD2))/1000000</f>
        <v>9.0000000000000019E-6</v>
      </c>
      <c r="O349" s="83"/>
      <c r="P349" s="1861">
        <f>Outdoor_Fract*((P340+P341)*IF(Offsite_PD1="",Offsite_PD,1000000*Offsite_PD1)+(P342+P343)*IF(Offsite_PD2="",Offsite_PD,1000000*Offsite_PD2))/1000000+(1-Outdoor_Fract)*((P345+P346)*IF(Offsite_PD1="",Offsite_PD,1000000*Offsite_PD1)+(P347+P348)*IF(Offsite_PD2="",Offsite_PD,1000000*Offsite_PD2))/1000000</f>
        <v>9.0000000000000019E-6</v>
      </c>
      <c r="Q349" s="83"/>
      <c r="R349" s="1861">
        <f>Outdoor_Fract*((R340+R341)*IF(Offsite_PD1="",Offsite_PD,1000000*Offsite_PD1)+(R342+R343)*IF(Offsite_PD2="",Offsite_PD,1000000*Offsite_PD2))/1000000+(1-Outdoor_Fract)*((R345+R346)*IF(Offsite_PD1="",Offsite_PD,1000000*Offsite_PD1)+(R347+R348)*IF(Offsite_PD2="",Offsite_PD,1000000*Offsite_PD2))/1000000</f>
        <v>9.0000000000000019E-6</v>
      </c>
      <c r="S349" s="83"/>
      <c r="T349" s="1861">
        <f>Outdoor_Fract*((T340+T341)*IF(Offsite_PD1="",Offsite_PD,1000000*Offsite_PD1)+(T342+T343)*IF(Offsite_PD2="",Offsite_PD,1000000*Offsite_PD2))/1000000+(1-Outdoor_Fract)*((T345+T346)*IF(Offsite_PD1="",Offsite_PD,1000000*Offsite_PD1)+(T347+T348)*IF(Offsite_PD2="",Offsite_PD,1000000*Offsite_PD2))/1000000</f>
        <v>9.0000000000000019E-6</v>
      </c>
      <c r="U349" s="83"/>
      <c r="V349" s="1861">
        <f>Outdoor_Fract*((V340+V341)*IF(Offsite_PD1="",Offsite_PD,1000000*Offsite_PD1)+(V342+V343)*IF(Offsite_PD2="",Offsite_PD,1000000*Offsite_PD2))/1000000+(1-Outdoor_Fract)*((V345+V346)*IF(Offsite_PD1="",Offsite_PD,1000000*Offsite_PD1)+(V347+V348)*IF(Offsite_PD2="",Offsite_PD,1000000*Offsite_PD2))/1000000</f>
        <v>9.0000000000000019E-6</v>
      </c>
      <c r="W349" s="83"/>
      <c r="X349" s="1861">
        <f>Outdoor_Fract*((X340+X341)*IF(Offsite_PD1="",Offsite_PD,1000000*Offsite_PD1)+(X342+X343)*IF(Offsite_PD2="",Offsite_PD,1000000*Offsite_PD2))/1000000+(1-Outdoor_Fract)*((X345+X346)*IF(Offsite_PD1="",Offsite_PD,1000000*Offsite_PD1)+(X347+X348)*IF(Offsite_PD2="",Offsite_PD,1000000*Offsite_PD2))/1000000</f>
        <v>9.0000000000000019E-6</v>
      </c>
      <c r="Y349" s="83"/>
      <c r="Z349" s="23"/>
      <c r="AA349" s="83"/>
      <c r="AB349" s="81"/>
      <c r="AC349" s="849" t="s">
        <v>1863</v>
      </c>
      <c r="AD349" s="81"/>
      <c r="AE349" s="1184" t="str">
        <f>IF(OR(AE344&gt;Bldg_Type_Correction,AE348&gt;Bldg2_Type_Correction),"Yes","No")</f>
        <v>No</v>
      </c>
      <c r="AF349" s="81"/>
      <c r="AG349" s="1184" t="str">
        <f>IF(OR(AG344&gt;Bldg_Type_Correction,AG348&gt;Bldg2_Type_Correction),"Yes","No")</f>
        <v>No</v>
      </c>
      <c r="AH349" s="81"/>
      <c r="AI349" s="1184" t="str">
        <f>IF(OR(AI344&gt;Bldg_Type_Correction,AI348&gt;Bldg2_Type_Correction),"Yes","No")</f>
        <v>No</v>
      </c>
      <c r="AJ349" s="81"/>
      <c r="AK349" s="1184" t="str">
        <f>IF(OR(AK344&gt;Bldg_Type_Correction,AK348&gt;Bldg2_Type_Correction),"Yes","No")</f>
        <v>No</v>
      </c>
      <c r="AL349" s="81"/>
      <c r="AM349" s="1184" t="str">
        <f>IF(OR(AM344&gt;Bldg_Type_Correction,AM348&gt;Bldg2_Type_Correction),"Yes","No")</f>
        <v>No</v>
      </c>
      <c r="AN349" s="81"/>
      <c r="AO349" s="1184" t="str">
        <f>IF(OR(AO344&gt;Bldg_Type_Correction,AO348&gt;Bldg2_Type_Correction),"Yes","No")</f>
        <v>No</v>
      </c>
      <c r="AP349" s="81"/>
      <c r="AQ349" s="104"/>
      <c r="AR349" s="81"/>
      <c r="AS349" s="83"/>
      <c r="AT349" s="23" t="s">
        <v>3630</v>
      </c>
      <c r="AU349" s="83"/>
      <c r="AV349" s="1206" t="e">
        <f>IF(AV205="Instantaneous",Dispersion_R,Dispersion_M)*(MAX(AV348,Public,(AV93-MIN(AV93,WorkArea_Elevation))*Dispersion_N^0.5)^2-MAX((AV93-MIN(AV93,WorkArea_Elevation))*Dispersion_N^0.5,Public)^2)</f>
        <v>#DIV/0!</v>
      </c>
      <c r="AW349" s="83"/>
      <c r="AX349" s="1206" t="e">
        <f>IF(AX205="Instantaneous",Dispersion_R,Dispersion_M)*(MAX(AX348,Public,(AX93-MIN(AX93,WorkArea_Elevation))*Dispersion_N^0.5)^2-MAX((AX93-MIN(AX93,WorkArea_Elevation))*Dispersion_N^0.5,Public)^2)</f>
        <v>#DIV/0!</v>
      </c>
      <c r="AY349" s="83"/>
      <c r="AZ349" s="1206" t="e">
        <f>IF(AZ205="Instantaneous",Dispersion_R,Dispersion_M)*(MAX(AZ348,Public,(AZ93-MIN(AZ93,WorkArea_Elevation))*Dispersion_N^0.5)^2-MAX((AZ93-MIN(AZ93,WorkArea_Elevation))*Dispersion_N^0.5,Public)^2)</f>
        <v>#DIV/0!</v>
      </c>
      <c r="BA349" s="83"/>
      <c r="BB349" s="1206" t="e">
        <f>IF(BB205="Instantaneous",Dispersion_R,Dispersion_M)*(MAX(BB348,Public,(BB93-MIN(BB93,WorkArea_Elevation))*Dispersion_N^0.5)^2-MAX((BB93-MIN(BB93,WorkArea_Elevation))*Dispersion_N^0.5,Public)^2)</f>
        <v>#DIV/0!</v>
      </c>
      <c r="BC349" s="83"/>
      <c r="BD349" s="1206" t="e">
        <f>IF(BD205="Instantaneous",Dispersion_R,Dispersion_M)*(MAX(BD348,Public,(BD93-MIN(BD93,WorkArea_Elevation))*Dispersion_N^0.5)^2-MAX((BD93-MIN(BD93,WorkArea_Elevation))*Dispersion_N^0.5,Public)^2)</f>
        <v>#DIV/0!</v>
      </c>
      <c r="BE349" s="83"/>
      <c r="BF349" s="1206" t="e">
        <f>IF(BF205="Instantaneous",Dispersion_R,Dispersion_M)*(MAX(BF348,Public,(BF93-MIN(BF93,WorkArea_Elevation))*Dispersion_N^0.5)^2-MAX((BF93-MIN(BF93,WorkArea_Elevation))*Dispersion_N^0.5,Public)^2)</f>
        <v>#DIV/0!</v>
      </c>
      <c r="BG349" s="83"/>
      <c r="BH349" s="1206" t="e">
        <f>IF(BH205="Instantaneous",Dispersion_R,Dispersion_M)*(MAX(BH348,Public,(BH93-MIN(BH93,WorkArea_Elevation))*Dispersion_N^0.5)^2-MAX((BH93-MIN(BH93,WorkArea_Elevation))*Dispersion_N^0.5,Public)^2)</f>
        <v>#DIV/0!</v>
      </c>
      <c r="BI349" s="83"/>
      <c r="BJ349" s="1206" t="e">
        <f>IF(BJ205="Instantaneous",Dispersion_R,Dispersion_M)*(MAX(BJ348,Public,(BJ93-MIN(BJ93,WorkArea_Elevation))*Dispersion_N^0.5)^2-MAX((BJ93-MIN(BJ93,WorkArea_Elevation))*Dispersion_N^0.5,Public)^2)</f>
        <v>#DIV/0!</v>
      </c>
      <c r="BK349" s="83"/>
      <c r="BL349" s="1206" t="e">
        <f>IF(BL205="Instantaneous",Dispersion_R,Dispersion_M)*(MAX(BL348,Public,(BL93-MIN(BL93,WorkArea_Elevation))*Dispersion_N^0.5)^2-MAX((BL93-MIN(BL93,WorkArea_Elevation))*Dispersion_N^0.5,Public)^2)</f>
        <v>#DIV/0!</v>
      </c>
      <c r="BM349" s="83"/>
      <c r="BN349" s="1206" t="e">
        <f>IF(BN205="Instantaneous",Dispersion_R,Dispersion_M)*(MAX(BN348,Public,(BN93-MIN(BN93,WorkArea_Elevation))*Dispersion_N^0.5)^2-MAX((BN93-MIN(BN93,WorkArea_Elevation))*Dispersion_N^0.5,Public)^2)</f>
        <v>#DIV/0!</v>
      </c>
      <c r="BO349" s="83"/>
      <c r="BP349" s="85" t="s">
        <v>3804</v>
      </c>
      <c r="BQ349" s="83"/>
      <c r="BR349" s="81"/>
      <c r="BS349" s="84" t="s">
        <v>4806</v>
      </c>
      <c r="BT349" s="81"/>
      <c r="BU349" s="102"/>
      <c r="BV349" s="81"/>
      <c r="BW349" s="105">
        <f>IF(ABS(DHR)&lt;1,0,IF(OR(AND(Reaction_Index&gt;20,DHR&lt;-300,State="Vapor"),AND(State="Vapor",CP_Detonable="Yes")),IF(CP_Detonable="Yes",IF(Inventory&lt;ContainedMass,Inventory*112,ContainedMass*112),IF(Inventory&lt;ContainedMass,-DHR*0.5*Inventory,-DHR*0.5*ContainedMass)),0))</f>
        <v>0</v>
      </c>
      <c r="BX349" s="81"/>
      <c r="BY349" s="105">
        <f>IF(ABS(DHR)&lt;1,0,IF(OR(AND(OR(Reaction_Index&gt;20,Reaction_Index_Fire&gt;20,Reaction_Index_Cat&gt;20,Reaction_Index_Pooling&gt;20,Reaction_Index_MisLoading&gt;20),DHR&lt;-300),CP_Detonable="Yes"),IF(CP_Detonable="Yes",IF(Inventory&lt;ContainedMass,Inventory*112,ContainedMass*112),IF(Inventory&lt;ContainedMass,-DHR*0.5*Inventory,-DHR*0.5*ContainedMass)),0))</f>
        <v>0</v>
      </c>
      <c r="BZ349" s="81"/>
      <c r="CA349" s="105"/>
      <c r="CB349" s="81"/>
      <c r="CC349" s="105">
        <f>IF(OR(CP_Detonable="Yes",Reaction_Index_Fire&gt;20),IF(CP_Detonable="Yes",IF(Inventory&lt;ContainedMass,Inventory*112,ContainedMass*112),IF(Inventory&lt;ContainedMass,-DHR*0.5*Inventory,-DHR*0.5*ContainedMass)),0)</f>
        <v>0</v>
      </c>
      <c r="CD349" s="81"/>
      <c r="CE349" s="85" t="s">
        <v>1761</v>
      </c>
      <c r="CF349" s="81"/>
      <c r="CG349" s="26"/>
      <c r="CH349" s="26"/>
      <c r="CI349" s="26"/>
      <c r="CJ349" s="26"/>
      <c r="CK349" s="26"/>
      <c r="CL349" s="26"/>
      <c r="CM349" s="26"/>
      <c r="CN349" s="26"/>
    </row>
    <row r="350" spans="1:92" ht="15" customHeight="1" thickBot="1" x14ac:dyDescent="0.3">
      <c r="A350" s="2"/>
      <c r="B350" s="23" t="s">
        <v>3627</v>
      </c>
      <c r="C350" s="83"/>
      <c r="D350" s="2112">
        <f>IF(AND(D98&gt;0,D280&gt;0),IF(Location="Indoors",IF(D301&lt;=D280,0.1,D$179*((IF(Enclosed_Ventilation_Rate&gt;1,Enclosed_Ventilation_Rate,1)*Enclosed_Process_Volume*D98*D301/88020000000)*1000000*(1/D280-1/D301)/(D98*Wind_Night))^D$180),IF(OR(D280=0,D280&gt;=1000000*D$99),0,IF(D208="Instantaneous",D$205*((D83/D98)*(1000000/D280))^D$206-D$207,D$179*(D89*(1000000/D280)/(D98*Wind_Night))^D$180-D$181))),0.1)</f>
        <v>0.1</v>
      </c>
      <c r="E350" s="83"/>
      <c r="F350" s="2112">
        <f>IF(AND(F98&gt;0,F280&gt;0),IF(Location="Indoors",IF(F301&lt;=F280,0.1,F$179*((IF(Enclosed_Ventilation_Rate&gt;1,Enclosed_Ventilation_Rate,1)*Enclosed_Process_Volume*F98*F301/88020000000)*1000000*(1/F280-1/F301)/(F98*Wind_Night))^F$180),IF(OR(F280=0,F280&gt;=1000000*F$99),0,IF(F208="Instantaneous",F$205*((F83/F98)*(1000000/F280))^F$206-F$207,F$179*(F89*(1000000/F280)/(F98*Wind_Night))^F$180-F$181))),0.1)</f>
        <v>0.1</v>
      </c>
      <c r="G350" s="83"/>
      <c r="H350" s="2112">
        <f>IF(AND(H98&gt;0,H280&gt;0),IF(Location="Indoors",IF(H301&lt;=H280,0.1,H$179*((IF(Enclosed_Ventilation_Rate&gt;1,Enclosed_Ventilation_Rate,1)*Enclosed_Process_Volume*H98*H301/88020000000)*1000000*(1/H280-1/H301)/(H98*Wind_Night))^H$180),IF(OR(H280=0,H280&gt;=1000000*H$99),0,IF(H208="Instantaneous",H$205*((H83/H98)*(1000000/H280))^H$206-H$207,H$179*(H89*(1000000/H280)/(H98*Wind_Night))^H$180-H$181))),0.1)</f>
        <v>0.1</v>
      </c>
      <c r="I350" s="83"/>
      <c r="J350" s="2112">
        <f>IF(AND(J98&gt;0,J280&gt;0),IF(Location="Indoors",IF(J301&lt;=J280,0.1,J$179*((IF(Enclosed_Ventilation_Rate&gt;1,Enclosed_Ventilation_Rate,1)*Enclosed_Process_Volume*J98*J301/88020000000)*1000000*(1/J280-1/J301)/(J98*Wind_Night))^J$180),IF(OR(J280=0,J280&gt;=1000000*J$99),0,IF(J208="Instantaneous",J$205*((J83/J98)*(1000000/J280))^J$206-J$207,J$179*(J89*(1000000/J280)/(J98*Wind_Night))^J$180-J$181))),0.1)</f>
        <v>0.1</v>
      </c>
      <c r="K350" s="83"/>
      <c r="L350" s="2112">
        <f>IF(AND(L98&gt;0,L280&gt;0),IF(Location="Indoors",IF(L301&lt;=L280,0.1,L$179*((IF(Enclosed_Ventilation_Rate&gt;1,Enclosed_Ventilation_Rate,1)*Enclosed_Process_Volume*L98*L301/88020000000)*1000000*(1/L280-1/L301)/(L98*Wind_Night))^L$180),IF(OR(L280=0,L280&gt;=1000000*L$99),0,IF(L208="Instantaneous",L$205*((L83/L98)*(1000000/L280))^L$206-L$207,L$179*(L89*(1000000/L280)/(L98*Wind_Night))^L$180-L$181))),0.1)</f>
        <v>0.1</v>
      </c>
      <c r="M350" s="83"/>
      <c r="N350" s="2112">
        <f>IF(AND(N98&gt;0,N280&gt;0),IF(Location="Indoors",IF(N301&lt;=N280,0.1,N$179*((IF(Enclosed_Ventilation_Rate&gt;1,Enclosed_Ventilation_Rate,1)*Enclosed_Process_Volume*N98*N301/88020000000)*1000000*(1/N280-1/N301)/(N98*Wind_Night))^N$180),IF(OR(N280=0,N280&gt;=1000000*N$99),0,IF(N208="Instantaneous",N$205*((N83/N98)*(1000000/N280))^N$206-N$207,N$179*(N89*(1000000/N280)/(N98*Wind_Night))^N$180-N$181))),0.1)</f>
        <v>0.1</v>
      </c>
      <c r="O350" s="83"/>
      <c r="P350" s="2112">
        <f>IF(AND(P98&gt;0,P280&gt;0),IF(Location="Indoors",IF(P301&lt;=P280,0.1,P$179*((IF(Enclosed_Ventilation_Rate&gt;1,Enclosed_Ventilation_Rate,1)*Enclosed_Process_Volume*P98*P301/88020000000)*1000000*(1/P280-1/P301)/(P98*Wind_Night))^P$180),IF(OR(P280=0,P280&gt;=1000000*P$99),0,IF(P208="Instantaneous",P$205*((P83/P98)*(1000000/P280))^P$206-P$207,P$179*(P89*(1000000/P280)/(P98*Wind_Night))^P$180-P$181))),0.1)</f>
        <v>0.1</v>
      </c>
      <c r="Q350" s="83"/>
      <c r="R350" s="2112">
        <f>IF(AND(R98&gt;0,R280&gt;0),IF(Location="Indoors",IF(R301&lt;=R280,0.1,R$179*((IF(Enclosed_Ventilation_Rate&gt;1,Enclosed_Ventilation_Rate,1)*Enclosed_Process_Volume*R98*R301/88020000000)*1000000*(1/R280-1/R301)/(R98*Wind_Night))^R$180),IF(OR(R280=0,R280&gt;=1000000*R$99),0,IF(R208="Instantaneous",R$205*((R83/R98)*(1000000/R280))^R$206-R$207,R$179*(R89*(1000000/R280)/(R98*Wind_Night))^R$180-R$181))),0.1)</f>
        <v>0.1</v>
      </c>
      <c r="S350" s="83"/>
      <c r="T350" s="2112">
        <f>IF(AND(T98&gt;0,T280&gt;0),IF(Location="Indoors",IF(T301&lt;=T280,0.1,T$179*((IF(Enclosed_Ventilation_Rate&gt;1,Enclosed_Ventilation_Rate,1)*Enclosed_Process_Volume*T98*T301/88020000000)*1000000*(1/T280-1/T301)/(T98*Wind_Night))^T$180),IF(OR(T280=0,T280&gt;=1000000*T$99),0,IF(T208="Instantaneous",T$205*((T83/T98)*(1000000/T280))^T$206-T$207,T$179*(T89*(1000000/T280)/(T98*Wind_Night))^T$180-T$181))),0.1)</f>
        <v>0.1</v>
      </c>
      <c r="U350" s="83"/>
      <c r="V350" s="2112">
        <f>IF(AND(V98&gt;0,V280&gt;0),IF(Location="Indoors",IF(V301&lt;=V280,0.1,V$179*((IF(Enclosed_Ventilation_Rate&gt;1,Enclosed_Ventilation_Rate,1)*Enclosed_Process_Volume*V98*V301/88020000000)*1000000*(1/V280-1/V301)/(V98*Wind_Night))^V$180),IF(OR(V280=0,V280&gt;=1000000*V$99),0,IF(V208="Instantaneous",V$205*((V83/V98)*(1000000/V280))^V$206-V$207,V$179*(V89*(1000000/V280)/(V98*Wind_Night))^V$180-V$181))),0.1)</f>
        <v>0.1</v>
      </c>
      <c r="W350" s="83"/>
      <c r="X350" s="2112">
        <f>IF(AND(X98&gt;0,X280&gt;0),IF(Location="Indoors",IF(X301&lt;=X280,0.1,X$179*((IF(Enclosed_Ventilation_Rate&gt;1,Enclosed_Ventilation_Rate,1)*Enclosed_Process_Volume*X98*X301/88020000000)*1000000*(1/X280-1/X301)/(X98*Wind_Night))^X$180),IF(OR(X280=0,X280&gt;=1000000*X$99),0,IF(X208="Instantaneous",X$205*((X83/X98)*(1000000/X280))^X$206-X$207,X$179*(X89*(1000000/X280)/(X98*Wind_Night))^X$180-X$181))),0.1)</f>
        <v>0.1</v>
      </c>
      <c r="Y350" s="83"/>
      <c r="Z350" s="85" t="s">
        <v>1068</v>
      </c>
      <c r="AA350" s="83"/>
      <c r="AB350" s="81"/>
      <c r="AC350" s="81"/>
      <c r="AD350" s="81"/>
      <c r="AE350" s="81"/>
      <c r="AF350" s="81"/>
      <c r="AG350" s="81"/>
      <c r="AH350" s="81"/>
      <c r="AI350" s="81"/>
      <c r="AJ350" s="81"/>
      <c r="AK350" s="81"/>
      <c r="AL350" s="81"/>
      <c r="AM350" s="81"/>
      <c r="AN350" s="81"/>
      <c r="AO350" s="81"/>
      <c r="AP350" s="81"/>
      <c r="AQ350" s="81"/>
      <c r="AR350" s="81"/>
      <c r="AS350" s="83"/>
      <c r="AT350" s="23" t="s">
        <v>3631</v>
      </c>
      <c r="AU350" s="83"/>
      <c r="AV350" s="1206">
        <f>IF(OR(AV$276=0,AV$270=""),0,IF(AV348&gt;Zone_1,IF(AV205="Instantaneous",Dispersion_R,Dispersion_M)*(MAX(Public,(AV93-MIN(AV93,WorkArea_Elevation))*Dispersion_N^0.5,Zone_1)^2-MAX(Public,(AV93-MIN(AV93,WorkArea_Elevation))*Dispersion_N^0.5,AV348)^2),IF(AV205="Instantaneous",Dispersion_R,Dispersion_M)*AV$270^(2*IF(AV205="Instantaneous",AV$203,AV$177))*AV$287^2*(EXP(AV$275+AV$276*MAX(Public,(AV93-MIN(AV93,WorkArea_Elevation))*Dispersion_N^0.5,Zone_1)^2/(AV$270^(2*IF(AV205="Instantaneous",AV$203,AV$177))*AV$287^2))-EXP(AV$275+AV$276*MAX(Public,(AV93-MIN(AV93,WorkArea_Elevation))*Dispersion_N^0.5,AV348)^2/(AV$270^(2*IF(AV205="Instantaneous",AV$203,AV$177))*AV$287^2)))/AV$276))</f>
        <v>0</v>
      </c>
      <c r="AW350" s="83"/>
      <c r="AX350" s="1206">
        <f>IF(OR(AX$276=0,AX$270=""),0,IF(AX348&gt;Zone_1,IF(AX205="Instantaneous",Dispersion_R,Dispersion_M)*(MAX(Public,(AX93-MIN(AX93,WorkArea_Elevation))*Dispersion_N^0.5,Zone_1)^2-MAX(Public,(AX93-MIN(AX93,WorkArea_Elevation))*Dispersion_N^0.5,AX348)^2),IF(AX205="Instantaneous",Dispersion_R,Dispersion_M)*AX$270^(2*IF(AX205="Instantaneous",AX$203,AX$177))*AX$287^2*(EXP(AX$275+AX$276*MAX(Public,(AX93-MIN(AX93,WorkArea_Elevation))*Dispersion_N^0.5,Zone_1)^2/(AX$270^(2*IF(AX205="Instantaneous",AX$203,AX$177))*AX$287^2))-EXP(AX$275+AX$276*MAX(Public,(AX93-MIN(AX93,WorkArea_Elevation))*Dispersion_N^0.5,AX348)^2/(AX$270^(2*IF(AX205="Instantaneous",AX$203,AX$177))*AX$287^2)))/AX$276))</f>
        <v>0</v>
      </c>
      <c r="AY350" s="83"/>
      <c r="AZ350" s="1206">
        <f>IF(OR(AZ$276=0,AZ$270=""),0,IF(AZ348&gt;Zone_1,IF(AZ205="Instantaneous",Dispersion_R,Dispersion_M)*(MAX(Public,(AZ93-MIN(AZ93,WorkArea_Elevation))*Dispersion_N^0.5,Zone_1)^2-MAX(Public,(AZ93-MIN(AZ93,WorkArea_Elevation))*Dispersion_N^0.5,AZ348)^2),IF(AZ205="Instantaneous",Dispersion_R,Dispersion_M)*AZ$270^(2*IF(AZ205="Instantaneous",AZ$203,AZ$177))*AZ$287^2*(EXP(AZ$275+AZ$276*MAX(Public,(AZ93-MIN(AZ93,WorkArea_Elevation))*Dispersion_N^0.5,Zone_1)^2/(AZ$270^(2*IF(AZ205="Instantaneous",AZ$203,AZ$177))*AZ$287^2))-EXP(AZ$275+AZ$276*MAX(Public,(AZ93-MIN(AZ93,WorkArea_Elevation))*Dispersion_N^0.5,AZ348)^2/(AZ$270^(2*IF(AZ205="Instantaneous",AZ$203,AZ$177))*AZ$287^2)))/AZ$276))</f>
        <v>0</v>
      </c>
      <c r="BA350" s="83"/>
      <c r="BB350" s="1206">
        <f>IF(OR(BB$276=0,BB$270=""),0,IF(BB348&gt;Zone_1,IF(BB205="Instantaneous",Dispersion_R,Dispersion_M)*(MAX(Public,(BB93-MIN(BB93,WorkArea_Elevation))*Dispersion_N^0.5,Zone_1)^2-MAX(Public,(BB93-MIN(BB93,WorkArea_Elevation))*Dispersion_N^0.5,BB348)^2),IF(BB205="Instantaneous",Dispersion_R,Dispersion_M)*BB$270^(2*IF(BB205="Instantaneous",BB$203,BB$177))*BB$287^2*(EXP(BB$275+BB$276*MAX(Public,(BB93-MIN(BB93,WorkArea_Elevation))*Dispersion_N^0.5,Zone_1)^2/(BB$270^(2*IF(BB205="Instantaneous",BB$203,BB$177))*BB$287^2))-EXP(BB$275+BB$276*MAX(Public,(BB93-MIN(BB93,WorkArea_Elevation))*Dispersion_N^0.5,BB348)^2/(BB$270^(2*IF(BB205="Instantaneous",BB$203,BB$177))*BB$287^2)))/BB$276))</f>
        <v>0</v>
      </c>
      <c r="BC350" s="83"/>
      <c r="BD350" s="1206">
        <f>IF(OR(BD$276=0,BD$270=""),0,IF(BD348&gt;Zone_1,IF(BD205="Instantaneous",Dispersion_R,Dispersion_M)*(MAX(Public,(BD93-MIN(BD93,WorkArea_Elevation))*Dispersion_N^0.5,Zone_1)^2-MAX(Public,(BD93-MIN(BD93,WorkArea_Elevation))*Dispersion_N^0.5,BD348)^2),IF(BD205="Instantaneous",Dispersion_R,Dispersion_M)*BD$270^(2*IF(BD205="Instantaneous",BD$203,BD$177))*BD$287^2*(EXP(BD$275+BD$276*MAX(Public,(BD93-MIN(BD93,WorkArea_Elevation))*Dispersion_N^0.5,Zone_1)^2/(BD$270^(2*IF(BD205="Instantaneous",BD$203,BD$177))*BD$287^2))-EXP(BD$275+BD$276*MAX(Public,(BD93-MIN(BD93,WorkArea_Elevation))*Dispersion_N^0.5,BD348)^2/(BD$270^(2*IF(BD205="Instantaneous",BD$203,BD$177))*BD$287^2)))/BD$276))</f>
        <v>0</v>
      </c>
      <c r="BE350" s="83"/>
      <c r="BF350" s="1206">
        <f>IF(OR(BF$276=0,BF$270=""),0,IF(BF348&gt;Zone_1,IF(BF205="Instantaneous",Dispersion_R,Dispersion_M)*(MAX(Public,(BF93-MIN(BF93,WorkArea_Elevation))*Dispersion_N^0.5,Zone_1)^2-MAX(Public,(BF93-MIN(BF93,WorkArea_Elevation))*Dispersion_N^0.5,BF348)^2),IF(BF205="Instantaneous",Dispersion_R,Dispersion_M)*BF$270^(2*IF(BF205="Instantaneous",BF$203,BF$177))*BF$287^2*(EXP(BF$275+BF$276*MAX(Public,(BF93-MIN(BF93,WorkArea_Elevation))*Dispersion_N^0.5,Zone_1)^2/(BF$270^(2*IF(BF205="Instantaneous",BF$203,BF$177))*BF$287^2))-EXP(BF$275+BF$276*MAX(Public,(BF93-MIN(BF93,WorkArea_Elevation))*Dispersion_N^0.5,BF348)^2/(BF$270^(2*IF(BF205="Instantaneous",BF$203,BF$177))*BF$287^2)))/BF$276))</f>
        <v>0</v>
      </c>
      <c r="BG350" s="83"/>
      <c r="BH350" s="1206">
        <f>IF(OR(BH$276=0,BH$270=""),0,IF(BH348&gt;Zone_1,IF(BH205="Instantaneous",Dispersion_R,Dispersion_M)*(MAX(Public,(BH93-MIN(BH93,WorkArea_Elevation))*Dispersion_N^0.5,Zone_1)^2-MAX(Public,(BH93-MIN(BH93,WorkArea_Elevation))*Dispersion_N^0.5,BH348)^2),IF(BH205="Instantaneous",Dispersion_R,Dispersion_M)*BH$270^(2*IF(BH205="Instantaneous",BH$203,BH$177))*BH$287^2*(EXP(BH$275+BH$276*MAX(Public,(BH93-MIN(BH93,WorkArea_Elevation))*Dispersion_N^0.5,Zone_1)^2/(BH$270^(2*IF(BH205="Instantaneous",BH$203,BH$177))*BH$287^2))-EXP(BH$275+BH$276*MAX(Public,(BH93-MIN(BH93,WorkArea_Elevation))*Dispersion_N^0.5,BH348)^2/(BH$270^(2*IF(BH205="Instantaneous",BH$203,BH$177))*BH$287^2)))/BH$276))</f>
        <v>0</v>
      </c>
      <c r="BI350" s="83"/>
      <c r="BJ350" s="1206">
        <f>IF(OR(BJ$276=0,BJ$270=""),0,IF(BJ348&gt;Zone_1,IF(BJ205="Instantaneous",Dispersion_R,Dispersion_M)*(MAX(Public,(BJ93-MIN(BJ93,WorkArea_Elevation))*Dispersion_N^0.5,Zone_1)^2-MAX(Public,(BJ93-MIN(BJ93,WorkArea_Elevation))*Dispersion_N^0.5,BJ348)^2),IF(BJ205="Instantaneous",Dispersion_R,Dispersion_M)*BJ$270^(2*IF(BJ205="Instantaneous",BJ$203,BJ$177))*BJ$287^2*(EXP(BJ$275+BJ$276*MAX(Public,(BJ93-MIN(BJ93,WorkArea_Elevation))*Dispersion_N^0.5,Zone_1)^2/(BJ$270^(2*IF(BJ205="Instantaneous",BJ$203,BJ$177))*BJ$287^2))-EXP(BJ$275+BJ$276*MAX(Public,(BJ93-MIN(BJ93,WorkArea_Elevation))*Dispersion_N^0.5,BJ348)^2/(BJ$270^(2*IF(BJ205="Instantaneous",BJ$203,BJ$177))*BJ$287^2)))/BJ$276))</f>
        <v>0</v>
      </c>
      <c r="BK350" s="83"/>
      <c r="BL350" s="1206">
        <f>IF(OR(BL$276=0,BL$270=""),0,IF(BL348&gt;Zone_1,IF(BL205="Instantaneous",Dispersion_R,Dispersion_M)*(MAX(Public,(BL93-MIN(BL93,WorkArea_Elevation))*Dispersion_N^0.5,Zone_1)^2-MAX(Public,(BL93-MIN(BL93,WorkArea_Elevation))*Dispersion_N^0.5,BL348)^2),IF(BL205="Instantaneous",Dispersion_R,Dispersion_M)*BL$270^(2*IF(BL205="Instantaneous",BL$203,BL$177))*BL$287^2*(EXP(BL$275+BL$276*MAX(Public,(BL93-MIN(BL93,WorkArea_Elevation))*Dispersion_N^0.5,Zone_1)^2/(BL$270^(2*IF(BL205="Instantaneous",BL$203,BL$177))*BL$287^2))-EXP(BL$275+BL$276*MAX(Public,(BL93-MIN(BL93,WorkArea_Elevation))*Dispersion_N^0.5,BL348)^2/(BL$270^(2*IF(BL205="Instantaneous",BL$203,BL$177))*BL$287^2)))/BL$276))</f>
        <v>0</v>
      </c>
      <c r="BM350" s="83"/>
      <c r="BN350" s="1206">
        <f>IF(OR(BN$276=0,BN$270=""),0,IF(BN348&gt;Zone_1,IF(BN205="Instantaneous",Dispersion_R,Dispersion_M)*(MAX(Public,(BN93-MIN(BN93,WorkArea_Elevation))*Dispersion_N^0.5,Zone_1)^2-MAX(Public,(BN93-MIN(BN93,WorkArea_Elevation))*Dispersion_N^0.5,BN348)^2),IF(BN205="Instantaneous",Dispersion_R,Dispersion_M)*BN$270^(2*IF(BN205="Instantaneous",BN$203,BN$177))*BN$287^2*(EXP(BN$275+BN$276*MAX(Public,(BN93-MIN(BN93,WorkArea_Elevation))*Dispersion_N^0.5,Zone_1)^2/(BN$270^(2*IF(BN205="Instantaneous",BN$203,BN$177))*BN$287^2))-EXP(BN$275+BN$276*MAX(Public,(BN93-MIN(BN93,WorkArea_Elevation))*Dispersion_N^0.5,BN348)^2/(BN$270^(2*IF(BN205="Instantaneous",BN$203,BN$177))*BN$287^2)))/BN$276))</f>
        <v>0</v>
      </c>
      <c r="BO350" s="83"/>
      <c r="BP350" s="85" t="s">
        <v>3804</v>
      </c>
      <c r="BQ350" s="83"/>
      <c r="BR350" s="81"/>
      <c r="BS350" s="23" t="s">
        <v>1451</v>
      </c>
      <c r="BT350" s="81"/>
      <c r="BU350" s="1183"/>
      <c r="BV350" s="81"/>
      <c r="BW350" s="1206">
        <f>(Reaction_Energy2/1120)^0.33*EXP((TNT_A/(LN(0.3/14.7)+TNT_B)-TNT_C))</f>
        <v>0</v>
      </c>
      <c r="BX350" s="81"/>
      <c r="BY350" s="1206">
        <f>(Reaction_Energy/1120)^0.33*EXP((TNT_A/(LN(0.3/14.7)+TNT_B)-TNT_C))</f>
        <v>0</v>
      </c>
      <c r="BZ350" s="81"/>
      <c r="CA350" s="1206"/>
      <c r="CB350" s="81"/>
      <c r="CC350" s="1206">
        <f>(Reaction_Energy3/1120)^0.33*EXP((TNT_A/(LN(0.3/14.7)+TNT_B)-TNT_C))</f>
        <v>0</v>
      </c>
      <c r="CD350" s="81"/>
      <c r="CE350" s="85" t="s">
        <v>1068</v>
      </c>
      <c r="CF350" s="81"/>
      <c r="CG350" s="26"/>
      <c r="CH350" s="26"/>
      <c r="CI350" s="26"/>
      <c r="CJ350" s="26"/>
      <c r="CK350" s="26"/>
      <c r="CL350" s="26"/>
      <c r="CM350" s="26"/>
      <c r="CN350" s="26"/>
    </row>
    <row r="351" spans="1:92" ht="15" customHeight="1" x14ac:dyDescent="0.25">
      <c r="A351" s="2"/>
      <c r="B351" s="23" t="s">
        <v>3630</v>
      </c>
      <c r="C351" s="83"/>
      <c r="D351" s="1206">
        <f>IF(D208="Instantaneous",Dispersion_R,Dispersion_M)*(MAX(D350,Public)^2-Public^2)+(MAX(D350,Public)-Public)*IF(D208="Instantaneous",DC_Duration_Initial*(D83/D98)^(1/3),2*(D$55/3.142)^0.5)</f>
        <v>3.0000000000000005E-3</v>
      </c>
      <c r="E351" s="83"/>
      <c r="F351" s="1206">
        <f>IF(F208="Instantaneous",Dispersion_R,Dispersion_M)*(MAX(F350,Public)^2-Public^2)+(MAX(F350,Public)-Public)*IF(F208="Instantaneous",DC_Duration_Initial*(F83/F98)^(1/3),2*(F$55/3.142)^0.5)</f>
        <v>3.0000000000000005E-3</v>
      </c>
      <c r="G351" s="83"/>
      <c r="H351" s="1206">
        <f>IF(H208="Instantaneous",Dispersion_R,Dispersion_M)*(MAX(H350,Public)^2-Public^2)+(MAX(H350,Public)-Public)*IF(H208="Instantaneous",DC_Duration_Initial*(H83/H98)^(1/3),2*(H$55/3.142)^0.5)</f>
        <v>3.0000000000000005E-3</v>
      </c>
      <c r="I351" s="83"/>
      <c r="J351" s="1206">
        <f>IF(J208="Instantaneous",Dispersion_R,Dispersion_M)*(MAX(J350,Public)^2-Public^2)+(MAX(J350,Public)-Public)*IF(J208="Instantaneous",DC_Duration_Initial*(J83/J98)^(1/3),2*(J$55/3.142)^0.5)</f>
        <v>3.0000000000000005E-3</v>
      </c>
      <c r="K351" s="83"/>
      <c r="L351" s="1206">
        <f>IF(L208="Instantaneous",Dispersion_R,Dispersion_M)*(MAX(L350,Public)^2-Public^2)+(MAX(L350,Public)-Public)*IF(L208="Instantaneous",DC_Duration_Initial*(L83/L98)^(1/3),2*(L$55/3.142)^0.5)</f>
        <v>3.0000000000000005E-3</v>
      </c>
      <c r="M351" s="83"/>
      <c r="N351" s="1206">
        <f>IF(N208="Instantaneous",Dispersion_R,Dispersion_M)*(MAX(N350,Public)^2-Public^2)+(MAX(N350,Public)-Public)*IF(N208="Instantaneous",DC_Duration_Initial*(N83/N98)^(1/3),2*(N$55/3.142)^0.5)</f>
        <v>3.0000000000000005E-3</v>
      </c>
      <c r="O351" s="83"/>
      <c r="P351" s="1206">
        <f>IF(P208="Instantaneous",Dispersion_R,Dispersion_M)*(MAX(P350,Public)^2-Public^2)+(MAX(P350,Public)-Public)*IF(P208="Instantaneous",DC_Duration_Initial*(P83/P98)^(1/3),2*(P$55/3.142)^0.5)</f>
        <v>3.0000000000000005E-3</v>
      </c>
      <c r="Q351" s="83"/>
      <c r="R351" s="1206">
        <f>IF(R208="Instantaneous",Dispersion_R,Dispersion_M)*(MAX(R350,Public)^2-Public^2)+(MAX(R350,Public)-Public)*IF(R208="Instantaneous",DC_Duration_Initial*(R83/R98)^(1/3),2*(R$55/3.142)^0.5)</f>
        <v>3.0000000000000005E-3</v>
      </c>
      <c r="S351" s="83"/>
      <c r="T351" s="1206">
        <f>IF(T208="Instantaneous",Dispersion_R,Dispersion_M)*(MAX(T350,Public)^2-Public^2)+(MAX(T350,Public)-Public)*IF(T208="Instantaneous",DC_Duration_Initial*(T83/T98)^(1/3),2*(T$55/3.142)^0.5)</f>
        <v>3.0000000000000005E-3</v>
      </c>
      <c r="U351" s="83"/>
      <c r="V351" s="1206">
        <f>IF(V208="Instantaneous",Dispersion_R,Dispersion_M)*(MAX(V350,Public)^2-Public^2)+(MAX(V350,Public)-Public)*IF(V208="Instantaneous",DC_Duration_Initial*(V83/V98)^(1/3),2*(V$55/3.142)^0.5)</f>
        <v>3.0000000000000005E-3</v>
      </c>
      <c r="W351" s="83"/>
      <c r="X351" s="1206">
        <f>IF(X208="Instantaneous",Dispersion_R,Dispersion_M)*(MAX(X350,Public)^2-Public^2)+(MAX(X350,Public)-Public)*IF(X208="Instantaneous",DC_Duration_Initial*(X83/X98)^(1/3),2*(X$55/3.142)^0.5)</f>
        <v>3.0000000000000005E-3</v>
      </c>
      <c r="Y351" s="83"/>
      <c r="Z351" s="85" t="s">
        <v>3804</v>
      </c>
      <c r="AA351" s="83"/>
      <c r="AB351" s="81"/>
      <c r="AC351" s="476" t="s">
        <v>610</v>
      </c>
      <c r="AD351" s="81"/>
      <c r="AE351" s="81"/>
      <c r="AF351" s="81"/>
      <c r="AG351" s="81"/>
      <c r="AH351" s="81"/>
      <c r="AI351" s="81"/>
      <c r="AJ351" s="81"/>
      <c r="AK351" s="81"/>
      <c r="AL351" s="81"/>
      <c r="AM351" s="81"/>
      <c r="AN351" s="81"/>
      <c r="AO351" s="81"/>
      <c r="AP351" s="81"/>
      <c r="AQ351" s="81"/>
      <c r="AR351" s="81"/>
      <c r="AS351" s="83"/>
      <c r="AT351" s="23" t="s">
        <v>3632</v>
      </c>
      <c r="AU351" s="83"/>
      <c r="AV351" s="1206" t="e">
        <f>IF(Zone_1&lt;MAX((AV93-MIN(AV93,WorkArea_Elevation))*Dispersion_N^0.5,Public),IF(AV205="Instantaneous",Dispersion_R,Dispersion_M)*(MAX(AV348,(AV93-MIN(AV93,WorkArea_Elevation))*Dispersion_N^0.5,Public)^2-MAX((AV93-MIN(AV93,WorkArea_Elevation))*Dispersion_N^0.5,Public)^2),IF(AV205="Instantaneous",Dispersion_R,Dispersion_M)*(MAX(AV348,Zone_1)^2-Zone_1^2))</f>
        <v>#DIV/0!</v>
      </c>
      <c r="AW351" s="83"/>
      <c r="AX351" s="1206" t="e">
        <f>IF(Zone_1&lt;MAX((AX93-MIN(AX93,WorkArea_Elevation))*Dispersion_N^0.5,Public),IF(AX205="Instantaneous",Dispersion_R,Dispersion_M)*(MAX(AX348,(AX93-MIN(AX93,WorkArea_Elevation))*Dispersion_N^0.5,Public)^2-MAX((AX93-MIN(AX93,WorkArea_Elevation))*Dispersion_N^0.5,Public)^2),IF(AX205="Instantaneous",Dispersion_R,Dispersion_M)*(MAX(AX348,Zone_1)^2-Zone_1^2))</f>
        <v>#DIV/0!</v>
      </c>
      <c r="AY351" s="83"/>
      <c r="AZ351" s="1206" t="e">
        <f>IF(Zone_1&lt;MAX((AZ93-MIN(AZ93,WorkArea_Elevation))*Dispersion_N^0.5,Public),IF(AZ205="Instantaneous",Dispersion_R,Dispersion_M)*(MAX(AZ348,(AZ93-MIN(AZ93,WorkArea_Elevation))*Dispersion_N^0.5,Public)^2-MAX((AZ93-MIN(AZ93,WorkArea_Elevation))*Dispersion_N^0.5,Public)^2),IF(AZ205="Instantaneous",Dispersion_R,Dispersion_M)*(MAX(AZ348,Zone_1)^2-Zone_1^2))</f>
        <v>#DIV/0!</v>
      </c>
      <c r="BA351" s="83"/>
      <c r="BB351" s="1206" t="e">
        <f>IF(Zone_1&lt;MAX((BB93-MIN(BB93,WorkArea_Elevation))*Dispersion_N^0.5,Public),IF(BB205="Instantaneous",Dispersion_R,Dispersion_M)*(MAX(BB348,(BB93-MIN(BB93,WorkArea_Elevation))*Dispersion_N^0.5,Public)^2-MAX((BB93-MIN(BB93,WorkArea_Elevation))*Dispersion_N^0.5,Public)^2),IF(BB205="Instantaneous",Dispersion_R,Dispersion_M)*(MAX(BB348,Zone_1)^2-Zone_1^2))</f>
        <v>#DIV/0!</v>
      </c>
      <c r="BC351" s="83"/>
      <c r="BD351" s="1206" t="e">
        <f>IF(Zone_1&lt;MAX((BD93-MIN(BD93,WorkArea_Elevation))*Dispersion_N^0.5,Public),IF(BD205="Instantaneous",Dispersion_R,Dispersion_M)*(MAX(BD348,(BD93-MIN(BD93,WorkArea_Elevation))*Dispersion_N^0.5,Public)^2-MAX((BD93-MIN(BD93,WorkArea_Elevation))*Dispersion_N^0.5,Public)^2),IF(BD205="Instantaneous",Dispersion_R,Dispersion_M)*(MAX(BD348,Zone_1)^2-Zone_1^2))</f>
        <v>#DIV/0!</v>
      </c>
      <c r="BE351" s="83"/>
      <c r="BF351" s="1206" t="e">
        <f>IF(Zone_1&lt;MAX((BF93-MIN(BF93,WorkArea_Elevation))*Dispersion_N^0.5,Public),IF(BF205="Instantaneous",Dispersion_R,Dispersion_M)*(MAX(BF348,(BF93-MIN(BF93,WorkArea_Elevation))*Dispersion_N^0.5,Public)^2-MAX((BF93-MIN(BF93,WorkArea_Elevation))*Dispersion_N^0.5,Public)^2),IF(BF205="Instantaneous",Dispersion_R,Dispersion_M)*(MAX(BF348,Zone_1)^2-Zone_1^2))</f>
        <v>#DIV/0!</v>
      </c>
      <c r="BG351" s="83"/>
      <c r="BH351" s="1206" t="e">
        <f>IF(Zone_1&lt;MAX((BH93-MIN(BH93,WorkArea_Elevation))*Dispersion_N^0.5,Public),IF(BH205="Instantaneous",Dispersion_R,Dispersion_M)*(MAX(BH348,(BH93-MIN(BH93,WorkArea_Elevation))*Dispersion_N^0.5,Public)^2-MAX((BH93-MIN(BH93,WorkArea_Elevation))*Dispersion_N^0.5,Public)^2),IF(BH205="Instantaneous",Dispersion_R,Dispersion_M)*(MAX(BH348,Zone_1)^2-Zone_1^2))</f>
        <v>#DIV/0!</v>
      </c>
      <c r="BI351" s="83"/>
      <c r="BJ351" s="1206" t="e">
        <f>IF(Zone_1&lt;MAX((BJ93-MIN(BJ93,WorkArea_Elevation))*Dispersion_N^0.5,Public),IF(BJ205="Instantaneous",Dispersion_R,Dispersion_M)*(MAX(BJ348,(BJ93-MIN(BJ93,WorkArea_Elevation))*Dispersion_N^0.5,Public)^2-MAX((BJ93-MIN(BJ93,WorkArea_Elevation))*Dispersion_N^0.5,Public)^2),IF(BJ205="Instantaneous",Dispersion_R,Dispersion_M)*(MAX(BJ348,Zone_1)^2-Zone_1^2))</f>
        <v>#DIV/0!</v>
      </c>
      <c r="BK351" s="83"/>
      <c r="BL351" s="1206" t="e">
        <f>IF(Zone_1&lt;MAX((BL93-MIN(BL93,WorkArea_Elevation))*Dispersion_N^0.5,Public),IF(BL205="Instantaneous",Dispersion_R,Dispersion_M)*(MAX(BL348,(BL93-MIN(BL93,WorkArea_Elevation))*Dispersion_N^0.5,Public)^2-MAX((BL93-MIN(BL93,WorkArea_Elevation))*Dispersion_N^0.5,Public)^2),IF(BL205="Instantaneous",Dispersion_R,Dispersion_M)*(MAX(BL348,Zone_1)^2-Zone_1^2))</f>
        <v>#DIV/0!</v>
      </c>
      <c r="BM351" s="83"/>
      <c r="BN351" s="1206" t="e">
        <f>IF(Zone_1&lt;MAX((BN93-MIN(BN93,WorkArea_Elevation))*Dispersion_N^0.5,Public),IF(BN205="Instantaneous",Dispersion_R,Dispersion_M)*(MAX(BN348,(BN93-MIN(BN93,WorkArea_Elevation))*Dispersion_N^0.5,Public)^2-MAX((BN93-MIN(BN93,WorkArea_Elevation))*Dispersion_N^0.5,Public)^2),IF(BN205="Instantaneous",Dispersion_R,Dispersion_M)*(MAX(BN348,Zone_1)^2-Zone_1^2))</f>
        <v>#DIV/0!</v>
      </c>
      <c r="BO351" s="83"/>
      <c r="BP351" s="85" t="s">
        <v>3804</v>
      </c>
      <c r="BQ351" s="83"/>
      <c r="BR351" s="81"/>
      <c r="BS351" s="85" t="s">
        <v>1690</v>
      </c>
      <c r="BT351" s="81"/>
      <c r="BU351" s="1183"/>
      <c r="BV351" s="81"/>
      <c r="BW351" s="1209">
        <f>(Reaction_Energy2/1120)^0.33*EXP((TNT_A/(LN(1/14.7)+TNT_B)-TNT_C))</f>
        <v>0</v>
      </c>
      <c r="BX351" s="81"/>
      <c r="BY351" s="1209">
        <f>(Reaction_Energy/1120)^0.33*EXP((TNT_A/(LN(1/14.7)+TNT_B)-TNT_C))</f>
        <v>0</v>
      </c>
      <c r="BZ351" s="81"/>
      <c r="CA351" s="1209"/>
      <c r="CB351" s="81"/>
      <c r="CC351" s="1209">
        <f>(Reaction_Energy/1120)^0.33*EXP((TNT_A/(LN(1/14.7)+TNT_B)-TNT_C))</f>
        <v>0</v>
      </c>
      <c r="CD351" s="81"/>
      <c r="CE351" s="85" t="s">
        <v>1068</v>
      </c>
      <c r="CF351" s="81"/>
      <c r="CG351" s="26"/>
      <c r="CH351" s="26"/>
      <c r="CI351" s="26"/>
      <c r="CJ351" s="26"/>
      <c r="CK351" s="26"/>
      <c r="CL351" s="26"/>
      <c r="CM351" s="26"/>
      <c r="CN351" s="26"/>
    </row>
    <row r="352" spans="1:92" ht="15" customHeight="1" x14ac:dyDescent="0.25">
      <c r="A352" s="2"/>
      <c r="B352" s="23" t="s">
        <v>3631</v>
      </c>
      <c r="C352" s="83"/>
      <c r="D352" s="1206">
        <f>IF(OR(D$279=0,D$273=""),0,IF(D350&gt;Zone_1,IF(D208="Instantaneous",Dispersion_R,Dispersion_M)*(MAX(Public,Zone_1)^2-MAX(Public,D350)^2)+(MAX(Public,Zone_1)-MAX(Public,D350))*IF(D208="Instantaneous",DC_Duration_Initial*(D83/D98)^(1/3),2*(D$55/3.142)^0.5),IF(D208="Instantaneous",Dispersion_R,Dispersion_M)*D$273^(2*IF(D208="Instantaneous",D$206,D$180))*D$290^2*(EXP(D$278+D$279*MAX(Public,Zone_1)^2/(D$273^(2*IF(D208="Instantaneous",D$206,D$180))*D$290^2))-EXP(D$278+D$279*MAX(Public,D350)^2/(D$273^(2*IF(D208="Instantaneous",D$206,D$180))*D$290^2)))/D$279))</f>
        <v>0</v>
      </c>
      <c r="E352" s="83"/>
      <c r="F352" s="1206">
        <f>IF(OR(F$279=0,F$273=""),0,IF(F350&gt;Zone_1,IF(F208="Instantaneous",Dispersion_R,Dispersion_M)*(MAX(Public,Zone_1)^2-MAX(Public,F350)^2)+(MAX(Public,Zone_1)-MAX(Public,F350))*IF(F208="Instantaneous",DC_Duration_Initial*(F83/F98)^(1/3),2*(F$55/3.142)^0.5),IF(F208="Instantaneous",Dispersion_R,Dispersion_M)*F$273^(2*IF(F208="Instantaneous",F$206,F$180))*F$290^2*(EXP(F$278+F$279*MAX(Public,Zone_1)^2/(F$273^(2*IF(F208="Instantaneous",F$206,F$180))*F$290^2))-EXP(F$278+F$279*MAX(Public,F350)^2/(F$273^(2*IF(F208="Instantaneous",F$206,F$180))*F$290^2)))/F$279))</f>
        <v>0</v>
      </c>
      <c r="G352" s="83"/>
      <c r="H352" s="1206">
        <f>IF(OR(H$279=0,H$273=""),0,IF(H350&gt;Zone_1,IF(H208="Instantaneous",Dispersion_R,Dispersion_M)*(MAX(Public,Zone_1)^2-MAX(Public,H350)^2)+(MAX(Public,Zone_1)-MAX(Public,H350))*IF(H208="Instantaneous",DC_Duration_Initial*(H83/H98)^(1/3),2*(H$55/3.142)^0.5),IF(H208="Instantaneous",Dispersion_R,Dispersion_M)*H$273^(2*IF(H208="Instantaneous",H$206,H$180))*H$290^2*(EXP(H$278+H$279*MAX(Public,Zone_1)^2/(H$273^(2*IF(H208="Instantaneous",H$206,H$180))*H$290^2))-EXP(H$278+H$279*MAX(Public,H350)^2/(H$273^(2*IF(H208="Instantaneous",H$206,H$180))*H$290^2)))/H$279))</f>
        <v>0</v>
      </c>
      <c r="I352" s="83"/>
      <c r="J352" s="1206">
        <f>IF(OR(J$279=0,J$273=""),0,IF(J350&gt;Zone_1,IF(J208="Instantaneous",Dispersion_R,Dispersion_M)*(MAX(Public,Zone_1)^2-MAX(Public,J350)^2)+(MAX(Public,Zone_1)-MAX(Public,J350))*IF(J208="Instantaneous",DC_Duration_Initial*(J83/J98)^(1/3),2*(J$55/3.142)^0.5),IF(J208="Instantaneous",Dispersion_R,Dispersion_M)*J$273^(2*IF(J208="Instantaneous",J$206,J$180))*J$290^2*(EXP(J$278+J$279*MAX(Public,Zone_1)^2/(J$273^(2*IF(J208="Instantaneous",J$206,J$180))*J$290^2))-EXP(J$278+J$279*MAX(Public,J350)^2/(J$273^(2*IF(J208="Instantaneous",J$206,J$180))*J$290^2)))/J$279))</f>
        <v>0</v>
      </c>
      <c r="K352" s="83"/>
      <c r="L352" s="1206">
        <f>IF(OR(L$279=0,L$273=""),0,IF(L350&gt;Zone_1,IF(L208="Instantaneous",Dispersion_R,Dispersion_M)*(MAX(Public,Zone_1)^2-MAX(Public,L350)^2)+(MAX(Public,Zone_1)-MAX(Public,L350))*IF(L208="Instantaneous",DC_Duration_Initial*(L83/L98)^(1/3),2*(L$55/3.142)^0.5),IF(L208="Instantaneous",Dispersion_R,Dispersion_M)*L$273^(2*IF(L208="Instantaneous",L$206,L$180))*L$290^2*(EXP(L$278+L$279*MAX(Public,Zone_1)^2/(L$273^(2*IF(L208="Instantaneous",L$206,L$180))*L$290^2))-EXP(L$278+L$279*MAX(Public,L350)^2/(L$273^(2*IF(L208="Instantaneous",L$206,L$180))*L$290^2)))/L$279))</f>
        <v>0</v>
      </c>
      <c r="M352" s="83"/>
      <c r="N352" s="1206">
        <f>IF(OR(N$279=0,N$273=""),0,IF(N350&gt;Zone_1,IF(N208="Instantaneous",Dispersion_R,Dispersion_M)*(MAX(Public,Zone_1)^2-MAX(Public,N350)^2)+(MAX(Public,Zone_1)-MAX(Public,N350))*IF(N208="Instantaneous",DC_Duration_Initial*(N83/N98)^(1/3),2*(N$55/3.142)^0.5),IF(N208="Instantaneous",Dispersion_R,Dispersion_M)*N$273^(2*IF(N208="Instantaneous",N$206,N$180))*N$290^2*(EXP(N$278+N$279*MAX(Public,Zone_1)^2/(N$273^(2*IF(N208="Instantaneous",N$206,N$180))*N$290^2))-EXP(N$278+N$279*MAX(Public,N350)^2/(N$273^(2*IF(N208="Instantaneous",N$206,N$180))*N$290^2)))/N$279))</f>
        <v>0</v>
      </c>
      <c r="O352" s="83"/>
      <c r="P352" s="1206">
        <f>IF(OR(P$279=0,P$273=""),0,IF(P350&gt;Zone_1,IF(P208="Instantaneous",Dispersion_R,Dispersion_M)*(MAX(Public,Zone_1)^2-MAX(Public,P350)^2)+(MAX(Public,Zone_1)-MAX(Public,P350))*IF(P208="Instantaneous",DC_Duration_Initial*(P83/P98)^(1/3),2*(P$55/3.142)^0.5),IF(P208="Instantaneous",Dispersion_R,Dispersion_M)*P$273^(2*IF(P208="Instantaneous",P$206,P$180))*P$290^2*(EXP(P$278+P$279*MAX(Public,Zone_1)^2/(P$273^(2*IF(P208="Instantaneous",P$206,P$180))*P$290^2))-EXP(P$278+P$279*MAX(Public,P350)^2/(P$273^(2*IF(P208="Instantaneous",P$206,P$180))*P$290^2)))/P$279))</f>
        <v>0</v>
      </c>
      <c r="Q352" s="83"/>
      <c r="R352" s="1206">
        <f>IF(OR(R$279=0,R$273=""),0,IF(R350&gt;Zone_1,IF(R208="Instantaneous",Dispersion_R,Dispersion_M)*(MAX(Public,Zone_1)^2-MAX(Public,R350)^2)+(MAX(Public,Zone_1)-MAX(Public,R350))*IF(R208="Instantaneous",DC_Duration_Initial*(R83/R98)^(1/3),2*(R$55/3.142)^0.5),IF(R208="Instantaneous",Dispersion_R,Dispersion_M)*R$273^(2*IF(R208="Instantaneous",R$206,R$180))*R$290^2*(EXP(R$278+R$279*MAX(Public,Zone_1)^2/(R$273^(2*IF(R208="Instantaneous",R$206,R$180))*R$290^2))-EXP(R$278+R$279*MAX(Public,R350)^2/(R$273^(2*IF(R208="Instantaneous",R$206,R$180))*R$290^2)))/R$279))</f>
        <v>0</v>
      </c>
      <c r="S352" s="83"/>
      <c r="T352" s="1206">
        <f>IF(OR(T$279=0,T$273=""),0,IF(T350&gt;Zone_1,IF(T208="Instantaneous",Dispersion_R,Dispersion_M)*(MAX(Public,Zone_1)^2-MAX(Public,T350)^2)+(MAX(Public,Zone_1)-MAX(Public,T350))*IF(T208="Instantaneous",DC_Duration_Initial*(T83/T98)^(1/3),2*(T$55/3.142)^0.5),IF(T208="Instantaneous",Dispersion_R,Dispersion_M)*T$273^(2*IF(T208="Instantaneous",T$206,T$180))*T$290^2*(EXP(T$278+T$279*MAX(Public,Zone_1)^2/(T$273^(2*IF(T208="Instantaneous",T$206,T$180))*T$290^2))-EXP(T$278+T$279*MAX(Public,T350)^2/(T$273^(2*IF(T208="Instantaneous",T$206,T$180))*T$290^2)))/T$279))</f>
        <v>0</v>
      </c>
      <c r="U352" s="83"/>
      <c r="V352" s="1206">
        <f>IF(OR(V$279=0,V$273=""),0,IF(V350&gt;Zone_1,IF(V208="Instantaneous",Dispersion_R,Dispersion_M)*(MAX(Public,Zone_1)^2-MAX(Public,V350)^2)+(MAX(Public,Zone_1)-MAX(Public,V350))*IF(V208="Instantaneous",DC_Duration_Initial*(V83/V98)^(1/3),2*(V$55/3.142)^0.5),IF(V208="Instantaneous",Dispersion_R,Dispersion_M)*V$273^(2*IF(V208="Instantaneous",V$206,V$180))*V$290^2*(EXP(V$278+V$279*MAX(Public,Zone_1)^2/(V$273^(2*IF(V208="Instantaneous",V$206,V$180))*V$290^2))-EXP(V$278+V$279*MAX(Public,V350)^2/(V$273^(2*IF(V208="Instantaneous",V$206,V$180))*V$290^2)))/V$279))</f>
        <v>0</v>
      </c>
      <c r="W352" s="83"/>
      <c r="X352" s="1206">
        <f>IF(OR(X$279=0,X$273=""),0,IF(X350&gt;Zone_1,IF(X208="Instantaneous",Dispersion_R,Dispersion_M)*(MAX(Public,Zone_1)^2-MAX(Public,X350)^2)+(MAX(Public,Zone_1)-MAX(Public,X350))*IF(X208="Instantaneous",DC_Duration_Initial*(X83/X98)^(1/3),2*(X$55/3.142)^0.5),IF(X208="Instantaneous",Dispersion_R,Dispersion_M)*X$273^(2*IF(X208="Instantaneous",X$206,X$180))*X$290^2*(EXP(X$278+X$279*MAX(Public,Zone_1)^2/(X$273^(2*IF(X208="Instantaneous",X$206,X$180))*X$290^2))-EXP(X$278+X$279*MAX(Public,X350)^2/(X$273^(2*IF(X208="Instantaneous",X$206,X$180))*X$290^2)))/X$279))</f>
        <v>0</v>
      </c>
      <c r="Y352" s="83"/>
      <c r="Z352" s="85" t="s">
        <v>3804</v>
      </c>
      <c r="AA352" s="83"/>
      <c r="AB352" s="81"/>
      <c r="AC352" s="85" t="s">
        <v>4222</v>
      </c>
      <c r="AD352" s="81"/>
      <c r="AE352" s="3024" t="str">
        <f>IF(OR(Regulatory_Tox="Yes",AND(ER3_Min&lt;=Toxic_Limit,AE297="Yes")),IF(Conseq_Criteria="Hazard Distance",AE376,AE377),"NA")</f>
        <v>NA</v>
      </c>
      <c r="AF352" s="81"/>
      <c r="AG352" s="3024" t="str">
        <f>IF(OR(Regulatory_Tox="Yes",AND(ER3_Min&lt;=Toxic_Limit,AG297="Yes")),IF(Conseq_Criteria="Hazard Distance",AG376,AG377),"NA")</f>
        <v>NA</v>
      </c>
      <c r="AH352" s="81"/>
      <c r="AI352" s="3024" t="str">
        <f>IF(OR(Regulatory_Tox="Yes",AND(ER3_Min&lt;=Toxic_Limit,AI297="Yes")),IF(Conseq_Criteria="Hazard Distance",AI376,AI377),"NA")</f>
        <v>NA</v>
      </c>
      <c r="AJ352" s="81"/>
      <c r="AK352" s="3024" t="str">
        <f>IF(OR(Regulatory_Tox="Yes",AND(ER3_Min&lt;=Toxic_Limit,AK297="Yes")),IF(Conseq_Criteria="Hazard Distance",AK376,AK377),"NA")</f>
        <v>NA</v>
      </c>
      <c r="AL352" s="81"/>
      <c r="AM352" s="3024" t="str">
        <f>IF(OR(Regulatory_Tox="Yes",AND(ER3_Min&lt;=Toxic_Limit,AM297="Yes")),IF(Conseq_Criteria="Hazard Distance",AM376,AM377),"NA")</f>
        <v>NA</v>
      </c>
      <c r="AN352" s="81"/>
      <c r="AO352" s="3024" t="str">
        <f>IF(OR(Regulatory_Tox="Yes",AND(ER3_Min&lt;=Toxic_Limit,AO297="Yes")),IF(Conseq_Criteria="Hazard Distance",AO376,AO377),"NA")</f>
        <v>NA</v>
      </c>
      <c r="AP352" s="81"/>
      <c r="AQ352" s="23"/>
      <c r="AR352" s="81"/>
      <c r="AS352" s="83"/>
      <c r="AT352" s="23" t="s">
        <v>3633</v>
      </c>
      <c r="AU352" s="83"/>
      <c r="AV352" s="1206">
        <f>IF(OR(AV$276=0,AV$270=""),0,IF(Zone_1&lt;MAX((AV93-MIN(AV93,WorkArea_Elevation))*Dispersion_N^0.5,Public),IF(AV205="Instantaneous",Dispersion_R,Dispersion_M)*AV$270^(2*IF(AV205="Instantaneous",AV$203,AV$177))*AV$287^2*(0-EXP(AV$275+AV$276*MAX(AV348,(AV93-MIN(AV93,WorkArea_Elevation))*Dispersion_N^0.5,Public)^2/(AV$270^(2*IF(AV205="Instantaneous",AV$203,AV$177))*AV$287^2)))/AV$276,IF(AV205="Instantaneous",Dispersion_R,Dispersion_M)*AV$270^(2*IF(AV205="Instantaneous",AV$203,AV$177))*AV$287^2*(0-EXP(AV$275+AV$276*MAX(AV348,Zone_1)^2/(AV$270^(2*IF(AV205="Instantaneous",AV$203,AV$177))*AV$287^2)))/AV$276))</f>
        <v>0</v>
      </c>
      <c r="AW352" s="83"/>
      <c r="AX352" s="1206">
        <f>IF(OR(AX$276=0,AX$270=""),0,IF(Zone_1&lt;MAX((AX93-MIN(AX93,WorkArea_Elevation))*Dispersion_N^0.5,Public),IF(AX205="Instantaneous",Dispersion_R,Dispersion_M)*AX$270^(2*IF(AX205="Instantaneous",AX$203,AX$177))*AX$287^2*(0-EXP(AX$275+AX$276*MAX(AX348,(AX93-MIN(AX93,WorkArea_Elevation))*Dispersion_N^0.5,Public)^2/(AX$270^(2*IF(AX205="Instantaneous",AX$203,AX$177))*AX$287^2)))/AX$276,IF(AX205="Instantaneous",Dispersion_R,Dispersion_M)*AX$270^(2*IF(AX205="Instantaneous",AX$203,AX$177))*AX$287^2*(0-EXP(AX$275+AX$276*MAX(AX348,Zone_1)^2/(AX$270^(2*IF(AX205="Instantaneous",AX$203,AX$177))*AX$287^2)))/AX$276))</f>
        <v>0</v>
      </c>
      <c r="AY352" s="83"/>
      <c r="AZ352" s="1206">
        <f>IF(OR(AZ$276=0,AZ$270=""),0,IF(Zone_1&lt;MAX((AZ93-MIN(AZ93,WorkArea_Elevation))*Dispersion_N^0.5,Public),IF(AZ205="Instantaneous",Dispersion_R,Dispersion_M)*AZ$270^(2*IF(AZ205="Instantaneous",AZ$203,AZ$177))*AZ$287^2*(0-EXP(AZ$275+AZ$276*MAX(AZ348,(AZ93-MIN(AZ93,WorkArea_Elevation))*Dispersion_N^0.5,Public)^2/(AZ$270^(2*IF(AZ205="Instantaneous",AZ$203,AZ$177))*AZ$287^2)))/AZ$276,IF(AZ205="Instantaneous",Dispersion_R,Dispersion_M)*AZ$270^(2*IF(AZ205="Instantaneous",AZ$203,AZ$177))*AZ$287^2*(0-EXP(AZ$275+AZ$276*MAX(AZ348,Zone_1)^2/(AZ$270^(2*IF(AZ205="Instantaneous",AZ$203,AZ$177))*AZ$287^2)))/AZ$276))</f>
        <v>0</v>
      </c>
      <c r="BA352" s="83"/>
      <c r="BB352" s="1206">
        <f>IF(OR(BB$276=0,BB$270=""),0,IF(Zone_1&lt;MAX((BB93-MIN(BB93,WorkArea_Elevation))*Dispersion_N^0.5,Public),IF(BB205="Instantaneous",Dispersion_R,Dispersion_M)*BB$270^(2*IF(BB205="Instantaneous",BB$203,BB$177))*BB$287^2*(0-EXP(BB$275+BB$276*MAX(BB348,(BB93-MIN(BB93,WorkArea_Elevation))*Dispersion_N^0.5,Public)^2/(BB$270^(2*IF(BB205="Instantaneous",BB$203,BB$177))*BB$287^2)))/BB$276,IF(BB205="Instantaneous",Dispersion_R,Dispersion_M)*BB$270^(2*IF(BB205="Instantaneous",BB$203,BB$177))*BB$287^2*(0-EXP(BB$275+BB$276*MAX(BB348,Zone_1)^2/(BB$270^(2*IF(BB205="Instantaneous",BB$203,BB$177))*BB$287^2)))/BB$276))</f>
        <v>0</v>
      </c>
      <c r="BC352" s="83"/>
      <c r="BD352" s="1206">
        <f>IF(OR(BD$276=0,BD$270=""),0,IF(Zone_1&lt;MAX((BD93-MIN(BD93,WorkArea_Elevation))*Dispersion_N^0.5,Public),IF(BD205="Instantaneous",Dispersion_R,Dispersion_M)*BD$270^(2*IF(BD205="Instantaneous",BD$203,BD$177))*BD$287^2*(0-EXP(BD$275+BD$276*MAX(BD348,(BD93-MIN(BD93,WorkArea_Elevation))*Dispersion_N^0.5,Public)^2/(BD$270^(2*IF(BD205="Instantaneous",BD$203,BD$177))*BD$287^2)))/BD$276,IF(BD205="Instantaneous",Dispersion_R,Dispersion_M)*BD$270^(2*IF(BD205="Instantaneous",BD$203,BD$177))*BD$287^2*(0-EXP(BD$275+BD$276*MAX(BD348,Zone_1)^2/(BD$270^(2*IF(BD205="Instantaneous",BD$203,BD$177))*BD$287^2)))/BD$276))</f>
        <v>0</v>
      </c>
      <c r="BE352" s="83"/>
      <c r="BF352" s="1206">
        <f>IF(OR(BF$276=0,BF$270=""),0,IF(Zone_1&lt;MAX((BF93-MIN(BF93,WorkArea_Elevation))*Dispersion_N^0.5,Public),IF(BF205="Instantaneous",Dispersion_R,Dispersion_M)*BF$270^(2*IF(BF205="Instantaneous",BF$203,BF$177))*BF$287^2*(0-EXP(BF$275+BF$276*MAX(BF348,(BF93-MIN(BF93,WorkArea_Elevation))*Dispersion_N^0.5,Public)^2/(BF$270^(2*IF(BF205="Instantaneous",BF$203,BF$177))*BF$287^2)))/BF$276,IF(BF205="Instantaneous",Dispersion_R,Dispersion_M)*BF$270^(2*IF(BF205="Instantaneous",BF$203,BF$177))*BF$287^2*(0-EXP(BF$275+BF$276*MAX(BF348,Zone_1)^2/(BF$270^(2*IF(BF205="Instantaneous",BF$203,BF$177))*BF$287^2)))/BF$276))</f>
        <v>0</v>
      </c>
      <c r="BG352" s="83"/>
      <c r="BH352" s="1206">
        <f>IF(OR(BH$276=0,BH$270=""),0,IF(Zone_1&lt;MAX((BH93-MIN(BH93,WorkArea_Elevation))*Dispersion_N^0.5,Public),IF(BH205="Instantaneous",Dispersion_R,Dispersion_M)*BH$270^(2*IF(BH205="Instantaneous",BH$203,BH$177))*BH$287^2*(0-EXP(BH$275+BH$276*MAX(BH348,(BH93-MIN(BH93,WorkArea_Elevation))*Dispersion_N^0.5,Public)^2/(BH$270^(2*IF(BH205="Instantaneous",BH$203,BH$177))*BH$287^2)))/BH$276,IF(BH205="Instantaneous",Dispersion_R,Dispersion_M)*BH$270^(2*IF(BH205="Instantaneous",BH$203,BH$177))*BH$287^2*(0-EXP(BH$275+BH$276*MAX(BH348,Zone_1)^2/(BH$270^(2*IF(BH205="Instantaneous",BH$203,BH$177))*BH$287^2)))/BH$276))</f>
        <v>0</v>
      </c>
      <c r="BI352" s="83"/>
      <c r="BJ352" s="1206">
        <f>IF(OR(BJ$276=0,BJ$270=""),0,IF(Zone_1&lt;MAX((BJ93-MIN(BJ93,WorkArea_Elevation))*Dispersion_N^0.5,Public),IF(BJ205="Instantaneous",Dispersion_R,Dispersion_M)*BJ$270^(2*IF(BJ205="Instantaneous",BJ$203,BJ$177))*BJ$287^2*(0-EXP(BJ$275+BJ$276*MAX(BJ348,(BJ93-MIN(BJ93,WorkArea_Elevation))*Dispersion_N^0.5,Public)^2/(BJ$270^(2*IF(BJ205="Instantaneous",BJ$203,BJ$177))*BJ$287^2)))/BJ$276,IF(BJ205="Instantaneous",Dispersion_R,Dispersion_M)*BJ$270^(2*IF(BJ205="Instantaneous",BJ$203,BJ$177))*BJ$287^2*(0-EXP(BJ$275+BJ$276*MAX(BJ348,Zone_1)^2/(BJ$270^(2*IF(BJ205="Instantaneous",BJ$203,BJ$177))*BJ$287^2)))/BJ$276))</f>
        <v>0</v>
      </c>
      <c r="BK352" s="83"/>
      <c r="BL352" s="1206">
        <f>IF(OR(BL$276=0,BL$270=""),0,IF(Zone_1&lt;MAX((BL93-MIN(BL93,WorkArea_Elevation))*Dispersion_N^0.5,Public),IF(BL205="Instantaneous",Dispersion_R,Dispersion_M)*BL$270^(2*IF(BL205="Instantaneous",BL$203,BL$177))*BL$287^2*(0-EXP(BL$275+BL$276*MAX(BL348,(BL93-MIN(BL93,WorkArea_Elevation))*Dispersion_N^0.5,Public)^2/(BL$270^(2*IF(BL205="Instantaneous",BL$203,BL$177))*BL$287^2)))/BL$276,IF(BL205="Instantaneous",Dispersion_R,Dispersion_M)*BL$270^(2*IF(BL205="Instantaneous",BL$203,BL$177))*BL$287^2*(0-EXP(BL$275+BL$276*MAX(BL348,Zone_1)^2/(BL$270^(2*IF(BL205="Instantaneous",BL$203,BL$177))*BL$287^2)))/BL$276))</f>
        <v>0</v>
      </c>
      <c r="BM352" s="83"/>
      <c r="BN352" s="1206">
        <f>IF(OR(BN$276=0,BN$270=""),0,IF(Zone_1&lt;MAX((BN93-MIN(BN93,WorkArea_Elevation))*Dispersion_N^0.5,Public),IF(BN205="Instantaneous",Dispersion_R,Dispersion_M)*BN$270^(2*IF(BN205="Instantaneous",BN$203,BN$177))*BN$287^2*(0-EXP(BN$275+BN$276*MAX(BN348,(BN93-MIN(BN93,WorkArea_Elevation))*Dispersion_N^0.5,Public)^2/(BN$270^(2*IF(BN205="Instantaneous",BN$203,BN$177))*BN$287^2)))/BN$276,IF(BN205="Instantaneous",Dispersion_R,Dispersion_M)*BN$270^(2*IF(BN205="Instantaneous",BN$203,BN$177))*BN$287^2*(0-EXP(BN$275+BN$276*MAX(BN348,Zone_1)^2/(BN$270^(2*IF(BN205="Instantaneous",BN$203,BN$177))*BN$287^2)))/BN$276))</f>
        <v>0</v>
      </c>
      <c r="BO352" s="83"/>
      <c r="BP352" s="85" t="s">
        <v>3804</v>
      </c>
      <c r="BQ352" s="83"/>
      <c r="BR352" s="81"/>
      <c r="BS352" s="85" t="s">
        <v>454</v>
      </c>
      <c r="BT352" s="81"/>
      <c r="BU352" s="1183"/>
      <c r="BV352" s="81"/>
      <c r="BW352" s="1183" t="str">
        <f>IF(BW351&gt;Public,"Yes","No")</f>
        <v>No</v>
      </c>
      <c r="BX352" s="81"/>
      <c r="BY352" s="1183" t="str">
        <f>IF(BY351&gt;Public,"Yes","No")</f>
        <v>No</v>
      </c>
      <c r="BZ352" s="81"/>
      <c r="CA352" s="1183"/>
      <c r="CB352" s="81"/>
      <c r="CC352" s="1183" t="str">
        <f>IF(CC351&gt;Public,"Yes","No")</f>
        <v>No</v>
      </c>
      <c r="CD352" s="81"/>
      <c r="CE352" s="85"/>
      <c r="CF352" s="81"/>
      <c r="CG352" s="26"/>
      <c r="CH352" s="2591"/>
      <c r="CI352" s="26"/>
      <c r="CJ352" s="26"/>
      <c r="CK352" s="26"/>
      <c r="CL352" s="26"/>
      <c r="CM352" s="26"/>
      <c r="CN352" s="26"/>
    </row>
    <row r="353" spans="1:92" ht="15" customHeight="1" x14ac:dyDescent="0.25">
      <c r="A353" s="2"/>
      <c r="B353" s="23" t="s">
        <v>3632</v>
      </c>
      <c r="C353" s="83"/>
      <c r="D353" s="1206">
        <f>IF(Zone_1&lt;Public,IF(D208="Instantaneous",Dispersion_R,Dispersion_M)*(MAX(D350,Public)^2-Public^2)+(MAX(D350,Public)-Public)*IF(D208="Instantaneous",DC_Duration_Initial*(D83/D98)^(1/3),2*(D$55/3.142)^0.5),IF(D208="Instantaneous",Dispersion_R,Dispersion_M)*(MAX(D350,Zone_1)^2-Zone_1^2)+(MAX(D350,Zone_1)-Zone_1)*IF(D208="Instantaneous",DC_Duration_Initial*(D83/D98)^(1/3),2*(D$55/3.142)^0.5))</f>
        <v>3.0000000000000005E-3</v>
      </c>
      <c r="E353" s="83"/>
      <c r="F353" s="1206">
        <f>IF(Zone_1&lt;Public,IF(F208="Instantaneous",Dispersion_R,Dispersion_M)*(MAX(F350,Public)^2-Public^2)+(MAX(F350,Public)-Public)*IF(F208="Instantaneous",DC_Duration_Initial*(F83/F98)^(1/3),2*(F$55/3.142)^0.5),IF(F208="Instantaneous",Dispersion_R,Dispersion_M)*(MAX(F350,Zone_1)^2-Zone_1^2)+(MAX(F350,Zone_1)-Zone_1)*IF(F208="Instantaneous",DC_Duration_Initial*(F83/F98)^(1/3),2*(F$55/3.142)^0.5))</f>
        <v>3.0000000000000005E-3</v>
      </c>
      <c r="G353" s="83"/>
      <c r="H353" s="1206">
        <f>IF(Zone_1&lt;Public,IF(H208="Instantaneous",Dispersion_R,Dispersion_M)*(MAX(H350,Public)^2-Public^2)+(MAX(H350,Public)-Public)*IF(H208="Instantaneous",DC_Duration_Initial*(H83/H98)^(1/3),2*(H$55/3.142)^0.5),IF(H208="Instantaneous",Dispersion_R,Dispersion_M)*(MAX(H350,Zone_1)^2-Zone_1^2)+(MAX(H350,Zone_1)-Zone_1)*IF(H208="Instantaneous",DC_Duration_Initial*(H83/H98)^(1/3),2*(H$55/3.142)^0.5))</f>
        <v>3.0000000000000005E-3</v>
      </c>
      <c r="I353" s="83"/>
      <c r="J353" s="1206">
        <f>IF(Zone_1&lt;Public,IF(J208="Instantaneous",Dispersion_R,Dispersion_M)*(MAX(J350,Public)^2-Public^2)+(MAX(J350,Public)-Public)*IF(J208="Instantaneous",DC_Duration_Initial*(J83/J98)^(1/3),2*(J$55/3.142)^0.5),IF(J208="Instantaneous",Dispersion_R,Dispersion_M)*(MAX(J350,Zone_1)^2-Zone_1^2)+(MAX(J350,Zone_1)-Zone_1)*IF(J208="Instantaneous",DC_Duration_Initial*(J83/J98)^(1/3),2*(J$55/3.142)^0.5))</f>
        <v>3.0000000000000005E-3</v>
      </c>
      <c r="K353" s="83"/>
      <c r="L353" s="1206">
        <f>IF(Zone_1&lt;Public,IF(L208="Instantaneous",Dispersion_R,Dispersion_M)*(MAX(L350,Public)^2-Public^2)+(MAX(L350,Public)-Public)*IF(L208="Instantaneous",DC_Duration_Initial*(L83/L98)^(1/3),2*(L$55/3.142)^0.5),IF(L208="Instantaneous",Dispersion_R,Dispersion_M)*(MAX(L350,Zone_1)^2-Zone_1^2)+(MAX(L350,Zone_1)-Zone_1)*IF(L208="Instantaneous",DC_Duration_Initial*(L83/L98)^(1/3),2*(L$55/3.142)^0.5))</f>
        <v>3.0000000000000005E-3</v>
      </c>
      <c r="M353" s="83"/>
      <c r="N353" s="1206">
        <f>IF(Zone_1&lt;Public,IF(N208="Instantaneous",Dispersion_R,Dispersion_M)*(MAX(N350,Public)^2-Public^2)+(MAX(N350,Public)-Public)*IF(N208="Instantaneous",DC_Duration_Initial*(N83/N98)^(1/3),2*(N$55/3.142)^0.5),IF(N208="Instantaneous",Dispersion_R,Dispersion_M)*(MAX(N350,Zone_1)^2-Zone_1^2)+(MAX(N350,Zone_1)-Zone_1)*IF(N208="Instantaneous",DC_Duration_Initial*(N83/N98)^(1/3),2*(N$55/3.142)^0.5))</f>
        <v>3.0000000000000005E-3</v>
      </c>
      <c r="O353" s="83"/>
      <c r="P353" s="1206">
        <f>IF(Zone_1&lt;Public,IF(P208="Instantaneous",Dispersion_R,Dispersion_M)*(MAX(P350,Public)^2-Public^2)+(MAX(P350,Public)-Public)*IF(P208="Instantaneous",DC_Duration_Initial*(P83/P98)^(1/3),2*(P$55/3.142)^0.5),IF(P208="Instantaneous",Dispersion_R,Dispersion_M)*(MAX(P350,Zone_1)^2-Zone_1^2)+(MAX(P350,Zone_1)-Zone_1)*IF(P208="Instantaneous",DC_Duration_Initial*(P83/P98)^(1/3),2*(P$55/3.142)^0.5))</f>
        <v>3.0000000000000005E-3</v>
      </c>
      <c r="Q353" s="83"/>
      <c r="R353" s="1206">
        <f>IF(Zone_1&lt;Public,IF(R208="Instantaneous",Dispersion_R,Dispersion_M)*(MAX(R350,Public)^2-Public^2)+(MAX(R350,Public)-Public)*IF(R208="Instantaneous",DC_Duration_Initial*(R83/R98)^(1/3),2*(R$55/3.142)^0.5),IF(R208="Instantaneous",Dispersion_R,Dispersion_M)*(MAX(R350,Zone_1)^2-Zone_1^2)+(MAX(R350,Zone_1)-Zone_1)*IF(R208="Instantaneous",DC_Duration_Initial*(R83/R98)^(1/3),2*(R$55/3.142)^0.5))</f>
        <v>3.0000000000000005E-3</v>
      </c>
      <c r="S353" s="83"/>
      <c r="T353" s="1206">
        <f>IF(Zone_1&lt;Public,IF(T208="Instantaneous",Dispersion_R,Dispersion_M)*(MAX(T350,Public)^2-Public^2)+(MAX(T350,Public)-Public)*IF(T208="Instantaneous",DC_Duration_Initial*(T83/T98)^(1/3),2*(T$55/3.142)^0.5),IF(T208="Instantaneous",Dispersion_R,Dispersion_M)*(MAX(T350,Zone_1)^2-Zone_1^2)+(MAX(T350,Zone_1)-Zone_1)*IF(T208="Instantaneous",DC_Duration_Initial*(T83/T98)^(1/3),2*(T$55/3.142)^0.5))</f>
        <v>3.0000000000000005E-3</v>
      </c>
      <c r="U353" s="83"/>
      <c r="V353" s="1206">
        <f>IF(Zone_1&lt;Public,IF(V208="Instantaneous",Dispersion_R,Dispersion_M)*(MAX(V350,Public)^2-Public^2)+(MAX(V350,Public)-Public)*IF(V208="Instantaneous",DC_Duration_Initial*(V83/V98)^(1/3),2*(V$55/3.142)^0.5),IF(V208="Instantaneous",Dispersion_R,Dispersion_M)*(MAX(V350,Zone_1)^2-Zone_1^2)+(MAX(V350,Zone_1)-Zone_1)*IF(V208="Instantaneous",DC_Duration_Initial*(V83/V98)^(1/3),2*(V$55/3.142)^0.5))</f>
        <v>3.0000000000000005E-3</v>
      </c>
      <c r="W353" s="83"/>
      <c r="X353" s="1206">
        <f>IF(Zone_1&lt;Public,IF(X208="Instantaneous",Dispersion_R,Dispersion_M)*(MAX(X350,Public)^2-Public^2)+(MAX(X350,Public)-Public)*IF(X208="Instantaneous",DC_Duration_Initial*(X83/X98)^(1/3),2*(X$55/3.142)^0.5),IF(X208="Instantaneous",Dispersion_R,Dispersion_M)*(MAX(X350,Zone_1)^2-Zone_1^2)+(MAX(X350,Zone_1)-Zone_1)*IF(X208="Instantaneous",DC_Duration_Initial*(X83/X98)^(1/3),2*(X$55/3.142)^0.5))</f>
        <v>3.0000000000000005E-3</v>
      </c>
      <c r="Y353" s="83"/>
      <c r="Z353" s="85" t="s">
        <v>3804</v>
      </c>
      <c r="AA353" s="83"/>
      <c r="AB353" s="81"/>
      <c r="AC353" s="23" t="s">
        <v>3628</v>
      </c>
      <c r="AD353" s="81"/>
      <c r="AE353" s="2631">
        <f>IF(AND(AE98&gt;0,AE290&gt;0),IF(AE294="Indoors",IF(AE315&lt;=AE290,0.1,AE$140*((IF(Enclosed_Ventilation_Rate&gt;1,Enclosed_Ventilation_Rate,1)*Enclosed_Process_Volume*AE98*AE315/88020000000)*1000000*(1/AE290-1/AE315)/(AE98*Wind))^AE$141),IF(OR(AE290=0,AE290&gt;=1000000*AE$99),0,MAX(0,IF(AE169="Instantaneous",AE$166*(AE83/AE98)^(1/3)*(1000000/AE290)^AE$167-AE$168,AE$140*(AE89*(1000000/AE290)/(AE98*Wind))^AE$141-AE$142)))),0.1)</f>
        <v>0.1</v>
      </c>
      <c r="AF353" s="81"/>
      <c r="AG353" s="2631">
        <f>IF(AND(AG98&gt;0,AG290&gt;0),IF(AG294="Indoors",IF(AG315&lt;=AG290,0.1,AG$140*((IF(Enclosed_Ventilation_Rate&gt;1,Enclosed_Ventilation_Rate,1)*Enclosed_Process_Volume*AG98*AG315/88020000000)*1000000*(1/AG290-1/AG315)/(AG98*Wind))^AG$141),IF(OR(AG290=0,AG290&gt;=1000000*AG$99),0,MAX(0,IF(AG169="Instantaneous",AG$166*(AG83/AG98)^(1/3)*(1000000/AG290)^AG$167-AG$168+AG108,AG$140*(AG89*(1000000/AG290)/(AG98*Wind))^AG$141-AG$142+AG108)))),0.1)</f>
        <v>0.1</v>
      </c>
      <c r="AH353" s="81"/>
      <c r="AI353" s="2631">
        <f>IF(AND(AI98&gt;0,AI290&gt;0),IF(AI294="Indoors",IF(AI315&lt;=AI290,0.1,AI$140*((IF(Enclosed_Ventilation_Rate&gt;1,Enclosed_Ventilation_Rate,1)*Enclosed_Process_Volume*AI98*AI315/88020000000)*1000000*(1/AI290-1/AI315)/(AI98*Wind))^AI$141),IF(OR(AI290=0,AI290&gt;=1000000*AI$99),0,MAX(0,IF(AI169="Instantaneous",AI$166*(AI83/AI98)^(1/3)*(1000000/AI290)^AI$167-AI$168+AI108,AI$140*(AI89*(1000000/AI290)/(AI98*Wind))^AI$141-AI$142+AI108)))),0.1)</f>
        <v>0.1</v>
      </c>
      <c r="AJ353" s="81"/>
      <c r="AK353" s="2631">
        <f>IF(AND(AK98&gt;0,AK290&gt;0),IF(AK294="Indoors",IF(AK315&lt;=AK290,0.1,AK$140*((IF(Enclosed_Ventilation_Rate&gt;1,Enclosed_Ventilation_Rate,1)*Enclosed_Process_Volume*AK98*AK315/88020000000)*1000000*(1/AK290-1/AK315)/(AK98*Wind))^AK$141),IF(OR(AK290=0,AK290&gt;=1000000*AK$99),0,MAX(0,IF(AK169="Instantaneous",AK$166*(AK83/AK98)^(1/3)*(1000000/AK290)^AK$167-AK$168+AK108,AK$140*(AK89*(1000000/AK290)/(AK98*Wind))^AK$141-AK$142+AK108)))),0.1)</f>
        <v>0.1</v>
      </c>
      <c r="AL353" s="81"/>
      <c r="AM353" s="2631">
        <f>IF(AND(AM98&gt;0,AM290&gt;0),IF(AM294="Indoors",IF(AM315&lt;=AM290,0.1,AM$140*((IF(Enclosed_Ventilation_Rate&gt;1,Enclosed_Ventilation_Rate,1)*Enclosed_Process_Volume*AM98*AM315/88020000000)*1000000*(1/AM290-1/AM315)/(AM98*Wind))^AM$141),IF(OR(AM290=0,AM290&gt;=1000000*AM$99),0,MAX(0,IF(AM169="Instantaneous",AM$166*(AM83/AM98)^(1/3)*(1000000/AM290)^AM$167-AM$168+AM108,AM$140*(AM89*(1000000/AM290)/(AM98*Wind))^AM$141-AM$142+AM108)))),0.1)</f>
        <v>0.1</v>
      </c>
      <c r="AN353" s="81"/>
      <c r="AO353" s="2631">
        <f>IF(AND(AO98&gt;0,AO290&gt;0),IF(AO294="Indoors",IF(AO315&lt;=AO290,0.1,AO$140*((IF(Enclosed_Ventilation_Rate&gt;1,Enclosed_Ventilation_Rate,1)*Enclosed_Process_Volume*AO98*AO315/88020000000)*1000000*(1/AO290-1/AO315)/(AO98*Wind))^AO$141),IF(OR(AO290=0,AO290&gt;=1000000*AO$99),0,MAX(0,IF(AO169="Instantaneous",AO$166*(AO83/AO98)^(1/3)*(1000000/AO290)^AO$167-AO$168+AO108,AO$140*(AO89*(1000000/AO290)/(AO98*Wind))^AO$141-AO$142+AO108)))),0.1)</f>
        <v>0.1</v>
      </c>
      <c r="AP353" s="81"/>
      <c r="AQ353" s="85" t="s">
        <v>1068</v>
      </c>
      <c r="AR353" s="81"/>
      <c r="AS353" s="83"/>
      <c r="AT353" s="23" t="s">
        <v>3641</v>
      </c>
      <c r="AU353" s="83"/>
      <c r="AV353" s="1206">
        <f>IF(AND(AV82&gt;0,AV277&gt;0),IF(AV278="Indoors",IF(AV299&lt;=AV277,0,AV$176*((IF(Enclosed_Ventilation_Rate&gt;1,Enclosed_Ventilation_Rate,1)*Enclosed_Process_Volume*AV82*AV299/88020000000)*1000000*(1/AV277-1/AV299)/(AV82*Wind_Night))^AV$177),IF(OR(AV277=0,AV277&gt;+ConcFract_Indoor*1000000),0,MAX(0,IF(AV205="Instantaneous",AV$202*((AV67/AV82)*(ConcFract_Indoor*1000000/AV277))^AV$203-AV$204,AV$176*(AV73*(ConcFract_Indoor*1000000/AV277)/(AV82*Wind_Night))^AV$177-AV$178)))),0.1)</f>
        <v>0.1</v>
      </c>
      <c r="AW353" s="83"/>
      <c r="AX353" s="1206">
        <f>IF(AND(AX82&gt;0,AX277&gt;0),IF(AX278="Indoors",IF(AX299&lt;=AX277,0,AX$176*((IF(Enclosed_Ventilation_Rate&gt;1,Enclosed_Ventilation_Rate,1)*Enclosed_Process_Volume*AX82*AX299/88020000000)*1000000*(1/AX277-1/AX299)/(AX82*Wind_Night))^AX$177),IF(OR(AX277=0,AX277&gt;+ConcFract_Indoor*1000000),0,MAX(0,IF(AX205="Instantaneous",AX$202*((AX67/AX82)*(ConcFract_Indoor*1000000/AX277))^AX$203-AX$204+AX92,AX$176*(AX73*(ConcFract_Indoor*1000000/AX277)/(AX82*Wind_Night))^AX$177-AX$178+AX92)))),0.1)</f>
        <v>0.1</v>
      </c>
      <c r="AY353" s="83"/>
      <c r="AZ353" s="1206">
        <f>IF(AND(AZ82&gt;0,AZ277&gt;0),IF(AZ278="Indoors",IF(AZ299&lt;=AZ277,0,AZ$176*((IF(Enclosed_Ventilation_Rate&gt;1,Enclosed_Ventilation_Rate,1)*Enclosed_Process_Volume*AZ82*AZ299/88020000000)*1000000*(1/AZ277-1/AZ299)/(AZ82*Wind_Night))^AZ$177),IF(OR(AZ277=0,AZ277&gt;+ConcFract_Indoor*1000000),0,MAX(0,IF(AZ205="Instantaneous",AZ$202*((AZ67/AZ82)*(ConcFract_Indoor*1000000/AZ277))^AZ$203-AZ$204+AZ92,AZ$176*(AZ73*(ConcFract_Indoor*1000000/AZ277)/(AZ82*Wind_Night))^AZ$177-AZ$178+AZ92)))),0.1)</f>
        <v>0.1</v>
      </c>
      <c r="BA353" s="83"/>
      <c r="BB353" s="1206">
        <f>IF(AND(BB82&gt;0,BB277&gt;0),IF(BB278="Indoors",IF(BB299&lt;=BB277,0,BB$176*((IF(Enclosed_Ventilation_Rate&gt;1,Enclosed_Ventilation_Rate,1)*Enclosed_Process_Volume*BB82*BB299/88020000000)*1000000*(1/BB277-1/BB299)/(BB82*Wind_Night))^BB$177),IF(OR(BB277=0,BB277&gt;+ConcFract_Indoor*1000000),0,MAX(0,IF(BB205="Instantaneous",BB$202*((BB67/BB82)*(ConcFract_Indoor*1000000/BB277))^BB$203-BB$204+BB92,BB$176*(BB73*(ConcFract_Indoor*1000000/BB277)/(BB82*Wind_Night))^BB$177-BB$178+BB92)))),0.1)</f>
        <v>0.1</v>
      </c>
      <c r="BC353" s="83"/>
      <c r="BD353" s="1206">
        <f>IF(AND(BD82&gt;0,BD277&gt;0),IF(BD278="Indoors",IF(BD299&lt;=BD277,0,BD$176*((IF(Enclosed_Ventilation_Rate&gt;1,Enclosed_Ventilation_Rate,1)*Enclosed_Process_Volume*BD82*BD299/88020000000)*1000000*(1/BD277-1/BD299)/(BD82*Wind_Night))^BD$177),IF(OR(BD277=0,BD277&gt;+ConcFract_Indoor*1000000),0,MAX(0,IF(BD205="Instantaneous",BD$202*((BD67/BD82)*(ConcFract_Indoor*1000000/BD277))^BD$203-BD$204+BD92,BD$176*(BD73*(ConcFract_Indoor*1000000/BD277)/(BD82*Wind_Night))^BD$177-BD$178+BD92)))),0.1)</f>
        <v>0.1</v>
      </c>
      <c r="BE353" s="83"/>
      <c r="BF353" s="1206">
        <f>IF(AND(BF82&gt;0,BF277&gt;0),IF(BF278="Indoors",IF(BF299&lt;=BF277,0,BF$176*((IF(Enclosed_Ventilation_Rate&gt;1,Enclosed_Ventilation_Rate,1)*Enclosed_Process_Volume*BF82*BF299/88020000000)*1000000*(1/BF277-1/BF299)/(BF82*Wind_Night))^BF$177),IF(OR(BF277=0,BF277&gt;+ConcFract_Indoor*1000000),0,MAX(0,IF(BF205="Instantaneous",BF$202*((BF67/BF82)*(ConcFract_Indoor*1000000/BF277))^BF$203-BF$204+BF92,BF$176*(BF73*(ConcFract_Indoor*1000000/BF277)/(BF82*Wind_Night))^BF$177-BF$178+BF92)))),0.1)</f>
        <v>0.1</v>
      </c>
      <c r="BG353" s="83"/>
      <c r="BH353" s="1206">
        <f>IF(AND(BH82&gt;0,BH277&gt;0),IF(BH278="Indoors",IF(BH299&lt;=BH277,0,BH$176*((IF(Enclosed_Ventilation_Rate&gt;1,Enclosed_Ventilation_Rate,1)*Enclosed_Process_Volume*BH82*BH299/88020000000)*1000000*(1/BH277-1/BH299)/(BH82*Wind_Night))^BH$177),IF(OR(BH277=0,BH277&gt;+ConcFract_Indoor*1000000),0,MAX(0,IF(BH205="Instantaneous",BH$202*((BH67/BH82)*(ConcFract_Indoor*1000000/BH277))^BH$203-BH$204+BH92,BH$176*(BH73*(ConcFract_Indoor*1000000/BH277)/(BH82*Wind_Night))^BH$177-BH$178+BH92)))),0.1)</f>
        <v>0.1</v>
      </c>
      <c r="BI353" s="83"/>
      <c r="BJ353" s="1206">
        <f>IF(AND(BJ82&gt;0,BJ277&gt;0),IF(BJ278="Indoors",IF(BJ299&lt;=BJ277,0,BJ$176*((IF(Enclosed_Ventilation_Rate&gt;1,Enclosed_Ventilation_Rate,1)*Enclosed_Process_Volume*BJ82*BJ299/88020000000)*1000000*(1/BJ277-1/BJ299)/(BJ82*Wind_Night))^BJ$177),IF(OR(BJ277=0,BJ277&gt;+ConcFract_Indoor*1000000),0,MAX(0,IF(BJ205="Instantaneous",BJ$202*((BJ67/BJ82)*(ConcFract_Indoor*1000000/BJ277))^BJ$203-BJ$204+BJ92,BJ$176*(BJ73*(ConcFract_Indoor*1000000/BJ277)/(BJ82*Wind_Night))^BJ$177-BJ$178+BJ92)))),0.1)</f>
        <v>0.1</v>
      </c>
      <c r="BK353" s="83"/>
      <c r="BL353" s="1206">
        <f>IF(AND(BL82&gt;0,BL277&gt;0),IF(BL278="Indoors",IF(BL299&lt;=BL277,0,BL$176*((IF(Enclosed_Ventilation_Rate&gt;1,Enclosed_Ventilation_Rate,1)*Enclosed_Process_Volume*BL82*BL299/88020000000)*1000000*(1/BL277-1/BL299)/(BL82*Wind_Night))^BL$177),IF(OR(BL277=0,BL277&gt;+ConcFract_Indoor*1000000),0,MAX(0,IF(BL205="Instantaneous",BL$202*((BL67/BL82)*(ConcFract_Indoor*1000000/BL277))^BL$203-BL$204+BL92,BL$176*(BL73*(ConcFract_Indoor*1000000/BL277)/(BL82*Wind_Night))^BL$177-BL$178+BL92)))),0.1)</f>
        <v>0.1</v>
      </c>
      <c r="BM353" s="83"/>
      <c r="BN353" s="1206">
        <f>IF(AND(BN82&gt;0,BN277&gt;0),IF(BN278="Indoors",IF(BN299&lt;=BN277,0,BN$176*((IF(Enclosed_Ventilation_Rate&gt;1,Enclosed_Ventilation_Rate,1)*Enclosed_Process_Volume*BN82*BN299/88020000000)*1000000*(1/BN277-1/BN299)/(BN82*Wind_Night))^BN$177),IF(OR(BN277=0,BN277&gt;+ConcFract_Indoor*1000000),0,MAX(0,IF(BN205="Instantaneous",BN$202*((BN67/BN82)*(ConcFract_Indoor*1000000/BN277))^BN$203-BN$204+BN92,BN$176*(BN73*(ConcFract_Indoor*1000000/BN277)/(BN82*Wind_Night))^BN$177-BN$178+BN92)))),0.1)</f>
        <v>0.1</v>
      </c>
      <c r="BO353" s="83"/>
      <c r="BP353" s="85" t="s">
        <v>1068</v>
      </c>
      <c r="BQ353" s="83"/>
      <c r="BR353" s="81"/>
      <c r="BS353" s="23" t="s">
        <v>809</v>
      </c>
      <c r="BT353" s="81"/>
      <c r="BU353" s="99"/>
      <c r="BV353" s="81"/>
      <c r="BW353" s="1181">
        <f>IF(AND(Occ_Bldg_Cntr&gt;0,Reaction_Energy2&gt;0),14.7*EXP(TNT_A/(LN(Occ_Bldg_Cntr/(Reaction_Energy2/1100)^0.33)+TNT_C)-TNT_B),BW354)</f>
        <v>0</v>
      </c>
      <c r="BX353" s="81"/>
      <c r="BY353" s="1181">
        <f>IF(AND(Occ_Bldg_Cntr&gt;0,Reaction_Energy&gt;0),14.7*EXP(TNT_A/(LN(Occ_Bldg_Cntr/(Reaction_Energy/1100)^0.33)+TNT_C)-TNT_B),BY354)</f>
        <v>0</v>
      </c>
      <c r="BZ353" s="81"/>
      <c r="CA353" s="1181"/>
      <c r="CB353" s="81"/>
      <c r="CC353" s="1181">
        <f>IF(AND(Occ_Bldg_Cntr&gt;0,Reaction_Energy3&gt;0),14.7*EXP(TNT_A/(LN(Occ_Bldg_Cntr/(Reaction_Energy3/1100)^0.33)+TNT_C)-TNT_B),CC354)</f>
        <v>0</v>
      </c>
      <c r="CD353" s="81"/>
      <c r="CE353" s="85" t="s">
        <v>968</v>
      </c>
      <c r="CF353" s="81"/>
      <c r="CG353" s="26"/>
      <c r="CH353" s="26"/>
      <c r="CI353" s="26"/>
      <c r="CJ353" s="26"/>
      <c r="CK353" s="26"/>
      <c r="CL353" s="26"/>
      <c r="CM353" s="26"/>
      <c r="CN353" s="26"/>
    </row>
    <row r="354" spans="1:92" ht="15" customHeight="1" x14ac:dyDescent="0.25">
      <c r="A354" s="2"/>
      <c r="B354" s="23" t="s">
        <v>3633</v>
      </c>
      <c r="C354" s="83"/>
      <c r="D354" s="1206">
        <f>IF(OR(D$279=0,D$273=""),0,IF(Zone_1&lt;Public,IF(D208="Instantaneous",Dispersion_R,Dispersion_M)*D$273^(2*IF(D208="Instantaneous",D$206,D$180))*D$290^2*(0-EXP(D$278+D$279*MAX(D350,Public)^2/(D$273^(2*IF(D208="Instantaneous",D$206,D$180))*D$290^2)))/D$279,IF(D208="Instantaneous",Dispersion_R,Dispersion_M)*D$273^(2*IF(D208="Instantaneous",D$206,D$180))*D$290^2*(0-EXP(D$278+D$279*MAX(D350,Zone_1)^2/(D$273^(2*IF(D208="Instantaneous",D$206,D$180))*D$290^2)))/D$279))</f>
        <v>0</v>
      </c>
      <c r="E354" s="83"/>
      <c r="F354" s="1206">
        <f>IF(OR(F$279=0,F$273=""),0,IF(Zone_1&lt;Public,IF(F208="Instantaneous",Dispersion_R,Dispersion_M)*F$273^(2*IF(F208="Instantaneous",F$206,F$180))*F$290^2*(0-EXP(F$278+F$279*MAX(F350,Public)^2/(F$273^(2*IF(F208="Instantaneous",F$206,F$180))*F$290^2)))/F$279,IF(F208="Instantaneous",Dispersion_R,Dispersion_M)*F$273^(2*IF(F208="Instantaneous",F$206,F$180))*F$290^2*(0-EXP(F$278+F$279*MAX(F350,Zone_1)^2/(F$273^(2*IF(F208="Instantaneous",F$206,F$180))*F$290^2)))/F$279))</f>
        <v>0</v>
      </c>
      <c r="G354" s="83"/>
      <c r="H354" s="1206">
        <f>IF(OR(H$279=0,H$273=""),0,IF(Zone_1&lt;Public,IF(H208="Instantaneous",Dispersion_R,Dispersion_M)*H$273^(2*IF(H208="Instantaneous",H$206,H$180))*H$290^2*(0-EXP(H$278+H$279*MAX(H350,Public)^2/(H$273^(2*IF(H208="Instantaneous",H$206,H$180))*H$290^2)))/H$279,IF(H208="Instantaneous",Dispersion_R,Dispersion_M)*H$273^(2*IF(H208="Instantaneous",H$206,H$180))*H$290^2*(0-EXP(H$278+H$279*MAX(H350,Zone_1)^2/(H$273^(2*IF(H208="Instantaneous",H$206,H$180))*H$290^2)))/H$279))</f>
        <v>0</v>
      </c>
      <c r="I354" s="83"/>
      <c r="J354" s="1206">
        <f>IF(OR(J$279=0,J$273=""),0,IF(Zone_1&lt;Public,IF(J208="Instantaneous",Dispersion_R,Dispersion_M)*J$273^(2*IF(J208="Instantaneous",J$206,J$180))*J$290^2*(0-EXP(J$278+J$279*MAX(J350,Public)^2/(J$273^(2*IF(J208="Instantaneous",J$206,J$180))*J$290^2)))/J$279,IF(J208="Instantaneous",Dispersion_R,Dispersion_M)*J$273^(2*IF(J208="Instantaneous",J$206,J$180))*J$290^2*(0-EXP(J$278+J$279*MAX(J350,Zone_1)^2/(J$273^(2*IF(J208="Instantaneous",J$206,J$180))*J$290^2)))/J$279))</f>
        <v>0</v>
      </c>
      <c r="K354" s="83"/>
      <c r="L354" s="1206">
        <f>IF(OR(L$279=0,L$273=""),0,IF(Zone_1&lt;Public,IF(L208="Instantaneous",Dispersion_R,Dispersion_M)*L$273^(2*IF(L208="Instantaneous",L$206,L$180))*L$290^2*(0-EXP(L$278+L$279*MAX(L350,Public)^2/(L$273^(2*IF(L208="Instantaneous",L$206,L$180))*L$290^2)))/L$279,IF(L208="Instantaneous",Dispersion_R,Dispersion_M)*L$273^(2*IF(L208="Instantaneous",L$206,L$180))*L$290^2*(0-EXP(L$278+L$279*MAX(L350,Zone_1)^2/(L$273^(2*IF(L208="Instantaneous",L$206,L$180))*L$290^2)))/L$279))</f>
        <v>0</v>
      </c>
      <c r="M354" s="83"/>
      <c r="N354" s="1206">
        <f>IF(OR(N$279=0,N$273=""),0,IF(Zone_1&lt;Public,IF(N208="Instantaneous",Dispersion_R,Dispersion_M)*N$273^(2*IF(N208="Instantaneous",N$206,N$180))*N$290^2*(0-EXP(N$278+N$279*MAX(N350,Public)^2/(N$273^(2*IF(N208="Instantaneous",N$206,N$180))*N$290^2)))/N$279,IF(N208="Instantaneous",Dispersion_R,Dispersion_M)*N$273^(2*IF(N208="Instantaneous",N$206,N$180))*N$290^2*(0-EXP(N$278+N$279*MAX(N350,Zone_1)^2/(N$273^(2*IF(N208="Instantaneous",N$206,N$180))*N$290^2)))/N$279))</f>
        <v>0</v>
      </c>
      <c r="O354" s="83"/>
      <c r="P354" s="1206">
        <f>IF(OR(P$279=0,P$273=""),0,IF(Zone_1&lt;Public,IF(P208="Instantaneous",Dispersion_R,Dispersion_M)*P$273^(2*IF(P208="Instantaneous",P$206,P$180))*P$290^2*(0-EXP(P$278+P$279*MAX(P350,Public)^2/(P$273^(2*IF(P208="Instantaneous",P$206,P$180))*P$290^2)))/P$279,IF(P208="Instantaneous",Dispersion_R,Dispersion_M)*P$273^(2*IF(P208="Instantaneous",P$206,P$180))*P$290^2*(0-EXP(P$278+P$279*MAX(P350,Zone_1)^2/(P$273^(2*IF(P208="Instantaneous",P$206,P$180))*P$290^2)))/P$279))</f>
        <v>0</v>
      </c>
      <c r="Q354" s="83"/>
      <c r="R354" s="1206">
        <f>IF(OR(R$279=0,R$273=""),0,IF(Zone_1&lt;Public,IF(R208="Instantaneous",Dispersion_R,Dispersion_M)*R$273^(2*IF(R208="Instantaneous",R$206,R$180))*R$290^2*(0-EXP(R$278+R$279*MAX(R350,Public)^2/(R$273^(2*IF(R208="Instantaneous",R$206,R$180))*R$290^2)))/R$279,IF(R208="Instantaneous",Dispersion_R,Dispersion_M)*R$273^(2*IF(R208="Instantaneous",R$206,R$180))*R$290^2*(0-EXP(R$278+R$279*MAX(R350,Zone_1)^2/(R$273^(2*IF(R208="Instantaneous",R$206,R$180))*R$290^2)))/R$279))</f>
        <v>0</v>
      </c>
      <c r="S354" s="83"/>
      <c r="T354" s="1206">
        <f>IF(OR(T$279=0,T$273=""),0,IF(Zone_1&lt;Public,IF(T208="Instantaneous",Dispersion_R,Dispersion_M)*T$273^(2*IF(T208="Instantaneous",T$206,T$180))*T$290^2*(0-EXP(T$278+T$279*MAX(T350,Public)^2/(T$273^(2*IF(T208="Instantaneous",T$206,T$180))*T$290^2)))/T$279,IF(T208="Instantaneous",Dispersion_R,Dispersion_M)*T$273^(2*IF(T208="Instantaneous",T$206,T$180))*T$290^2*(0-EXP(T$278+T$279*MAX(T350,Zone_1)^2/(T$273^(2*IF(T208="Instantaneous",T$206,T$180))*T$290^2)))/T$279))</f>
        <v>0</v>
      </c>
      <c r="U354" s="83"/>
      <c r="V354" s="1206">
        <f>IF(OR(V$279=0,V$273=""),0,IF(Zone_1&lt;Public,IF(V208="Instantaneous",Dispersion_R,Dispersion_M)*V$273^(2*IF(V208="Instantaneous",V$206,V$180))*V$290^2*(0-EXP(V$278+V$279*MAX(V350,Public)^2/(V$273^(2*IF(V208="Instantaneous",V$206,V$180))*V$290^2)))/V$279,IF(V208="Instantaneous",Dispersion_R,Dispersion_M)*V$273^(2*IF(V208="Instantaneous",V$206,V$180))*V$290^2*(0-EXP(V$278+V$279*MAX(V350,Zone_1)^2/(V$273^(2*IF(V208="Instantaneous",V$206,V$180))*V$290^2)))/V$279))</f>
        <v>0</v>
      </c>
      <c r="W354" s="83"/>
      <c r="X354" s="1206">
        <f>IF(OR(X$279=0,X$273=""),0,IF(Zone_1&lt;Public,IF(X208="Instantaneous",Dispersion_R,Dispersion_M)*X$273^(2*IF(X208="Instantaneous",X$206,X$180))*X$290^2*(0-EXP(X$278+X$279*MAX(X350,Public)^2/(X$273^(2*IF(X208="Instantaneous",X$206,X$180))*X$290^2)))/X$279,IF(X208="Instantaneous",Dispersion_R,Dispersion_M)*X$273^(2*IF(X208="Instantaneous",X$206,X$180))*X$290^2*(0-EXP(X$278+X$279*MAX(X350,Zone_1)^2/(X$273^(2*IF(X208="Instantaneous",X$206,X$180))*X$290^2)))/X$279))</f>
        <v>0</v>
      </c>
      <c r="Y354" s="83"/>
      <c r="Z354" s="85" t="s">
        <v>3804</v>
      </c>
      <c r="AA354" s="83"/>
      <c r="AB354" s="81"/>
      <c r="AC354" s="23" t="s">
        <v>3629</v>
      </c>
      <c r="AD354" s="81"/>
      <c r="AE354" s="1206">
        <f>IF(AE169="Instantaneous",Dispersion_I,Dispersion_D)*(MAX(AE353,(AE109-MIN(AE109,WorkArea_Elevation))*Dispersion_E^0.5,Public)^2-MAX((AE109-MIN(AE109,WorkArea_Elevation))*Dispersion_E^0.5,Public)^2)+2*(MAX(AE353,(AE109-MIN(AE109,WorkArea_Elevation))*Dispersion_E^0.5,Public)-MAX((AE109-MIN(AE109,WorkArea_Elevation))*Dispersion_E^0.5,Public))*(AE$55/3.142)^0.5</f>
        <v>3.0000000000000005E-3</v>
      </c>
      <c r="AF354" s="81"/>
      <c r="AG354" s="1206">
        <f>IF(AG169="Instantaneous",Dispersion_I,Dispersion_D)*(MAX(AG353,(AG109-MIN(AG109,WorkArea_Elevation))*Dispersion_E^0.5,Public)^2-MAX((AG109-MIN(AG109,WorkArea_Elevation))*Dispersion_E^0.5,Public)^2)+2*(MAX(AG353,(AG109-MIN(AG109,WorkArea_Elevation))*Dispersion_E^0.5,Public)-MAX((AG109-MIN(AG109,WorkArea_Elevation))*Dispersion_E^0.5,Public))*(AG$55/3.142)^0.5</f>
        <v>3.0000000000000005E-3</v>
      </c>
      <c r="AH354" s="81"/>
      <c r="AI354" s="1206">
        <f>IF(AI169="Instantaneous",Dispersion_I,Dispersion_D)*(MAX(AI353,(AI109-MIN(AI109,WorkArea_Elevation))*Dispersion_E^0.5,Public)^2-MAX((AI109-MIN(AI109,WorkArea_Elevation))*Dispersion_E^0.5,Public)^2)+2*(MAX(AI353,(AI109-MIN(AI109,WorkArea_Elevation))*Dispersion_E^0.5,Public)-MAX((AI109-MIN(AI109,WorkArea_Elevation))*Dispersion_E^0.5,Public))*(AI$55/3.142)^0.5</f>
        <v>3.0000000000000005E-3</v>
      </c>
      <c r="AJ354" s="81"/>
      <c r="AK354" s="1206">
        <f>IF(AK169="Instantaneous",Dispersion_I,Dispersion_D)*(MAX(AK353,(AK109-MIN(AK109,WorkArea_Elevation))*Dispersion_E^0.5,Public)^2-MAX((AK109-MIN(AK109,WorkArea_Elevation))*Dispersion_E^0.5,Public)^2)+2*(MAX(AK353,(AK109-MIN(AK109,WorkArea_Elevation))*Dispersion_E^0.5,Public)-MAX((AK109-MIN(AK109,WorkArea_Elevation))*Dispersion_E^0.5,Public))*(AK$55/3.142)^0.5</f>
        <v>3.0000000000000005E-3</v>
      </c>
      <c r="AL354" s="81"/>
      <c r="AM354" s="1206">
        <f>IF(AM169="Instantaneous",Dispersion_I,Dispersion_D)*(MAX(AM353,(AM109-MIN(AM109,WorkArea_Elevation))*Dispersion_E^0.5,Public)^2-MAX((AM109-MIN(AM109,WorkArea_Elevation))*Dispersion_E^0.5,Public)^2)+2*(MAX(AM353,(AM109-MIN(AM109,WorkArea_Elevation))*Dispersion_E^0.5,Public)-MAX((AM109-MIN(AM109,WorkArea_Elevation))*Dispersion_E^0.5,Public))*(AM$55/3.142)^0.5</f>
        <v>3.0000000000000005E-3</v>
      </c>
      <c r="AN354" s="81"/>
      <c r="AO354" s="1206">
        <f>IF(AO169="Instantaneous",Dispersion_I,Dispersion_D)*(MAX(AO353,(AO109-MIN(AO109,WorkArea_Elevation))*Dispersion_E^0.5,Public)^2-MAX((AO109-MIN(AO109,WorkArea_Elevation))*Dispersion_E^0.5,Public)^2)+2*(MAX(AO353,(AO109-MIN(AO109,WorkArea_Elevation))*Dispersion_E^0.5,Public)-MAX((AO109-MIN(AO109,WorkArea_Elevation))*Dispersion_E^0.5,Public))*(AO$55/3.142)^0.5</f>
        <v>3.0000000000000005E-3</v>
      </c>
      <c r="AP354" s="81"/>
      <c r="AQ354" s="85" t="s">
        <v>3804</v>
      </c>
      <c r="AR354" s="81"/>
      <c r="AS354" s="83"/>
      <c r="AT354" s="23" t="s">
        <v>3635</v>
      </c>
      <c r="AU354" s="83"/>
      <c r="AV354" s="1206" t="e">
        <f>IF(AV205="Instantaneous",Dispersion_R,Dispersion_M)*(MAX(AV353,(AV93-MIN(AV93,WorkArea_Elevation))*Dispersion_N^0.5,Public)^2-MAX((AV93-MIN(AV93,WorkArea_Elevation))*Dispersion_N^0.5,Public)^2)</f>
        <v>#DIV/0!</v>
      </c>
      <c r="AW354" s="83"/>
      <c r="AX354" s="1206" t="e">
        <f>IF(AX205="Instantaneous",Dispersion_R,Dispersion_M)*(MAX(AX353,(AX93-MIN(AX93,WorkArea_Elevation))*Dispersion_N^0.5,Public)^2-MAX((AX93-MIN(AX93,WorkArea_Elevation))*Dispersion_N^0.5,Public)^2)</f>
        <v>#DIV/0!</v>
      </c>
      <c r="AY354" s="83"/>
      <c r="AZ354" s="1206" t="e">
        <f>IF(AZ205="Instantaneous",Dispersion_R,Dispersion_M)*(MAX(AZ353,(AZ93-MIN(AZ93,WorkArea_Elevation))*Dispersion_N^0.5,Public)^2-MAX((AZ93-MIN(AZ93,WorkArea_Elevation))*Dispersion_N^0.5,Public)^2)</f>
        <v>#DIV/0!</v>
      </c>
      <c r="BA354" s="83"/>
      <c r="BB354" s="1206" t="e">
        <f>IF(BB205="Instantaneous",Dispersion_R,Dispersion_M)*(MAX(BB353,(BB93-MIN(BB93,WorkArea_Elevation))*Dispersion_N^0.5,Public)^2-MAX((BB93-MIN(BB93,WorkArea_Elevation))*Dispersion_N^0.5,Public)^2)</f>
        <v>#DIV/0!</v>
      </c>
      <c r="BC354" s="83"/>
      <c r="BD354" s="1206" t="e">
        <f>IF(BD205="Instantaneous",Dispersion_R,Dispersion_M)*(MAX(BD353,(BD93-MIN(BD93,WorkArea_Elevation))*Dispersion_N^0.5,Public)^2-MAX((BD93-MIN(BD93,WorkArea_Elevation))*Dispersion_N^0.5,Public)^2)</f>
        <v>#DIV/0!</v>
      </c>
      <c r="BE354" s="83"/>
      <c r="BF354" s="1206" t="e">
        <f>IF(BF205="Instantaneous",Dispersion_R,Dispersion_M)*(MAX(BF353,(BF93-MIN(BF93,WorkArea_Elevation))*Dispersion_N^0.5,Public)^2-MAX((BF93-MIN(BF93,WorkArea_Elevation))*Dispersion_N^0.5,Public)^2)</f>
        <v>#DIV/0!</v>
      </c>
      <c r="BG354" s="83"/>
      <c r="BH354" s="1206" t="e">
        <f>IF(BH205="Instantaneous",Dispersion_R,Dispersion_M)*(MAX(BH353,(BH93-MIN(BH93,WorkArea_Elevation))*Dispersion_N^0.5,Public)^2-MAX((BH93-MIN(BH93,WorkArea_Elevation))*Dispersion_N^0.5,Public)^2)</f>
        <v>#DIV/0!</v>
      </c>
      <c r="BI354" s="83"/>
      <c r="BJ354" s="1206" t="e">
        <f>IF(BJ205="Instantaneous",Dispersion_R,Dispersion_M)*(MAX(BJ353,(BJ93-MIN(BJ93,WorkArea_Elevation))*Dispersion_N^0.5,Public)^2-MAX((BJ93-MIN(BJ93,WorkArea_Elevation))*Dispersion_N^0.5,Public)^2)</f>
        <v>#DIV/0!</v>
      </c>
      <c r="BK354" s="83"/>
      <c r="BL354" s="1206" t="e">
        <f>IF(BL205="Instantaneous",Dispersion_R,Dispersion_M)*(MAX(BL353,(BL93-MIN(BL93,WorkArea_Elevation))*Dispersion_N^0.5,Public)^2-MAX((BL93-MIN(BL93,WorkArea_Elevation))*Dispersion_N^0.5,Public)^2)</f>
        <v>#DIV/0!</v>
      </c>
      <c r="BM354" s="83"/>
      <c r="BN354" s="1206" t="e">
        <f>IF(BN205="Instantaneous",Dispersion_R,Dispersion_M)*(MAX(BN353,(BN93-MIN(BN93,WorkArea_Elevation))*Dispersion_N^0.5,Public)^2-MAX((BN93-MIN(BN93,WorkArea_Elevation))*Dispersion_N^0.5,Public)^2)</f>
        <v>#DIV/0!</v>
      </c>
      <c r="BO354" s="83"/>
      <c r="BP354" s="85" t="s">
        <v>3804</v>
      </c>
      <c r="BQ354" s="83"/>
      <c r="BR354" s="81"/>
      <c r="BS354" s="23" t="s">
        <v>1749</v>
      </c>
      <c r="BT354" s="81"/>
      <c r="BU354" s="120"/>
      <c r="BV354" s="81"/>
      <c r="BW354" s="120">
        <f>IF(AND(Occ_Bldg&gt;0,Reaction_Energy2&gt;0),14.7*EXP(TNT_A/(LN(Occ_Bldg/(Reaction_Energy2/1100)^0.33)+TNT_C)-TNT_B),0)</f>
        <v>0</v>
      </c>
      <c r="BX354" s="81"/>
      <c r="BY354" s="120">
        <f>IF(AND(Occ_Bldg&gt;0,Reaction_Energy&gt;0),14.7*EXP(TNT_A/(LN(Occ_Bldg/(Reaction_Energy/1100)^0.33)+TNT_C)-TNT_B),0)</f>
        <v>0</v>
      </c>
      <c r="BZ354" s="81"/>
      <c r="CA354" s="120"/>
      <c r="CB354" s="81"/>
      <c r="CC354" s="120">
        <f>IF(AND(Occ_Bldg&gt;0,Reaction_Energy3&gt;0),14.7*EXP(TNT_A/(LN(Occ_Bldg/(Reaction_Energy3/1100)^0.33)+TNT_C)-TNT_B),0)</f>
        <v>0</v>
      </c>
      <c r="CD354" s="81"/>
      <c r="CE354" s="85" t="s">
        <v>968</v>
      </c>
      <c r="CF354" s="81"/>
      <c r="CG354" s="26"/>
      <c r="CH354" s="26"/>
      <c r="CI354" s="26"/>
      <c r="CJ354" s="26"/>
      <c r="CK354" s="26"/>
      <c r="CL354" s="26"/>
      <c r="CM354" s="26"/>
      <c r="CN354" s="26"/>
    </row>
    <row r="355" spans="1:92" ht="15" customHeight="1" x14ac:dyDescent="0.25">
      <c r="A355" s="2"/>
      <c r="B355" s="23" t="s">
        <v>3634</v>
      </c>
      <c r="C355" s="83"/>
      <c r="D355" s="1206">
        <f>IF(AND(D98&gt;0,D280&gt;0),IF(Location="Indoors",IF(ConcFract_Indoor*D301&lt;=D280,0.1,D$179*((IF(Enclosed_Ventilation_Rate&gt;1,Enclosed_Ventilation_Rate,1)*Enclosed_Process_Volume*D98*D301/88020000000)*1000000*(ConcFract_Indoor/D280-1/D301)/(D98*Wind_Night))^D$180),IF(OR(D280=0,D280&gt;=ConcFract_Indoor*1000000*D$99),0,IF(D208="Instantaneous",D$205*((D83/D98)*(ConcFract_Indoor*1000000/D280))^D$206-D$207,D$179*(D89*(ConcFract_Indoor*1000000/D280)/(D98*Wind_Night))^D$180-D$181))),0.1)</f>
        <v>0.1</v>
      </c>
      <c r="E355" s="83"/>
      <c r="F355" s="1206">
        <f>IF(AND(F98&gt;0,F280&gt;0),IF(Location="Indoors",IF(ConcFract_Indoor*F301&lt;=F280,0.1,F$179*((IF(Enclosed_Ventilation_Rate&gt;1,Enclosed_Ventilation_Rate,1)*Enclosed_Process_Volume*F98*F301/88020000000)*1000000*(ConcFract_Indoor/F280-1/F301)/(F98*Wind_Night))^F$180),IF(OR(F280=0,F280&gt;=ConcFract_Indoor*1000000*F$99),0,IF(F208="Instantaneous",F$205*((F83/F98)*(ConcFract_Indoor*1000000/F280))^F$206-F$207,F$179*(F89*(ConcFract_Indoor*1000000/F280)/(F98*Wind_Night))^F$180-F$181))),0.1)</f>
        <v>0.1</v>
      </c>
      <c r="G355" s="83"/>
      <c r="H355" s="1206">
        <f>IF(AND(H98&gt;0,H280&gt;0),IF(Location="Indoors",IF(ConcFract_Indoor*H301&lt;=H280,0.1,H$179*((IF(Enclosed_Ventilation_Rate&gt;1,Enclosed_Ventilation_Rate,1)*Enclosed_Process_Volume*H98*H301/88020000000)*1000000*(ConcFract_Indoor/H280-1/H301)/(H98*Wind_Night))^H$180),IF(OR(H280=0,H280&gt;=ConcFract_Indoor*1000000*H$99),0,IF(H208="Instantaneous",H$205*((H83/H98)*(ConcFract_Indoor*1000000/H280))^H$206-H$207,H$179*(H89*(ConcFract_Indoor*1000000/H280)/(H98*Wind_Night))^H$180-H$181))),0.1)</f>
        <v>0.1</v>
      </c>
      <c r="I355" s="83"/>
      <c r="J355" s="1206">
        <f>IF(AND(J98&gt;0,J280&gt;0),IF(Location="Indoors",IF(ConcFract_Indoor*J301&lt;=J280,0.1,J$179*((IF(Enclosed_Ventilation_Rate&gt;1,Enclosed_Ventilation_Rate,1)*Enclosed_Process_Volume*J98*J301/88020000000)*1000000*(ConcFract_Indoor/J280-1/J301)/(J98*Wind_Night))^J$180),IF(OR(J280=0,J280&gt;=ConcFract_Indoor*1000000*J$99),0,IF(J208="Instantaneous",J$205*((J83/J98)*(ConcFract_Indoor*1000000/J280))^J$206-J$207,J$179*(J89*(ConcFract_Indoor*1000000/J280)/(J98*Wind_Night))^J$180-J$181))),0.1)</f>
        <v>0.1</v>
      </c>
      <c r="K355" s="83"/>
      <c r="L355" s="1206">
        <f>IF(AND(L98&gt;0,L280&gt;0),IF(Location="Indoors",IF(ConcFract_Indoor*L301&lt;=L280,0.1,L$179*((IF(Enclosed_Ventilation_Rate&gt;1,Enclosed_Ventilation_Rate,1)*Enclosed_Process_Volume*L98*L301/88020000000)*1000000*(ConcFract_Indoor/L280-1/L301)/(L98*Wind_Night))^L$180),IF(OR(L280=0,L280&gt;=ConcFract_Indoor*1000000*L$99),0,IF(L208="Instantaneous",L$205*((L83/L98)*(ConcFract_Indoor*1000000/L280))^L$206-L$207,L$179*(L89*(ConcFract_Indoor*1000000/L280)/(L98*Wind_Night))^L$180-L$181))),0.1)</f>
        <v>0.1</v>
      </c>
      <c r="M355" s="83"/>
      <c r="N355" s="1206">
        <f>IF(AND(N98&gt;0,N280&gt;0),IF(Location="Indoors",IF(ConcFract_Indoor*N301&lt;=N280,0.1,N$179*((IF(Enclosed_Ventilation_Rate&gt;1,Enclosed_Ventilation_Rate,1)*Enclosed_Process_Volume*N98*N301/88020000000)*1000000*(ConcFract_Indoor/N280-1/N301)/(N98*Wind_Night))^N$180),IF(OR(N280=0,N280&gt;=ConcFract_Indoor*1000000*N$99),0,IF(N208="Instantaneous",N$205*((N83/N98)*(ConcFract_Indoor*1000000/N280))^N$206-N$207,N$179*(N89*(ConcFract_Indoor*1000000/N280)/(N98*Wind_Night))^N$180-N$181))),0.1)</f>
        <v>0.1</v>
      </c>
      <c r="O355" s="83"/>
      <c r="P355" s="1206">
        <f>IF(AND(P98&gt;0,P280&gt;0),IF(Location="Indoors",IF(ConcFract_Indoor*P301&lt;=P280,0.1,P$179*((IF(Enclosed_Ventilation_Rate&gt;1,Enclosed_Ventilation_Rate,1)*Enclosed_Process_Volume*P98*P301/88020000000)*1000000*(ConcFract_Indoor/P280-1/P301)/(P98*Wind_Night))^P$180),IF(OR(P280=0,P280&gt;=ConcFract_Indoor*1000000*P$99),0,IF(P208="Instantaneous",P$205*((P83/P98)*(ConcFract_Indoor*1000000/P280))^P$206-P$207,P$179*(P89*(ConcFract_Indoor*1000000/P280)/(P98*Wind_Night))^P$180-P$181))),0.1)</f>
        <v>0.1</v>
      </c>
      <c r="Q355" s="83"/>
      <c r="R355" s="1206">
        <f>IF(AND(R98&gt;0,R280&gt;0),IF(Location="Indoors",IF(ConcFract_Indoor*R301&lt;=R280,0.1,R$179*((IF(Enclosed_Ventilation_Rate&gt;1,Enclosed_Ventilation_Rate,1)*Enclosed_Process_Volume*R98*R301/88020000000)*1000000*(ConcFract_Indoor/R280-1/R301)/(R98*Wind_Night))^R$180),IF(OR(R280=0,R280&gt;=ConcFract_Indoor*1000000*R$99),0,IF(R208="Instantaneous",R$205*((R83/R98)*(ConcFract_Indoor*1000000/R280))^R$206-R$207,R$179*(R89*(ConcFract_Indoor*1000000/R280)/(R98*Wind_Night))^R$180-R$181))),0.1)</f>
        <v>0.1</v>
      </c>
      <c r="S355" s="83"/>
      <c r="T355" s="1206">
        <f>IF(AND(T98&gt;0,T280&gt;0),IF(Location="Indoors",IF(ConcFract_Indoor*T301&lt;=T280,0.1,T$179*((IF(Enclosed_Ventilation_Rate&gt;1,Enclosed_Ventilation_Rate,1)*Enclosed_Process_Volume*T98*T301/88020000000)*1000000*(ConcFract_Indoor/T280-1/T301)/(T98*Wind_Night))^T$180),IF(OR(T280=0,T280&gt;=ConcFract_Indoor*1000000*T$99),0,IF(T208="Instantaneous",T$205*((T83/T98)*(ConcFract_Indoor*1000000/T280))^T$206-T$207,T$179*(T89*(ConcFract_Indoor*1000000/T280)/(T98*Wind_Night))^T$180-T$181))),0.1)</f>
        <v>0.1</v>
      </c>
      <c r="U355" s="83"/>
      <c r="V355" s="1206">
        <f>IF(AND(V98&gt;0,V280&gt;0),IF(Location="Indoors",IF(ConcFract_Indoor*V301&lt;=V280,0.1,V$179*((IF(Enclosed_Ventilation_Rate&gt;1,Enclosed_Ventilation_Rate,1)*Enclosed_Process_Volume*V98*V301/88020000000)*1000000*(ConcFract_Indoor/V280-1/V301)/(V98*Wind_Night))^V$180),IF(OR(V280=0,V280&gt;=ConcFract_Indoor*1000000*V$99),0,IF(V208="Instantaneous",V$205*((V83/V98)*(ConcFract_Indoor*1000000/V280))^V$206-V$207,V$179*(V89*(ConcFract_Indoor*1000000/V280)/(V98*Wind_Night))^V$180-V$181))),0.1)</f>
        <v>0.1</v>
      </c>
      <c r="W355" s="83"/>
      <c r="X355" s="1206">
        <f>IF(AND(X98&gt;0,X280&gt;0),IF(Location="Indoors",IF(ConcFract_Indoor*X301&lt;=X280,0.1,X$179*((IF(Enclosed_Ventilation_Rate&gt;1,Enclosed_Ventilation_Rate,1)*Enclosed_Process_Volume*X98*X301/88020000000)*1000000*(ConcFract_Indoor/X280-1/X301)/(X98*Wind_Night))^X$180),IF(OR(X280=0,X280&gt;=ConcFract_Indoor*1000000*X$99),0,IF(X208="Instantaneous",X$205*((X83/X98)*(ConcFract_Indoor*1000000/X280))^X$206-X$207,X$179*(X89*(ConcFract_Indoor*1000000/X280)/(X98*Wind_Night))^X$180-X$181))),0.1)</f>
        <v>0.1</v>
      </c>
      <c r="Y355" s="83"/>
      <c r="Z355" s="85" t="s">
        <v>1068</v>
      </c>
      <c r="AA355" s="83"/>
      <c r="AB355" s="81"/>
      <c r="AC355" s="23" t="s">
        <v>3705</v>
      </c>
      <c r="AD355" s="81"/>
      <c r="AE355" s="1206">
        <f>IF(OR(AE$289=0,AE$280=""),0,IF(AE353&gt;Zone_1,IF(AE169="Instantaneous",Dispersion_I,Dispersion_D)*(MAX(Public,(AE109-MIN(AE109,WorkArea_Elevation))*Dispersion_E^0.5,Zone_1)^2-MAX(Public,(AE109-MIN(AE109,WorkArea_Elevation))*Dispersion_E^0.5,AE353)^2)+2*(MAX(Public,(AE109-MIN(AE109,WorkArea_Elevation))*Dispersion_E^0.5,Zone_1)-MAX(Public,(AE109-MIN(AE109,WorkArea_Elevation))*Dispersion_E^0.5,AE353))*(AE$55/3.142)^0.5,IF(AE169="Instantaneous",Dispersion_I,Dispersion_D)*AE$280^(2*IF(AE169="Instantaneous",AE$167,AE$141))*AE$301^2*(EXP(AE$287+AE$289*MAX(Public,(AE109-MIN(AE109,WorkArea_Elevation))*Dispersion_E^0.5,Zone_1)^2/(AE$280^(2*IF(AE169="Instantaneous",AE$167,AE$141))*AE$301^2))-EXP(AE$287+AE$289*MAX(Public,(AE109-MIN(AE109,WorkArea_Elevation))*Dispersion_E^0.5,AE353)^2/(AE$280^(2*IF(AE169="Instantaneous",AE$167,AE$141))*AE$301^2)))/AE$289))</f>
        <v>0</v>
      </c>
      <c r="AF355" s="81"/>
      <c r="AG355" s="1206">
        <f>IF(OR(AG$289=0,AG$280=""),0,IF(AG353&gt;Zone_1,IF(AG169="Instantaneous",Dispersion_I,Dispersion_D)*(MAX(Public,(AG109-MIN(AG109,WorkArea_Elevation))*Dispersion_E^0.5,Zone_1)^2-MAX(Public,(AG109-MIN(AG109,WorkArea_Elevation))*Dispersion_E^0.5,AG353)^2)+2*(MAX(Public,(AG109-MIN(AG109,WorkArea_Elevation))*Dispersion_E^0.5,Zone_1)-MAX(Public,(AG109-MIN(AG109,WorkArea_Elevation))*Dispersion_E^0.5,AG353))*(AG$55/3.142)^0.5,IF(AG169="Instantaneous",Dispersion_I,Dispersion_D)*AG$280^(2*IF(AG169="Instantaneous",AG$167,AG$141))*AG$301^2*(EXP(AG$287+AG$289*MAX(Public,(AG109-MIN(AG109,WorkArea_Elevation))*Dispersion_E^0.5,Zone_1)^2/(AG$280^(2*IF(AG169="Instantaneous",AG$167,AG$141))*AG$301^2))-EXP(AG$287+AG$289*MAX(Public,(AG109-MIN(AG109,WorkArea_Elevation))*Dispersion_E^0.5,AG353)^2/(AG$280^(2*IF(AG169="Instantaneous",AG$167,AG$141))*AG$301^2)))/AG$289))</f>
        <v>0</v>
      </c>
      <c r="AH355" s="81"/>
      <c r="AI355" s="1206">
        <f>IF(OR(AI$289=0,AI$280=""),0,IF(AI353&gt;Zone_1,IF(AI169="Instantaneous",Dispersion_I,Dispersion_D)*(MAX(Public,(AI109-MIN(AI109,WorkArea_Elevation))*Dispersion_E^0.5,Zone_1)^2-MAX(Public,(AI109-MIN(AI109,WorkArea_Elevation))*Dispersion_E^0.5,AI353)^2)+2*(MAX(Public,(AI109-MIN(AI109,WorkArea_Elevation))*Dispersion_E^0.5,Zone_1)-MAX(Public,(AI109-MIN(AI109,WorkArea_Elevation))*Dispersion_E^0.5,AI353))*(AI$55/3.142)^0.5,IF(AI169="Instantaneous",Dispersion_I,Dispersion_D)*AI$280^(2*IF(AI169="Instantaneous",AI$167,AI$141))*AI$301^2*(EXP(AI$287+AI$289*MAX(Public,(AI109-MIN(AI109,WorkArea_Elevation))*Dispersion_E^0.5,Zone_1)^2/(AI$280^(2*IF(AI169="Instantaneous",AI$167,AI$141))*AI$301^2))-EXP(AI$287+AI$289*MAX(Public,(AI109-MIN(AI109,WorkArea_Elevation))*Dispersion_E^0.5,AI353)^2/(AI$280^(2*IF(AI169="Instantaneous",AI$167,AI$141))*AI$301^2)))/AI$289))</f>
        <v>0</v>
      </c>
      <c r="AJ355" s="81"/>
      <c r="AK355" s="1206">
        <f>IF(OR(AK$289=0,AK$280=""),0,IF(AK353&gt;Zone_1,IF(AK169="Instantaneous",Dispersion_I,Dispersion_D)*(MAX(Public,(AK109-MIN(AK109,WorkArea_Elevation))*Dispersion_E^0.5,Zone_1)^2-MAX(Public,(AK109-MIN(AK109,WorkArea_Elevation))*Dispersion_E^0.5,AK353)^2)+2*(MAX(Public,(AK109-MIN(AK109,WorkArea_Elevation))*Dispersion_E^0.5,Zone_1)-MAX(Public,(AK109-MIN(AK109,WorkArea_Elevation))*Dispersion_E^0.5,AK353))*(AK$55/3.142)^0.5,IF(AK169="Instantaneous",Dispersion_I,Dispersion_D)*AK$280^(2*IF(AK169="Instantaneous",AK$167,AK$141))*AK$301^2*(EXP(AK$287+AK$289*MAX(Public,(AK109-MIN(AK109,WorkArea_Elevation))*Dispersion_E^0.5,Zone_1)^2/(AK$280^(2*IF(AK169="Instantaneous",AK$167,AK$141))*AK$301^2))-EXP(AK$287+AK$289*MAX(Public,(AK109-MIN(AK109,WorkArea_Elevation))*Dispersion_E^0.5,AK353)^2/(AK$280^(2*IF(AK169="Instantaneous",AK$167,AK$141))*AK$301^2)))/AK$289))</f>
        <v>0</v>
      </c>
      <c r="AL355" s="81"/>
      <c r="AM355" s="1206">
        <f>IF(OR(AM$289=0,AM$280=""),0,IF(AM353&gt;Zone_1,IF(AM169="Instantaneous",Dispersion_I,Dispersion_D)*(MAX(Public,(AM109-MIN(AM109,WorkArea_Elevation))*Dispersion_E^0.5,Zone_1)^2-MAX(Public,(AM109-MIN(AM109,WorkArea_Elevation))*Dispersion_E^0.5,AM353)^2)+2*(MAX(Public,(AM109-MIN(AM109,WorkArea_Elevation))*Dispersion_E^0.5,Zone_1)-MAX(Public,(AM109-MIN(AM109,WorkArea_Elevation))*Dispersion_E^0.5,AM353))*(AM$55/3.142)^0.5,IF(AM169="Instantaneous",Dispersion_I,Dispersion_D)*AM$280^(2*IF(AM169="Instantaneous",AM$167,AM$141))*AM$301^2*(EXP(AM$287+AM$289*MAX(Public,(AM109-MIN(AM109,WorkArea_Elevation))*Dispersion_E^0.5,Zone_1)^2/(AM$280^(2*IF(AM169="Instantaneous",AM$167,AM$141))*AM$301^2))-EXP(AM$287+AM$289*MAX(Public,(AM109-MIN(AM109,WorkArea_Elevation))*Dispersion_E^0.5,AM353)^2/(AM$280^(2*IF(AM169="Instantaneous",AM$167,AM$141))*AM$301^2)))/AM$289))</f>
        <v>0</v>
      </c>
      <c r="AN355" s="81"/>
      <c r="AO355" s="1206">
        <f>IF(OR(AO$289=0,AO$280=""),0,IF(AO353&gt;Zone_1,IF(AO169="Instantaneous",Dispersion_I,Dispersion_D)*(MAX(Public,(AO109-MIN(AO109,WorkArea_Elevation))*Dispersion_E^0.5,Zone_1)^2-MAX(Public,(AO109-MIN(AO109,WorkArea_Elevation))*Dispersion_E^0.5,AO353)^2)+2*(MAX(Public,(AO109-MIN(AO109,WorkArea_Elevation))*Dispersion_E^0.5,Zone_1)-MAX(Public,(AO109-MIN(AO109,WorkArea_Elevation))*Dispersion_E^0.5,AO353))*(AO$55/3.142)^0.5,IF(AO169="Instantaneous",Dispersion_I,Dispersion_D)*AO$280^(2*IF(AO169="Instantaneous",AO$167,AO$141))*AO$301^2*(EXP(AO$287+AO$289*MAX(Public,(AO109-MIN(AO109,WorkArea_Elevation))*Dispersion_E^0.5,Zone_1)^2/(AO$280^(2*IF(AO169="Instantaneous",AO$167,AO$141))*AO$301^2))-EXP(AO$287+AO$289*MAX(Public,(AO109-MIN(AO109,WorkArea_Elevation))*Dispersion_E^0.5,AO353)^2/(AO$280^(2*IF(AO169="Instantaneous",AO$167,AO$141))*AO$301^2)))/AO$289))</f>
        <v>0</v>
      </c>
      <c r="AP355" s="81"/>
      <c r="AQ355" s="85" t="s">
        <v>3804</v>
      </c>
      <c r="AR355" s="81"/>
      <c r="AS355" s="83"/>
      <c r="AT355" s="23" t="s">
        <v>3636</v>
      </c>
      <c r="AU355" s="83"/>
      <c r="AV355" s="1206">
        <f>IF(OR(AV$276=0,AV$270=""),0,IF(AV353&gt;Zone_1,IF(AV205="Instantaneous",Dispersion_R,Dispersion_M)*(MAX(Public,(AV93-MIN(AV93,WorkArea_Elevation))*Dispersion_N^0.5,Zone_1)^2-MAX(Public,(AV93-MIN(AV93,WorkArea_Elevation))*Dispersion_N^0.5,AV353)^2),IF(AV205="Instantaneous",Dispersion_R,Dispersion_M)*AV$270^(2*IF(AV205="Instantaneous",AV$203,AV$177))*AV$288^2*(EXP(AV$275+AV$276*MAX(Public,(AV93-MIN(AV93,WorkArea_Elevation))*Dispersion_N^0.5,Zone_1)^2/(AV$270^(2*IF(AV205="Instantaneous",AV$203,AV$177))*AV$288^2))-EXP(AV$275+AV$276*MAX(Public,(AV93-MIN(AV93,WorkArea_Elevation))*Dispersion_N^0.5,AV353)^2/(AV$270^(2*IF(AV205="Instantaneous",AV$203,AV$177))*AV$288^2)))/AV$276))</f>
        <v>0</v>
      </c>
      <c r="AW355" s="83"/>
      <c r="AX355" s="1206">
        <f>IF(OR(AX$276=0,AX$270=""),0,IF(AX353&gt;Zone_1,IF(AX205="Instantaneous",Dispersion_R,Dispersion_M)*(MAX(Public,(AX93-MIN(AX93,WorkArea_Elevation))*Dispersion_N^0.5,Zone_1)^2-MAX(Public,(AX93-MIN(AX93,WorkArea_Elevation))*Dispersion_N^0.5,AX353)^2),IF(AX205="Instantaneous",Dispersion_R,Dispersion_M)*AX$270^(2*IF(AX205="Instantaneous",AX$203,AX$177))*AX$288^2*(EXP(AX$275+AX$276*MAX(Public,(AX93-MIN(AX93,WorkArea_Elevation))*Dispersion_N^0.5,Zone_1)^2/(AX$270^(2*IF(AX205="Instantaneous",AX$203,AX$177))*AX$288^2))-EXP(AX$275+AX$276*MAX(Public,(AX93-MIN(AX93,WorkArea_Elevation))*Dispersion_N^0.5,AX353)^2/(AX$270^(2*IF(AX205="Instantaneous",AX$203,AX$177))*AX$288^2)))/AX$276))</f>
        <v>0</v>
      </c>
      <c r="AY355" s="83"/>
      <c r="AZ355" s="1206">
        <f>IF(OR(AZ$276=0,AZ$270=""),0,IF(AZ353&gt;Zone_1,IF(AZ205="Instantaneous",Dispersion_R,Dispersion_M)*(MAX(Public,(AZ93-MIN(AZ93,WorkArea_Elevation))*Dispersion_N^0.5,Zone_1)^2-MAX(Public,(AZ93-MIN(AZ93,WorkArea_Elevation))*Dispersion_N^0.5,AZ353)^2),IF(AZ205="Instantaneous",Dispersion_R,Dispersion_M)*AZ$270^(2*IF(AZ205="Instantaneous",AZ$203,AZ$177))*AZ$288^2*(EXP(AZ$275+AZ$276*MAX(Public,(AZ93-MIN(AZ93,WorkArea_Elevation))*Dispersion_N^0.5,Zone_1)^2/(AZ$270^(2*IF(AZ205="Instantaneous",AZ$203,AZ$177))*AZ$288^2))-EXP(AZ$275+AZ$276*MAX(Public,(AZ93-MIN(AZ93,WorkArea_Elevation))*Dispersion_N^0.5,AZ353)^2/(AZ$270^(2*IF(AZ205="Instantaneous",AZ$203,AZ$177))*AZ$288^2)))/AZ$276))</f>
        <v>0</v>
      </c>
      <c r="BA355" s="83"/>
      <c r="BB355" s="1206">
        <f>IF(OR(BB$276=0,BB$270=""),0,IF(BB353&gt;Zone_1,IF(BB205="Instantaneous",Dispersion_R,Dispersion_M)*(MAX(Public,(BB93-MIN(BB93,WorkArea_Elevation))*Dispersion_N^0.5,Zone_1)^2-MAX(Public,(BB93-MIN(BB93,WorkArea_Elevation))*Dispersion_N^0.5,BB353)^2),IF(BB205="Instantaneous",Dispersion_R,Dispersion_M)*BB$270^(2*IF(BB205="Instantaneous",BB$203,BB$177))*BB$288^2*(EXP(BB$275+BB$276*MAX(Public,(BB93-MIN(BB93,WorkArea_Elevation))*Dispersion_N^0.5,Zone_1)^2/(BB$270^(2*IF(BB205="Instantaneous",BB$203,BB$177))*BB$288^2))-EXP(BB$275+BB$276*MAX(Public,(BB93-MIN(BB93,WorkArea_Elevation))*Dispersion_N^0.5,BB353)^2/(BB$270^(2*IF(BB205="Instantaneous",BB$203,BB$177))*BB$288^2)))/BB$276))</f>
        <v>0</v>
      </c>
      <c r="BC355" s="83"/>
      <c r="BD355" s="1206">
        <f>IF(OR(BD$276=0,BD$270=""),0,IF(BD353&gt;Zone_1,IF(BD205="Instantaneous",Dispersion_R,Dispersion_M)*(MAX(Public,(BD93-MIN(BD93,WorkArea_Elevation))*Dispersion_N^0.5,Zone_1)^2-MAX(Public,(BD93-MIN(BD93,WorkArea_Elevation))*Dispersion_N^0.5,BD353)^2),IF(BD205="Instantaneous",Dispersion_R,Dispersion_M)*BD$270^(2*IF(BD205="Instantaneous",BD$203,BD$177))*BD$288^2*(EXP(BD$275+BD$276*MAX(Public,(BD93-MIN(BD93,WorkArea_Elevation))*Dispersion_N^0.5,Zone_1)^2/(BD$270^(2*IF(BD205="Instantaneous",BD$203,BD$177))*BD$288^2))-EXP(BD$275+BD$276*MAX(Public,(BD93-MIN(BD93,WorkArea_Elevation))*Dispersion_N^0.5,BD353)^2/(BD$270^(2*IF(BD205="Instantaneous",BD$203,BD$177))*BD$288^2)))/BD$276))</f>
        <v>0</v>
      </c>
      <c r="BE355" s="83"/>
      <c r="BF355" s="1206">
        <f>IF(OR(BF$276=0,BF$270=""),0,IF(BF353&gt;Zone_1,IF(BF205="Instantaneous",Dispersion_R,Dispersion_M)*(MAX(Public,(BF93-MIN(BF93,WorkArea_Elevation))*Dispersion_N^0.5,Zone_1)^2-MAX(Public,(BF93-MIN(BF93,WorkArea_Elevation))*Dispersion_N^0.5,BF353)^2),IF(BF205="Instantaneous",Dispersion_R,Dispersion_M)*BF$270^(2*IF(BF205="Instantaneous",BF$203,BF$177))*BF$288^2*(EXP(BF$275+BF$276*MAX(Public,(BF93-MIN(BF93,WorkArea_Elevation))*Dispersion_N^0.5,Zone_1)^2/(BF$270^(2*IF(BF205="Instantaneous",BF$203,BF$177))*BF$288^2))-EXP(BF$275+BF$276*MAX(Public,(BF93-MIN(BF93,WorkArea_Elevation))*Dispersion_N^0.5,BF353)^2/(BF$270^(2*IF(BF205="Instantaneous",BF$203,BF$177))*BF$288^2)))/BF$276))</f>
        <v>0</v>
      </c>
      <c r="BG355" s="83"/>
      <c r="BH355" s="1206">
        <f>IF(OR(BH$276=0,BH$270=""),0,IF(BH353&gt;Zone_1,IF(BH205="Instantaneous",Dispersion_R,Dispersion_M)*(MAX(Public,(BH93-MIN(BH93,WorkArea_Elevation))*Dispersion_N^0.5,Zone_1)^2-MAX(Public,(BH93-MIN(BH93,WorkArea_Elevation))*Dispersion_N^0.5,BH353)^2),IF(BH205="Instantaneous",Dispersion_R,Dispersion_M)*BH$270^(2*IF(BH205="Instantaneous",BH$203,BH$177))*BH$288^2*(EXP(BH$275+BH$276*MAX(Public,(BH93-MIN(BH93,WorkArea_Elevation))*Dispersion_N^0.5,Zone_1)^2/(BH$270^(2*IF(BH205="Instantaneous",BH$203,BH$177))*BH$288^2))-EXP(BH$275+BH$276*MAX(Public,(BH93-MIN(BH93,WorkArea_Elevation))*Dispersion_N^0.5,BH353)^2/(BH$270^(2*IF(BH205="Instantaneous",BH$203,BH$177))*BH$288^2)))/BH$276))</f>
        <v>0</v>
      </c>
      <c r="BI355" s="83"/>
      <c r="BJ355" s="1206">
        <f>IF(OR(BJ$276=0,BJ$270=""),0,IF(BJ353&gt;Zone_1,IF(BJ205="Instantaneous",Dispersion_R,Dispersion_M)*(MAX(Public,(BJ93-MIN(BJ93,WorkArea_Elevation))*Dispersion_N^0.5,Zone_1)^2-MAX(Public,(BJ93-MIN(BJ93,WorkArea_Elevation))*Dispersion_N^0.5,BJ353)^2),IF(BJ205="Instantaneous",Dispersion_R,Dispersion_M)*BJ$270^(2*IF(BJ205="Instantaneous",BJ$203,BJ$177))*BJ$288^2*(EXP(BJ$275+BJ$276*MAX(Public,(BJ93-MIN(BJ93,WorkArea_Elevation))*Dispersion_N^0.5,Zone_1)^2/(BJ$270^(2*IF(BJ205="Instantaneous",BJ$203,BJ$177))*BJ$288^2))-EXP(BJ$275+BJ$276*MAX(Public,(BJ93-MIN(BJ93,WorkArea_Elevation))*Dispersion_N^0.5,BJ353)^2/(BJ$270^(2*IF(BJ205="Instantaneous",BJ$203,BJ$177))*BJ$288^2)))/BJ$276))</f>
        <v>0</v>
      </c>
      <c r="BK355" s="83"/>
      <c r="BL355" s="1206">
        <f>IF(OR(BL$276=0,BL$270=""),0,IF(BL353&gt;Zone_1,IF(BL205="Instantaneous",Dispersion_R,Dispersion_M)*(MAX(Public,(BL93-MIN(BL93,WorkArea_Elevation))*Dispersion_N^0.5,Zone_1)^2-MAX(Public,(BL93-MIN(BL93,WorkArea_Elevation))*Dispersion_N^0.5,BL353)^2),IF(BL205="Instantaneous",Dispersion_R,Dispersion_M)*BL$270^(2*IF(BL205="Instantaneous",BL$203,BL$177))*BL$288^2*(EXP(BL$275+BL$276*MAX(Public,(BL93-MIN(BL93,WorkArea_Elevation))*Dispersion_N^0.5,Zone_1)^2/(BL$270^(2*IF(BL205="Instantaneous",BL$203,BL$177))*BL$288^2))-EXP(BL$275+BL$276*MAX(Public,(BL93-MIN(BL93,WorkArea_Elevation))*Dispersion_N^0.5,BL353)^2/(BL$270^(2*IF(BL205="Instantaneous",BL$203,BL$177))*BL$288^2)))/BL$276))</f>
        <v>0</v>
      </c>
      <c r="BM355" s="83"/>
      <c r="BN355" s="1206">
        <f>IF(OR(BN$276=0,BN$270=""),0,IF(BN353&gt;Zone_1,IF(BN205="Instantaneous",Dispersion_R,Dispersion_M)*(MAX(Public,(BN93-MIN(BN93,WorkArea_Elevation))*Dispersion_N^0.5,Zone_1)^2-MAX(Public,(BN93-MIN(BN93,WorkArea_Elevation))*Dispersion_N^0.5,BN353)^2),IF(BN205="Instantaneous",Dispersion_R,Dispersion_M)*BN$270^(2*IF(BN205="Instantaneous",BN$203,BN$177))*BN$288^2*(EXP(BN$275+BN$276*MAX(Public,(BN93-MIN(BN93,WorkArea_Elevation))*Dispersion_N^0.5,Zone_1)^2/(BN$270^(2*IF(BN205="Instantaneous",BN$203,BN$177))*BN$288^2))-EXP(BN$275+BN$276*MAX(Public,(BN93-MIN(BN93,WorkArea_Elevation))*Dispersion_N^0.5,BN353)^2/(BN$270^(2*IF(BN205="Instantaneous",BN$203,BN$177))*BN$288^2)))/BN$276))</f>
        <v>0</v>
      </c>
      <c r="BO355" s="83"/>
      <c r="BP355" s="85" t="s">
        <v>3804</v>
      </c>
      <c r="BQ355" s="83"/>
      <c r="BR355" s="81"/>
      <c r="BS355" s="23" t="s">
        <v>2978</v>
      </c>
      <c r="BT355" s="81"/>
      <c r="BU355" s="1182"/>
      <c r="BV355" s="81"/>
      <c r="BW355" s="1181">
        <f>IF(AND(Occ_Bldg2_Cntr&gt;0,Reaction_Energy2&gt;0),14.7*EXP(TNT_A/(LN(Occ_Bldg2_Cntr/(Reaction_Energy2/1100)^0.33)+TNT_C)-TNT_B),BW356)</f>
        <v>0</v>
      </c>
      <c r="BX355" s="81"/>
      <c r="BY355" s="1181">
        <f>IF(AND(Occ_Bldg2_Cntr&gt;0,Reaction_Energy&gt;0),14.7*EXP(TNT_A/(LN(Occ_Bldg2_Cntr/(Reaction_Energy/1100)^0.33)+TNT_C)-TNT_B),BY356)</f>
        <v>0</v>
      </c>
      <c r="BZ355" s="81"/>
      <c r="CA355" s="106"/>
      <c r="CB355" s="81"/>
      <c r="CC355" s="1181">
        <f>IF(AND(Occ_Bldg2_Cntr&gt;0,Reaction_Energy3&gt;0),14.7*EXP(TNT_A/(LN(Occ_Bldg2_Cntr/(Reaction_Energy3/1100)^0.33)+TNT_C)-TNT_B),CC356)</f>
        <v>0</v>
      </c>
      <c r="CD355" s="81"/>
      <c r="CE355" s="85" t="s">
        <v>968</v>
      </c>
      <c r="CF355" s="81"/>
      <c r="CG355" s="26"/>
      <c r="CH355" s="26"/>
      <c r="CI355" s="26"/>
      <c r="CJ355" s="26"/>
      <c r="CK355" s="26"/>
      <c r="CL355" s="26"/>
      <c r="CM355" s="26"/>
      <c r="CN355" s="26"/>
    </row>
    <row r="356" spans="1:92" ht="15" customHeight="1" x14ac:dyDescent="0.25">
      <c r="A356" s="2"/>
      <c r="B356" s="23" t="s">
        <v>3635</v>
      </c>
      <c r="C356" s="83"/>
      <c r="D356" s="1206">
        <f>IF(D208="Instantaneous",Dispersion_R,Dispersion_M)*(MAX(D355,Public)^2-Public^2)+(MAX(D355,Public)-Public)*IF(D208="Instantaneous",DC_Duration_Initial*(D83/D98)^(1/3),2*(D$55/3.142)^0.5)</f>
        <v>3.0000000000000005E-3</v>
      </c>
      <c r="E356" s="83"/>
      <c r="F356" s="1206">
        <f>IF(F208="Instantaneous",Dispersion_R,Dispersion_M)*(MAX(F355,Public)^2-Public^2)+(MAX(F355,Public)-Public)*IF(F208="Instantaneous",DC_Duration_Initial*(F83/F98)^(1/3),2*(F$55/3.142)^0.5)</f>
        <v>3.0000000000000005E-3</v>
      </c>
      <c r="G356" s="83"/>
      <c r="H356" s="1206">
        <f>IF(H208="Instantaneous",Dispersion_R,Dispersion_M)*(MAX(H355,Public)^2-Public^2)+(MAX(H355,Public)-Public)*IF(H208="Instantaneous",DC_Duration_Initial*(H83/H98)^(1/3),2*(H$55/3.142)^0.5)</f>
        <v>3.0000000000000005E-3</v>
      </c>
      <c r="I356" s="83"/>
      <c r="J356" s="1206">
        <f>IF(J208="Instantaneous",Dispersion_R,Dispersion_M)*(MAX(J355,Public)^2-Public^2)+(MAX(J355,Public)-Public)*IF(J208="Instantaneous",DC_Duration_Initial*(J83/J98)^(1/3),2*(J$55/3.142)^0.5)</f>
        <v>3.0000000000000005E-3</v>
      </c>
      <c r="K356" s="83"/>
      <c r="L356" s="1206">
        <f>IF(L208="Instantaneous",Dispersion_R,Dispersion_M)*(MAX(L355,Public)^2-Public^2)+(MAX(L355,Public)-Public)*IF(L208="Instantaneous",DC_Duration_Initial*(L83/L98)^(1/3),2*(L$55/3.142)^0.5)</f>
        <v>3.0000000000000005E-3</v>
      </c>
      <c r="M356" s="83"/>
      <c r="N356" s="1206">
        <f>IF(N208="Instantaneous",Dispersion_R,Dispersion_M)*(MAX(N355,Public)^2-Public^2)+(MAX(N355,Public)-Public)*IF(N208="Instantaneous",DC_Duration_Initial*(N83/N98)^(1/3),2*(N$55/3.142)^0.5)</f>
        <v>3.0000000000000005E-3</v>
      </c>
      <c r="O356" s="83"/>
      <c r="P356" s="1206">
        <f>IF(P208="Instantaneous",Dispersion_R,Dispersion_M)*(MAX(P355,Public)^2-Public^2)+(MAX(P355,Public)-Public)*IF(P208="Instantaneous",DC_Duration_Initial*(P83/P98)^(1/3),2*(P$55/3.142)^0.5)</f>
        <v>3.0000000000000005E-3</v>
      </c>
      <c r="Q356" s="83"/>
      <c r="R356" s="1206">
        <f>IF(R208="Instantaneous",Dispersion_R,Dispersion_M)*(MAX(R355,Public)^2-Public^2)+(MAX(R355,Public)-Public)*IF(R208="Instantaneous",DC_Duration_Initial*(R83/R98)^(1/3),2*(R$55/3.142)^0.5)</f>
        <v>3.0000000000000005E-3</v>
      </c>
      <c r="S356" s="83"/>
      <c r="T356" s="1206">
        <f>IF(T208="Instantaneous",Dispersion_R,Dispersion_M)*(MAX(T355,Public)^2-Public^2)+(MAX(T355,Public)-Public)*IF(T208="Instantaneous",DC_Duration_Initial*(T83/T98)^(1/3),2*(T$55/3.142)^0.5)</f>
        <v>3.0000000000000005E-3</v>
      </c>
      <c r="U356" s="83"/>
      <c r="V356" s="1206">
        <f>IF(V208="Instantaneous",Dispersion_R,Dispersion_M)*(MAX(V355,Public)^2-Public^2)+(MAX(V355,Public)-Public)*IF(V208="Instantaneous",DC_Duration_Initial*(V83/V98)^(1/3),2*(V$55/3.142)^0.5)</f>
        <v>3.0000000000000005E-3</v>
      </c>
      <c r="W356" s="83"/>
      <c r="X356" s="1206">
        <f>IF(X208="Instantaneous",Dispersion_R,Dispersion_M)*(MAX(X355,Public)^2-Public^2)+(MAX(X355,Public)-Public)*IF(X208="Instantaneous",DC_Duration_Initial*(X83/X98)^(1/3),2*(X$55/3.142)^0.5)</f>
        <v>3.0000000000000005E-3</v>
      </c>
      <c r="Y356" s="83"/>
      <c r="Z356" s="85" t="s">
        <v>3804</v>
      </c>
      <c r="AA356" s="83"/>
      <c r="AB356" s="81"/>
      <c r="AC356" s="23" t="s">
        <v>3706</v>
      </c>
      <c r="AD356" s="81"/>
      <c r="AE356" s="1206">
        <f>IF(Zone_1&lt;Public,IF(AE169="Instantaneous",Dispersion_I,Dispersion_D)*(MAX(AE353,(AE109-MIN(AE109,WorkArea_Elevation))*Dispersion_E^0.5,Public)^2-MAX((AE109-MIN(AE109,WorkArea_Elevation))*Dispersion_E^0.5,Public)^2)+2*(MAX(AE353,(AE109-MIN(AE109,WorkArea_Elevation))*Dispersion_E^0.5,Public)-MAX((AE109-MIN(AE109,WorkArea_Elevation))*Dispersion_E^0.5,Public))*(AE$55/3.142)^0.5,IF(AE169="Instantaneous",Dispersion_I,Dispersion_D)*(MAX(AE353,Zone_1)^2-Zone_1^2)+2*(MAX(AE353,Zone_1)-Zone_1)*(AE$55/3.142)^0.5)</f>
        <v>3.0000000000000005E-3</v>
      </c>
      <c r="AF356" s="81"/>
      <c r="AG356" s="1206">
        <f>IF(Zone_1&lt;Public,IF(AG169="Instantaneous",Dispersion_I,Dispersion_D)*(MAX(AG353,(AG109-MIN(AG109,WorkArea_Elevation))*Dispersion_E^0.5,Public)^2-MAX((AG109-MIN(AG109,WorkArea_Elevation))*Dispersion_E^0.5,Public)^2)+2*(MAX(AG353,(AG109-MIN(AG109,WorkArea_Elevation))*Dispersion_E^0.5,Public)-MAX((AG109-MIN(AG109,WorkArea_Elevation))*Dispersion_E^0.5,Public))*(AG$55/3.142)^0.5,IF(AG169="Instantaneous",Dispersion_I,Dispersion_D)*(MAX(AG353,Zone_1)^2-Zone_1^2)+2*(MAX(AG353,Zone_1)-Zone_1)*(AG$55/3.142)^0.5)</f>
        <v>3.0000000000000005E-3</v>
      </c>
      <c r="AH356" s="81"/>
      <c r="AI356" s="1206">
        <f>IF(Zone_1&lt;Public,IF(AI169="Instantaneous",Dispersion_I,Dispersion_D)*(MAX(AI353,(AI109-MIN(AI109,WorkArea_Elevation))*Dispersion_E^0.5,Public)^2-MAX((AI109-MIN(AI109,WorkArea_Elevation))*Dispersion_E^0.5,Public)^2)+2*(MAX(AI353,(AI109-MIN(AI109,WorkArea_Elevation))*Dispersion_E^0.5,Public)-MAX((AI109-MIN(AI109,WorkArea_Elevation))*Dispersion_E^0.5,Public))*(AI$55/3.142)^0.5,IF(AI169="Instantaneous",Dispersion_I,Dispersion_D)*(MAX(AI353,Zone_1)^2-Zone_1^2)+2*(MAX(AI353,Zone_1)-Zone_1)*(AI$55/3.142)^0.5)</f>
        <v>3.0000000000000005E-3</v>
      </c>
      <c r="AJ356" s="81"/>
      <c r="AK356" s="1206">
        <f>IF(Zone_1&lt;Public,IF(AK169="Instantaneous",Dispersion_I,Dispersion_D)*(MAX(AK353,(AK109-MIN(AK109,WorkArea_Elevation))*Dispersion_E^0.5,Public)^2-MAX((AK109-MIN(AK109,WorkArea_Elevation))*Dispersion_E^0.5,Public)^2)+2*(MAX(AK353,(AK109-MIN(AK109,WorkArea_Elevation))*Dispersion_E^0.5,Public)-MAX((AK109-MIN(AK109,WorkArea_Elevation))*Dispersion_E^0.5,Public))*(AK$55/3.142)^0.5,IF(AK169="Instantaneous",Dispersion_I,Dispersion_D)*(MAX(AK353,Zone_1)^2-Zone_1^2)+2*(MAX(AK353,Zone_1)-Zone_1)*(AK$55/3.142)^0.5)</f>
        <v>3.0000000000000005E-3</v>
      </c>
      <c r="AL356" s="81"/>
      <c r="AM356" s="1206">
        <f>IF(Zone_1&lt;Public,IF(AM169="Instantaneous",Dispersion_I,Dispersion_D)*(MAX(AM353,(AM109-MIN(AM109,WorkArea_Elevation))*Dispersion_E^0.5,Public)^2-MAX((AM109-MIN(AM109,WorkArea_Elevation))*Dispersion_E^0.5,Public)^2)+2*(MAX(AM353,(AM109-MIN(AM109,WorkArea_Elevation))*Dispersion_E^0.5,Public)-MAX((AM109-MIN(AM109,WorkArea_Elevation))*Dispersion_E^0.5,Public))*(AM$55/3.142)^0.5,IF(AM169="Instantaneous",Dispersion_I,Dispersion_D)*(MAX(AM353,Zone_1)^2-Zone_1^2)+2*(MAX(AM353,Zone_1)-Zone_1)*(AM$55/3.142)^0.5)</f>
        <v>3.0000000000000005E-3</v>
      </c>
      <c r="AN356" s="81"/>
      <c r="AO356" s="1206">
        <f>IF(Zone_1&lt;Public,IF(AO169="Instantaneous",Dispersion_I,Dispersion_D)*(MAX(AO353,(AO109-MIN(AO109,WorkArea_Elevation))*Dispersion_E^0.5,Public)^2-MAX((AO109-MIN(AO109,WorkArea_Elevation))*Dispersion_E^0.5,Public)^2)+2*(MAX(AO353,(AO109-MIN(AO109,WorkArea_Elevation))*Dispersion_E^0.5,Public)-MAX((AO109-MIN(AO109,WorkArea_Elevation))*Dispersion_E^0.5,Public))*(AO$55/3.142)^0.5,IF(AO169="Instantaneous",Dispersion_I,Dispersion_D)*(MAX(AO353,Zone_1)^2-Zone_1^2)+2*(MAX(AO353,Zone_1)-Zone_1)*(AO$55/3.142)^0.5)</f>
        <v>3.0000000000000005E-3</v>
      </c>
      <c r="AP356" s="81"/>
      <c r="AQ356" s="85" t="s">
        <v>3804</v>
      </c>
      <c r="AR356" s="81"/>
      <c r="AS356" s="83"/>
      <c r="AT356" s="23" t="s">
        <v>3637</v>
      </c>
      <c r="AU356" s="83"/>
      <c r="AV356" s="1206" t="e">
        <f>IF(Zone_1&lt;MAX((AV93-MIN(AV93,WorkArea_Elevation))*Dispersion_N^0.5,Public),IF(AV205="Instantaneous",Dispersion_R,Dispersion_M)*(MAX(AV353,(AV93-MIN(AV93,WorkArea_Elevation))*Dispersion_N^0.5,Public)^2-MAX((AV93-MIN(AV93,WorkArea_Elevation))*Dispersion_N^0.5,Public)^2),IF(AV205="Instantaneous",Dispersion_R,Dispersion_M)*(MAX(AV353,Zone_1)^2-Zone_1^2))</f>
        <v>#DIV/0!</v>
      </c>
      <c r="AW356" s="83"/>
      <c r="AX356" s="1206" t="e">
        <f>IF(Zone_1&lt;MAX((AX93-MIN(AX93,WorkArea_Elevation))*Dispersion_N^0.5,Public),IF(AX205="Instantaneous",Dispersion_R,Dispersion_M)*(MAX(AX353,(AX93-MIN(AX93,WorkArea_Elevation))*Dispersion_N^0.5,Public)^2-MAX((AX93-MIN(AX93,WorkArea_Elevation))*Dispersion_N^0.5,Public)^2),IF(AX205="Instantaneous",Dispersion_R,Dispersion_M)*(MAX(AX353,Zone_1)^2-Zone_1^2))</f>
        <v>#DIV/0!</v>
      </c>
      <c r="AY356" s="83"/>
      <c r="AZ356" s="1206" t="e">
        <f>IF(Zone_1&lt;MAX((AZ93-MIN(AZ93,WorkArea_Elevation))*Dispersion_N^0.5,Public),IF(AZ205="Instantaneous",Dispersion_R,Dispersion_M)*(MAX(AZ353,(AZ93-MIN(AZ93,WorkArea_Elevation))*Dispersion_N^0.5,Public)^2-MAX((AZ93-MIN(AZ93,WorkArea_Elevation))*Dispersion_N^0.5,Public)^2),IF(AZ205="Instantaneous",Dispersion_R,Dispersion_M)*(MAX(AZ353,Zone_1)^2-Zone_1^2))</f>
        <v>#DIV/0!</v>
      </c>
      <c r="BA356" s="83"/>
      <c r="BB356" s="1206" t="e">
        <f>IF(Zone_1&lt;MAX((BB93-MIN(BB93,WorkArea_Elevation))*Dispersion_N^0.5,Public),IF(BB205="Instantaneous",Dispersion_R,Dispersion_M)*(MAX(BB353,(BB93-MIN(BB93,WorkArea_Elevation))*Dispersion_N^0.5,Public)^2-MAX((BB93-MIN(BB93,WorkArea_Elevation))*Dispersion_N^0.5,Public)^2),IF(BB205="Instantaneous",Dispersion_R,Dispersion_M)*(MAX(BB353,Zone_1)^2-Zone_1^2))</f>
        <v>#DIV/0!</v>
      </c>
      <c r="BC356" s="83"/>
      <c r="BD356" s="1206" t="e">
        <f>IF(Zone_1&lt;MAX((BD93-MIN(BD93,WorkArea_Elevation))*Dispersion_N^0.5,Public),IF(BD205="Instantaneous",Dispersion_R,Dispersion_M)*(MAX(BD353,(BD93-MIN(BD93,WorkArea_Elevation))*Dispersion_N^0.5,Public)^2-MAX((BD93-MIN(BD93,WorkArea_Elevation))*Dispersion_N^0.5,Public)^2),IF(BD205="Instantaneous",Dispersion_R,Dispersion_M)*(MAX(BD353,Zone_1)^2-Zone_1^2))</f>
        <v>#DIV/0!</v>
      </c>
      <c r="BE356" s="83"/>
      <c r="BF356" s="1206" t="e">
        <f>IF(Zone_1&lt;MAX((BF93-MIN(BF93,WorkArea_Elevation))*Dispersion_N^0.5,Public),IF(BF205="Instantaneous",Dispersion_R,Dispersion_M)*(MAX(BF353,(BF93-MIN(BF93,WorkArea_Elevation))*Dispersion_N^0.5,Public)^2-MAX((BF93-MIN(BF93,WorkArea_Elevation))*Dispersion_N^0.5,Public)^2),IF(BF205="Instantaneous",Dispersion_R,Dispersion_M)*(MAX(BF353,Zone_1)^2-Zone_1^2))</f>
        <v>#DIV/0!</v>
      </c>
      <c r="BG356" s="83"/>
      <c r="BH356" s="1206" t="e">
        <f>IF(Zone_1&lt;MAX((BH93-MIN(BH93,WorkArea_Elevation))*Dispersion_N^0.5,Public),IF(BH205="Instantaneous",Dispersion_R,Dispersion_M)*(MAX(BH353,(BH93-MIN(BH93,WorkArea_Elevation))*Dispersion_N^0.5,Public)^2-MAX((BH93-MIN(BH93,WorkArea_Elevation))*Dispersion_N^0.5,Public)^2),IF(BH205="Instantaneous",Dispersion_R,Dispersion_M)*(MAX(BH353,Zone_1)^2-Zone_1^2))</f>
        <v>#DIV/0!</v>
      </c>
      <c r="BI356" s="83"/>
      <c r="BJ356" s="1206" t="e">
        <f>IF(Zone_1&lt;MAX((BJ93-MIN(BJ93,WorkArea_Elevation))*Dispersion_N^0.5,Public),IF(BJ205="Instantaneous",Dispersion_R,Dispersion_M)*(MAX(BJ353,(BJ93-MIN(BJ93,WorkArea_Elevation))*Dispersion_N^0.5,Public)^2-MAX((BJ93-MIN(BJ93,WorkArea_Elevation))*Dispersion_N^0.5,Public)^2),IF(BJ205="Instantaneous",Dispersion_R,Dispersion_M)*(MAX(BJ353,Zone_1)^2-Zone_1^2))</f>
        <v>#DIV/0!</v>
      </c>
      <c r="BK356" s="83"/>
      <c r="BL356" s="1206" t="e">
        <f>IF(Zone_1&lt;MAX((BL93-MIN(BL93,WorkArea_Elevation))*Dispersion_N^0.5,Public),IF(BL205="Instantaneous",Dispersion_R,Dispersion_M)*(MAX(BL353,(BL93-MIN(BL93,WorkArea_Elevation))*Dispersion_N^0.5,Public)^2-MAX((BL93-MIN(BL93,WorkArea_Elevation))*Dispersion_N^0.5,Public)^2),IF(BL205="Instantaneous",Dispersion_R,Dispersion_M)*(MAX(BL353,Zone_1)^2-Zone_1^2))</f>
        <v>#DIV/0!</v>
      </c>
      <c r="BM356" s="83"/>
      <c r="BN356" s="1206" t="e">
        <f>IF(Zone_1&lt;MAX((BN93-MIN(BN93,WorkArea_Elevation))*Dispersion_N^0.5,Public),IF(BN205="Instantaneous",Dispersion_R,Dispersion_M)*(MAX(BN353,(BN93-MIN(BN93,WorkArea_Elevation))*Dispersion_N^0.5,Public)^2-MAX((BN93-MIN(BN93,WorkArea_Elevation))*Dispersion_N^0.5,Public)^2),IF(BN205="Instantaneous",Dispersion_R,Dispersion_M)*(MAX(BN353,Zone_1)^2-Zone_1^2))</f>
        <v>#DIV/0!</v>
      </c>
      <c r="BO356" s="83"/>
      <c r="BP356" s="85" t="s">
        <v>3804</v>
      </c>
      <c r="BQ356" s="83"/>
      <c r="BR356" s="81"/>
      <c r="BS356" s="23" t="s">
        <v>2979</v>
      </c>
      <c r="BT356" s="81"/>
      <c r="BU356" s="106"/>
      <c r="BV356" s="81"/>
      <c r="BW356" s="120">
        <f>IF(AND(Occ_Bldg2&gt;0,Reaction_Energy2&gt;0),14.7*EXP(TNT_A/(LN(Occ_Bldg/(Reaction_Energy2/1100)^0.33)+TNT_C)-TNT_B),0)</f>
        <v>0</v>
      </c>
      <c r="BX356" s="81"/>
      <c r="BY356" s="120">
        <f>IF(AND(Occ_Bldg2&gt;0,Reaction_Energy&gt;0),14.7*EXP(TNT_A/(LN(Occ_Bldg2/(Reaction_Energy/1100)^0.33)+TNT_C)-TNT_B),0)</f>
        <v>0</v>
      </c>
      <c r="BZ356" s="81"/>
      <c r="CA356" s="1182"/>
      <c r="CB356" s="81"/>
      <c r="CC356" s="120">
        <f>IF(AND(Occ_Bldg2&gt;0,Reaction_Energy3&gt;0),14.7*EXP(TNT_A/(LN(Occ_Bldg2/(Reaction_Energy3/1100)^0.33)+TNT_C)-TNT_B),0)</f>
        <v>0</v>
      </c>
      <c r="CD356" s="81"/>
      <c r="CE356" s="85" t="s">
        <v>968</v>
      </c>
      <c r="CF356" s="81"/>
      <c r="CG356" s="26"/>
      <c r="CH356" s="26"/>
      <c r="CI356" s="26"/>
      <c r="CJ356" s="26"/>
      <c r="CK356" s="26"/>
      <c r="CL356" s="26"/>
      <c r="CM356" s="26"/>
      <c r="CN356" s="26"/>
    </row>
    <row r="357" spans="1:92" ht="15" customHeight="1" thickBot="1" x14ac:dyDescent="0.3">
      <c r="A357" s="2"/>
      <c r="B357" s="23" t="s">
        <v>3636</v>
      </c>
      <c r="C357" s="83"/>
      <c r="D357" s="1206">
        <f>IF(OR(D$279=0,D$273=""),0,IF(D355&gt;Zone_1,IF(D208="Instantaneous",Dispersion_R,Dispersion_M)*(MAX(Public,Zone_1)^2-MAX(Public,D355)^2)+(MAX(Public,Zone_1)-MAX(Public,D355))*IF(D208="Instantaneous",DC_Duration_Initial*(D83/D98)^(1/3),2*(D$55/3.142)^0.5),IF(D208="Instantaneous",Dispersion_R,Dispersion_M)*D$273^(2*IF(D208="Instantaneous",D$206,D$180))*D$291^2*(EXP(D$278+D$279*MAX(Public,Zone_1)^2/(D$273^(2*IF(D208="Instantaneous",D$206,D$180))*D$291^2))-EXP(D$278+D$279*MAX(Public,D355)^2/(D$273^(2*IF(D208="Instantaneous",D$206,D$180))*D$291^2)))/D$279))</f>
        <v>0</v>
      </c>
      <c r="E357" s="83"/>
      <c r="F357" s="1206">
        <f>IF(OR(F$279=0,F$273=""),0,IF(F355&gt;Zone_1,IF(F208="Instantaneous",Dispersion_R,Dispersion_M)*(MAX(Public,Zone_1)^2-MAX(Public,F355)^2)+(MAX(Public,Zone_1)-MAX(Public,F355))*IF(F208="Instantaneous",DC_Duration_Initial*(F83/F98)^(1/3),2*(F$55/3.142)^0.5),IF(F208="Instantaneous",Dispersion_R,Dispersion_M)*F$273^(2*IF(F208="Instantaneous",F$206,F$180))*F$291^2*(EXP(F$278+F$279*MAX(Public,Zone_1)^2/(F$273^(2*IF(F208="Instantaneous",F$206,F$180))*F$291^2))-EXP(F$278+F$279*MAX(Public,F355)^2/(F$273^(2*IF(F208="Instantaneous",F$206,F$180))*F$291^2)))/F$279))</f>
        <v>0</v>
      </c>
      <c r="G357" s="83"/>
      <c r="H357" s="1206">
        <f>IF(OR(H$279=0,H$273=""),0,IF(H355&gt;Zone_1,IF(H208="Instantaneous",Dispersion_R,Dispersion_M)*(MAX(Public,Zone_1)^2-MAX(Public,H355)^2)+(MAX(Public,Zone_1)-MAX(Public,H355))*IF(H208="Instantaneous",DC_Duration_Initial*(H83/H98)^(1/3),2*(H$55/3.142)^0.5),IF(H208="Instantaneous",Dispersion_R,Dispersion_M)*H$273^(2*IF(H208="Instantaneous",H$206,H$180))*H$291^2*(EXP(H$278+H$279*MAX(Public,Zone_1)^2/(H$273^(2*IF(H208="Instantaneous",H$206,H$180))*H$291^2))-EXP(H$278+H$279*MAX(Public,H355)^2/(H$273^(2*IF(H208="Instantaneous",H$206,H$180))*H$291^2)))/H$279))</f>
        <v>0</v>
      </c>
      <c r="I357" s="83"/>
      <c r="J357" s="1206">
        <f>IF(OR(J$279=0,J$273=""),0,IF(J355&gt;Zone_1,IF(J208="Instantaneous",Dispersion_R,Dispersion_M)*(MAX(Public,Zone_1)^2-MAX(Public,J355)^2)+(MAX(Public,Zone_1)-MAX(Public,J355))*IF(J208="Instantaneous",DC_Duration_Initial*(J83/J98)^(1/3),2*(J$55/3.142)^0.5),IF(J208="Instantaneous",Dispersion_R,Dispersion_M)*J$273^(2*IF(J208="Instantaneous",J$206,J$180))*J$291^2*(EXP(J$278+J$279*MAX(Public,Zone_1)^2/(J$273^(2*IF(J208="Instantaneous",J$206,J$180))*J$291^2))-EXP(J$278+J$279*MAX(Public,J355)^2/(J$273^(2*IF(J208="Instantaneous",J$206,J$180))*J$291^2)))/J$279))</f>
        <v>0</v>
      </c>
      <c r="K357" s="83"/>
      <c r="L357" s="1206">
        <f>IF(OR(L$279=0,L$273=""),0,IF(L355&gt;Zone_1,IF(L208="Instantaneous",Dispersion_R,Dispersion_M)*(MAX(Public,Zone_1)^2-MAX(Public,L355)^2)+(MAX(Public,Zone_1)-MAX(Public,L355))*IF(L208="Instantaneous",DC_Duration_Initial*(L83/L98)^(1/3),2*(L$55/3.142)^0.5),IF(L208="Instantaneous",Dispersion_R,Dispersion_M)*L$273^(2*IF(L208="Instantaneous",L$206,L$180))*L$291^2*(EXP(L$278+L$279*MAX(Public,Zone_1)^2/(L$273^(2*IF(L208="Instantaneous",L$206,L$180))*L$291^2))-EXP(L$278+L$279*MAX(Public,L355)^2/(L$273^(2*IF(L208="Instantaneous",L$206,L$180))*L$291^2)))/L$279))</f>
        <v>0</v>
      </c>
      <c r="M357" s="83"/>
      <c r="N357" s="1206">
        <f>IF(OR(N$279=0,N$273=""),0,IF(N355&gt;Zone_1,IF(N208="Instantaneous",Dispersion_R,Dispersion_M)*(MAX(Public,Zone_1)^2-MAX(Public,N355)^2)+(MAX(Public,Zone_1)-MAX(Public,N355))*IF(N208="Instantaneous",DC_Duration_Initial*(N83/N98)^(1/3),2*(N$55/3.142)^0.5),IF(N208="Instantaneous",Dispersion_R,Dispersion_M)*N$273^(2*IF(N208="Instantaneous",N$206,N$180))*N$291^2*(EXP(N$278+N$279*MAX(Public,Zone_1)^2/(N$273^(2*IF(N208="Instantaneous",N$206,N$180))*N$291^2))-EXP(N$278+N$279*MAX(Public,N355)^2/(N$273^(2*IF(N208="Instantaneous",N$206,N$180))*N$291^2)))/N$279))</f>
        <v>0</v>
      </c>
      <c r="O357" s="83"/>
      <c r="P357" s="1206">
        <f>IF(OR(P$279=0,P$273=""),0,IF(P355&gt;Zone_1,IF(P208="Instantaneous",Dispersion_R,Dispersion_M)*(MAX(Public,Zone_1)^2-MAX(Public,P355)^2)+(MAX(Public,Zone_1)-MAX(Public,P355))*IF(P208="Instantaneous",DC_Duration_Initial*(P83/P98)^(1/3),2*(P$55/3.142)^0.5),IF(P208="Instantaneous",Dispersion_R,Dispersion_M)*P$273^(2*IF(P208="Instantaneous",P$206,P$180))*P$291^2*(EXP(P$278+P$279*MAX(Public,Zone_1)^2/(P$273^(2*IF(P208="Instantaneous",P$206,P$180))*P$291^2))-EXP(P$278+P$279*MAX(Public,P355)^2/(P$273^(2*IF(P208="Instantaneous",P$206,P$180))*P$291^2)))/P$279))</f>
        <v>0</v>
      </c>
      <c r="Q357" s="83"/>
      <c r="R357" s="1206">
        <f>IF(OR(R$279=0,R$273=""),0,IF(R355&gt;Zone_1,IF(R208="Instantaneous",Dispersion_R,Dispersion_M)*(MAX(Public,Zone_1)^2-MAX(Public,R355)^2)+(MAX(Public,Zone_1)-MAX(Public,R355))*IF(R208="Instantaneous",DC_Duration_Initial*(R83/R98)^(1/3),2*(R$55/3.142)^0.5),IF(R208="Instantaneous",Dispersion_R,Dispersion_M)*R$273^(2*IF(R208="Instantaneous",R$206,R$180))*R$291^2*(EXP(R$278+R$279*MAX(Public,Zone_1)^2/(R$273^(2*IF(R208="Instantaneous",R$206,R$180))*R$291^2))-EXP(R$278+R$279*MAX(Public,R355)^2/(R$273^(2*IF(R208="Instantaneous",R$206,R$180))*R$291^2)))/R$279))</f>
        <v>0</v>
      </c>
      <c r="S357" s="83"/>
      <c r="T357" s="1206">
        <f>IF(OR(T$279=0,T$273=""),0,IF(T355&gt;Zone_1,IF(T208="Instantaneous",Dispersion_R,Dispersion_M)*(MAX(Public,Zone_1)^2-MAX(Public,T355)^2)+(MAX(Public,Zone_1)-MAX(Public,T355))*IF(T208="Instantaneous",DC_Duration_Initial*(T83/T98)^(1/3),2*(T$55/3.142)^0.5),IF(T208="Instantaneous",Dispersion_R,Dispersion_M)*T$273^(2*IF(T208="Instantaneous",T$206,T$180))*T$291^2*(EXP(T$278+T$279*MAX(Public,Zone_1)^2/(T$273^(2*IF(T208="Instantaneous",T$206,T$180))*T$291^2))-EXP(T$278+T$279*MAX(Public,T355)^2/(T$273^(2*IF(T208="Instantaneous",T$206,T$180))*T$291^2)))/T$279))</f>
        <v>0</v>
      </c>
      <c r="U357" s="83"/>
      <c r="V357" s="1206">
        <f>IF(OR(V$279=0,V$273=""),0,IF(V355&gt;Zone_1,IF(V208="Instantaneous",Dispersion_R,Dispersion_M)*(MAX(Public,Zone_1)^2-MAX(Public,V355)^2)+(MAX(Public,Zone_1)-MAX(Public,V355))*IF(V208="Instantaneous",DC_Duration_Initial*(V83/V98)^(1/3),2*(V$55/3.142)^0.5),IF(V208="Instantaneous",Dispersion_R,Dispersion_M)*V$273^(2*IF(V208="Instantaneous",V$206,V$180))*V$291^2*(EXP(V$278+V$279*MAX(Public,Zone_1)^2/(V$273^(2*IF(V208="Instantaneous",V$206,V$180))*V$291^2))-EXP(V$278+V$279*MAX(Public,V355)^2/(V$273^(2*IF(V208="Instantaneous",V$206,V$180))*V$291^2)))/V$279))</f>
        <v>0</v>
      </c>
      <c r="W357" s="83"/>
      <c r="X357" s="1206">
        <f>IF(OR(X$279=0,X$273=""),0,IF(X355&gt;Zone_1,IF(X208="Instantaneous",Dispersion_R,Dispersion_M)*(MAX(Public,Zone_1)^2-MAX(Public,X355)^2)+(MAX(Public,Zone_1)-MAX(Public,X355))*IF(X208="Instantaneous",DC_Duration_Initial*(X83/X98)^(1/3),2*(X$55/3.142)^0.5),IF(X208="Instantaneous",Dispersion_R,Dispersion_M)*X$273^(2*IF(X208="Instantaneous",X$206,X$180))*X$291^2*(EXP(X$278+X$279*MAX(Public,Zone_1)^2/(X$273^(2*IF(X208="Instantaneous",X$206,X$180))*X$291^2))-EXP(X$278+X$279*MAX(Public,X355)^2/(X$273^(2*IF(X208="Instantaneous",X$206,X$180))*X$291^2)))/X$279))</f>
        <v>0</v>
      </c>
      <c r="Y357" s="83"/>
      <c r="Z357" s="85" t="s">
        <v>3804</v>
      </c>
      <c r="AA357" s="83"/>
      <c r="AB357" s="81"/>
      <c r="AC357" s="23" t="s">
        <v>3707</v>
      </c>
      <c r="AD357" s="81"/>
      <c r="AE357" s="1206">
        <f>IF(OR(AE$289=0,AE$280=""),0,IF(Zone_1&lt;MAX((AE109-MIN(AE109,WorkArea_Elevation))*Dispersion_E^0.5,Public),IF(AE169="Instantaneous",Dispersion_I,Dispersion_D)*AE$280^(2*IF(AE169="Instantaneous",AE$167,AE$141))*AE$301^2*(0-EXP(AE$287+AE$289*MAX(AE353,(AE109-MIN(AE109,WorkArea_Elevation))*Dispersion_E^0.5,Public)^2/(AE$280^(2*IF(AE169="Instantaneous",AE$167,AE$141))*AE$301^2)))/AE$289,IF(AE289="Instantaneous",Dispersion_I,Dispersion_D)*AE$280^(2*IF(AE169="Instantaneous",AE$167,AE$141))*AE$301^2*(0-EXP(AE$287+AE$289*MAX(AE353,Zone_1)^2/(AE$280^(2*IF(AE169="Instantaneous",AE$167,AE$141))*AE$301^2)))/AE$289))</f>
        <v>0</v>
      </c>
      <c r="AF357" s="81"/>
      <c r="AG357" s="1206">
        <f>IF(OR(AG$289=0,AG$280=""),0,IF(Zone_1&lt;MAX((AG109-MIN(AG109,WorkArea_Elevation))*Dispersion_E^0.5,Public),IF(AG169="Instantaneous",Dispersion_I,Dispersion_D)*AG$280^(2*IF(AG169="Instantaneous",AG$167,AG$141))*AG$301^2*(0-EXP(AG$287+AG$289*MAX(AG353,(AG109-MIN(AG109,WorkArea_Elevation))*Dispersion_E^0.5,Public)^2/(AG$280^(2*IF(AG169="Instantaneous",AG$167,AG$141))*AG$301^2)))/AG$289,IF(AG289="Instantaneous",Dispersion_I,Dispersion_D)*AG$280^(2*IF(AG169="Instantaneous",AG$167,AG$141))*AG$301^2*(0-EXP(AG$287+AG$289*MAX(AG353,Zone_1)^2/(AG$280^(2*IF(AG169="Instantaneous",AG$167,AG$141))*AG$301^2)))/AG$289))</f>
        <v>0</v>
      </c>
      <c r="AH357" s="81"/>
      <c r="AI357" s="1206">
        <f>IF(OR(AI$289=0,AI$280=""),0,IF(Zone_1&lt;MAX((AI109-MIN(AI109,WorkArea_Elevation))*Dispersion_E^0.5,Public),IF(AI169="Instantaneous",Dispersion_I,Dispersion_D)*AI$280^(2*IF(AI169="Instantaneous",AI$167,AI$141))*AI$301^2*(0-EXP(AI$287+AI$289*MAX(AI353,(AI109-MIN(AI109,WorkArea_Elevation))*Dispersion_E^0.5,Public)^2/(AI$280^(2*IF(AI169="Instantaneous",AI$167,AI$141))*AI$301^2)))/AI$289,IF(AI289="Instantaneous",Dispersion_I,Dispersion_D)*AI$280^(2*IF(AI169="Instantaneous",AI$167,AI$141))*AI$301^2*(0-EXP(AI$287+AI$289*MAX(AI353,Zone_1)^2/(AI$280^(2*IF(AI169="Instantaneous",AI$167,AI$141))*AI$301^2)))/AI$289))</f>
        <v>0</v>
      </c>
      <c r="AJ357" s="81"/>
      <c r="AK357" s="1206">
        <f>IF(OR(AK$289=0,AK$280=""),0,IF(Zone_1&lt;MAX((AK109-MIN(AK109,WorkArea_Elevation))*Dispersion_E^0.5,Public),IF(AK169="Instantaneous",Dispersion_I,Dispersion_D)*AK$280^(2*IF(AK169="Instantaneous",AK$167,AK$141))*AK$301^2*(0-EXP(AK$287+AK$289*MAX(AK353,(AK109-MIN(AK109,WorkArea_Elevation))*Dispersion_E^0.5,Public)^2/(AK$280^(2*IF(AK169="Instantaneous",AK$167,AK$141))*AK$301^2)))/AK$289,IF(AK289="Instantaneous",Dispersion_I,Dispersion_D)*AK$280^(2*IF(AK169="Instantaneous",AK$167,AK$141))*AK$301^2*(0-EXP(AK$287+AK$289*MAX(AK353,Zone_1)^2/(AK$280^(2*IF(AK169="Instantaneous",AK$167,AK$141))*AK$301^2)))/AK$289))</f>
        <v>0</v>
      </c>
      <c r="AL357" s="81"/>
      <c r="AM357" s="1206">
        <f>IF(OR(AM$289=0,AM$280=""),0,IF(Zone_1&lt;MAX((AM109-MIN(AM109,WorkArea_Elevation))*Dispersion_E^0.5,Public),IF(AM169="Instantaneous",Dispersion_I,Dispersion_D)*AM$280^(2*IF(AM169="Instantaneous",AM$167,AM$141))*AM$301^2*(0-EXP(AM$287+AM$289*MAX(AM353,(AM109-MIN(AM109,WorkArea_Elevation))*Dispersion_E^0.5,Public)^2/(AM$280^(2*IF(AM169="Instantaneous",AM$167,AM$141))*AM$301^2)))/AM$289,IF(AM289="Instantaneous",Dispersion_I,Dispersion_D)*AM$280^(2*IF(AM169="Instantaneous",AM$167,AM$141))*AM$301^2*(0-EXP(AM$287+AM$289*MAX(AM353,Zone_1)^2/(AM$280^(2*IF(AM169="Instantaneous",AM$167,AM$141))*AM$301^2)))/AM$289))</f>
        <v>0</v>
      </c>
      <c r="AN357" s="81"/>
      <c r="AO357" s="1206">
        <f>IF(OR(AO$289=0,AO$280=""),0,IF(Zone_1&lt;MAX((AO109-MIN(AO109,WorkArea_Elevation))*Dispersion_E^0.5,Public),IF(AO169="Instantaneous",Dispersion_I,Dispersion_D)*AO$280^(2*IF(AO169="Instantaneous",AO$167,AO$141))*AO$301^2*(0-EXP(AO$287+AO$289*MAX(AO353,(AO109-MIN(AO109,WorkArea_Elevation))*Dispersion_E^0.5,Public)^2/(AO$280^(2*IF(AO169="Instantaneous",AO$167,AO$141))*AO$301^2)))/AO$289,IF(AO289="Instantaneous",Dispersion_I,Dispersion_D)*AO$280^(2*IF(AO169="Instantaneous",AO$167,AO$141))*AO$301^2*(0-EXP(AO$287+AO$289*MAX(AO353,Zone_1)^2/(AO$280^(2*IF(AO169="Instantaneous",AO$167,AO$141))*AO$301^2)))/AO$289))</f>
        <v>0</v>
      </c>
      <c r="AP357" s="81"/>
      <c r="AQ357" s="85" t="s">
        <v>3804</v>
      </c>
      <c r="AR357" s="81"/>
      <c r="AS357" s="83"/>
      <c r="AT357" s="23" t="s">
        <v>3638</v>
      </c>
      <c r="AU357" s="83"/>
      <c r="AV357" s="1206">
        <f>IF(OR(AV$276=0,AV$270=""),0,IF(Zone_1&lt;MAX((AV93-MIN(AV93,WorkArea_Elevation))*Dispersion_N^0.5,Public),IF(AV205="Instantaneous",Dispersion_R,Dispersion_M)*AV$270^(2*IF(AV205="Instantaneous",AV$203,AV$177))*AV$288^2*(0-EXP(AV$275+AV$276*MAX(AV353,(AV93-MIN(AV93,WorkArea_Elevation))*Dispersion_N^0.5,Public)^2/(AV$270^(2*IF(AV205="Instantaneous",AV$203,AV$177))*AV$288^2)))/AV$276,IF(AV205="Instantaneous",Dispersion_R,Dispersion_M)*AV$270^(2*IF(AV205="Instantaneous",AV$203,AV$177))*AV$288^2*(0-EXP(AV$275+AV$276*MAX(AV353,Zone_1)^2/(AV$270^(2*IF(AV205="Instantaneous",AV$203,AV$177))*AV$288^2)))/AV$276))</f>
        <v>0</v>
      </c>
      <c r="AW357" s="83"/>
      <c r="AX357" s="1206">
        <f>IF(OR(AX$276=0,AX$270=""),0,IF(Zone_1&lt;MAX((AX93-MIN(AX93,WorkArea_Elevation))*Dispersion_N^0.5,Public),IF(AX205="Instantaneous",Dispersion_R,Dispersion_M)*AX$270^(2*IF(AX205="Instantaneous",AX$203,AX$177))*AX$288^2*(0-EXP(AX$275+AX$276*MAX(AX353,(AX93-MIN(AX93,WorkArea_Elevation))*Dispersion_N^0.5,Public)^2/(AX$270^(2*IF(AX205="Instantaneous",AX$203,AX$177))*AX$288^2)))/AX$276,IF(AX205="Instantaneous",Dispersion_R,Dispersion_M)*AX$270^(2*IF(AX205="Instantaneous",AX$203,AX$177))*AX$288^2*(0-EXP(AX$275+AX$276*MAX(AX353,Zone_1)^2/(AX$270^(2*IF(AX205="Instantaneous",AX$203,AX$177))*AX$288^2)))/AX$276))</f>
        <v>0</v>
      </c>
      <c r="AY357" s="83"/>
      <c r="AZ357" s="1206">
        <f>IF(OR(AZ$276=0,AZ$270=""),0,IF(Zone_1&lt;MAX((AZ93-MIN(AZ93,WorkArea_Elevation))*Dispersion_N^0.5,Public),IF(AZ205="Instantaneous",Dispersion_R,Dispersion_M)*AZ$270^(2*IF(AZ205="Instantaneous",AZ$203,AZ$177))*AZ$288^2*(0-EXP(AZ$275+AZ$276*MAX(AZ353,(AZ93-MIN(AZ93,WorkArea_Elevation))*Dispersion_N^0.5,Public)^2/(AZ$270^(2*IF(AZ205="Instantaneous",AZ$203,AZ$177))*AZ$288^2)))/AZ$276,IF(AZ205="Instantaneous",Dispersion_R,Dispersion_M)*AZ$270^(2*IF(AZ205="Instantaneous",AZ$203,AZ$177))*AZ$288^2*(0-EXP(AZ$275+AZ$276*MAX(AZ353,Zone_1)^2/(AZ$270^(2*IF(AZ205="Instantaneous",AZ$203,AZ$177))*AZ$288^2)))/AZ$276))</f>
        <v>0</v>
      </c>
      <c r="BA357" s="83"/>
      <c r="BB357" s="1206">
        <f>IF(OR(BB$276=0,BB$270=""),0,IF(Zone_1&lt;MAX((BB93-MIN(BB93,WorkArea_Elevation))*Dispersion_N^0.5,Public),IF(BB205="Instantaneous",Dispersion_R,Dispersion_M)*BB$270^(2*IF(BB205="Instantaneous",BB$203,BB$177))*BB$288^2*(0-EXP(BB$275+BB$276*MAX(BB353,(BB93-MIN(BB93,WorkArea_Elevation))*Dispersion_N^0.5,Public)^2/(BB$270^(2*IF(BB205="Instantaneous",BB$203,BB$177))*BB$288^2)))/BB$276,IF(BB205="Instantaneous",Dispersion_R,Dispersion_M)*BB$270^(2*IF(BB205="Instantaneous",BB$203,BB$177))*BB$288^2*(0-EXP(BB$275+BB$276*MAX(BB353,Zone_1)^2/(BB$270^(2*IF(BB205="Instantaneous",BB$203,BB$177))*BB$288^2)))/BB$276))</f>
        <v>0</v>
      </c>
      <c r="BC357" s="83"/>
      <c r="BD357" s="1206">
        <f>IF(OR(BD$276=0,BD$270=""),0,IF(Zone_1&lt;MAX((BD93-MIN(BD93,WorkArea_Elevation))*Dispersion_N^0.5,Public),IF(BD205="Instantaneous",Dispersion_R,Dispersion_M)*BD$270^(2*IF(BD205="Instantaneous",BD$203,BD$177))*BD$288^2*(0-EXP(BD$275+BD$276*MAX(BD353,(BD93-MIN(BD93,WorkArea_Elevation))*Dispersion_N^0.5,Public)^2/(BD$270^(2*IF(BD205="Instantaneous",BD$203,BD$177))*BD$288^2)))/BD$276,IF(BD205="Instantaneous",Dispersion_R,Dispersion_M)*BD$270^(2*IF(BD205="Instantaneous",BD$203,BD$177))*BD$288^2*(0-EXP(BD$275+BD$276*MAX(BD353,Zone_1)^2/(BD$270^(2*IF(BD205="Instantaneous",BD$203,BD$177))*BD$288^2)))/BD$276))</f>
        <v>0</v>
      </c>
      <c r="BE357" s="83"/>
      <c r="BF357" s="1206">
        <f>IF(OR(BF$276=0,BF$270=""),0,IF(Zone_1&lt;MAX((BF93-MIN(BF93,WorkArea_Elevation))*Dispersion_N^0.5,Public),IF(BF205="Instantaneous",Dispersion_R,Dispersion_M)*BF$270^(2*IF(BF205="Instantaneous",BF$203,BF$177))*BF$288^2*(0-EXP(BF$275+BF$276*MAX(BF353,(BF93-MIN(BF93,WorkArea_Elevation))*Dispersion_N^0.5,Public)^2/(BF$270^(2*IF(BF205="Instantaneous",BF$203,BF$177))*BF$288^2)))/BF$276,IF(BF205="Instantaneous",Dispersion_R,Dispersion_M)*BF$270^(2*IF(BF205="Instantaneous",BF$203,BF$177))*BF$288^2*(0-EXP(BF$275+BF$276*MAX(BF353,Zone_1)^2/(BF$270^(2*IF(BF205="Instantaneous",BF$203,BF$177))*BF$288^2)))/BF$276))</f>
        <v>0</v>
      </c>
      <c r="BG357" s="83"/>
      <c r="BH357" s="1206">
        <f>IF(OR(BH$276=0,BH$270=""),0,IF(Zone_1&lt;MAX((BH93-MIN(BH93,WorkArea_Elevation))*Dispersion_N^0.5,Public),IF(BH205="Instantaneous",Dispersion_R,Dispersion_M)*BH$270^(2*IF(BH205="Instantaneous",BH$203,BH$177))*BH$288^2*(0-EXP(BH$275+BH$276*MAX(BH353,(BH93-MIN(BH93,WorkArea_Elevation))*Dispersion_N^0.5,Public)^2/(BH$270^(2*IF(BH205="Instantaneous",BH$203,BH$177))*BH$288^2)))/BH$276,IF(BH205="Instantaneous",Dispersion_R,Dispersion_M)*BH$270^(2*IF(BH205="Instantaneous",BH$203,BH$177))*BH$288^2*(0-EXP(BH$275+BH$276*MAX(BH353,Zone_1)^2/(BH$270^(2*IF(BH205="Instantaneous",BH$203,BH$177))*BH$288^2)))/BH$276))</f>
        <v>0</v>
      </c>
      <c r="BI357" s="83"/>
      <c r="BJ357" s="1206">
        <f>IF(OR(BJ$276=0,BJ$270=""),0,IF(Zone_1&lt;MAX((BJ93-MIN(BJ93,WorkArea_Elevation))*Dispersion_N^0.5,Public),IF(BJ205="Instantaneous",Dispersion_R,Dispersion_M)*BJ$270^(2*IF(BJ205="Instantaneous",BJ$203,BJ$177))*BJ$288^2*(0-EXP(BJ$275+BJ$276*MAX(BJ353,(BJ93-MIN(BJ93,WorkArea_Elevation))*Dispersion_N^0.5,Public)^2/(BJ$270^(2*IF(BJ205="Instantaneous",BJ$203,BJ$177))*BJ$288^2)))/BJ$276,IF(BJ205="Instantaneous",Dispersion_R,Dispersion_M)*BJ$270^(2*IF(BJ205="Instantaneous",BJ$203,BJ$177))*BJ$288^2*(0-EXP(BJ$275+BJ$276*MAX(BJ353,Zone_1)^2/(BJ$270^(2*IF(BJ205="Instantaneous",BJ$203,BJ$177))*BJ$288^2)))/BJ$276))</f>
        <v>0</v>
      </c>
      <c r="BK357" s="83"/>
      <c r="BL357" s="1206">
        <f>IF(OR(BL$276=0,BL$270=""),0,IF(Zone_1&lt;MAX((BL93-MIN(BL93,WorkArea_Elevation))*Dispersion_N^0.5,Public),IF(BL205="Instantaneous",Dispersion_R,Dispersion_M)*BL$270^(2*IF(BL205="Instantaneous",BL$203,BL$177))*BL$288^2*(0-EXP(BL$275+BL$276*MAX(BL353,(BL93-MIN(BL93,WorkArea_Elevation))*Dispersion_N^0.5,Public)^2/(BL$270^(2*IF(BL205="Instantaneous",BL$203,BL$177))*BL$288^2)))/BL$276,IF(BL205="Instantaneous",Dispersion_R,Dispersion_M)*BL$270^(2*IF(BL205="Instantaneous",BL$203,BL$177))*BL$288^2*(0-EXP(BL$275+BL$276*MAX(BL353,Zone_1)^2/(BL$270^(2*IF(BL205="Instantaneous",BL$203,BL$177))*BL$288^2)))/BL$276))</f>
        <v>0</v>
      </c>
      <c r="BM357" s="83"/>
      <c r="BN357" s="1206">
        <f>IF(OR(BN$276=0,BN$270=""),0,IF(Zone_1&lt;MAX((BN93-MIN(BN93,WorkArea_Elevation))*Dispersion_N^0.5,Public),IF(BN205="Instantaneous",Dispersion_R,Dispersion_M)*BN$270^(2*IF(BN205="Instantaneous",BN$203,BN$177))*BN$288^2*(0-EXP(BN$275+BN$276*MAX(BN353,(BN93-MIN(BN93,WorkArea_Elevation))*Dispersion_N^0.5,Public)^2/(BN$270^(2*IF(BN205="Instantaneous",BN$203,BN$177))*BN$288^2)))/BN$276,IF(BN205="Instantaneous",Dispersion_R,Dispersion_M)*BN$270^(2*IF(BN205="Instantaneous",BN$203,BN$177))*BN$288^2*(0-EXP(BN$275+BN$276*MAX(BN353,Zone_1)^2/(BN$270^(2*IF(BN205="Instantaneous",BN$203,BN$177))*BN$288^2)))/BN$276))</f>
        <v>0</v>
      </c>
      <c r="BO357" s="83"/>
      <c r="BP357" s="85" t="s">
        <v>3804</v>
      </c>
      <c r="BQ357" s="83"/>
      <c r="BR357" s="81"/>
      <c r="BS357" s="25" t="s">
        <v>1863</v>
      </c>
      <c r="BT357" s="81"/>
      <c r="BU357" s="1184"/>
      <c r="BV357" s="81"/>
      <c r="BW357" s="100" t="str">
        <f>IF(OR(BW354&gt;Bldg_Type_Correction,BW356&gt;Bldg2_Type_Correction),"Yes","No")</f>
        <v>No</v>
      </c>
      <c r="BX357" s="81"/>
      <c r="BY357" s="98" t="str">
        <f>IF(OR(BY354&gt;Bldg_Type_Correction,BY356&gt;Bldg2_Type_Correction),"Yes","No")</f>
        <v>No</v>
      </c>
      <c r="BZ357" s="81"/>
      <c r="CA357" s="98"/>
      <c r="CB357" s="81"/>
      <c r="CC357" s="98" t="str">
        <f>IF(OR(CC354&gt;Bldg_Type_Correction,CC356&gt;Bldg2_Type_Correction),"Yes","No")</f>
        <v>No</v>
      </c>
      <c r="CD357" s="81"/>
      <c r="CE357" s="25"/>
      <c r="CF357" s="81"/>
      <c r="CG357" s="26"/>
      <c r="CH357" s="26"/>
      <c r="CI357" s="26"/>
      <c r="CJ357" s="26"/>
      <c r="CK357" s="26"/>
      <c r="CL357" s="26"/>
      <c r="CM357" s="26"/>
      <c r="CN357" s="26"/>
    </row>
    <row r="358" spans="1:92" ht="15" customHeight="1" x14ac:dyDescent="0.25">
      <c r="A358" s="2"/>
      <c r="B358" s="23" t="s">
        <v>3637</v>
      </c>
      <c r="C358" s="83"/>
      <c r="D358" s="1206">
        <f>IF(Zone_1&lt;Public,IF(D208="Instantaneous",Dispersion_R,Dispersion_M)*(MAX(D355,Public)^2-Public^2)+(MAX(D355,Public)-Public)*IF(D208="Instantaneous",DC_Duration_Initial*(D83/D98)^(1/3),2*(D$55/3.142)^0.5),IF(D208="Instantaneous",Dispersion_R,Dispersion_M)*(MAX(D355,Zone_1)^2-Zone_1^2)+(MAX(D355,Zone_1)-Zone_1)*IF(D208="Instantaneous",DC_Duration_Initial*(D83/D98)^(1/3),2*(D$55/3.142)^0.5))</f>
        <v>3.0000000000000005E-3</v>
      </c>
      <c r="E358" s="83"/>
      <c r="F358" s="1206">
        <f>IF(Zone_1&lt;Public,IF(F208="Instantaneous",Dispersion_R,Dispersion_M)*(MAX(F355,Public)^2-Public^2)+(MAX(F355,Public)-Public)*IF(F208="Instantaneous",DC_Duration_Initial*(F83/F98)^(1/3),2*(F$55/3.142)^0.5),IF(F208="Instantaneous",Dispersion_R,Dispersion_M)*(MAX(F355,Zone_1)^2-Zone_1^2)+(MAX(F355,Zone_1)-Zone_1)*IF(F208="Instantaneous",DC_Duration_Initial*(F83/F98)^(1/3),2*(F$55/3.142)^0.5))</f>
        <v>3.0000000000000005E-3</v>
      </c>
      <c r="G358" s="83"/>
      <c r="H358" s="1206">
        <f>IF(Zone_1&lt;Public,IF(H208="Instantaneous",Dispersion_R,Dispersion_M)*(MAX(H355,Public)^2-Public^2)+(MAX(H355,Public)-Public)*IF(H208="Instantaneous",DC_Duration_Initial*(H83/H98)^(1/3),2*(H$55/3.142)^0.5),IF(H208="Instantaneous",Dispersion_R,Dispersion_M)*(MAX(H355,Zone_1)^2-Zone_1^2)+(MAX(H355,Zone_1)-Zone_1)*IF(H208="Instantaneous",DC_Duration_Initial*(H83/H98)^(1/3),2*(H$55/3.142)^0.5))</f>
        <v>3.0000000000000005E-3</v>
      </c>
      <c r="I358" s="83"/>
      <c r="J358" s="1206">
        <f>IF(Zone_1&lt;Public,IF(J208="Instantaneous",Dispersion_R,Dispersion_M)*(MAX(J355,Public)^2-Public^2)+(MAX(J355,Public)-Public)*IF(J208="Instantaneous",DC_Duration_Initial*(J83/J98)^(1/3),2*(J$55/3.142)^0.5),IF(J208="Instantaneous",Dispersion_R,Dispersion_M)*(MAX(J355,Zone_1)^2-Zone_1^2)+(MAX(J355,Zone_1)-Zone_1)*IF(J208="Instantaneous",DC_Duration_Initial*(J83/J98)^(1/3),2*(J$55/3.142)^0.5))</f>
        <v>3.0000000000000005E-3</v>
      </c>
      <c r="K358" s="83"/>
      <c r="L358" s="1206">
        <f>IF(Zone_1&lt;Public,IF(L208="Instantaneous",Dispersion_R,Dispersion_M)*(MAX(L355,Public)^2-Public^2)+(MAX(L355,Public)-Public)*IF(L208="Instantaneous",DC_Duration_Initial*(L83/L98)^(1/3),2*(L$55/3.142)^0.5),IF(L208="Instantaneous",Dispersion_R,Dispersion_M)*(MAX(L355,Zone_1)^2-Zone_1^2)+(MAX(L355,Zone_1)-Zone_1)*IF(L208="Instantaneous",DC_Duration_Initial*(L83/L98)^(1/3),2*(L$55/3.142)^0.5))</f>
        <v>3.0000000000000005E-3</v>
      </c>
      <c r="M358" s="83"/>
      <c r="N358" s="1206">
        <f>IF(Zone_1&lt;Public,IF(N208="Instantaneous",Dispersion_R,Dispersion_M)*(MAX(N355,Public)^2-Public^2)+(MAX(N355,Public)-Public)*IF(N208="Instantaneous",DC_Duration_Initial*(N83/N98)^(1/3),2*(N$55/3.142)^0.5),IF(N208="Instantaneous",Dispersion_R,Dispersion_M)*(MAX(N355,Zone_1)^2-Zone_1^2)+(MAX(N355,Zone_1)-Zone_1)*IF(N208="Instantaneous",DC_Duration_Initial*(N83/N98)^(1/3),2*(N$55/3.142)^0.5))</f>
        <v>3.0000000000000005E-3</v>
      </c>
      <c r="O358" s="83"/>
      <c r="P358" s="1206">
        <f>IF(Zone_1&lt;Public,IF(P208="Instantaneous",Dispersion_R,Dispersion_M)*(MAX(P355,Public)^2-Public^2)+(MAX(P355,Public)-Public)*IF(P208="Instantaneous",DC_Duration_Initial*(P83/P98)^(1/3),2*(P$55/3.142)^0.5),IF(P208="Instantaneous",Dispersion_R,Dispersion_M)*(MAX(P355,Zone_1)^2-Zone_1^2)+(MAX(P355,Zone_1)-Zone_1)*IF(P208="Instantaneous",DC_Duration_Initial*(P83/P98)^(1/3),2*(P$55/3.142)^0.5))</f>
        <v>3.0000000000000005E-3</v>
      </c>
      <c r="Q358" s="83"/>
      <c r="R358" s="1206">
        <f>IF(Zone_1&lt;Public,IF(R208="Instantaneous",Dispersion_R,Dispersion_M)*(MAX(R355,Public)^2-Public^2)+(MAX(R355,Public)-Public)*IF(R208="Instantaneous",DC_Duration_Initial*(R83/R98)^(1/3),2*(R$55/3.142)^0.5),IF(R208="Instantaneous",Dispersion_R,Dispersion_M)*(MAX(R355,Zone_1)^2-Zone_1^2)+(MAX(R355,Zone_1)-Zone_1)*IF(R208="Instantaneous",DC_Duration_Initial*(R83/R98)^(1/3),2*(R$55/3.142)^0.5))</f>
        <v>3.0000000000000005E-3</v>
      </c>
      <c r="S358" s="83"/>
      <c r="T358" s="1206">
        <f>IF(Zone_1&lt;Public,IF(T208="Instantaneous",Dispersion_R,Dispersion_M)*(MAX(T355,Public)^2-Public^2)+(MAX(T355,Public)-Public)*IF(T208="Instantaneous",DC_Duration_Initial*(T83/T98)^(1/3),2*(T$55/3.142)^0.5),IF(T208="Instantaneous",Dispersion_R,Dispersion_M)*(MAX(T355,Zone_1)^2-Zone_1^2)+(MAX(T355,Zone_1)-Zone_1)*IF(T208="Instantaneous",DC_Duration_Initial*(T83/T98)^(1/3),2*(T$55/3.142)^0.5))</f>
        <v>3.0000000000000005E-3</v>
      </c>
      <c r="U358" s="83"/>
      <c r="V358" s="1206">
        <f>IF(Zone_1&lt;Public,IF(V208="Instantaneous",Dispersion_R,Dispersion_M)*(MAX(V355,Public)^2-Public^2)+(MAX(V355,Public)-Public)*IF(V208="Instantaneous",DC_Duration_Initial*(V83/V98)^(1/3),2*(V$55/3.142)^0.5),IF(V208="Instantaneous",Dispersion_R,Dispersion_M)*(MAX(V355,Zone_1)^2-Zone_1^2)+(MAX(V355,Zone_1)-Zone_1)*IF(V208="Instantaneous",DC_Duration_Initial*(V83/V98)^(1/3),2*(V$55/3.142)^0.5))</f>
        <v>3.0000000000000005E-3</v>
      </c>
      <c r="W358" s="83"/>
      <c r="X358" s="1206">
        <f>IF(Zone_1&lt;Public,IF(X208="Instantaneous",Dispersion_R,Dispersion_M)*(MAX(X355,Public)^2-Public^2)+(MAX(X355,Public)-Public)*IF(X208="Instantaneous",DC_Duration_Initial*(X83/X98)^(1/3),2*(X$55/3.142)^0.5),IF(X208="Instantaneous",Dispersion_R,Dispersion_M)*(MAX(X355,Zone_1)^2-Zone_1^2)+(MAX(X355,Zone_1)-Zone_1)*IF(X208="Instantaneous",DC_Duration_Initial*(X83/X98)^(1/3),2*(X$55/3.142)^0.5))</f>
        <v>3.0000000000000005E-3</v>
      </c>
      <c r="Y358" s="83"/>
      <c r="Z358" s="85" t="s">
        <v>3804</v>
      </c>
      <c r="AA358" s="83"/>
      <c r="AB358" s="81"/>
      <c r="AC358" s="23" t="s">
        <v>3704</v>
      </c>
      <c r="AD358" s="81"/>
      <c r="AE358" s="2631">
        <f>IF(AND(AE98&gt;0,AE290&gt;0),IF(AE294="Indoors",IF(ConcFract_Indoor*AE315&lt;=AE290,0.1,AE$140*((IF(Enclosed_Ventilation_Rate&gt;1,Enclosed_Ventilation_Rate,1)*Enclosed_Process_Volume*AE98*AE315/88020000000)*1000000*(ConcFract_Indoor/AE290-1/AE315)/(AE98*Wind))^AE$141),IF(OR(AE290=0,AE290&gt;=ConcFract_Indoor*1000000*AE$99),0,MAX(0,IF(AE169="Instantaneous",AE$166*(AE83/AE98)*(ConcFract_Indoor*1000000/AE290)^AE$167-AE$168,AE$140*(AE89*(ConcFract_Indoor*1000000/AE290)/(AE98*Wind))^AE$141-AE$142)))),0.1)</f>
        <v>0.1</v>
      </c>
      <c r="AF358" s="81"/>
      <c r="AG358" s="2631">
        <f>IF(AND(AG98&gt;0,AG290&gt;0),IF(AG294="Indoors",IF(ConcFract_Indoor*AG315&lt;=AG290,0.1,AG$140*((IF(Enclosed_Ventilation_Rate&gt;1,Enclosed_Ventilation_Rate,1)*Enclosed_Process_Volume*AG98*AG315/88020000000)*1000000*(ConcFract_Indoor/AG290-1/AG315)/(AG98*Wind))^AG$141),IF(OR(AG290=0,AG290&gt;=ConcFract_Indoor*1000000*AG$99),0,MAX(0,IF(AG169="Instantaneous",AG$166*(AG83/AG98)*(ConcFract_Indoor*1000000/AG290)^AG$167-AG$168+AG108,AG$140*(AG89*(ConcFract_Indoor*1000000/AG290)/(AG98*Wind))^AG$141-AG$142+AG108)))),0.1)</f>
        <v>0.1</v>
      </c>
      <c r="AH358" s="81"/>
      <c r="AI358" s="2631">
        <f>IF(AND(AI98&gt;0,AI290&gt;0),IF(AI294="Indoors",IF(ConcFract_Indoor*AI315&lt;=AI290,0.1,AI$140*((IF(Enclosed_Ventilation_Rate&gt;1,Enclosed_Ventilation_Rate,1)*Enclosed_Process_Volume*AI98*AI315/88020000000)*1000000*(ConcFract_Indoor/AI290-1/AI315)/(AI98*Wind))^AI$141),IF(OR(AI290=0,AI290&gt;=ConcFract_Indoor*1000000*AI$99),0,MAX(0,IF(AI169="Instantaneous",AI$166*(AI83/AI98)*(ConcFract_Indoor*1000000/AI290)^AI$167-AI$168+AI108,AI$140*(AI89*(ConcFract_Indoor*1000000/AI290)/(AI98*Wind))^AI$141-AI$142+AI108)))),0.1)</f>
        <v>0.1</v>
      </c>
      <c r="AJ358" s="81"/>
      <c r="AK358" s="2631">
        <f>IF(AND(AK98&gt;0,AK290&gt;0),IF(AK294="Indoors",IF(ConcFract_Indoor*AK315&lt;=AK290,0.1,AK$140*((IF(Enclosed_Ventilation_Rate&gt;1,Enclosed_Ventilation_Rate,1)*Enclosed_Process_Volume*AK98*AK315/88020000000)*1000000*(ConcFract_Indoor/AK290-1/AK315)/(AK98*Wind))^AK$141),IF(OR(AK290=0,AK290&gt;=ConcFract_Indoor*1000000*AK$99),0,MAX(0,IF(AK169="Instantaneous",AK$166*(AK83/AK98)*(ConcFract_Indoor*1000000/AK290)^AK$167-AK$168+AK108,AK$140*(AK89*(ConcFract_Indoor*1000000/AK290)/(AK98*Wind))^AK$141-AK$142+AK108)))),0.1)</f>
        <v>0.1</v>
      </c>
      <c r="AL358" s="81"/>
      <c r="AM358" s="2631">
        <f>IF(AND(AM98&gt;0,AM290&gt;0),IF(AM294="Indoors",IF(ConcFract_Indoor*AM315&lt;=AM290,0.1,AM$140*((IF(Enclosed_Ventilation_Rate&gt;1,Enclosed_Ventilation_Rate,1)*Enclosed_Process_Volume*AM98*AM315/88020000000)*1000000*(ConcFract_Indoor/AM290-1/AM315)/(AM98*Wind))^AM$141),IF(OR(AM290=0,AM290&gt;=ConcFract_Indoor*1000000*AM$99),0,MAX(0,IF(AM169="Instantaneous",AM$166*(AM83/AM98)*(ConcFract_Indoor*1000000/AM290)^AM$167-AM$168+AM108,AM$140*(AM89*(ConcFract_Indoor*1000000/AM290)/(AM98*Wind))^AM$141-AM$142+AM108)))),0.1)</f>
        <v>0.1</v>
      </c>
      <c r="AN358" s="81"/>
      <c r="AO358" s="2631">
        <f>IF(AND(AO98&gt;0,AO290&gt;0),IF(AO294="Indoors",IF(ConcFract_Indoor*AO315&lt;=AO290,0.1,AO$140*((IF(Enclosed_Ventilation_Rate&gt;1,Enclosed_Ventilation_Rate,1)*Enclosed_Process_Volume*AO98*AO315/88020000000)*1000000*(ConcFract_Indoor/AO290-1/AO315)/(AO98*Wind))^AO$141),IF(OR(AO290=0,AO290&gt;=ConcFract_Indoor*1000000*AO$99),0,MAX(0,IF(AO169="Instantaneous",AO$166*(AO83/AO98)*(ConcFract_Indoor*1000000/AO290)^AO$167-AO$168+AO108,AO$140*(AO89*(ConcFract_Indoor*1000000/AO290)/(AO98*Wind))^AO$141-AO$142+AO108)))),0.1)</f>
        <v>0.1</v>
      </c>
      <c r="AP358" s="81"/>
      <c r="AQ358" s="85" t="s">
        <v>1068</v>
      </c>
      <c r="AR358" s="81"/>
      <c r="AS358" s="83"/>
      <c r="AT358" s="23" t="s">
        <v>3639</v>
      </c>
      <c r="AU358" s="83"/>
      <c r="AV358" s="1861" t="e">
        <f>Outdoor_Fract*((AV349+AV350)*IF(Offsite_PD1="",Offsite_PD,1000000*Offsite_PD1)+(AV351+AV352)*IF(Offsite_PD2="",Offsite_PD,1000000*Offsite_PD2))/1000000+(1-Outdoor_Fract)*((AV354+AV355)*IF(Offsite_PD1="",Offsite_PD,1000000*Offsite_PD1)+(AV356+AV357)*IF(Offsite_PD2="",Offsite_PD,1000000*Offsite_PD2))/1000000</f>
        <v>#DIV/0!</v>
      </c>
      <c r="AW358" s="83"/>
      <c r="AX358" s="1861" t="e">
        <f>Outdoor_Fract*((AX349+AX350)*IF(Offsite_PD1="",Offsite_PD,1000000*Offsite_PD1)+(AX351+AX352)*IF(Offsite_PD2="",Offsite_PD,1000000*Offsite_PD2))/1000000+(1-Outdoor_Fract)*((AX354+AX355)*IF(Offsite_PD1="",Offsite_PD,1000000*Offsite_PD1)+(AX356+AX357)*IF(Offsite_PD2="",Offsite_PD,1000000*Offsite_PD2))/1000000</f>
        <v>#DIV/0!</v>
      </c>
      <c r="AY358" s="83"/>
      <c r="AZ358" s="1861" t="e">
        <f>Outdoor_Fract*((AZ349+AZ350)*IF(Offsite_PD1="",Offsite_PD,1000000*Offsite_PD1)+(AZ351+AZ352)*IF(Offsite_PD2="",Offsite_PD,1000000*Offsite_PD2))/1000000+(1-Outdoor_Fract)*((AZ354+AZ355)*IF(Offsite_PD1="",Offsite_PD,1000000*Offsite_PD1)+(AZ356+AZ357)*IF(Offsite_PD2="",Offsite_PD,1000000*Offsite_PD2))/1000000</f>
        <v>#DIV/0!</v>
      </c>
      <c r="BA358" s="83"/>
      <c r="BB358" s="1861" t="e">
        <f>Outdoor_Fract*((BB349+BB350)*IF(Offsite_PD1="",Offsite_PD,1000000*Offsite_PD1)+(BB351+BB352)*IF(Offsite_PD2="",Offsite_PD,1000000*Offsite_PD2))/1000000+(1-Outdoor_Fract)*((BB354+BB355)*IF(Offsite_PD1="",Offsite_PD,1000000*Offsite_PD1)+(BB356+BB357)*IF(Offsite_PD2="",Offsite_PD,1000000*Offsite_PD2))/1000000</f>
        <v>#DIV/0!</v>
      </c>
      <c r="BC358" s="83"/>
      <c r="BD358" s="1861" t="e">
        <f>Outdoor_Fract*((BD349+BD350)*IF(Offsite_PD1="",Offsite_PD,1000000*Offsite_PD1)+(BD351+BD352)*IF(Offsite_PD2="",Offsite_PD,1000000*Offsite_PD2))/1000000+(1-Outdoor_Fract)*((BD354+BD355)*IF(Offsite_PD1="",Offsite_PD,1000000*Offsite_PD1)+(BD356+BD357)*IF(Offsite_PD2="",Offsite_PD,1000000*Offsite_PD2))/1000000</f>
        <v>#DIV/0!</v>
      </c>
      <c r="BE358" s="83"/>
      <c r="BF358" s="1861" t="e">
        <f>Outdoor_Fract*((BF349+BF350)*IF(Offsite_PD1="",Offsite_PD,1000000*Offsite_PD1)+(BF351+BF352)*IF(Offsite_PD2="",Offsite_PD,1000000*Offsite_PD2))/1000000+(1-Outdoor_Fract)*((BF354+BF355)*IF(Offsite_PD1="",Offsite_PD,1000000*Offsite_PD1)+(BF356+BF357)*IF(Offsite_PD2="",Offsite_PD,1000000*Offsite_PD2))/1000000</f>
        <v>#DIV/0!</v>
      </c>
      <c r="BG358" s="83"/>
      <c r="BH358" s="1861" t="e">
        <f>Outdoor_Fract*((BH349+BH350)*IF(Offsite_PD1="",Offsite_PD,1000000*Offsite_PD1)+(BH351+BH352)*IF(Offsite_PD2="",Offsite_PD,1000000*Offsite_PD2))/1000000+(1-Outdoor_Fract)*((BH354+BH355)*IF(Offsite_PD1="",Offsite_PD,1000000*Offsite_PD1)+(BH356+BH357)*IF(Offsite_PD2="",Offsite_PD,1000000*Offsite_PD2))/1000000</f>
        <v>#DIV/0!</v>
      </c>
      <c r="BI358" s="83"/>
      <c r="BJ358" s="1861" t="e">
        <f>Outdoor_Fract*((BJ349+BJ350)*IF(Offsite_PD1="",Offsite_PD,1000000*Offsite_PD1)+(BJ351+BJ352)*IF(Offsite_PD2="",Offsite_PD,1000000*Offsite_PD2))/1000000+(1-Outdoor_Fract)*((BJ354+BJ355)*IF(Offsite_PD1="",Offsite_PD,1000000*Offsite_PD1)+(BJ356+BJ357)*IF(Offsite_PD2="",Offsite_PD,1000000*Offsite_PD2))/1000000</f>
        <v>#DIV/0!</v>
      </c>
      <c r="BK358" s="83"/>
      <c r="BL358" s="1861" t="e">
        <f>Outdoor_Fract*((BL349+BL350)*IF(Offsite_PD1="",Offsite_PD,1000000*Offsite_PD1)+(BL351+BL352)*IF(Offsite_PD2="",Offsite_PD,1000000*Offsite_PD2))/1000000+(1-Outdoor_Fract)*((BL354+BL355)*IF(Offsite_PD1="",Offsite_PD,1000000*Offsite_PD1)+(BL356+BL357)*IF(Offsite_PD2="",Offsite_PD,1000000*Offsite_PD2))/1000000</f>
        <v>#DIV/0!</v>
      </c>
      <c r="BM358" s="83"/>
      <c r="BN358" s="1861" t="e">
        <f>Outdoor_Fract*((BN349+BN350)*IF(Offsite_PD1="",Offsite_PD,1000000*Offsite_PD1)+(BN351+BN352)*IF(Offsite_PD2="",Offsite_PD,1000000*Offsite_PD2))/1000000+(1-Outdoor_Fract)*((BN354+BN355)*IF(Offsite_PD1="",Offsite_PD,1000000*Offsite_PD1)+(BN356+BN357)*IF(Offsite_PD2="",Offsite_PD,1000000*Offsite_PD2))/1000000</f>
        <v>#DIV/0!</v>
      </c>
      <c r="BO358" s="83"/>
      <c r="BP358" s="23"/>
      <c r="BQ358" s="83"/>
      <c r="BR358" s="81"/>
      <c r="BS358" s="614" t="str">
        <f>B17</f>
        <v/>
      </c>
      <c r="BT358" s="81"/>
      <c r="BU358" s="997"/>
      <c r="BV358" s="81"/>
      <c r="BW358" s="95">
        <f>IF(Flam_1&gt;0,BW17*(BW$27+(1-BW$27)*BW$36),0)</f>
        <v>0</v>
      </c>
      <c r="BX358" s="81"/>
      <c r="BY358" s="3044"/>
      <c r="BZ358" s="81"/>
      <c r="CA358" s="3045"/>
      <c r="CB358" s="81"/>
      <c r="CC358" s="95">
        <f>IF(Flam_1&gt;0,CC17*(CC$27+(1-CC$27)*CC$36),0)</f>
        <v>0</v>
      </c>
      <c r="CD358" s="81"/>
      <c r="CE358" s="85"/>
      <c r="CF358" s="81"/>
      <c r="CG358" s="26"/>
      <c r="CH358" s="26"/>
      <c r="CI358" s="26"/>
      <c r="CJ358" s="26"/>
      <c r="CK358" s="26"/>
      <c r="CL358" s="26"/>
      <c r="CM358" s="26"/>
      <c r="CN358" s="26"/>
    </row>
    <row r="359" spans="1:92" ht="15" customHeight="1" x14ac:dyDescent="0.25">
      <c r="A359" s="2"/>
      <c r="B359" s="23" t="s">
        <v>3638</v>
      </c>
      <c r="C359" s="83"/>
      <c r="D359" s="1206">
        <f>IF(OR(D$279=0,D$273=""),0,IF(Zone_1&lt;Public,IF(D208="Instantaneous",Dispersion_R,Dispersion_M)*D$273^(2*IF(D208="Instantaneous",D$206,D$180))*D$291^2*(0-EXP(D$278+D$279*MAX(D355,Public)^2/(D$273^(2*IF(D208="Instantaneous",D$206,D$180))*D$291^2)))/D$279,IF(D208="Instantaneous",Dispersion_R,Dispersion_M)*D$273^(2*IF(D208="Instantaneous",D$206,D$180))*D$291^2*(0-EXP(D$278+D$279*MAX(D355,Zone_1)^2/(D$273^(2*IF(D208="Instantaneous",D$206,D$180))*D$291^2)))/D$279))</f>
        <v>0</v>
      </c>
      <c r="E359" s="83"/>
      <c r="F359" s="1206">
        <f>IF(OR(F$279=0,F$273=""),0,IF(Zone_1&lt;Public,IF(F208="Instantaneous",Dispersion_R,Dispersion_M)*F$273^(2*IF(F208="Instantaneous",F$206,F$180))*F$291^2*(0-EXP(F$278+F$279*MAX(F355,Public)^2/(F$273^(2*IF(F208="Instantaneous",F$206,F$180))*F$291^2)))/F$279,IF(F208="Instantaneous",Dispersion_R,Dispersion_M)*F$273^(2*IF(F208="Instantaneous",F$206,F$180))*F$291^2*(0-EXP(F$278+F$279*MAX(F355,Zone_1)^2/(F$273^(2*IF(F208="Instantaneous",F$206,F$180))*F$291^2)))/F$279))</f>
        <v>0</v>
      </c>
      <c r="G359" s="83"/>
      <c r="H359" s="1206">
        <f>IF(OR(H$279=0,H$273=""),0,IF(Zone_1&lt;Public,IF(H208="Instantaneous",Dispersion_R,Dispersion_M)*H$273^(2*IF(H208="Instantaneous",H$206,H$180))*H$291^2*(0-EXP(H$278+H$279*MAX(H355,Public)^2/(H$273^(2*IF(H208="Instantaneous",H$206,H$180))*H$291^2)))/H$279,IF(H208="Instantaneous",Dispersion_R,Dispersion_M)*H$273^(2*IF(H208="Instantaneous",H$206,H$180))*H$291^2*(0-EXP(H$278+H$279*MAX(H355,Zone_1)^2/(H$273^(2*IF(H208="Instantaneous",H$206,H$180))*H$291^2)))/H$279))</f>
        <v>0</v>
      </c>
      <c r="I359" s="83"/>
      <c r="J359" s="1206">
        <f>IF(OR(J$279=0,J$273=""),0,IF(Zone_1&lt;Public,IF(J208="Instantaneous",Dispersion_R,Dispersion_M)*J$273^(2*IF(J208="Instantaneous",J$206,J$180))*J$291^2*(0-EXP(J$278+J$279*MAX(J355,Public)^2/(J$273^(2*IF(J208="Instantaneous",J$206,J$180))*J$291^2)))/J$279,IF(J208="Instantaneous",Dispersion_R,Dispersion_M)*J$273^(2*IF(J208="Instantaneous",J$206,J$180))*J$291^2*(0-EXP(J$278+J$279*MAX(J355,Zone_1)^2/(J$273^(2*IF(J208="Instantaneous",J$206,J$180))*J$291^2)))/J$279))</f>
        <v>0</v>
      </c>
      <c r="K359" s="83"/>
      <c r="L359" s="1206">
        <f>IF(OR(L$279=0,L$273=""),0,IF(Zone_1&lt;Public,IF(L208="Instantaneous",Dispersion_R,Dispersion_M)*L$273^(2*IF(L208="Instantaneous",L$206,L$180))*L$291^2*(0-EXP(L$278+L$279*MAX(L355,Public)^2/(L$273^(2*IF(L208="Instantaneous",L$206,L$180))*L$291^2)))/L$279,IF(L208="Instantaneous",Dispersion_R,Dispersion_M)*L$273^(2*IF(L208="Instantaneous",L$206,L$180))*L$291^2*(0-EXP(L$278+L$279*MAX(L355,Zone_1)^2/(L$273^(2*IF(L208="Instantaneous",L$206,L$180))*L$291^2)))/L$279))</f>
        <v>0</v>
      </c>
      <c r="M359" s="83"/>
      <c r="N359" s="1206">
        <f>IF(OR(N$279=0,N$273=""),0,IF(Zone_1&lt;Public,IF(N208="Instantaneous",Dispersion_R,Dispersion_M)*N$273^(2*IF(N208="Instantaneous",N$206,N$180))*N$291^2*(0-EXP(N$278+N$279*MAX(N355,Public)^2/(N$273^(2*IF(N208="Instantaneous",N$206,N$180))*N$291^2)))/N$279,IF(N208="Instantaneous",Dispersion_R,Dispersion_M)*N$273^(2*IF(N208="Instantaneous",N$206,N$180))*N$291^2*(0-EXP(N$278+N$279*MAX(N355,Zone_1)^2/(N$273^(2*IF(N208="Instantaneous",N$206,N$180))*N$291^2)))/N$279))</f>
        <v>0</v>
      </c>
      <c r="O359" s="83"/>
      <c r="P359" s="1206">
        <f>IF(OR(P$279=0,P$273=""),0,IF(Zone_1&lt;Public,IF(P208="Instantaneous",Dispersion_R,Dispersion_M)*P$273^(2*IF(P208="Instantaneous",P$206,P$180))*P$291^2*(0-EXP(P$278+P$279*MAX(P355,Public)^2/(P$273^(2*IF(P208="Instantaneous",P$206,P$180))*P$291^2)))/P$279,IF(P208="Instantaneous",Dispersion_R,Dispersion_M)*P$273^(2*IF(P208="Instantaneous",P$206,P$180))*P$291^2*(0-EXP(P$278+P$279*MAX(P355,Zone_1)^2/(P$273^(2*IF(P208="Instantaneous",P$206,P$180))*P$291^2)))/P$279))</f>
        <v>0</v>
      </c>
      <c r="Q359" s="83"/>
      <c r="R359" s="1206">
        <f>IF(OR(R$279=0,R$273=""),0,IF(Zone_1&lt;Public,IF(R208="Instantaneous",Dispersion_R,Dispersion_M)*R$273^(2*IF(R208="Instantaneous",R$206,R$180))*R$291^2*(0-EXP(R$278+R$279*MAX(R355,Public)^2/(R$273^(2*IF(R208="Instantaneous",R$206,R$180))*R$291^2)))/R$279,IF(R208="Instantaneous",Dispersion_R,Dispersion_M)*R$273^(2*IF(R208="Instantaneous",R$206,R$180))*R$291^2*(0-EXP(R$278+R$279*MAX(R355,Zone_1)^2/(R$273^(2*IF(R208="Instantaneous",R$206,R$180))*R$291^2)))/R$279))</f>
        <v>0</v>
      </c>
      <c r="S359" s="83"/>
      <c r="T359" s="1206">
        <f>IF(OR(T$279=0,T$273=""),0,IF(Zone_1&lt;Public,IF(T208="Instantaneous",Dispersion_R,Dispersion_M)*T$273^(2*IF(T208="Instantaneous",T$206,T$180))*T$291^2*(0-EXP(T$278+T$279*MAX(T355,Public)^2/(T$273^(2*IF(T208="Instantaneous",T$206,T$180))*T$291^2)))/T$279,IF(T208="Instantaneous",Dispersion_R,Dispersion_M)*T$273^(2*IF(T208="Instantaneous",T$206,T$180))*T$291^2*(0-EXP(T$278+T$279*MAX(T355,Zone_1)^2/(T$273^(2*IF(T208="Instantaneous",T$206,T$180))*T$291^2)))/T$279))</f>
        <v>0</v>
      </c>
      <c r="U359" s="83"/>
      <c r="V359" s="1206">
        <f>IF(OR(V$279=0,V$273=""),0,IF(Zone_1&lt;Public,IF(V208="Instantaneous",Dispersion_R,Dispersion_M)*V$273^(2*IF(V208="Instantaneous",V$206,V$180))*V$291^2*(0-EXP(V$278+V$279*MAX(V355,Public)^2/(V$273^(2*IF(V208="Instantaneous",V$206,V$180))*V$291^2)))/V$279,IF(V208="Instantaneous",Dispersion_R,Dispersion_M)*V$273^(2*IF(V208="Instantaneous",V$206,V$180))*V$291^2*(0-EXP(V$278+V$279*MAX(V355,Zone_1)^2/(V$273^(2*IF(V208="Instantaneous",V$206,V$180))*V$291^2)))/V$279))</f>
        <v>0</v>
      </c>
      <c r="W359" s="83"/>
      <c r="X359" s="1206">
        <f>IF(OR(X$279=0,X$273=""),0,IF(Zone_1&lt;Public,IF(X208="Instantaneous",Dispersion_R,Dispersion_M)*X$273^(2*IF(X208="Instantaneous",X$206,X$180))*X$291^2*(0-EXP(X$278+X$279*MAX(X355,Public)^2/(X$273^(2*IF(X208="Instantaneous",X$206,X$180))*X$291^2)))/X$279,IF(X208="Instantaneous",Dispersion_R,Dispersion_M)*X$273^(2*IF(X208="Instantaneous",X$206,X$180))*X$291^2*(0-EXP(X$278+X$279*MAX(X355,Zone_1)^2/(X$273^(2*IF(X208="Instantaneous",X$206,X$180))*X$291^2)))/X$279))</f>
        <v>0</v>
      </c>
      <c r="Y359" s="83"/>
      <c r="Z359" s="85" t="s">
        <v>3804</v>
      </c>
      <c r="AA359" s="83"/>
      <c r="AB359" s="81"/>
      <c r="AC359" s="23" t="s">
        <v>3708</v>
      </c>
      <c r="AD359" s="81"/>
      <c r="AE359" s="1206">
        <f>IF(AE169="Instantaneous",Dispersion_I,Dispersion_D)*(MAX(AE358,(AE109-MIN(AE109,WorkArea_Elevation))*Dispersion_E^0.5,Public)^2-MAX((AE109-MIN(AE109,WorkArea_Elevation))*Dispersion_E^0.5,Public)^2)+2*(MAX(AE358,(AE109-MIN(AE109,WorkArea_Elevation))*Dispersion_E^0.5,Public)-MAX((AE109-MIN(AE109,WorkArea_Elevation))*Dispersion_E^0.5,Public))*(AE$55/3.142)^0.5</f>
        <v>3.0000000000000005E-3</v>
      </c>
      <c r="AF359" s="81"/>
      <c r="AG359" s="1206">
        <f>IF(AG169="Instantaneous",Dispersion_I,Dispersion_D)*(MAX(AG358,(AG109-MIN(AG109,WorkArea_Elevation))*Dispersion_E^0.5,Public)^2-MAX((AG109-MIN(AG109,WorkArea_Elevation))*Dispersion_E^0.5,Public)^2)+2*(MAX(AG358,(AG109-MIN(AG109,WorkArea_Elevation))*Dispersion_E^0.5,Public)-MAX((AG109-MIN(AG109,WorkArea_Elevation))*Dispersion_E^0.5,Public))*(AG$55/3.142)^0.5</f>
        <v>3.0000000000000005E-3</v>
      </c>
      <c r="AH359" s="81"/>
      <c r="AI359" s="1206">
        <f>IF(AI169="Instantaneous",Dispersion_I,Dispersion_D)*(MAX(AI358,(AI109-MIN(AI109,WorkArea_Elevation))*Dispersion_E^0.5,Public)^2-MAX((AI109-MIN(AI109,WorkArea_Elevation))*Dispersion_E^0.5,Public)^2)+2*(MAX(AI358,(AI109-MIN(AI109,WorkArea_Elevation))*Dispersion_E^0.5,Public)-MAX((AI109-MIN(AI109,WorkArea_Elevation))*Dispersion_E^0.5,Public))*(AI$55/3.142)^0.5</f>
        <v>3.0000000000000005E-3</v>
      </c>
      <c r="AJ359" s="81"/>
      <c r="AK359" s="1206">
        <f>IF(AK169="Instantaneous",Dispersion_I,Dispersion_D)*(MAX(AK358,(AK109-MIN(AK109,WorkArea_Elevation))*Dispersion_E^0.5,Public)^2-MAX((AK109-MIN(AK109,WorkArea_Elevation))*Dispersion_E^0.5,Public)^2)+2*(MAX(AK358,(AK109-MIN(AK109,WorkArea_Elevation))*Dispersion_E^0.5,Public)-MAX((AK109-MIN(AK109,WorkArea_Elevation))*Dispersion_E^0.5,Public))*(AK$55/3.142)^0.5</f>
        <v>3.0000000000000005E-3</v>
      </c>
      <c r="AL359" s="81"/>
      <c r="AM359" s="1206">
        <f>IF(AM169="Instantaneous",Dispersion_I,Dispersion_D)*(MAX(AM358,(AM109-MIN(AM109,WorkArea_Elevation))*Dispersion_E^0.5,Public)^2-MAX((AM109-MIN(AM109,WorkArea_Elevation))*Dispersion_E^0.5,Public)^2)+2*(MAX(AM358,(AM109-MIN(AM109,WorkArea_Elevation))*Dispersion_E^0.5,Public)-MAX((AM109-MIN(AM109,WorkArea_Elevation))*Dispersion_E^0.5,Public))*(AM$55/3.142)^0.5</f>
        <v>3.0000000000000005E-3</v>
      </c>
      <c r="AN359" s="81"/>
      <c r="AO359" s="1206">
        <f>IF(AO169="Instantaneous",Dispersion_I,Dispersion_D)*(MAX(AO358,(AO109-MIN(AO109,WorkArea_Elevation))*Dispersion_E^0.5,Public)^2-MAX((AO109-MIN(AO109,WorkArea_Elevation))*Dispersion_E^0.5,Public)^2)+2*(MAX(AO358,(AO109-MIN(AO109,WorkArea_Elevation))*Dispersion_E^0.5,Public)-MAX((AO109-MIN(AO109,WorkArea_Elevation))*Dispersion_E^0.5,Public))*(AO$55/3.142)^0.5</f>
        <v>3.0000000000000005E-3</v>
      </c>
      <c r="AP359" s="81"/>
      <c r="AQ359" s="85" t="s">
        <v>3804</v>
      </c>
      <c r="AR359" s="81"/>
      <c r="AS359" s="83"/>
      <c r="AT359" s="23" t="s">
        <v>1649</v>
      </c>
      <c r="AU359" s="83"/>
      <c r="AV359" s="1861" t="e">
        <f>Lethality_Correction*((1-Fract_1.5_F)*AV347+Fract_1.5_F*AV358)</f>
        <v>#DIV/0!</v>
      </c>
      <c r="AW359" s="238"/>
      <c r="AX359" s="1861" t="e">
        <f>Lethality_Correction*((1-Fract_1.5_F)*AX347+Fract_1.5_F*AX358)</f>
        <v>#DIV/0!</v>
      </c>
      <c r="AY359" s="238"/>
      <c r="AZ359" s="1861" t="e">
        <f>Lethality_Correction*((1-Fract_1.5_F)*AZ347+Fract_1.5_F*AZ358)</f>
        <v>#DIV/0!</v>
      </c>
      <c r="BA359" s="238"/>
      <c r="BB359" s="1861" t="e">
        <f>Lethality_Correction*((1-Fract_1.5_F)*BB347+Fract_1.5_F*BB358)</f>
        <v>#DIV/0!</v>
      </c>
      <c r="BC359" s="238"/>
      <c r="BD359" s="1861" t="e">
        <f>Lethality_Correction*((1-Fract_1.5_F)*BD347+Fract_1.5_F*BD358)</f>
        <v>#DIV/0!</v>
      </c>
      <c r="BE359" s="238"/>
      <c r="BF359" s="1861" t="e">
        <f>Lethality_Correction*((1-Fract_1.5_F)*BF347+Fract_1.5_F*BF358)</f>
        <v>#DIV/0!</v>
      </c>
      <c r="BG359" s="238"/>
      <c r="BH359" s="1861" t="e">
        <f>Lethality_Correction*((1-Fract_1.5_F)*BH347+Fract_1.5_F*BH358)</f>
        <v>#DIV/0!</v>
      </c>
      <c r="BI359" s="238"/>
      <c r="BJ359" s="1861" t="e">
        <f>Lethality_Correction*((1-Fract_1.5_F)*BJ347+Fract_1.5_F*BJ358)</f>
        <v>#DIV/0!</v>
      </c>
      <c r="BK359" s="238"/>
      <c r="BL359" s="1861" t="e">
        <f>Lethality_Correction*((1-Fract_1.5_F)*BL347+Fract_1.5_F*BL358)</f>
        <v>#DIV/0!</v>
      </c>
      <c r="BM359" s="238"/>
      <c r="BN359" s="1861" t="e">
        <f>Lethality_Correction*((1-Fract_1.5_F)*BN347+Fract_1.5_F*BN358)</f>
        <v>#DIV/0!</v>
      </c>
      <c r="BO359" s="83"/>
      <c r="BP359" s="23"/>
      <c r="BQ359" s="83"/>
      <c r="BR359" s="81"/>
      <c r="BS359" s="512" t="str">
        <f t="shared" ref="BS359:BS362" si="64">B18</f>
        <v/>
      </c>
      <c r="BT359" s="81"/>
      <c r="BU359" s="1183"/>
      <c r="BV359" s="81"/>
      <c r="BW359" s="1194">
        <f>IF(Flam_2&gt;0,BW18*(BW$27+(1-BW$27)*BW$36),0)</f>
        <v>0</v>
      </c>
      <c r="BX359" s="81"/>
      <c r="BY359" s="3044"/>
      <c r="BZ359" s="81"/>
      <c r="CA359" s="3044"/>
      <c r="CB359" s="81"/>
      <c r="CC359" s="1194">
        <f>IF(Flam_2&gt;0,CC18*(CC$27+(1-CC$27)*CC$36),0)</f>
        <v>0</v>
      </c>
      <c r="CD359" s="81"/>
      <c r="CE359" s="85"/>
      <c r="CF359" s="81"/>
      <c r="CG359" s="26"/>
      <c r="CH359" s="26"/>
      <c r="CI359" s="26"/>
      <c r="CJ359" s="26"/>
      <c r="CK359" s="26"/>
      <c r="CL359" s="26"/>
      <c r="CM359" s="26"/>
      <c r="CN359" s="26"/>
    </row>
    <row r="360" spans="1:92" ht="15" customHeight="1" thickBot="1" x14ac:dyDescent="0.3">
      <c r="A360" s="2"/>
      <c r="B360" s="23" t="s">
        <v>3639</v>
      </c>
      <c r="C360" s="83"/>
      <c r="D360" s="1861">
        <f>Outdoor_Fract_Night*((D351+D352)*IF(Offsite_PD1="",Offsite_PD,1000000*Offsite_PD1)+(D353+D354)*IF(Offsite_PD2="",Offsite_PD,1000000*Offsite_PD2))/1000000+(1-Outdoor_Fract_Night)*((D356+D357)*IF(Offsite_PD1="",Offsite_PD,1000000*Offsite_PD1)+(D358+D359)*IF(Offsite_PD2="",Offsite_PD,1000000*Offsite_PD2))/1000000</f>
        <v>9.0000000000000019E-6</v>
      </c>
      <c r="E360" s="83"/>
      <c r="F360" s="1861">
        <f>Outdoor_Fract_Night*((F351+F352)*IF(Offsite_PD1="",Offsite_PD,1000000*Offsite_PD1)+(F353+F354)*IF(Offsite_PD2="",Offsite_PD,1000000*Offsite_PD2))/1000000+(1-Outdoor_Fract_Night)*((F356+F357)*IF(Offsite_PD1="",Offsite_PD,1000000*Offsite_PD1)+(F358+F359)*IF(Offsite_PD2="",Offsite_PD,1000000*Offsite_PD2))/1000000</f>
        <v>9.0000000000000019E-6</v>
      </c>
      <c r="G360" s="83"/>
      <c r="H360" s="1861">
        <f>Outdoor_Fract_Night*((H351+H352)*IF(Offsite_PD1="",Offsite_PD,1000000*Offsite_PD1)+(H353+H354)*IF(Offsite_PD2="",Offsite_PD,1000000*Offsite_PD2))/1000000+(1-Outdoor_Fract_Night)*((H356+H357)*IF(Offsite_PD1="",Offsite_PD,1000000*Offsite_PD1)+(H358+H359)*IF(Offsite_PD2="",Offsite_PD,1000000*Offsite_PD2))/1000000</f>
        <v>9.0000000000000019E-6</v>
      </c>
      <c r="I360" s="83"/>
      <c r="J360" s="1861">
        <f>Outdoor_Fract_Night*((J351+J352)*IF(Offsite_PD1="",Offsite_PD,1000000*Offsite_PD1)+(J353+J354)*IF(Offsite_PD2="",Offsite_PD,1000000*Offsite_PD2))/1000000+(1-Outdoor_Fract_Night)*((J356+J357)*IF(Offsite_PD1="",Offsite_PD,1000000*Offsite_PD1)+(J358+J359)*IF(Offsite_PD2="",Offsite_PD,1000000*Offsite_PD2))/1000000</f>
        <v>9.0000000000000019E-6</v>
      </c>
      <c r="K360" s="83"/>
      <c r="L360" s="1861">
        <f>Outdoor_Fract_Night*((L351+L352)*IF(Offsite_PD1="",Offsite_PD,1000000*Offsite_PD1)+(L353+L354)*IF(Offsite_PD2="",Offsite_PD,1000000*Offsite_PD2))/1000000+(1-Outdoor_Fract_Night)*((L356+L357)*IF(Offsite_PD1="",Offsite_PD,1000000*Offsite_PD1)+(L358+L359)*IF(Offsite_PD2="",Offsite_PD,1000000*Offsite_PD2))/1000000</f>
        <v>9.0000000000000019E-6</v>
      </c>
      <c r="M360" s="83"/>
      <c r="N360" s="1861">
        <f>Outdoor_Fract_Night*((N351+N352)*IF(Offsite_PD1="",Offsite_PD,1000000*Offsite_PD1)+(N353+N354)*IF(Offsite_PD2="",Offsite_PD,1000000*Offsite_PD2))/1000000+(1-Outdoor_Fract_Night)*((N356+N357)*IF(Offsite_PD1="",Offsite_PD,1000000*Offsite_PD1)+(N358+N359)*IF(Offsite_PD2="",Offsite_PD,1000000*Offsite_PD2))/1000000</f>
        <v>9.0000000000000019E-6</v>
      </c>
      <c r="O360" s="83"/>
      <c r="P360" s="1861">
        <f>Outdoor_Fract_Night*((P351+P352)*IF(Offsite_PD1="",Offsite_PD,1000000*Offsite_PD1)+(P353+P354)*IF(Offsite_PD2="",Offsite_PD,1000000*Offsite_PD2))/1000000+(1-Outdoor_Fract_Night)*((P356+P357)*IF(Offsite_PD1="",Offsite_PD,1000000*Offsite_PD1)+(P358+P359)*IF(Offsite_PD2="",Offsite_PD,1000000*Offsite_PD2))/1000000</f>
        <v>9.0000000000000019E-6</v>
      </c>
      <c r="Q360" s="83"/>
      <c r="R360" s="1861">
        <f>Outdoor_Fract_Night*((R351+R352)*IF(Offsite_PD1="",Offsite_PD,1000000*Offsite_PD1)+(R353+R354)*IF(Offsite_PD2="",Offsite_PD,1000000*Offsite_PD2))/1000000+(1-Outdoor_Fract_Night)*((R356+R357)*IF(Offsite_PD1="",Offsite_PD,1000000*Offsite_PD1)+(R358+R359)*IF(Offsite_PD2="",Offsite_PD,1000000*Offsite_PD2))/1000000</f>
        <v>9.0000000000000019E-6</v>
      </c>
      <c r="S360" s="83"/>
      <c r="T360" s="1861">
        <f>Outdoor_Fract_Night*((T351+T352)*IF(Offsite_PD1="",Offsite_PD,1000000*Offsite_PD1)+(T353+T354)*IF(Offsite_PD2="",Offsite_PD,1000000*Offsite_PD2))/1000000+(1-Outdoor_Fract_Night)*((T356+T357)*IF(Offsite_PD1="",Offsite_PD,1000000*Offsite_PD1)+(T358+T359)*IF(Offsite_PD2="",Offsite_PD,1000000*Offsite_PD2))/1000000</f>
        <v>9.0000000000000019E-6</v>
      </c>
      <c r="U360" s="83"/>
      <c r="V360" s="1861">
        <f>Outdoor_Fract_Night*((V351+V352)*IF(Offsite_PD1="",Offsite_PD,1000000*Offsite_PD1)+(V353+V354)*IF(Offsite_PD2="",Offsite_PD,1000000*Offsite_PD2))/1000000+(1-Outdoor_Fract_Night)*((V356+V357)*IF(Offsite_PD1="",Offsite_PD,1000000*Offsite_PD1)+(V358+V359)*IF(Offsite_PD2="",Offsite_PD,1000000*Offsite_PD2))/1000000</f>
        <v>9.0000000000000019E-6</v>
      </c>
      <c r="W360" s="83"/>
      <c r="X360" s="1861">
        <f>Outdoor_Fract_Night*((X351+X352)*IF(Offsite_PD1="",Offsite_PD,1000000*Offsite_PD1)+(X353+X354)*IF(Offsite_PD2="",Offsite_PD,1000000*Offsite_PD2))/1000000+(1-Outdoor_Fract_Night)*((X356+X357)*IF(Offsite_PD1="",Offsite_PD,1000000*Offsite_PD1)+(X358+X359)*IF(Offsite_PD2="",Offsite_PD,1000000*Offsite_PD2))/1000000</f>
        <v>9.0000000000000019E-6</v>
      </c>
      <c r="Y360" s="83"/>
      <c r="Z360" s="23"/>
      <c r="AA360" s="83"/>
      <c r="AB360" s="81"/>
      <c r="AC360" s="23" t="s">
        <v>3709</v>
      </c>
      <c r="AD360" s="81"/>
      <c r="AE360" s="1206">
        <f>IF(OR(AE$289=0,AE$280=""),0,IF(AE358&gt;Zone_1,IF(AE169="Instantaneous",Dispersion_I,Dispersion_D)*(MAX(Public,(AE109-MIN(AE109,WorkArea_Elevation))*Dispersion_E^0.5,Zone_1)^2-MAX(Public,(AE109-MIN(AE109,WorkArea_Elevation))*Dispersion_E^0.5,AE358)^2)+2*(MAX(Public,(AE109-MIN(AE109,WorkArea_Elevation))*Dispersion_E^0.5,Zone_1)-MAX(Public,(AE109-MIN(AE109,WorkArea_Elevation))*Dispersion_E^0.5,AE358))*(AE$55/3.142)^0.5,IF(AE169="Instantaneous",Dispersion_I,Dispersion_D)*AE$280^(2*IF(AE169="Instantaneous",AE$167,AE$141))*AE$302^2*(EXP(AE$287+AE$289*MAX(Public,(AE109-MIN(AE109,WorkArea_Elevation))*Dispersion_E^0.5,Zone_1)^2/(AE$280^(2*IF(AE169="Instantaneous",AE$167,AE$141))*AE$302^2))-EXP(AE$287+AE$289*MAX(Public,(AE109-MIN(AE109,WorkArea_Elevation))*Dispersion_E^0.5,AE358)^2/(AE$280^(2*IF(AE169="Instantaneous",AE$167,AE$141))*AE$302^2)))/AE$289))</f>
        <v>0</v>
      </c>
      <c r="AF360" s="81"/>
      <c r="AG360" s="1206">
        <f>IF(OR(AG$289=0,AG$280=""),0,IF(AG358&gt;Zone_1,IF(AG169="Instantaneous",Dispersion_I,Dispersion_D)*(MAX(Public,(AG109-MIN(AG109,WorkArea_Elevation))*Dispersion_E^0.5,Zone_1)^2-MAX(Public,(AG109-MIN(AG109,WorkArea_Elevation))*Dispersion_E^0.5,AG358)^2)+2*(MAX(Public,(AG109-MIN(AG109,WorkArea_Elevation))*Dispersion_E^0.5,Zone_1)-MAX(Public,(AG109-MIN(AG109,WorkArea_Elevation))*Dispersion_E^0.5,AG358))*(AG$55/3.142)^0.5,IF(AG169="Instantaneous",Dispersion_I,Dispersion_D)*AG$280^(2*IF(AG169="Instantaneous",AG$167,AG$141))*AG$302^2*(EXP(AG$287+AG$289*MAX(Public,(AG109-MIN(AG109,WorkArea_Elevation))*Dispersion_E^0.5,Zone_1)^2/(AG$280^(2*IF(AG169="Instantaneous",AG$167,AG$141))*AG$302^2))-EXP(AG$287+AG$289*MAX(Public,(AG109-MIN(AG109,WorkArea_Elevation))*Dispersion_E^0.5,AG358)^2/(AG$280^(2*IF(AG169="Instantaneous",AG$167,AG$141))*AG$302^2)))/AG$289))</f>
        <v>0</v>
      </c>
      <c r="AH360" s="81"/>
      <c r="AI360" s="1206">
        <f>IF(OR(AI$289=0,AI$280=""),0,IF(AI358&gt;Zone_1,IF(AI169="Instantaneous",Dispersion_I,Dispersion_D)*(MAX(Public,(AI109-MIN(AI109,WorkArea_Elevation))*Dispersion_E^0.5,Zone_1)^2-MAX(Public,(AI109-MIN(AI109,WorkArea_Elevation))*Dispersion_E^0.5,AI358)^2)+2*(MAX(Public,(AI109-MIN(AI109,WorkArea_Elevation))*Dispersion_E^0.5,Zone_1)-MAX(Public,(AI109-MIN(AI109,WorkArea_Elevation))*Dispersion_E^0.5,AI358))*(AI$55/3.142)^0.5,IF(AI169="Instantaneous",Dispersion_I,Dispersion_D)*AI$280^(2*IF(AI169="Instantaneous",AI$167,AI$141))*AI$302^2*(EXP(AI$287+AI$289*MAX(Public,(AI109-MIN(AI109,WorkArea_Elevation))*Dispersion_E^0.5,Zone_1)^2/(AI$280^(2*IF(AI169="Instantaneous",AI$167,AI$141))*AI$302^2))-EXP(AI$287+AI$289*MAX(Public,(AI109-MIN(AI109,WorkArea_Elevation))*Dispersion_E^0.5,AI358)^2/(AI$280^(2*IF(AI169="Instantaneous",AI$167,AI$141))*AI$302^2)))/AI$289))</f>
        <v>0</v>
      </c>
      <c r="AJ360" s="81"/>
      <c r="AK360" s="1206">
        <f>IF(OR(AK$289=0,AK$280=""),0,IF(AK358&gt;Zone_1,IF(AK169="Instantaneous",Dispersion_I,Dispersion_D)*(MAX(Public,(AK109-MIN(AK109,WorkArea_Elevation))*Dispersion_E^0.5,Zone_1)^2-MAX(Public,(AK109-MIN(AK109,WorkArea_Elevation))*Dispersion_E^0.5,AK358)^2)+2*(MAX(Public,(AK109-MIN(AK109,WorkArea_Elevation))*Dispersion_E^0.5,Zone_1)-MAX(Public,(AK109-MIN(AK109,WorkArea_Elevation))*Dispersion_E^0.5,AK358))*(AK$55/3.142)^0.5,IF(AK169="Instantaneous",Dispersion_I,Dispersion_D)*AK$280^(2*IF(AK169="Instantaneous",AK$167,AK$141))*AK$302^2*(EXP(AK$287+AK$289*MAX(Public,(AK109-MIN(AK109,WorkArea_Elevation))*Dispersion_E^0.5,Zone_1)^2/(AK$280^(2*IF(AK169="Instantaneous",AK$167,AK$141))*AK$302^2))-EXP(AK$287+AK$289*MAX(Public,(AK109-MIN(AK109,WorkArea_Elevation))*Dispersion_E^0.5,AK358)^2/(AK$280^(2*IF(AK169="Instantaneous",AK$167,AK$141))*AK$302^2)))/AK$289))</f>
        <v>0</v>
      </c>
      <c r="AL360" s="81"/>
      <c r="AM360" s="1206">
        <f>IF(OR(AM$289=0,AM$280=""),0,IF(AM358&gt;Zone_1,IF(AM169="Instantaneous",Dispersion_I,Dispersion_D)*(MAX(Public,(AM109-MIN(AM109,WorkArea_Elevation))*Dispersion_E^0.5,Zone_1)^2-MAX(Public,(AM109-MIN(AM109,WorkArea_Elevation))*Dispersion_E^0.5,AM358)^2)+2*(MAX(Public,(AM109-MIN(AM109,WorkArea_Elevation))*Dispersion_E^0.5,Zone_1)-MAX(Public,(AM109-MIN(AM109,WorkArea_Elevation))*Dispersion_E^0.5,AM358))*(AM$55/3.142)^0.5,IF(AM169="Instantaneous",Dispersion_I,Dispersion_D)*AM$280^(2*IF(AM169="Instantaneous",AM$167,AM$141))*AM$302^2*(EXP(AM$287+AM$289*MAX(Public,(AM109-MIN(AM109,WorkArea_Elevation))*Dispersion_E^0.5,Zone_1)^2/(AM$280^(2*IF(AM169="Instantaneous",AM$167,AM$141))*AM$302^2))-EXP(AM$287+AM$289*MAX(Public,(AM109-MIN(AM109,WorkArea_Elevation))*Dispersion_E^0.5,AM358)^2/(AM$280^(2*IF(AM169="Instantaneous",AM$167,AM$141))*AM$302^2)))/AM$289))</f>
        <v>0</v>
      </c>
      <c r="AN360" s="81"/>
      <c r="AO360" s="1206">
        <f>IF(OR(AO$289=0,AO$280=""),0,IF(AO358&gt;Zone_1,IF(AO169="Instantaneous",Dispersion_I,Dispersion_D)*(MAX(Public,(AO109-MIN(AO109,WorkArea_Elevation))*Dispersion_E^0.5,Zone_1)^2-MAX(Public,(AO109-MIN(AO109,WorkArea_Elevation))*Dispersion_E^0.5,AO358)^2)+2*(MAX(Public,(AO109-MIN(AO109,WorkArea_Elevation))*Dispersion_E^0.5,Zone_1)-MAX(Public,(AO109-MIN(AO109,WorkArea_Elevation))*Dispersion_E^0.5,AO358))*(AO$55/3.142)^0.5,IF(AO169="Instantaneous",Dispersion_I,Dispersion_D)*AO$280^(2*IF(AO169="Instantaneous",AO$167,AO$141))*AO$302^2*(EXP(AO$287+AO$289*MAX(Public,(AO109-MIN(AO109,WorkArea_Elevation))*Dispersion_E^0.5,Zone_1)^2/(AO$280^(2*IF(AO169="Instantaneous",AO$167,AO$141))*AO$302^2))-EXP(AO$287+AO$289*MAX(Public,(AO109-MIN(AO109,WorkArea_Elevation))*Dispersion_E^0.5,AO358)^2/(AO$280^(2*IF(AO169="Instantaneous",AO$167,AO$141))*AO$302^2)))/AO$289))</f>
        <v>0</v>
      </c>
      <c r="AP360" s="81"/>
      <c r="AQ360" s="85" t="s">
        <v>3804</v>
      </c>
      <c r="AR360" s="81"/>
      <c r="AS360" s="83"/>
      <c r="AT360" s="25" t="s">
        <v>4788</v>
      </c>
      <c r="AU360" s="83"/>
      <c r="AV360" s="1286">
        <f>IF(AV281="No","NA",IF(AV287-Public&lt;HD_VeryLow_Offsite,Conseq_VeryLow_Offsite+N_OffSite,IF(AV287-Public&lt;HD_Low_Offsite,Conseq_Low+N_OffSite,IF(AV287-Public&lt;HD_Moderate_Offsite,Conseq_Moderate+IF(Conseq_Moderate&lt;Conseq_GT_ExtremeHigh,N_OffSite,0),IF(AV287-Public&lt;HD_High_Offsite,Conseq_High+IF(Conseq_High&lt;Conseq_GT_ExtremeHigh,N_OffSite,0),IF(AV287-Public&lt;HD_VeryHigh_Offsite,Conseq_VeryHigh+IF(Conseq_VeryHigh&lt;Conseq_GT_ExtremeHigh,N_OffSite,0),Conseq_ExtremeHigh+IF(Conseq_ExtremeHigh&lt;Conseq_GT_ExtremeHigh,N_OffSite,0)))))))</f>
        <v>3</v>
      </c>
      <c r="AW360" s="238"/>
      <c r="AX360" s="1286">
        <f>IF(AX281="No","NA",IF(AX287-Public&lt;HD_VeryLow_Offsite,Conseq_VeryLow_Offsite+N_OffSite,IF(AX287-Public&lt;HD_Low_Offsite,Conseq_Low+N_OffSite,IF(AX287-Public&lt;HD_Moderate_Offsite,Conseq_Moderate+IF(Conseq_Moderate&lt;Conseq_GT_ExtremeHigh,N_OffSite,0),IF(AX287-Public&lt;HD_High_Offsite,Conseq_High+IF(Conseq_High&lt;Conseq_GT_ExtremeHigh,N_OffSite,0),IF(AX287-Public&lt;HD_VeryHigh_Offsite,Conseq_VeryHigh+IF(Conseq_VeryHigh&lt;Conseq_GT_ExtremeHigh,N_OffSite,0),Conseq_ExtremeHigh+IF(Conseq_ExtremeHigh&lt;Conseq_GT_ExtremeHigh,N_OffSite,0)))))))</f>
        <v>3</v>
      </c>
      <c r="AY360" s="238"/>
      <c r="AZ360" s="1286">
        <f>IF(AZ281="No","NA",IF(AZ287-Public&lt;HD_VeryLow_Offsite,Conseq_VeryLow_Offsite+N_OffSite,IF(AZ287-Public&lt;HD_Low_Offsite,Conseq_Low+N_OffSite,IF(AZ287-Public&lt;HD_Moderate_Offsite,Conseq_Moderate+IF(Conseq_Moderate&lt;Conseq_GT_ExtremeHigh,N_OffSite,0),IF(AZ287-Public&lt;HD_High_Offsite,Conseq_High+IF(Conseq_High&lt;Conseq_GT_ExtremeHigh,N_OffSite,0),IF(AZ287-Public&lt;HD_VeryHigh_Offsite,Conseq_VeryHigh+IF(Conseq_VeryHigh&lt;Conseq_GT_ExtremeHigh,N_OffSite,0),Conseq_ExtremeHigh+IF(Conseq_ExtremeHigh&lt;Conseq_GT_ExtremeHigh,N_OffSite,0)))))))</f>
        <v>3</v>
      </c>
      <c r="BA360" s="238"/>
      <c r="BB360" s="1286">
        <f>IF(BB281="No","NA",IF(BB287-Public&lt;HD_VeryLow_Offsite,Conseq_VeryLow_Offsite+N_OffSite,IF(BB287-Public&lt;HD_Low_Offsite,Conseq_Low+N_OffSite,IF(BB287-Public&lt;HD_Moderate_Offsite,Conseq_Moderate+IF(Conseq_Moderate&lt;Conseq_GT_ExtremeHigh,N_OffSite,0),IF(BB287-Public&lt;HD_High_Offsite,Conseq_High+IF(Conseq_High&lt;Conseq_GT_ExtremeHigh,N_OffSite,0),IF(BB287-Public&lt;HD_VeryHigh_Offsite,Conseq_VeryHigh+IF(Conseq_VeryHigh&lt;Conseq_GT_ExtremeHigh,N_OffSite,0),Conseq_ExtremeHigh+IF(Conseq_ExtremeHigh&lt;Conseq_GT_ExtremeHigh,N_OffSite,0)))))))</f>
        <v>3</v>
      </c>
      <c r="BC360" s="238"/>
      <c r="BD360" s="1286">
        <f>IF(BD281="No","NA",IF(BD287-Public&lt;HD_VeryLow_Offsite,Conseq_VeryLow_Offsite+N_OffSite,IF(BD287-Public&lt;HD_Low_Offsite,Conseq_Low+N_OffSite,IF(BD287-Public&lt;HD_Moderate_Offsite,Conseq_Moderate+IF(Conseq_Moderate&lt;Conseq_GT_ExtremeHigh,N_OffSite,0),IF(BD287-Public&lt;HD_High_Offsite,Conseq_High+IF(Conseq_High&lt;Conseq_GT_ExtremeHigh,N_OffSite,0),IF(BD287-Public&lt;HD_VeryHigh_Offsite,Conseq_VeryHigh+IF(Conseq_VeryHigh&lt;Conseq_GT_ExtremeHigh,N_OffSite,0),Conseq_ExtremeHigh+IF(Conseq_ExtremeHigh&lt;Conseq_GT_ExtremeHigh,N_OffSite,0)))))))</f>
        <v>3</v>
      </c>
      <c r="BE360" s="238"/>
      <c r="BF360" s="1286">
        <f>IF(BF281="No","NA",IF(BF287-Public&lt;HD_VeryLow_Offsite,Conseq_VeryLow_Offsite+N_OffSite,IF(BF287-Public&lt;HD_Low_Offsite,Conseq_Low+N_OffSite,IF(BF287-Public&lt;HD_Moderate_Offsite,Conseq_Moderate+IF(Conseq_Moderate&lt;Conseq_GT_ExtremeHigh,N_OffSite,0),IF(BF287-Public&lt;HD_High_Offsite,Conseq_High+IF(Conseq_High&lt;Conseq_GT_ExtremeHigh,N_OffSite,0),IF(BF287-Public&lt;HD_VeryHigh_Offsite,Conseq_VeryHigh+IF(Conseq_VeryHigh&lt;Conseq_GT_ExtremeHigh,N_OffSite,0),Conseq_ExtremeHigh+IF(Conseq_ExtremeHigh&lt;Conseq_GT_ExtremeHigh,N_OffSite,0)))))))</f>
        <v>3</v>
      </c>
      <c r="BG360" s="238"/>
      <c r="BH360" s="1286">
        <f>IF(BH281="No","NA",IF(BH287-Public&lt;HD_VeryLow_Offsite,Conseq_VeryLow_Offsite+N_OffSite,IF(BH287-Public&lt;HD_Low_Offsite,Conseq_Low+N_OffSite,IF(BH287-Public&lt;HD_Moderate_Offsite,Conseq_Moderate+IF(Conseq_Moderate&lt;Conseq_GT_ExtremeHigh,N_OffSite,0),IF(BH287-Public&lt;HD_High_Offsite,Conseq_High+IF(Conseq_High&lt;Conseq_GT_ExtremeHigh,N_OffSite,0),IF(BH287-Public&lt;HD_VeryHigh_Offsite,Conseq_VeryHigh+IF(Conseq_VeryHigh&lt;Conseq_GT_ExtremeHigh,N_OffSite,0),Conseq_ExtremeHigh+IF(Conseq_ExtremeHigh&lt;Conseq_GT_ExtremeHigh,N_OffSite,0)))))))</f>
        <v>3</v>
      </c>
      <c r="BI360" s="238"/>
      <c r="BJ360" s="1286">
        <f>IF(BJ281="No","NA",IF(BJ287-Public&lt;HD_VeryLow_Offsite,Conseq_VeryLow_Offsite+N_OffSite,IF(BJ287-Public&lt;HD_Low_Offsite,Conseq_Low+N_OffSite,IF(BJ287-Public&lt;HD_Moderate_Offsite,Conseq_Moderate+IF(Conseq_Moderate&lt;Conseq_GT_ExtremeHigh,N_OffSite,0),IF(BJ287-Public&lt;HD_High_Offsite,Conseq_High+IF(Conseq_High&lt;Conseq_GT_ExtremeHigh,N_OffSite,0),IF(BJ287-Public&lt;HD_VeryHigh_Offsite,Conseq_VeryHigh+IF(Conseq_VeryHigh&lt;Conseq_GT_ExtremeHigh,N_OffSite,0),Conseq_ExtremeHigh+IF(Conseq_ExtremeHigh&lt;Conseq_GT_ExtremeHigh,N_OffSite,0)))))))</f>
        <v>3</v>
      </c>
      <c r="BK360" s="238"/>
      <c r="BL360" s="1286">
        <f>IF(BL281="No","NA",IF(BL287-Public&lt;HD_VeryLow_Offsite,Conseq_VeryLow_Offsite+N_OffSite,IF(BL287-Public&lt;HD_Low_Offsite,Conseq_Low+N_OffSite,IF(BL287-Public&lt;HD_Moderate_Offsite,Conseq_Moderate+IF(Conseq_Moderate&lt;Conseq_GT_ExtremeHigh,N_OffSite,0),IF(BL287-Public&lt;HD_High_Offsite,Conseq_High+IF(Conseq_High&lt;Conseq_GT_ExtremeHigh,N_OffSite,0),IF(BL287-Public&lt;HD_VeryHigh_Offsite,Conseq_VeryHigh+IF(Conseq_VeryHigh&lt;Conseq_GT_ExtremeHigh,N_OffSite,0),Conseq_ExtremeHigh+IF(Conseq_ExtremeHigh&lt;Conseq_GT_ExtremeHigh,N_OffSite,0)))))))</f>
        <v>3</v>
      </c>
      <c r="BM360" s="238"/>
      <c r="BN360" s="1286">
        <f>IF(BN281="No","NA",IF(BN287-Public&lt;HD_VeryLow_Offsite,Conseq_VeryLow_Offsite+N_OffSite,IF(BN287-Public&lt;HD_Low_Offsite,Conseq_Low+N_OffSite,IF(BN287-Public&lt;HD_Moderate_Offsite,Conseq_Moderate+IF(Conseq_Moderate&lt;Conseq_GT_ExtremeHigh,N_OffSite,0),IF(BN287-Public&lt;HD_High_Offsite,Conseq_High+IF(Conseq_High&lt;Conseq_GT_ExtremeHigh,N_OffSite,0),IF(BN287-Public&lt;HD_VeryHigh_Offsite,Conseq_VeryHigh+IF(Conseq_VeryHigh&lt;Conseq_GT_ExtremeHigh,N_OffSite,0),Conseq_ExtremeHigh+IF(Conseq_ExtremeHigh&lt;Conseq_GT_ExtremeHigh,N_OffSite,0)))))))</f>
        <v>3</v>
      </c>
      <c r="BO360" s="83"/>
      <c r="BP360" s="23"/>
      <c r="BQ360" s="83"/>
      <c r="BR360" s="81"/>
      <c r="BS360" s="512" t="str">
        <f t="shared" si="64"/>
        <v/>
      </c>
      <c r="BT360" s="81"/>
      <c r="BU360" s="1183"/>
      <c r="BV360" s="81"/>
      <c r="BW360" s="1194">
        <f>IF(Flam_3&gt;0,BW19*(BW$27+(1-BW$27)*BW$36),0)</f>
        <v>0</v>
      </c>
      <c r="BX360" s="81"/>
      <c r="BY360" s="3044"/>
      <c r="BZ360" s="81"/>
      <c r="CA360" s="3044"/>
      <c r="CB360" s="81"/>
      <c r="CC360" s="1194">
        <f>IF(Flam_3&gt;0,CC19*(CC$27+(1-CC$27)*CC$36),0)</f>
        <v>0</v>
      </c>
      <c r="CD360" s="81"/>
      <c r="CE360" s="85"/>
      <c r="CF360" s="81"/>
      <c r="CG360" s="26"/>
      <c r="CH360" s="26"/>
      <c r="CI360" s="26"/>
      <c r="CJ360" s="26"/>
      <c r="CK360" s="26"/>
      <c r="CL360" s="26"/>
      <c r="CM360" s="26"/>
      <c r="CN360" s="26"/>
    </row>
    <row r="361" spans="1:92" ht="15" customHeight="1" thickBot="1" x14ac:dyDescent="0.3">
      <c r="A361" s="2"/>
      <c r="B361" s="23" t="s">
        <v>4787</v>
      </c>
      <c r="C361" s="83"/>
      <c r="D361" s="1861">
        <f>Lethality_Correction*((1-Fract_1.5_F)*D349+Fract_1.5_F*D360)</f>
        <v>4.500000000000001E-6</v>
      </c>
      <c r="E361" s="83"/>
      <c r="F361" s="1861">
        <f>Lethality_Correction*((1-Fract_1.5_F)*F349+Fract_1.5_F*F360)</f>
        <v>4.500000000000001E-6</v>
      </c>
      <c r="G361" s="83"/>
      <c r="H361" s="1861">
        <f>Lethality_Correction*((1-Fract_1.5_F)*H349+Fract_1.5_F*H360)</f>
        <v>4.500000000000001E-6</v>
      </c>
      <c r="I361" s="83"/>
      <c r="J361" s="1861">
        <f>Lethality_Correction*((1-Fract_1.5_F)*J349+Fract_1.5_F*J360)</f>
        <v>4.500000000000001E-6</v>
      </c>
      <c r="K361" s="83"/>
      <c r="L361" s="1861">
        <f>Lethality_Correction*((1-Fract_1.5_F)*L349+Fract_1.5_F*L360)</f>
        <v>4.500000000000001E-6</v>
      </c>
      <c r="M361" s="83"/>
      <c r="N361" s="1861">
        <f>Lethality_Correction*((1-Fract_1.5_F)*N349+Fract_1.5_F*N360)</f>
        <v>4.500000000000001E-6</v>
      </c>
      <c r="O361" s="83"/>
      <c r="P361" s="1861">
        <f>Lethality_Correction*((1-Fract_1.5_F)*P349+Fract_1.5_F*P360)</f>
        <v>4.500000000000001E-6</v>
      </c>
      <c r="Q361" s="83"/>
      <c r="R361" s="1861">
        <f>Lethality_Correction*((1-Fract_1.5_F)*R349+Fract_1.5_F*R360)</f>
        <v>4.500000000000001E-6</v>
      </c>
      <c r="S361" s="83"/>
      <c r="T361" s="1861">
        <f>Lethality_Correction*((1-Fract_1.5_F)*T349+Fract_1.5_F*T360)</f>
        <v>4.500000000000001E-6</v>
      </c>
      <c r="U361" s="83"/>
      <c r="V361" s="1861">
        <f>Lethality_Correction*((1-Fract_1.5_F)*V349+Fract_1.5_F*V360)</f>
        <v>4.500000000000001E-6</v>
      </c>
      <c r="W361" s="83"/>
      <c r="X361" s="1861">
        <f>Lethality_Correction*((1-Fract_1.5_F)*X349+Fract_1.5_F*X360)</f>
        <v>4.500000000000001E-6</v>
      </c>
      <c r="Y361" s="83"/>
      <c r="Z361" s="23"/>
      <c r="AA361" s="83"/>
      <c r="AB361" s="81"/>
      <c r="AC361" s="23" t="s">
        <v>3710</v>
      </c>
      <c r="AD361" s="81"/>
      <c r="AE361" s="1206">
        <f>IF(Zone_1&lt;Public,IF(AE169="Instantaneous",Dispersion_I,Dispersion_D)*(MAX(AE358,(AE109-MIN(AE109,WorkArea_Elevation))*Dispersion_E^0.5,Public)^2-MAX((AE109-MIN(AE109,WorkArea_Elevation))*Dispersion_E^0.5,Public)^2)+2*(MAX(AE358,(AE109-MIN(AE109,WorkArea_Elevation))*Dispersion_E^0.5,Public)-MAX((AE109-MIN(AE109,WorkArea_Elevation))*Dispersion_E^0.5,Public))*(AE$55/3.142)^0.5,IF(AE169="Instantaneous",Dispersion_I,Dispersion_D)*(MAX(AE358,Zone_1)^2-Zone_1^2)+2*(MAX(AE358,Zone_1)-Zone_1)*(AE$55/3.142)^0.5)</f>
        <v>3.0000000000000005E-3</v>
      </c>
      <c r="AF361" s="81"/>
      <c r="AG361" s="1206">
        <f>IF(Zone_1&lt;Public,IF(AG169="Instantaneous",Dispersion_I,Dispersion_D)*(MAX(AG358,(AG109-MIN(AG109,WorkArea_Elevation))*Dispersion_E^0.5,Public)^2-MAX((AG109-MIN(AG109,WorkArea_Elevation))*Dispersion_E^0.5,Public)^2)+2*(MAX(AG358,(AG109-MIN(AG109,WorkArea_Elevation))*Dispersion_E^0.5,Public)-MAX((AG109-MIN(AG109,WorkArea_Elevation))*Dispersion_E^0.5,Public))*(AG$55/3.142)^0.5,IF(AG169="Instantaneous",Dispersion_I,Dispersion_D)*(MAX(AG358,Zone_1)^2-Zone_1^2)+2*(MAX(AG358,Zone_1)-Zone_1)*(AG$55/3.142)^0.5)</f>
        <v>3.0000000000000005E-3</v>
      </c>
      <c r="AH361" s="81"/>
      <c r="AI361" s="1206">
        <f>IF(Zone_1&lt;Public,IF(AI169="Instantaneous",Dispersion_I,Dispersion_D)*(MAX(AI358,(AI109-MIN(AI109,WorkArea_Elevation))*Dispersion_E^0.5,Public)^2-MAX((AI109-MIN(AI109,WorkArea_Elevation))*Dispersion_E^0.5,Public)^2)+2*(MAX(AI358,(AI109-MIN(AI109,WorkArea_Elevation))*Dispersion_E^0.5,Public)-MAX((AI109-MIN(AI109,WorkArea_Elevation))*Dispersion_E^0.5,Public))*(AI$55/3.142)^0.5,IF(AI169="Instantaneous",Dispersion_I,Dispersion_D)*(MAX(AI358,Zone_1)^2-Zone_1^2)+2*(MAX(AI358,Zone_1)-Zone_1)*(AI$55/3.142)^0.5)</f>
        <v>3.0000000000000005E-3</v>
      </c>
      <c r="AJ361" s="81"/>
      <c r="AK361" s="1206">
        <f>IF(Zone_1&lt;Public,IF(AK169="Instantaneous",Dispersion_I,Dispersion_D)*(MAX(AK358,(AK109-MIN(AK109,WorkArea_Elevation))*Dispersion_E^0.5,Public)^2-MAX((AK109-MIN(AK109,WorkArea_Elevation))*Dispersion_E^0.5,Public)^2)+2*(MAX(AK358,(AK109-MIN(AK109,WorkArea_Elevation))*Dispersion_E^0.5,Public)-MAX((AK109-MIN(AK109,WorkArea_Elevation))*Dispersion_E^0.5,Public))*(AK$55/3.142)^0.5,IF(AK169="Instantaneous",Dispersion_I,Dispersion_D)*(MAX(AK358,Zone_1)^2-Zone_1^2)+2*(MAX(AK358,Zone_1)-Zone_1)*(AK$55/3.142)^0.5)</f>
        <v>3.0000000000000005E-3</v>
      </c>
      <c r="AL361" s="81"/>
      <c r="AM361" s="1206">
        <f>IF(Zone_1&lt;Public,IF(AM169="Instantaneous",Dispersion_I,Dispersion_D)*(MAX(AM358,(AM109-MIN(AM109,WorkArea_Elevation))*Dispersion_E^0.5,Public)^2-MAX((AM109-MIN(AM109,WorkArea_Elevation))*Dispersion_E^0.5,Public)^2)+2*(MAX(AM358,(AM109-MIN(AM109,WorkArea_Elevation))*Dispersion_E^0.5,Public)-MAX((AM109-MIN(AM109,WorkArea_Elevation))*Dispersion_E^0.5,Public))*(AM$55/3.142)^0.5,IF(AM169="Instantaneous",Dispersion_I,Dispersion_D)*(MAX(AM358,Zone_1)^2-Zone_1^2)+2*(MAX(AM358,Zone_1)-Zone_1)*(AM$55/3.142)^0.5)</f>
        <v>3.0000000000000005E-3</v>
      </c>
      <c r="AN361" s="81"/>
      <c r="AO361" s="1206">
        <f>IF(Zone_1&lt;Public,IF(AO169="Instantaneous",Dispersion_I,Dispersion_D)*(MAX(AO358,(AO109-MIN(AO109,WorkArea_Elevation))*Dispersion_E^0.5,Public)^2-MAX((AO109-MIN(AO109,WorkArea_Elevation))*Dispersion_E^0.5,Public)^2)+2*(MAX(AO358,(AO109-MIN(AO109,WorkArea_Elevation))*Dispersion_E^0.5,Public)-MAX((AO109-MIN(AO109,WorkArea_Elevation))*Dispersion_E^0.5,Public))*(AO$55/3.142)^0.5,IF(AO169="Instantaneous",Dispersion_I,Dispersion_D)*(MAX(AO358,Zone_1)^2-Zone_1^2)+2*(MAX(AO358,Zone_1)-Zone_1)*(AO$55/3.142)^0.5)</f>
        <v>3.0000000000000005E-3</v>
      </c>
      <c r="AP361" s="81"/>
      <c r="AQ361" s="85" t="s">
        <v>3804</v>
      </c>
      <c r="AR361" s="81"/>
      <c r="AS361" s="83"/>
      <c r="AT361" s="25" t="s">
        <v>4223</v>
      </c>
      <c r="AU361" s="83"/>
      <c r="AV361" s="2540" t="e">
        <f>IF(AV359&lt;N_Screening,IF(AV283="Yes",Conseq_Low_Offsite,IF(AV281="Yes",Conseq_VeryLow_Offsite,"NA")),IF(AV359&lt;N_VeryLow,Conseq_VeryLow+N_OffSite,IF(AV359&lt;N_Low,Conseq_Low+N_OffSite,IF(AV359&lt;N_Moderate,Conseq_Moderate+IF(Conseq_Moderate&lt;Conseq_GT_ExtremeHigh,N_OffSite,0),IF(AV359&lt;N_High,Conseq_High+IF(Conseq_High&lt;Conseq_GT_ExtremeHigh,N_OffSite,0),IF(AV359&lt;N_VeryHigh,Conseq_VeryHigh+IF(Conseq_VeryHigh&lt;Conseq_GT_ExtremeHigh,N_OffSite,0),Conseq_ExtremeHigh+IF(Conseq_ExtremeHigh&lt;Conseq_GT_ExtremeHigh,N_OffSite,0)))))))</f>
        <v>#DIV/0!</v>
      </c>
      <c r="AW361" s="83"/>
      <c r="AX361" s="2540" t="e">
        <f>IF(AX359&lt;N_Screening,IF(AX283="Yes",Conseq_Low_Offsite,IF(AX281="Yes",Conseq_VeryLow_Offsite,"NA")),IF(AX359&lt;N_VeryLow,Conseq_VeryLow+N_OffSite,IF(AX359&lt;N_Low,Conseq_Low+N_OffSite,IF(AX359&lt;N_Moderate,Conseq_Moderate+IF(Conseq_Moderate&lt;Conseq_GT_ExtremeHigh,N_OffSite,0),IF(AX359&lt;N_High,Conseq_High+IF(Conseq_High&lt;Conseq_GT_ExtremeHigh,N_OffSite,0),IF(AX359&lt;N_VeryHigh,Conseq_VeryHigh+IF(Conseq_VeryHigh&lt;Conseq_GT_ExtremeHigh,N_OffSite,0),Conseq_ExtremeHigh+IF(Conseq_ExtremeHigh&lt;Conseq_GT_ExtremeHigh,N_OffSite,0)))))))</f>
        <v>#DIV/0!</v>
      </c>
      <c r="AY361" s="83"/>
      <c r="AZ361" s="2540" t="e">
        <f>IF(AZ359&lt;N_Screening,IF(AZ283="Yes",Conseq_Low_Offsite,IF(AZ281="Yes",Conseq_VeryLow_Offsite,"NA")),IF(AZ359&lt;N_VeryLow,Conseq_VeryLow+N_OffSite,IF(AZ359&lt;N_Low,Conseq_Low+N_OffSite,IF(AZ359&lt;N_Moderate,Conseq_Moderate+IF(Conseq_Moderate&lt;Conseq_GT_ExtremeHigh,N_OffSite,0),IF(AZ359&lt;N_High,Conseq_High+IF(Conseq_High&lt;Conseq_GT_ExtremeHigh,N_OffSite,0),IF(AZ359&lt;N_VeryHigh,Conseq_VeryHigh+IF(Conseq_VeryHigh&lt;Conseq_GT_ExtremeHigh,N_OffSite,0),Conseq_ExtremeHigh+IF(Conseq_ExtremeHigh&lt;Conseq_GT_ExtremeHigh,N_OffSite,0)))))))</f>
        <v>#DIV/0!</v>
      </c>
      <c r="BA361" s="83"/>
      <c r="BB361" s="2540" t="e">
        <f>IF(BB359&lt;N_Screening,IF(BB283="Yes",Conseq_Low_Offsite,IF(BB281="Yes",Conseq_VeryLow_Offsite,"NA")),IF(BB359&lt;N_VeryLow,Conseq_VeryLow+N_OffSite,IF(BB359&lt;N_Low,Conseq_Low+N_OffSite,IF(BB359&lt;N_Moderate,Conseq_Moderate+IF(Conseq_Moderate&lt;Conseq_GT_ExtremeHigh,N_OffSite,0),IF(BB359&lt;N_High,Conseq_High+IF(Conseq_High&lt;Conseq_GT_ExtremeHigh,N_OffSite,0),IF(BB359&lt;N_VeryHigh,Conseq_VeryHigh+IF(Conseq_VeryHigh&lt;Conseq_GT_ExtremeHigh,N_OffSite,0),Conseq_ExtremeHigh+IF(Conseq_ExtremeHigh&lt;Conseq_GT_ExtremeHigh,N_OffSite,0)))))))</f>
        <v>#DIV/0!</v>
      </c>
      <c r="BC361" s="83"/>
      <c r="BD361" s="2540" t="e">
        <f>IF(BD359&lt;N_Screening,IF(BD283="Yes",Conseq_Low_Offsite,IF(BD281="Yes",Conseq_VeryLow_Offsite,"NA")),IF(BD359&lt;N_VeryLow,Conseq_VeryLow+N_OffSite,IF(BD359&lt;N_Low,Conseq_Low+N_OffSite,IF(BD359&lt;N_Moderate,Conseq_Moderate+IF(Conseq_Moderate&lt;Conseq_GT_ExtremeHigh,N_OffSite,0),IF(BD359&lt;N_High,Conseq_High+IF(Conseq_High&lt;Conseq_GT_ExtremeHigh,N_OffSite,0),IF(BD359&lt;N_VeryHigh,Conseq_VeryHigh+IF(Conseq_VeryHigh&lt;Conseq_GT_ExtremeHigh,N_OffSite,0),Conseq_ExtremeHigh+IF(Conseq_ExtremeHigh&lt;Conseq_GT_ExtremeHigh,N_OffSite,0)))))))</f>
        <v>#DIV/0!</v>
      </c>
      <c r="BE361" s="83"/>
      <c r="BF361" s="2540" t="e">
        <f>IF(BF359&lt;N_Screening,IF(BF283="Yes",Conseq_Low_Offsite,IF(BF281="Yes",Conseq_VeryLow_Offsite,"NA")),IF(BF359&lt;N_VeryLow,Conseq_VeryLow+N_OffSite,IF(BF359&lt;N_Low,Conseq_Low+N_OffSite,IF(BF359&lt;N_Moderate,Conseq_Moderate+IF(Conseq_Moderate&lt;Conseq_GT_ExtremeHigh,N_OffSite,0),IF(BF359&lt;N_High,Conseq_High+IF(Conseq_High&lt;Conseq_GT_ExtremeHigh,N_OffSite,0),IF(BF359&lt;N_VeryHigh,Conseq_VeryHigh+IF(Conseq_VeryHigh&lt;Conseq_GT_ExtremeHigh,N_OffSite,0),Conseq_ExtremeHigh+IF(Conseq_ExtremeHigh&lt;Conseq_GT_ExtremeHigh,N_OffSite,0)))))))</f>
        <v>#DIV/0!</v>
      </c>
      <c r="BG361" s="83"/>
      <c r="BH361" s="2540" t="e">
        <f>IF(BH359&lt;N_Screening,IF(BH283="Yes",Conseq_Low_Offsite,IF(BH281="Yes",Conseq_VeryLow_Offsite,"NA")),IF(BH359&lt;N_VeryLow,Conseq_VeryLow+N_OffSite,IF(BH359&lt;N_Low,Conseq_Low+N_OffSite,IF(BH359&lt;N_Moderate,Conseq_Moderate+IF(Conseq_Moderate&lt;Conseq_GT_ExtremeHigh,N_OffSite,0),IF(BH359&lt;N_High,Conseq_High+IF(Conseq_High&lt;Conseq_GT_ExtremeHigh,N_OffSite,0),IF(BH359&lt;N_VeryHigh,Conseq_VeryHigh+IF(Conseq_VeryHigh&lt;Conseq_GT_ExtremeHigh,N_OffSite,0),Conseq_ExtremeHigh+IF(Conseq_ExtremeHigh&lt;Conseq_GT_ExtremeHigh,N_OffSite,0)))))))</f>
        <v>#DIV/0!</v>
      </c>
      <c r="BI361" s="83"/>
      <c r="BJ361" s="2540" t="e">
        <f>IF(BJ359&lt;N_Screening,IF(BJ283="Yes",Conseq_Low_Offsite,IF(BJ281="Yes",Conseq_VeryLow_Offsite,"NA")),IF(BJ359&lt;N_VeryLow,Conseq_VeryLow+N_OffSite,IF(BJ359&lt;N_Low,Conseq_Low+N_OffSite,IF(BJ359&lt;N_Moderate,Conseq_Moderate+IF(Conseq_Moderate&lt;Conseq_GT_ExtremeHigh,N_OffSite,0),IF(BJ359&lt;N_High,Conseq_High+IF(Conseq_High&lt;Conseq_GT_ExtremeHigh,N_OffSite,0),IF(BJ359&lt;N_VeryHigh,Conseq_VeryHigh+IF(Conseq_VeryHigh&lt;Conseq_GT_ExtremeHigh,N_OffSite,0),Conseq_ExtremeHigh+IF(Conseq_ExtremeHigh&lt;Conseq_GT_ExtremeHigh,N_OffSite,0)))))))</f>
        <v>#DIV/0!</v>
      </c>
      <c r="BK361" s="83"/>
      <c r="BL361" s="2540" t="e">
        <f>IF(BL359&lt;N_Screening,IF(BL283="Yes",Conseq_Low_Offsite,IF(BL281="Yes",Conseq_VeryLow_Offsite,"NA")),IF(BL359&lt;N_VeryLow,Conseq_VeryLow+N_OffSite,IF(BL359&lt;N_Low,Conseq_Low+N_OffSite,IF(BL359&lt;N_Moderate,Conseq_Moderate+IF(Conseq_Moderate&lt;Conseq_GT_ExtremeHigh,N_OffSite,0),IF(BL359&lt;N_High,Conseq_High+IF(Conseq_High&lt;Conseq_GT_ExtremeHigh,N_OffSite,0),IF(BL359&lt;N_VeryHigh,Conseq_VeryHigh+IF(Conseq_VeryHigh&lt;Conseq_GT_ExtremeHigh,N_OffSite,0),Conseq_ExtremeHigh+IF(Conseq_ExtremeHigh&lt;Conseq_GT_ExtremeHigh,N_OffSite,0)))))))</f>
        <v>#DIV/0!</v>
      </c>
      <c r="BM361" s="83"/>
      <c r="BN361" s="2540" t="e">
        <f>IF(BN359&lt;N_Screening,IF(BN283="Yes",Conseq_Low_Offsite,IF(BN281="Yes",Conseq_VeryLow_Offsite,"NA")),IF(BN359&lt;N_VeryLow,Conseq_VeryLow+N_OffSite,IF(BN359&lt;N_Low,Conseq_Low+N_OffSite,IF(BN359&lt;N_Moderate,Conseq_Moderate+IF(Conseq_Moderate&lt;Conseq_GT_ExtremeHigh,N_OffSite,0),IF(BN359&lt;N_High,Conseq_High+IF(Conseq_High&lt;Conseq_GT_ExtremeHigh,N_OffSite,0),IF(BN359&lt;N_VeryHigh,Conseq_VeryHigh+IF(Conseq_VeryHigh&lt;Conseq_GT_ExtremeHigh,N_OffSite,0),Conseq_ExtremeHigh+IF(Conseq_ExtremeHigh&lt;Conseq_GT_ExtremeHigh,N_OffSite,0)))))))</f>
        <v>#DIV/0!</v>
      </c>
      <c r="BO361" s="83"/>
      <c r="BP361" s="89"/>
      <c r="BQ361" s="83"/>
      <c r="BR361" s="81"/>
      <c r="BS361" s="512" t="str">
        <f t="shared" si="64"/>
        <v/>
      </c>
      <c r="BT361" s="81"/>
      <c r="BU361" s="1183"/>
      <c r="BV361" s="81"/>
      <c r="BW361" s="1194">
        <f>IF(Flam_4&gt;0,BW20*(BW$27+(1-BW$27)*BW$36),0)</f>
        <v>0</v>
      </c>
      <c r="BX361" s="81"/>
      <c r="BY361" s="3044"/>
      <c r="BZ361" s="81"/>
      <c r="CA361" s="3044"/>
      <c r="CB361" s="81"/>
      <c r="CC361" s="1194">
        <f>IF(Flam_4&gt;0,CC20*(CC$27+(1-CC$27)*CC$36),0)</f>
        <v>0</v>
      </c>
      <c r="CD361" s="81"/>
      <c r="CE361" s="85"/>
      <c r="CF361" s="81"/>
      <c r="CG361" s="26"/>
      <c r="CH361" s="26"/>
      <c r="CI361" s="26"/>
      <c r="CJ361" s="26"/>
      <c r="CK361" s="26"/>
      <c r="CL361" s="26"/>
      <c r="CM361" s="26"/>
      <c r="CN361" s="26"/>
    </row>
    <row r="362" spans="1:92" ht="15" customHeight="1" thickBot="1" x14ac:dyDescent="0.3">
      <c r="A362" s="2"/>
      <c r="B362" s="25" t="s">
        <v>4788</v>
      </c>
      <c r="C362" s="83"/>
      <c r="D362" s="1286">
        <f>IF(D284="No","NA",IF(D290-Public&lt;HD_VeryLow_Offsite,Conseq_VeryLow_Offsite+N_OffSite,IF(D290-Public&lt;HD_Low_Offsite,Conseq_Low+N_OffSite,IF(D290-Public&lt;HD_Moderate_Offsite,Conseq_Moderate+IF(Conseq_Moderate&lt;Conseq_GT_ExtremeHigh,N_OffSite,0),IF(D290-Public&lt;HD_High_Offsite,Conseq_High+IF(Conseq_High&lt;Conseq_GT_ExtremeHigh,N_OffSite,0),IF(D290-Public&lt;HD_VeryHigh_Offsite,Conseq_VeryHigh+IF(Conseq_VeryHigh&lt;Conseq_GT_ExtremeHigh,N_OffSite,0),Conseq_ExtremeHigh+IF(Conseq_ExtremeHigh&lt;Conseq_GT_ExtremeHigh,N_OffSite,0)))))))</f>
        <v>3</v>
      </c>
      <c r="E362" s="1024"/>
      <c r="F362" s="1286">
        <f>IF(F284="No","NA",IF(F290-Public&lt;HD_VeryLow_Offsite,Conseq_VeryLow_Offsite+N_OffSite,IF(F290-Public&lt;HD_Low_Offsite,Conseq_Low+N_OffSite,IF(F290-Public&lt;HD_Moderate_Offsite,Conseq_Moderate+IF(Conseq_Moderate&lt;Conseq_GT_ExtremeHigh,N_OffSite,0),IF(F290-Public&lt;HD_High_Offsite,Conseq_High+IF(Conseq_High&lt;Conseq_GT_ExtremeHigh,N_OffSite,0),IF(F290-Public&lt;HD_VeryHigh_Offsite,Conseq_VeryHigh+IF(Conseq_VeryHigh&lt;Conseq_GT_ExtremeHigh,N_OffSite,0),Conseq_ExtremeHigh+IF(Conseq_ExtremeHigh&lt;Conseq_GT_ExtremeHigh,N_OffSite,0)))))))</f>
        <v>3</v>
      </c>
      <c r="G362" s="1024"/>
      <c r="H362" s="1286">
        <f>IF(H284="No","NA",IF(H290-Public&lt;HD_VeryLow_Offsite,Conseq_VeryLow_Offsite+N_OffSite,IF(H290-Public&lt;HD_Low_Offsite,Conseq_Low+N_OffSite,IF(H290-Public&lt;HD_Moderate_Offsite,Conseq_Moderate+IF(Conseq_Moderate&lt;Conseq_GT_ExtremeHigh,N_OffSite,0),IF(H290-Public&lt;HD_High_Offsite,Conseq_High+IF(Conseq_High&lt;Conseq_GT_ExtremeHigh,N_OffSite,0),IF(H290-Public&lt;HD_VeryHigh_Offsite,Conseq_VeryHigh+IF(Conseq_VeryHigh&lt;Conseq_GT_ExtremeHigh,N_OffSite,0),Conseq_ExtremeHigh+IF(Conseq_ExtremeHigh&lt;Conseq_GT_ExtremeHigh,N_OffSite,0)))))))</f>
        <v>3</v>
      </c>
      <c r="I362" s="1024"/>
      <c r="J362" s="1286">
        <f>IF(J284="No","NA",IF(J290-Public&lt;HD_VeryLow_Offsite,Conseq_VeryLow_Offsite+N_OffSite,IF(J290-Public&lt;HD_Low_Offsite,Conseq_Low+N_OffSite,IF(J290-Public&lt;HD_Moderate_Offsite,Conseq_Moderate+IF(Conseq_Moderate&lt;Conseq_GT_ExtremeHigh,N_OffSite,0),IF(J290-Public&lt;HD_High_Offsite,Conseq_High+IF(Conseq_High&lt;Conseq_GT_ExtremeHigh,N_OffSite,0),IF(J290-Public&lt;HD_VeryHigh_Offsite,Conseq_VeryHigh+IF(Conseq_VeryHigh&lt;Conseq_GT_ExtremeHigh,N_OffSite,0),Conseq_ExtremeHigh+IF(Conseq_ExtremeHigh&lt;Conseq_GT_ExtremeHigh,N_OffSite,0)))))))</f>
        <v>3</v>
      </c>
      <c r="K362" s="1024"/>
      <c r="L362" s="1286">
        <f>IF(L284="No","NA",IF(L290-Public&lt;HD_VeryLow_Offsite,Conseq_VeryLow_Offsite+N_OffSite,IF(L290-Public&lt;HD_Low_Offsite,Conseq_Low+N_OffSite,IF(L290-Public&lt;HD_Moderate_Offsite,Conseq_Moderate+IF(Conseq_Moderate&lt;Conseq_GT_ExtremeHigh,N_OffSite,0),IF(L290-Public&lt;HD_High_Offsite,Conseq_High+IF(Conseq_High&lt;Conseq_GT_ExtremeHigh,N_OffSite,0),IF(L290-Public&lt;HD_VeryHigh_Offsite,Conseq_VeryHigh+IF(Conseq_VeryHigh&lt;Conseq_GT_ExtremeHigh,N_OffSite,0),Conseq_ExtremeHigh+IF(Conseq_ExtremeHigh&lt;Conseq_GT_ExtremeHigh,N_OffSite,0)))))))</f>
        <v>3</v>
      </c>
      <c r="M362" s="1024"/>
      <c r="N362" s="1286">
        <f>IF(N284="No","NA",IF(N290-Public&lt;HD_VeryLow_Offsite,Conseq_VeryLow_Offsite+N_OffSite,IF(N290-Public&lt;HD_Low_Offsite,Conseq_Low+N_OffSite,IF(N290-Public&lt;HD_Moderate_Offsite,Conseq_Moderate+IF(Conseq_Moderate&lt;Conseq_GT_ExtremeHigh,N_OffSite,0),IF(N290-Public&lt;HD_High_Offsite,Conseq_High+IF(Conseq_High&lt;Conseq_GT_ExtremeHigh,N_OffSite,0),IF(N290-Public&lt;HD_VeryHigh_Offsite,Conseq_VeryHigh+IF(Conseq_VeryHigh&lt;Conseq_GT_ExtremeHigh,N_OffSite,0),Conseq_ExtremeHigh+IF(Conseq_ExtremeHigh&lt;Conseq_GT_ExtremeHigh,N_OffSite,0)))))))</f>
        <v>3</v>
      </c>
      <c r="O362" s="1024"/>
      <c r="P362" s="1286">
        <f>IF(P284="No","NA",IF(P290-Public&lt;HD_VeryLow_Offsite,Conseq_VeryLow_Offsite+N_OffSite,IF(P290-Public&lt;HD_Low_Offsite,Conseq_Low+N_OffSite,IF(P290-Public&lt;HD_Moderate_Offsite,Conseq_Moderate+IF(Conseq_Moderate&lt;Conseq_GT_ExtremeHigh,N_OffSite,0),IF(P290-Public&lt;HD_High_Offsite,Conseq_High+IF(Conseq_High&lt;Conseq_GT_ExtremeHigh,N_OffSite,0),IF(P290-Public&lt;HD_VeryHigh_Offsite,Conseq_VeryHigh+IF(Conseq_VeryHigh&lt;Conseq_GT_ExtremeHigh,N_OffSite,0),Conseq_ExtremeHigh+IF(Conseq_ExtremeHigh&lt;Conseq_GT_ExtremeHigh,N_OffSite,0)))))))</f>
        <v>3</v>
      </c>
      <c r="Q362" s="1024"/>
      <c r="R362" s="1286">
        <f>IF(R284="No","NA",IF(R290-Public&lt;HD_VeryLow_Offsite,Conseq_VeryLow_Offsite+N_OffSite,IF(R290-Public&lt;HD_Low_Offsite,Conseq_Low+N_OffSite,IF(R290-Public&lt;HD_Moderate_Offsite,Conseq_Moderate+IF(Conseq_Moderate&lt;Conseq_GT_ExtremeHigh,N_OffSite,0),IF(R290-Public&lt;HD_High_Offsite,Conseq_High+IF(Conseq_High&lt;Conseq_GT_ExtremeHigh,N_OffSite,0),IF(R290-Public&lt;HD_VeryHigh_Offsite,Conseq_VeryHigh+IF(Conseq_VeryHigh&lt;Conseq_GT_ExtremeHigh,N_OffSite,0),Conseq_ExtremeHigh+IF(Conseq_ExtremeHigh&lt;Conseq_GT_ExtremeHigh,N_OffSite,0)))))))</f>
        <v>3</v>
      </c>
      <c r="S362" s="1024"/>
      <c r="T362" s="1286">
        <f>IF(T284="No","NA",IF(T290-Public&lt;HD_VeryLow_Offsite,Conseq_VeryLow_Offsite+N_OffSite,IF(T290-Public&lt;HD_Low_Offsite,Conseq_Low+N_OffSite,IF(T290-Public&lt;HD_Moderate_Offsite,Conseq_Moderate+IF(Conseq_Moderate&lt;Conseq_GT_ExtremeHigh,N_OffSite,0),IF(T290-Public&lt;HD_High_Offsite,Conseq_High+IF(Conseq_High&lt;Conseq_GT_ExtremeHigh,N_OffSite,0),IF(T290-Public&lt;HD_VeryHigh_Offsite,Conseq_VeryHigh+IF(Conseq_VeryHigh&lt;Conseq_GT_ExtremeHigh,N_OffSite,0),Conseq_ExtremeHigh+IF(Conseq_ExtremeHigh&lt;Conseq_GT_ExtremeHigh,N_OffSite,0)))))))</f>
        <v>3</v>
      </c>
      <c r="U362" s="1024"/>
      <c r="V362" s="1286">
        <f>IF(V284="No","NA",IF(V290-Public&lt;HD_VeryLow_Offsite,Conseq_VeryLow_Offsite+N_OffSite,IF(V290-Public&lt;HD_Low_Offsite,Conseq_Low+N_OffSite,IF(V290-Public&lt;HD_Moderate_Offsite,Conseq_Moderate+IF(Conseq_Moderate&lt;Conseq_GT_ExtremeHigh,N_OffSite,0),IF(V290-Public&lt;HD_High_Offsite,Conseq_High+IF(Conseq_High&lt;Conseq_GT_ExtremeHigh,N_OffSite,0),IF(V290-Public&lt;HD_VeryHigh_Offsite,Conseq_VeryHigh+IF(Conseq_VeryHigh&lt;Conseq_GT_ExtremeHigh,N_OffSite,0),Conseq_ExtremeHigh+IF(Conseq_ExtremeHigh&lt;Conseq_GT_ExtremeHigh,N_OffSite,0)))))))</f>
        <v>3</v>
      </c>
      <c r="W362" s="1024"/>
      <c r="X362" s="1286">
        <f>IF(X284="No","NA",IF(X290-Public&lt;HD_VeryLow_Offsite,Conseq_VeryLow_Offsite+N_OffSite,IF(X290-Public&lt;HD_Low_Offsite,Conseq_Low+N_OffSite,IF(X290-Public&lt;HD_Moderate_Offsite,Conseq_Moderate+IF(Conseq_Moderate&lt;Conseq_GT_ExtremeHigh,N_OffSite,0),IF(X290-Public&lt;HD_High_Offsite,Conseq_High+IF(Conseq_High&lt;Conseq_GT_ExtremeHigh,N_OffSite,0),IF(X290-Public&lt;HD_VeryHigh_Offsite,Conseq_VeryHigh+IF(Conseq_VeryHigh&lt;Conseq_GT_ExtremeHigh,N_OffSite,0),Conseq_ExtremeHigh+IF(Conseq_ExtremeHigh&lt;Conseq_GT_ExtremeHigh,N_OffSite,0)))))))</f>
        <v>3</v>
      </c>
      <c r="Y362" s="83"/>
      <c r="Z362" s="23"/>
      <c r="AA362" s="83"/>
      <c r="AB362" s="81"/>
      <c r="AC362" s="23" t="s">
        <v>3711</v>
      </c>
      <c r="AD362" s="81"/>
      <c r="AE362" s="1206">
        <f>IF(OR(AE$289=0,AE$280=""),0,IF(Zone_1&lt;MAX((AE109-MIN(AE109,WorkArea_Elevation))*Dispersion_E^0.5,Public),IF(AE169="Instantaneous",Dispersion_I,Dispersion_D)*AE$280^(2*IF(AE169="Instantaneous",AE$167,AE$141))*AE$302^2*(0-EXP(AE$287+AE$289*MAX(AE358,(AE109-MIN(AE109,WorkArea_Elevation))*Dispersion_E^0.5,Public)^2/(AE$280^(2*IF(AE169="Instantaneous",AE$167,AE$141))*AE$302^2)))/AE$289,IF(AE289="Instantaneous",Dispersion_I,Dispersion_D)*AE$280^(2*IF(AE169="Instantaneous",AE$167,AE$141))*AE$302^2*(0-EXP(AE$287+AE$289*MAX(AE358,Zone_1)^2/(AE$280^(2*IF(AE169="Instantaneous",AE$167,AE$141))*AE$302^2)))/AE$289))</f>
        <v>0</v>
      </c>
      <c r="AF362" s="81"/>
      <c r="AG362" s="1206">
        <f>IF(OR(AG$289=0,AG$280=""),0,IF(Zone_1&lt;MAX((AG109-MIN(AG109,WorkArea_Elevation))*Dispersion_E^0.5,Public),IF(AG169="Instantaneous",Dispersion_I,Dispersion_D)*AG$280^(2*IF(AG169="Instantaneous",AG$167,AG$141))*AG$302^2*(0-EXP(AG$287+AG$289*MAX(AG358,(AG109-MIN(AG109,WorkArea_Elevation))*Dispersion_E^0.5,Public)^2/(AG$280^(2*IF(AG169="Instantaneous",AG$167,AG$141))*AG$302^2)))/AG$289,IF(AG289="Instantaneous",Dispersion_I,Dispersion_D)*AG$280^(2*IF(AG169="Instantaneous",AG$167,AG$141))*AG$302^2*(0-EXP(AG$287+AG$289*MAX(AG358,Zone_1)^2/(AG$280^(2*IF(AG169="Instantaneous",AG$167,AG$141))*AG$302^2)))/AG$289))</f>
        <v>0</v>
      </c>
      <c r="AH362" s="81"/>
      <c r="AI362" s="1206">
        <f>IF(OR(AI$289=0,AI$280=""),0,IF(Zone_1&lt;MAX((AI109-MIN(AI109,WorkArea_Elevation))*Dispersion_E^0.5,Public),IF(AI169="Instantaneous",Dispersion_I,Dispersion_D)*AI$280^(2*IF(AI169="Instantaneous",AI$167,AI$141))*AI$302^2*(0-EXP(AI$287+AI$289*MAX(AI358,(AI109-MIN(AI109,WorkArea_Elevation))*Dispersion_E^0.5,Public)^2/(AI$280^(2*IF(AI169="Instantaneous",AI$167,AI$141))*AI$302^2)))/AI$289,IF(AI289="Instantaneous",Dispersion_I,Dispersion_D)*AI$280^(2*IF(AI169="Instantaneous",AI$167,AI$141))*AI$302^2*(0-EXP(AI$287+AI$289*MAX(AI358,Zone_1)^2/(AI$280^(2*IF(AI169="Instantaneous",AI$167,AI$141))*AI$302^2)))/AI$289))</f>
        <v>0</v>
      </c>
      <c r="AJ362" s="81"/>
      <c r="AK362" s="1206">
        <f>IF(OR(AK$289=0,AK$280=""),0,IF(Zone_1&lt;MAX((AK109-MIN(AK109,WorkArea_Elevation))*Dispersion_E^0.5,Public),IF(AK169="Instantaneous",Dispersion_I,Dispersion_D)*AK$280^(2*IF(AK169="Instantaneous",AK$167,AK$141))*AK$302^2*(0-EXP(AK$287+AK$289*MAX(AK358,(AK109-MIN(AK109,WorkArea_Elevation))*Dispersion_E^0.5,Public)^2/(AK$280^(2*IF(AK169="Instantaneous",AK$167,AK$141))*AK$302^2)))/AK$289,IF(AK289="Instantaneous",Dispersion_I,Dispersion_D)*AK$280^(2*IF(AK169="Instantaneous",AK$167,AK$141))*AK$302^2*(0-EXP(AK$287+AK$289*MAX(AK358,Zone_1)^2/(AK$280^(2*IF(AK169="Instantaneous",AK$167,AK$141))*AK$302^2)))/AK$289))</f>
        <v>0</v>
      </c>
      <c r="AL362" s="81"/>
      <c r="AM362" s="1206">
        <f>IF(OR(AM$289=0,AM$280=""),0,IF(Zone_1&lt;MAX((AM109-MIN(AM109,WorkArea_Elevation))*Dispersion_E^0.5,Public),IF(AM169="Instantaneous",Dispersion_I,Dispersion_D)*AM$280^(2*IF(AM169="Instantaneous",AM$167,AM$141))*AM$302^2*(0-EXP(AM$287+AM$289*MAX(AM358,(AM109-MIN(AM109,WorkArea_Elevation))*Dispersion_E^0.5,Public)^2/(AM$280^(2*IF(AM169="Instantaneous",AM$167,AM$141))*AM$302^2)))/AM$289,IF(AM289="Instantaneous",Dispersion_I,Dispersion_D)*AM$280^(2*IF(AM169="Instantaneous",AM$167,AM$141))*AM$302^2*(0-EXP(AM$287+AM$289*MAX(AM358,Zone_1)^2/(AM$280^(2*IF(AM169="Instantaneous",AM$167,AM$141))*AM$302^2)))/AM$289))</f>
        <v>0</v>
      </c>
      <c r="AN362" s="81"/>
      <c r="AO362" s="1206">
        <f>IF(OR(AO$289=0,AO$280=""),0,IF(Zone_1&lt;MAX((AO109-MIN(AO109,WorkArea_Elevation))*Dispersion_E^0.5,Public),IF(AO169="Instantaneous",Dispersion_I,Dispersion_D)*AO$280^(2*IF(AO169="Instantaneous",AO$167,AO$141))*AO$302^2*(0-EXP(AO$287+AO$289*MAX(AO358,(AO109-MIN(AO109,WorkArea_Elevation))*Dispersion_E^0.5,Public)^2/(AO$280^(2*IF(AO169="Instantaneous",AO$167,AO$141))*AO$302^2)))/AO$289,IF(AO289="Instantaneous",Dispersion_I,Dispersion_D)*AO$280^(2*IF(AO169="Instantaneous",AO$167,AO$141))*AO$302^2*(0-EXP(AO$287+AO$289*MAX(AO358,Zone_1)^2/(AO$280^(2*IF(AO169="Instantaneous",AO$167,AO$141))*AO$302^2)))/AO$289))</f>
        <v>0</v>
      </c>
      <c r="AP362" s="81"/>
      <c r="AQ362" s="85" t="s">
        <v>3804</v>
      </c>
      <c r="AR362" s="81"/>
      <c r="AS362" s="83"/>
      <c r="AT362" s="23" t="s">
        <v>4735</v>
      </c>
      <c r="AU362" s="83"/>
      <c r="AV362" s="1206">
        <f>Dispersion_D*IF(Public2=0,AV284,MIN(AV284,Public2))^2</f>
        <v>3.0000000000000005E-3</v>
      </c>
      <c r="AW362" s="83"/>
      <c r="AX362" s="1206">
        <f>Dispersion_D*IF(Public2=0,AX284,MIN(AX284,Public2))^2</f>
        <v>3.0000000000000005E-3</v>
      </c>
      <c r="AY362" s="83"/>
      <c r="AZ362" s="1206">
        <f>Dispersion_D*IF(Public2=0,AZ284,MIN(AZ284,Public2))^2</f>
        <v>3.0000000000000005E-3</v>
      </c>
      <c r="BA362" s="83"/>
      <c r="BB362" s="1206">
        <f>Dispersion_D*IF(Public2=0,BB284,MIN(BB284,Public2))^2</f>
        <v>3.0000000000000005E-3</v>
      </c>
      <c r="BC362" s="83"/>
      <c r="BD362" s="1206">
        <f>Dispersion_D*IF(Public2=0,BD284,MIN(BD284,Public2))^2</f>
        <v>3.0000000000000005E-3</v>
      </c>
      <c r="BE362" s="83"/>
      <c r="BF362" s="1206">
        <f>Dispersion_D*IF(Public2=0,BF284,MIN(BF284,Public2))^2</f>
        <v>3.0000000000000005E-3</v>
      </c>
      <c r="BG362" s="83"/>
      <c r="BH362" s="1206">
        <f>Dispersion_D*IF(Public2=0,BH284,MIN(BH284,Public2))^2</f>
        <v>3.0000000000000005E-3</v>
      </c>
      <c r="BI362" s="83"/>
      <c r="BJ362" s="1206">
        <f>Dispersion_D*IF(Public2=0,BJ284,MIN(BJ284,Public2))^2</f>
        <v>3.0000000000000005E-3</v>
      </c>
      <c r="BK362" s="83"/>
      <c r="BL362" s="1206">
        <f>Dispersion_D*IF(Public2=0,BL284,MIN(BL284,Public2))^2</f>
        <v>3.0000000000000005E-3</v>
      </c>
      <c r="BM362" s="83"/>
      <c r="BN362" s="1206">
        <f>Dispersion_D*IF(Public2=0,BN284,MIN(BN284,Public2))^2</f>
        <v>3.0000000000000005E-3</v>
      </c>
      <c r="BO362" s="83"/>
      <c r="BP362" s="85" t="s">
        <v>3804</v>
      </c>
      <c r="BQ362" s="83"/>
      <c r="BR362" s="81"/>
      <c r="BS362" s="615" t="str">
        <f t="shared" si="64"/>
        <v/>
      </c>
      <c r="BT362" s="81"/>
      <c r="BU362" s="1183"/>
      <c r="BV362" s="81"/>
      <c r="BW362" s="1194">
        <f>IF(Flam_5&gt;0,BW21*(BW$27+(1-BW$27)*BW$36),0)</f>
        <v>0</v>
      </c>
      <c r="BX362" s="81"/>
      <c r="BY362" s="3044"/>
      <c r="BZ362" s="81"/>
      <c r="CA362" s="3044"/>
      <c r="CB362" s="81"/>
      <c r="CC362" s="1194">
        <f>IF(Flam_5&gt;0,CC21*(CC$27+(1-CC$27)*CC$36),0)</f>
        <v>0</v>
      </c>
      <c r="CD362" s="81"/>
      <c r="CE362" s="85"/>
      <c r="CF362" s="81"/>
      <c r="CG362" s="26"/>
      <c r="CH362" s="26"/>
      <c r="CI362" s="26"/>
      <c r="CJ362" s="26"/>
      <c r="CK362" s="26"/>
      <c r="CL362" s="26"/>
      <c r="CM362" s="26"/>
      <c r="CN362" s="26"/>
    </row>
    <row r="363" spans="1:92" ht="15" customHeight="1" thickBot="1" x14ac:dyDescent="0.3">
      <c r="A363" s="2"/>
      <c r="B363" s="25" t="s">
        <v>4223</v>
      </c>
      <c r="C363" s="83"/>
      <c r="D363" s="2540" t="str">
        <f>IF(D361&lt;N_Screening,IF(D286="Yes",Conseq_Low_Offsite,IF(D284="Yes",Conseq_VeryLow_Offsite,"NA")),IF(D361&lt;N_VeryLow,Conseq_VeryLow+N_OffSite,IF(D361&lt;N_Low,Conseq_Low+N_OffSite,IF(D361&lt;N_Moderate,Conseq_Moderate+IF(Conseq_Moderate&lt;Conseq_GT_ExtremeHigh,N_OffSite,0),IF(D361&lt;N_High,Conseq_High+IF(Conseq_High&lt;Conseq_GT_ExtremeHigh,N_OffSite,0),IF(D361&lt;N_VeryHigh,Conseq_VeryHigh+IF(Conseq_VeryHigh&lt;Conseq_GT_ExtremeHigh,N_OffSite,0),Conseq_ExtremeHigh+IF(Conseq_ExtremeHigh&lt;Conseq_GT_ExtremeHigh,N_OffSite,0)))))))</f>
        <v>NA</v>
      </c>
      <c r="E363" s="83"/>
      <c r="F363" s="2540" t="str">
        <f>IF(F361&lt;N_Screening,IF(F286="Yes",Conseq_Low_Offsite,IF(F284="Yes",Conseq_VeryLow_Offsite,"NA")),IF(F361&lt;N_VeryLow,Conseq_VeryLow+N_OffSite,IF(F361&lt;N_Low,Conseq_Low+N_OffSite,IF(F361&lt;N_Moderate,Conseq_Moderate+IF(Conseq_Moderate&lt;Conseq_GT_ExtremeHigh,N_OffSite,0),IF(F361&lt;N_High,Conseq_High+IF(Conseq_High&lt;Conseq_GT_ExtremeHigh,N_OffSite,0),IF(F361&lt;N_VeryHigh,Conseq_VeryHigh+IF(Conseq_VeryHigh&lt;Conseq_GT_ExtremeHigh,N_OffSite,0),Conseq_ExtremeHigh+IF(Conseq_ExtremeHigh&lt;Conseq_GT_ExtremeHigh,N_OffSite,0)))))))</f>
        <v>NA</v>
      </c>
      <c r="G363" s="515"/>
      <c r="H363" s="2540" t="str">
        <f>IF(H361&lt;N_Screening,IF(H286="Yes",Conseq_Low_Offsite,IF(H284="Yes",Conseq_VeryLow_Offsite,"NA")),IF(H361&lt;N_VeryLow,Conseq_VeryLow+N_OffSite,IF(H361&lt;N_Low,Conseq_Low+N_OffSite,IF(H361&lt;N_Moderate,Conseq_Moderate+IF(Conseq_Moderate&lt;Conseq_GT_ExtremeHigh,N_OffSite,0),IF(H361&lt;N_High,Conseq_High+IF(Conseq_High&lt;Conseq_GT_ExtremeHigh,N_OffSite,0),IF(H361&lt;N_VeryHigh,Conseq_VeryHigh+IF(Conseq_VeryHigh&lt;Conseq_GT_ExtremeHigh,N_OffSite,0),Conseq_ExtremeHigh+IF(Conseq_ExtremeHigh&lt;Conseq_GT_ExtremeHigh,N_OffSite,0)))))))</f>
        <v>NA</v>
      </c>
      <c r="I363" s="515"/>
      <c r="J363" s="2540" t="str">
        <f>IF(J361&lt;N_Screening,IF(J286="Yes",Conseq_Low_Offsite,IF(J284="Yes",Conseq_VeryLow_Offsite,"NA")),IF(J361&lt;N_VeryLow,Conseq_VeryLow+N_OffSite,IF(J361&lt;N_Low,Conseq_Low+N_OffSite,IF(J361&lt;N_Moderate,Conseq_Moderate+IF(Conseq_Moderate&lt;Conseq_GT_ExtremeHigh,N_OffSite,0),IF(J361&lt;N_High,Conseq_High+IF(Conseq_High&lt;Conseq_GT_ExtremeHigh,N_OffSite,0),IF(J361&lt;N_VeryHigh,Conseq_VeryHigh+IF(Conseq_VeryHigh&lt;Conseq_GT_ExtremeHigh,N_OffSite,0),Conseq_ExtremeHigh+IF(Conseq_ExtremeHigh&lt;Conseq_GT_ExtremeHigh,N_OffSite,0)))))))</f>
        <v>NA</v>
      </c>
      <c r="K363" s="515"/>
      <c r="L363" s="2540" t="str">
        <f>IF(L361&lt;N_Screening,IF(L286="Yes",Conseq_Low_Offsite,IF(L284="Yes",Conseq_VeryLow_Offsite,"NA")),IF(L361&lt;N_VeryLow,Conseq_VeryLow+N_OffSite,IF(L361&lt;N_Low,Conseq_Low+N_OffSite,IF(L361&lt;N_Moderate,Conseq_Moderate+IF(Conseq_Moderate&lt;Conseq_GT_ExtremeHigh,N_OffSite,0),IF(L361&lt;N_High,Conseq_High+IF(Conseq_High&lt;Conseq_GT_ExtremeHigh,N_OffSite,0),IF(L361&lt;N_VeryHigh,Conseq_VeryHigh+IF(Conseq_VeryHigh&lt;Conseq_GT_ExtremeHigh,N_OffSite,0),Conseq_ExtremeHigh+IF(Conseq_ExtremeHigh&lt;Conseq_GT_ExtremeHigh,N_OffSite,0)))))))</f>
        <v>NA</v>
      </c>
      <c r="M363" s="515"/>
      <c r="N363" s="2540" t="str">
        <f>IF(N361&lt;N_Screening,IF(N286="Yes",Conseq_Low_Offsite,IF(N284="Yes",Conseq_VeryLow_Offsite,"NA")),IF(N361&lt;N_VeryLow,Conseq_VeryLow+N_OffSite,IF(N361&lt;N_Low,Conseq_Low+N_OffSite,IF(N361&lt;N_Moderate,Conseq_Moderate+IF(Conseq_Moderate&lt;Conseq_GT_ExtremeHigh,N_OffSite,0),IF(N361&lt;N_High,Conseq_High+IF(Conseq_High&lt;Conseq_GT_ExtremeHigh,N_OffSite,0),IF(N361&lt;N_VeryHigh,Conseq_VeryHigh+IF(Conseq_VeryHigh&lt;Conseq_GT_ExtremeHigh,N_OffSite,0),Conseq_ExtremeHigh+IF(Conseq_ExtremeHigh&lt;Conseq_GT_ExtremeHigh,N_OffSite,0)))))))</f>
        <v>NA</v>
      </c>
      <c r="O363" s="515"/>
      <c r="P363" s="2540" t="str">
        <f>IF(P361&lt;N_Screening,IF(P286="Yes",Conseq_Low_Offsite,IF(P284="Yes",Conseq_VeryLow_Offsite,"NA")),IF(P361&lt;N_VeryLow,Conseq_VeryLow+N_OffSite,IF(P361&lt;N_Low,Conseq_Low+N_OffSite,IF(P361&lt;N_Moderate,Conseq_Moderate+IF(Conseq_Moderate&lt;Conseq_GT_ExtremeHigh,N_OffSite,0),IF(P361&lt;N_High,Conseq_High+IF(Conseq_High&lt;Conseq_GT_ExtremeHigh,N_OffSite,0),IF(P361&lt;N_VeryHigh,Conseq_VeryHigh+IF(Conseq_VeryHigh&lt;Conseq_GT_ExtremeHigh,N_OffSite,0),Conseq_ExtremeHigh+IF(Conseq_ExtremeHigh&lt;Conseq_GT_ExtremeHigh,N_OffSite,0)))))))</f>
        <v>NA</v>
      </c>
      <c r="Q363" s="515"/>
      <c r="R363" s="2540" t="str">
        <f>IF(R361&lt;N_Screening,IF(R286="Yes",Conseq_Low_Offsite,IF(R284="Yes",Conseq_VeryLow_Offsite,"NA")),IF(R361&lt;N_VeryLow,Conseq_VeryLow+N_OffSite,IF(R361&lt;N_Low,Conseq_Low+N_OffSite,IF(R361&lt;N_Moderate,Conseq_Moderate+IF(Conseq_Moderate&lt;Conseq_GT_ExtremeHigh,N_OffSite,0),IF(R361&lt;N_High,Conseq_High+IF(Conseq_High&lt;Conseq_GT_ExtremeHigh,N_OffSite,0),IF(R361&lt;N_VeryHigh,Conseq_VeryHigh+IF(Conseq_VeryHigh&lt;Conseq_GT_ExtremeHigh,N_OffSite,0),Conseq_ExtremeHigh+IF(Conseq_ExtremeHigh&lt;Conseq_GT_ExtremeHigh,N_OffSite,0)))))))</f>
        <v>NA</v>
      </c>
      <c r="S363" s="515"/>
      <c r="T363" s="2540" t="str">
        <f>IF(T361&lt;N_Screening,IF(T286="Yes",Conseq_Low_Offsite,IF(T284="Yes",Conseq_VeryLow_Offsite,"NA")),IF(T361&lt;N_VeryLow,Conseq_VeryLow+N_OffSite,IF(T361&lt;N_Low,Conseq_Low+N_OffSite,IF(T361&lt;N_Moderate,Conseq_Moderate+IF(Conseq_Moderate&lt;Conseq_GT_ExtremeHigh,N_OffSite,0),IF(T361&lt;N_High,Conseq_High+IF(Conseq_High&lt;Conseq_GT_ExtremeHigh,N_OffSite,0),IF(T361&lt;N_VeryHigh,Conseq_VeryHigh+IF(Conseq_VeryHigh&lt;Conseq_GT_ExtremeHigh,N_OffSite,0),Conseq_ExtremeHigh+IF(Conseq_ExtremeHigh&lt;Conseq_GT_ExtremeHigh,N_OffSite,0)))))))</f>
        <v>NA</v>
      </c>
      <c r="U363" s="515"/>
      <c r="V363" s="2540" t="str">
        <f>IF(V361&lt;N_Screening,IF(V286="Yes",Conseq_Low_Offsite,IF(V284="Yes",Conseq_VeryLow_Offsite,"NA")),IF(V361&lt;N_VeryLow,Conseq_VeryLow+N_OffSite,IF(V361&lt;N_Low,Conseq_Low+N_OffSite,IF(V361&lt;N_Moderate,Conseq_Moderate+IF(Conseq_Moderate&lt;Conseq_GT_ExtremeHigh,N_OffSite,0),IF(V361&lt;N_High,Conseq_High+IF(Conseq_High&lt;Conseq_GT_ExtremeHigh,N_OffSite,0),IF(V361&lt;N_VeryHigh,Conseq_VeryHigh+IF(Conseq_VeryHigh&lt;Conseq_GT_ExtremeHigh,N_OffSite,0),Conseq_ExtremeHigh+IF(Conseq_ExtremeHigh&lt;Conseq_GT_ExtremeHigh,N_OffSite,0)))))))</f>
        <v>NA</v>
      </c>
      <c r="W363" s="515"/>
      <c r="X363" s="2540" t="str">
        <f>IF(X361&lt;N_Screening,IF(X286="Yes",Conseq_Low_Offsite,IF(X284="Yes",Conseq_VeryLow_Offsite,"NA")),IF(X361&lt;N_VeryLow,Conseq_VeryLow+N_OffSite,IF(X361&lt;N_Low,Conseq_Low+N_OffSite,IF(X361&lt;N_Moderate,Conseq_Moderate+IF(Conseq_Moderate&lt;Conseq_GT_ExtremeHigh,N_OffSite,0),IF(X361&lt;N_High,Conseq_High+IF(Conseq_High&lt;Conseq_GT_ExtremeHigh,N_OffSite,0),IF(X361&lt;N_VeryHigh,Conseq_VeryHigh+IF(Conseq_VeryHigh&lt;Conseq_GT_ExtremeHigh,N_OffSite,0),Conseq_ExtremeHigh+IF(Conseq_ExtremeHigh&lt;Conseq_GT_ExtremeHigh,N_OffSite,0)))))))</f>
        <v>NA</v>
      </c>
      <c r="Y363" s="83"/>
      <c r="Z363" s="89"/>
      <c r="AA363" s="83"/>
      <c r="AB363" s="81"/>
      <c r="AC363" s="23" t="s">
        <v>3712</v>
      </c>
      <c r="AD363" s="81"/>
      <c r="AE363" s="1861">
        <f>Outdoor_Fract*((AE354+AE355)*IF(Offsite_PD1="",Offsite_PD,1000000*Offsite_PD1)+(AE356+AE357)*IF(Offsite_PD2="",Offsite_PD,1000000*Offsite_PD2))/1000000+(1-Outdoor_Fract)*((AE359+AE360)*IF(Offsite_PD1="",Offsite_PD,1000000*Offsite_PD1)+(AE361+AE362)*IF(Offsite_PD2="",Offsite_PD,1000000*Offsite_PD2))/1000000</f>
        <v>9.0000000000000019E-6</v>
      </c>
      <c r="AF363" s="81"/>
      <c r="AG363" s="1861">
        <f>Outdoor_Fract*((AG354+AG355)*IF(Offsite_PD1="",Offsite_PD,1000000*Offsite_PD1)+(AG356+AG357)*IF(Offsite_PD2="",Offsite_PD,1000000*Offsite_PD2))/1000000+(1-Outdoor_Fract)*((AG359+AG360)*IF(Offsite_PD1="",Offsite_PD,1000000*Offsite_PD1)+(AG361+AG362)*IF(Offsite_PD2="",Offsite_PD,1000000*Offsite_PD2))/1000000</f>
        <v>9.0000000000000019E-6</v>
      </c>
      <c r="AH363" s="81"/>
      <c r="AI363" s="1861">
        <f>Outdoor_Fract*((AI354+AI355)*IF(Offsite_PD1="",Offsite_PD,1000000*Offsite_PD1)+(AI356+AI357)*IF(Offsite_PD2="",Offsite_PD,1000000*Offsite_PD2))/1000000+(1-Outdoor_Fract)*((AI359+AI360)*IF(Offsite_PD1="",Offsite_PD,1000000*Offsite_PD1)+(AI361+AI362)*IF(Offsite_PD2="",Offsite_PD,1000000*Offsite_PD2))/1000000</f>
        <v>9.0000000000000019E-6</v>
      </c>
      <c r="AJ363" s="81"/>
      <c r="AK363" s="1861">
        <f>Outdoor_Fract*((AK354+AK355)*IF(Offsite_PD1="",Offsite_PD,1000000*Offsite_PD1)+(AK356+AK357)*IF(Offsite_PD2="",Offsite_PD,1000000*Offsite_PD2))/1000000+(1-Outdoor_Fract)*((AK359+AK360)*IF(Offsite_PD1="",Offsite_PD,1000000*Offsite_PD1)+(AK361+AK362)*IF(Offsite_PD2="",Offsite_PD,1000000*Offsite_PD2))/1000000</f>
        <v>9.0000000000000019E-6</v>
      </c>
      <c r="AL363" s="81"/>
      <c r="AM363" s="1861">
        <f>Outdoor_Fract*((AM354+AM355)*IF(Offsite_PD1="",Offsite_PD,1000000*Offsite_PD1)+(AM356+AM357)*IF(Offsite_PD2="",Offsite_PD,1000000*Offsite_PD2))/1000000+(1-Outdoor_Fract)*((AM359+AM360)*IF(Offsite_PD1="",Offsite_PD,1000000*Offsite_PD1)+(AM361+AM362)*IF(Offsite_PD2="",Offsite_PD,1000000*Offsite_PD2))/1000000</f>
        <v>9.0000000000000019E-6</v>
      </c>
      <c r="AN363" s="81"/>
      <c r="AO363" s="1861">
        <f>Outdoor_Fract*((AO354+AO355)*IF(Offsite_PD1="",Offsite_PD,1000000*Offsite_PD1)+(AO356+AO357)*IF(Offsite_PD2="",Offsite_PD,1000000*Offsite_PD2))/1000000+(1-Outdoor_Fract)*((AO359+AO360)*IF(Offsite_PD1="",Offsite_PD,1000000*Offsite_PD1)+(AO361+AO362)*IF(Offsite_PD2="",Offsite_PD,1000000*Offsite_PD2))/1000000</f>
        <v>9.0000000000000019E-6</v>
      </c>
      <c r="AP363" s="81"/>
      <c r="AQ363" s="23"/>
      <c r="AR363" s="81"/>
      <c r="AS363" s="83"/>
      <c r="AT363" s="23" t="s">
        <v>3161</v>
      </c>
      <c r="AU363" s="83"/>
      <c r="AV363" s="1207">
        <f>AV362*Onsite_PD/1000000+IF(AND(AV$289="Yes",AV284&gt;HD_Severe_Impact),0.9,0)</f>
        <v>6.0000000000000008E-7</v>
      </c>
      <c r="AW363" s="83"/>
      <c r="AX363" s="1207">
        <f>AX362*Onsite_PD/1000000+IF(AND(AX$289="Yes",AX284&gt;HD_Severe_Impact),0.9,0)</f>
        <v>6.0000000000000008E-7</v>
      </c>
      <c r="AY363" s="83"/>
      <c r="AZ363" s="1207">
        <f>AZ362*Onsite_PD/1000000+IF(AND(AZ$289="Yes",AZ284&gt;HD_Severe_Impact),0.9,0)</f>
        <v>6.0000000000000008E-7</v>
      </c>
      <c r="BA363" s="83"/>
      <c r="BB363" s="1207">
        <f>BB362*Onsite_PD/1000000+IF(AND(BB$289="Yes",BB284&gt;HD_Severe_Impact),0.9,0)</f>
        <v>6.0000000000000008E-7</v>
      </c>
      <c r="BC363" s="83"/>
      <c r="BD363" s="1207">
        <f>BD362*Onsite_PD/1000000+IF(AND(BD$289="Yes",BD284&gt;HD_Severe_Impact),0.9,0)</f>
        <v>6.0000000000000008E-7</v>
      </c>
      <c r="BE363" s="83"/>
      <c r="BF363" s="1207">
        <f>BF362*Onsite_PD/1000000+IF(AND(BF$289="Yes",BF284&gt;HD_Severe_Impact),0.9,0)</f>
        <v>6.0000000000000008E-7</v>
      </c>
      <c r="BG363" s="83"/>
      <c r="BH363" s="1207">
        <f>BH362*Onsite_PD/1000000+IF(AND(BH$289="Yes",BH284&gt;HD_Severe_Impact),0.9,0)</f>
        <v>6.0000000000000008E-7</v>
      </c>
      <c r="BI363" s="83"/>
      <c r="BJ363" s="1207">
        <f>BJ362*Onsite_PD/1000000+IF(AND(BJ$289="Yes",BJ284&gt;HD_Severe_Impact),0.9,0)</f>
        <v>6.0000000000000008E-7</v>
      </c>
      <c r="BK363" s="83"/>
      <c r="BL363" s="1207">
        <f>BL362*Onsite_PD/1000000+IF(AND(BL$289="Yes",BL284&gt;HD_Severe_Impact),0.9,0)</f>
        <v>6.0000000000000008E-7</v>
      </c>
      <c r="BM363" s="83"/>
      <c r="BN363" s="1207">
        <f>BN362*Onsite_PD/1000000+IF(AND(BN$289="Yes",BN284&gt;HD_Severe_Impact),0.9,0)</f>
        <v>6.0000000000000008E-7</v>
      </c>
      <c r="BO363" s="83"/>
      <c r="BP363" s="23"/>
      <c r="BQ363" s="83"/>
      <c r="BR363" s="81"/>
      <c r="BS363" s="23" t="s">
        <v>1242</v>
      </c>
      <c r="BT363" s="81"/>
      <c r="BU363" s="1183"/>
      <c r="BV363" s="81"/>
      <c r="BW363" s="1194">
        <f>SUM(BW358:BW362)</f>
        <v>0</v>
      </c>
      <c r="BX363" s="81"/>
      <c r="BY363" s="3044"/>
      <c r="BZ363" s="81"/>
      <c r="CA363" s="3044"/>
      <c r="CB363" s="81"/>
      <c r="CC363" s="1194">
        <f>SUM(CC358:CC362)</f>
        <v>0</v>
      </c>
      <c r="CD363" s="81"/>
      <c r="CE363" s="85" t="s">
        <v>1497</v>
      </c>
      <c r="CF363" s="81"/>
      <c r="CG363" s="26"/>
      <c r="CH363" s="26"/>
      <c r="CI363" s="26"/>
      <c r="CJ363" s="26"/>
      <c r="CK363" s="26"/>
      <c r="CL363" s="26"/>
      <c r="CM363" s="26"/>
      <c r="CN363" s="26"/>
    </row>
    <row r="364" spans="1:92" ht="15" customHeight="1" x14ac:dyDescent="0.25">
      <c r="A364" s="2"/>
      <c r="B364" s="23" t="s">
        <v>4735</v>
      </c>
      <c r="C364" s="83"/>
      <c r="D364" s="1206">
        <f>Dispersion_D*IF(Public2=0,D287,MIN(D287,Public2))^2+IF(Location="Indoors",0,IF(Public2=0,D287,MIN(D287,Public2))*MAX(2*(D55/3.142)^0.5,IF(AND(D98&gt;0,D208="Instantaneous"),DC_Duration_Initial*(D83/D98)^(1/3),0)))</f>
        <v>3.0000000000000005E-3</v>
      </c>
      <c r="E364" s="83"/>
      <c r="F364" s="1206">
        <f>Dispersion_D*IF(Public2=0,F287,MIN(F287,Public2))^2+IF(Location="Indoors",0,IF(Public2=0,F287,MIN(F287,Public2))*MAX(2*(F55/3.142)^0.5,IF(AND(F98&gt;0,F208="Instantaneous"),DC_Duration_Initial*(F83/F98)^(1/3),0)))</f>
        <v>3.0000000000000005E-3</v>
      </c>
      <c r="G364" s="83"/>
      <c r="H364" s="1206">
        <f>Dispersion_D*IF(Public2=0,H287,MIN(H287,Public2))^2+IF(Location="Indoors",0,IF(Public2=0,H287,MIN(H287,Public2))*MAX(2*(H55/3.142)^0.5,IF(AND(H98&gt;0,H208="Instantaneous"),DC_Duration_Initial*(H83/H98)^(1/3),0)))</f>
        <v>3.0000000000000005E-3</v>
      </c>
      <c r="I364" s="83"/>
      <c r="J364" s="1206">
        <f>Dispersion_D*IF(Public2=0,J287,MIN(J287,Public2))^2+IF(Location="Indoors",0,IF(Public2=0,J287,MIN(J287,Public2))*MAX(2*(J55/3.142)^0.5,IF(AND(J98&gt;0,J208="Instantaneous"),DC_Duration_Initial*(J83/J98)^(1/3),0)))</f>
        <v>3.0000000000000005E-3</v>
      </c>
      <c r="K364" s="83"/>
      <c r="L364" s="1206">
        <f>Dispersion_D*IF(Public2=0,L287,MIN(L287,Public2))^2+IF(Location="Indoors",0,IF(Public2=0,L287,MIN(L287,Public2))*MAX(2*(L55/3.142)^0.5,IF(AND(L98&gt;0,L208="Instantaneous"),DC_Duration_Initial*(L83/L98)^(1/3),0)))</f>
        <v>3.0000000000000005E-3</v>
      </c>
      <c r="M364" s="83"/>
      <c r="N364" s="1206">
        <f>Dispersion_D*IF(Public2=0,N287,MIN(N287,Public2))^2+IF(Location="Indoors",0,IF(Public2=0,N287,MIN(N287,Public2))*MAX(2*(N55/3.142)^0.5,IF(AND(N98&gt;0,N208="Instantaneous"),DC_Duration_Initial*(N83/N98)^(1/3),0)))</f>
        <v>3.0000000000000005E-3</v>
      </c>
      <c r="O364" s="83"/>
      <c r="P364" s="1206">
        <f>Dispersion_D*IF(Public2=0,P287,MIN(P287,Public2))^2+IF(Location="Indoors",0,IF(Public2=0,P287,MIN(P287,Public2))*MAX(2*(P55/3.142)^0.5,IF(AND(P98&gt;0,P208="Instantaneous"),DC_Duration_Initial*(P83/P98)^(1/3),0)))</f>
        <v>3.0000000000000005E-3</v>
      </c>
      <c r="Q364" s="83"/>
      <c r="R364" s="1206">
        <f>Dispersion_D*IF(Public2=0,R287,MIN(R287,Public2))^2+IF(Location="Indoors",0,IF(Public2=0,R287,MIN(R287,Public2))*MAX(2*(R55/3.142)^0.5,IF(AND(R98&gt;0,R208="Instantaneous"),DC_Duration_Initial*(R83/R98)^(1/3),0)))</f>
        <v>3.0000000000000005E-3</v>
      </c>
      <c r="S364" s="83"/>
      <c r="T364" s="1206">
        <f>Dispersion_D*IF(Public2=0,T287,MIN(T287,Public2))^2+IF(Location="Indoors",0,IF(Public2=0,T287,MIN(T287,Public2))*MAX(2*(T55/3.142)^0.5,IF(AND(T98&gt;0,T208="Instantaneous"),DC_Duration_Initial*(T83/T98)^(1/3),0)))</f>
        <v>3.0000000000000005E-3</v>
      </c>
      <c r="U364" s="83"/>
      <c r="V364" s="1206">
        <f>Dispersion_D*IF(Public2=0,V287,MIN(V287,Public2))^2+IF(Location="Indoors",0,IF(Public2=0,V287,MIN(V287,Public2))*MAX(2*(V55/3.142)^0.5,IF(AND(V98&gt;0,V208="Instantaneous"),DC_Duration_Initial*(V83/V98)^(1/3),0)))</f>
        <v>3.0000000000000005E-3</v>
      </c>
      <c r="W364" s="83"/>
      <c r="X364" s="1206">
        <f>Dispersion_D*IF(Public2=0,X287,MIN(X287,Public2))^2+IF(Location="Indoors",0,IF(Public2=0,X287,MIN(X287,Public2))*MAX(2*(X55/3.142)^0.5,IF(AND(X98&gt;0,X208="Instantaneous"),DC_Duration_Initial*(X83/X98)^(1/3),0)))</f>
        <v>3.0000000000000005E-3</v>
      </c>
      <c r="Y364" s="83"/>
      <c r="Z364" s="85" t="s">
        <v>3804</v>
      </c>
      <c r="AA364" s="83"/>
      <c r="AB364" s="81"/>
      <c r="AC364" s="23" t="s">
        <v>3627</v>
      </c>
      <c r="AD364" s="81"/>
      <c r="AE364" s="3036">
        <f>IF(AND(AE98&gt;0,AE293&gt;0),IF(AE294="Indoors",IF(AE315&lt;=AE293,0.1,AE$192*((IF(Enclosed_Ventilation_Rate&gt;1,Enclosed_Ventilation_Rate,1)*Enclosed_Process_Volume*AE98*AE315/88020000000)*1000000*(1/AE293-1/AE315)/(AE98*Wind_Night))^AE$193),IF(OR(AE293=0,AE293&gt;=1000000*AE$99),0,MAX(0,IF(AC222="Instantaneous",AE$218*(AE83/AE98)*(1000000/AE293)^AE$219-AE$220,AE$192*(AE89*(1000000/AE293)/(AE98*Wind_Night))^AE$193-AE$194)))),0.1)</f>
        <v>0.1</v>
      </c>
      <c r="AF364" s="81"/>
      <c r="AG364" s="3036">
        <f>IF(AND(AG98&gt;0,AG293&gt;0),IF(AG294="Indoors",IF(AG315&lt;=AG293,0.1,AG$192*((IF(Enclosed_Ventilation_Rate&gt;1,Enclosed_Ventilation_Rate,1)*Enclosed_Process_Volume*AG98*AG315/88020000000)*1000000*(1/AG293-1/AG315)/(AG98*Wind_Night))^AG$193),IF(OR(AG293=0,AG293&gt;=1000000*AG$99),0,MAX(0,IF(AE222="Instantaneous",AG$218*(AG83/AG98)*(1000000/AG293)^AG$219-AG$220+AG108,AG$192*(AG89*(1000000/AG293)/(AG98*Wind_Night))^AG$193-AG$194+AG108)))),0.1)</f>
        <v>0.1</v>
      </c>
      <c r="AH364" s="81"/>
      <c r="AI364" s="3036">
        <f>IF(AND(AI98&gt;0,AI293&gt;0),IF(AI294="Indoors",IF(AI315&lt;=AI293,0.1,AI$192*((IF(Enclosed_Ventilation_Rate&gt;1,Enclosed_Ventilation_Rate,1)*Enclosed_Process_Volume*AI98*AI315/88020000000)*1000000*(1/AI293-1/AI315)/(AI98*Wind_Night))^AI$193),IF(OR(AI293=0,AI293&gt;=1000000*AI$99),0,MAX(0,IF(AI221="Instantaneous",AI$218*(AI83/AI98)*(1000000/AI293)^AI$219-AI$220+AI108,AI$192*(AI89*(1000000/AI293)/(AI98*Wind_Night))^AI$193-AI$194+AI108)))),0.1)</f>
        <v>0.1</v>
      </c>
      <c r="AJ364" s="81"/>
      <c r="AK364" s="3036">
        <f>IF(AND(AK98&gt;0,AK293&gt;0),IF(AK294="Indoors",IF(AK315&lt;=AK293,0.1,AK$192*((IF(Enclosed_Ventilation_Rate&gt;1,Enclosed_Ventilation_Rate,1)*Enclosed_Process_Volume*AK98*AK315/88020000000)*1000000*(1/AK293-1/AK315)/(AK98*Wind_Night))^AK$193),IF(OR(AK293=0,AK293&gt;=1000000*AK$99),0,MAX(0,IF(AK221="Instantaneous",AK$218*(AK83/AK98)*(1000000/AK293)^AK$219-AK$220+AK108,AK$192*(AK89*(1000000/AK293)/(AK98*Wind_Night))^AK$193-AK$194+AK108)))),0.1)</f>
        <v>0.1</v>
      </c>
      <c r="AL364" s="81"/>
      <c r="AM364" s="3036">
        <f>IF(AND(AM98&gt;0,AM293&gt;0),IF(AM294="Indoors",IF(AM315&lt;=AM293,0.1,AM$192*((IF(Enclosed_Ventilation_Rate&gt;1,Enclosed_Ventilation_Rate,1)*Enclosed_Process_Volume*AM98*AM315/88020000000)*1000000*(1/AM293-1/AM315)/(AM98*Wind_Night))^AM$193),IF(OR(AM293=0,AM293&gt;=1000000*AM$99),0,MAX(0,IF(AM221="Instantaneous",AM$218*(AM83/AM98)*(1000000/AM293)^AM$219-AM$220+AM108,AM$192*(AM89*(1000000/AM293)/(AM98*Wind_Night))^AM$193-AM$194+AM108)))),0.1)</f>
        <v>0.1</v>
      </c>
      <c r="AN364" s="81"/>
      <c r="AO364" s="3036">
        <f>IF(AND(AO98&gt;0,AO293&gt;0),IF(AO294="Indoors",IF(AO315&lt;=AO293,0.1,AO$192*((IF(Enclosed_Ventilation_Rate&gt;1,Enclosed_Ventilation_Rate,1)*Enclosed_Process_Volume*AO98*AO315/88020000000)*1000000*(1/AO293-1/AO315)/(AO98*Wind_Night))^AO$193),IF(OR(AO293=0,AO293&gt;=1000000*AO$99),0,MAX(0,IF(AO221="Instantaneous",AO$218*(AO83/AO98)*(1000000/AO293)^AO$219-AO$220+AO108,AO$192*(AO89*(1000000/AO293)/(AO98*Wind_Night))^AO$193-AO$194+AO108)))),0.1)</f>
        <v>0.1</v>
      </c>
      <c r="AP364" s="81"/>
      <c r="AQ364" s="85" t="s">
        <v>1068</v>
      </c>
      <c r="AR364" s="81"/>
      <c r="AS364" s="83"/>
      <c r="AT364" s="85" t="s">
        <v>1638</v>
      </c>
      <c r="AU364" s="83"/>
      <c r="AV364" s="1208">
        <v>0</v>
      </c>
      <c r="AW364" s="83"/>
      <c r="AX364" s="1208">
        <v>0</v>
      </c>
      <c r="AY364" s="83"/>
      <c r="AZ364" s="1208">
        <v>0</v>
      </c>
      <c r="BA364" s="83"/>
      <c r="BB364" s="1208">
        <v>0</v>
      </c>
      <c r="BC364" s="83"/>
      <c r="BD364" s="1208">
        <v>0</v>
      </c>
      <c r="BE364" s="83"/>
      <c r="BF364" s="1208">
        <v>0</v>
      </c>
      <c r="BG364" s="83"/>
      <c r="BH364" s="1208">
        <v>0</v>
      </c>
      <c r="BI364" s="83"/>
      <c r="BJ364" s="1208">
        <v>0</v>
      </c>
      <c r="BK364" s="83"/>
      <c r="BL364" s="1208">
        <v>0</v>
      </c>
      <c r="BM364" s="83"/>
      <c r="BN364" s="1208">
        <v>0</v>
      </c>
      <c r="BO364" s="83"/>
      <c r="BP364" s="23"/>
      <c r="BQ364" s="83"/>
      <c r="BR364" s="81"/>
      <c r="BS364" s="23" t="s">
        <v>5141</v>
      </c>
      <c r="BT364" s="81"/>
      <c r="BU364" s="1183"/>
      <c r="BV364" s="81"/>
      <c r="BW364" s="1194">
        <f>IF(BW363&gt;1,(828*BW363^0.771/ThermRad_Screening_Limit-18.9*BW363^0.667)^0.5,0)</f>
        <v>0</v>
      </c>
      <c r="BX364" s="81"/>
      <c r="BY364" s="3044"/>
      <c r="BZ364" s="81"/>
      <c r="CA364" s="3044"/>
      <c r="CB364" s="81"/>
      <c r="CC364" s="1194">
        <f>IF(CC363&gt;1,(828*CC363^0.771/ThermRad_Screening_Limit-18.9*CC363^0.667)^0.5,0)</f>
        <v>0</v>
      </c>
      <c r="CD364" s="81"/>
      <c r="CE364" s="85" t="s">
        <v>1068</v>
      </c>
      <c r="CF364" s="81"/>
      <c r="CG364" s="26"/>
      <c r="CH364" s="26"/>
      <c r="CI364" s="26"/>
      <c r="CJ364" s="26"/>
      <c r="CK364" s="26"/>
      <c r="CL364" s="26"/>
      <c r="CM364" s="26"/>
      <c r="CN364" s="26"/>
    </row>
    <row r="365" spans="1:92" ht="15" customHeight="1" thickBot="1" x14ac:dyDescent="0.3">
      <c r="A365" s="2"/>
      <c r="B365" s="23" t="s">
        <v>3161</v>
      </c>
      <c r="C365" s="83"/>
      <c r="D365" s="1207">
        <f>D364*Onsite_PD/1000000+IF(AND(D$292="Yes",D287&gt;HD_Severe_Impact),0.9,0)</f>
        <v>6.0000000000000008E-7</v>
      </c>
      <c r="E365" s="83"/>
      <c r="F365" s="1207">
        <f>F364*Onsite_PD/1000000+IF(AND(F$292="Yes",F287&gt;HD_Severe_Impact),0.9,0)</f>
        <v>6.0000000000000008E-7</v>
      </c>
      <c r="G365" s="83"/>
      <c r="H365" s="1207">
        <f>H364*Onsite_PD/1000000+IF(AND(H$292="Yes",H287&gt;HD_Severe_Impact),0.9,0)</f>
        <v>6.0000000000000008E-7</v>
      </c>
      <c r="I365" s="83"/>
      <c r="J365" s="1207">
        <f>J364*Onsite_PD/1000000+IF(AND(J$292="Yes",J287&gt;HD_Severe_Impact),0.9,0)</f>
        <v>6.0000000000000008E-7</v>
      </c>
      <c r="K365" s="83"/>
      <c r="L365" s="1207">
        <f>L364*Onsite_PD/1000000+IF(AND(L$292="Yes",L287&gt;HD_Severe_Impact),0.9,0)</f>
        <v>6.0000000000000008E-7</v>
      </c>
      <c r="M365" s="83"/>
      <c r="N365" s="1207">
        <f>N364*Onsite_PD/1000000+IF(AND('Special Calcs'!G$164="Yes",N287&gt;HD_Severe_Impact),0.9,0)</f>
        <v>6.0000000000000008E-7</v>
      </c>
      <c r="O365" s="83"/>
      <c r="P365" s="1207">
        <f>P364*Onsite_PD/1000000+IF(AND(P$292="Yes",P287&gt;HD_Severe_Impact),0.9,0)</f>
        <v>6.0000000000000008E-7</v>
      </c>
      <c r="Q365" s="83"/>
      <c r="R365" s="1207">
        <f>R364*Onsite_PD/1000000+IF(AND(R$292="Yes",R287&gt;HD_Severe_Impact),0.9,0)</f>
        <v>6.0000000000000008E-7</v>
      </c>
      <c r="S365" s="83"/>
      <c r="T365" s="1207">
        <f>T364*Onsite_PD/1000000+IF(AND(T$292="Yes",T287&gt;HD_Severe_Impact),0.9,0)</f>
        <v>6.0000000000000008E-7</v>
      </c>
      <c r="U365" s="83"/>
      <c r="V365" s="1207">
        <f>V364*Onsite_PD/1000000+IF(AND(V$292="Yes",V287&gt;HD_Severe_Impact),0.9,0)</f>
        <v>6.0000000000000008E-7</v>
      </c>
      <c r="W365" s="83"/>
      <c r="X365" s="1207">
        <f>X364*Onsite_PD/1000000+IF(AND(X$292="Yes",X287&gt;HD_Severe_Impact),0.9,0)</f>
        <v>6.0000000000000008E-7</v>
      </c>
      <c r="Y365" s="83"/>
      <c r="Z365" s="91"/>
      <c r="AA365" s="83"/>
      <c r="AB365" s="81"/>
      <c r="AC365" s="23" t="s">
        <v>3630</v>
      </c>
      <c r="AD365" s="81"/>
      <c r="AE365" s="1206">
        <f>IF(AC222="Instantaneous",Dispersion_R,Dispersion_M)*(MAX(AE364,(AE109-MIN(AE109,WorkArea_Elevation))*Dispersion_N^0.5,Public)^2-MAX((AE109-MIN(AE109,WorkArea_Elevation))*Dispersion_N^0.5,Public)^2)+2*(MAX(AE364,(AE109-MIN(AE109,WorkArea_Elevation))*Dispersion_N^0.5,Public)-MAX((AE109-MIN(AE109,WorkArea_Elevation))*Dispersion_N^0.5,Public))*(AE$55/3.142)^0.5</f>
        <v>3.0000000000000005E-3</v>
      </c>
      <c r="AF365" s="81"/>
      <c r="AG365" s="1206">
        <f>IF(AE222="Instantaneous",Dispersion_R,Dispersion_M)*(MAX(AG364,(AG109-MIN(AG109,WorkArea_Elevation))*Dispersion_N^0.5,Public)^2-MAX((AG109-MIN(AG109,WorkArea_Elevation))*Dispersion_N^0.5,Public)^2)+2*(MAX(AG364,(AG109-MIN(AG109,WorkArea_Elevation))*Dispersion_N^0.5,Public)-MAX((AG109-MIN(AG109,WorkArea_Elevation))*Dispersion_N^0.5,Public))*(AG$55/3.142)^0.5</f>
        <v>3.0000000000000005E-3</v>
      </c>
      <c r="AH365" s="81"/>
      <c r="AI365" s="1206">
        <f>IF(AI221="Instantaneous",Dispersion_R,Dispersion_M)*(MAX(AI364,(AI109-MIN(AI109,WorkArea_Elevation))*Dispersion_N^0.5,Public)^2-MAX((AI109-MIN(AI109,WorkArea_Elevation))*Dispersion_N^0.5,Public)^2)+2*(MAX(AI364,(AI109-MIN(AI109,WorkArea_Elevation))*Dispersion_N^0.5,Public)-MAX((AI109-MIN(AI109,WorkArea_Elevation))*Dispersion_N^0.5,Public))*(AI$55/3.142)^0.5</f>
        <v>3.0000000000000005E-3</v>
      </c>
      <c r="AJ365" s="81"/>
      <c r="AK365" s="1206">
        <f>IF(AK221="Instantaneous",Dispersion_R,Dispersion_M)*(MAX(AK364,(AK109-MIN(AK109,WorkArea_Elevation))*Dispersion_N^0.5,Public)^2-MAX((AK109-MIN(AK109,WorkArea_Elevation))*Dispersion_N^0.5,Public)^2)+2*(MAX(AK364,(AK109-MIN(AK109,WorkArea_Elevation))*Dispersion_N^0.5,Public)-MAX((AK109-MIN(AK109,WorkArea_Elevation))*Dispersion_N^0.5,Public))*(AK$55/3.142)^0.5</f>
        <v>3.0000000000000005E-3</v>
      </c>
      <c r="AL365" s="81"/>
      <c r="AM365" s="1206">
        <f>IF(AM221="Instantaneous",Dispersion_R,Dispersion_M)*(MAX(AM364,(AM109-MIN(AM109,WorkArea_Elevation))*Dispersion_N^0.5,Public)^2-MAX((AM109-MIN(AM109,WorkArea_Elevation))*Dispersion_N^0.5,Public)^2)+2*(MAX(AM364,(AM109-MIN(AM109,WorkArea_Elevation))*Dispersion_N^0.5,Public)-MAX((AM109-MIN(AM109,WorkArea_Elevation))*Dispersion_N^0.5,Public))*(AM$55/3.142)^0.5</f>
        <v>3.0000000000000005E-3</v>
      </c>
      <c r="AN365" s="81"/>
      <c r="AO365" s="1206">
        <f>IF(AO221="Instantaneous",Dispersion_R,Dispersion_M)*(MAX(AO364,(AO109-MIN(AO109,WorkArea_Elevation))*Dispersion_N^0.5,Public)^2-MAX((AO109-MIN(AO109,WorkArea_Elevation))*Dispersion_N^0.5,Public)^2)+2*(MAX(AO364,(AO109-MIN(AO109,WorkArea_Elevation))*Dispersion_N^0.5,Public)-MAX((AO109-MIN(AO109,WorkArea_Elevation))*Dispersion_N^0.5,Public))*(AO$55/3.142)^0.5</f>
        <v>3.0000000000000005E-3</v>
      </c>
      <c r="AP365" s="81"/>
      <c r="AQ365" s="85" t="s">
        <v>3804</v>
      </c>
      <c r="AR365" s="81"/>
      <c r="AS365" s="83"/>
      <c r="AT365" s="25" t="s">
        <v>4789</v>
      </c>
      <c r="AU365" s="83"/>
      <c r="AV365" s="1208" t="str">
        <f>IF(OR(AND(Regulatory_Tox&lt;&gt;"Yes",ER3_Min&gt;Toxic_Limit),IF(AV228&lt;&gt;"",AV228,0)&gt;AV216,AV284&lt;HD_Screening_Limit),"NA",IF(AND(AV$289&lt;&gt;"Yes",AV284&lt;HD_VeryLow_OnSite),Conseq_VeryLow,IF(AV284&lt;HD_Low_OnSite,Conseq_Low,IF(AV284&lt;HD_Moderate_OnSite,Conseq_Moderate,IF(AV284&lt;HD_High_OnSite,Conseq_High,IF(AV284&lt;HD_VeryHigh_OnSite,Conseq_VeryHigh,Conseq_ExtremeHigh))))))</f>
        <v>NA</v>
      </c>
      <c r="AW365" s="83"/>
      <c r="AX365" s="1208" t="str">
        <f>IF(OR(AND(Regulatory_Tox&lt;&gt;"Yes",ER3_Min&gt;Toxic_Limit),IF(AX228&lt;&gt;"",AX228,0)&gt;AX216,AX284&lt;HD_Screening_Limit),"NA",IF(AND(AX$289&lt;&gt;"Yes",AX284&lt;HD_VeryLow_OnSite),Conseq_VeryLow,IF(AX284&lt;HD_Low_OnSite,Conseq_Low,IF(AX284&lt;HD_Moderate_OnSite,Conseq_Moderate,IF(AX284&lt;HD_High_OnSite,Conseq_High,IF(AX284&lt;HD_VeryHigh_OnSite,Conseq_VeryHigh,Conseq_ExtremeHigh))))))</f>
        <v>NA</v>
      </c>
      <c r="AY365" s="83"/>
      <c r="AZ365" s="1208" t="str">
        <f>IF(OR(AND(Regulatory_Tox&lt;&gt;"Yes",ER3_Min&gt;Toxic_Limit),IF(AZ228&lt;&gt;"",AZ228,0)&gt;AZ216,AZ284&lt;HD_Screening_Limit),"NA",IF(AND(AZ$289&lt;&gt;"Yes",AZ284&lt;HD_VeryLow_OnSite),Conseq_VeryLow,IF(AZ284&lt;HD_Low_OnSite,Conseq_Low,IF(AZ284&lt;HD_Moderate_OnSite,Conseq_Moderate,IF(AZ284&lt;HD_High_OnSite,Conseq_High,IF(AZ284&lt;HD_VeryHigh_OnSite,Conseq_VeryHigh,Conseq_ExtremeHigh))))))</f>
        <v>NA</v>
      </c>
      <c r="BA365" s="83"/>
      <c r="BB365" s="1208" t="str">
        <f>IF(OR(AND(Regulatory_Tox&lt;&gt;"Yes",ER3_Min&gt;Toxic_Limit),IF(BB228&lt;&gt;"",BB228,0)&gt;BB216,BB284&lt;HD_Screening_Limit),"NA",IF(AND(BB$289&lt;&gt;"Yes",BB284&lt;HD_VeryLow_OnSite),Conseq_VeryLow,IF(BB284&lt;HD_Low_OnSite,Conseq_Low,IF(BB284&lt;HD_Moderate_OnSite,Conseq_Moderate,IF(BB284&lt;HD_High_OnSite,Conseq_High,IF(BB284&lt;HD_VeryHigh_OnSite,Conseq_VeryHigh,Conseq_ExtremeHigh))))))</f>
        <v>NA</v>
      </c>
      <c r="BC365" s="83"/>
      <c r="BD365" s="1208" t="str">
        <f>IF(OR(AND(Regulatory_Tox&lt;&gt;"Yes",ER3_Min&gt;Toxic_Limit),IF(BD228&lt;&gt;"",BD228,0)&gt;BD216,BD284&lt;HD_Screening_Limit),"NA",IF(AND(BD$289&lt;&gt;"Yes",BD284&lt;HD_VeryLow_OnSite),Conseq_VeryLow,IF(BD284&lt;HD_Low_OnSite,Conseq_Low,IF(BD284&lt;HD_Moderate_OnSite,Conseq_Moderate,IF(BD284&lt;HD_High_OnSite,Conseq_High,IF(BD284&lt;HD_VeryHigh_OnSite,Conseq_VeryHigh,Conseq_ExtremeHigh))))))</f>
        <v>NA</v>
      </c>
      <c r="BE365" s="83"/>
      <c r="BF365" s="1208" t="str">
        <f>IF(OR(AND(Regulatory_Tox&lt;&gt;"Yes",ER3_Min&gt;Toxic_Limit),IF(BF228&lt;&gt;"",BF228,0)&gt;BF216,BF284&lt;HD_Screening_Limit),"NA",IF(AND(BF$289&lt;&gt;"Yes",BF284&lt;HD_VeryLow_OnSite),Conseq_VeryLow,IF(BF284&lt;HD_Low_OnSite,Conseq_Low,IF(BF284&lt;HD_Moderate_OnSite,Conseq_Moderate,IF(BF284&lt;HD_High_OnSite,Conseq_High,IF(BF284&lt;HD_VeryHigh_OnSite,Conseq_VeryHigh,Conseq_ExtremeHigh))))))</f>
        <v>NA</v>
      </c>
      <c r="BG365" s="83"/>
      <c r="BH365" s="1208" t="str">
        <f>IF(OR(AND(Regulatory_Tox&lt;&gt;"Yes",ER3_Min&gt;Toxic_Limit),IF(BH228&lt;&gt;"",BH228,0)&gt;BH216,BH284&lt;HD_Screening_Limit),"NA",IF(AND(BH$289&lt;&gt;"Yes",BH284&lt;HD_VeryLow_OnSite),Conseq_VeryLow,IF(BH284&lt;HD_Low_OnSite,Conseq_Low,IF(BH284&lt;HD_Moderate_OnSite,Conseq_Moderate,IF(BH284&lt;HD_High_OnSite,Conseq_High,IF(BH284&lt;HD_VeryHigh_OnSite,Conseq_VeryHigh,Conseq_ExtremeHigh))))))</f>
        <v>NA</v>
      </c>
      <c r="BI365" s="83"/>
      <c r="BJ365" s="1208" t="str">
        <f>IF(OR(AND(Regulatory_Tox&lt;&gt;"Yes",ER3_Min&gt;Toxic_Limit),IF(BJ228&lt;&gt;"",BJ228,0)&gt;BJ216,BJ284&lt;HD_Screening_Limit),"NA",IF(AND(BJ$289&lt;&gt;"Yes",BJ284&lt;HD_VeryLow_OnSite),Conseq_VeryLow,IF(BJ284&lt;HD_Low_OnSite,Conseq_Low,IF(BJ284&lt;HD_Moderate_OnSite,Conseq_Moderate,IF(BJ284&lt;HD_High_OnSite,Conseq_High,IF(BJ284&lt;HD_VeryHigh_OnSite,Conseq_VeryHigh,Conseq_ExtremeHigh))))))</f>
        <v>NA</v>
      </c>
      <c r="BK365" s="83"/>
      <c r="BL365" s="1208" t="str">
        <f>IF(OR(AND(Regulatory_Tox&lt;&gt;"Yes",ER3_Min&gt;Toxic_Limit),IF(BL228&lt;&gt;"",BL228,0)&gt;BL216,BL284&lt;HD_Screening_Limit),"NA",IF(AND(BL$289&lt;&gt;"Yes",BL284&lt;HD_VeryLow_OnSite),Conseq_VeryLow,IF(BL284&lt;HD_Low_OnSite,Conseq_Low,IF(BL284&lt;HD_Moderate_OnSite,Conseq_Moderate,IF(BL284&lt;HD_High_OnSite,Conseq_High,IF(BL284&lt;HD_VeryHigh_OnSite,Conseq_VeryHigh,Conseq_ExtremeHigh))))))</f>
        <v>NA</v>
      </c>
      <c r="BM365" s="83"/>
      <c r="BN365" s="1208" t="str">
        <f>IF(OR(AND(Regulatory_Tox&lt;&gt;"Yes",ER3_Min&gt;Toxic_Limit),IF(BN228&lt;&gt;"",BN228,0)&gt;BN216,BN284&lt;HD_Screening_Limit),"NA",IF(AND(BN$289&lt;&gt;"Yes",BN284&lt;HD_VeryLow_OnSite),Conseq_VeryLow,IF(BN284&lt;HD_Low_OnSite,Conseq_Low,IF(BN284&lt;HD_Moderate_OnSite,Conseq_Moderate,IF(BN284&lt;HD_High_OnSite,Conseq_High,IF(BN284&lt;HD_VeryHigh_OnSite,Conseq_VeryHigh,Conseq_ExtremeHigh))))))</f>
        <v>NA</v>
      </c>
      <c r="BO365" s="83"/>
      <c r="BP365" s="23"/>
      <c r="BQ365" s="83"/>
      <c r="BR365" s="81"/>
      <c r="BS365" s="25" t="s">
        <v>5142</v>
      </c>
      <c r="BT365" s="81"/>
      <c r="BU365" s="3042"/>
      <c r="BV365" s="81"/>
      <c r="BW365" s="1184" t="str">
        <f>IF(BW364&gt;Public,"Yes","No")</f>
        <v>No</v>
      </c>
      <c r="BX365" s="81"/>
      <c r="BY365" s="3042"/>
      <c r="BZ365" s="81"/>
      <c r="CA365" s="3042"/>
      <c r="CB365" s="81"/>
      <c r="CC365" s="1184" t="str">
        <f>IF(CC364&gt;Public,"Yes","No")</f>
        <v>No</v>
      </c>
      <c r="CD365" s="81"/>
      <c r="CE365" s="25"/>
      <c r="CF365" s="81"/>
      <c r="CG365" s="26"/>
      <c r="CH365" s="26"/>
      <c r="CI365" s="26"/>
      <c r="CJ365" s="26"/>
      <c r="CK365" s="26"/>
      <c r="CL365" s="26"/>
      <c r="CM365" s="26"/>
      <c r="CN365" s="26"/>
    </row>
    <row r="366" spans="1:92" ht="15" customHeight="1" thickBot="1" x14ac:dyDescent="0.3">
      <c r="A366" s="2"/>
      <c r="B366" s="85" t="s">
        <v>1638</v>
      </c>
      <c r="C366" s="83"/>
      <c r="D366" s="1208">
        <v>0</v>
      </c>
      <c r="E366" s="83"/>
      <c r="F366" s="1208">
        <v>0</v>
      </c>
      <c r="G366" s="83"/>
      <c r="H366" s="1208">
        <v>0</v>
      </c>
      <c r="I366" s="83"/>
      <c r="J366" s="1208">
        <v>0</v>
      </c>
      <c r="K366" s="83"/>
      <c r="L366" s="1208">
        <v>0</v>
      </c>
      <c r="M366" s="83"/>
      <c r="N366" s="1208">
        <v>0</v>
      </c>
      <c r="O366" s="83"/>
      <c r="P366" s="1208">
        <v>0</v>
      </c>
      <c r="Q366" s="83"/>
      <c r="R366" s="1208">
        <v>0</v>
      </c>
      <c r="S366" s="83"/>
      <c r="T366" s="1208">
        <v>0</v>
      </c>
      <c r="U366" s="83"/>
      <c r="V366" s="1208">
        <v>0</v>
      </c>
      <c r="W366" s="83"/>
      <c r="X366" s="1208">
        <v>0</v>
      </c>
      <c r="Y366" s="83"/>
      <c r="Z366" s="91"/>
      <c r="AA366" s="83"/>
      <c r="AB366" s="81"/>
      <c r="AC366" s="23" t="s">
        <v>3631</v>
      </c>
      <c r="AD366" s="81"/>
      <c r="AE366" s="1206">
        <f>IF(OR(AE$292=0,AE$286=""),0,IF(AE364&gt;Zone_1,IF(AC222="Instantaneous",Dispersion_R,Dispersion_M)*(MAX(Public,(AE109-MIN(AE109,WorkArea_Elevation))*Dispersion_N^0.5,Zone_1)^2-MAX(Public,(AE109-MIN(AE109,WorkArea_Elevation))*Dispersion_N^0.5,AE364)^2)+2*(MAX(Public,(AE109-MIN(AE109,WorkArea_Elevation))*Dispersion_N^0.5,Zone_1)-MAX(Public,(AE109-MIN(AE109,WorkArea_Elevation))*Dispersion_N^0.5,AE364))*(AE$55/3.142)^0.5,IF(AC222="Instantaneous",Dispersion_R,Dispersion_M)*AE$286^(2*IF(AC222="Instantaneous",AE$219,AE$193))*AE$303^2*(EXP(AE$291+AE$292*MAX(Public,(AE109-MIN(AE109,WorkArea_Elevation))*Dispersion_N^0.5,Zone_1)^2/(AE$286^(2*IF(AC222="Instantaneous",AE$219,AE$193))*AE$303^2))-EXP(AE$291+AE$292*MAX(Public,(AE109-MIN(AE109,WorkArea_Elevation))*Dispersion_N^0.5,AE364)^2/(AE$286^(2*IF(AC222="Instantaneous",AE$219,AE$193))*AE$303^2)))/AE$292))</f>
        <v>0</v>
      </c>
      <c r="AF366" s="81"/>
      <c r="AG366" s="1206">
        <f>IF(OR(AG$292=0,AG$286=""),0,IF(AG364&gt;Zone_1,IF(AE222="Instantaneous",Dispersion_R,Dispersion_M)*(MAX(Public,(AG109-MIN(AG109,WorkArea_Elevation))*Dispersion_N^0.5,Zone_1)^2-MAX(Public,(AG109-MIN(AG109,WorkArea_Elevation))*Dispersion_N^0.5,AG364)^2)+2*(MAX(Public,(AG109-MIN(AG109,WorkArea_Elevation))*Dispersion_N^0.5,Zone_1)-MAX(Public,(AG109-MIN(AG109,WorkArea_Elevation))*Dispersion_N^0.5,AG364))*(AG$55/3.142)^0.5,IF(AE222="Instantaneous",Dispersion_R,Dispersion_M)*AG$286^(2*IF(AE222="Instantaneous",AG$219,AG$193))*AG$303^2*(EXP(AG$291+AG$292*MAX(Public,(AG109-MIN(AG109,WorkArea_Elevation))*Dispersion_N^0.5,Zone_1)^2/(AG$286^(2*IF(AE222="Instantaneous",AG$219,AG$193))*AG$303^2))-EXP(AG$291+AG$292*MAX(Public,(AG109-MIN(AG109,WorkArea_Elevation))*Dispersion_N^0.5,AG364)^2/(AG$286^(2*IF(AE222="Instantaneous",AG$219,AG$193))*AG$303^2)))/AG$292))</f>
        <v>0</v>
      </c>
      <c r="AH366" s="81"/>
      <c r="AI366" s="1206">
        <f>IF(OR(AI$292=0,AI$286=""),0,IF(AI364&gt;Zone_1,IF(AI221="Instantaneous",Dispersion_R,Dispersion_M)*(MAX(Public,(AI109-MIN(AI109,WorkArea_Elevation))*Dispersion_N^0.5,Zone_1)^2-MAX(Public,(AI109-MIN(AI109,WorkArea_Elevation))*Dispersion_N^0.5,AI364)^2)+2*(MAX(Public,(AI109-MIN(AI109,WorkArea_Elevation))*Dispersion_N^0.5,Zone_1)-MAX(Public,(AI109-MIN(AI109,WorkArea_Elevation))*Dispersion_N^0.5,AI364))*(AI$55/3.142)^0.5,IF(AI221="Instantaneous",Dispersion_R,Dispersion_M)*AI$286^(2*IF(AI221="Instantaneous",AI$219,AI$193))*AI$303^2*(EXP(AI$291+AI$292*MAX(Public,(AI109-MIN(AI109,WorkArea_Elevation))*Dispersion_N^0.5,Zone_1)^2/(AI$286^(2*IF(AI221="Instantaneous",AI$219,AI$193))*AI$303^2))-EXP(AI$291+AI$292*MAX(Public,(AI109-MIN(AI109,WorkArea_Elevation))*Dispersion_N^0.5,AI364)^2/(AI$286^(2*IF(AI221="Instantaneous",AI$219,AI$193))*AI$303^2)))/AI$292))</f>
        <v>0</v>
      </c>
      <c r="AJ366" s="81"/>
      <c r="AK366" s="1206">
        <f>IF(OR(AK$292=0,AK$286=""),0,IF(AK364&gt;Zone_1,IF(AK221="Instantaneous",Dispersion_R,Dispersion_M)*(MAX(Public,(AK109-MIN(AK109,WorkArea_Elevation))*Dispersion_N^0.5,Zone_1)^2-MAX(Public,(AK109-MIN(AK109,WorkArea_Elevation))*Dispersion_N^0.5,AK364)^2)+2*(MAX(Public,(AK109-MIN(AK109,WorkArea_Elevation))*Dispersion_N^0.5,Zone_1)-MAX(Public,(AK109-MIN(AK109,WorkArea_Elevation))*Dispersion_N^0.5,AK364))*(AK$55/3.142)^0.5,IF(AK221="Instantaneous",Dispersion_R,Dispersion_M)*AK$286^(2*IF(AK221="Instantaneous",AK$219,AK$193))*AK$303^2*(EXP(AK$291+AK$292*MAX(Public,(AK109-MIN(AK109,WorkArea_Elevation))*Dispersion_N^0.5,Zone_1)^2/(AK$286^(2*IF(AK221="Instantaneous",AK$219,AK$193))*AK$303^2))-EXP(AK$291+AK$292*MAX(Public,(AK109-MIN(AK109,WorkArea_Elevation))*Dispersion_N^0.5,AK364)^2/(AK$286^(2*IF(AK221="Instantaneous",AK$219,AK$193))*AK$303^2)))/AK$292))</f>
        <v>0</v>
      </c>
      <c r="AL366" s="81"/>
      <c r="AM366" s="1206">
        <f>IF(OR(AM$292=0,AM$286=""),0,IF(AM364&gt;Zone_1,IF(AM221="Instantaneous",Dispersion_R,Dispersion_M)*(MAX(Public,(AM109-MIN(AM109,WorkArea_Elevation))*Dispersion_N^0.5,Zone_1)^2-MAX(Public,(AM109-MIN(AM109,WorkArea_Elevation))*Dispersion_N^0.5,AM364)^2)+2*(MAX(Public,(AM109-MIN(AM109,WorkArea_Elevation))*Dispersion_N^0.5,Zone_1)-MAX(Public,(AM109-MIN(AM109,WorkArea_Elevation))*Dispersion_N^0.5,AM364))*(AM$55/3.142)^0.5,IF(AM221="Instantaneous",Dispersion_R,Dispersion_M)*AM$286^(2*IF(AM221="Instantaneous",AM$219,AM$193))*AM$303^2*(EXP(AM$291+AM$292*MAX(Public,(AM109-MIN(AM109,WorkArea_Elevation))*Dispersion_N^0.5,Zone_1)^2/(AM$286^(2*IF(AM221="Instantaneous",AM$219,AM$193))*AM$303^2))-EXP(AM$291+AM$292*MAX(Public,(AM109-MIN(AM109,WorkArea_Elevation))*Dispersion_N^0.5,AM364)^2/(AM$286^(2*IF(AM221="Instantaneous",AM$219,AM$193))*AM$303^2)))/AM$292))</f>
        <v>0</v>
      </c>
      <c r="AN366" s="81"/>
      <c r="AO366" s="1206">
        <f>IF(OR(AO$292=0,AO$286=""),0,IF(AO364&gt;Zone_1,IF(AO221="Instantaneous",Dispersion_R,Dispersion_M)*(MAX(Public,(AO109-MIN(AO109,WorkArea_Elevation))*Dispersion_N^0.5,Zone_1)^2-MAX(Public,(AO109-MIN(AO109,WorkArea_Elevation))*Dispersion_N^0.5,AO364)^2)+2*(MAX(Public,(AO109-MIN(AO109,WorkArea_Elevation))*Dispersion_N^0.5,Zone_1)-MAX(Public,(AO109-MIN(AO109,WorkArea_Elevation))*Dispersion_N^0.5,AO364))*(AO$55/3.142)^0.5,IF(AO221="Instantaneous",Dispersion_R,Dispersion_M)*AO$286^(2*IF(AO221="Instantaneous",AO$219,AO$193))*AO$303^2*(EXP(AO$291+AO$292*MAX(Public,(AO109-MIN(AO109,WorkArea_Elevation))*Dispersion_N^0.5,Zone_1)^2/(AO$286^(2*IF(AO221="Instantaneous",AO$219,AO$193))*AO$303^2))-EXP(AO$291+AO$292*MAX(Public,(AO109-MIN(AO109,WorkArea_Elevation))*Dispersion_N^0.5,AO364)^2/(AO$286^(2*IF(AO221="Instantaneous",AO$219,AO$193))*AO$303^2)))/AO$292))</f>
        <v>0</v>
      </c>
      <c r="AP366" s="81"/>
      <c r="AQ366" s="85" t="s">
        <v>3804</v>
      </c>
      <c r="AR366" s="81"/>
      <c r="AS366" s="83"/>
      <c r="AT366" s="25" t="s">
        <v>4224</v>
      </c>
      <c r="AU366" s="83"/>
      <c r="AV366" s="2135" t="e">
        <f>IF(Conseq_Criteria="Hazard Distance",AV365,IF(OR(AND(Regulatory_Tox&lt;&gt;"Yes",ER3_Min&gt;Toxic_Limit),IF(AV234&lt;&gt;"",AV234,0)&gt;AV216,MAX(AV290,AV291,AV95)&lt;IF(AV234&lt;&gt;"",AV234,0),AV284&lt;HD_Screening_Limit),"NA",IF(AND(AV284&lt;HD_Severe_Impact,AV363&lt;N_VeryLow),Conseq_VeryLow,IF(AV363&lt;N_Low,Conseq_Low,IF(AV363&lt;N_Moderate,Conseq_Moderate,IF(AV363&lt;N_High,Conseq_High,IF(AV363&lt;N_VeryHigh,Conseq_VeryHigh,Conseq_ExtremeHigh)))))))</f>
        <v>#DIV/0!</v>
      </c>
      <c r="AW366" s="83"/>
      <c r="AX366" s="2135" t="e">
        <f>IF(Conseq_Criteria="Hazard Distance",AX365,IF(OR(AND(Regulatory_Tox&lt;&gt;"Yes",ER3_Min&gt;Toxic_Limit),IF(AX234&lt;&gt;"",AX234,0)&gt;AX216,MAX(AX290,AX291,AX95)&lt;IF(AX234&lt;&gt;"",AX234,0),AX284&lt;HD_Screening_Limit),"NA",IF(AND(AX284&lt;HD_Severe_Impact,AX363&lt;N_VeryLow),Conseq_VeryLow,IF(AX363&lt;N_Low,Conseq_Low,IF(AX363&lt;N_Moderate,Conseq_Moderate,IF(AX363&lt;N_High,Conseq_High,IF(AX363&lt;N_VeryHigh,Conseq_VeryHigh,Conseq_ExtremeHigh)))))))</f>
        <v>#DIV/0!</v>
      </c>
      <c r="AY366" s="83"/>
      <c r="AZ366" s="2135" t="e">
        <f>IF(Conseq_Criteria="Hazard Distance",AZ365,IF(OR(AND(Regulatory_Tox&lt;&gt;"Yes",ER3_Min&gt;Toxic_Limit),IF(AZ234&lt;&gt;"",AZ234,0)&gt;AZ216,MAX(AZ290,AZ291,AZ95)&lt;IF(AZ234&lt;&gt;"",AZ234,0),AZ284&lt;HD_Screening_Limit),"NA",IF(AND(AZ284&lt;HD_Severe_Impact,AZ363&lt;N_VeryLow),Conseq_VeryLow,IF(AZ363&lt;N_Low,Conseq_Low,IF(AZ363&lt;N_Moderate,Conseq_Moderate,IF(AZ363&lt;N_High,Conseq_High,IF(AZ363&lt;N_VeryHigh,Conseq_VeryHigh,Conseq_ExtremeHigh)))))))</f>
        <v>#DIV/0!</v>
      </c>
      <c r="BA366" s="83"/>
      <c r="BB366" s="2135" t="e">
        <f>IF(Conseq_Criteria="Hazard Distance",BB365,IF(OR(AND(Regulatory_Tox&lt;&gt;"Yes",ER3_Min&gt;Toxic_Limit),IF(BB234&lt;&gt;"",BB234,0)&gt;BB216,MAX(BB290,BB291,BB95)&lt;IF(BB234&lt;&gt;"",BB234,0),BB284&lt;HD_Screening_Limit),"NA",IF(AND(BB284&lt;HD_Severe_Impact,BB363&lt;N_VeryLow),Conseq_VeryLow,IF(BB363&lt;N_Low,Conseq_Low,IF(BB363&lt;N_Moderate,Conseq_Moderate,IF(BB363&lt;N_High,Conseq_High,IF(BB363&lt;N_VeryHigh,Conseq_VeryHigh,Conseq_ExtremeHigh)))))))</f>
        <v>#DIV/0!</v>
      </c>
      <c r="BC366" s="83"/>
      <c r="BD366" s="2135" t="e">
        <f>IF(Conseq_Criteria="Hazard Distance",BD365,IF(OR(AND(Regulatory_Tox&lt;&gt;"Yes",ER3_Min&gt;Toxic_Limit),IF(BD234&lt;&gt;"",BD234,0)&gt;BD216,MAX(BD290,BD291,BD95)&lt;IF(BD234&lt;&gt;"",BD234,0),BD284&lt;HD_Screening_Limit),"NA",IF(AND(BD284&lt;HD_Severe_Impact,BD363&lt;N_VeryLow),Conseq_VeryLow,IF(BD363&lt;N_Low,Conseq_Low,IF(BD363&lt;N_Moderate,Conseq_Moderate,IF(BD363&lt;N_High,Conseq_High,IF(BD363&lt;N_VeryHigh,Conseq_VeryHigh,Conseq_ExtremeHigh)))))))</f>
        <v>#DIV/0!</v>
      </c>
      <c r="BE366" s="83"/>
      <c r="BF366" s="2135" t="e">
        <f>IF(Conseq_Criteria="Hazard Distance",BF365,IF(OR(AND(Regulatory_Tox&lt;&gt;"Yes",ER3_Min&gt;Toxic_Limit),IF(BF234&lt;&gt;"",BF234,0)&gt;BF216,MAX(BF290,BF291,BF95)&lt;IF(BF234&lt;&gt;"",BF234,0),BF284&lt;HD_Screening_Limit),"NA",IF(AND(BF284&lt;HD_Severe_Impact,BF363&lt;N_VeryLow),Conseq_VeryLow,IF(BF363&lt;N_Low,Conseq_Low,IF(BF363&lt;N_Moderate,Conseq_Moderate,IF(BF363&lt;N_High,Conseq_High,IF(BF363&lt;N_VeryHigh,Conseq_VeryHigh,Conseq_ExtremeHigh)))))))</f>
        <v>#DIV/0!</v>
      </c>
      <c r="BG366" s="83"/>
      <c r="BH366" s="2135" t="e">
        <f>IF(Conseq_Criteria="Hazard Distance",BH365,IF(OR(AND(Regulatory_Tox&lt;&gt;"Yes",ER3_Min&gt;Toxic_Limit),IF(BH234&lt;&gt;"",BH234,0)&gt;BH216,MAX(BH290,BH291,BH95)&lt;IF(BH234&lt;&gt;"",BH234,0),BH284&lt;HD_Screening_Limit),"NA",IF(AND(BH284&lt;HD_Severe_Impact,BH363&lt;N_VeryLow),Conseq_VeryLow,IF(BH363&lt;N_Low,Conseq_Low,IF(BH363&lt;N_Moderate,Conseq_Moderate,IF(BH363&lt;N_High,Conseq_High,IF(BH363&lt;N_VeryHigh,Conseq_VeryHigh,Conseq_ExtremeHigh)))))))</f>
        <v>#DIV/0!</v>
      </c>
      <c r="BI366" s="83"/>
      <c r="BJ366" s="2135" t="e">
        <f>IF(Conseq_Criteria="Hazard Distance",BJ365,IF(OR(AND(Regulatory_Tox&lt;&gt;"Yes",ER3_Min&gt;Toxic_Limit),IF(BJ234&lt;&gt;"",BJ234,0)&gt;BJ216,MAX(BJ290,BJ291,BJ95)&lt;IF(BJ234&lt;&gt;"",BJ234,0),BJ284&lt;HD_Screening_Limit),"NA",IF(AND(BJ284&lt;HD_Severe_Impact,BJ363&lt;N_VeryLow),Conseq_VeryLow,IF(BJ363&lt;N_Low,Conseq_Low,IF(BJ363&lt;N_Moderate,Conseq_Moderate,IF(BJ363&lt;N_High,Conseq_High,IF(BJ363&lt;N_VeryHigh,Conseq_VeryHigh,Conseq_ExtremeHigh)))))))</f>
        <v>#DIV/0!</v>
      </c>
      <c r="BK366" s="83"/>
      <c r="BL366" s="2135" t="e">
        <f>IF(Conseq_Criteria="Hazard Distance",BL365,IF(OR(AND(Regulatory_Tox&lt;&gt;"Yes",ER3_Min&gt;Toxic_Limit),IF(BL234&lt;&gt;"",BL234,0)&gt;BL216,MAX(BL290,BL291,BL95)&lt;IF(BL234&lt;&gt;"",BL234,0),BL284&lt;HD_Screening_Limit),"NA",IF(AND(BL284&lt;HD_Severe_Impact,BL363&lt;N_VeryLow),Conseq_VeryLow,IF(BL363&lt;N_Low,Conseq_Low,IF(BL363&lt;N_Moderate,Conseq_Moderate,IF(BL363&lt;N_High,Conseq_High,IF(BL363&lt;N_VeryHigh,Conseq_VeryHigh,Conseq_ExtremeHigh)))))))</f>
        <v>#DIV/0!</v>
      </c>
      <c r="BM366" s="83"/>
      <c r="BN366" s="2135" t="e">
        <f>IF(Conseq_Criteria="Hazard Distance",BN365,IF(OR(AND(Regulatory_Tox&lt;&gt;"Yes",ER3_Min&gt;Toxic_Limit),IF(BN234&lt;&gt;"",BN234,0)&gt;BN216,MAX(BN290,BN291,BN95)&lt;IF(BN234&lt;&gt;"",BN234,0),BN284&lt;HD_Screening_Limit),"NA",IF(AND(BN284&lt;HD_Severe_Impact,BN363&lt;N_VeryLow),Conseq_VeryLow,IF(BN363&lt;N_Low,Conseq_Low,IF(BN363&lt;N_Moderate,Conseq_Moderate,IF(BN363&lt;N_High,Conseq_High,IF(BN363&lt;N_VeryHigh,Conseq_VeryHigh,Conseq_ExtremeHigh)))))))</f>
        <v>#DIV/0!</v>
      </c>
      <c r="BO366" s="83"/>
      <c r="BP366" s="89"/>
      <c r="BQ366" s="83"/>
      <c r="BR366" s="81"/>
      <c r="BS366" s="81"/>
      <c r="BT366" s="81"/>
      <c r="BU366" s="81"/>
      <c r="BV366" s="81"/>
      <c r="BW366" s="81"/>
      <c r="BX366" s="81"/>
      <c r="BY366" s="81"/>
      <c r="BZ366" s="81"/>
      <c r="CA366" s="81"/>
      <c r="CB366" s="81"/>
      <c r="CC366" s="81"/>
      <c r="CD366" s="81"/>
      <c r="CE366" s="81"/>
      <c r="CF366" s="81"/>
      <c r="CG366" s="26"/>
      <c r="CH366" s="26"/>
      <c r="CI366" s="26"/>
      <c r="CJ366" s="26"/>
      <c r="CK366" s="26"/>
      <c r="CL366" s="26"/>
      <c r="CM366" s="26"/>
      <c r="CN366" s="26"/>
    </row>
    <row r="367" spans="1:92" ht="15" customHeight="1" thickBot="1" x14ac:dyDescent="0.3">
      <c r="A367" s="2"/>
      <c r="B367" s="25" t="s">
        <v>4789</v>
      </c>
      <c r="C367" s="83"/>
      <c r="D367" s="1208" t="str">
        <f>IF(OR(AND(Regulatory_Tox&lt;&gt;"Yes",ER3_Min&gt;Toxic_Limit),IF(D231&lt;&gt;"",D231,0)&gt;D219,D287&lt;HD_Screening_Limit),"NA",IF(AND(D$292&lt;&gt;"Yes",D287&lt;HD_VeryLow_OnSite),Conseq_VeryLow,IF(D287&lt;HD_Low_OnSite,Conseq_Low,IF(D287&lt;HD_Moderate_OnSite,Conseq_Moderate,IF(D287&lt;HD_High_OnSite,Conseq_High,IF(D287&lt;HD_VeryHigh_OnSite,Conseq_VeryHigh,Conseq_ExtremeHigh))))))</f>
        <v>NA</v>
      </c>
      <c r="E367" s="83"/>
      <c r="F367" s="1208" t="str">
        <f>IF(OR(AND(Regulatory_Tox&lt;&gt;"Yes",ER3_Min&gt;Toxic_Limit),IF(F231&lt;&gt;"",F231,0)&gt;F219,F287&lt;HD_Screening_Limit),"NA",IF(AND(F$292&lt;&gt;"Yes",F287&lt;HD_VeryLow_OnSite),Conseq_VeryLow,IF(F287&lt;HD_Low_OnSite,Conseq_Low,IF(F287&lt;HD_Moderate_OnSite,Conseq_Moderate,IF(F287&lt;HD_High_OnSite,Conseq_High,IF(F287&lt;HD_VeryHigh_OnSite,Conseq_VeryHigh,Conseq_ExtremeHigh))))))</f>
        <v>NA</v>
      </c>
      <c r="G367" s="83"/>
      <c r="H367" s="1208" t="str">
        <f>IF(OR(AND(Regulatory_Tox&lt;&gt;"Yes",ER3_Min&gt;Toxic_Limit),IF(H231&lt;&gt;"",H231,0)&gt;H219,H287&lt;HD_Screening_Limit),"NA",IF(AND(H$292&lt;&gt;"Yes",H287&lt;HD_VeryLow_OnSite),Conseq_VeryLow,IF(H287&lt;HD_Low_OnSite,Conseq_Low,IF(H287&lt;HD_Moderate_OnSite,Conseq_Moderate,IF(H287&lt;HD_High_OnSite,Conseq_High,IF(H287&lt;HD_VeryHigh_OnSite,Conseq_VeryHigh,Conseq_ExtremeHigh))))))</f>
        <v>NA</v>
      </c>
      <c r="I367" s="83"/>
      <c r="J367" s="1208" t="str">
        <f>IF(OR(AND(Regulatory_Tox&lt;&gt;"Yes",ER3_Min&gt;Toxic_Limit),IF(J231&lt;&gt;"",J231,0)&gt;J219,J287&lt;HD_Screening_Limit),"NA",IF(AND(J$292&lt;&gt;"Yes",J287&lt;HD_VeryLow_OnSite),Conseq_VeryLow,IF(J287&lt;HD_Low_OnSite,Conseq_Low,IF(J287&lt;HD_Moderate_OnSite,Conseq_Moderate,IF(J287&lt;HD_High_OnSite,Conseq_High,IF(J287&lt;HD_VeryHigh_OnSite,Conseq_VeryHigh,Conseq_ExtremeHigh))))))</f>
        <v>NA</v>
      </c>
      <c r="K367" s="83"/>
      <c r="L367" s="1208" t="str">
        <f>IF(OR(AND(Regulatory_Tox&lt;&gt;"Yes",ER3_Min&gt;Toxic_Limit),IF(L231&lt;&gt;"",L231,0)&gt;L219,L287&lt;HD_Screening_Limit),"NA",IF(AND(L$292&lt;&gt;"Yes",L287&lt;HD_VeryLow_OnSite),Conseq_VeryLow,IF(L287&lt;HD_Low_OnSite,Conseq_Low,IF(L287&lt;HD_Moderate_OnSite,Conseq_Moderate,IF(L287&lt;HD_High_OnSite,Conseq_High,IF(L287&lt;HD_VeryHigh_OnSite,Conseq_VeryHigh,Conseq_ExtremeHigh))))))</f>
        <v>NA</v>
      </c>
      <c r="M367" s="83"/>
      <c r="N367" s="1208" t="str">
        <f>IF(OR(AND(Regulatory_Tox&lt;&gt;"Yes",ER3_Min&gt;Toxic_Limit),IF(N231&lt;&gt;"",N231,0)&gt;N219,N287&lt;HD_Screening_Limit),"NA",IF(AND('Special Calcs'!G$164&lt;&gt;"Yes",N287&lt;HD_VeryLow_OnSite),Conseq_VeryLow,IF(N287&lt;HD_Low_OnSite,Conseq_Low,IF(N287&lt;HD_Moderate_OnSite,Conseq_Moderate,IF(N287&lt;HD_High_OnSite,Conseq_High,IF(N287&lt;HD_VeryHigh_OnSite,Conseq_VeryHigh,Conseq_ExtremeHigh))))))</f>
        <v>NA</v>
      </c>
      <c r="O367" s="83"/>
      <c r="P367" s="1208" t="str">
        <f>IF(OR(AND(Regulatory_Tox&lt;&gt;"Yes",ER3_Min&gt;Toxic_Limit),IF(P231&lt;&gt;"",P231,0)&gt;P219,P287&lt;HD_Screening_Limit),"NA",IF(AND(P$292&lt;&gt;"Yes",P287&lt;HD_VeryLow_OnSite),Conseq_VeryLow,IF(P287&lt;HD_Low_OnSite,Conseq_Low,IF(P287&lt;HD_Moderate_OnSite,Conseq_Moderate,IF(P287&lt;HD_High_OnSite,Conseq_High,IF(P287&lt;HD_VeryHigh_OnSite,Conseq_VeryHigh,Conseq_ExtremeHigh))))))</f>
        <v>NA</v>
      </c>
      <c r="Q367" s="83"/>
      <c r="R367" s="1208" t="str">
        <f>IF(OR(AND(Regulatory_Tox&lt;&gt;"Yes",ER3_Min&gt;Toxic_Limit),IF(R231&lt;&gt;"",R231,0)&gt;R219,R287&lt;HD_Screening_Limit),"NA",IF(AND(R$292&lt;&gt;"Yes",R287&lt;HD_VeryLow_OnSite),Conseq_VeryLow,IF(R287&lt;HD_Low_OnSite,Conseq_Low,IF(R287&lt;HD_Moderate_OnSite,Conseq_Moderate,IF(R287&lt;HD_High_OnSite,Conseq_High,IF(R287&lt;HD_VeryHigh_OnSite,Conseq_VeryHigh,Conseq_ExtremeHigh))))))</f>
        <v>NA</v>
      </c>
      <c r="S367" s="83"/>
      <c r="T367" s="1208" t="str">
        <f>IF(OR(AND(Regulatory_Tox&lt;&gt;"Yes",ER3_Min&gt;Toxic_Limit),IF(T231&lt;&gt;"",T231,0)&gt;T219,T287&lt;HD_Screening_Limit),"NA",IF(AND(T$292&lt;&gt;"Yes",T287&lt;HD_VeryLow_OnSite),Conseq_VeryLow,IF(T287&lt;HD_Low_OnSite,Conseq_Low,IF(T287&lt;HD_Moderate_OnSite,Conseq_Moderate,IF(T287&lt;HD_High_OnSite,Conseq_High,IF(T287&lt;HD_VeryHigh_OnSite,Conseq_VeryHigh,Conseq_ExtremeHigh))))))</f>
        <v>NA</v>
      </c>
      <c r="U367" s="83"/>
      <c r="V367" s="1208" t="str">
        <f>IF(OR(AND(Regulatory_Tox&lt;&gt;"Yes",ER3_Min&gt;Toxic_Limit),IF(V231&lt;&gt;"",V231,0)&gt;V219,V287&lt;HD_Screening_Limit),"NA",IF(AND(V$292&lt;&gt;"Yes",V287&lt;HD_VeryLow_OnSite),Conseq_VeryLow,IF(V287&lt;HD_Low_OnSite,Conseq_Low,IF(V287&lt;HD_Moderate_OnSite,Conseq_Moderate,IF(V287&lt;HD_High_OnSite,Conseq_High,IF(V287&lt;HD_VeryHigh_OnSite,Conseq_VeryHigh,Conseq_ExtremeHigh))))))</f>
        <v>NA</v>
      </c>
      <c r="W367" s="83"/>
      <c r="X367" s="1208" t="str">
        <f>IF(OR(AND(Regulatory_Tox&lt;&gt;"Yes",ER3_Min&gt;Toxic_Limit),IF(X231&lt;&gt;"",X231,0)&gt;X219,X287&lt;HD_Screening_Limit),"NA",IF(AND(X$292&lt;&gt;"Yes",X287&lt;HD_VeryLow_OnSite),Conseq_VeryLow,IF(X287&lt;HD_Low_OnSite,Conseq_Low,IF(X287&lt;HD_Moderate_OnSite,Conseq_Moderate,IF(X287&lt;HD_High_OnSite,Conseq_High,IF(X287&lt;HD_VeryHigh_OnSite,Conseq_VeryHigh,Conseq_ExtremeHigh))))))</f>
        <v>NA</v>
      </c>
      <c r="Y367" s="83"/>
      <c r="Z367" s="91"/>
      <c r="AA367" s="83"/>
      <c r="AB367" s="81"/>
      <c r="AC367" s="23" t="s">
        <v>3632</v>
      </c>
      <c r="AD367" s="81"/>
      <c r="AE367" s="1206">
        <f>IF(Zone_1&lt;Public,IF(AC222="Instantaneous",Dispersion_R,Dispersion_M)*(MAX(AE364,(AE109-MIN(AE109,WorkArea_Elevation))*Dispersion_N^0.5,Public)^2-MAX((AE109-MIN(AE109,WorkArea_Elevation))*Dispersion_N^0.5,Public)^2)+2*(MAX(AE364,(AE109-MIN(AE109,WorkArea_Elevation))*Dispersion_N^0.5,Public)-MAX((AE109-MIN(AE109,WorkArea_Elevation))*Dispersion_N^0.5,Public))*(AE$55/3.142)^0.5,IF(AC222="Instantaneous",Dispersion_R,Dispersion_M)*(MAX(AE364,Zone_1)^2-Zone_1^2)+2*(MAX(AE364,Zone_1)-Zone_1)*(AE$55/3.142)^0.5)</f>
        <v>3.0000000000000005E-3</v>
      </c>
      <c r="AF367" s="81"/>
      <c r="AG367" s="1206">
        <f>IF(Zone_1&lt;Public,IF(AE222="Instantaneous",Dispersion_R,Dispersion_M)*(MAX(AG364,(AG109-MIN(AG109,WorkArea_Elevation))*Dispersion_N^0.5,Public)^2-MAX((AG109-MIN(AG109,WorkArea_Elevation))*Dispersion_N^0.5,Public)^2)+2*(MAX(AG364,(AG109-MIN(AG109,WorkArea_Elevation))*Dispersion_N^0.5,Public)-MAX((AG109-MIN(AG109,WorkArea_Elevation))*Dispersion_N^0.5,Public))*(AG$55/3.142)^0.5,IF(AE222="Instantaneous",Dispersion_R,Dispersion_M)*(MAX(AG364,Zone_1)^2-Zone_1^2)+2*(MAX(AG364,Zone_1)-Zone_1)*(AG$55/3.142)^0.5)</f>
        <v>3.0000000000000005E-3</v>
      </c>
      <c r="AH367" s="81"/>
      <c r="AI367" s="1206">
        <f>IF(Zone_1&lt;Public,IF(AI221="Instantaneous",Dispersion_R,Dispersion_M)*(MAX(AI364,(AI109-MIN(AI109,WorkArea_Elevation))*Dispersion_N^0.5,Public)^2-MAX((AI109-MIN(AI109,WorkArea_Elevation))*Dispersion_N^0.5,Public)^2)+2*(MAX(AI364,(AI109-MIN(AI109,WorkArea_Elevation))*Dispersion_N^0.5,Public)-MAX((AI109-MIN(AI109,WorkArea_Elevation))*Dispersion_N^0.5,Public))*(AI$55/3.142)^0.5,IF(AI221="Instantaneous",Dispersion_R,Dispersion_M)*(MAX(AI364,Zone_1)^2-Zone_1^2)+2*(MAX(AI364,Zone_1)-Zone_1)*(AI$55/3.142)^0.5)</f>
        <v>3.0000000000000005E-3</v>
      </c>
      <c r="AJ367" s="81"/>
      <c r="AK367" s="1206">
        <f>IF(Zone_1&lt;Public,IF(AK221="Instantaneous",Dispersion_R,Dispersion_M)*(MAX(AK364,(AK109-MIN(AK109,WorkArea_Elevation))*Dispersion_N^0.5,Public)^2-MAX((AK109-MIN(AK109,WorkArea_Elevation))*Dispersion_N^0.5,Public)^2)+2*(MAX(AK364,(AK109-MIN(AK109,WorkArea_Elevation))*Dispersion_N^0.5,Public)-MAX((AK109-MIN(AK109,WorkArea_Elevation))*Dispersion_N^0.5,Public))*(AK$55/3.142)^0.5,IF(AK221="Instantaneous",Dispersion_R,Dispersion_M)*(MAX(AK364,Zone_1)^2-Zone_1^2)+2*(MAX(AK364,Zone_1)-Zone_1)*(AK$55/3.142)^0.5)</f>
        <v>3.0000000000000005E-3</v>
      </c>
      <c r="AL367" s="81"/>
      <c r="AM367" s="1206">
        <f>IF(Zone_1&lt;Public,IF(AM221="Instantaneous",Dispersion_R,Dispersion_M)*(MAX(AM364,(AM109-MIN(AM109,WorkArea_Elevation))*Dispersion_N^0.5,Public)^2-MAX((AM109-MIN(AM109,WorkArea_Elevation))*Dispersion_N^0.5,Public)^2)+2*(MAX(AM364,(AM109-MIN(AM109,WorkArea_Elevation))*Dispersion_N^0.5,Public)-MAX((AM109-MIN(AM109,WorkArea_Elevation))*Dispersion_N^0.5,Public))*(AM$55/3.142)^0.5,IF(AM221="Instantaneous",Dispersion_R,Dispersion_M)*(MAX(AM364,Zone_1)^2-Zone_1^2)+2*(MAX(AM364,Zone_1)-Zone_1)*(AM$55/3.142)^0.5)</f>
        <v>3.0000000000000005E-3</v>
      </c>
      <c r="AN367" s="81"/>
      <c r="AO367" s="1206">
        <f>IF(Zone_1&lt;Public,IF(AO221="Instantaneous",Dispersion_R,Dispersion_M)*(MAX(AO364,(AO109-MIN(AO109,WorkArea_Elevation))*Dispersion_N^0.5,Public)^2-MAX((AO109-MIN(AO109,WorkArea_Elevation))*Dispersion_N^0.5,Public)^2)+2*(MAX(AO364,(AO109-MIN(AO109,WorkArea_Elevation))*Dispersion_N^0.5,Public)-MAX((AO109-MIN(AO109,WorkArea_Elevation))*Dispersion_N^0.5,Public))*(AO$55/3.142)^0.5,IF(AO221="Instantaneous",Dispersion_R,Dispersion_M)*(MAX(AO364,Zone_1)^2-Zone_1^2)+2*(MAX(AO364,Zone_1)-Zone_1)*(AO$55/3.142)^0.5)</f>
        <v>3.0000000000000005E-3</v>
      </c>
      <c r="AP367" s="81"/>
      <c r="AQ367" s="85" t="s">
        <v>3804</v>
      </c>
      <c r="AR367" s="81"/>
      <c r="AS367" s="83"/>
      <c r="AT367" s="23" t="s">
        <v>4723</v>
      </c>
      <c r="AU367" s="83"/>
      <c r="AV367" s="3013">
        <f>IF(AV302="No",IF(AV303="No",0,IF(AV279&gt;1000000*(0.21-Asp_Limit)/0.21,1,AV298*0.21/(1000000*(0.21-Asp_Limit)))),IF(AV258=0,0,MIN(1,AV298/AV258)))</f>
        <v>0</v>
      </c>
      <c r="AW367" s="83"/>
      <c r="AX367" s="3013">
        <f>IF(AX302="No",IF(AX303="No",0,IF(AX279&gt;1000000*(0.21-Asp_Limit)/0.21,1,AX298*0.21/(1000000*(0.21-Asp_Limit)))),IF(AX258=0,0,MIN(1,AX298/AX258)))</f>
        <v>0</v>
      </c>
      <c r="AY367" s="83"/>
      <c r="AZ367" s="3013">
        <f>IF(AZ302="No",IF(AZ303="No",0,IF(AZ279&gt;1000000*(0.21-Asp_Limit)/0.21,1,AZ298*0.21/(1000000*(0.21-Asp_Limit)))),IF(AZ258=0,0,MIN(1,AZ298/AZ258)))</f>
        <v>0</v>
      </c>
      <c r="BA367" s="83"/>
      <c r="BB367" s="3013">
        <f>IF(BB302="No",IF(BB303="No",0,IF(BB279&gt;1000000*(0.21-Asp_Limit)/0.21,1,BB298*0.21/(1000000*(0.21-Asp_Limit)))),IF(BB258=0,0,MIN(1,BB298/BB258)))</f>
        <v>0</v>
      </c>
      <c r="BC367" s="83"/>
      <c r="BD367" s="3013">
        <f>IF(BD302="No",IF(BD303="No",0,IF(BD279&gt;1000000*(0.21-Asp_Limit)/0.21,1,BD298*0.21/(1000000*(0.21-Asp_Limit)))),IF(BD258=0,0,MIN(1,BD298/BD258)))</f>
        <v>0</v>
      </c>
      <c r="BE367" s="83"/>
      <c r="BF367" s="3013">
        <f>IF(BF302="No",IF(BF303="No",0,IF(BF279&gt;1000000*(0.21-Asp_Limit)/0.21,1,BF298*0.21/(1000000*(0.21-Asp_Limit)))),IF(BF258=0,0,MIN(1,BF298/BF258)))</f>
        <v>0</v>
      </c>
      <c r="BG367" s="83"/>
      <c r="BH367" s="3013">
        <f>IF(BH302="No",IF(BH303="No",0,IF(BH279&gt;1000000*(0.21-Asp_Limit)/0.21,1,BH298*0.21/(1000000*(0.21-Asp_Limit)))),IF(BH258=0,0,MIN(1,BH298/BH258)))</f>
        <v>0</v>
      </c>
      <c r="BI367" s="83"/>
      <c r="BJ367" s="3013">
        <f>IF(BJ302="No",IF(BJ303="No",0,IF(BJ279&gt;1000000*(0.21-Asp_Limit)/0.21,1,BJ298*0.21/(1000000*(0.21-Asp_Limit)))),IF(BJ258=0,0,MIN(1,BJ298/BJ258)))</f>
        <v>0</v>
      </c>
      <c r="BK367" s="83"/>
      <c r="BL367" s="3013">
        <f>IF(BL302="No",IF(BL303="No",0,IF(BL279&gt;1000000*(0.21-Asp_Limit)/0.21,1,BL298*0.21/(1000000*(0.21-Asp_Limit)))),IF(BL258=0,0,MIN(1,BL298/BL258)))</f>
        <v>0</v>
      </c>
      <c r="BM367" s="83"/>
      <c r="BN367" s="3013">
        <f>IF(BN302="No",IF(BN303="No",0,IF(BN279&gt;1000000*(0.21-Asp_Limit)/0.21,1,BN298*0.21/(1000000*(0.21-Asp_Limit)))),IF(BN258=0,0,MIN(1,BN298/BN258)))</f>
        <v>0</v>
      </c>
      <c r="BO367" s="83"/>
      <c r="BP367" s="84"/>
      <c r="BQ367" s="83"/>
      <c r="BR367" s="81"/>
      <c r="BS367" s="82" t="s">
        <v>610</v>
      </c>
      <c r="BT367" s="81"/>
      <c r="BU367" s="81"/>
      <c r="BV367" s="81"/>
      <c r="BW367" s="81"/>
      <c r="BX367" s="81"/>
      <c r="BY367" s="81"/>
      <c r="BZ367" s="81"/>
      <c r="CA367" s="81"/>
      <c r="CB367" s="81"/>
      <c r="CC367" s="81"/>
      <c r="CD367" s="81"/>
      <c r="CE367" s="81"/>
      <c r="CF367" s="81"/>
      <c r="CG367" s="26"/>
      <c r="CH367" s="26"/>
      <c r="CI367" s="26"/>
      <c r="CJ367" s="26"/>
      <c r="CK367" s="26"/>
      <c r="CL367" s="26"/>
      <c r="CM367" s="26"/>
      <c r="CN367" s="26"/>
    </row>
    <row r="368" spans="1:92" ht="15" customHeight="1" thickBot="1" x14ac:dyDescent="0.3">
      <c r="A368" s="2"/>
      <c r="B368" s="25" t="s">
        <v>4224</v>
      </c>
      <c r="C368" s="83"/>
      <c r="D368" s="3012" t="str">
        <f>IF(Conseq_Criteria="Hazard Distance",D367,IF(OR(AND(Regulatory_Tox&lt;&gt;"Yes",ER3_Min&gt;Toxic_Limit),IF(D231&lt;&gt;"",D231,0)&gt;D219,D287&lt;HD_Screening_Limit),"NA",IF(AND(D287&lt;HD_Severe_Impact,D365&lt;N_VeryLow),Conseq_VeryLow,IF(D365&lt;N_Low,Conseq_Low,IF(D365&lt;N_Moderate,Conseq_Moderate,IF(D365&lt;N_High,Conseq_High,IF(D365&lt;N_VeryHigh,Conseq_VeryHigh,Conseq_ExtremeHigh)))))))</f>
        <v>NA</v>
      </c>
      <c r="E368" s="83"/>
      <c r="F368" s="3012" t="str">
        <f>IF(Conseq_Criteria="Hazard Distance",F367,IF(OR(AND(Regulatory_Tox&lt;&gt;"Yes",ER3_Min&gt;Toxic_Limit),IF(F231&lt;&gt;"",F231,0)&gt;F219,F287&lt;HD_Screening_Limit),"NA",IF(AND(F287&lt;HD_Severe_Impact,F365&lt;N_VeryLow),Conseq_VeryLow,IF(F365&lt;N_Low,Conseq_Low,IF(F365&lt;N_Moderate,Conseq_Moderate,IF(F365&lt;N_High,Conseq_High,IF(F365&lt;N_VeryHigh,Conseq_VeryHigh,Conseq_ExtremeHigh)))))))</f>
        <v>NA</v>
      </c>
      <c r="G368" s="83"/>
      <c r="H368" s="3012" t="str">
        <f>IF(Conseq_Criteria="Hazard Distance",H367,IF(OR(AND(Regulatory_Tox&lt;&gt;"Yes",ER3_Min&gt;Toxic_Limit),IF(H231&lt;&gt;"",H231,0)&gt;H219,H287&lt;HD_Screening_Limit),"NA",IF(AND(H287&lt;HD_Severe_Impact,H365&lt;N_VeryLow),Conseq_VeryLow,IF(H365&lt;N_Low,Conseq_Low,IF(H365&lt;N_Moderate,Conseq_Moderate,IF(H365&lt;N_High,Conseq_High,IF(H365&lt;N_VeryHigh,Conseq_VeryHigh,Conseq_ExtremeHigh)))))))</f>
        <v>NA</v>
      </c>
      <c r="I368" s="83"/>
      <c r="J368" s="3012" t="str">
        <f>IF(Conseq_Criteria="Hazard Distance",J367,IF(OR(AND(Regulatory_Tox&lt;&gt;"Yes",ER3_Min&gt;Toxic_Limit),IF(J231&lt;&gt;"",J231,0)&gt;J219,J287&lt;HD_Screening_Limit),"NA",IF(AND(J287&lt;HD_Severe_Impact,J365&lt;N_VeryLow),Conseq_VeryLow,IF(J365&lt;N_Low,Conseq_Low,IF(J365&lt;N_Moderate,Conseq_Moderate,IF(J365&lt;N_High,Conseq_High,IF(J365&lt;N_VeryHigh,Conseq_VeryHigh,Conseq_ExtremeHigh)))))))</f>
        <v>NA</v>
      </c>
      <c r="K368" s="83"/>
      <c r="L368" s="3012" t="str">
        <f>IF(Conseq_Criteria="Hazard Distance",L367,IF(OR(AND(Regulatory_Tox&lt;&gt;"Yes",ER3_Min&gt;Toxic_Limit),IF(L231&lt;&gt;"",L231,0)&gt;L219,L287&lt;HD_Screening_Limit),"NA",IF(AND(L287&lt;HD_Severe_Impact,L365&lt;N_VeryLow),Conseq_VeryLow,IF(L365&lt;N_Low,Conseq_Low,IF(L365&lt;N_Moderate,Conseq_Moderate,IF(L365&lt;N_High,Conseq_High,IF(L365&lt;N_VeryHigh,Conseq_VeryHigh,Conseq_ExtremeHigh)))))))</f>
        <v>NA</v>
      </c>
      <c r="M368" s="83"/>
      <c r="N368" s="3012" t="str">
        <f>IF(Conseq_Criteria="Hazard Distance",N367,IF(OR(AND(Regulatory_Tox&lt;&gt;"Yes",ER3_Min&gt;Toxic_Limit),IF(N231&lt;&gt;"",N231,0)&gt;N219,N287&lt;HD_Screening_Limit),"NA",IF(AND(N287&lt;HD_Severe_Impact,N365&lt;N_VeryLow),Conseq_VeryLow,IF(N365&lt;N_Low,Conseq_Low,IF(N365&lt;N_Moderate,Conseq_Moderate,IF(N365&lt;N_High,Conseq_High,IF(N365&lt;N_VeryHigh,Conseq_VeryHigh,Conseq_ExtremeHigh)))))))</f>
        <v>NA</v>
      </c>
      <c r="O368" s="83"/>
      <c r="P368" s="3012" t="str">
        <f>IF(Conseq_Criteria="Hazard Distance",P367,IF(OR(AND(Regulatory_Tox&lt;&gt;"Yes",ER3_Min&gt;Toxic_Limit),IF(P231&lt;&gt;"",P231,0)&gt;P219,P287&lt;HD_Screening_Limit),"NA",IF(AND(P287&lt;HD_Severe_Impact,P365&lt;N_VeryLow),Conseq_VeryLow,IF(P365&lt;N_Low,Conseq_Low,IF(P365&lt;N_Moderate,Conseq_Moderate,IF(P365&lt;N_High,Conseq_High,IF(P365&lt;N_VeryHigh,Conseq_VeryHigh,Conseq_ExtremeHigh)))))))</f>
        <v>NA</v>
      </c>
      <c r="Q368" s="83"/>
      <c r="R368" s="3012" t="str">
        <f>IF(Conseq_Criteria="Hazard Distance",R367,IF(OR(AND(Regulatory_Tox&lt;&gt;"Yes",ER3_Min&gt;Toxic_Limit),IF(R231&lt;&gt;"",R231,0)&gt;R219,R287&lt;HD_Screening_Limit),"NA",IF(AND(R287&lt;HD_Severe_Impact,R365&lt;N_VeryLow),Conseq_VeryLow,IF(R365&lt;N_Low,Conseq_Low,IF(R365&lt;N_Moderate,Conseq_Moderate,IF(R365&lt;N_High,Conseq_High,IF(R365&lt;N_VeryHigh,Conseq_VeryHigh,Conseq_ExtremeHigh)))))))</f>
        <v>NA</v>
      </c>
      <c r="S368" s="83"/>
      <c r="T368" s="3012" t="str">
        <f>IF(Conseq_Criteria="Hazard Distance",T367,IF(OR(AND(Regulatory_Tox&lt;&gt;"Yes",ER3_Min&gt;Toxic_Limit),IF(T231&lt;&gt;"",T231,0)&gt;T219,T287&lt;HD_Screening_Limit),"NA",IF(AND(T287&lt;HD_Severe_Impact,T365&lt;N_VeryLow),Conseq_VeryLow,IF(T365&lt;N_Low,Conseq_Low,IF(T365&lt;N_Moderate,Conseq_Moderate,IF(T365&lt;N_High,Conseq_High,IF(T365&lt;N_VeryHigh,Conseq_VeryHigh,Conseq_ExtremeHigh)))))))</f>
        <v>NA</v>
      </c>
      <c r="U368" s="83"/>
      <c r="V368" s="3012" t="str">
        <f>IF(Conseq_Criteria="Hazard Distance",V367,IF(OR(AND(Regulatory_Tox&lt;&gt;"Yes",ER3_Min&gt;Toxic_Limit),IF(V231&lt;&gt;"",V231,0)&gt;V219,V287&lt;HD_Screening_Limit),"NA",IF(AND(V287&lt;HD_Severe_Impact,V365&lt;N_VeryLow),Conseq_VeryLow,IF(V365&lt;N_Low,Conseq_Low,IF(V365&lt;N_Moderate,Conseq_Moderate,IF(V365&lt;N_High,Conseq_High,IF(V365&lt;N_VeryHigh,Conseq_VeryHigh,Conseq_ExtremeHigh)))))))</f>
        <v>NA</v>
      </c>
      <c r="W368" s="83"/>
      <c r="X368" s="3012" t="str">
        <f>IF(Conseq_Criteria="Hazard Distance",X367,IF(OR(AND(Regulatory_Tox&lt;&gt;"Yes",ER3_Min&gt;Toxic_Limit),IF(X231&lt;&gt;"",X231,0)&gt;X219,X287&lt;HD_Screening_Limit),"NA",IF(AND(X287&lt;HD_Severe_Impact,X365&lt;N_VeryLow),Conseq_VeryLow,IF(X365&lt;N_Low,Conseq_Low,IF(X365&lt;N_Moderate,Conseq_Moderate,IF(X365&lt;N_High,Conseq_High,IF(X365&lt;N_VeryHigh,Conseq_VeryHigh,Conseq_ExtremeHigh)))))))</f>
        <v>NA</v>
      </c>
      <c r="Y368" s="83"/>
      <c r="Z368" s="104"/>
      <c r="AA368" s="83"/>
      <c r="AB368" s="81"/>
      <c r="AC368" s="23" t="s">
        <v>3633</v>
      </c>
      <c r="AD368" s="81"/>
      <c r="AE368" s="1206">
        <f>IF(OR(AE$292=0,AE$286=""),0,IF(Zone_1&lt;MAX((AE109-MIN(AE109,WorkArea_Elevation))*Dispersion_N^0.5,Public),IF(AC222="Instantaneous",Dispersion_R,Dispersion_M)*AE$286^(2*IF(AC222="Instantaneous",AE$219,AE$193))*AE$303^2*(0-EXP(AE$291+AE$292*MAX(AE364,(AE109-MIN(AE109,WorkArea_Elevation))*Dispersion_N^0.5,Public)^2/(AE$286^(2*IF(AC222="Instantaneous",AE$219,AE$193))*AE$303^2)))/AE$292,IF(AC222="Instantaneous",Dispersion_R,Dispersion_M)*AE$286^(2*IF(AC222="Instantaneous",AE$219,AE$193))*AE$303^2*(0-EXP(AE$291+AE$292*MAX(AE364,Zone_1)^2/(AE$286^(2*IF(AC222="Instantaneous",AE$219,AE$193))*AE$303^2)))/AE$292))</f>
        <v>0</v>
      </c>
      <c r="AF368" s="81"/>
      <c r="AG368" s="1206">
        <f>IF(OR(AG$292=0,AG$286=""),0,IF(Zone_1&lt;MAX((AG109-MIN(AG109,WorkArea_Elevation))*Dispersion_N^0.5,Public),IF(AE222="Instantaneous",Dispersion_R,Dispersion_M)*AG$286^(2*IF(AE222="Instantaneous",AG$219,AG$193))*AG$303^2*(0-EXP(AG$291+AG$292*MAX(AG364,(AG109-MIN(AG109,WorkArea_Elevation))*Dispersion_N^0.5,Public)^2/(AG$286^(2*IF(AE222="Instantaneous",AG$219,AG$193))*AG$303^2)))/AG$292,IF(AE222="Instantaneous",Dispersion_R,Dispersion_M)*AG$286^(2*IF(AE222="Instantaneous",AG$219,AG$193))*AG$303^2*(0-EXP(AG$291+AG$292*MAX(AG364,Zone_1)^2/(AG$286^(2*IF(AE222="Instantaneous",AG$219,AG$193))*AG$303^2)))/AG$292))</f>
        <v>0</v>
      </c>
      <c r="AH368" s="81"/>
      <c r="AI368" s="1206">
        <f>IF(OR(AI$292=0,AI$286=""),0,IF(Zone_1&lt;MAX((AI109-MIN(AI109,WorkArea_Elevation))*Dispersion_N^0.5,Public),IF(AI221="Instantaneous",Dispersion_R,Dispersion_M)*AI$286^(2*IF(AI221="Instantaneous",AI$219,AI$193))*AI$303^2*(0-EXP(AI$291+AI$292*MAX(AI364,(AI109-MIN(AI109,WorkArea_Elevation))*Dispersion_N^0.5,Public)^2/(AI$286^(2*IF(AI221="Instantaneous",AI$219,AI$193))*AI$303^2)))/AI$292,IF(AI221="Instantaneous",Dispersion_R,Dispersion_M)*AI$286^(2*IF(AI221="Instantaneous",AI$219,AI$193))*AI$303^2*(0-EXP(AI$291+AI$292*MAX(AI364,Zone_1)^2/(AI$286^(2*IF(AI221="Instantaneous",AI$219,AI$193))*AI$303^2)))/AI$292))</f>
        <v>0</v>
      </c>
      <c r="AJ368" s="81"/>
      <c r="AK368" s="1206">
        <f>IF(OR(AK$292=0,AK$286=""),0,IF(Zone_1&lt;MAX((AK109-MIN(AK109,WorkArea_Elevation))*Dispersion_N^0.5,Public),IF(AK221="Instantaneous",Dispersion_R,Dispersion_M)*AK$286^(2*IF(AK221="Instantaneous",AK$219,AK$193))*AK$303^2*(0-EXP(AK$291+AK$292*MAX(AK364,(AK109-MIN(AK109,WorkArea_Elevation))*Dispersion_N^0.5,Public)^2/(AK$286^(2*IF(AK221="Instantaneous",AK$219,AK$193))*AK$303^2)))/AK$292,IF(AK221="Instantaneous",Dispersion_R,Dispersion_M)*AK$286^(2*IF(AK221="Instantaneous",AK$219,AK$193))*AK$303^2*(0-EXP(AK$291+AK$292*MAX(AK364,Zone_1)^2/(AK$286^(2*IF(AK221="Instantaneous",AK$219,AK$193))*AK$303^2)))/AK$292))</f>
        <v>0</v>
      </c>
      <c r="AL368" s="81"/>
      <c r="AM368" s="1206">
        <f>IF(OR(AM$292=0,AM$286=""),0,IF(Zone_1&lt;MAX((AM109-MIN(AM109,WorkArea_Elevation))*Dispersion_N^0.5,Public),IF(AM221="Instantaneous",Dispersion_R,Dispersion_M)*AM$286^(2*IF(AM221="Instantaneous",AM$219,AM$193))*AM$303^2*(0-EXP(AM$291+AM$292*MAX(AM364,(AM109-MIN(AM109,WorkArea_Elevation))*Dispersion_N^0.5,Public)^2/(AM$286^(2*IF(AM221="Instantaneous",AM$219,AM$193))*AM$303^2)))/AM$292,IF(AM221="Instantaneous",Dispersion_R,Dispersion_M)*AM$286^(2*IF(AM221="Instantaneous",AM$219,AM$193))*AM$303^2*(0-EXP(AM$291+AM$292*MAX(AM364,Zone_1)^2/(AM$286^(2*IF(AM221="Instantaneous",AM$219,AM$193))*AM$303^2)))/AM$292))</f>
        <v>0</v>
      </c>
      <c r="AN368" s="81"/>
      <c r="AO368" s="1206">
        <f>IF(OR(AO$292=0,AO$286=""),0,IF(Zone_1&lt;MAX((AO109-MIN(AO109,WorkArea_Elevation))*Dispersion_N^0.5,Public),IF(AO221="Instantaneous",Dispersion_R,Dispersion_M)*AO$286^(2*IF(AO221="Instantaneous",AO$219,AO$193))*AO$303^2*(0-EXP(AO$291+AO$292*MAX(AO364,(AO109-MIN(AO109,WorkArea_Elevation))*Dispersion_N^0.5,Public)^2/(AO$286^(2*IF(AO221="Instantaneous",AO$219,AO$193))*AO$303^2)))/AO$292,IF(AO221="Instantaneous",Dispersion_R,Dispersion_M)*AO$286^(2*IF(AO221="Instantaneous",AO$219,AO$193))*AO$303^2*(0-EXP(AO$291+AO$292*MAX(AO364,Zone_1)^2/(AO$286^(2*IF(AO221="Instantaneous",AO$219,AO$193))*AO$303^2)))/AO$292))</f>
        <v>0</v>
      </c>
      <c r="AP368" s="81"/>
      <c r="AQ368" s="85" t="s">
        <v>3804</v>
      </c>
      <c r="AR368" s="81"/>
      <c r="AS368" s="83"/>
      <c r="AT368" s="23" t="s">
        <v>1054</v>
      </c>
      <c r="AU368" s="83"/>
      <c r="AV368" s="1861">
        <f>Op_Indoors*AV367+IF(AND(AV$289="Yes",OR(AV302="Yes",AV303="Yes")),1,0)</f>
        <v>0</v>
      </c>
      <c r="AW368" s="83"/>
      <c r="AX368" s="1861">
        <f>Op_Indoors*AX367+IF(AND(AX$289="Yes",OR(AX302="Yes",AX303="Yes")),1,0)</f>
        <v>0</v>
      </c>
      <c r="AY368" s="83"/>
      <c r="AZ368" s="1861">
        <f>Op_Indoors*AZ367+IF(AND(AZ$289="Yes",OR(AZ302="Yes",AZ303="Yes")),1,0)</f>
        <v>0</v>
      </c>
      <c r="BA368" s="83"/>
      <c r="BB368" s="1861">
        <f>Op_Indoors*BB367+IF(AND(BB$289="Yes",OR(BB302="Yes",BB303="Yes")),1,0)</f>
        <v>0</v>
      </c>
      <c r="BC368" s="83"/>
      <c r="BD368" s="1861">
        <f>Op_Indoors*BD367+IF(AND(BD$289="Yes",OR(BD302="Yes",BD303="Yes")),1,0)</f>
        <v>0</v>
      </c>
      <c r="BE368" s="83"/>
      <c r="BF368" s="1861">
        <f>Op_Indoors*BF367+IF(AND(BF$289="Yes",OR(BF302="Yes",BF303="Yes")),1,0)</f>
        <v>0</v>
      </c>
      <c r="BG368" s="83"/>
      <c r="BH368" s="1861">
        <f>Op_Indoors*BH367+IF(AND(BH$289="Yes",OR(BH302="Yes",BH303="Yes")),1,0)</f>
        <v>0</v>
      </c>
      <c r="BI368" s="83"/>
      <c r="BJ368" s="1861">
        <f>Op_Indoors*BJ367+IF(AND(BJ$289="Yes",OR(BJ302="Yes",BJ303="Yes")),1,0)</f>
        <v>0</v>
      </c>
      <c r="BK368" s="83"/>
      <c r="BL368" s="1861">
        <f>Op_Indoors*BL367+IF(AND(BL$289="Yes",OR(BL302="Yes",BL303="Yes")),1,0)</f>
        <v>0</v>
      </c>
      <c r="BM368" s="83"/>
      <c r="BN368" s="1861">
        <f>Op_Indoors*BN367+IF(AND(BN$289="Yes",OR(BN302="Yes",BN303="Yes")),1,0)</f>
        <v>0</v>
      </c>
      <c r="BO368" s="83"/>
      <c r="BP368" s="23"/>
      <c r="BQ368" s="83"/>
      <c r="BR368" s="81"/>
      <c r="BS368" s="85" t="s">
        <v>4222</v>
      </c>
      <c r="BT368" s="81"/>
      <c r="BU368" s="3024" t="str">
        <f>IF(OR(Regulatory_Tox="Yes",AND(ER3_Min&lt;=Toxic_Limit,BU284="Yes")),IF(Conseq_Criteria="Hazard Distance",BU392,BU393),"NA")</f>
        <v>NA</v>
      </c>
      <c r="BV368" s="81"/>
      <c r="BW368" s="3024" t="str">
        <f>IF(OR(Regulatory_Tox="Yes",AND(ER3_Min&lt;=Toxic_Limit,BW284="Yes")),IF(Conseq_Criteria="Hazard Distance",BW392,BW393),"NA")</f>
        <v>NA</v>
      </c>
      <c r="BX368" s="81"/>
      <c r="BY368" s="3024" t="str">
        <f>IF(OR(Regulatory_Tox="Yes",AND(ER3_Min&lt;=Toxic_Limit,BY284="Yes")),IF(Conseq_Criteria="Hazard Distance",BY392,BY393),"NA")</f>
        <v>NA</v>
      </c>
      <c r="BZ368" s="81"/>
      <c r="CA368" s="3024" t="str">
        <f>IF(OR(Regulatory_Tox="Yes",AND(ER3_Min&lt;=Toxic_Limit,CA284="Yes")),IF(Conseq_Criteria="Hazard Distance",CA392,CA393),"NA")</f>
        <v>NA</v>
      </c>
      <c r="CB368" s="81"/>
      <c r="CC368" s="3024" t="str">
        <f>IF(OR(Regulatory_Tox="Yes",AND(ER3_Min&lt;=Toxic_Limit,CC284="Yes")),IF(Conseq_Criteria="Hazard Distance",CC392,CC393),"NA")</f>
        <v>NA</v>
      </c>
      <c r="CD368" s="81"/>
      <c r="CE368" s="23"/>
      <c r="CF368" s="81"/>
      <c r="CG368" s="26"/>
      <c r="CH368" s="26"/>
      <c r="CI368" s="26"/>
      <c r="CJ368" s="26"/>
      <c r="CK368" s="26"/>
      <c r="CL368" s="26"/>
      <c r="CM368" s="26"/>
      <c r="CN368" s="26"/>
    </row>
    <row r="369" spans="1:92" ht="15" customHeight="1" x14ac:dyDescent="0.25">
      <c r="A369" s="2"/>
      <c r="B369" s="23" t="s">
        <v>4723</v>
      </c>
      <c r="C369" s="83"/>
      <c r="D369" s="3013">
        <f>IF(D304="No",IF(D305="No",0,IF(D300&gt;1000000*(0.21-Asp_Limit)/0.21,1,D300*0.21/(1000000*(0.21-Asp_Limit)))),IF(D261=0,0,MIN(1,D300/D261)))</f>
        <v>0</v>
      </c>
      <c r="E369" s="83"/>
      <c r="F369" s="3013">
        <f>IF(F304="No",IF(F305="No",0,IF(F300&gt;1000000*(0.21-Asp_Limit)/0.21,1,F300*0.21/(1000000*(0.21-Asp_Limit)))),IF(F261=0,0,MIN(1,F300/F261)))</f>
        <v>0</v>
      </c>
      <c r="G369" s="83"/>
      <c r="H369" s="3013">
        <f>IF(H304="No",IF(H305="No",0,IF(H300&gt;1000000*(0.21-Asp_Limit)/0.21,1,H300*0.21/(1000000*(0.21-Asp_Limit)))),IF(H261=0,0,MIN(1,H300/H261)))</f>
        <v>0</v>
      </c>
      <c r="I369" s="83"/>
      <c r="J369" s="3013">
        <f>IF(J304="No",IF(J305="No",0,IF(J300&gt;1000000*(0.21-Asp_Limit)/0.21,1,J300*0.21/(1000000*(0.21-Asp_Limit)))),IF(J261=0,0,MIN(1,J300/J261)))</f>
        <v>0</v>
      </c>
      <c r="K369" s="83"/>
      <c r="L369" s="3013">
        <f>IF(L304="No",IF(L305="No",0,IF(L300&gt;1000000*(0.21-Asp_Limit)/0.21,1,L300*0.21/(1000000*(0.21-Asp_Limit)))),IF(L261=0,0,MIN(1,L300/L261)))</f>
        <v>0</v>
      </c>
      <c r="M369" s="83"/>
      <c r="N369" s="3013">
        <f>IF(N304="No",IF(N305="No",0,IF(N300&gt;1000000*(0.21-Asp_Limit)/0.21,1,N300*0.21/(1000000*(0.21-Asp_Limit)))),IF(N261=0,0,MIN(1,N300/N261)))</f>
        <v>0</v>
      </c>
      <c r="O369" s="83"/>
      <c r="P369" s="3013">
        <f>IF(P304="No",IF(P305="No",0,IF(P300&gt;1000000*(0.21-Asp_Limit)/0.21,1,P300*0.21/(1000000*(0.21-Asp_Limit)))),IF(P261=0,0,MIN(1,P300/P261)))</f>
        <v>0</v>
      </c>
      <c r="Q369" s="83"/>
      <c r="R369" s="3013">
        <f>IF(R304="No",IF(R305="No",0,IF(R300&gt;1000000*(0.21-Asp_Limit)/0.21,1,R300*0.21/(1000000*(0.21-Asp_Limit)))),IF(R261=0,0,MIN(1,R300/R261)))</f>
        <v>0</v>
      </c>
      <c r="S369" s="83"/>
      <c r="T369" s="3013">
        <f>IF(T304="No",IF(T305="No",0,IF(T300&gt;1000000*(0.21-Asp_Limit)/0.21,1,T300*0.21/(1000000*(0.21-Asp_Limit)))),IF(T261=0,0,MIN(1,T300/T261)))</f>
        <v>0</v>
      </c>
      <c r="U369" s="83"/>
      <c r="V369" s="3013">
        <f>IF(V304="No",IF(V305="No",0,IF(V300&gt;1000000*(0.21-Asp_Limit)/0.21,1,V300*0.21/(1000000*(0.21-Asp_Limit)))),IF(V261=0,0,MIN(1,V300/V261)))</f>
        <v>0</v>
      </c>
      <c r="W369" s="83"/>
      <c r="X369" s="3013">
        <f>IF(X304="No",IF(X305="No",0,IF(X300&gt;1000000*(0.21-Asp_Limit)/0.21,1,X300*0.21/(1000000*(0.21-Asp_Limit)))),IF(X261=0,0,MIN(1,X300/X261)))</f>
        <v>0</v>
      </c>
      <c r="Y369" s="83"/>
      <c r="Z369" s="23"/>
      <c r="AA369" s="83"/>
      <c r="AB369" s="81"/>
      <c r="AC369" s="23" t="s">
        <v>3634</v>
      </c>
      <c r="AD369" s="81"/>
      <c r="AE369" s="2631">
        <f>IF(AND(AE98&gt;0,AE293&gt;0),IF(AE294="Indoors",IF(ConcFract_Indoor*AE315&lt;=AE293,0.1,AE$192*((IF(Enclosed_Ventilation_Rate&gt;1,Enclosed_Ventilation_Rate,1)*Enclosed_Process_Volume*AE98*AE315/88020000000)*1000000*(ConcFract_Indoor/AE293-1/AE315)/(AE98*Wind_Night))^AE$193),IF(OR(AE293=0,AE293&gt;=ConcFract_Indoor*1000000*AE$99),0,MAX(0,IF(AC222="Instantaneous",AE$218*(AE83/AE98)*(ConcFract_Indoor*1000000/AE293)^AE$219-AE$220,AE$192*(AE89*(ConcFract_Indoor*1000000/AE293)/(AE98*Wind_Night))^AE$193-AE$194)))),0.1)</f>
        <v>0.1</v>
      </c>
      <c r="AF369" s="81"/>
      <c r="AG369" s="2631">
        <f>IF(AND(AG98&gt;0,AG293&gt;0),IF(AG294="Indoors",IF(ConcFract_Indoor*AG315&lt;=AG293,0.1,AG$192*((IF(Enclosed_Ventilation_Rate&gt;1,Enclosed_Ventilation_Rate,1)*Enclosed_Process_Volume*AG98*AG315/88020000000)*1000000*(ConcFract_Indoor/AG293-1/AG315)/(AG98*Wind_Night))^AG$193),IF(OR(AG293=0,AG293&gt;=ConcFract_Indoor*1000000*AG$99),0,MAX(0,IF(AE222="Instantaneous",AG$218*(AG83/AG98)*(ConcFract_Indoor*1000000/AG293)^AG$219-AG$220+AG108,AG$192*(AG89*(ConcFract_Indoor*1000000/AG293)/(AG98*Wind_Night))^AG$193-AG$194+AG108)))),0.1)</f>
        <v>0.1</v>
      </c>
      <c r="AH369" s="81"/>
      <c r="AI369" s="2631">
        <f>IF(AND(AI98&gt;0,AI293&gt;0),IF(AI294="Indoors",IF(ConcFract_Indoor*AI315&lt;=AI293,0.1,AI$192*((IF(Enclosed_Ventilation_Rate&gt;1,Enclosed_Ventilation_Rate,1)*Enclosed_Process_Volume*AI98*AI315/88020000000)*1000000*(ConcFract_Indoor/AI293-1/AI315)/(AI98*Wind_Night))^AI$193),IF(OR(AI293=0,AI293&gt;=ConcFract_Indoor*1000000*AI$99),0,MAX(0,IF(AI221="Instantaneous",AI$218*(AI83/AI98)*(ConcFract_Indoor*1000000/AI293)^AI$219-AI$220+AI108,AI$192*(AI89*(ConcFract_Indoor*1000000/AI293)/(AI98*Wind_Night))^AI$193-AI$194+AI108)))),0.1)</f>
        <v>0.1</v>
      </c>
      <c r="AJ369" s="81"/>
      <c r="AK369" s="2631">
        <f>IF(AND(AK98&gt;0,AK293&gt;0),IF(AK294="Indoors",IF(ConcFract_Indoor*AK315&lt;=AK293,0.1,AK$192*((IF(Enclosed_Ventilation_Rate&gt;1,Enclosed_Ventilation_Rate,1)*Enclosed_Process_Volume*AK98*AK315/88020000000)*1000000*(ConcFract_Indoor/AK293-1/AK315)/(AK98*Wind_Night))^AK$193),IF(OR(AK293=0,AK293&gt;=ConcFract_Indoor*1000000*AK$99),0,MAX(0,IF(AK221="Instantaneous",AK$218*(AK83/AK98)*(ConcFract_Indoor*1000000/AK293)^AK$219-AK$220+AK108,AK$192*(AK89*(ConcFract_Indoor*1000000/AK293)/(AK98*Wind_Night))^AK$193-AK$194+AK108)))),0.1)</f>
        <v>0.1</v>
      </c>
      <c r="AL369" s="81"/>
      <c r="AM369" s="2631">
        <f>IF(AND(AM98&gt;0,AM293&gt;0),IF(AM294="Indoors",IF(ConcFract_Indoor*AM315&lt;=AM293,0.1,AM$192*((IF(Enclosed_Ventilation_Rate&gt;1,Enclosed_Ventilation_Rate,1)*Enclosed_Process_Volume*AM98*AM315/88020000000)*1000000*(ConcFract_Indoor/AM293-1/AM315)/(AM98*Wind_Night))^AM$193),IF(OR(AM293=0,AM293&gt;=ConcFract_Indoor*1000000*AM$99),0,MAX(0,IF(AM221="Instantaneous",AM$218*(AM83/AM98)*(ConcFract_Indoor*1000000/AM293)^AM$219-AM$220+AM108,AM$192*(AM89*(ConcFract_Indoor*1000000/AM293)/(AM98*Wind_Night))^AM$193-AM$194+AM108)))),0.1)</f>
        <v>0.1</v>
      </c>
      <c r="AN369" s="81"/>
      <c r="AO369" s="1206">
        <f>IF(AND(AO98&gt;0,AO293&gt;0),IF(AO294="Indoors",IF(ConcFract_Indoor*AO315&lt;=AO293,0.1,AO$192*((IF(Enclosed_Ventilation_Rate&gt;1,Enclosed_Ventilation_Rate,1)*Enclosed_Process_Volume*AO98*AO315/88020000000)*1000000*(ConcFract_Indoor/AO293-1/AO315)/(AO98*Wind_Night))^AO$193),IF(OR(AO293=0,AO293&gt;=ConcFract_Indoor*1000000*AO$99),0,MAX(0,IF(AO221="Instantaneous",AO$218*(AO83/AO98)*(ConcFract_Indoor*1000000/AO293)^AO$219-AO$220+AO108,AO$192*(AO89*(ConcFract_Indoor*1000000/AO293)/(AO98*Wind_Night))^AO$193-AO$194+AO108)))),0.1)</f>
        <v>0.1</v>
      </c>
      <c r="AP369" s="81"/>
      <c r="AQ369" s="85" t="s">
        <v>1068</v>
      </c>
      <c r="AR369" s="81"/>
      <c r="AS369" s="83"/>
      <c r="AT369" s="85" t="s">
        <v>1414</v>
      </c>
      <c r="AU369" s="83"/>
      <c r="AV369" s="1208">
        <v>0</v>
      </c>
      <c r="AW369" s="83"/>
      <c r="AX369" s="1208">
        <v>0</v>
      </c>
      <c r="AY369" s="83"/>
      <c r="AZ369" s="1208">
        <v>0</v>
      </c>
      <c r="BA369" s="83"/>
      <c r="BB369" s="1208">
        <v>0</v>
      </c>
      <c r="BC369" s="83"/>
      <c r="BD369" s="1208">
        <v>0</v>
      </c>
      <c r="BE369" s="83"/>
      <c r="BF369" s="1208">
        <v>0</v>
      </c>
      <c r="BG369" s="83"/>
      <c r="BH369" s="1208">
        <v>0</v>
      </c>
      <c r="BI369" s="83"/>
      <c r="BJ369" s="1208">
        <v>0</v>
      </c>
      <c r="BK369" s="83"/>
      <c r="BL369" s="1208">
        <v>0</v>
      </c>
      <c r="BM369" s="83"/>
      <c r="BN369" s="1208">
        <v>0</v>
      </c>
      <c r="BO369" s="83"/>
      <c r="BP369" s="23"/>
      <c r="BQ369" s="83"/>
      <c r="BR369" s="81"/>
      <c r="BS369" s="23" t="s">
        <v>3628</v>
      </c>
      <c r="BT369" s="81"/>
      <c r="BU369" s="1206">
        <f>IF(AND(BU277&gt;0,BU98&gt;0),IF(Location="Indoors",IF(BU301&lt;=BU277,0.1,BU$127*((IF(Enclosed_Ventilation_Rate&gt;1,Enclosed_Ventilation_Rate,1)*Enclosed_Process_Volume*BU98*BU301/88020000000)*1000000*(1/BU277-1/BU301)/(BU98*Wind))^BU$128),IF(OR(BU277=0,BU277&gt;=1000000*BU$99),0,IF(BU156="Instantaneous",BU$153*((BU83/BU98)*(1000000/BU277))^BU$154-BU$155,BU$127*(BU89*(1000000/BU277)/(BU98*Wind))^BU$128-BU$129))),0.1)</f>
        <v>0.1</v>
      </c>
      <c r="BV369" s="81"/>
      <c r="BW369" s="1206">
        <f>IF(AND(BW277&gt;0,BW98&gt;0),IF(Location="Indoors",IF(BW301&lt;=BW277,0.1,BW$127*((IF(Enclosed_Ventilation_Rate&gt;1,Enclosed_Ventilation_Rate,1)*Enclosed_Process_Volume*BW98*BW301/88020000000)*1000000*(1/BW277-1/BW301)/(BW98*Wind))^BW$128),IF(OR(BW277=0,BW277&gt;=1000000*BW$99),0,IF(BW156="Instantaneous",BW$153*((BW83/BW98)*(1000000/BW277))^BW$154-BW$155,BW$127*(BW89*(1000000/BW277)/(BW98*Wind))^BW$128-BW$129))),0.1)</f>
        <v>0.1</v>
      </c>
      <c r="BX369" s="81"/>
      <c r="BY369" s="1206">
        <f>IF(AND(BY277&gt;0,BY98&gt;0),IF(Location="Indoors",IF(BY301&lt;=BY277,0.1,BY$127*((IF(Enclosed_Ventilation_Rate&gt;1,Enclosed_Ventilation_Rate,1)*Enclosed_Process_Volume*BY98*BY301/88020000000)*1000000*(1/BY277-1/BY301)/(BY98*Wind))^BY$128),IF(OR(BY277=0,BY277&gt;=1000000*BY$99),0,IF(BY156="Instantaneous",BY$153*((BY83/BY98)*(1000000/BY277))^BY$154-BY$155,BY$127*(BY89*(1000000/BY277)/(BY98*Wind))^BY$128-BY$129))),0.1)</f>
        <v>0.1</v>
      </c>
      <c r="BZ369" s="81"/>
      <c r="CA369" s="1206">
        <f>IF(AND(CA277&gt;0,CA98&gt;0),IF(Location="Indoors",IF(CA301&lt;=CA277,0.1,CA$127*((IF(Enclosed_Ventilation_Rate&gt;1,Enclosed_Ventilation_Rate,1)*Enclosed_Process_Volume*CA98*CA301/88020000000)*1000000*(1/CA277-1/CA301)/(CA98*Wind))^CA$128),IF(OR(CA277=0,CA277&gt;=1000000*CA$99),0,IF(CA156="Instantaneous",CA$153*((CA83/CA98)*(1000000/CA277))^CA$154-CA$155,CA$127*(CA89*(1000000/CA277)/(CA98*Wind))^CA$128-CA$129))),0.1)</f>
        <v>0.1</v>
      </c>
      <c r="CB369" s="81"/>
      <c r="CC369" s="1206">
        <f>IF(AND(CC277&gt;0,CC98&gt;0),IF(Location="Indoors",IF(CC301&lt;=CC277,0.1,CC$127*((IF(Enclosed_Ventilation_Rate&gt;1,Enclosed_Ventilation_Rate,1)*Enclosed_Process_Volume*CC98*CC301/88020000000)*1000000*(1/CC277-1/CC301)/(CC98*Wind))^CC$128),IF(OR(CC277=0,CC277&gt;=1000000*CC$99),0,IF(CC156="Instantaneous",CC$153*((CC83/CC98)*(1000000/CC277))^CC$154-CC$155,CC$127*(CC89*(1000000/CC277)/(CC98*Wind))^CC$128-CC$129))),0.1)</f>
        <v>0.1</v>
      </c>
      <c r="CD369" s="81"/>
      <c r="CE369" s="85" t="s">
        <v>1068</v>
      </c>
      <c r="CF369" s="81"/>
      <c r="CG369" s="26"/>
      <c r="CH369" s="26"/>
      <c r="CI369" s="26"/>
      <c r="CJ369" s="26"/>
      <c r="CK369" s="26"/>
      <c r="CL369" s="26"/>
      <c r="CM369" s="26"/>
      <c r="CN369" s="26"/>
    </row>
    <row r="370" spans="1:92" ht="15" customHeight="1" thickBot="1" x14ac:dyDescent="0.3">
      <c r="A370" s="2"/>
      <c r="B370" s="23" t="s">
        <v>1054</v>
      </c>
      <c r="C370" s="83"/>
      <c r="D370" s="1861">
        <f>Op_Indoors*D369+IF(AND(D$292="Yes",OR(D304="Yes",D305="Yes")),0.9,0)</f>
        <v>0</v>
      </c>
      <c r="E370" s="83"/>
      <c r="F370" s="1861">
        <f>Op_Indoors*F369+IF(AND(F$292="Yes",OR(F304="Yes",F305="Yes")),0.9,0)</f>
        <v>0</v>
      </c>
      <c r="G370" s="83"/>
      <c r="H370" s="1861">
        <f>Op_Indoors*H369+IF(AND(H$292="Yes",OR(H304="Yes",H305="Yes")),0.9,0)</f>
        <v>0</v>
      </c>
      <c r="I370" s="83"/>
      <c r="J370" s="1861">
        <f>Op_Indoors*J369+IF(AND(J$292="Yes",OR(J304="Yes",J305="Yes")),0.9,0)</f>
        <v>0</v>
      </c>
      <c r="K370" s="83"/>
      <c r="L370" s="1861">
        <f>Op_Indoors*L369+IF(AND(L$292="Yes",OR(L304="Yes",L305="Yes")),0.9,0)</f>
        <v>0</v>
      </c>
      <c r="M370" s="83"/>
      <c r="N370" s="1861">
        <f>Op_Indoors*N369+IF(AND('Special Calcs'!G$164="Yes",OR(N304="Yes",N305="Yes")),0.9,0)</f>
        <v>0</v>
      </c>
      <c r="O370" s="83"/>
      <c r="P370" s="1861">
        <f>Op_Indoors*P369+IF(AND(P$292="Yes",OR(P304="Yes",P305="Yes")),0.9,0)</f>
        <v>0</v>
      </c>
      <c r="Q370" s="83"/>
      <c r="R370" s="1861">
        <f>Op_Indoors*R369+IF(AND(R$292="Yes",OR(R304="Yes",R305="Yes")),0.9,0)</f>
        <v>0</v>
      </c>
      <c r="S370" s="83"/>
      <c r="T370" s="1861">
        <f>Op_Indoors*T369+IF(AND(T$292="Yes",OR(T304="Yes",T305="Yes")),0.9,0)</f>
        <v>0</v>
      </c>
      <c r="U370" s="83"/>
      <c r="V370" s="1861">
        <f>Op_Indoors*V369+IF(AND(V$292="Yes",OR(V304="Yes",V305="Yes")),0.9,0)</f>
        <v>0</v>
      </c>
      <c r="W370" s="83"/>
      <c r="X370" s="1861">
        <f>Op_Indoors*X369+IF(AND(X$292="Yes",OR(X304="Yes",X305="Yes")),0.9,0)</f>
        <v>0</v>
      </c>
      <c r="Y370" s="83"/>
      <c r="Z370" s="23"/>
      <c r="AA370" s="83"/>
      <c r="AB370" s="81"/>
      <c r="AC370" s="23" t="s">
        <v>3635</v>
      </c>
      <c r="AD370" s="81"/>
      <c r="AE370" s="1206">
        <f>IF(AC222="Instantaneous",Dispersion_R,Dispersion_M)*(MAX(AE369,(AE109-MIN(AE109,WorkArea_Elevation))*Dispersion_N^0.5,Public)^2-MAX((AE109-MIN(AE109,WorkArea_Elevation))*Dispersion_N^0.5,Public)^2)+2*(MAX(AE369,(AE109-MIN(AE109,WorkArea_Elevation))*Dispersion_N^0.5,Public)-MAX((AE109-MIN(AE109,WorkArea_Elevation))*Dispersion_N^0.5,Public))*(AE$55/3.142)^0.5</f>
        <v>3.0000000000000005E-3</v>
      </c>
      <c r="AF370" s="81"/>
      <c r="AG370" s="1206">
        <f>IF(AE222="Instantaneous",Dispersion_R,Dispersion_M)*(MAX(AG369,(AG109-MIN(AG109,WorkArea_Elevation))*Dispersion_N^0.5,Public)^2-MAX((AG109-MIN(AG109,WorkArea_Elevation))*Dispersion_N^0.5,Public)^2)+2*(MAX(AG369,(AG109-MIN(AG109,WorkArea_Elevation))*Dispersion_N^0.5,Public)-MAX((AG109-MIN(AG109,WorkArea_Elevation))*Dispersion_N^0.5,Public))*(AG$55/3.142)^0.5</f>
        <v>3.0000000000000005E-3</v>
      </c>
      <c r="AH370" s="81"/>
      <c r="AI370" s="1206">
        <f>IF(AI221="Instantaneous",Dispersion_R,Dispersion_M)*(MAX(AI369,(AI109-MIN(AI109,WorkArea_Elevation))*Dispersion_N^0.5,Public)^2-MAX((AI109-MIN(AI109,WorkArea_Elevation))*Dispersion_N^0.5,Public)^2)+2*(MAX(AI369,(AI109-MIN(AI109,WorkArea_Elevation))*Dispersion_N^0.5,Public)-MAX((AI109-MIN(AI109,WorkArea_Elevation))*Dispersion_N^0.5,Public))*(AI$55/3.142)^0.5</f>
        <v>3.0000000000000005E-3</v>
      </c>
      <c r="AJ370" s="81"/>
      <c r="AK370" s="1206">
        <f>IF(AK221="Instantaneous",Dispersion_R,Dispersion_M)*(MAX(AK369,(AK109-MIN(AK109,WorkArea_Elevation))*Dispersion_N^0.5,Public)^2-MAX((AK109-MIN(AK109,WorkArea_Elevation))*Dispersion_N^0.5,Public)^2)+2*(MAX(AK369,(AK109-MIN(AK109,WorkArea_Elevation))*Dispersion_N^0.5,Public)-MAX((AK109-MIN(AK109,WorkArea_Elevation))*Dispersion_N^0.5,Public))*(AK$55/3.142)^0.5</f>
        <v>3.0000000000000005E-3</v>
      </c>
      <c r="AL370" s="81"/>
      <c r="AM370" s="1206">
        <f>IF(AM221="Instantaneous",Dispersion_R,Dispersion_M)*(MAX(AM369,(AM109-MIN(AM109,WorkArea_Elevation))*Dispersion_N^0.5,Public)^2-MAX((AM109-MIN(AM109,WorkArea_Elevation))*Dispersion_N^0.5,Public)^2)+2*(MAX(AM369,(AM109-MIN(AM109,WorkArea_Elevation))*Dispersion_N^0.5,Public)-MAX((AM109-MIN(AM109,WorkArea_Elevation))*Dispersion_N^0.5,Public))*(AM$55/3.142)^0.5</f>
        <v>3.0000000000000005E-3</v>
      </c>
      <c r="AN370" s="81"/>
      <c r="AO370" s="1206">
        <f>IF(AO221="Instantaneous",Dispersion_R,Dispersion_M)*(MAX(AO369,(AO109-MIN(AO109,WorkArea_Elevation))*Dispersion_N^0.5,Public)^2-MAX((AO109-MIN(AO109,WorkArea_Elevation))*Dispersion_N^0.5,Public)^2)+2*(MAX(AO369,(AO109-MIN(AO109,WorkArea_Elevation))*Dispersion_N^0.5,Public)-MAX((AO109-MIN(AO109,WorkArea_Elevation))*Dispersion_N^0.5,Public))*(AO$55/3.142)^0.5</f>
        <v>3.0000000000000005E-3</v>
      </c>
      <c r="AP370" s="81"/>
      <c r="AQ370" s="85" t="s">
        <v>3804</v>
      </c>
      <c r="AR370" s="81"/>
      <c r="AS370" s="83"/>
      <c r="AT370" s="25" t="s">
        <v>4790</v>
      </c>
      <c r="AU370" s="83"/>
      <c r="AV370" s="1208" t="str">
        <f>IF(AV367=0,"NA",IF(AND(AV$289&lt;&gt;"Yes",AV367&lt;HD_VeryLow_Indoor),Conseq_VeryLow,IF(AV367&lt;HD_Low_Indoor,Conseq_Low,IF(AV367&lt;HD_Moderate_Indoor,Conseq_Moderate,IF(AV367&lt;HD_High_Indoor,Conseq_High,Conseq_VeryHigh)))))</f>
        <v>NA</v>
      </c>
      <c r="AW370" s="83"/>
      <c r="AX370" s="1208" t="str">
        <f>IF(AX367=0,"NA",IF(AND(AX$289&lt;&gt;"Yes",AX367&lt;HD_VeryLow_Indoor),Conseq_VeryLow,IF(AX367&lt;HD_Low_Indoor,Conseq_Low,IF(AX367&lt;HD_Moderate_Indoor,Conseq_Moderate,IF(AX367&lt;HD_High_Indoor,Conseq_High,Conseq_VeryHigh)))))</f>
        <v>NA</v>
      </c>
      <c r="AY370" s="83"/>
      <c r="AZ370" s="1208" t="str">
        <f>IF(AZ367=0,"NA",IF(AND(AZ$289&lt;&gt;"Yes",AZ367&lt;HD_VeryLow_Indoor),Conseq_VeryLow,IF(AZ367&lt;HD_Low_Indoor,Conseq_Low,IF(AZ367&lt;HD_Moderate_Indoor,Conseq_Moderate,IF(AZ367&lt;HD_High_Indoor,Conseq_High,Conseq_VeryHigh)))))</f>
        <v>NA</v>
      </c>
      <c r="BA370" s="83"/>
      <c r="BB370" s="1208" t="str">
        <f>IF(BB367=0,"NA",IF(AND(BB$289&lt;&gt;"Yes",BB367&lt;HD_VeryLow_Indoor),Conseq_VeryLow,IF(BB367&lt;HD_Low_Indoor,Conseq_Low,IF(BB367&lt;HD_Moderate_Indoor,Conseq_Moderate,IF(BB367&lt;HD_High_Indoor,Conseq_High,Conseq_VeryHigh)))))</f>
        <v>NA</v>
      </c>
      <c r="BC370" s="83"/>
      <c r="BD370" s="1208" t="str">
        <f>IF(BD367=0,"NA",IF(AND(BD$289&lt;&gt;"Yes",BD367&lt;HD_VeryLow_Indoor),Conseq_VeryLow,IF(BD367&lt;HD_Low_Indoor,Conseq_Low,IF(BD367&lt;HD_Moderate_Indoor,Conseq_Moderate,IF(BD367&lt;HD_High_Indoor,Conseq_High,Conseq_VeryHigh)))))</f>
        <v>NA</v>
      </c>
      <c r="BE370" s="83"/>
      <c r="BF370" s="1208" t="str">
        <f>IF(BF367=0,"NA",IF(AND(BF$289&lt;&gt;"Yes",BF367&lt;HD_VeryLow_Indoor),Conseq_VeryLow,IF(BF367&lt;HD_Low_Indoor,Conseq_Low,IF(BF367&lt;HD_Moderate_Indoor,Conseq_Moderate,IF(BF367&lt;HD_High_Indoor,Conseq_High,Conseq_VeryHigh)))))</f>
        <v>NA</v>
      </c>
      <c r="BG370" s="83"/>
      <c r="BH370" s="1208" t="str">
        <f>IF(BH367=0,"NA",IF(AND(BH$289&lt;&gt;"Yes",BH367&lt;HD_VeryLow_Indoor),Conseq_VeryLow,IF(BH367&lt;HD_Low_Indoor,Conseq_Low,IF(BH367&lt;HD_Moderate_Indoor,Conseq_Moderate,IF(BH367&lt;HD_High_Indoor,Conseq_High,Conseq_VeryHigh)))))</f>
        <v>NA</v>
      </c>
      <c r="BI370" s="83"/>
      <c r="BJ370" s="1208" t="str">
        <f>IF(BJ367=0,"NA",IF(AND(BJ$289&lt;&gt;"Yes",BJ367&lt;HD_VeryLow_Indoor),Conseq_VeryLow,IF(BJ367&lt;HD_Low_Indoor,Conseq_Low,IF(BJ367&lt;HD_Moderate_Indoor,Conseq_Moderate,IF(BJ367&lt;HD_High_Indoor,Conseq_High,Conseq_VeryHigh)))))</f>
        <v>NA</v>
      </c>
      <c r="BK370" s="83"/>
      <c r="BL370" s="1208" t="str">
        <f>IF(BL367=0,"NA",IF(AND(BL$289&lt;&gt;"Yes",BL367&lt;HD_VeryLow_Indoor),Conseq_VeryLow,IF(BL367&lt;HD_Low_Indoor,Conseq_Low,IF(BL367&lt;HD_Moderate_Indoor,Conseq_Moderate,IF(BL367&lt;HD_High_Indoor,Conseq_High,Conseq_VeryHigh)))))</f>
        <v>NA</v>
      </c>
      <c r="BM370" s="83"/>
      <c r="BN370" s="1208" t="str">
        <f>IF(BN367=0,"NA",IF(AND(BN$289&lt;&gt;"Yes",BN367&lt;HD_VeryLow_Indoor),Conseq_VeryLow,IF(BN367&lt;HD_Low_Indoor,Conseq_Low,IF(BN367&lt;HD_Moderate_Indoor,Conseq_Moderate,IF(BN367&lt;HD_High_Indoor,Conseq_High,Conseq_VeryHigh)))))</f>
        <v>NA</v>
      </c>
      <c r="BO370" s="83"/>
      <c r="BP370" s="23"/>
      <c r="BQ370" s="83"/>
      <c r="BR370" s="81"/>
      <c r="BS370" s="23" t="s">
        <v>3629</v>
      </c>
      <c r="BT370" s="81"/>
      <c r="BU370" s="1206" t="e">
        <f>IF(BU156="Instantaneous",Dispersion_I,Dispersion_D)*(MAX(BU369,Public)^2-Public^2)+(MAX(BU369,Public)-Public)*IF(BU156="Instantaneous",DC_Duration_Initial*(BU83/BU98)^(1/3),2*(BU$55/3.142)^0.5)</f>
        <v>#DIV/0!</v>
      </c>
      <c r="BV370" s="81"/>
      <c r="BW370" s="1206" t="e">
        <f>IF(BW156="Instantaneous",Dispersion_I,Dispersion_D)*(MAX(BW369,Public)^2-Public^2)+(MAX(BW369,Public)-Public)*IF(BW156="Instantaneous",DC_Duration_Initial*(BW83/BW98)^(1/3),2*(BW$55/3.142)^0.5)</f>
        <v>#DIV/0!</v>
      </c>
      <c r="BX370" s="81"/>
      <c r="BY370" s="1206" t="e">
        <f>IF(BY156="Instantaneous",Dispersion_I,Dispersion_D)*(MAX(BY369,Public)^2-Public^2)+(MAX(BY369,Public)-Public)*IF(BY156="Instantaneous",DC_Duration_Initial*(BY83/BY98)^(1/3),2*(BY$55/3.142)^0.5)</f>
        <v>#DIV/0!</v>
      </c>
      <c r="BZ370" s="81"/>
      <c r="CA370" s="1206" t="e">
        <f>IF(CA156="Instantaneous",Dispersion_I,Dispersion_D)*(MAX(CA369,Public)^2-Public^2)+(MAX(CA369,Public)-Public)*IF(CA156="Instantaneous",DC_Duration_Initial*(CA83/CA98)^(1/3),2*(CA$55/3.142)^0.5)</f>
        <v>#DIV/0!</v>
      </c>
      <c r="CB370" s="81"/>
      <c r="CC370" s="1206" t="e">
        <f>IF(CC156="Instantaneous",Dispersion_I,Dispersion_D)*(MAX(CC369,Public)^2-Public^2)+(MAX(CC369,Public)-Public)*IF(CC156="Instantaneous",DC_Duration_Initial*(CC83/CC98)^(1/3),2*(CC$55/3.142)^0.5)</f>
        <v>#DIV/0!</v>
      </c>
      <c r="CD370" s="81"/>
      <c r="CE370" s="85" t="s">
        <v>3804</v>
      </c>
      <c r="CF370" s="81"/>
      <c r="CG370" s="26"/>
      <c r="CH370" s="26"/>
      <c r="CI370" s="26"/>
      <c r="CJ370" s="26"/>
      <c r="CK370" s="26"/>
      <c r="CL370" s="26"/>
      <c r="CM370" s="26"/>
      <c r="CN370" s="26"/>
    </row>
    <row r="371" spans="1:92" ht="15" customHeight="1" thickBot="1" x14ac:dyDescent="0.3">
      <c r="A371" s="2"/>
      <c r="B371" s="85" t="s">
        <v>1414</v>
      </c>
      <c r="C371" s="83"/>
      <c r="D371" s="1208">
        <v>0</v>
      </c>
      <c r="E371" s="83"/>
      <c r="F371" s="1208">
        <v>0</v>
      </c>
      <c r="G371" s="83"/>
      <c r="H371" s="1208">
        <v>0</v>
      </c>
      <c r="I371" s="83"/>
      <c r="J371" s="1208">
        <v>0</v>
      </c>
      <c r="K371" s="83"/>
      <c r="L371" s="1208">
        <v>0</v>
      </c>
      <c r="M371" s="83"/>
      <c r="N371" s="1208">
        <v>0</v>
      </c>
      <c r="O371" s="83"/>
      <c r="P371" s="1208">
        <v>0</v>
      </c>
      <c r="Q371" s="83"/>
      <c r="R371" s="1208">
        <v>0</v>
      </c>
      <c r="S371" s="83"/>
      <c r="T371" s="1208">
        <v>0</v>
      </c>
      <c r="U371" s="83"/>
      <c r="V371" s="1208">
        <v>0</v>
      </c>
      <c r="W371" s="83"/>
      <c r="X371" s="1208">
        <v>0</v>
      </c>
      <c r="Y371" s="83"/>
      <c r="Z371" s="23"/>
      <c r="AA371" s="83"/>
      <c r="AB371" s="81"/>
      <c r="AC371" s="23" t="s">
        <v>3636</v>
      </c>
      <c r="AD371" s="81"/>
      <c r="AE371" s="1206">
        <f>IF(OR(AE$292=0,AE$286=""),0,IF(AE369&gt;Zone_1,IF(AC222="Instantaneous",Dispersion_R,Dispersion_M)*(MAX(Public,(AE109-MIN(AE109,WorkArea_Elevation))*Dispersion_N^0.5,Zone_1)^2-MAX(Public,(AE109-MIN(AE109,WorkArea_Elevation))*Dispersion_N^0.5,AE369)^2)+2*(MAX(Public,Zone_1)-MAX(Public,AE369))*(AE$55/3.142)^0.5,IF(AC222="Instantaneous",Dispersion_R,Dispersion_M)*AE$286^(2*IF(AC222="Instantaneous",AE$219,AE$193))*AE$304^2*(EXP(AE$291+AE$292*MAX(Public,(AE109-MIN(AE109,WorkArea_Elevation))*Dispersion_N^0.5,Zone_1)^2/(AE$286^(2*IF(AC222="Instantaneous",AE$219,AE$193))*AE$304^2))-EXP(AE$291+AE$292*MAX(Public,(AE109-MIN(AE109,WorkArea_Elevation))*Dispersion_N^0.5,AE369)^2/(AE$286^(2*IF(AC222="Instantaneous",AE$219,AE$193))*AE$304^2)))/AE$292))</f>
        <v>0</v>
      </c>
      <c r="AF371" s="81"/>
      <c r="AG371" s="1206">
        <f>IF(OR(AG$292=0,AG$286=""),0,IF(AG369&gt;Zone_1,IF(AE222="Instantaneous",Dispersion_R,Dispersion_M)*(MAX(Public,(AG109-MIN(AG109,WorkArea_Elevation))*Dispersion_N^0.5,Zone_1)^2-MAX(Public,(AG109-MIN(AG109,WorkArea_Elevation))*Dispersion_N^0.5,AG369)^2)+2*(MAX(Public,Zone_1)-MAX(Public,AG369))*(AG$55/3.142)^0.5,IF(AE222="Instantaneous",Dispersion_R,Dispersion_M)*AG$286^(2*IF(AE222="Instantaneous",AG$219,AG$193))*AG$304^2*(EXP(AG$291+AG$292*MAX(Public,(AG109-MIN(AG109,WorkArea_Elevation))*Dispersion_N^0.5,Zone_1)^2/(AG$286^(2*IF(AE222="Instantaneous",AG$219,AG$193))*AG$304^2))-EXP(AG$291+AG$292*MAX(Public,(AG109-MIN(AG109,WorkArea_Elevation))*Dispersion_N^0.5,AG369)^2/(AG$286^(2*IF(AE222="Instantaneous",AG$219,AG$193))*AG$304^2)))/AG$292))</f>
        <v>0</v>
      </c>
      <c r="AH371" s="81"/>
      <c r="AI371" s="1206">
        <f>IF(OR(AI$292=0,AI$286=""),0,IF(AI369&gt;Zone_1,IF(AI221="Instantaneous",Dispersion_R,Dispersion_M)*(MAX(Public,(AI109-MIN(AI109,WorkArea_Elevation))*Dispersion_N^0.5,Zone_1)^2-MAX(Public,(AI109-MIN(AI109,WorkArea_Elevation))*Dispersion_N^0.5,AI369)^2)+2*(MAX(Public,Zone_1)-MAX(Public,AI369))*(AI$55/3.142)^0.5,IF(AI221="Instantaneous",Dispersion_R,Dispersion_M)*AI$286^(2*IF(AI221="Instantaneous",AI$219,AI$193))*AI$304^2*(EXP(AI$291+AI$292*MAX(Public,(AI109-MIN(AI109,WorkArea_Elevation))*Dispersion_N^0.5,Zone_1)^2/(AI$286^(2*IF(AI221="Instantaneous",AI$219,AI$193))*AI$304^2))-EXP(AI$291+AI$292*MAX(Public,(AI109-MIN(AI109,WorkArea_Elevation))*Dispersion_N^0.5,AI369)^2/(AI$286^(2*IF(AI221="Instantaneous",AI$219,AI$193))*AI$304^2)))/AI$292))</f>
        <v>0</v>
      </c>
      <c r="AJ371" s="81"/>
      <c r="AK371" s="1206">
        <f>IF(OR(AK$292=0,AK$286=""),0,IF(AK369&gt;Zone_1,IF(AK221="Instantaneous",Dispersion_R,Dispersion_M)*(MAX(Public,(AK109-MIN(AK109,WorkArea_Elevation))*Dispersion_N^0.5,Zone_1)^2-MAX(Public,(AK109-MIN(AK109,WorkArea_Elevation))*Dispersion_N^0.5,AK369)^2)+2*(MAX(Public,Zone_1)-MAX(Public,AK369))*(AK$55/3.142)^0.5,IF(AK221="Instantaneous",Dispersion_R,Dispersion_M)*AK$286^(2*IF(AK221="Instantaneous",AK$219,AK$193))*AK$304^2*(EXP(AK$291+AK$292*MAX(Public,(AK109-MIN(AK109,WorkArea_Elevation))*Dispersion_N^0.5,Zone_1)^2/(AK$286^(2*IF(AK221="Instantaneous",AK$219,AK$193))*AK$304^2))-EXP(AK$291+AK$292*MAX(Public,(AK109-MIN(AK109,WorkArea_Elevation))*Dispersion_N^0.5,AK369)^2/(AK$286^(2*IF(AK221="Instantaneous",AK$219,AK$193))*AK$304^2)))/AK$292))</f>
        <v>0</v>
      </c>
      <c r="AL371" s="81"/>
      <c r="AM371" s="1206">
        <f>IF(OR(AM$292=0,AM$286=""),0,IF(AM369&gt;Zone_1,IF(AM221="Instantaneous",Dispersion_R,Dispersion_M)*(MAX(Public,(AM109-MIN(AM109,WorkArea_Elevation))*Dispersion_N^0.5,Zone_1)^2-MAX(Public,(AM109-MIN(AM109,WorkArea_Elevation))*Dispersion_N^0.5,AM369)^2)+2*(MAX(Public,Zone_1)-MAX(Public,AM369))*(AM$55/3.142)^0.5,IF(AM221="Instantaneous",Dispersion_R,Dispersion_M)*AM$286^(2*IF(AM221="Instantaneous",AM$219,AM$193))*AM$304^2*(EXP(AM$291+AM$292*MAX(Public,(AM109-MIN(AM109,WorkArea_Elevation))*Dispersion_N^0.5,Zone_1)^2/(AM$286^(2*IF(AM221="Instantaneous",AM$219,AM$193))*AM$304^2))-EXP(AM$291+AM$292*MAX(Public,(AM109-MIN(AM109,WorkArea_Elevation))*Dispersion_N^0.5,AM369)^2/(AM$286^(2*IF(AM221="Instantaneous",AM$219,AM$193))*AM$304^2)))/AM$292))</f>
        <v>0</v>
      </c>
      <c r="AN371" s="81"/>
      <c r="AO371" s="1206">
        <f>IF(OR(AO$292=0,AO$286=""),0,IF(AO369&gt;Zone_1,IF(AO221="Instantaneous",Dispersion_R,Dispersion_M)*(MAX(Public,(AO109-MIN(AO109,WorkArea_Elevation))*Dispersion_N^0.5,Zone_1)^2-MAX(Public,(AO109-MIN(AO109,WorkArea_Elevation))*Dispersion_N^0.5,AO369)^2)+2*(MAX(Public,Zone_1)-MAX(Public,AO369))*(AO$55/3.142)^0.5,IF(AO221="Instantaneous",Dispersion_R,Dispersion_M)*AO$286^(2*IF(AO221="Instantaneous",AO$219,AO$193))*AO$304^2*(EXP(AO$291+AO$292*MAX(Public,(AO109-MIN(AO109,WorkArea_Elevation))*Dispersion_N^0.5,Zone_1)^2/(AO$286^(2*IF(AO221="Instantaneous",AO$219,AO$193))*AO$304^2))-EXP(AO$291+AO$292*MAX(Public,(AO109-MIN(AO109,WorkArea_Elevation))*Dispersion_N^0.5,AO369)^2/(AO$286^(2*IF(AO221="Instantaneous",AO$219,AO$193))*AO$304^2)))/AO$292))</f>
        <v>0</v>
      </c>
      <c r="AP371" s="81"/>
      <c r="AQ371" s="85" t="s">
        <v>3804</v>
      </c>
      <c r="AR371" s="81"/>
      <c r="AS371" s="83"/>
      <c r="AT371" s="25" t="s">
        <v>4225</v>
      </c>
      <c r="AU371" s="83"/>
      <c r="AV371" s="2135" t="str">
        <f>IF(Conseq_Criteria="Hazard Distance",AV370,IF(AND(OR(AV240="",AND(Regulatory_Tox&lt;&gt;"Yes",ER3_Min&gt;Toxic_Limit),AV302="No"),AV303="No"),"NA",IF(AV368&lt;N_VeryLow,Conseq_VeryLow,IF(AV368&lt;N_Low,Conseq_Low,IF(AV368&lt;N_Moderate,Conseq_Moderate,IF(AV368&lt;N_High,Conseq_High,IF(AV368&lt;N_VeryHigh,Conseq_VeryHigh,Conseq_ExtremeHigh)))))))</f>
        <v>NA</v>
      </c>
      <c r="AW371" s="83"/>
      <c r="AX371" s="2135" t="str">
        <f>IF(Conseq_Criteria="Hazard Distance",AX370,IF(AND(OR(AX240="",AND(Regulatory_Tox&lt;&gt;"Yes",ER3_Min&gt;Toxic_Limit),AX302="No"),AX303="No"),"NA",IF(AX368&lt;N_VeryLow,Conseq_VeryLow,IF(AX368&lt;N_Low,Conseq_Low,IF(AX368&lt;N_Moderate,Conseq_Moderate,IF(AX368&lt;N_High,Conseq_High,IF(AX368&lt;N_VeryHigh,Conseq_VeryHigh,Conseq_ExtremeHigh)))))))</f>
        <v>NA</v>
      </c>
      <c r="AY371" s="83"/>
      <c r="AZ371" s="2135" t="str">
        <f>IF(Conseq_Criteria="Hazard Distance",AZ370,IF(AND(OR(AZ240="",AND(Regulatory_Tox&lt;&gt;"Yes",ER3_Min&gt;Toxic_Limit),AZ302="No"),AZ303="No"),"NA",IF(AZ368&lt;N_VeryLow,Conseq_VeryLow,IF(AZ368&lt;N_Low,Conseq_Low,IF(AZ368&lt;N_Moderate,Conseq_Moderate,IF(AZ368&lt;N_High,Conseq_High,IF(AZ368&lt;N_VeryHigh,Conseq_VeryHigh,Conseq_ExtremeHigh)))))))</f>
        <v>NA</v>
      </c>
      <c r="BA371" s="83"/>
      <c r="BB371" s="2135" t="str">
        <f>IF(Conseq_Criteria="Hazard Distance",BB370,IF(AND(OR(BB240="",AND(Regulatory_Tox&lt;&gt;"Yes",ER3_Min&gt;Toxic_Limit),BB302="No"),BB303="No"),"NA",IF(BB368&lt;N_VeryLow,Conseq_VeryLow,IF(BB368&lt;N_Low,Conseq_Low,IF(BB368&lt;N_Moderate,Conseq_Moderate,IF(BB368&lt;N_High,Conseq_High,IF(BB368&lt;N_VeryHigh,Conseq_VeryHigh,Conseq_ExtremeHigh)))))))</f>
        <v>NA</v>
      </c>
      <c r="BC371" s="83"/>
      <c r="BD371" s="2135" t="str">
        <f>IF(Conseq_Criteria="Hazard Distance",BD370,IF(AND(OR(BD240="",AND(Regulatory_Tox&lt;&gt;"Yes",ER3_Min&gt;Toxic_Limit),BD302="No"),BD303="No"),"NA",IF(BD368&lt;N_VeryLow,Conseq_VeryLow,IF(BD368&lt;N_Low,Conseq_Low,IF(BD368&lt;N_Moderate,Conseq_Moderate,IF(BD368&lt;N_High,Conseq_High,IF(BD368&lt;N_VeryHigh,Conseq_VeryHigh,Conseq_ExtremeHigh)))))))</f>
        <v>NA</v>
      </c>
      <c r="BE371" s="83"/>
      <c r="BF371" s="2135" t="str">
        <f>IF(Conseq_Criteria="Hazard Distance",BF370,IF(AND(OR(BF240="",AND(Regulatory_Tox&lt;&gt;"Yes",ER3_Min&gt;Toxic_Limit),BF302="No"),BF303="No"),"NA",IF(BF368&lt;N_VeryLow,Conseq_VeryLow,IF(BF368&lt;N_Low,Conseq_Low,IF(BF368&lt;N_Moderate,Conseq_Moderate,IF(BF368&lt;N_High,Conseq_High,IF(BF368&lt;N_VeryHigh,Conseq_VeryHigh,Conseq_ExtremeHigh)))))))</f>
        <v>NA</v>
      </c>
      <c r="BG371" s="83"/>
      <c r="BH371" s="2135" t="str">
        <f>IF(Conseq_Criteria="Hazard Distance",BH370,IF(AND(OR(BH240="",AND(Regulatory_Tox&lt;&gt;"Yes",ER3_Min&gt;Toxic_Limit),BH302="No"),BH303="No"),"NA",IF(BH368&lt;N_VeryLow,Conseq_VeryLow,IF(BH368&lt;N_Low,Conseq_Low,IF(BH368&lt;N_Moderate,Conseq_Moderate,IF(BH368&lt;N_High,Conseq_High,IF(BH368&lt;N_VeryHigh,Conseq_VeryHigh,Conseq_ExtremeHigh)))))))</f>
        <v>NA</v>
      </c>
      <c r="BI371" s="83"/>
      <c r="BJ371" s="2135" t="str">
        <f>IF(Conseq_Criteria="Hazard Distance",BJ370,IF(AND(OR(BJ240="",AND(Regulatory_Tox&lt;&gt;"Yes",ER3_Min&gt;Toxic_Limit),BJ302="No"),BJ303="No"),"NA",IF(BJ368&lt;N_VeryLow,Conseq_VeryLow,IF(BJ368&lt;N_Low,Conseq_Low,IF(BJ368&lt;N_Moderate,Conseq_Moderate,IF(BJ368&lt;N_High,Conseq_High,IF(BJ368&lt;N_VeryHigh,Conseq_VeryHigh,Conseq_ExtremeHigh)))))))</f>
        <v>NA</v>
      </c>
      <c r="BK371" s="83"/>
      <c r="BL371" s="2135" t="str">
        <f>IF(Conseq_Criteria="Hazard Distance",BL370,IF(AND(OR(BL240="",AND(Regulatory_Tox&lt;&gt;"Yes",ER3_Min&gt;Toxic_Limit),BL302="No"),BL303="No"),"NA",IF(BL368&lt;N_VeryLow,Conseq_VeryLow,IF(BL368&lt;N_Low,Conseq_Low,IF(BL368&lt;N_Moderate,Conseq_Moderate,IF(BL368&lt;N_High,Conseq_High,IF(BL368&lt;N_VeryHigh,Conseq_VeryHigh,Conseq_ExtremeHigh)))))))</f>
        <v>NA</v>
      </c>
      <c r="BM371" s="83"/>
      <c r="BN371" s="2135" t="str">
        <f>IF(Conseq_Criteria="Hazard Distance",BN370,IF(AND(OR(BN240="",AND(Regulatory_Tox&lt;&gt;"Yes",ER3_Min&gt;Toxic_Limit),BN302="No"),BN303="No"),"NA",IF(BN368&lt;N_VeryLow,Conseq_VeryLow,IF(BN368&lt;N_Low,Conseq_Low,IF(BN368&lt;N_Moderate,Conseq_Moderate,IF(BN368&lt;N_High,Conseq_High,IF(BN368&lt;N_VeryHigh,Conseq_VeryHigh,Conseq_ExtremeHigh)))))))</f>
        <v>NA</v>
      </c>
      <c r="BO371" s="83"/>
      <c r="BP371" s="89"/>
      <c r="BQ371" s="83"/>
      <c r="BR371" s="81"/>
      <c r="BS371" s="23" t="s">
        <v>3705</v>
      </c>
      <c r="BT371" s="81"/>
      <c r="BU371" s="1206">
        <f>IF(OR(BU$276=0,BU$267=""),0,IF(BU369&gt;Zone_1,IF(BU156="Instantaneous",Dispersion_I,Dispersion_D)*(MAX(Public,Zone_1)^2-MAX(Public,BU369)^2)+(MAX(Public,Zone_1)-MAX(Public,BU369))*IF(BU156="Instantaneous",DC_Duration_Initial*(BU83/BU98)^(1/3),2*(BU$55/3.142)^0.5),IF(BU156="Instantaneous",Dispersion_I,Dispersion_D)*BU$267^(2*IF(BU156="Instantaneous",BU$154,BU$128))*BU$288^2*(EXP(BU$274+BU$276*MAX(Public,Zone_1)^2/(BU$267^(2*IF(BU156="Instantaneous",BU$154,BU$128))*BU$288^2))-EXP(BU$274+BU$276*MAX(Public,BU369)^2/(BU$267^(2*IF(BU156="Instantaneous",BU$154,BU$128))*BU$288^2)))/BU$276))</f>
        <v>0</v>
      </c>
      <c r="BV371" s="81"/>
      <c r="BW371" s="1206">
        <f>IF(OR(BW$276=0,BW$267=""),0,IF(BW369&gt;Zone_1,IF(BW156="Instantaneous",Dispersion_I,Dispersion_D)*(MAX(Public,Zone_1)^2-MAX(Public,BW369)^2)+(MAX(Public,Zone_1)-MAX(Public,BW369))*IF(BW156="Instantaneous",DC_Duration_Initial*(BW83/BW98)^(1/3),2*(BW$55/3.142)^0.5),IF(BW156="Instantaneous",Dispersion_I,Dispersion_D)*BW$267^(2*IF(BW156="Instantaneous",BW$154,BW$128))*BW$288^2*(EXP(BW$274+BW$276*MAX(Public,Zone_1)^2/(BW$267^(2*IF(BW156="Instantaneous",BW$154,BW$128))*BW$288^2))-EXP(BW$274+BW$276*MAX(Public,BW369)^2/(BW$267^(2*IF(BW156="Instantaneous",BW$154,BW$128))*BW$288^2)))/BW$276))</f>
        <v>0</v>
      </c>
      <c r="BX371" s="81"/>
      <c r="BY371" s="1206">
        <f>IF(OR(BY$276=0,BY$267=""),0,IF(BY369&gt;Zone_1,IF(BY156="Instantaneous",Dispersion_I,Dispersion_D)*(MAX(Public,Zone_1)^2-MAX(Public,BY369)^2)+(MAX(Public,Zone_1)-MAX(Public,BY369))*IF(BY156="Instantaneous",DC_Duration_Initial*(BY83/BY98)^(1/3),2*(BY$55/3.142)^0.5),IF(BY156="Instantaneous",Dispersion_I,Dispersion_D)*BY$267^(2*IF(BY156="Instantaneous",BY$154,BY$128))*BY$288^2*(EXP(BY$274+BY$276*MAX(Public,Zone_1)^2/(BY$267^(2*IF(BY156="Instantaneous",BY$154,BY$128))*BY$288^2))-EXP(BY$274+BY$276*MAX(Public,BY369)^2/(BY$267^(2*IF(BY156="Instantaneous",BY$154,BY$128))*BY$288^2)))/BY$276))</f>
        <v>0</v>
      </c>
      <c r="BZ371" s="81"/>
      <c r="CA371" s="1206">
        <f>IF(OR(CA$276=0,CA$267=""),0,IF(CA369&gt;Zone_1,IF(CA156="Instantaneous",Dispersion_I,Dispersion_D)*(MAX(Public,Zone_1)^2-MAX(Public,CA369)^2)+(MAX(Public,Zone_1)-MAX(Public,CA369))*IF(CA156="Instantaneous",DC_Duration_Initial*(CA83/CA98)^(1/3),2*(CA$55/3.142)^0.5),IF(CA156="Instantaneous",Dispersion_I,Dispersion_D)*CA$267^(2*IF(CA156="Instantaneous",CA$154,CA$128))*CA$288^2*(EXP(CA$274+CA$276*MAX(Public,Zone_1)^2/(CA$267^(2*IF(CA156="Instantaneous",CA$154,CA$128))*CA$288^2))-EXP(CA$274+CA$276*MAX(Public,CA369)^2/(CA$267^(2*IF(CA156="Instantaneous",CA$154,CA$128))*CA$288^2)))/CA$276))</f>
        <v>0</v>
      </c>
      <c r="CB371" s="81"/>
      <c r="CC371" s="1206">
        <f>IF(OR(CC$276=0,CC$267=""),0,IF(CC369&gt;Zone_1,IF(CC156="Instantaneous",Dispersion_I,Dispersion_D)*(MAX(Public,Zone_1)^2-MAX(Public,CC369)^2)+(MAX(Public,Zone_1)-MAX(Public,CC369))*IF(CC156="Instantaneous",DC_Duration_Initial*(CC83/CC98)^(1/3),2*(CC$55/3.142)^0.5),IF(CC156="Instantaneous",Dispersion_I,Dispersion_D)*CC$267^(2*IF(CC156="Instantaneous",CC$154,CC$128))*CC$288^2*(EXP(CC$274+CC$276*MAX(Public,Zone_1)^2/(CC$267^(2*IF(CC156="Instantaneous",CC$154,CC$128))*CC$288^2))-EXP(CC$274+CC$276*MAX(Public,CC369)^2/(CC$267^(2*IF(CC156="Instantaneous",CC$154,CC$128))*CC$288^2)))/CC$276))</f>
        <v>0</v>
      </c>
      <c r="CD371" s="81"/>
      <c r="CE371" s="85" t="s">
        <v>3804</v>
      </c>
      <c r="CF371" s="81"/>
      <c r="CG371" s="26"/>
      <c r="CH371" s="26"/>
      <c r="CI371" s="26"/>
      <c r="CJ371" s="26"/>
      <c r="CK371" s="26"/>
      <c r="CL371" s="26"/>
      <c r="CM371" s="26"/>
      <c r="CN371" s="26"/>
    </row>
    <row r="372" spans="1:92" ht="15" customHeight="1" thickBot="1" x14ac:dyDescent="0.3">
      <c r="A372" s="2"/>
      <c r="B372" s="25" t="s">
        <v>4790</v>
      </c>
      <c r="C372" s="83"/>
      <c r="D372" s="1208" t="str">
        <f>IF(D369=0,"NA",IF(AND(D$292&lt;&gt;"Yes",D369&lt;HD_VeryLow_Indoor),Conseq_VeryLow,IF(D369&lt;HD_Low_Indoor,Conseq_Low,IF(D369&lt;HD_Moderate_Indoor,Conseq_Moderate,IF(D369&lt;HD_High_Indoor,Conseq_High,HD_VeryHigh_Indoor)))))</f>
        <v>NA</v>
      </c>
      <c r="E372" s="83"/>
      <c r="F372" s="1208" t="str">
        <f>IF(F369=0,"NA",IF(AND(F$292&lt;&gt;"Yes",F369&lt;HD_VeryLow_Indoor),Conseq_VeryLow,IF(F369&lt;HD_Low_Indoor,Conseq_Low,IF(F369&lt;HD_Moderate_Indoor,Conseq_Moderate,IF(F369&lt;HD_High_Indoor,Conseq_High,HD_VeryHigh_Indoor)))))</f>
        <v>NA</v>
      </c>
      <c r="G372" s="83"/>
      <c r="H372" s="1208" t="str">
        <f>IF(H369=0,"NA",IF(AND(H$292&lt;&gt;"Yes",H369&lt;HD_VeryLow_Indoor),Conseq_VeryLow,IF(H369&lt;HD_Low_Indoor,Conseq_Low,IF(H369&lt;HD_Moderate_Indoor,Conseq_Moderate,IF(H369&lt;HD_High_Indoor,Conseq_High,HD_VeryHigh_Indoor)))))</f>
        <v>NA</v>
      </c>
      <c r="I372" s="83"/>
      <c r="J372" s="1208" t="str">
        <f>IF(J369=0,"NA",IF(AND(J$292&lt;&gt;"Yes",J369&lt;HD_VeryLow_Indoor),Conseq_VeryLow,IF(J369&lt;HD_Low_Indoor,Conseq_Low,IF(J369&lt;HD_Moderate_Indoor,Conseq_Moderate,IF(J369&lt;HD_High_Indoor,Conseq_High,HD_VeryHigh_Indoor)))))</f>
        <v>NA</v>
      </c>
      <c r="K372" s="83"/>
      <c r="L372" s="1208" t="str">
        <f>IF(L369=0,"NA",IF(AND(L$292&lt;&gt;"Yes",L369&lt;HD_VeryLow_Indoor),Conseq_VeryLow,IF(L369&lt;HD_Low_Indoor,Conseq_Low,IF(L369&lt;HD_Moderate_Indoor,Conseq_Moderate,IF(L369&lt;HD_High_Indoor,Conseq_High,HD_VeryHigh_Indoor)))))</f>
        <v>NA</v>
      </c>
      <c r="M372" s="83"/>
      <c r="N372" s="1208" t="str">
        <f>IF(N369=0,"NA",IF(AND('Special Calcs'!G$164&lt;&gt;"Yes",N369&lt;HD_VeryLow_Indoor),Conseq_VeryLow,IF(N369&lt;HD_Low_Indoor,Conseq_Low,IF(N369&lt;HD_Moderate_Indoor,Conseq_Moderate,IF(N369&lt;HD_High_Indoor,Conseq_High,HD_VeryHigh_Indoor)))))</f>
        <v>NA</v>
      </c>
      <c r="O372" s="83"/>
      <c r="P372" s="1208" t="str">
        <f>IF(P369=0,"NA",IF(AND(P$292&lt;&gt;"Yes",P369&lt;HD_VeryLow_Indoor),Conseq_VeryLow,IF(P369&lt;HD_Low_Indoor,Conseq_Low,IF(P369&lt;HD_Moderate_Indoor,Conseq_Moderate,IF(P369&lt;HD_High_Indoor,Conseq_High,HD_VeryHigh_Indoor)))))</f>
        <v>NA</v>
      </c>
      <c r="Q372" s="83"/>
      <c r="R372" s="1208" t="str">
        <f>IF(R369=0,"NA",IF(AND(R$292&lt;&gt;"Yes",R369&lt;HD_VeryLow_Indoor),Conseq_VeryLow,IF(R369&lt;HD_Low_Indoor,Conseq_Low,IF(R369&lt;HD_Moderate_Indoor,Conseq_Moderate,IF(R369&lt;HD_High_Indoor,Conseq_High,HD_VeryHigh_Indoor)))))</f>
        <v>NA</v>
      </c>
      <c r="S372" s="83"/>
      <c r="T372" s="1208" t="str">
        <f>IF(T369=0,"NA",IF(AND(T$292&lt;&gt;"Yes",T369&lt;HD_VeryLow_Indoor),Conseq_VeryLow,IF(T369&lt;HD_Low_Indoor,Conseq_Low,IF(T369&lt;HD_Moderate_Indoor,Conseq_Moderate,IF(T369&lt;HD_High_Indoor,Conseq_High,HD_VeryHigh_Indoor)))))</f>
        <v>NA</v>
      </c>
      <c r="U372" s="83"/>
      <c r="V372" s="1208" t="str">
        <f>IF(V369=0,"NA",IF(AND(V$292&lt;&gt;"Yes",V369&lt;HD_VeryLow_Indoor),Conseq_VeryLow,IF(V369&lt;HD_Low_Indoor,Conseq_Low,IF(V369&lt;HD_Moderate_Indoor,Conseq_Moderate,IF(V369&lt;HD_High_Indoor,Conseq_High,HD_VeryHigh_Indoor)))))</f>
        <v>NA</v>
      </c>
      <c r="W372" s="83"/>
      <c r="X372" s="1208" t="str">
        <f>IF(X369=0,"NA",IF(AND(X$292&lt;&gt;"Yes",X369&lt;HD_VeryLow_Indoor),Conseq_VeryLow,IF(X369&lt;HD_Low_Indoor,Conseq_Low,IF(X369&lt;HD_Moderate_Indoor,Conseq_Moderate,IF(X369&lt;HD_High_Indoor,Conseq_High,HD_VeryHigh_Indoor)))))</f>
        <v>NA</v>
      </c>
      <c r="Y372" s="83"/>
      <c r="Z372" s="23"/>
      <c r="AA372" s="83"/>
      <c r="AB372" s="81"/>
      <c r="AC372" s="23" t="s">
        <v>3637</v>
      </c>
      <c r="AD372" s="81"/>
      <c r="AE372" s="1206">
        <f>IF(Zone_1&lt;Public,IF(AC222="Instantaneous",Dispersion_R,Dispersion_M)*(MAX(AE369,(AE109-MIN(AE109,WorkArea_Elevation))*Dispersion_N^0.5,Public)^2-MAX((AE109-MIN(AE109,WorkArea_Elevation))*Dispersion_N^0.5,Public)^2)+2*(MAX(AE369,(AE109-MIN(AE109,WorkArea_Elevation))*Dispersion_N^0.5,Public)-MAX((AE109-MIN(AE109,WorkArea_Elevation))*Dispersion_N^0.5,Public))*(AE$55/3.142)^0.5,IF(AC222="Instantaneous",Dispersion_R,Dispersion_M)*(MAX(AE369,Zone_1)^2-Zone_1^2)+2*(MAX(AE369,Zone_1)-Zone_1)*(AE$55/3.142)^0.5)</f>
        <v>3.0000000000000005E-3</v>
      </c>
      <c r="AF372" s="81"/>
      <c r="AG372" s="1206">
        <f>IF(Zone_1&lt;Public,IF(AE222="Instantaneous",Dispersion_R,Dispersion_M)*(MAX(AG369,(AG109-MIN(AG109,WorkArea_Elevation))*Dispersion_N^0.5,Public)^2-MAX((AG109-MIN(AG109,WorkArea_Elevation))*Dispersion_N^0.5,Public)^2)+2*(MAX(AG369,(AG109-MIN(AG109,WorkArea_Elevation))*Dispersion_N^0.5,Public)-MAX((AG109-MIN(AG109,WorkArea_Elevation))*Dispersion_N^0.5,Public))*(AG$55/3.142)^0.5,IF(AE222="Instantaneous",Dispersion_R,Dispersion_M)*(MAX(AG369,Zone_1)^2-Zone_1^2)+2*(MAX(AG369,Zone_1)-Zone_1)*(AG$55/3.142)^0.5)</f>
        <v>3.0000000000000005E-3</v>
      </c>
      <c r="AH372" s="81"/>
      <c r="AI372" s="1206">
        <f>IF(Zone_1&lt;Public,IF(AI221="Instantaneous",Dispersion_R,Dispersion_M)*(MAX(AI369,(AI109-MIN(AI109,WorkArea_Elevation))*Dispersion_N^0.5,Public)^2-MAX((AI109-MIN(AI109,WorkArea_Elevation))*Dispersion_N^0.5,Public)^2)+2*(MAX(AI369,(AI109-MIN(AI109,WorkArea_Elevation))*Dispersion_N^0.5,Public)-MAX((AI109-MIN(AI109,WorkArea_Elevation))*Dispersion_N^0.5,Public))*(AI$55/3.142)^0.5,IF(AI221="Instantaneous",Dispersion_R,Dispersion_M)*(MAX(AI369,Zone_1)^2-Zone_1^2)+2*(MAX(AI369,Zone_1)-Zone_1)*(AI$55/3.142)^0.5)</f>
        <v>3.0000000000000005E-3</v>
      </c>
      <c r="AJ372" s="81"/>
      <c r="AK372" s="1206">
        <f>IF(Zone_1&lt;Public,IF(AK221="Instantaneous",Dispersion_R,Dispersion_M)*(MAX(AK369,(AK109-MIN(AK109,WorkArea_Elevation))*Dispersion_N^0.5,Public)^2-MAX((AK109-MIN(AK109,WorkArea_Elevation))*Dispersion_N^0.5,Public)^2)+2*(MAX(AK369,(AK109-MIN(AK109,WorkArea_Elevation))*Dispersion_N^0.5,Public)-MAX((AK109-MIN(AK109,WorkArea_Elevation))*Dispersion_N^0.5,Public))*(AK$55/3.142)^0.5,IF(AK221="Instantaneous",Dispersion_R,Dispersion_M)*(MAX(AK369,Zone_1)^2-Zone_1^2)+2*(MAX(AK369,Zone_1)-Zone_1)*(AK$55/3.142)^0.5)</f>
        <v>3.0000000000000005E-3</v>
      </c>
      <c r="AL372" s="81"/>
      <c r="AM372" s="1206">
        <f>IF(Zone_1&lt;Public,IF(AM221="Instantaneous",Dispersion_R,Dispersion_M)*(MAX(AM369,(AM109-MIN(AM109,WorkArea_Elevation))*Dispersion_N^0.5,Public)^2-MAX((AM109-MIN(AM109,WorkArea_Elevation))*Dispersion_N^0.5,Public)^2)+2*(MAX(AM369,(AM109-MIN(AM109,WorkArea_Elevation))*Dispersion_N^0.5,Public)-MAX((AM109-MIN(AM109,WorkArea_Elevation))*Dispersion_N^0.5,Public))*(AM$55/3.142)^0.5,IF(AM221="Instantaneous",Dispersion_R,Dispersion_M)*(MAX(AM369,Zone_1)^2-Zone_1^2)+2*(MAX(AM369,Zone_1)-Zone_1)*(AM$55/3.142)^0.5)</f>
        <v>3.0000000000000005E-3</v>
      </c>
      <c r="AN372" s="81"/>
      <c r="AO372" s="1206">
        <f>IF(Zone_1&lt;Public,IF(AO221="Instantaneous",Dispersion_R,Dispersion_M)*(MAX(AO369,(AO109-MIN(AO109,WorkArea_Elevation))*Dispersion_N^0.5,Public)^2-MAX((AO109-MIN(AO109,WorkArea_Elevation))*Dispersion_N^0.5,Public)^2)+2*(MAX(AO369,(AO109-MIN(AO109,WorkArea_Elevation))*Dispersion_N^0.5,Public)-MAX((AO109-MIN(AO109,WorkArea_Elevation))*Dispersion_N^0.5,Public))*(AO$55/3.142)^0.5,IF(AO221="Instantaneous",Dispersion_R,Dispersion_M)*(MAX(AO369,Zone_1)^2-Zone_1^2)+2*(MAX(AO369,Zone_1)-Zone_1)*(AO$55/3.142)^0.5)</f>
        <v>3.0000000000000005E-3</v>
      </c>
      <c r="AP372" s="81"/>
      <c r="AQ372" s="85" t="s">
        <v>3804</v>
      </c>
      <c r="AR372" s="81"/>
      <c r="AS372" s="83"/>
      <c r="AT372" s="23" t="s">
        <v>4061</v>
      </c>
      <c r="AU372" s="83"/>
      <c r="AV372" s="1820">
        <f>IF(OR(AV$271=0,AV294=0),0,MIN(1,EXP(AV$271+AV$272/AV294^(2*AV$125))))</f>
        <v>0</v>
      </c>
      <c r="AW372" s="83"/>
      <c r="AX372" s="1820">
        <f>IF(OR(AX$271=0,AX294=0),0,MIN(1,EXP(AX$271+AX$272/AX294^(2*AX$125))))</f>
        <v>0</v>
      </c>
      <c r="AY372" s="83"/>
      <c r="AZ372" s="1820">
        <f>IF(OR(AZ$271=0,AZ294=0),0,MIN(1,EXP(AZ$271+AZ$272/AZ294^(2*AZ$125))))</f>
        <v>0</v>
      </c>
      <c r="BA372" s="83"/>
      <c r="BB372" s="1820">
        <f>IF(OR(BB$271=0,BB294=0),0,MIN(1,EXP(BB$271+BB$272/BB294^(2*BB$125))))</f>
        <v>0</v>
      </c>
      <c r="BC372" s="83"/>
      <c r="BD372" s="1820">
        <f>IF(OR(BD$271=0,BD294=0),0,MIN(1,EXP(BD$271+BD$272/BD294^(2*BD$125))))</f>
        <v>0</v>
      </c>
      <c r="BE372" s="83"/>
      <c r="BF372" s="1820">
        <f>IF(OR(BF$271=0,BF294=0),0,MIN(1,EXP(BF$271+BF$272/BF294^(2*BF$125))))</f>
        <v>0</v>
      </c>
      <c r="BG372" s="83"/>
      <c r="BH372" s="1820">
        <f>IF(OR(BH$271=0,BH294=0),0,MIN(1,EXP(BH$271+BH$272/BH294^(2*BH$125))))</f>
        <v>0</v>
      </c>
      <c r="BI372" s="83"/>
      <c r="BJ372" s="1820">
        <f>IF(OR(BJ$271=0,BJ294=0),0,MIN(1,EXP(BJ$271+BJ$272/BJ294^(2*BJ$125))))</f>
        <v>0</v>
      </c>
      <c r="BK372" s="83"/>
      <c r="BL372" s="1820">
        <f>IF(OR(BL$271=0,BL294=0),0,MIN(1,EXP(BL$271+BL$272/BL294^(2*BL$125))))</f>
        <v>0</v>
      </c>
      <c r="BM372" s="83"/>
      <c r="BN372" s="1820">
        <f>IF(OR(BN$271=0,BN294=0),0,MIN(1,EXP(BN$271+BN$272/BN294^(2*BN$125))))</f>
        <v>0</v>
      </c>
      <c r="BO372" s="83"/>
      <c r="BP372" s="84"/>
      <c r="BQ372" s="83"/>
      <c r="BR372" s="81"/>
      <c r="BS372" s="23" t="s">
        <v>3706</v>
      </c>
      <c r="BT372" s="81"/>
      <c r="BU372" s="1206" t="e">
        <f>IF(Zone_1&lt;Public,IF(BU156="Instantaneous",Dispersion_I,Dispersion_D)*(MAX(BU369,Public)^2-Public^2)+(MAX(Public,Zone_1)-MAX(Public,BU369))*IF(BU208="Instantaneous",DC_Duration_Initial*(BU83/BU98)^(1/3),2*(BU$55/3.142)^0.5),IF(BU156="Instantaneous",Dispersion_I,Dispersion_D)*(MAX(BU369,Zone_1)^2-Zone_1^2)+(MAX(BU369,Zone_1)-Zone_1)*IF(BU156="Instantaneous",DC_Duration_Initial*(BU83/BU98)^(1/3),2*(BU$55/3.142)^0.5))</f>
        <v>#DIV/0!</v>
      </c>
      <c r="BV372" s="81"/>
      <c r="BW372" s="1206" t="e">
        <f>IF(Zone_1&lt;Public,IF(BW156="Instantaneous",Dispersion_I,Dispersion_D)*(MAX(BW369,Public)^2-Public^2)+(MAX(Public,Zone_1)-MAX(Public,BW369))*IF(BW208="Instantaneous",DC_Duration_Initial*(BW83/BW98)^(1/3),2*(BW$55/3.142)^0.5),IF(BW156="Instantaneous",Dispersion_I,Dispersion_D)*(MAX(BW369,Zone_1)^2-Zone_1^2)+(MAX(BW369,Zone_1)-Zone_1)*IF(BW156="Instantaneous",DC_Duration_Initial*(BW83/BW98)^(1/3),2*(BW$55/3.142)^0.5))</f>
        <v>#DIV/0!</v>
      </c>
      <c r="BX372" s="81"/>
      <c r="BY372" s="1206" t="e">
        <f>IF(Zone_1&lt;Public,IF(BY156="Instantaneous",Dispersion_I,Dispersion_D)*(MAX(BY369,Public)^2-Public^2)+(MAX(Public,Zone_1)-MAX(Public,BY369))*IF(BY208="Instantaneous",DC_Duration_Initial*(BY83/BY98)^(1/3),2*(BY$55/3.142)^0.5),IF(BY156="Instantaneous",Dispersion_I,Dispersion_D)*(MAX(BY369,Zone_1)^2-Zone_1^2)+(MAX(BY369,Zone_1)-Zone_1)*IF(BY156="Instantaneous",DC_Duration_Initial*(BY83/BY98)^(1/3),2*(BY$55/3.142)^0.5))</f>
        <v>#DIV/0!</v>
      </c>
      <c r="BZ372" s="81"/>
      <c r="CA372" s="1206" t="e">
        <f>IF(Zone_1&lt;Public,IF(CA156="Instantaneous",Dispersion_I,Dispersion_D)*(MAX(CA369,Public)^2-Public^2)+(MAX(Public,Zone_1)-MAX(Public,CA369))*IF(CA208="Instantaneous",DC_Duration_Initial*(CA83/CA98)^(1/3),2*(CA$55/3.142)^0.5),IF(CA156="Instantaneous",Dispersion_I,Dispersion_D)*(MAX(CA369,Zone_1)^2-Zone_1^2)+(MAX(CA369,Zone_1)-Zone_1)*IF(CA156="Instantaneous",DC_Duration_Initial*(CA83/CA98)^(1/3),2*(CA$55/3.142)^0.5))</f>
        <v>#DIV/0!</v>
      </c>
      <c r="CB372" s="81"/>
      <c r="CC372" s="1206" t="e">
        <f>IF(Zone_1&lt;Public,IF(CC156="Instantaneous",Dispersion_I,Dispersion_D)*(MAX(CC369,Public)^2-Public^2)+(MAX(Public,Zone_1)-MAX(Public,CC369))*IF(CC208="Instantaneous",DC_Duration_Initial*(CC83/CC98)^(1/3),2*(CC$55/3.142)^0.5),IF(CC156="Instantaneous",Dispersion_I,Dispersion_D)*(MAX(CC369,Zone_1)^2-Zone_1^2)+(MAX(CC369,Zone_1)-Zone_1)*IF(CC156="Instantaneous",DC_Duration_Initial*(CC83/CC98)^(1/3),2*(CC$55/3.142)^0.5))</f>
        <v>#DIV/0!</v>
      </c>
      <c r="CD372" s="81"/>
      <c r="CE372" s="85" t="s">
        <v>3804</v>
      </c>
      <c r="CF372" s="81"/>
      <c r="CG372" s="26"/>
      <c r="CM372" s="26"/>
      <c r="CN372" s="26"/>
    </row>
    <row r="373" spans="1:92" ht="15" customHeight="1" thickBot="1" x14ac:dyDescent="0.3">
      <c r="A373" s="2"/>
      <c r="B373" s="25" t="s">
        <v>4225</v>
      </c>
      <c r="C373" s="83"/>
      <c r="D373" s="2135" t="str">
        <f>IF(Conseq_Criteria="Hazard Distance",D372,IF(AND(OR(D243="",AND(Regulatory_Tox&lt;&gt;"Yes",ER3_Min&gt;Toxic_Limit),D304="No"),D305="No"),"NA",IF(D370&lt;N_VeryLow,Conseq_VeryLow,IF(D370&lt;N_Low,Conseq_Low,IF(D370&lt;N_Moderate,Conseq_Moderate,IF(D370&lt;N_High,Conseq_High,IF(D370&lt;N_VeryHigh,Conseq_VeryHigh,Conseq_ExtremeHigh)))))))</f>
        <v>NA</v>
      </c>
      <c r="E373" s="83"/>
      <c r="F373" s="2135" t="str">
        <f>IF(Conseq_Criteria="Hazard Distance",F372,IF(AND(OR(F243="",AND(Regulatory_Tox&lt;&gt;"Yes",ER3_Min&gt;Toxic_Limit),F304="No"),F305="No"),"NA",IF(F370&lt;N_VeryLow,Conseq_VeryLow,IF(F370&lt;N_Low,Conseq_Low,IF(F370&lt;N_Moderate,Conseq_Moderate,IF(F370&lt;N_High,Conseq_High,IF(F370&lt;N_VeryHigh,Conseq_VeryHigh,Conseq_ExtremeHigh)))))))</f>
        <v>NA</v>
      </c>
      <c r="G373" s="83"/>
      <c r="H373" s="2135" t="str">
        <f>IF(Conseq_Criteria="Hazard Distance",H372,IF(AND(OR(H243="",AND(Regulatory_Tox&lt;&gt;"Yes",ER3_Min&gt;Toxic_Limit),H304="No"),H305="No"),"NA",IF(H370&lt;N_VeryLow,Conseq_VeryLow,IF(H370&lt;N_Low,Conseq_Low,IF(H370&lt;N_Moderate,Conseq_Moderate,IF(H370&lt;N_High,Conseq_High,IF(H370&lt;N_VeryHigh,Conseq_VeryHigh,Conseq_ExtremeHigh)))))))</f>
        <v>NA</v>
      </c>
      <c r="I373" s="83"/>
      <c r="J373" s="2135" t="str">
        <f>IF(Conseq_Criteria="Hazard Distance",J372,IF(AND(OR(J243="",AND(Regulatory_Tox&lt;&gt;"Yes",ER3_Min&gt;Toxic_Limit),J304="No"),J305="No"),"NA",IF(J370&lt;N_VeryLow,Conseq_VeryLow,IF(J370&lt;N_Low,Conseq_Low,IF(J370&lt;N_Moderate,Conseq_Moderate,IF(J370&lt;N_High,Conseq_High,IF(J370&lt;N_VeryHigh,Conseq_VeryHigh,Conseq_ExtremeHigh)))))))</f>
        <v>NA</v>
      </c>
      <c r="K373" s="83"/>
      <c r="L373" s="2135" t="str">
        <f>IF(Conseq_Criteria="Hazard Distance",L372,IF(AND(OR(L243="",AND(Regulatory_Tox&lt;&gt;"Yes",ER3_Min&gt;Toxic_Limit),L304="No"),L305="No"),"NA",IF(L370&lt;N_VeryLow,Conseq_VeryLow,IF(L370&lt;N_Low,Conseq_Low,IF(L370&lt;N_Moderate,Conseq_Moderate,IF(L370&lt;N_High,Conseq_High,IF(L370&lt;N_VeryHigh,Conseq_VeryHigh,Conseq_ExtremeHigh)))))))</f>
        <v>NA</v>
      </c>
      <c r="M373" s="83"/>
      <c r="N373" s="2135" t="str">
        <f>IF(Conseq_Criteria="Hazard Distance",N372,IF(AND(OR(N243="",AND(Regulatory_Tox&lt;&gt;"Yes",ER3_Min&gt;Toxic_Limit),N304="No"),N305="No"),"NA",IF(N370&lt;N_VeryLow,Conseq_VeryLow,IF(N370&lt;N_Low,Conseq_Low,IF(N370&lt;N_Moderate,Conseq_Moderate,IF(N370&lt;N_High,Conseq_High,IF(N370&lt;N_VeryHigh,Conseq_VeryHigh,Conseq_ExtremeHigh)))))))</f>
        <v>NA</v>
      </c>
      <c r="O373" s="83"/>
      <c r="P373" s="2135" t="str">
        <f>IF(Conseq_Criteria="Hazard Distance",P372,IF(AND(OR(P243="",AND(Regulatory_Tox&lt;&gt;"Yes",ER3_Min&gt;Toxic_Limit),P304="No"),P305="No"),"NA",IF(P370&lt;N_VeryLow,Conseq_VeryLow,IF(P370&lt;N_Low,Conseq_Low,IF(P370&lt;N_Moderate,Conseq_Moderate,IF(P370&lt;N_High,Conseq_High,IF(P370&lt;N_VeryHigh,Conseq_VeryHigh,Conseq_ExtremeHigh)))))))</f>
        <v>NA</v>
      </c>
      <c r="Q373" s="83"/>
      <c r="R373" s="2135" t="str">
        <f>IF(Conseq_Criteria="Hazard Distance",R372,IF(AND(OR(R243="",AND(Regulatory_Tox&lt;&gt;"Yes",ER3_Min&gt;Toxic_Limit),R304="No"),R305="No"),"NA",IF(R370&lt;N_VeryLow,Conseq_VeryLow,IF(R370&lt;N_Low,Conseq_Low,IF(R370&lt;N_Moderate,Conseq_Moderate,IF(R370&lt;N_High,Conseq_High,IF(R370&lt;N_VeryHigh,Conseq_VeryHigh,Conseq_ExtremeHigh)))))))</f>
        <v>NA</v>
      </c>
      <c r="S373" s="83"/>
      <c r="T373" s="2135" t="str">
        <f>IF(Conseq_Criteria="Hazard Distance",T372,IF(AND(OR(T243="",AND(Regulatory_Tox&lt;&gt;"Yes",ER3_Min&gt;Toxic_Limit),T304="No"),T305="No"),"NA",IF(T370&lt;N_VeryLow,Conseq_VeryLow,IF(T370&lt;N_Low,Conseq_Low,IF(T370&lt;N_Moderate,Conseq_Moderate,IF(T370&lt;N_High,Conseq_High,IF(T370&lt;N_VeryHigh,Conseq_VeryHigh,Conseq_ExtremeHigh)))))))</f>
        <v>NA</v>
      </c>
      <c r="U373" s="83"/>
      <c r="V373" s="2135" t="str">
        <f>IF(Conseq_Criteria="Hazard Distance",V372,IF(AND(OR(V243="",AND(Regulatory_Tox&lt;&gt;"Yes",ER3_Min&gt;Toxic_Limit),V304="No"),V305="No"),"NA",IF(V370&lt;N_VeryLow,Conseq_VeryLow,IF(V370&lt;N_Low,Conseq_Low,IF(V370&lt;N_Moderate,Conseq_Moderate,IF(V370&lt;N_High,Conseq_High,IF(V370&lt;N_VeryHigh,Conseq_VeryHigh,Conseq_ExtremeHigh)))))))</f>
        <v>NA</v>
      </c>
      <c r="W373" s="83"/>
      <c r="X373" s="2135" t="str">
        <f>IF(Conseq_Criteria="Hazard Distance",X372,IF(AND(OR(X243="",AND(Regulatory_Tox&lt;&gt;"Yes",ER3_Min&gt;Toxic_Limit),X304="No"),X305="No"),"NA",IF(X370&lt;N_VeryLow,Conseq_VeryLow,IF(X370&lt;N_Low,Conseq_Low,IF(X370&lt;N_Moderate,Conseq_Moderate,IF(X370&lt;N_High,Conseq_High,IF(X370&lt;N_VeryHigh,Conseq_VeryHigh,Conseq_ExtremeHigh)))))))</f>
        <v>NA</v>
      </c>
      <c r="Y373" s="83"/>
      <c r="Z373" s="89"/>
      <c r="AA373" s="83"/>
      <c r="AB373" s="81"/>
      <c r="AC373" s="23" t="s">
        <v>3638</v>
      </c>
      <c r="AD373" s="81"/>
      <c r="AE373" s="1206">
        <f>IF(OR(AE$292=0,AE$286=""),0,IF(Zone_1&lt;MAX((AE109-MIN(AE109,WorkArea_Elevation))*Dispersion_N^0.5,Public),IF(AC222="Instantaneous",Dispersion_R,Dispersion_M)*AE$286^(2*IF(AC222="Instantaneous",AE$219,AE$193))*AE$304^2*(0-EXP(AE$291+AE$292*MAX(AE369,(AE109-MIN(AE109,WorkArea_Elevation))*Dispersion_N^0.5,Public)^2/(AE$286^(2*IF(AC222="Instantaneous",AE$219,AE$193))*AE$304^2)))/AE$292,IF(AC222="Instantaneous",Dispersion_R,Dispersion_M)*AE$286^(2*IF(AC222="Instantaneous",AE$219,AE$193))*AE$304^2*(0-EXP(AE$291+AE$292*MAX(AE369,Zone_1)^2/(AE$286^(2*IF(AC222="Instantaneous",AE$219,AE$193))*AE$304^2)))/AE$292))</f>
        <v>0</v>
      </c>
      <c r="AF373" s="81"/>
      <c r="AG373" s="1206">
        <f>IF(OR(AG$292=0,AG$286=""),0,IF(Zone_1&lt;MAX((AG109-MIN(AG109,WorkArea_Elevation))*Dispersion_N^0.5,Public),IF(AE222="Instantaneous",Dispersion_R,Dispersion_M)*AG$286^(2*IF(AE222="Instantaneous",AG$219,AG$193))*AG$304^2*(0-EXP(AG$291+AG$292*MAX(AG369,(AG109-MIN(AG109,WorkArea_Elevation))*Dispersion_N^0.5,Public)^2/(AG$286^(2*IF(AE222="Instantaneous",AG$219,AG$193))*AG$304^2)))/AG$292,IF(AE222="Instantaneous",Dispersion_R,Dispersion_M)*AG$286^(2*IF(AE222="Instantaneous",AG$219,AG$193))*AG$304^2*(0-EXP(AG$291+AG$292*MAX(AG369,Zone_1)^2/(AG$286^(2*IF(AE222="Instantaneous",AG$219,AG$193))*AG$304^2)))/AG$292))</f>
        <v>0</v>
      </c>
      <c r="AH373" s="81"/>
      <c r="AI373" s="1206">
        <f>IF(OR(AI$292=0,AI$286=""),0,IF(Zone_1&lt;MAX((AI109-MIN(AI109,WorkArea_Elevation))*Dispersion_N^0.5,Public),IF(AI221="Instantaneous",Dispersion_R,Dispersion_M)*AI$286^(2*IF(AI221="Instantaneous",AI$219,AI$193))*AI$304^2*(0-EXP(AI$291+AI$292*MAX(AI369,(AI109-MIN(AI109,WorkArea_Elevation))*Dispersion_N^0.5,Public)^2/(AI$286^(2*IF(AI221="Instantaneous",AI$219,AI$193))*AI$304^2)))/AI$292,IF(AI221="Instantaneous",Dispersion_R,Dispersion_M)*AI$286^(2*IF(AI221="Instantaneous",AI$219,AI$193))*AI$304^2*(0-EXP(AI$291+AI$292*MAX(AI369,Zone_1)^2/(AI$286^(2*IF(AI221="Instantaneous",AI$219,AI$193))*AI$304^2)))/AI$292))</f>
        <v>0</v>
      </c>
      <c r="AJ373" s="81"/>
      <c r="AK373" s="1206">
        <f>IF(OR(AK$292=0,AK$286=""),0,IF(Zone_1&lt;MAX((AK109-MIN(AK109,WorkArea_Elevation))*Dispersion_N^0.5,Public),IF(AK221="Instantaneous",Dispersion_R,Dispersion_M)*AK$286^(2*IF(AK221="Instantaneous",AK$219,AK$193))*AK$304^2*(0-EXP(AK$291+AK$292*MAX(AK369,(AK109-MIN(AK109,WorkArea_Elevation))*Dispersion_N^0.5,Public)^2/(AK$286^(2*IF(AK221="Instantaneous",AK$219,AK$193))*AK$304^2)))/AK$292,IF(AK221="Instantaneous",Dispersion_R,Dispersion_M)*AK$286^(2*IF(AK221="Instantaneous",AK$219,AK$193))*AK$304^2*(0-EXP(AK$291+AK$292*MAX(AK369,Zone_1)^2/(AK$286^(2*IF(AK221="Instantaneous",AK$219,AK$193))*AK$304^2)))/AK$292))</f>
        <v>0</v>
      </c>
      <c r="AL373" s="81"/>
      <c r="AM373" s="1206">
        <f>IF(OR(AM$292=0,AM$286=""),0,IF(Zone_1&lt;MAX((AM109-MIN(AM109,WorkArea_Elevation))*Dispersion_N^0.5,Public),IF(AM221="Instantaneous",Dispersion_R,Dispersion_M)*AM$286^(2*IF(AM221="Instantaneous",AM$219,AM$193))*AM$304^2*(0-EXP(AM$291+AM$292*MAX(AM369,(AM109-MIN(AM109,WorkArea_Elevation))*Dispersion_N^0.5,Public)^2/(AM$286^(2*IF(AM221="Instantaneous",AM$219,AM$193))*AM$304^2)))/AM$292,IF(AM221="Instantaneous",Dispersion_R,Dispersion_M)*AM$286^(2*IF(AM221="Instantaneous",AM$219,AM$193))*AM$304^2*(0-EXP(AM$291+AM$292*MAX(AM369,Zone_1)^2/(AM$286^(2*IF(AM221="Instantaneous",AM$219,AM$193))*AM$304^2)))/AM$292))</f>
        <v>0</v>
      </c>
      <c r="AN373" s="81"/>
      <c r="AO373" s="1206">
        <f>IF(OR(AO$292=0,AO$286=""),0,IF(Zone_1&lt;MAX((AO109-MIN(AO109,WorkArea_Elevation))*Dispersion_N^0.5,Public),IF(AO221="Instantaneous",Dispersion_R,Dispersion_M)*AO$286^(2*IF(AO221="Instantaneous",AO$219,AO$193))*AO$304^2*(0-EXP(AO$291+AO$292*MAX(AO369,(AO109-MIN(AO109,WorkArea_Elevation))*Dispersion_N^0.5,Public)^2/(AO$286^(2*IF(AO221="Instantaneous",AO$219,AO$193))*AO$304^2)))/AO$292,IF(AO221="Instantaneous",Dispersion_R,Dispersion_M)*AO$286^(2*IF(AO221="Instantaneous",AO$219,AO$193))*AO$304^2*(0-EXP(AO$291+AO$292*MAX(AO369,Zone_1)^2/(AO$286^(2*IF(AO221="Instantaneous",AO$219,AO$193))*AO$304^2)))/AO$292))</f>
        <v>0</v>
      </c>
      <c r="AP373" s="81"/>
      <c r="AQ373" s="85" t="s">
        <v>3804</v>
      </c>
      <c r="AR373" s="81"/>
      <c r="AS373" s="83"/>
      <c r="AT373" s="23" t="s">
        <v>2931</v>
      </c>
      <c r="AU373" s="83"/>
      <c r="AV373" s="1820">
        <f>IF(OR(AV$271=0,AV295=0),0,MIN(1,EXP(AV$271+AV$272/AV295^(2*AV$125))))</f>
        <v>0</v>
      </c>
      <c r="AW373" s="83"/>
      <c r="AX373" s="1820">
        <f>IF(OR(AX$271=0,AX295=0),0,MIN(1,EXP(AX$271+AX$272/AX295^(2*AX$125))))</f>
        <v>0</v>
      </c>
      <c r="AY373" s="83"/>
      <c r="AZ373" s="1820">
        <f>IF(OR(AZ$271=0,AZ295=0),0,MIN(1,EXP(AZ$271+AZ$272/AZ295^(2*AZ$125))))</f>
        <v>0</v>
      </c>
      <c r="BA373" s="83"/>
      <c r="BB373" s="1820">
        <f>IF(OR(BB$271=0,BB295=0),0,MIN(1,EXP(BB$271+BB$272/BB295^(2*BB$125))))</f>
        <v>0</v>
      </c>
      <c r="BC373" s="83"/>
      <c r="BD373" s="1820">
        <f>IF(OR(BD$271=0,BD295=0),0,MIN(1,EXP(BD$271+BD$272/BD295^(2*BD$125))))</f>
        <v>0</v>
      </c>
      <c r="BE373" s="83"/>
      <c r="BF373" s="1820">
        <f>IF(OR(BF$271=0,BF295=0),0,MIN(1,EXP(BF$271+BF$272/BF295^(2*BF$125))))</f>
        <v>0</v>
      </c>
      <c r="BG373" s="83"/>
      <c r="BH373" s="1820">
        <f>IF(OR(BH$271=0,BH295=0),0,MIN(1,EXP(BH$271+BH$272/BH295^(2*BH$125))))</f>
        <v>0</v>
      </c>
      <c r="BI373" s="83"/>
      <c r="BJ373" s="1820">
        <f>IF(OR(BJ$271=0,BJ295=0),0,MIN(1,EXP(BJ$271+BJ$272/BJ295^(2*BJ$125))))</f>
        <v>0</v>
      </c>
      <c r="BK373" s="83"/>
      <c r="BL373" s="1820">
        <f>IF(OR(BL$271=0,BL295=0),0,MIN(1,EXP(BL$271+BL$272/BL295^(2*BL$125))))</f>
        <v>0</v>
      </c>
      <c r="BM373" s="83"/>
      <c r="BN373" s="1820">
        <f>IF(OR(BN$271=0,BN295=0),0,MIN(1,EXP(BN$271+BN$272/BN295^(2*BN$125))))</f>
        <v>0</v>
      </c>
      <c r="BO373" s="83"/>
      <c r="BP373" s="23"/>
      <c r="BQ373" s="83"/>
      <c r="BR373" s="81"/>
      <c r="BS373" s="23" t="s">
        <v>3707</v>
      </c>
      <c r="BT373" s="81"/>
      <c r="BU373" s="1206">
        <f>IF(OR(BU$276=0,BU$267=""),0,IF(Zone_1&lt;Public,IF(BU156="Instantaneous",Dispersion_I,Dispersion_D)*BU$267^(2*IF(BU156="Instantaneous",BU$154,BU$128))*BU$288^2*(0-EXP(BU$274+BU$276*MAX(BU369,Public)^2/(BU$267^(2*IF(BU156="Instantaneous",BU$154,BU$128))*BU$288^2)))/BU$276,IF(BU156="Instantaneous",Dispersion_I,Dispersion_D)*BU$267^(2*IF(BU156="Instantaneous",BU$154,BU$128))*BU$288^2*(0-EXP(BU$274+BU$276*MAX(BU369,Zone_1)^2/(BU$267^(2*IF(BU156="Instantaneous",BU$154,BU$128))*BU$288^2)))/BU$276))</f>
        <v>0</v>
      </c>
      <c r="BV373" s="81"/>
      <c r="BW373" s="1206">
        <f>IF(OR(BW$276=0,BW$267=""),0,IF(Zone_1&lt;Public,IF(BW156="Instantaneous",Dispersion_I,Dispersion_D)*BW$267^(2*IF(BW156="Instantaneous",BW$154,BW$128))*BW$288^2*(0-EXP(BW$274+BW$276*MAX(BW369,Public)^2/(BW$267^(2*IF(BW156="Instantaneous",BW$154,BW$128))*BW$288^2)))/BW$276,IF(BW156="Instantaneous",Dispersion_I,Dispersion_D)*BW$267^(2*IF(BW156="Instantaneous",BW$154,BW$128))*BW$288^2*(0-EXP(BW$274+BW$276*MAX(BW369,Zone_1)^2/(BW$267^(2*IF(BW156="Instantaneous",BW$154,BW$128))*BW$288^2)))/BW$276))</f>
        <v>0</v>
      </c>
      <c r="BX373" s="81"/>
      <c r="BY373" s="1206">
        <f>IF(OR(BY$276=0,BY$267=""),0,IF(Zone_1&lt;Public,IF(BY156="Instantaneous",Dispersion_I,Dispersion_D)*BY$267^(2*IF(BY156="Instantaneous",BY$154,BY$128))*BY$288^2*(0-EXP(BY$274+BY$276*MAX(BY369,Public)^2/(BY$267^(2*IF(BY156="Instantaneous",BY$154,BY$128))*BY$288^2)))/BY$276,IF(BY156="Instantaneous",Dispersion_I,Dispersion_D)*BY$267^(2*IF(BY156="Instantaneous",BY$154,BY$128))*BY$288^2*(0-EXP(BY$274+BY$276*MAX(BY369,Zone_1)^2/(BY$267^(2*IF(BY156="Instantaneous",BY$154,BY$128))*BY$288^2)))/BY$276))</f>
        <v>0</v>
      </c>
      <c r="BZ373" s="81"/>
      <c r="CA373" s="1206">
        <f>IF(OR(CA$276=0,CA$267=""),0,IF(Zone_1&lt;Public,IF(CA156="Instantaneous",Dispersion_I,Dispersion_D)*CA$267^(2*IF(CA156="Instantaneous",CA$154,CA$128))*CA$288^2*(0-EXP(CA$274+CA$276*MAX(CA369,Public)^2/(CA$267^(2*IF(CA156="Instantaneous",CA$154,CA$128))*CA$288^2)))/CA$276,IF(CA156="Instantaneous",Dispersion_I,Dispersion_D)*CA$267^(2*IF(CA156="Instantaneous",CA$154,CA$128))*CA$288^2*(0-EXP(CA$274+CA$276*MAX(CA369,Zone_1)^2/(CA$267^(2*IF(CA156="Instantaneous",CA$154,CA$128))*CA$288^2)))/CA$276))</f>
        <v>0</v>
      </c>
      <c r="CB373" s="81"/>
      <c r="CC373" s="1206">
        <f>IF(OR(CC$276=0,CC$267=""),0,IF(Zone_1&lt;Public,IF(CC156="Instantaneous",Dispersion_I,Dispersion_D)*CC$267^(2*IF(CC156="Instantaneous",CC$154,CC$128))*CC$288^2*(0-EXP(CC$274+CC$276*MAX(CC369,Public)^2/(CC$267^(2*IF(CC156="Instantaneous",CC$154,CC$128))*CC$288^2)))/CC$276,IF(CC156="Instantaneous",Dispersion_I,Dispersion_D)*CC$267^(2*IF(CC156="Instantaneous",CC$154,CC$128))*CC$288^2*(0-EXP(CC$274+CC$276*MAX(CC369,Zone_1)^2/(CC$267^(2*IF(CC156="Instantaneous",CC$154,CC$128))*CC$288^2)))/CC$276))</f>
        <v>0</v>
      </c>
      <c r="CD373" s="81"/>
      <c r="CE373" s="85" t="s">
        <v>3804</v>
      </c>
      <c r="CF373" s="81"/>
      <c r="CG373" s="26"/>
      <c r="CM373" s="26"/>
      <c r="CN373" s="26"/>
    </row>
    <row r="374" spans="1:92" ht="15" customHeight="1" x14ac:dyDescent="0.25">
      <c r="A374" s="2"/>
      <c r="B374" s="23" t="s">
        <v>2218</v>
      </c>
      <c r="C374" s="83"/>
      <c r="D374" s="1820">
        <f>IF(OR(D$274=0,D296=0),0,MIN(1,EXP(D$274+D$275/D296^(2*D$128))))</f>
        <v>0</v>
      </c>
      <c r="E374" s="83"/>
      <c r="F374" s="1820">
        <f>IF(OR(F$274=0,F296=0),0,MIN(1,EXP(F$274+F$275/F296^(2*F$128))))</f>
        <v>0</v>
      </c>
      <c r="G374" s="83"/>
      <c r="H374" s="1820">
        <f>IF(OR(H$274=0,H296=0),0,MIN(1,EXP(H$274+H$275/H296^(2*H$128))))</f>
        <v>0</v>
      </c>
      <c r="I374" s="83"/>
      <c r="J374" s="1820">
        <f>IF(OR(J$274=0,J296=0),0,MIN(1,EXP(J$274+J$275/J296^(2*J$128))))</f>
        <v>0</v>
      </c>
      <c r="K374" s="83"/>
      <c r="L374" s="1820">
        <f>IF(OR(L$274=0,L296=0),0,MIN(1,EXP(L$274+L$275/L296^(2*L$128))))</f>
        <v>0</v>
      </c>
      <c r="M374" s="83"/>
      <c r="N374" s="1820">
        <f>IF(OR(N$274=0,N296=0),0,MIN(1,EXP(N$274+N$275/N296^(2*N$128))))</f>
        <v>0</v>
      </c>
      <c r="O374" s="83"/>
      <c r="P374" s="1820">
        <f>IF(OR(P$274=0,P296=0),0,MIN(1,EXP(P$274+P$275/P296^(2*P$128))))</f>
        <v>0</v>
      </c>
      <c r="Q374" s="83"/>
      <c r="R374" s="1820">
        <f>IF(OR(R$274=0,R296=0),0,MIN(1,EXP(R$274+R$275/R296^(2*R$128))))</f>
        <v>0</v>
      </c>
      <c r="S374" s="83"/>
      <c r="T374" s="1820">
        <f>IF(OR(T$274=0,T296=0),0,MIN(1,EXP(T$274+T$275/T296^(2*T$128))))</f>
        <v>0</v>
      </c>
      <c r="U374" s="83"/>
      <c r="V374" s="1820">
        <f>IF(OR(V$274=0,V296=0),0,MIN(1,EXP(V$274+V$275/V296^(2*V$128))))</f>
        <v>0</v>
      </c>
      <c r="W374" s="83"/>
      <c r="X374" s="1820">
        <f>IF(OR(X$274=0,X296=0),0,MIN(1,EXP(X$274+X$275/X296^(2*X$128))))</f>
        <v>0</v>
      </c>
      <c r="Y374" s="83"/>
      <c r="Z374" s="23"/>
      <c r="AA374" s="83"/>
      <c r="AB374" s="81"/>
      <c r="AC374" s="23" t="s">
        <v>3642</v>
      </c>
      <c r="AD374" s="81"/>
      <c r="AE374" s="1861">
        <f>Outdoor_Fract_Night*((AE365+AE366)*IF(Offsite_PD1="",Offsite_PD,1000000*Offsite_PD1)+(AE367+AE368)*IF(Offsite_PD2="",Offsite_PD,1000000*Offsite_PD2))/1000000+(1-Outdoor_Fract_Night)*((AE370+AE371)*IF(Offsite_PD1="",Offsite_PD,1000000*Offsite_PD1)+(AE372+AE373)*IF(Offsite_PD2="",Offsite_PD,1000000*Offsite_PD2))/1000000</f>
        <v>9.0000000000000019E-6</v>
      </c>
      <c r="AF374" s="81"/>
      <c r="AG374" s="1861">
        <f>Outdoor_Fract_Night*((AG365+AG366)*IF(Offsite_PD1="",Offsite_PD,1000000*Offsite_PD1)+(AG367+AG368)*IF(Offsite_PD2="",Offsite_PD,1000000*Offsite_PD2))/1000000+(1-Outdoor_Fract_Night)*((AG370+AG371)*IF(Offsite_PD1="",Offsite_PD,1000000*Offsite_PD1)+(AG372+AG373)*IF(Offsite_PD2="",Offsite_PD,1000000*Offsite_PD2))/1000000</f>
        <v>9.0000000000000019E-6</v>
      </c>
      <c r="AH374" s="81"/>
      <c r="AI374" s="1861">
        <f>Outdoor_Fract_Night*((AI365+AI366)*IF(Offsite_PD1="",Offsite_PD,1000000*Offsite_PD1)+(AI367+AI368)*IF(Offsite_PD2="",Offsite_PD,1000000*Offsite_PD2))/1000000+(1-Outdoor_Fract_Night)*((AI370+AI371)*IF(Offsite_PD1="",Offsite_PD,1000000*Offsite_PD1)+(AI372+AI373)*IF(Offsite_PD2="",Offsite_PD,1000000*Offsite_PD2))/1000000</f>
        <v>9.0000000000000019E-6</v>
      </c>
      <c r="AJ374" s="81"/>
      <c r="AK374" s="1861">
        <f>Outdoor_Fract_Night*((AK365+AK366)*IF(Offsite_PD1="",Offsite_PD,1000000*Offsite_PD1)+(AK367+AK368)*IF(Offsite_PD2="",Offsite_PD,1000000*Offsite_PD2))/1000000+(1-Outdoor_Fract_Night)*((AK370+AK371)*IF(Offsite_PD1="",Offsite_PD,1000000*Offsite_PD1)+(AK372+AK373)*IF(Offsite_PD2="",Offsite_PD,1000000*Offsite_PD2))/1000000</f>
        <v>9.0000000000000019E-6</v>
      </c>
      <c r="AL374" s="81"/>
      <c r="AM374" s="1861">
        <f>Outdoor_Fract_Night*((AM365+AM366)*IF(Offsite_PD1="",Offsite_PD,1000000*Offsite_PD1)+(AM367+AM368)*IF(Offsite_PD2="",Offsite_PD,1000000*Offsite_PD2))/1000000+(1-Outdoor_Fract_Night)*((AM370+AM371)*IF(Offsite_PD1="",Offsite_PD,1000000*Offsite_PD1)+(AM372+AM373)*IF(Offsite_PD2="",Offsite_PD,1000000*Offsite_PD2))/1000000</f>
        <v>9.0000000000000019E-6</v>
      </c>
      <c r="AN374" s="81"/>
      <c r="AO374" s="1861">
        <f>Outdoor_Fract_Night*((AO365+AO366)*IF(Offsite_PD1="",Offsite_PD,1000000*Offsite_PD1)+(AO367+AO368)*IF(Offsite_PD2="",Offsite_PD,1000000*Offsite_PD2))/1000000+(1-Outdoor_Fract_Night)*((AO370+AO371)*IF(Offsite_PD1="",Offsite_PD,1000000*Offsite_PD1)+(AO372+AO373)*IF(Offsite_PD2="",Offsite_PD,1000000*Offsite_PD2))/1000000</f>
        <v>9.0000000000000019E-6</v>
      </c>
      <c r="AP374" s="81"/>
      <c r="AQ374" s="23"/>
      <c r="AR374" s="81"/>
      <c r="AS374" s="83"/>
      <c r="AT374" s="23" t="s">
        <v>3162</v>
      </c>
      <c r="AU374" s="83"/>
      <c r="AV374" s="1820">
        <f>IF(Occ_Bldg2_Direction="Yes",Occupants_atRisk*AV372+Occupants_atRisk2*AV373,MAX(Occupants_atRisk*AV372,Occupants_atRisk2*AV373))+AV363</f>
        <v>6.0000000000000008E-7</v>
      </c>
      <c r="AW374" s="83"/>
      <c r="AX374" s="1820">
        <f>IF(Occ_Bldg2_Direction="Yes",Occupants_atRisk*AX372+Occupants_atRisk2*AX373,MAX(Occupants_atRisk*AX372,Occupants_atRisk2*AX373))+AX363</f>
        <v>6.0000000000000008E-7</v>
      </c>
      <c r="AY374" s="83"/>
      <c r="AZ374" s="1820">
        <f>IF(Occ_Bldg2_Direction="Yes",Occupants_atRisk*AZ372+Occupants_atRisk2*AZ373,MAX(Occupants_atRisk*AZ372,Occupants_atRisk2*AZ373))+AZ363</f>
        <v>6.0000000000000008E-7</v>
      </c>
      <c r="BA374" s="83"/>
      <c r="BB374" s="1820">
        <f>IF(Occ_Bldg2_Direction="Yes",Occupants_atRisk*BB372+Occupants_atRisk2*BB373,MAX(Occupants_atRisk*BB372,Occupants_atRisk2*BB373))+BB363</f>
        <v>6.0000000000000008E-7</v>
      </c>
      <c r="BC374" s="83"/>
      <c r="BD374" s="1820">
        <f>IF(Occ_Bldg2_Direction="Yes",Occupants_atRisk*BD372+Occupants_atRisk2*BD373,MAX(Occupants_atRisk*BD372,Occupants_atRisk2*BD373))+BD363</f>
        <v>6.0000000000000008E-7</v>
      </c>
      <c r="BE374" s="83"/>
      <c r="BF374" s="1820">
        <f>IF(Occ_Bldg2_Direction="Yes",Occupants_atRisk*BF372+Occupants_atRisk2*BF373,MAX(Occupants_atRisk*BF372,Occupants_atRisk2*BF373))+BF363</f>
        <v>6.0000000000000008E-7</v>
      </c>
      <c r="BG374" s="83"/>
      <c r="BH374" s="1820">
        <f>IF(Occ_Bldg2_Direction="Yes",Occupants_atRisk*BH372+Occupants_atRisk2*BH373,MAX(Occupants_atRisk*BH372,Occupants_atRisk2*BH373))+BH363</f>
        <v>6.0000000000000008E-7</v>
      </c>
      <c r="BI374" s="83"/>
      <c r="BJ374" s="1820">
        <f>IF(Occ_Bldg2_Direction="Yes",Occupants_atRisk*BJ372+Occupants_atRisk2*BJ373,MAX(Occupants_atRisk*BJ372,Occupants_atRisk2*BJ373))+BJ363</f>
        <v>6.0000000000000008E-7</v>
      </c>
      <c r="BK374" s="83"/>
      <c r="BL374" s="1820">
        <f>IF(Occ_Bldg2_Direction="Yes",Occupants_atRisk*BL372+Occupants_atRisk2*BL373,MAX(Occupants_atRisk*BL372,Occupants_atRisk2*BL373))+BL363</f>
        <v>6.0000000000000008E-7</v>
      </c>
      <c r="BM374" s="83"/>
      <c r="BN374" s="1820">
        <f>IF(Occ_Bldg2_Direction="Yes",Occupants_atRisk*BN372+Occupants_atRisk2*BN373,MAX(Occupants_atRisk*BN372,Occupants_atRisk2*BN373))+BN363</f>
        <v>6.0000000000000008E-7</v>
      </c>
      <c r="BO374" s="83"/>
      <c r="BP374" s="23"/>
      <c r="BQ374" s="83"/>
      <c r="BR374" s="81"/>
      <c r="BS374" s="23" t="s">
        <v>3704</v>
      </c>
      <c r="BT374" s="81"/>
      <c r="BU374" s="1206">
        <f>IF(AND(BU98&gt;0,BU277&gt;0),IF(Location="Indoors",IF(ConcFract_Indoor*BU301&lt;=BU277,0.1,BU$127*((IF(Enclosed_Ventilation_Rate&gt;1,Enclosed_Ventilation_Rate,1)*Enclosed_Process_Volume*BU98*BU301/88020000000)*1000000*(ConcFract_Indoor/BU277-1/BU301)/(BU98*Wind))^BU$128),IF(OR(BU277=0,BU277&gt;=ConcFract_Indoor*1000000*BU$99),0,IF(BU156="Instantaneous",BU$153*((BU83/BU98)*(ConcFract_Indoor*1000000/BU277))^BU$154-BU$155,BU$127*(BU89*(ConcFract_Indoor*1000000/BU277)/(BU98*Wind))^BU$128-BU$129))),0.1)</f>
        <v>0.1</v>
      </c>
      <c r="BV374" s="81"/>
      <c r="BW374" s="1206">
        <f>IF(AND(BW98&gt;0,BW277&gt;0),IF(Location="Indoors",IF(ConcFract_Indoor*BW301&lt;=BW277,0.1,BW$127*((IF(Enclosed_Ventilation_Rate&gt;1,Enclosed_Ventilation_Rate,1)*Enclosed_Process_Volume*BW98*BW301/88020000000)*1000000*(ConcFract_Indoor/BW277-1/BW301)/(BW98*Wind))^BW$128),IF(OR(BW277=0,BW277&gt;=ConcFract_Indoor*1000000*BW$99),0,IF(BW156="Instantaneous",BW$153*((BW83/BW98)*(ConcFract_Indoor*1000000/BW277))^BW$154-BW$155,BW$127*(BW89*(ConcFract_Indoor*1000000/BW277)/(BW98*Wind))^BW$128-BW$129))),0.1)</f>
        <v>0.1</v>
      </c>
      <c r="BX374" s="81"/>
      <c r="BY374" s="1206">
        <f>IF(AND(BY98&gt;0,BY277&gt;0),IF(Location="Indoors",IF(ConcFract_Indoor*BY301&lt;=BY277,0.1,BY$127*((IF(Enclosed_Ventilation_Rate&gt;1,Enclosed_Ventilation_Rate,1)*Enclosed_Process_Volume*BY98*BY301/88020000000)*1000000*(ConcFract_Indoor/BY277-1/BY301)/(BY98*Wind))^BY$128),IF(OR(BY277=0,BY277&gt;=ConcFract_Indoor*1000000*BY$99),0,IF(BY156="Instantaneous",BY$153*((BY83/BY98)*(ConcFract_Indoor*1000000/BY277))^BY$154-BY$155,BY$127*(BY89*(ConcFract_Indoor*1000000/BY277)/(BY98*Wind))^BY$128-BY$129))),0.1)</f>
        <v>0.1</v>
      </c>
      <c r="BZ374" s="81"/>
      <c r="CA374" s="1206">
        <f>IF(AND(CA98&gt;0,CA277&gt;0),IF(Location="Indoors",IF(ConcFract_Indoor*CA301&lt;=CA277,0.1,CA$127*((IF(Enclosed_Ventilation_Rate&gt;1,Enclosed_Ventilation_Rate,1)*Enclosed_Process_Volume*CA98*CA301/88020000000)*1000000*(ConcFract_Indoor/CA277-1/CA301)/(CA98*Wind))^CA$128),IF(OR(CA277=0,CA277&gt;=ConcFract_Indoor*1000000*CA$99),0,IF(CA156="Instantaneous",CA$153*((CA83/CA98)*(ConcFract_Indoor*1000000/CA277))^CA$154-CA$155,CA$127*(CA89*(ConcFract_Indoor*1000000/CA277)/(CA98*Wind))^CA$128-CA$129))),0.1)</f>
        <v>0.1</v>
      </c>
      <c r="CB374" s="81"/>
      <c r="CC374" s="1206">
        <f>IF(AND(CC98&gt;0,CC277&gt;0),IF(Location="Indoors",IF(ConcFract_Indoor*CC301&lt;=CC277,0.1,CC$127*((IF(Enclosed_Ventilation_Rate&gt;1,Enclosed_Ventilation_Rate,1)*Enclosed_Process_Volume*CC98*CC301/88020000000)*1000000*(ConcFract_Indoor/CC277-1/CC301)/(CC98*Wind))^CC$128),IF(OR(CC277=0,CC277&gt;=ConcFract_Indoor*1000000*CC$99),0,IF(CC156="Instantaneous",CC$153*((CC83/CC98)*(ConcFract_Indoor*1000000/CC277))^CC$154-CC$155,CC$127*(CC89*(ConcFract_Indoor*1000000/CC277)/(CC98*Wind))^CC$128-CC$129))),0.1)</f>
        <v>0.1</v>
      </c>
      <c r="CD374" s="81"/>
      <c r="CE374" s="85" t="s">
        <v>1068</v>
      </c>
      <c r="CF374" s="81"/>
      <c r="CG374" s="26"/>
      <c r="CM374" s="26"/>
      <c r="CN374" s="26"/>
    </row>
    <row r="375" spans="1:92" ht="15" customHeight="1" x14ac:dyDescent="0.25">
      <c r="A375" s="2"/>
      <c r="B375" s="23" t="s">
        <v>2931</v>
      </c>
      <c r="C375" s="83"/>
      <c r="D375" s="1820">
        <f>IF(OR(D$274=0,D297=0),0,MIN(1,EXP(D$274+D$275/D297^(2*D$128))))</f>
        <v>0</v>
      </c>
      <c r="E375" s="83"/>
      <c r="F375" s="1820">
        <f>IF(OR(F$274=0,F297=0),0,MIN(1,EXP(F$274+F$275/F297^(2*F$128))))</f>
        <v>0</v>
      </c>
      <c r="G375" s="83"/>
      <c r="H375" s="1820">
        <f>IF(OR(H$274=0,H297=0),0,MIN(1,EXP(H$274+H$275/H297^(2*H$128))))</f>
        <v>0</v>
      </c>
      <c r="I375" s="83"/>
      <c r="J375" s="1820">
        <f>IF(OR(J$274=0,J297=0),0,MIN(1,EXP(J$274+J$275/J297^(2*J$128))))</f>
        <v>0</v>
      </c>
      <c r="K375" s="83"/>
      <c r="L375" s="1820">
        <f>IF(OR(L$274=0,L297=0),0,MIN(1,EXP(L$274+L$275/L297^(2*L$128))))</f>
        <v>0</v>
      </c>
      <c r="M375" s="83"/>
      <c r="N375" s="1820">
        <f>IF(OR(N$274=0,N297=0),0,MIN(1,EXP(N$274+N$275/N297^(2*N$128))))</f>
        <v>0</v>
      </c>
      <c r="O375" s="83"/>
      <c r="P375" s="1820">
        <f>IF(OR(P$274=0,P297=0),0,MIN(1,EXP(P$274+P$275/P297^(2*P$128))))</f>
        <v>0</v>
      </c>
      <c r="Q375" s="83"/>
      <c r="R375" s="1820">
        <f>IF(OR(R$274=0,R297=0),0,MIN(1,EXP(R$274+R$275/R297^(2*R$128))))</f>
        <v>0</v>
      </c>
      <c r="S375" s="83"/>
      <c r="T375" s="1820">
        <f>IF(OR(T$274=0,T297=0),0,MIN(1,EXP(T$274+T$275/T297^(2*T$128))))</f>
        <v>0</v>
      </c>
      <c r="U375" s="83"/>
      <c r="V375" s="1820">
        <f>IF(OR(V$274=0,V297=0),0,MIN(1,EXP(V$274+V$275/V297^(2*V$128))))</f>
        <v>0</v>
      </c>
      <c r="W375" s="83"/>
      <c r="X375" s="1820">
        <f>IF(OR(X$274=0,X297=0),0,MIN(1,EXP(X$274+X$275/X297^(2*X$128))))</f>
        <v>0</v>
      </c>
      <c r="Y375" s="83"/>
      <c r="Z375" s="23"/>
      <c r="AA375" s="83"/>
      <c r="AB375" s="81"/>
      <c r="AC375" s="23" t="s">
        <v>1649</v>
      </c>
      <c r="AD375" s="81"/>
      <c r="AE375" s="1861">
        <f>Lethality_Correction*((1-Fract_1.5_F)*AE363+Fract_1.5_F*AE374)</f>
        <v>4.500000000000001E-6</v>
      </c>
      <c r="AF375" s="81"/>
      <c r="AG375" s="1861">
        <f>Lethality_Correction*((1-Fract_1.5_F)*AG363+Fract_1.5_F*AG374)</f>
        <v>4.500000000000001E-6</v>
      </c>
      <c r="AH375" s="81"/>
      <c r="AI375" s="1861">
        <f>Lethality_Correction*((1-Fract_1.5_F)*AI363+Fract_1.5_F*AI374)</f>
        <v>4.500000000000001E-6</v>
      </c>
      <c r="AJ375" s="81"/>
      <c r="AK375" s="1861">
        <f>Lethality_Correction*((1-Fract_1.5_F)*AK363+Fract_1.5_F*AK374)</f>
        <v>4.500000000000001E-6</v>
      </c>
      <c r="AL375" s="81"/>
      <c r="AM375" s="1861">
        <f>Lethality_Correction*((1-Fract_1.5_F)*AM363+Fract_1.5_F*AM374)</f>
        <v>4.500000000000001E-6</v>
      </c>
      <c r="AN375" s="81"/>
      <c r="AO375" s="1861">
        <f>Lethality_Correction*((1-Fract_1.5_F)*AO363+Fract_1.5_F*AO374)</f>
        <v>4.500000000000001E-6</v>
      </c>
      <c r="AP375" s="81"/>
      <c r="AQ375" s="23"/>
      <c r="AR375" s="81"/>
      <c r="AS375" s="83"/>
      <c r="AT375" s="85" t="s">
        <v>4791</v>
      </c>
      <c r="AU375" s="83"/>
      <c r="AV375" s="1286" t="str">
        <f>IF(OR(AND(Regulatory_Tox&lt;&gt;"Yes",ER3_Min&gt;Toxic_Limit),AV252="",AND(AV294&lt;=IF(AV240&lt;&gt;"",AV240,1000000),AV295&lt;=IF(AV240&lt;&gt;"",AV240,1000000))),"NA",IF(MAX(AV294,AV295)/AV252&lt;HD_VeryLow_Infiltration,Conseq_VeryLow,IF(MAX(AV294,AV295)/AV252&lt;HD_Low_Infiltration,Conseq_Low,IF(MAX(AV294,AV295)/AV252&lt;HD_Moderate_Infiltration,Conseq_Moderate,IF(MAX(AV294,AV295)/AV252&lt;HD_High_Infiltration,Conseq_High,IF(MAX(AV294,AV295)/AV252&lt;HD_VeryHigh_Infiltration,Conseq_VeryHigh,Conseq_ExtremeHigh))))))</f>
        <v>NA</v>
      </c>
      <c r="AW375" s="83"/>
      <c r="AX375" s="1286" t="str">
        <f>IF(OR(AND(Regulatory_Tox&lt;&gt;"Yes",ER3_Min&gt;Toxic_Limit),AX252="",AND(AX294&lt;=IF(AX240&lt;&gt;"",AX240,1000000),AX295&lt;=IF(AX240&lt;&gt;"",AX240,1000000))),"NA",IF(MAX(AX294,AX295)/AX252&lt;HD_VeryLow_Infiltration,Conseq_VeryLow,IF(MAX(AX294,AX295)/AX252&lt;HD_Low_Infiltration,Conseq_Low,IF(MAX(AX294,AX295)/AX252&lt;HD_Moderate_Infiltration,Conseq_Moderate,IF(MAX(AX294,AX295)/AX252&lt;HD_High_Infiltration,Conseq_High,IF(MAX(AX294,AX295)/AX252&lt;HD_VeryHigh_Infiltration,Conseq_VeryHigh,Conseq_ExtremeHigh))))))</f>
        <v>NA</v>
      </c>
      <c r="AY375" s="83"/>
      <c r="AZ375" s="1286" t="str">
        <f>IF(OR(AND(Regulatory_Tox&lt;&gt;"Yes",ER3_Min&gt;Toxic_Limit),AZ252="",AND(AZ294&lt;=IF(AZ240&lt;&gt;"",AZ240,1000000),AZ295&lt;=IF(AZ240&lt;&gt;"",AZ240,1000000))),"NA",IF(MAX(AZ294,AZ295)/AZ252&lt;HD_VeryLow_Infiltration,Conseq_VeryLow,IF(MAX(AZ294,AZ295)/AZ252&lt;HD_Low_Infiltration,Conseq_Low,IF(MAX(AZ294,AZ295)/AZ252&lt;HD_Moderate_Infiltration,Conseq_Moderate,IF(MAX(AZ294,AZ295)/AZ252&lt;HD_High_Infiltration,Conseq_High,IF(MAX(AZ294,AZ295)/AZ252&lt;HD_VeryHigh_Infiltration,Conseq_VeryHigh,Conseq_ExtremeHigh))))))</f>
        <v>NA</v>
      </c>
      <c r="BA375" s="83"/>
      <c r="BB375" s="1286" t="str">
        <f>IF(OR(AND(Regulatory_Tox&lt;&gt;"Yes",ER3_Min&gt;Toxic_Limit),BB252="",AND(BB294&lt;=IF(BB240&lt;&gt;"",BB240,1000000),BB295&lt;=IF(BB240&lt;&gt;"",BB240,1000000))),"NA",IF(MAX(BB294,BB295)/BB252&lt;HD_VeryLow_Infiltration,Conseq_VeryLow,IF(MAX(BB294,BB295)/BB252&lt;HD_Low_Infiltration,Conseq_Low,IF(MAX(BB294,BB295)/BB252&lt;HD_Moderate_Infiltration,Conseq_Moderate,IF(MAX(BB294,BB295)/BB252&lt;HD_High_Infiltration,Conseq_High,IF(MAX(BB294,BB295)/BB252&lt;HD_VeryHigh_Infiltration,Conseq_VeryHigh,Conseq_ExtremeHigh))))))</f>
        <v>NA</v>
      </c>
      <c r="BC375" s="83"/>
      <c r="BD375" s="1286" t="str">
        <f>IF(OR(AND(Regulatory_Tox&lt;&gt;"Yes",ER3_Min&gt;Toxic_Limit),BD252="",AND(BD294&lt;=IF(BD240&lt;&gt;"",BD240,1000000),BD295&lt;=IF(BD240&lt;&gt;"",BD240,1000000))),"NA",IF(MAX(BD294,BD295)/BD252&lt;HD_VeryLow_Infiltration,Conseq_VeryLow,IF(MAX(BD294,BD295)/BD252&lt;HD_Low_Infiltration,Conseq_Low,IF(MAX(BD294,BD295)/BD252&lt;HD_Moderate_Infiltration,Conseq_Moderate,IF(MAX(BD294,BD295)/BD252&lt;HD_High_Infiltration,Conseq_High,IF(MAX(BD294,BD295)/BD252&lt;HD_VeryHigh_Infiltration,Conseq_VeryHigh,Conseq_ExtremeHigh))))))</f>
        <v>NA</v>
      </c>
      <c r="BE375" s="83"/>
      <c r="BF375" s="1286" t="str">
        <f>IF(OR(AND(Regulatory_Tox&lt;&gt;"Yes",ER3_Min&gt;Toxic_Limit),BF252="",AND(BF294&lt;=IF(BF240&lt;&gt;"",BF240,1000000),BF295&lt;=IF(BF240&lt;&gt;"",BF240,1000000))),"NA",IF(MAX(BF294,BF295)/BF252&lt;HD_VeryLow_Infiltration,Conseq_VeryLow,IF(MAX(BF294,BF295)/BF252&lt;HD_Low_Infiltration,Conseq_Low,IF(MAX(BF294,BF295)/BF252&lt;HD_Moderate_Infiltration,Conseq_Moderate,IF(MAX(BF294,BF295)/BF252&lt;HD_High_Infiltration,Conseq_High,IF(MAX(BF294,BF295)/BF252&lt;HD_VeryHigh_Infiltration,Conseq_VeryHigh,Conseq_ExtremeHigh))))))</f>
        <v>NA</v>
      </c>
      <c r="BG375" s="83"/>
      <c r="BH375" s="1286" t="str">
        <f>IF(OR(AND(Regulatory_Tox&lt;&gt;"Yes",ER3_Min&gt;Toxic_Limit),BH252="",AND(BH294&lt;=IF(BH240&lt;&gt;"",BH240,1000000),BH295&lt;=IF(BH240&lt;&gt;"",BH240,1000000))),"NA",IF(MAX(BH294,BH295)/BH252&lt;HD_VeryLow_Infiltration,Conseq_VeryLow,IF(MAX(BH294,BH295)/BH252&lt;HD_Low_Infiltration,Conseq_Low,IF(MAX(BH294,BH295)/BH252&lt;HD_Moderate_Infiltration,Conseq_Moderate,IF(MAX(BH294,BH295)/BH252&lt;HD_High_Infiltration,Conseq_High,IF(MAX(BH294,BH295)/BH252&lt;HD_VeryHigh_Infiltration,Conseq_VeryHigh,Conseq_ExtremeHigh))))))</f>
        <v>NA</v>
      </c>
      <c r="BI375" s="83"/>
      <c r="BJ375" s="1286" t="str">
        <f>IF(OR(AND(Regulatory_Tox&lt;&gt;"Yes",ER3_Min&gt;Toxic_Limit),BJ252="",AND(BJ294&lt;=IF(BJ240&lt;&gt;"",BJ240,1000000),BJ295&lt;=IF(BJ240&lt;&gt;"",BJ240,1000000))),"NA",IF(MAX(BJ294,BJ295)/BJ252&lt;HD_VeryLow_Infiltration,Conseq_VeryLow,IF(MAX(BJ294,BJ295)/BJ252&lt;HD_Low_Infiltration,Conseq_Low,IF(MAX(BJ294,BJ295)/BJ252&lt;HD_Moderate_Infiltration,Conseq_Moderate,IF(MAX(BJ294,BJ295)/BJ252&lt;HD_High_Infiltration,Conseq_High,IF(MAX(BJ294,BJ295)/BJ252&lt;HD_VeryHigh_Infiltration,Conseq_VeryHigh,Conseq_ExtremeHigh))))))</f>
        <v>NA</v>
      </c>
      <c r="BK375" s="83"/>
      <c r="BL375" s="1286" t="str">
        <f>IF(OR(AND(Regulatory_Tox&lt;&gt;"Yes",ER3_Min&gt;Toxic_Limit),BL252="",AND(BL294&lt;=IF(BL240&lt;&gt;"",BL240,1000000),BL295&lt;=IF(BL240&lt;&gt;"",BL240,1000000))),"NA",IF(MAX(BL294,BL295)/BL252&lt;HD_VeryLow_Infiltration,Conseq_VeryLow,IF(MAX(BL294,BL295)/BL252&lt;HD_Low_Infiltration,Conseq_Low,IF(MAX(BL294,BL295)/BL252&lt;HD_Moderate_Infiltration,Conseq_Moderate,IF(MAX(BL294,BL295)/BL252&lt;HD_High_Infiltration,Conseq_High,IF(MAX(BL294,BL295)/BL252&lt;HD_VeryHigh_Infiltration,Conseq_VeryHigh,Conseq_ExtremeHigh))))))</f>
        <v>NA</v>
      </c>
      <c r="BM375" s="83"/>
      <c r="BN375" s="1286" t="str">
        <f>IF(OR(AND(Regulatory_Tox&lt;&gt;"Yes",ER3_Min&gt;Toxic_Limit),BN252="",AND(BN294&lt;=IF(BN240&lt;&gt;"",BN240,1000000),BN295&lt;=IF(BN240&lt;&gt;"",BN240,1000000))),"NA",IF(MAX(BN294,BN295)/BN252&lt;HD_VeryLow_Infiltration,Conseq_VeryLow,IF(MAX(BN294,BN295)/BN252&lt;HD_Low_Infiltration,Conseq_Low,IF(MAX(BN294,BN295)/BN252&lt;HD_Moderate_Infiltration,Conseq_Moderate,IF(MAX(BN294,BN295)/BN252&lt;HD_High_Infiltration,Conseq_High,IF(MAX(BN294,BN295)/BN252&lt;HD_VeryHigh_Infiltration,Conseq_VeryHigh,Conseq_ExtremeHigh))))))</f>
        <v>NA</v>
      </c>
      <c r="BO375" s="83"/>
      <c r="BP375" s="23"/>
      <c r="BQ375" s="83"/>
      <c r="BR375" s="81"/>
      <c r="BS375" s="23" t="s">
        <v>3708</v>
      </c>
      <c r="BT375" s="81"/>
      <c r="BU375" s="1206" t="e">
        <f>IF(BU156="Instantaneous",Dispersion_I,Dispersion_D)*(MAX(BU374,Public)^2-Public^2)+(MAX(BU374,Public)-Public)*IF(BU156="Instantaneous",DC_Duration_Initial*(BU83/BU98)^(1/3),2*(BU$55/3.142)^0.5)</f>
        <v>#DIV/0!</v>
      </c>
      <c r="BV375" s="81"/>
      <c r="BW375" s="1206" t="e">
        <f>IF(BW156="Instantaneous",Dispersion_I,Dispersion_D)*(MAX(BW374,Public)^2-Public^2)+(MAX(BW374,Public)-Public)*IF(BW156="Instantaneous",DC_Duration_Initial*(BW83/BW98)^(1/3),2*(BW$55/3.142)^0.5)</f>
        <v>#DIV/0!</v>
      </c>
      <c r="BX375" s="81"/>
      <c r="BY375" s="1206" t="e">
        <f>IF(BY156="Instantaneous",Dispersion_I,Dispersion_D)*(MAX(BY374,Public)^2-Public^2)+(MAX(BY374,Public)-Public)*IF(BY156="Instantaneous",DC_Duration_Initial*(BY83/BY98)^(1/3),2*(BY$55/3.142)^0.5)</f>
        <v>#DIV/0!</v>
      </c>
      <c r="BZ375" s="81"/>
      <c r="CA375" s="1206" t="e">
        <f>IF(CA156="Instantaneous",Dispersion_I,Dispersion_D)*(MAX(CA374,Public)^2-Public^2)+(MAX(CA374,Public)-Public)*IF(CA156="Instantaneous",DC_Duration_Initial*(CA83/CA98)^(1/3),2*(CA$55/3.142)^0.5)</f>
        <v>#DIV/0!</v>
      </c>
      <c r="CB375" s="81"/>
      <c r="CC375" s="1206" t="e">
        <f>IF(CC156="Instantaneous",Dispersion_I,Dispersion_D)*(MAX(CC374,Public)^2-Public^2)+(MAX(CC374,Public)-Public)*IF(CC156="Instantaneous",DC_Duration_Initial*(CC83/CC98)^(1/3),2*(CC$55/3.142)^0.5)</f>
        <v>#DIV/0!</v>
      </c>
      <c r="CD375" s="81"/>
      <c r="CE375" s="85" t="s">
        <v>3804</v>
      </c>
      <c r="CF375" s="81"/>
      <c r="CG375" s="26"/>
      <c r="CM375" s="26"/>
      <c r="CN375" s="26"/>
    </row>
    <row r="376" spans="1:92" ht="15" customHeight="1" thickBot="1" x14ac:dyDescent="0.3">
      <c r="A376" s="2"/>
      <c r="B376" s="23" t="s">
        <v>3162</v>
      </c>
      <c r="C376" s="83"/>
      <c r="D376" s="1820">
        <f>IF(Occ_Bldg2_Direction="Yes",Occupants_atRisk*D374+Occupants_atRisk2*D375,MAX(Occupants_atRisk*D374,Occupants_atRisk2*D375))+D365</f>
        <v>6.0000000000000008E-7</v>
      </c>
      <c r="E376" s="83"/>
      <c r="F376" s="1820">
        <f>IF(Occ_Bldg2_Direction="Yes",Occupants_atRisk*F374+Occupants_atRisk2*F375,MAX(Occupants_atRisk*F374,Occupants_atRisk2*F375))+F365</f>
        <v>6.0000000000000008E-7</v>
      </c>
      <c r="G376" s="83"/>
      <c r="H376" s="1820">
        <f>IF(Occ_Bldg2_Direction="Yes",Occupants_atRisk*H374+Occupants_atRisk2*H375,MAX(Occupants_atRisk*H374,Occupants_atRisk2*H375))+H365</f>
        <v>6.0000000000000008E-7</v>
      </c>
      <c r="I376" s="83"/>
      <c r="J376" s="1820">
        <f>IF(Occ_Bldg2_Direction="Yes",Occupants_atRisk*J374+Occupants_atRisk2*J375,MAX(Occupants_atRisk*J374,Occupants_atRisk2*J375))+J365</f>
        <v>6.0000000000000008E-7</v>
      </c>
      <c r="K376" s="83"/>
      <c r="L376" s="1820">
        <f>IF(Occ_Bldg2_Direction="Yes",Occupants_atRisk*L374+Occupants_atRisk2*L375,MAX(Occupants_atRisk*L374,Occupants_atRisk2*L375))+L365</f>
        <v>6.0000000000000008E-7</v>
      </c>
      <c r="M376" s="83"/>
      <c r="N376" s="1820">
        <f>IF(Occ_Bldg2_Direction="Yes",Occupants_atRisk*N374+Occupants_atRisk2*N375,MAX(Occupants_atRisk*N374,Occupants_atRisk2*N375))+N365</f>
        <v>6.0000000000000008E-7</v>
      </c>
      <c r="O376" s="83"/>
      <c r="P376" s="1820">
        <f>IF(Occ_Bldg2_Direction="Yes",Occupants_atRisk*P374+Occupants_atRisk2*P375,MAX(Occupants_atRisk*P374,Occupants_atRisk2*P375))+P365</f>
        <v>6.0000000000000008E-7</v>
      </c>
      <c r="Q376" s="83"/>
      <c r="R376" s="1820">
        <f>IF(Occ_Bldg2_Direction="Yes",Occupants_atRisk*R374+Occupants_atRisk2*R375,MAX(Occupants_atRisk*R374,Occupants_atRisk2*R375))+R365</f>
        <v>6.0000000000000008E-7</v>
      </c>
      <c r="S376" s="83"/>
      <c r="T376" s="1820">
        <f>IF(Occ_Bldg2_Direction="Yes",Occupants_atRisk*T374+Occupants_atRisk2*T375,MAX(Occupants_atRisk*T374,Occupants_atRisk2*T375))+T365</f>
        <v>6.0000000000000008E-7</v>
      </c>
      <c r="U376" s="83"/>
      <c r="V376" s="1820">
        <f>IF(Occ_Bldg2_Direction="Yes",Occupants_atRisk*V374+Occupants_atRisk2*V375,MAX(Occupants_atRisk*V374,Occupants_atRisk2*V375))+V365</f>
        <v>6.0000000000000008E-7</v>
      </c>
      <c r="W376" s="83"/>
      <c r="X376" s="1820">
        <f>IF(Occ_Bldg2_Direction="Yes",Occupants_atRisk*X374+Occupants_atRisk2*X375,MAX(Occupants_atRisk*X374,Occupants_atRisk2*X375))+X365</f>
        <v>6.0000000000000008E-7</v>
      </c>
      <c r="Y376" s="83"/>
      <c r="Z376" s="23"/>
      <c r="AA376" s="83"/>
      <c r="AB376" s="81"/>
      <c r="AC376" s="25" t="s">
        <v>4788</v>
      </c>
      <c r="AD376" s="81"/>
      <c r="AE376" s="1286">
        <f>IF(AE297="No","NA",IF(AE303-Public&lt;HD_VeryLow_Offsite,Conseq_VeryLow_Offsite+N_OffSite,IF(AE303-Public&lt;HD_Low_Offsite,Conseq_Low+N_OffSite,IF(AE303-Public&lt;HD_Moderate_Offsite,Conseq_Moderate+IF(Conseq_Moderate&lt;Conseq_GT_ExtremeHigh,N_OffSite,0),IF(AE303-Public&lt;HD_High_Offsite,Conseq_High+IF(Conseq_High&lt;Conseq_GT_ExtremeHigh,N_OffSite,0),IF(AE303-Public&lt;HD_VeryHigh_Offsite,Conseq_VeryHigh+IF(Conseq_VeryHigh&lt;Conseq_GT_ExtremeHigh,N_OffSite,0),Conseq_ExtremeHigh+IF(Conseq_ExtremeHigh&lt;Conseq_GT_ExtremeHigh,N_OffSite,0)))))))</f>
        <v>3</v>
      </c>
      <c r="AF376" s="81"/>
      <c r="AG376" s="1286">
        <f>IF(AG297="No","NA",IF(AG303-Public&lt;HD_VeryLow_Offsite,Conseq_VeryLow_Offsite+N_OffSite,IF(AG303-Public&lt;HD_Low_Offsite,Conseq_Low+N_OffSite,IF(AG303-Public&lt;HD_Moderate_Offsite,Conseq_Moderate+IF(Conseq_Moderate&lt;Conseq_GT_ExtremeHigh,N_OffSite,0),IF(AG303-Public&lt;HD_High_Offsite,Conseq_High+IF(Conseq_High&lt;Conseq_GT_ExtremeHigh,N_OffSite,0),IF(AG303-Public&lt;HD_VeryHigh_Offsite,Conseq_VeryHigh+IF(Conseq_VeryHigh&lt;Conseq_GT_ExtremeHigh,N_OffSite,0),Conseq_ExtremeHigh+IF(Conseq_ExtremeHigh&lt;Conseq_GT_ExtremeHigh,N_OffSite,0)))))))</f>
        <v>3</v>
      </c>
      <c r="AH376" s="81"/>
      <c r="AI376" s="1286">
        <f>IF(AI297="No","NA",IF(AI303-Public&lt;HD_VeryLow_Offsite,Conseq_VeryLow_Offsite+N_OffSite,IF(AI303-Public&lt;HD_Low_Offsite,Conseq_Low+N_OffSite,IF(AI303-Public&lt;HD_Moderate_Offsite,Conseq_Moderate+IF(Conseq_Moderate&lt;Conseq_GT_ExtremeHigh,N_OffSite,0),IF(AI303-Public&lt;HD_High_Offsite,Conseq_High+IF(Conseq_High&lt;Conseq_GT_ExtremeHigh,N_OffSite,0),IF(AI303-Public&lt;HD_VeryHigh_Offsite,Conseq_VeryHigh+IF(Conseq_VeryHigh&lt;Conseq_GT_ExtremeHigh,N_OffSite,0),Conseq_ExtremeHigh+IF(Conseq_ExtremeHigh&lt;Conseq_GT_ExtremeHigh,N_OffSite,0)))))))</f>
        <v>3</v>
      </c>
      <c r="AJ376" s="81"/>
      <c r="AK376" s="1286">
        <f>IF(AK297="No","NA",IF(AK303-Public&lt;HD_VeryLow_Offsite,Conseq_VeryLow_Offsite+N_OffSite,IF(AK303-Public&lt;HD_Low_Offsite,Conseq_Low+N_OffSite,IF(AK303-Public&lt;HD_Moderate_Offsite,Conseq_Moderate+IF(Conseq_Moderate&lt;Conseq_GT_ExtremeHigh,N_OffSite,0),IF(AK303-Public&lt;HD_High_Offsite,Conseq_High+IF(Conseq_High&lt;Conseq_GT_ExtremeHigh,N_OffSite,0),IF(AK303-Public&lt;HD_VeryHigh_Offsite,Conseq_VeryHigh+IF(Conseq_VeryHigh&lt;Conseq_GT_ExtremeHigh,N_OffSite,0),Conseq_ExtremeHigh+IF(Conseq_ExtremeHigh&lt;Conseq_GT_ExtremeHigh,N_OffSite,0)))))))</f>
        <v>3</v>
      </c>
      <c r="AL376" s="81"/>
      <c r="AM376" s="1286">
        <f>IF(AM297="No","NA",IF(AM303-Public&lt;HD_VeryLow_Offsite,Conseq_VeryLow_Offsite+N_OffSite,IF(AM303-Public&lt;HD_Low_Offsite,Conseq_Low+N_OffSite,IF(AM303-Public&lt;HD_Moderate_Offsite,Conseq_Moderate+IF(Conseq_Moderate&lt;Conseq_GT_ExtremeHigh,N_OffSite,0),IF(AM303-Public&lt;HD_High_Offsite,Conseq_High+IF(Conseq_High&lt;Conseq_GT_ExtremeHigh,N_OffSite,0),IF(AM303-Public&lt;HD_VeryHigh_Offsite,Conseq_VeryHigh+IF(Conseq_VeryHigh&lt;Conseq_GT_ExtremeHigh,N_OffSite,0),Conseq_ExtremeHigh+IF(Conseq_ExtremeHigh&lt;Conseq_GT_ExtremeHigh,N_OffSite,0)))))))</f>
        <v>3</v>
      </c>
      <c r="AN376" s="81"/>
      <c r="AO376" s="1286">
        <f>IF(AO297="No","NA",IF(AO303-Public&lt;HD_VeryLow_Offsite,Conseq_VeryLow_Offsite+N_OffSite,IF(AO303-Public&lt;HD_Low_Offsite,Conseq_Low+N_OffSite,IF(AO303-Public&lt;HD_Moderate_Offsite,Conseq_Moderate+IF(Conseq_Moderate&lt;Conseq_GT_ExtremeHigh,N_OffSite,0),IF(AO303-Public&lt;HD_High_Offsite,Conseq_High+IF(Conseq_High&lt;Conseq_GT_ExtremeHigh,N_OffSite,0),IF(AO303-Public&lt;HD_VeryHigh_Offsite,Conseq_VeryHigh+IF(Conseq_VeryHigh&lt;Conseq_GT_ExtremeHigh,N_OffSite,0),Conseq_ExtremeHigh+IF(Conseq_ExtremeHigh&lt;Conseq_GT_ExtremeHigh,N_OffSite,0)))))))</f>
        <v>3</v>
      </c>
      <c r="AP376" s="81"/>
      <c r="AQ376" s="23"/>
      <c r="AR376" s="81"/>
      <c r="AS376" s="83"/>
      <c r="AT376" s="85" t="s">
        <v>4226</v>
      </c>
      <c r="AU376" s="83"/>
      <c r="AV376" s="2135" t="str">
        <f>IF(Conseq_Criteria="Hazard Distance",AV375,IF(OR(AND(Regulatory_Tox&lt;&gt;"Yes",ER3_Min&gt;Toxic_Limit),AND(AV294&lt;=IF(AV240&lt;&gt;"",AV240,1000000),AV295&lt;=IF(AV240&lt;&gt;"",AV240,1000000))),"NA",IF(AV374&lt;N_VeryLow,Conseq_VeryLow,IF(AV374&lt;N_Low,Conseq_Low,IF(AV374&lt;N_Moderate,Conseq_Moderate,IF(AV374&lt;N_High,Conseq_High,IF(AV374&lt;N_VeryHigh,Conseq_VeryHigh,Conseq_ExtremeHigh)))))))</f>
        <v>NA</v>
      </c>
      <c r="AW376" s="83"/>
      <c r="AX376" s="2135" t="str">
        <f>IF(Conseq_Criteria="Hazard Distance",AX375,IF(OR(AND(Regulatory_Tox&lt;&gt;"Yes",ER3_Min&gt;Toxic_Limit),AND(AX294&lt;=IF(AX240&lt;&gt;"",AX240,1000000),AX295&lt;=IF(AX240&lt;&gt;"",AX240,1000000))),"NA",IF(AX374&lt;N_VeryLow,Conseq_VeryLow,IF(AX374&lt;N_Low,Conseq_Low,IF(AX374&lt;N_Moderate,Conseq_Moderate,IF(AX374&lt;N_High,Conseq_High,IF(AX374&lt;N_VeryHigh,Conseq_VeryHigh,Conseq_ExtremeHigh)))))))</f>
        <v>NA</v>
      </c>
      <c r="AY376" s="83"/>
      <c r="AZ376" s="2135" t="str">
        <f>IF(Conseq_Criteria="Hazard Distance",AZ375,IF(OR(AND(Regulatory_Tox&lt;&gt;"Yes",ER3_Min&gt;Toxic_Limit),AND(AZ294&lt;=IF(AZ240&lt;&gt;"",AZ240,1000000),AZ295&lt;=IF(AZ240&lt;&gt;"",AZ240,1000000))),"NA",IF(AZ374&lt;N_VeryLow,Conseq_VeryLow,IF(AZ374&lt;N_Low,Conseq_Low,IF(AZ374&lt;N_Moderate,Conseq_Moderate,IF(AZ374&lt;N_High,Conseq_High,IF(AZ374&lt;N_VeryHigh,Conseq_VeryHigh,Conseq_ExtremeHigh)))))))</f>
        <v>NA</v>
      </c>
      <c r="BA376" s="83"/>
      <c r="BB376" s="2135" t="str">
        <f>IF(Conseq_Criteria="Hazard Distance",BB375,IF(OR(AND(Regulatory_Tox&lt;&gt;"Yes",ER3_Min&gt;Toxic_Limit),AND(BB294&lt;=IF(BB240&lt;&gt;"",BB240,1000000),BB295&lt;=IF(BB240&lt;&gt;"",BB240,1000000))),"NA",IF(BB374&lt;N_VeryLow,Conseq_VeryLow,IF(BB374&lt;N_Low,Conseq_Low,IF(BB374&lt;N_Moderate,Conseq_Moderate,IF(BB374&lt;N_High,Conseq_High,IF(BB374&lt;N_VeryHigh,Conseq_VeryHigh,Conseq_ExtremeHigh)))))))</f>
        <v>NA</v>
      </c>
      <c r="BC376" s="83"/>
      <c r="BD376" s="2135" t="str">
        <f>IF(Conseq_Criteria="Hazard Distance",BD375,IF(OR(AND(Regulatory_Tox&lt;&gt;"Yes",ER3_Min&gt;Toxic_Limit),AND(BD294&lt;=IF(BD240&lt;&gt;"",BD240,1000000),BD295&lt;=IF(BD240&lt;&gt;"",BD240,1000000))),"NA",IF(BD374&lt;N_VeryLow,Conseq_VeryLow,IF(BD374&lt;N_Low,Conseq_Low,IF(BD374&lt;N_Moderate,Conseq_Moderate,IF(BD374&lt;N_High,Conseq_High,IF(BD374&lt;N_VeryHigh,Conseq_VeryHigh,Conseq_ExtremeHigh)))))))</f>
        <v>NA</v>
      </c>
      <c r="BE376" s="83"/>
      <c r="BF376" s="2135" t="str">
        <f>IF(Conseq_Criteria="Hazard Distance",BF375,IF(OR(AND(Regulatory_Tox&lt;&gt;"Yes",ER3_Min&gt;Toxic_Limit),AND(BF294&lt;=IF(BF240&lt;&gt;"",BF240,1000000),BF295&lt;=IF(BF240&lt;&gt;"",BF240,1000000))),"NA",IF(BF374&lt;N_VeryLow,Conseq_VeryLow,IF(BF374&lt;N_Low,Conseq_Low,IF(BF374&lt;N_Moderate,Conseq_Moderate,IF(BF374&lt;N_High,Conseq_High,IF(BF374&lt;N_VeryHigh,Conseq_VeryHigh,Conseq_ExtremeHigh)))))))</f>
        <v>NA</v>
      </c>
      <c r="BG376" s="83"/>
      <c r="BH376" s="2135" t="str">
        <f>IF(Conseq_Criteria="Hazard Distance",BH375,IF(OR(AND(Regulatory_Tox&lt;&gt;"Yes",ER3_Min&gt;Toxic_Limit),AND(BH294&lt;=IF(BH240&lt;&gt;"",BH240,1000000),BH295&lt;=IF(BH240&lt;&gt;"",BH240,1000000))),"NA",IF(BH374&lt;N_VeryLow,Conseq_VeryLow,IF(BH374&lt;N_Low,Conseq_Low,IF(BH374&lt;N_Moderate,Conseq_Moderate,IF(BH374&lt;N_High,Conseq_High,IF(BH374&lt;N_VeryHigh,Conseq_VeryHigh,Conseq_ExtremeHigh)))))))</f>
        <v>NA</v>
      </c>
      <c r="BI376" s="83"/>
      <c r="BJ376" s="2135" t="str">
        <f>IF(Conseq_Criteria="Hazard Distance",BJ375,IF(OR(AND(Regulatory_Tox&lt;&gt;"Yes",ER3_Min&gt;Toxic_Limit),AND(BJ294&lt;=IF(BJ240&lt;&gt;"",BJ240,1000000),BJ295&lt;=IF(BJ240&lt;&gt;"",BJ240,1000000))),"NA",IF(BJ374&lt;N_VeryLow,Conseq_VeryLow,IF(BJ374&lt;N_Low,Conseq_Low,IF(BJ374&lt;N_Moderate,Conseq_Moderate,IF(BJ374&lt;N_High,Conseq_High,IF(BJ374&lt;N_VeryHigh,Conseq_VeryHigh,Conseq_ExtremeHigh)))))))</f>
        <v>NA</v>
      </c>
      <c r="BK376" s="83"/>
      <c r="BL376" s="2135" t="str">
        <f>IF(Conseq_Criteria="Hazard Distance",BL375,IF(OR(AND(Regulatory_Tox&lt;&gt;"Yes",ER3_Min&gt;Toxic_Limit),AND(BL294&lt;=IF(BL240&lt;&gt;"",BL240,1000000),BL295&lt;=IF(BL240&lt;&gt;"",BL240,1000000))),"NA",IF(BL374&lt;N_VeryLow,Conseq_VeryLow,IF(BL374&lt;N_Low,Conseq_Low,IF(BL374&lt;N_Moderate,Conseq_Moderate,IF(BL374&lt;N_High,Conseq_High,IF(BL374&lt;N_VeryHigh,Conseq_VeryHigh,Conseq_ExtremeHigh)))))))</f>
        <v>NA</v>
      </c>
      <c r="BM376" s="83"/>
      <c r="BN376" s="2135" t="str">
        <f>IF(Conseq_Criteria="Hazard Distance",BN375,IF(OR(AND(Regulatory_Tox&lt;&gt;"Yes",ER3_Min&gt;Toxic_Limit),AND(BN294&lt;=IF(BN240&lt;&gt;"",BN240,1000000),BN295&lt;=IF(BN240&lt;&gt;"",BN240,1000000))),"NA",IF(BN374&lt;N_VeryLow,Conseq_VeryLow,IF(BN374&lt;N_Low,Conseq_Low,IF(BN374&lt;N_Moderate,Conseq_Moderate,IF(BN374&lt;N_High,Conseq_High,IF(BN374&lt;N_VeryHigh,Conseq_VeryHigh,Conseq_ExtremeHigh)))))))</f>
        <v>NA</v>
      </c>
      <c r="BO376" s="83"/>
      <c r="BP376" s="104"/>
      <c r="BQ376" s="83"/>
      <c r="BR376" s="81"/>
      <c r="BS376" s="23" t="s">
        <v>3709</v>
      </c>
      <c r="BT376" s="81"/>
      <c r="BU376" s="1206">
        <f>IF(OR(BU$276=0,BU$267=""),0,IF(BU374&gt;Zone_1,IF(BU156="Instantaneous",Dispersion_I,Dispersion_D)*(MAX(Public,Zone_1)^2-MAX(Public,BU374)^2)+(MAX(Public,Zone_1)-MAX(Public,BU374))*IF(BU156="Instantaneous",DC_Duration_Initial*(BU83/BU98)^(1/3),2*(BU$55/3.142)^0.5),IF(BU156="Instantaneous",Dispersion_I,Dispersion_D)*BU$267^(2*IF(BU156="Instantaneous",BU$154,BU$128))*BU$289^2*(EXP(BU$274+BU$276*MAX(Public,Zone_1)^2/(BU$267^(2*IF(BU156="Instantaneous",BU$154,BU$128))*BU$289^2))-EXP(BU$274+BU$276*MAX(Public,BU374)^2/(BU$267^(2*IF(BU156="Instantaneous",BU$154,BU$128))*BU$289^2)))/BU$276))</f>
        <v>0</v>
      </c>
      <c r="BV376" s="81"/>
      <c r="BW376" s="1206">
        <f>IF(OR(BW$276=0,BW$267=""),0,IF(BW374&gt;Zone_1,IF(BW156="Instantaneous",Dispersion_I,Dispersion_D)*(MAX(Public,Zone_1)^2-MAX(Public,BW374)^2)+(MAX(Public,Zone_1)-MAX(Public,BW374))*IF(BW156="Instantaneous",DC_Duration_Initial*(BW83/BW98)^(1/3),2*(BW$55/3.142)^0.5),IF(BW156="Instantaneous",Dispersion_I,Dispersion_D)*BW$267^(2*IF(BW156="Instantaneous",BW$154,BW$128))*BW$289^2*(EXP(BW$274+BW$276*MAX(Public,Zone_1)^2/(BW$267^(2*IF(BW156="Instantaneous",BW$154,BW$128))*BW$289^2))-EXP(BW$274+BW$276*MAX(Public,BW374)^2/(BW$267^(2*IF(BW156="Instantaneous",BW$154,BW$128))*BW$289^2)))/BW$276))</f>
        <v>0</v>
      </c>
      <c r="BX376" s="81"/>
      <c r="BY376" s="1206">
        <f>IF(OR(BY$276=0,BY$267=""),0,IF(BY374&gt;Zone_1,IF(BY156="Instantaneous",Dispersion_I,Dispersion_D)*(MAX(Public,Zone_1)^2-MAX(Public,BY374)^2)+(MAX(Public,Zone_1)-MAX(Public,BY374))*IF(BY156="Instantaneous",DC_Duration_Initial*(BY83/BY98)^(1/3),2*(BY$55/3.142)^0.5),IF(BY156="Instantaneous",Dispersion_I,Dispersion_D)*BY$267^(2*IF(BY156="Instantaneous",BY$154,BY$128))*BY$289^2*(EXP(BY$274+BY$276*MAX(Public,Zone_1)^2/(BY$267^(2*IF(BY156="Instantaneous",BY$154,BY$128))*BY$289^2))-EXP(BY$274+BY$276*MAX(Public,BY374)^2/(BY$267^(2*IF(BY156="Instantaneous",BY$154,BY$128))*BY$289^2)))/BY$276))</f>
        <v>0</v>
      </c>
      <c r="BZ376" s="81"/>
      <c r="CA376" s="1206">
        <f>IF(OR(CA$276=0,CA$267=""),0,IF(CA374&gt;Zone_1,IF(CA156="Instantaneous",Dispersion_I,Dispersion_D)*(MAX(Public,Zone_1)^2-MAX(Public,CA374)^2)+(MAX(Public,Zone_1)-MAX(Public,CA374))*IF(CA156="Instantaneous",DC_Duration_Initial*(CA83/CA98)^(1/3),2*(CA$55/3.142)^0.5),IF(CA156="Instantaneous",Dispersion_I,Dispersion_D)*CA$267^(2*IF(CA156="Instantaneous",CA$154,CA$128))*CA$289^2*(EXP(CA$274+CA$276*MAX(Public,Zone_1)^2/(CA$267^(2*IF(CA156="Instantaneous",CA$154,CA$128))*CA$289^2))-EXP(CA$274+CA$276*MAX(Public,CA374)^2/(CA$267^(2*IF(CA156="Instantaneous",CA$154,CA$128))*CA$289^2)))/CA$276))</f>
        <v>0</v>
      </c>
      <c r="CB376" s="81"/>
      <c r="CC376" s="1206">
        <f>IF(OR(CC$276=0,CC$267=""),0,IF(CC374&gt;Zone_1,IF(CC156="Instantaneous",Dispersion_I,Dispersion_D)*(MAX(Public,Zone_1)^2-MAX(Public,CC374)^2)+(MAX(Public,Zone_1)-MAX(Public,CC374))*IF(CC156="Instantaneous",DC_Duration_Initial*(CC83/CC98)^(1/3),2*(CC$55/3.142)^0.5),IF(CC156="Instantaneous",Dispersion_I,Dispersion_D)*CC$267^(2*IF(CC156="Instantaneous",CC$154,CC$128))*CC$289^2*(EXP(CC$274+CC$276*MAX(Public,Zone_1)^2/(CC$267^(2*IF(CC156="Instantaneous",CC$154,CC$128))*CC$289^2))-EXP(CC$274+CC$276*MAX(Public,CC374)^2/(CC$267^(2*IF(CC156="Instantaneous",CC$154,CC$128))*CC$289^2)))/CC$276))</f>
        <v>0</v>
      </c>
      <c r="CD376" s="81"/>
      <c r="CE376" s="85" t="s">
        <v>3804</v>
      </c>
      <c r="CF376" s="81"/>
      <c r="CM376" s="26"/>
      <c r="CN376" s="26"/>
    </row>
    <row r="377" spans="1:92" ht="15" customHeight="1" thickBot="1" x14ac:dyDescent="0.3">
      <c r="A377" s="2"/>
      <c r="B377" s="25" t="s">
        <v>4791</v>
      </c>
      <c r="C377" s="83"/>
      <c r="D377" s="1286" t="str">
        <f>IF(OR(AND(Regulatory_Tox&lt;&gt;"Yes",ER3_Min&gt;Toxic_Limit),D255="",AND(D296&lt;=IF(D243&lt;&gt;"",D243,1000000),D297&lt;=IF(D243&lt;&gt;"",D243,1000000))),"NA",IF(MAX(D296,D297)/D255&lt;HD_VeryLow_Infiltration,Conseq_VeryLow,IF(MAX(D296,D297)/D255&lt;HD_Low_Infiltration,Conseq_Low,IF(MAX(D296,D297)/D255&lt;HD_Moderate_Infiltration,Conseq_Moderate,IF(MAX(D296,D297)/D255&lt;HD_High_Infiltration,Conseq_High,IF(MAX(D296,D297)/D255&lt;HD_VeryHigh_Infiltration,Conseq_VeryHigh,Conseq_ExtremeHigh))))))</f>
        <v>NA</v>
      </c>
      <c r="E377" s="83"/>
      <c r="F377" s="1286" t="str">
        <f>IF(OR(AND(Regulatory_Tox&lt;&gt;"Yes",ER3_Min&gt;Toxic_Limit),F255="",AND(F296&lt;=IF(F243&lt;&gt;"",F243,1000000),F297&lt;=IF(F243&lt;&gt;"",F243,1000000))),"NA",IF(MAX(F296,F297)/F255&lt;HD_VeryLow_Infiltration,Conseq_VeryLow,IF(MAX(F296,F297)/F255&lt;HD_Low_Infiltration,Conseq_Low,IF(MAX(F296,F297)/F255&lt;HD_Moderate_Infiltration,Conseq_Moderate,IF(MAX(F296,F297)/F255&lt;HD_High_Infiltration,Conseq_High,IF(MAX(F296,F297)/F255&lt;HD_VeryHigh_Infiltration,Conseq_VeryHigh,Conseq_ExtremeHigh))))))</f>
        <v>NA</v>
      </c>
      <c r="G377" s="83"/>
      <c r="H377" s="1286" t="str">
        <f>IF(OR(AND(Regulatory_Tox&lt;&gt;"Yes",ER3_Min&gt;Toxic_Limit),H255="",AND(H296&lt;=IF(H243&lt;&gt;"",H243,1000000),H297&lt;=IF(H243&lt;&gt;"",H243,1000000))),"NA",IF(MAX(H296,H297)/H255&lt;HD_VeryLow_Infiltration,Conseq_VeryLow,IF(MAX(H296,H297)/H255&lt;HD_Low_Infiltration,Conseq_Low,IF(MAX(H296,H297)/H255&lt;HD_Moderate_Infiltration,Conseq_Moderate,IF(MAX(H296,H297)/H255&lt;HD_High_Infiltration,Conseq_High,IF(MAX(H296,H297)/H255&lt;HD_VeryHigh_Infiltration,Conseq_VeryHigh,Conseq_ExtremeHigh))))))</f>
        <v>NA</v>
      </c>
      <c r="I377" s="83"/>
      <c r="J377" s="1286" t="str">
        <f>IF(OR(AND(Regulatory_Tox&lt;&gt;"Yes",ER3_Min&gt;Toxic_Limit),J255="",AND(J296&lt;=IF(J243&lt;&gt;"",J243,1000000),J297&lt;=IF(J243&lt;&gt;"",J243,1000000))),"NA",IF(MAX(J296,J297)/J255&lt;HD_VeryLow_Infiltration,Conseq_VeryLow,IF(MAX(J296,J297)/J255&lt;HD_Low_Infiltration,Conseq_Low,IF(MAX(J296,J297)/J255&lt;HD_Moderate_Infiltration,Conseq_Moderate,IF(MAX(J296,J297)/J255&lt;HD_High_Infiltration,Conseq_High,IF(MAX(J296,J297)/J255&lt;HD_VeryHigh_Infiltration,Conseq_VeryHigh,Conseq_ExtremeHigh))))))</f>
        <v>NA</v>
      </c>
      <c r="K377" s="83"/>
      <c r="L377" s="1286" t="str">
        <f>IF(OR(AND(Regulatory_Tox&lt;&gt;"Yes",ER3_Min&gt;Toxic_Limit),L255="",AND(L296&lt;=IF(L243&lt;&gt;"",L243,1000000),L297&lt;=IF(L243&lt;&gt;"",L243,1000000))),"NA",IF(MAX(L296,L297)/L255&lt;HD_VeryLow_Infiltration,Conseq_VeryLow,IF(MAX(L296,L297)/L255&lt;HD_Low_Infiltration,Conseq_Low,IF(MAX(L296,L297)/L255&lt;HD_Moderate_Infiltration,Conseq_Moderate,IF(MAX(L296,L297)/L255&lt;HD_High_Infiltration,Conseq_High,IF(MAX(L296,L297)/L255&lt;HD_VeryHigh_Infiltration,Conseq_VeryHigh,Conseq_ExtremeHigh))))))</f>
        <v>NA</v>
      </c>
      <c r="M377" s="83"/>
      <c r="N377" s="1286" t="str">
        <f>IF(OR(AND(Regulatory_Tox&lt;&gt;"Yes",ER3_Min&gt;Toxic_Limit),N255="",AND(N296&lt;=IF(N243&lt;&gt;"",N243,1000000),N297&lt;=IF(N243&lt;&gt;"",N243,1000000))),"NA",IF(MAX(N296,N297)/N255&lt;HD_VeryLow_Infiltration,Conseq_VeryLow,IF(MAX(N296,N297)/N255&lt;HD_Low_Infiltration,Conseq_Low,IF(MAX(N296,N297)/N255&lt;HD_Moderate_Infiltration,Conseq_Moderate,IF(MAX(N296,N297)/N255&lt;HD_High_Infiltration,Conseq_High,IF(MAX(N296,N297)/N255&lt;HD_VeryHigh_Infiltration,Conseq_VeryHigh,Conseq_ExtremeHigh))))))</f>
        <v>NA</v>
      </c>
      <c r="O377" s="83"/>
      <c r="P377" s="1286" t="str">
        <f>IF(OR(AND(Regulatory_Tox&lt;&gt;"Yes",ER3_Min&gt;Toxic_Limit),P255="",AND(P296&lt;=IF(P243&lt;&gt;"",P243,1000000),P297&lt;=IF(P243&lt;&gt;"",P243,1000000))),"NA",IF(MAX(P296,P297)/P255&lt;HD_VeryLow_Infiltration,Conseq_VeryLow,IF(MAX(P296,P297)/P255&lt;HD_Low_Infiltration,Conseq_Low,IF(MAX(P296,P297)/P255&lt;HD_Moderate_Infiltration,Conseq_Moderate,IF(MAX(P296,P297)/P255&lt;HD_High_Infiltration,Conseq_High,IF(MAX(P296,P297)/P255&lt;HD_VeryHigh_Infiltration,Conseq_VeryHigh,Conseq_ExtremeHigh))))))</f>
        <v>NA</v>
      </c>
      <c r="Q377" s="83"/>
      <c r="R377" s="1286" t="str">
        <f>IF(OR(AND(Regulatory_Tox&lt;&gt;"Yes",ER3_Min&gt;Toxic_Limit),R255="",AND(R296&lt;=IF(R243&lt;&gt;"",R243,1000000),R297&lt;=IF(R243&lt;&gt;"",R243,1000000))),"NA",IF(MAX(R296,R297)/R255&lt;HD_VeryLow_Infiltration,Conseq_VeryLow,IF(MAX(R296,R297)/R255&lt;HD_Low_Infiltration,Conseq_Low,IF(MAX(R296,R297)/R255&lt;HD_Moderate_Infiltration,Conseq_Moderate,IF(MAX(R296,R297)/R255&lt;HD_High_Infiltration,Conseq_High,IF(MAX(R296,R297)/R255&lt;HD_VeryHigh_Infiltration,Conseq_VeryHigh,Conseq_ExtremeHigh))))))</f>
        <v>NA</v>
      </c>
      <c r="S377" s="83"/>
      <c r="T377" s="1286" t="str">
        <f>IF(OR(AND(Regulatory_Tox&lt;&gt;"Yes",ER3_Min&gt;Toxic_Limit),T255="",AND(T296&lt;=IF(T243&lt;&gt;"",T243,1000000),T297&lt;=IF(T243&lt;&gt;"",T243,1000000))),"NA",IF(MAX(T296,T297)/T255&lt;HD_VeryLow_Infiltration,Conseq_VeryLow,IF(MAX(T296,T297)/T255&lt;HD_Low_Infiltration,Conseq_Low,IF(MAX(T296,T297)/T255&lt;HD_Moderate_Infiltration,Conseq_Moderate,IF(MAX(T296,T297)/T255&lt;HD_High_Infiltration,Conseq_High,IF(MAX(T296,T297)/T255&lt;HD_VeryHigh_Infiltration,Conseq_VeryHigh,Conseq_ExtremeHigh))))))</f>
        <v>NA</v>
      </c>
      <c r="U377" s="83"/>
      <c r="V377" s="1286" t="str">
        <f>IF(OR(AND(Regulatory_Tox&lt;&gt;"Yes",ER3_Min&gt;Toxic_Limit),V255="",AND(V296&lt;=IF(V243&lt;&gt;"",V243,1000000),V297&lt;=IF(V243&lt;&gt;"",V243,1000000))),"NA",IF(MAX(V296,V297)/V255&lt;HD_VeryLow_Infiltration,Conseq_VeryLow,IF(MAX(V296,V297)/V255&lt;HD_Low_Infiltration,Conseq_Low,IF(MAX(V296,V297)/V255&lt;HD_Moderate_Infiltration,Conseq_Moderate,IF(MAX(V296,V297)/V255&lt;HD_High_Infiltration,Conseq_High,IF(MAX(V296,V297)/V255&lt;HD_VeryHigh_Infiltration,Conseq_VeryHigh,Conseq_ExtremeHigh))))))</f>
        <v>NA</v>
      </c>
      <c r="W377" s="83"/>
      <c r="X377" s="1286" t="str">
        <f>IF(OR(AND(Regulatory_Tox&lt;&gt;"Yes",ER3_Min&gt;Toxic_Limit),X255="",AND(X296&lt;=IF(X243&lt;&gt;"",X243,1000000),X297&lt;=IF(X243&lt;&gt;"",X243,1000000))),"NA",IF(MAX(X296,X297)/X255&lt;HD_VeryLow_Infiltration,Conseq_VeryLow,IF(MAX(X296,X297)/X255&lt;HD_Low_Infiltration,Conseq_Low,IF(MAX(X296,X297)/X255&lt;HD_Moderate_Infiltration,Conseq_Moderate,IF(MAX(X296,X297)/X255&lt;HD_High_Infiltration,Conseq_High,IF(MAX(X296,X297)/X255&lt;HD_VeryHigh_Infiltration,Conseq_VeryHigh,Conseq_ExtremeHigh))))))</f>
        <v>NA</v>
      </c>
      <c r="Y377" s="83"/>
      <c r="Z377" s="23"/>
      <c r="AA377" s="83"/>
      <c r="AB377" s="81"/>
      <c r="AC377" s="25" t="s">
        <v>4223</v>
      </c>
      <c r="AD377" s="81"/>
      <c r="AE377" s="2540" t="str">
        <f>IF(AE375&lt;N_Screening,IF(AE299="Yes",Conseq_Low_Offsite,IF(AE297="Yes",Conseq_VeryLow_Offsite,"NA")),IF(AE375&lt;N_VeryLow,Conseq_VeryLow+N_OffSite,IF(AE375&lt;N_Low,Conseq_Low+N_OffSite,IF(AE375&lt;N_Moderate,Conseq_Moderate+IF(Conseq_Moderate&lt;Conseq_GT_ExtremeHigh,N_OffSite,0),IF(AE375&lt;N_High,Conseq_High+IF(Conseq_High&lt;Conseq_GT_ExtremeHigh,N_OffSite,0),IF(AE375&lt;N_VeryHigh,Conseq_VeryHigh+IF(Conseq_VeryHigh&lt;Conseq_GT_ExtremeHigh,N_OffSite,0),Conseq_ExtremeHigh+IF(Conseq_ExtremeHigh&lt;Conseq_GT_ExtremeHigh,N_OffSite,0)))))))</f>
        <v>NA</v>
      </c>
      <c r="AF377" s="1180"/>
      <c r="AG377" s="2540" t="str">
        <f>IF(AG375&lt;N_Screening,IF(AG299="Yes",Conseq_Low_Offsite,IF(AG297="Yes",Conseq_VeryLow_Offsite,"NA")),IF(AG375&lt;N_VeryLow,Conseq_VeryLow+N_OffSite,IF(AG375&lt;N_Low,Conseq_Low+N_OffSite,IF(AG375&lt;N_Moderate,Conseq_Moderate+IF(Conseq_Moderate&lt;Conseq_GT_ExtremeHigh,N_OffSite,0),IF(AG375&lt;N_High,Conseq_High+IF(Conseq_High&lt;Conseq_GT_ExtremeHigh,N_OffSite,0),IF(AG375&lt;N_VeryHigh,Conseq_VeryHigh+IF(Conseq_VeryHigh&lt;Conseq_GT_ExtremeHigh,N_OffSite,0),Conseq_ExtremeHigh+IF(Conseq_ExtremeHigh&lt;Conseq_GT_ExtremeHigh,N_OffSite,0)))))))</f>
        <v>NA</v>
      </c>
      <c r="AH377" s="1180"/>
      <c r="AI377" s="2540" t="str">
        <f>IF(AI375&lt;N_Screening,IF(AI299="Yes",Conseq_Low_Offsite,IF(AI297="Yes",Conseq_VeryLow_Offsite,"NA")),IF(AI375&lt;N_VeryLow,Conseq_VeryLow+N_OffSite,IF(AI375&lt;N_Low,Conseq_Low+N_OffSite,IF(AI375&lt;N_Moderate,Conseq_Moderate+IF(Conseq_Moderate&lt;Conseq_GT_ExtremeHigh,N_OffSite,0),IF(AI375&lt;N_High,Conseq_High+IF(Conseq_High&lt;Conseq_GT_ExtremeHigh,N_OffSite,0),IF(AI375&lt;N_VeryHigh,Conseq_VeryHigh+IF(Conseq_VeryHigh&lt;Conseq_GT_ExtremeHigh,N_OffSite,0),Conseq_ExtremeHigh+IF(Conseq_ExtremeHigh&lt;Conseq_GT_ExtremeHigh,N_OffSite,0)))))))</f>
        <v>NA</v>
      </c>
      <c r="AJ377" s="1180"/>
      <c r="AK377" s="2540" t="str">
        <f>IF(AK375&lt;N_Screening,IF(AK299="Yes",Conseq_Low_Offsite,IF(AK297="Yes",Conseq_VeryLow_Offsite,"NA")),IF(AK375&lt;N_VeryLow,Conseq_VeryLow+N_OffSite,IF(AK375&lt;N_Low,Conseq_Low+N_OffSite,IF(AK375&lt;N_Moderate,Conseq_Moderate+IF(Conseq_Moderate&lt;Conseq_GT_ExtremeHigh,N_OffSite,0),IF(AK375&lt;N_High,Conseq_High+IF(Conseq_High&lt;Conseq_GT_ExtremeHigh,N_OffSite,0),IF(AK375&lt;N_VeryHigh,Conseq_VeryHigh+IF(Conseq_VeryHigh&lt;Conseq_GT_ExtremeHigh,N_OffSite,0),Conseq_ExtremeHigh+IF(Conseq_ExtremeHigh&lt;Conseq_GT_ExtremeHigh,N_OffSite,0)))))))</f>
        <v>NA</v>
      </c>
      <c r="AL377" s="1180"/>
      <c r="AM377" s="2540" t="str">
        <f>IF(AM375&lt;N_Screening,IF(AM299="Yes",Conseq_Low_Offsite,IF(AM297="Yes",Conseq_VeryLow_Offsite,"NA")),IF(AM375&lt;N_VeryLow,Conseq_VeryLow+N_OffSite,IF(AM375&lt;N_Low,Conseq_Low+N_OffSite,IF(AM375&lt;N_Moderate,Conseq_Moderate+IF(Conseq_Moderate&lt;Conseq_GT_ExtremeHigh,N_OffSite,0),IF(AM375&lt;N_High,Conseq_High+IF(Conseq_High&lt;Conseq_GT_ExtremeHigh,N_OffSite,0),IF(AM375&lt;N_VeryHigh,Conseq_VeryHigh+IF(Conseq_VeryHigh&lt;Conseq_GT_ExtremeHigh,N_OffSite,0),Conseq_ExtremeHigh+IF(Conseq_ExtremeHigh&lt;Conseq_GT_ExtremeHigh,N_OffSite,0)))))))</f>
        <v>NA</v>
      </c>
      <c r="AN377" s="1180"/>
      <c r="AO377" s="2540" t="str">
        <f>IF(AO375&lt;N_Screening,IF(AO299="Yes",Conseq_Low_Offsite,IF(AO297="Yes",Conseq_VeryLow_Offsite,"NA")),IF(AO375&lt;N_VeryLow,Conseq_VeryLow+N_OffSite,IF(AO375&lt;N_Low,Conseq_Low+N_OffSite,IF(AO375&lt;N_Moderate,Conseq_Moderate+IF(Conseq_Moderate&lt;Conseq_GT_ExtremeHigh,N_OffSite,0),IF(AO375&lt;N_High,Conseq_High+IF(Conseq_High&lt;Conseq_GT_ExtremeHigh,N_OffSite,0),IF(AO375&lt;N_VeryHigh,Conseq_VeryHigh+IF(Conseq_VeryHigh&lt;Conseq_GT_ExtremeHigh,N_OffSite,0),Conseq_ExtremeHigh+IF(Conseq_ExtremeHigh&lt;Conseq_GT_ExtremeHigh,N_OffSite,0)))))))</f>
        <v>NA</v>
      </c>
      <c r="AP377" s="81"/>
      <c r="AQ377" s="89"/>
      <c r="AR377" s="81"/>
      <c r="AS377" s="83"/>
      <c r="AT377" s="92" t="s">
        <v>958</v>
      </c>
      <c r="AU377" s="612"/>
      <c r="AV377" s="474">
        <f>IF(OR(Relief_Discharge_Location="Outdoors to Ground",AND(AV22&gt;ChemExp_Mass_Limit,OR(Relief_Discharge_Location="Indoors",Relief_Discharge_Location="Outdoors-Upwards",Relief_Discharge_Location="Outdoors-Horizontal"))),Spray_Distance_VaporRelief,0)</f>
        <v>0</v>
      </c>
      <c r="AW377" s="612"/>
      <c r="AX377" s="474">
        <f>IF(OR(Relief_Discharge_Location="Outdoors to Ground",AND(AX22&gt;ChemExp_Mass_Limit,OR(Relief_Discharge_Location="Indoors",Relief_Discharge_Location="Outdoors-Upwards",Relief_Discharge_Location="Outdoors-Horizontal"))),Spray_Distance_VaporRelief,0)</f>
        <v>0</v>
      </c>
      <c r="AY377" s="612"/>
      <c r="AZ377" s="474">
        <f>IF(OR(Relief_Discharge_Location="Outdoors to Ground",AND(AZ22&gt;ChemExp_Mass_Limit,OR(Relief_Discharge_Location="Indoors",Relief_Discharge_Location="Outdoors-Upwards",Relief_Discharge_Location="Outdoors-Horizontal"))),Spray_Distance_VaporRelief,0)</f>
        <v>0</v>
      </c>
      <c r="BA377" s="612"/>
      <c r="BB377" s="474">
        <f>IF(OR(Relief_Discharge_Location="Outdoors to Ground",AND(BB22&gt;ChemExp_Mass_Limit,OR(Relief_Discharge_Location="Indoors",Relief_Discharge_Location="Outdoors-Upwards",Relief_Discharge_Location="Outdoors-Horizontal"))),Spray_Distance_VaporRelief,0)</f>
        <v>0</v>
      </c>
      <c r="BC377" s="612"/>
      <c r="BD377" s="474">
        <f>IF(OR(Relief_Discharge_Location="Outdoors to Ground",AND(BD22&gt;ChemExp_Mass_Limit,OR(Relief_Discharge_Location="Indoors",Relief_Discharge_Location="Outdoors-Upwards",Relief_Discharge_Location="Outdoors-Horizontal"))),Spray_Distance_VaporRelief,0)</f>
        <v>0</v>
      </c>
      <c r="BE377" s="612"/>
      <c r="BF377" s="474">
        <f>IF(OR(Relief_Discharge_Location="Outdoors to Ground",AND(BF22&gt;ChemExp_Mass_Limit,OR(Relief_Discharge_Location="Indoors",Relief_Discharge_Location="Outdoors-Upwards",Relief_Discharge_Location="Outdoors-Horizontal"))),Spray_Distance_VaporRelief,0)</f>
        <v>0</v>
      </c>
      <c r="BG377" s="612"/>
      <c r="BH377" s="474">
        <f>IF(OR(Relief_Discharge_Location="Outdoors to Ground",AND(BH22&gt;ChemExp_Mass_Limit,OR(Relief_Discharge_Location="Indoors",Relief_Discharge_Location="Outdoors-Upwards",Relief_Discharge_Location="Outdoors-Horizontal"))),Spray_Distance_VaporRelief,0)</f>
        <v>0</v>
      </c>
      <c r="BI377" s="612"/>
      <c r="BJ377" s="474">
        <f>IF(OR(Relief_Discharge_Location="Outdoors to Ground",AND(BJ22&gt;ChemExp_Mass_Limit,OR(Relief_Discharge_Location="Indoors",Relief_Discharge_Location="Outdoors-Upwards",Relief_Discharge_Location="Outdoors-Horizontal"))),Spray_Distance_VaporRelief,0)</f>
        <v>0</v>
      </c>
      <c r="BK377" s="612"/>
      <c r="BL377" s="474">
        <f>IF(OR(Relief_Discharge_Location="Outdoors to Ground",AND(BL22&gt;ChemExp_Mass_Limit,OR(Relief_Discharge_Location="Indoors",Relief_Discharge_Location="Outdoors-Upwards",Relief_Discharge_Location="Outdoors-Horizontal"))),Spray_Distance_VaporRelief,0)</f>
        <v>0</v>
      </c>
      <c r="BM377" s="612"/>
      <c r="BN377" s="474">
        <f>IF(OR(Relief_Discharge_Location="Outdoors to Ground",AND(BN22&gt;ChemExp_Mass_Limit,OR(Relief_Discharge_Location="Indoors",Relief_Discharge_Location="Outdoors-Upwards",Relief_Discharge_Location="Outdoors-Horizontal"))),Spray_Distance_VaporRelief,0)</f>
        <v>0</v>
      </c>
      <c r="BO377" s="83"/>
      <c r="BP377" s="1829" t="s">
        <v>1068</v>
      </c>
      <c r="BQ377" s="83"/>
      <c r="BR377" s="81"/>
      <c r="BS377" s="23" t="s">
        <v>3710</v>
      </c>
      <c r="BT377" s="81"/>
      <c r="BU377" s="1206" t="e">
        <f>IF(Zone_1&lt;Public,IF(BU156="Instantaneous",Dispersion_I,Dispersion_D)*(MAX(BU374,Public)^2-Public^2)+(MAX(BU374,Public)-Public)*IF(BU208="Instantaneous",DC_Duration_Initial*(BU83/BU98)^(1/3),2*(BU$55/3.142)^0.5),IF(BU156="Instantaneous",Dispersion_I,Dispersion_D)*(MAX(BU374,Zone_1)^2-Zone_1^2)+(MAX(BU374,Zone_1)-Zone_1)*IF(BU156="Instantaneous",DC_Duration_Initial*(BU83/BU98)^(1/3),2*(BU$55/3.142)^0.5))</f>
        <v>#DIV/0!</v>
      </c>
      <c r="BV377" s="81"/>
      <c r="BW377" s="1206" t="e">
        <f>IF(Zone_1&lt;Public,IF(BW156="Instantaneous",Dispersion_I,Dispersion_D)*(MAX(BW374,Public)^2-Public^2)+(MAX(BW374,Public)-Public)*IF(BW208="Instantaneous",DC_Duration_Initial*(BW83/BW98)^(1/3),2*(BW$55/3.142)^0.5),IF(BW156="Instantaneous",Dispersion_I,Dispersion_D)*(MAX(BW374,Zone_1)^2-Zone_1^2)+(MAX(BW374,Zone_1)-Zone_1)*IF(BW156="Instantaneous",DC_Duration_Initial*(BW83/BW98)^(1/3),2*(BW$55/3.142)^0.5))</f>
        <v>#DIV/0!</v>
      </c>
      <c r="BX377" s="81"/>
      <c r="BY377" s="1206" t="e">
        <f>IF(Zone_1&lt;Public,IF(BY156="Instantaneous",Dispersion_I,Dispersion_D)*(MAX(BY374,Public)^2-Public^2)+(MAX(BY374,Public)-Public)*IF(BY208="Instantaneous",DC_Duration_Initial*(BY83/BY98)^(1/3),2*(BY$55/3.142)^0.5),IF(BY156="Instantaneous",Dispersion_I,Dispersion_D)*(MAX(BY374,Zone_1)^2-Zone_1^2)+(MAX(BY374,Zone_1)-Zone_1)*IF(BY156="Instantaneous",DC_Duration_Initial*(BY83/BY98)^(1/3),2*(BY$55/3.142)^0.5))</f>
        <v>#DIV/0!</v>
      </c>
      <c r="BZ377" s="81"/>
      <c r="CA377" s="1206" t="e">
        <f>IF(Zone_1&lt;Public,IF(CA156="Instantaneous",Dispersion_I,Dispersion_D)*(MAX(CA374,Public)^2-Public^2)+(MAX(CA374,Public)-Public)*IF(CA208="Instantaneous",DC_Duration_Initial*(CA83/CA98)^(1/3),2*(CA$55/3.142)^0.5),IF(CA156="Instantaneous",Dispersion_I,Dispersion_D)*(MAX(CA374,Zone_1)^2-Zone_1^2)+(MAX(CA374,Zone_1)-Zone_1)*IF(CA156="Instantaneous",DC_Duration_Initial*(CA83/CA98)^(1/3),2*(CA$55/3.142)^0.5))</f>
        <v>#DIV/0!</v>
      </c>
      <c r="CB377" s="81"/>
      <c r="CC377" s="1206" t="e">
        <f>IF(Zone_1&lt;Public,IF(CC156="Instantaneous",Dispersion_I,Dispersion_D)*(MAX(CC374,Public)^2-Public^2)+(MAX(CC374,Public)-Public)*IF(CC208="Instantaneous",DC_Duration_Initial*(CC83/CC98)^(1/3),2*(CC$55/3.142)^0.5),IF(CC156="Instantaneous",Dispersion_I,Dispersion_D)*(MAX(CC374,Zone_1)^2-Zone_1^2)+(MAX(CC374,Zone_1)-Zone_1)*IF(CC156="Instantaneous",DC_Duration_Initial*(CC83/CC98)^(1/3),2*(CC$55/3.142)^0.5))</f>
        <v>#DIV/0!</v>
      </c>
      <c r="CD377" s="81"/>
      <c r="CE377" s="85" t="s">
        <v>3804</v>
      </c>
      <c r="CF377" s="81"/>
      <c r="CN377" s="26"/>
    </row>
    <row r="378" spans="1:92" ht="15" customHeight="1" thickBot="1" x14ac:dyDescent="0.3">
      <c r="A378" s="2"/>
      <c r="B378" s="25" t="s">
        <v>4226</v>
      </c>
      <c r="C378" s="83"/>
      <c r="D378" s="2135" t="str">
        <f>IF(Conseq_Criteria="Hazard Distance",D377,IF(OR(AND(Regulatory_Tox&lt;&gt;"Yes",ER3_Min&gt;Toxic_Limit),AND(D296&lt;=IF(D243&lt;&gt;"",D243,1000000),D297&lt;=IF(D243&lt;&gt;"",D243,1000000))),"NA",IF(D376&lt;N_VeryLow,Conseq_VeryLow,IF(D376&lt;N_Low,Conseq_Low,IF(D376&lt;N_Moderate,Conseq_Moderate,IF(D376&lt;N_High,Conseq_High,IF(D376&lt;N_VeryHigh,Conseq_VeryHigh,Conseq_ExtremeHigh)))))))</f>
        <v>NA</v>
      </c>
      <c r="E378" s="83"/>
      <c r="F378" s="2135" t="str">
        <f>IF(Conseq_Criteria="Hazard Distance",F377,IF(OR(AND(Regulatory_Tox&lt;&gt;"Yes",ER3_Min&gt;Toxic_Limit),AND(F296&lt;=IF(F243&lt;&gt;"",F243,1000000),F297&lt;=IF(F243&lt;&gt;"",F243,1000000))),"NA",IF(F376&lt;N_VeryLow,Conseq_VeryLow,IF(F376&lt;N_Low,Conseq_Low,IF(F376&lt;N_Moderate,Conseq_Moderate,IF(F376&lt;N_High,Conseq_High,IF(F376&lt;N_VeryHigh,Conseq_VeryHigh,Conseq_ExtremeHigh)))))))</f>
        <v>NA</v>
      </c>
      <c r="G378" s="83"/>
      <c r="H378" s="2135" t="str">
        <f>IF(Conseq_Criteria="Hazard Distance",H377,IF(OR(AND(Regulatory_Tox&lt;&gt;"Yes",ER3_Min&gt;Toxic_Limit),AND(H296&lt;=IF(H243&lt;&gt;"",H243,1000000),H297&lt;=IF(H243&lt;&gt;"",H243,1000000))),"NA",IF(H376&lt;N_VeryLow,Conseq_VeryLow,IF(H376&lt;N_Low,Conseq_Low,IF(H376&lt;N_Moderate,Conseq_Moderate,IF(H376&lt;N_High,Conseq_High,IF(H376&lt;N_VeryHigh,Conseq_VeryHigh,Conseq_ExtremeHigh)))))))</f>
        <v>NA</v>
      </c>
      <c r="I378" s="83"/>
      <c r="J378" s="2135" t="str">
        <f>IF(Conseq_Criteria="Hazard Distance",J377,IF(OR(AND(Regulatory_Tox&lt;&gt;"Yes",ER3_Min&gt;Toxic_Limit),AND(J296&lt;=IF(J243&lt;&gt;"",J243,1000000),J297&lt;=IF(J243&lt;&gt;"",J243,1000000))),"NA",IF(J376&lt;N_VeryLow,Conseq_VeryLow,IF(J376&lt;N_Low,Conseq_Low,IF(J376&lt;N_Moderate,Conseq_Moderate,IF(J376&lt;N_High,Conseq_High,IF(J376&lt;N_VeryHigh,Conseq_VeryHigh,Conseq_ExtremeHigh)))))))</f>
        <v>NA</v>
      </c>
      <c r="K378" s="83"/>
      <c r="L378" s="2135" t="str">
        <f>IF(Conseq_Criteria="Hazard Distance",L377,IF(OR(AND(Regulatory_Tox&lt;&gt;"Yes",ER3_Min&gt;Toxic_Limit),AND(L296&lt;=IF(L243&lt;&gt;"",L243,1000000),L297&lt;=IF(L243&lt;&gt;"",L243,1000000))),"NA",IF(L376&lt;N_VeryLow,Conseq_VeryLow,IF(L376&lt;N_Low,Conseq_Low,IF(L376&lt;N_Moderate,Conseq_Moderate,IF(L376&lt;N_High,Conseq_High,IF(L376&lt;N_VeryHigh,Conseq_VeryHigh,Conseq_ExtremeHigh)))))))</f>
        <v>NA</v>
      </c>
      <c r="M378" s="83"/>
      <c r="N378" s="2135" t="str">
        <f>IF(Conseq_Criteria="Hazard Distance",N377,IF(OR(AND(Regulatory_Tox&lt;&gt;"Yes",ER3_Min&gt;Toxic_Limit),AND(N296&lt;=IF(N243&lt;&gt;"",N243,1000000),N297&lt;=IF(N243&lt;&gt;"",N243,1000000))),"NA",IF(N376&lt;N_VeryLow,Conseq_VeryLow,IF(N376&lt;N_Low,Conseq_Low,IF(N376&lt;N_Moderate,Conseq_Moderate,IF(N376&lt;N_High,Conseq_High,IF(N376&lt;N_VeryHigh,Conseq_VeryHigh,Conseq_ExtremeHigh)))))))</f>
        <v>NA</v>
      </c>
      <c r="O378" s="83"/>
      <c r="P378" s="2135" t="str">
        <f>IF(Conseq_Criteria="Hazard Distance",P377,IF(OR(AND(Regulatory_Tox&lt;&gt;"Yes",ER3_Min&gt;Toxic_Limit),AND(P296&lt;=IF(P243&lt;&gt;"",P243,1000000),P297&lt;=IF(P243&lt;&gt;"",P243,1000000))),"NA",IF(P376&lt;N_VeryLow,Conseq_VeryLow,IF(P376&lt;N_Low,Conseq_Low,IF(P376&lt;N_Moderate,Conseq_Moderate,IF(P376&lt;N_High,Conseq_High,IF(P376&lt;N_VeryHigh,Conseq_VeryHigh,Conseq_ExtremeHigh)))))))</f>
        <v>NA</v>
      </c>
      <c r="Q378" s="83"/>
      <c r="R378" s="2135" t="str">
        <f>IF(Conseq_Criteria="Hazard Distance",R377,IF(OR(AND(Regulatory_Tox&lt;&gt;"Yes",ER3_Min&gt;Toxic_Limit),AND(R296&lt;=IF(R243&lt;&gt;"",R243,1000000),R297&lt;=IF(R243&lt;&gt;"",R243,1000000))),"NA",IF(R376&lt;N_VeryLow,Conseq_VeryLow,IF(R376&lt;N_Low,Conseq_Low,IF(R376&lt;N_Moderate,Conseq_Moderate,IF(R376&lt;N_High,Conseq_High,IF(R376&lt;N_VeryHigh,Conseq_VeryHigh,Conseq_ExtremeHigh)))))))</f>
        <v>NA</v>
      </c>
      <c r="S378" s="83"/>
      <c r="T378" s="2135" t="str">
        <f>IF(Conseq_Criteria="Hazard Distance",T377,IF(OR(AND(Regulatory_Tox&lt;&gt;"Yes",ER3_Min&gt;Toxic_Limit),AND(T296&lt;=IF(T243&lt;&gt;"",T243,1000000),T297&lt;=IF(T243&lt;&gt;"",T243,1000000))),"NA",IF(T376&lt;N_VeryLow,Conseq_VeryLow,IF(T376&lt;N_Low,Conseq_Low,IF(T376&lt;N_Moderate,Conseq_Moderate,IF(T376&lt;N_High,Conseq_High,IF(T376&lt;N_VeryHigh,Conseq_VeryHigh,Conseq_ExtremeHigh)))))))</f>
        <v>NA</v>
      </c>
      <c r="U378" s="83"/>
      <c r="V378" s="2135" t="str">
        <f>IF(Conseq_Criteria="Hazard Distance",V377,IF(OR(AND(Regulatory_Tox&lt;&gt;"Yes",ER3_Min&gt;Toxic_Limit),AND(V296&lt;=IF(V243&lt;&gt;"",V243,1000000),V297&lt;=IF(V243&lt;&gt;"",V243,1000000))),"NA",IF(V376&lt;N_VeryLow,Conseq_VeryLow,IF(V376&lt;N_Low,Conseq_Low,IF(V376&lt;N_Moderate,Conseq_Moderate,IF(V376&lt;N_High,Conseq_High,IF(V376&lt;N_VeryHigh,Conseq_VeryHigh,Conseq_ExtremeHigh)))))))</f>
        <v>NA</v>
      </c>
      <c r="W378" s="83"/>
      <c r="X378" s="2135" t="str">
        <f>IF(Conseq_Criteria="Hazard Distance",X377,IF(OR(AND(Regulatory_Tox&lt;&gt;"Yes",ER3_Min&gt;Toxic_Limit),AND(X296&lt;=IF(X243&lt;&gt;"",X243,1000000),X297&lt;=IF(X243&lt;&gt;"",X243,1000000))),"NA",IF(X376&lt;N_VeryLow,Conseq_VeryLow,IF(X376&lt;N_Low,Conseq_Low,IF(X376&lt;N_Moderate,Conseq_Moderate,IF(X376&lt;N_High,Conseq_High,IF(X376&lt;N_VeryHigh,Conseq_VeryHigh,Conseq_ExtremeHigh)))))))</f>
        <v>NA</v>
      </c>
      <c r="Y378" s="83"/>
      <c r="Z378" s="104"/>
      <c r="AA378" s="83"/>
      <c r="AB378" s="81"/>
      <c r="AC378" s="23" t="s">
        <v>4735</v>
      </c>
      <c r="AD378" s="81"/>
      <c r="AE378" s="1206">
        <f>Dispersion_D*IF(Public2=0,AE300,MIN(AE300,Public2))^2+IF(AE294="Indoors",0,2*IF(Public2=0,AE300,MIN(AE300,Public2))*(AE55/3.142)^0.5)</f>
        <v>3.0000000000000005E-3</v>
      </c>
      <c r="AF378" s="81"/>
      <c r="AG378" s="1206">
        <f>Dispersion_D*IF(Public2=0,AG300,MIN(AG300,Public2))^2+IF(AG294="Indoors",0,2*IF(Public2=0,AG300,MIN(AG300,Public2))*(AG55/3.142)^0.5)</f>
        <v>3.0000000000000005E-3</v>
      </c>
      <c r="AH378" s="81"/>
      <c r="AI378" s="1206">
        <f>Dispersion_D*IF(Public2=0,AI300,MIN(AI300,Public2))^2+IF(AI294="Indoors",0,2*IF(Public2=0,AI300,MIN(AI300,Public2))*(AI55/3.142)^0.5)</f>
        <v>3.0000000000000005E-3</v>
      </c>
      <c r="AJ378" s="81"/>
      <c r="AK378" s="1206">
        <f>Dispersion_D*IF(Public2=0,AK300,MIN(AK300,Public2))^2+IF(AK294="Indoors",0,2*IF(Public2=0,AK300,MIN(AK300,Public2))*(AK55/3.142)^0.5)</f>
        <v>3.0000000000000005E-3</v>
      </c>
      <c r="AL378" s="81"/>
      <c r="AM378" s="1206">
        <f>Dispersion_D*IF(Public2=0,AM300,MIN(AM300,Public2))^2+IF(AM294="Indoors",0,2*IF(Public2=0,AM300,MIN(AM300,Public2))*(AM55/3.142)^0.5)</f>
        <v>3.0000000000000005E-3</v>
      </c>
      <c r="AN378" s="81"/>
      <c r="AO378" s="1206">
        <f>Dispersion_D*IF(Public2=0,AO300,MIN(AO300,Public2))^2+IF(AO294="Indoors",0,2*IF(Public2=0,AO300,MIN(AO300,Public2))*(AO55/3.142)^0.5)</f>
        <v>3.0000000000000005E-3</v>
      </c>
      <c r="AP378" s="81"/>
      <c r="AQ378" s="92" t="s">
        <v>3804</v>
      </c>
      <c r="AR378" s="81"/>
      <c r="AS378" s="83"/>
      <c r="AT378" s="85" t="s">
        <v>1062</v>
      </c>
      <c r="AU378" s="83"/>
      <c r="AV378" s="2086">
        <f>0.4*AV377^2</f>
        <v>0</v>
      </c>
      <c r="AW378" s="83"/>
      <c r="AX378" s="2086">
        <f>0.4*AX377^2</f>
        <v>0</v>
      </c>
      <c r="AY378" s="83"/>
      <c r="AZ378" s="2086">
        <f>0.4*AZ377^2</f>
        <v>0</v>
      </c>
      <c r="BA378" s="83"/>
      <c r="BB378" s="2086">
        <f>0.4*BB377^2</f>
        <v>0</v>
      </c>
      <c r="BC378" s="83"/>
      <c r="BD378" s="2086">
        <f>0.4*BD377^2</f>
        <v>0</v>
      </c>
      <c r="BE378" s="83"/>
      <c r="BF378" s="2086">
        <f>0.4*BF377^2</f>
        <v>0</v>
      </c>
      <c r="BG378" s="83"/>
      <c r="BH378" s="2086">
        <f>0.4*BH377^2</f>
        <v>0</v>
      </c>
      <c r="BI378" s="83"/>
      <c r="BJ378" s="2086">
        <f>0.4*BJ377^2</f>
        <v>0</v>
      </c>
      <c r="BK378" s="83"/>
      <c r="BL378" s="2086">
        <f>0.4*BL377^2</f>
        <v>0</v>
      </c>
      <c r="BM378" s="83"/>
      <c r="BN378" s="2086">
        <f>0.4*BN377^2</f>
        <v>0</v>
      </c>
      <c r="BO378" s="83"/>
      <c r="BP378" s="85" t="s">
        <v>3804</v>
      </c>
      <c r="BQ378" s="83"/>
      <c r="BR378" s="81"/>
      <c r="BS378" s="23" t="s">
        <v>3711</v>
      </c>
      <c r="BT378" s="81"/>
      <c r="BU378" s="1206">
        <f>IF(OR(BU$276=0,BU$267=""),0,IF(Zone_1&lt;Public,IF(BU156="Instantaneous",Dispersion_I,Dispersion_D)*BU$267^(2*IF(BU156="Instantaneous",BU$154,BU$128))*BU$289^2*(0-EXP(BU$274+BU$276*MAX(BU374,Public)^2/(BU$267^(2*IF(BU156="Instantaneous",BU$154,BU$128))*BU$289^2)))/BU$276,IF(BU156="Instantaneous",BU$154,BU$128)*BU$267^(2*IF(BU156="Instantaneous",BU$154,BU$128))*BU$289^2*(0-EXP(BU$274+BU$276*MAX(BU374,Zone_1)^2/(BU$267^(2*IF(BU156="Instantaneous",BU$154,BU$128))*BU$289^2)))/BU$276))</f>
        <v>0</v>
      </c>
      <c r="BV378" s="81"/>
      <c r="BW378" s="1206">
        <f>IF(OR(BW$276=0,BW$267=""),0,IF(Zone_1&lt;Public,IF(BW156="Instantaneous",Dispersion_I,Dispersion_D)*BW$267^(2*IF(BW156="Instantaneous",BW$154,BW$128))*BW$289^2*(0-EXP(BW$274+BW$276*MAX(BW374,Public)^2/(BW$267^(2*IF(BW156="Instantaneous",BW$154,BW$128))*BW$289^2)))/BW$276,IF(BW156="Instantaneous",BW$154,BW$128)*BW$267^(2*IF(BW156="Instantaneous",BW$154,BW$128))*BW$289^2*(0-EXP(BW$274+BW$276*MAX(BW374,Zone_1)^2/(BW$267^(2*IF(BW156="Instantaneous",BW$154,BW$128))*BW$289^2)))/BW$276))</f>
        <v>0</v>
      </c>
      <c r="BX378" s="81"/>
      <c r="BY378" s="1206">
        <f>IF(OR(BY$276=0,BY$267=""),0,IF(Zone_1&lt;Public,IF(BY156="Instantaneous",Dispersion_I,Dispersion_D)*BY$267^(2*IF(BY156="Instantaneous",BY$154,BY$128))*BY$289^2*(0-EXP(BY$274+BY$276*MAX(BY374,Public)^2/(BY$267^(2*IF(BY156="Instantaneous",BY$154,BY$128))*BY$289^2)))/BY$276,IF(BY156="Instantaneous",BY$154,BY$128)*BY$267^(2*IF(BY156="Instantaneous",BY$154,BY$128))*BY$289^2*(0-EXP(BY$274+BY$276*MAX(BY374,Zone_1)^2/(BY$267^(2*IF(BY156="Instantaneous",BY$154,BY$128))*BY$289^2)))/BY$276))</f>
        <v>0</v>
      </c>
      <c r="BZ378" s="81"/>
      <c r="CA378" s="1206">
        <f>IF(OR(CA$276=0,CA$267=""),0,IF(Zone_1&lt;Public,IF(CA156="Instantaneous",Dispersion_I,Dispersion_D)*CA$267^(2*IF(CA156="Instantaneous",CA$154,CA$128))*CA$289^2*(0-EXP(CA$274+CA$276*MAX(CA374,Public)^2/(CA$267^(2*IF(CA156="Instantaneous",CA$154,CA$128))*CA$289^2)))/CA$276,IF(CA156="Instantaneous",CA$154,CA$128)*CA$267^(2*IF(CA156="Instantaneous",CA$154,CA$128))*CA$289^2*(0-EXP(CA$274+CA$276*MAX(CA374,Zone_1)^2/(CA$267^(2*IF(CA156="Instantaneous",CA$154,CA$128))*CA$289^2)))/CA$276))</f>
        <v>0</v>
      </c>
      <c r="CB378" s="81"/>
      <c r="CC378" s="1206">
        <f>IF(OR(CC$276=0,CC$267=""),0,IF(Zone_1&lt;Public,IF(CC156="Instantaneous",Dispersion_I,Dispersion_D)*CC$267^(2*IF(CC156="Instantaneous",CC$154,CC$128))*CC$289^2*(0-EXP(CC$274+CC$276*MAX(CC374,Public)^2/(CC$267^(2*IF(CC156="Instantaneous",CC$154,CC$128))*CC$289^2)))/CC$276,IF(CC156="Instantaneous",CC$154,CC$128)*CC$267^(2*IF(CC156="Instantaneous",CC$154,CC$128))*CC$289^2*(0-EXP(CC$274+CC$276*MAX(CC374,Zone_1)^2/(CC$267^(2*IF(CC156="Instantaneous",CC$154,CC$128))*CC$289^2)))/CC$276))</f>
        <v>0</v>
      </c>
      <c r="CD378" s="81"/>
      <c r="CE378" s="85" t="s">
        <v>3804</v>
      </c>
      <c r="CF378" s="81"/>
      <c r="CN378" s="26"/>
    </row>
    <row r="379" spans="1:92" ht="15" customHeight="1" x14ac:dyDescent="0.25">
      <c r="A379" s="2"/>
      <c r="B379" s="85" t="s">
        <v>958</v>
      </c>
      <c r="C379" s="83"/>
      <c r="D379" s="2104">
        <f>IF(State="Vapor",Spray_Distance*D7,Spray_Distance)</f>
        <v>1</v>
      </c>
      <c r="E379" s="83"/>
      <c r="F379" s="2104">
        <f>IF(State="Vapor",Spray_Distance*F7,Spray_Distance)</f>
        <v>1</v>
      </c>
      <c r="G379" s="83"/>
      <c r="H379" s="2104">
        <f>IF(State="Vapor",0.45*(1-Fv)*H26*Equipment_Elevation^0.5*H7,0.45*(1-Fv)*H26*Equipment_Elevation^0.5)</f>
        <v>0</v>
      </c>
      <c r="I379" s="83"/>
      <c r="J379" s="2104">
        <f>IF(State="Vapor",Spray_Distance*J7,Spray_Distance)</f>
        <v>1</v>
      </c>
      <c r="K379" s="83"/>
      <c r="L379" s="2104">
        <f>IF(State="Vapor",Spray_Distance*L7,Spray_Distance)</f>
        <v>1</v>
      </c>
      <c r="M379" s="83"/>
      <c r="N379" s="2104">
        <f>IF(State="Vapor",Spray_Distance*N7,Spray_Distance)</f>
        <v>1</v>
      </c>
      <c r="O379" s="83"/>
      <c r="P379" s="2104">
        <f>IF(State="Vapor",Spray_Distance*P7,Spray_Distance)</f>
        <v>1</v>
      </c>
      <c r="Q379" s="83"/>
      <c r="R379" s="2104">
        <f>IF(State="Vapor",Spray_Distance*R7,Spray_Distance)</f>
        <v>1</v>
      </c>
      <c r="S379" s="83"/>
      <c r="T379" s="2104">
        <f>IF(State="Vapor",Spray_Distance*T7,Spray_Distance)</f>
        <v>1</v>
      </c>
      <c r="U379" s="83"/>
      <c r="V379" s="2104">
        <f>IF(State="Vapor",Spray_Distance*V7,Spray_Distance)</f>
        <v>1</v>
      </c>
      <c r="W379" s="83"/>
      <c r="X379" s="2104">
        <f>IF(State="Vapor",Spray_Distance*X7,Spray_Distance)</f>
        <v>1</v>
      </c>
      <c r="Y379" s="83"/>
      <c r="Z379" s="473" t="s">
        <v>1068</v>
      </c>
      <c r="AA379" s="83"/>
      <c r="AB379" s="81"/>
      <c r="AC379" s="23" t="s">
        <v>3161</v>
      </c>
      <c r="AD379" s="81"/>
      <c r="AE379" s="1207">
        <f>AE378*Onsite_PD/1000000+IF(AND(AE$305="Yes",AE300&gt;HD_Severe_Impact),0.9,0)</f>
        <v>6.0000000000000008E-7</v>
      </c>
      <c r="AF379" s="81"/>
      <c r="AG379" s="1207">
        <f>AG378*Onsite_PD/1000000+IF(AND(AG$305="Yes",AG300&gt;HD_Severe_Impact),0.9,0)</f>
        <v>6.0000000000000008E-7</v>
      </c>
      <c r="AH379" s="81"/>
      <c r="AI379" s="1207">
        <f>AI378*Onsite_PD/1000000+IF(AND(AI$305="Yes",AI300&gt;HD_Severe_Impact),0.9,0)</f>
        <v>6.0000000000000008E-7</v>
      </c>
      <c r="AJ379" s="81"/>
      <c r="AK379" s="1207">
        <f>AK378*Onsite_PD/1000000+IF(AND(AK$305="Yes",AK300&gt;HD_Severe_Impact),0.9,0)</f>
        <v>6.0000000000000008E-7</v>
      </c>
      <c r="AL379" s="81"/>
      <c r="AM379" s="1207">
        <f>AM378*Onsite_PD/1000000+IF(AND(AM$305="Yes",AM300&gt;HD_Severe_Impact),0.9,0)</f>
        <v>6.0000000000000008E-7</v>
      </c>
      <c r="AN379" s="81"/>
      <c r="AO379" s="1207">
        <f>AO378*Onsite_PD/1000000+IF(AND(AO$305="Yes",AO300&gt;HD_Severe_Impact),0.9,0)</f>
        <v>6.0000000000000008E-7</v>
      </c>
      <c r="AP379" s="81"/>
      <c r="AQ379" s="23"/>
      <c r="AR379" s="81"/>
      <c r="AS379" s="83"/>
      <c r="AT379" s="23" t="s">
        <v>2434</v>
      </c>
      <c r="AU379" s="83"/>
      <c r="AV379" s="2981">
        <f>IF(AV278="Indoors",IF(AV378&lt;Enclosed_Process_Volume^0.67/2,AV378*Op_Indoors/Enclosed_Process_Volume^0.67/2,Op_Indoors/2),AV378*Onsite_PD/1000000)+IF(AND(AV$289="Yes",AV377&gt;HD_Severe_Impact),1,0)</f>
        <v>0</v>
      </c>
      <c r="AW379" s="83"/>
      <c r="AX379" s="2981">
        <f>IF(AX278="Indoors",IF(AX378&lt;Enclosed_Process_Volume^0.67/2,AX378*Op_Indoors/Enclosed_Process_Volume^0.67/2,Op_Indoors/2),AX378*Onsite_PD/1000000)+IF(AND(AX$289="Yes",AX377&gt;HD_Severe_Impact),1,0)</f>
        <v>0</v>
      </c>
      <c r="AY379" s="83"/>
      <c r="AZ379" s="2981">
        <f>IF(AZ278="Indoors",IF(AZ378&lt;Enclosed_Process_Volume^0.67/2,AZ378*Op_Indoors/Enclosed_Process_Volume^0.67/2,Op_Indoors/2),AZ378*Onsite_PD/1000000)+IF(AND(AZ$289="Yes",AZ377&gt;HD_Severe_Impact),1,0)</f>
        <v>0</v>
      </c>
      <c r="BA379" s="83"/>
      <c r="BB379" s="2981">
        <f>IF(BB278="Indoors",IF(BB378&lt;Enclosed_Process_Volume^0.67/2,BB378*Op_Indoors/Enclosed_Process_Volume^0.67/2,Op_Indoors/2),BB378*Onsite_PD/1000000)+IF(AND(BB$289="Yes",BB377&gt;HD_Severe_Impact),1,0)</f>
        <v>0</v>
      </c>
      <c r="BC379" s="83"/>
      <c r="BD379" s="2981">
        <f>IF(BD278="Indoors",IF(BD378&lt;Enclosed_Process_Volume^0.67/2,BD378*Op_Indoors/Enclosed_Process_Volume^0.67/2,Op_Indoors/2),BD378*Onsite_PD/1000000)+IF(AND(BD$289="Yes",BD377&gt;HD_Severe_Impact),1,0)</f>
        <v>0</v>
      </c>
      <c r="BE379" s="83"/>
      <c r="BF379" s="2981">
        <f>IF(BF278="Indoors",IF(BF378&lt;Enclosed_Process_Volume^0.67/2,BF378*Op_Indoors/Enclosed_Process_Volume^0.67/2,Op_Indoors/2),BF378*Onsite_PD/1000000)+IF(AND(BF$289="Yes",BF377&gt;HD_Severe_Impact),1,0)</f>
        <v>0</v>
      </c>
      <c r="BG379" s="83"/>
      <c r="BH379" s="2981">
        <f>IF(BH278="Indoors",IF(BH378&lt;Enclosed_Process_Volume^0.67/2,BH378*Op_Indoors/Enclosed_Process_Volume^0.67/2,Op_Indoors/2),BH378*Onsite_PD/1000000)+IF(AND(BH$289="Yes",BH377&gt;HD_Severe_Impact),1,0)</f>
        <v>0</v>
      </c>
      <c r="BI379" s="83"/>
      <c r="BJ379" s="2981">
        <f>IF(BJ278="Indoors",IF(BJ378&lt;Enclosed_Process_Volume^0.67/2,BJ378*Op_Indoors/Enclosed_Process_Volume^0.67/2,Op_Indoors/2),BJ378*Onsite_PD/1000000)+IF(AND(BJ$289="Yes",BJ377&gt;HD_Severe_Impact),1,0)</f>
        <v>0</v>
      </c>
      <c r="BK379" s="83"/>
      <c r="BL379" s="2981">
        <f>IF(BL278="Indoors",IF(BL378&lt;Enclosed_Process_Volume^0.67/2,BL378*Op_Indoors/Enclosed_Process_Volume^0.67/2,Op_Indoors/2),BL378*Onsite_PD/1000000)+IF(AND(BL$289="Yes",BL377&gt;HD_Severe_Impact),1,0)</f>
        <v>0</v>
      </c>
      <c r="BM379" s="83"/>
      <c r="BN379" s="2981">
        <f>IF(BN278="Indoors",IF(BN378&lt;Enclosed_Process_Volume^0.67/2,BN378*Op_Indoors/Enclosed_Process_Volume^0.67/2,Op_Indoors/2),BN378*Onsite_PD/1000000)+IF(AND(BN$289="Yes",BN377&gt;HD_Severe_Impact),1,0)</f>
        <v>0</v>
      </c>
      <c r="BO379" s="83"/>
      <c r="BP379" s="23"/>
      <c r="BQ379" s="83"/>
      <c r="BR379" s="81"/>
      <c r="BS379" s="23" t="s">
        <v>5296</v>
      </c>
      <c r="BT379" s="81"/>
      <c r="BU379" s="1861" t="e">
        <f>Outdoor_Fract*((BU370+BU371)*IF(Offsite_PD1="",Offsite_PD,1000000*Offsite_PD1)+(BU372+BU373)*IF(Offsite_PD2="",Offsite_PD,1000000*Offsite_PD2))/1000000+(1-Outdoor_Fract)*((BU375+BU376)*IF(Offsite_PD1="",Offsite_PD,1000000*Offsite_PD1)+(BU377+BU378)*IF(Offsite_PD2="",Offsite_PD,1000000*Offsite_PD2))/1000000</f>
        <v>#DIV/0!</v>
      </c>
      <c r="BV379" s="81"/>
      <c r="BW379" s="1861" t="e">
        <f>Outdoor_Fract*((BW370+BW371)*IF(Offsite_PD1="",Offsite_PD,1000000*Offsite_PD1)+(BW372+BW373)*IF(Offsite_PD2="",Offsite_PD,1000000*Offsite_PD2))/1000000+(1-Outdoor_Fract)*((BW375+BW376)*IF(Offsite_PD1="",Offsite_PD,1000000*Offsite_PD1)+(BW377+BW378)*IF(Offsite_PD2="",Offsite_PD,1000000*Offsite_PD2))/1000000</f>
        <v>#DIV/0!</v>
      </c>
      <c r="BX379" s="81"/>
      <c r="BY379" s="1861" t="e">
        <f>Outdoor_Fract*((BY370+BY371)*IF(Offsite_PD1="",Offsite_PD,1000000*Offsite_PD1)+(BY372+BY373)*IF(Offsite_PD2="",Offsite_PD,1000000*Offsite_PD2))/1000000+(1-Outdoor_Fract)*((BY375+BY376)*IF(Offsite_PD1="",Offsite_PD,1000000*Offsite_PD1)+(BY377+BY378)*IF(Offsite_PD2="",Offsite_PD,1000000*Offsite_PD2))/1000000</f>
        <v>#DIV/0!</v>
      </c>
      <c r="BZ379" s="81"/>
      <c r="CA379" s="1861" t="e">
        <f>Outdoor_Fract*((CA370+CA371)*IF(Offsite_PD1="",Offsite_PD,1000000*Offsite_PD1)+(CA372+CA373)*IF(Offsite_PD2="",Offsite_PD,1000000*Offsite_PD2))/1000000+(1-Outdoor_Fract)*((CA375+CA376)*IF(Offsite_PD1="",Offsite_PD,1000000*Offsite_PD1)+(CA377+CA378)*IF(Offsite_PD2="",Offsite_PD,1000000*Offsite_PD2))/1000000</f>
        <v>#DIV/0!</v>
      </c>
      <c r="CB379" s="81"/>
      <c r="CC379" s="1861" t="e">
        <f>Outdoor_Fract*((CC370+CC371)*IF(Offsite_PD1="",Offsite_PD,1000000*Offsite_PD1)+(CC372+CC373)*IF(Offsite_PD2="",Offsite_PD,1000000*Offsite_PD2))/1000000+(1-Outdoor_Fract)*((CC375+CC376)*IF(Offsite_PD1="",Offsite_PD,1000000*Offsite_PD1)+(CC377+CC378)*IF(Offsite_PD2="",Offsite_PD,1000000*Offsite_PD2))/1000000</f>
        <v>#DIV/0!</v>
      </c>
      <c r="CD379" s="81"/>
      <c r="CE379" s="23"/>
      <c r="CF379" s="81"/>
      <c r="CN379" s="26"/>
    </row>
    <row r="380" spans="1:92" ht="15" customHeight="1" x14ac:dyDescent="0.25">
      <c r="A380" s="2"/>
      <c r="B380" s="85" t="s">
        <v>1062</v>
      </c>
      <c r="C380" s="83"/>
      <c r="D380" s="2104">
        <f>0.4*D379^2</f>
        <v>0.4</v>
      </c>
      <c r="E380" s="83"/>
      <c r="F380" s="2104">
        <f>0.4*F379^2</f>
        <v>0.4</v>
      </c>
      <c r="G380" s="83"/>
      <c r="H380" s="2104">
        <f>0.4*H379^2</f>
        <v>0</v>
      </c>
      <c r="I380" s="83"/>
      <c r="J380" s="2104">
        <f>0.4*J379^2</f>
        <v>0.4</v>
      </c>
      <c r="K380" s="83"/>
      <c r="L380" s="2104">
        <f>0.4*L379^2</f>
        <v>0.4</v>
      </c>
      <c r="M380" s="83"/>
      <c r="N380" s="2104">
        <f>0.4*N379^2</f>
        <v>0.4</v>
      </c>
      <c r="O380" s="83"/>
      <c r="P380" s="2104">
        <f>0.4*P379^2</f>
        <v>0.4</v>
      </c>
      <c r="Q380" s="83"/>
      <c r="R380" s="2104">
        <f>0.4*R379^2</f>
        <v>0.4</v>
      </c>
      <c r="S380" s="83"/>
      <c r="T380" s="2104">
        <f>0.4*T379^2</f>
        <v>0.4</v>
      </c>
      <c r="U380" s="83"/>
      <c r="V380" s="2104">
        <f>0.4*V379^2</f>
        <v>0.4</v>
      </c>
      <c r="W380" s="83"/>
      <c r="X380" s="2104">
        <f>0.4*X379^2</f>
        <v>0.4</v>
      </c>
      <c r="Y380" s="83"/>
      <c r="Z380" s="85" t="s">
        <v>3804</v>
      </c>
      <c r="AA380" s="83"/>
      <c r="AB380" s="81"/>
      <c r="AC380" s="85" t="s">
        <v>1638</v>
      </c>
      <c r="AD380" s="81"/>
      <c r="AE380" s="1208">
        <v>0</v>
      </c>
      <c r="AF380" s="81"/>
      <c r="AG380" s="1208">
        <v>0</v>
      </c>
      <c r="AH380" s="81"/>
      <c r="AI380" s="1208">
        <v>0</v>
      </c>
      <c r="AJ380" s="81"/>
      <c r="AK380" s="1208">
        <v>0</v>
      </c>
      <c r="AL380" s="81"/>
      <c r="AM380" s="1208">
        <v>0</v>
      </c>
      <c r="AN380" s="81"/>
      <c r="AO380" s="1208">
        <v>0</v>
      </c>
      <c r="AP380" s="81"/>
      <c r="AQ380" s="23"/>
      <c r="AR380" s="81"/>
      <c r="AS380" s="83"/>
      <c r="AT380" s="85" t="s">
        <v>1793</v>
      </c>
      <c r="AU380" s="83"/>
      <c r="AV380" s="1208">
        <v>0</v>
      </c>
      <c r="AW380" s="83"/>
      <c r="AX380" s="1208">
        <v>0</v>
      </c>
      <c r="AY380" s="83"/>
      <c r="AZ380" s="1208">
        <v>0</v>
      </c>
      <c r="BA380" s="83"/>
      <c r="BB380" s="1208">
        <v>0</v>
      </c>
      <c r="BC380" s="83"/>
      <c r="BD380" s="1208">
        <v>0</v>
      </c>
      <c r="BE380" s="83"/>
      <c r="BF380" s="1208">
        <v>0</v>
      </c>
      <c r="BG380" s="83"/>
      <c r="BH380" s="1208">
        <v>0</v>
      </c>
      <c r="BI380" s="83"/>
      <c r="BJ380" s="1208">
        <v>0</v>
      </c>
      <c r="BK380" s="83"/>
      <c r="BL380" s="1208">
        <v>0</v>
      </c>
      <c r="BM380" s="83"/>
      <c r="BN380" s="1208">
        <v>0</v>
      </c>
      <c r="BO380" s="83"/>
      <c r="BP380" s="23"/>
      <c r="BQ380" s="83"/>
      <c r="BR380" s="81"/>
      <c r="BS380" s="23" t="s">
        <v>3640</v>
      </c>
      <c r="BT380" s="81"/>
      <c r="BU380" s="2112">
        <f>IF(AND(BU98&gt;0,BU280&gt;0),IF(Location="Indoors",IF(BU301&lt;=BU280,0.1,BU$179*((IF(Enclosed_Ventilation_Rate&gt;1,Enclosed_Ventilation_Rate,1)*Enclosed_Process_Volume*BU98*BU301/88020000000)*1000000*(1/BU280-1/BU301)/(BU98*Wind_Night))^BU$180),IF(OR(BU280=0,BU280&gt;=1000000*BU$99),0,IF(BU208="Instantaneous",BU$205*((BU83/BU98)*(1000000/BU280))^BU$206-BU$207,BU$179*(BU89*(1000000/BU280)/(BU98*Wind_Night))^BU$180-BU$181))),0.1)</f>
        <v>0.1</v>
      </c>
      <c r="BV380" s="81"/>
      <c r="BW380" s="2112">
        <f>IF(AND(BW98&gt;0,BW280&gt;0),IF(Location="Indoors",IF(BW301&lt;=BW280,0.1,BW$179*((IF(Enclosed_Ventilation_Rate&gt;1,Enclosed_Ventilation_Rate,1)*Enclosed_Process_Volume*BW98*BW301/88020000000)*1000000*(1/BW280-1/BW301)/(BW98*Wind_Night))^BW$180),IF(OR(BW280=0,BW280&gt;=1000000*BW$99),0,IF(BW208="Instantaneous",BW$205*((BW83/BW98)*(1000000/BW280))^BW$206-BW$207,BW$179*(BW89*(1000000/BW280)/(BW98*Wind_Night))^BW$180-BW$181))),0.1)</f>
        <v>0.1</v>
      </c>
      <c r="BX380" s="81"/>
      <c r="BY380" s="2112">
        <f>IF(AND(BY98&gt;0,BY280&gt;0),IF(Location="Indoors",IF(BY301&lt;=BY280,0.1,BY$179*((IF(Enclosed_Ventilation_Rate&gt;1,Enclosed_Ventilation_Rate,1)*Enclosed_Process_Volume*BY98*BY301/88020000000)*1000000*(1/BY280-1/BY301)/(BY98*Wind_Night))^BY$180),IF(OR(BY280=0,BY280&gt;=1000000*BY$99),0,IF(BY208="Instantaneous",BY$205*((BY83/BY98)*(1000000/BY280))^BY$206-BY$207,BY$179*(BY89*(1000000/BY280)/(BY98*Wind_Night))^BY$180-BY$181))),0.1)</f>
        <v>0.1</v>
      </c>
      <c r="BZ380" s="81"/>
      <c r="CA380" s="2112">
        <f>IF(AND(CA98&gt;0,CA280&gt;0),IF(Location="Indoors",IF(CA301&lt;=CA280,0.1,CA$179*((IF(Enclosed_Ventilation_Rate&gt;1,Enclosed_Ventilation_Rate,1)*Enclosed_Process_Volume*CA98*CA301/88020000000)*1000000*(1/CA280-1/CA301)/(CA98*Wind_Night))^CA$180),IF(OR(CA280=0,CA280&gt;=1000000*CA$99),0,IF(CA208="Instantaneous",CA$205*((CA83/CA98)*(1000000/CA280))^CA$206-CA$207,CA$179*(CA89*(1000000/CA280)/(CA98*Wind_Night))^CA$180-CA$181))),0.1)</f>
        <v>0.1</v>
      </c>
      <c r="CB380" s="81"/>
      <c r="CC380" s="2112">
        <f>IF(AND(CC98&gt;0,CC280&gt;0),IF(Location="Indoors",IF(CC301&lt;=CC280,0.1,CC$179*((IF(Enclosed_Ventilation_Rate&gt;1,Enclosed_Ventilation_Rate,1)*Enclosed_Process_Volume*CC98*CC301/88020000000)*1000000*(1/CC280-1/CC301)/(CC98*Wind_Night))^CC$180),IF(OR(CC280=0,CC280&gt;=1000000*CC$99),0,IF(CC208="Instantaneous",CC$205*((CC83/CC98)*(1000000/CC280))^CC$206-CC$207,CC$179*(CC89*(1000000/CC280)/(CC98*Wind_Night))^CC$180-CC$181))),0.1)</f>
        <v>0.1</v>
      </c>
      <c r="CD380" s="81"/>
      <c r="CE380" s="85" t="s">
        <v>1068</v>
      </c>
      <c r="CF380" s="81"/>
      <c r="CN380" s="26"/>
    </row>
    <row r="381" spans="1:92" ht="15" customHeight="1" thickBot="1" x14ac:dyDescent="0.3">
      <c r="A381" s="2"/>
      <c r="B381" s="23" t="s">
        <v>843</v>
      </c>
      <c r="C381" s="83"/>
      <c r="D381" s="2981">
        <f>IF(AND(D23&gt;ChemExp_Flow_Limit,Location="Indoors"),IF(D380&lt;Enclosed_Process_Volume^0.67/2,D380*Op_Indoors/Enclosed_Process_Volume^0.67/2,Op_Indoors/2),IF(D23&gt;ChemExp_Flow_Limit,D380*Onsite_PD/1000000,0))+IF(AND(D$292="Yes",D379&gt;HD_Severe_Impact),0.9,0)</f>
        <v>0</v>
      </c>
      <c r="E381" s="83"/>
      <c r="F381" s="2981">
        <f>IF(AND(F23&gt;ChemExp_Flow_Limit,Location="Indoors"),IF(F380&lt;Enclosed_Process_Volume^0.67/2,F380*Op_Indoors/Enclosed_Process_Volume^0.67/2,Op_Indoors/2),IF(F23&gt;ChemExp_Flow_Limit,F380*Onsite_PD/1000000,0))+IF(AND(F$292="Yes",F379&gt;HD_Severe_Impact),0.9,0)</f>
        <v>0</v>
      </c>
      <c r="G381" s="83"/>
      <c r="H381" s="2981">
        <f>IF(AND(H23&gt;ChemExp_Flow_Limit,Location="Indoors"),IF(H380&lt;Enclosed_Process_Volume^0.67/2,H380*Op_Indoors/Enclosed_Process_Volume^0.67/2,Op_Indoors/2),IF(H23&gt;ChemExp_Flow_Limit,H380*Onsite_PD/1000000,0))+IF(AND(H$292="Yes",H379&gt;HD_Severe_Impact),0.9,0)</f>
        <v>0</v>
      </c>
      <c r="I381" s="83"/>
      <c r="J381" s="2981">
        <f>IF(AND(J23&gt;ChemExp_Flow_Limit,Location="Indoors"),IF(J380&lt;Enclosed_Process_Volume^0.67/2,J380*Op_Indoors/Enclosed_Process_Volume^0.67/2,Op_Indoors/2),IF(J23&gt;ChemExp_Flow_Limit,J380*Onsite_PD/1000000,0))+IF(AND(J$292="Yes",J379&gt;HD_Severe_Impact),0.9,0)</f>
        <v>0</v>
      </c>
      <c r="K381" s="83"/>
      <c r="L381" s="2981">
        <f>IF(AND(L23&gt;ChemExp_Flow_Limit,Location="Indoors"),IF(L380&lt;Enclosed_Process_Volume^0.67/2,L380*Op_Indoors/Enclosed_Process_Volume^0.67/2,Op_Indoors/2),IF(L23&gt;ChemExp_Flow_Limit,L380*Onsite_PD/1000000,0))+IF(AND(L$292="Yes",L379&gt;HD_Severe_Impact),0.9,0)</f>
        <v>0</v>
      </c>
      <c r="M381" s="83"/>
      <c r="N381" s="2981">
        <f>IF(AND(N23&gt;ChemExp_Flow_Limit,Location="Indoors"),IF(N380&lt;Enclosed_Process_Volume^0.67/2,N380*Op_Indoors/Enclosed_Process_Volume^0.67/2,Op_Indoors/2),IF(N23&gt;ChemExp_Flow_Limit,N380*Onsite_PD/1000000,0))+IF(AND('Special Calcs'!G$164="Yes",N379&gt;HD_Severe_Impact),0.9,0)</f>
        <v>0</v>
      </c>
      <c r="O381" s="83"/>
      <c r="P381" s="2981">
        <f>IF(AND(P23&gt;ChemExp_Flow_Limit,Location="Indoors"),IF(P380&lt;Enclosed_Process_Volume^0.67/2,P380*Op_Indoors/Enclosed_Process_Volume^0.67/2,Op_Indoors/2),IF(P23&gt;ChemExp_Flow_Limit,P380*Onsite_PD/1000000,0))+IF(AND(P$292="Yes",P379&gt;HD_Severe_Impact),0.9,0)</f>
        <v>0</v>
      </c>
      <c r="Q381" s="83"/>
      <c r="R381" s="2981">
        <f>IF(AND(R23&gt;ChemExp_Flow_Limit,Location="Indoors"),IF(R380&lt;Enclosed_Process_Volume^0.67/2,R380*Op_Indoors/Enclosed_Process_Volume^0.67/2,Op_Indoors/2),IF(R23&gt;ChemExp_Flow_Limit,R380*Onsite_PD/1000000,0))+IF(AND(R$292="Yes",R379&gt;HD_Severe_Impact),0.9,0)</f>
        <v>0</v>
      </c>
      <c r="S381" s="83"/>
      <c r="T381" s="2981">
        <f>IF(AND(T23&gt;ChemExp_Flow_Limit,Location="Indoors"),IF(T380&lt;Enclosed_Process_Volume^0.67/2,T380*Op_Indoors/Enclosed_Process_Volume^0.67/2,Op_Indoors/2),IF(T23&gt;ChemExp_Flow_Limit,T380*Onsite_PD/1000000,0))+IF(AND(T$292="Yes",T379&gt;HD_Severe_Impact),0.9,0)</f>
        <v>0</v>
      </c>
      <c r="U381" s="83"/>
      <c r="V381" s="2981">
        <f>IF(AND(V23&gt;ChemExp_Flow_Limit,Location="Indoors"),IF(V380&lt;Enclosed_Process_Volume^0.67/2,V380*Op_Indoors/Enclosed_Process_Volume^0.67/2,Op_Indoors/2),IF(V23&gt;ChemExp_Flow_Limit,V380*Onsite_PD/1000000,0))+IF(AND(V$292="Yes",V379&gt;HD_Severe_Impact),0.9,0)</f>
        <v>0</v>
      </c>
      <c r="W381" s="83"/>
      <c r="X381" s="2981">
        <f>IF(AND(X23&gt;ChemExp_Flow_Limit,Location="Indoors"),IF(X380&lt;Enclosed_Process_Volume^0.67/2,X380*Op_Indoors/Enclosed_Process_Volume^0.67/2,Op_Indoors/2),IF(X23&gt;ChemExp_Flow_Limit,X380*Onsite_PD/1000000,0))+IF(AND(X$292="Yes",X379&gt;HD_Severe_Impact),0.9,0)</f>
        <v>8.0000000000000007E-5</v>
      </c>
      <c r="Y381" s="83"/>
      <c r="Z381" s="23"/>
      <c r="AA381" s="83"/>
      <c r="AB381" s="81"/>
      <c r="AC381" s="25" t="s">
        <v>4789</v>
      </c>
      <c r="AD381" s="81"/>
      <c r="AE381" s="1208" t="str">
        <f>IF(OR(AND(Regulatory_Tox&lt;&gt;"Yes",ER3_Min&gt;Toxic_Limit),IF(AE244&lt;&gt;"",AE244,0)&gt;AE232,AE300&lt;HD_Screening_Limit),"NA",IF(AND(AE$305&lt;&gt;"Yes",AE300&lt;HD_VeryLow_OnSite),Conseq_VeryLow,IF(AE300&lt;HD_Low_OnSite,Conseq_Low,IF(AE300&lt;HD_Moderate_OnSite,Conseq_Moderate,IF(AE300&lt;HD_High_OnSite,Conseq_High,IF(AE300&lt;HD_VeryHigh_OnSite,Conseq_VeryHigh,Conseq_ExtremeHigh))))))</f>
        <v>NA</v>
      </c>
      <c r="AF381" s="81"/>
      <c r="AG381" s="1208" t="str">
        <f>IF(OR(AND(Regulatory_Tox&lt;&gt;"Yes",ER3_Min&gt;Toxic_Limit),IF(AG244&lt;&gt;"",AG244,0)&gt;AG232,AG300&lt;HD_Screening_Limit),"NA",IF(AND(AG$305&lt;&gt;"Yes",AG300&lt;HD_VeryLow_OnSite),Conseq_VeryLow,IF(AG300&lt;HD_Low_OnSite,Conseq_Low,IF(AG300&lt;HD_Moderate_OnSite,Conseq_Moderate,IF(AG300&lt;HD_High_OnSite,Conseq_High,IF(AG300&lt;HD_VeryHigh_OnSite,Conseq_VeryHigh,Conseq_ExtremeHigh))))))</f>
        <v>NA</v>
      </c>
      <c r="AH381" s="81"/>
      <c r="AI381" s="1208" t="str">
        <f>IF(OR(AND(Regulatory_Tox&lt;&gt;"Yes",ER3_Min&gt;Toxic_Limit),IF(AI244&lt;&gt;"",AI244,0)&gt;AI232,AI300&lt;HD_Screening_Limit),"NA",IF(AND(AI$305&lt;&gt;"Yes",AI300&lt;HD_VeryLow_OnSite),Conseq_VeryLow,IF(AI300&lt;HD_Low_OnSite,Conseq_Low,IF(AI300&lt;HD_Moderate_OnSite,Conseq_Moderate,IF(AI300&lt;HD_High_OnSite,Conseq_High,IF(AI300&lt;HD_VeryHigh_OnSite,Conseq_VeryHigh,Conseq_ExtremeHigh))))))</f>
        <v>NA</v>
      </c>
      <c r="AJ381" s="81"/>
      <c r="AK381" s="1208" t="str">
        <f>IF(OR(AND(Regulatory_Tox&lt;&gt;"Yes",ER3_Min&gt;Toxic_Limit),IF(AK244&lt;&gt;"",AK244,0)&gt;AK232,AK300&lt;HD_Screening_Limit),"NA",IF(AND(AK$305&lt;&gt;"Yes",AK300&lt;HD_VeryLow_OnSite),Conseq_VeryLow,IF(AK300&lt;HD_Low_OnSite,Conseq_Low,IF(AK300&lt;HD_Moderate_OnSite,Conseq_Moderate,IF(AK300&lt;HD_High_OnSite,Conseq_High,IF(AK300&lt;HD_VeryHigh_OnSite,Conseq_VeryHigh,Conseq_ExtremeHigh))))))</f>
        <v>NA</v>
      </c>
      <c r="AL381" s="81"/>
      <c r="AM381" s="1208" t="str">
        <f>IF(OR(AND(Regulatory_Tox&lt;&gt;"Yes",ER3_Min&gt;Toxic_Limit),IF(AM244&lt;&gt;"",AM244,0)&gt;AM232,AM300&lt;HD_Screening_Limit),"NA",IF(AND(AM$305&lt;&gt;"Yes",AM300&lt;HD_VeryLow_OnSite),Conseq_VeryLow,IF(AM300&lt;HD_Low_OnSite,Conseq_Low,IF(AM300&lt;HD_Moderate_OnSite,Conseq_Moderate,IF(AM300&lt;HD_High_OnSite,Conseq_High,IF(AM300&lt;HD_VeryHigh_OnSite,Conseq_VeryHigh,Conseq_ExtremeHigh))))))</f>
        <v>NA</v>
      </c>
      <c r="AN381" s="81"/>
      <c r="AO381" s="1208" t="str">
        <f>IF(OR(AND(Regulatory_Tox&lt;&gt;"Yes",HT_ER3_Min&gt;Toxic_Limit),IF(AO244&lt;&gt;"",AO244,0)&gt;AO232,AO300&lt;HD_Screening_Limit),"NA",IF(AND(AO$305&lt;&gt;"Yes",AO300&lt;HD_VeryLow_OnSite),Conseq_VeryLow,IF(AO300&lt;HD_Low_OnSite,Conseq_Low,IF(AO300&lt;HD_Moderate_OnSite,Conseq_Moderate,IF(AO300&lt;HD_High_OnSite,Conseq_High,IF(AO300&lt;HD_VeryHigh_OnSite,Conseq_VeryHigh,Conseq_ExtremeHigh))))))</f>
        <v>NA</v>
      </c>
      <c r="AP381" s="81"/>
      <c r="AQ381" s="23"/>
      <c r="AR381" s="81"/>
      <c r="AS381" s="83"/>
      <c r="AT381" s="25" t="s">
        <v>4794</v>
      </c>
      <c r="AU381" s="83"/>
      <c r="AV381" s="1208" t="str">
        <f>IF(OR(AV377&lt;HD_Screening_Limit,AND(Chem_ExposureHazard="NA",T_atRelief&lt;Thermal_Vapor_High)),"NA",IF(T_atRelief&lt;IF(AV22&gt;ChemExp_Mass_Limit,Thermal_Liquid_Severe,Thermal_Vapor_Severe),Conseq_Low,IF(AV377&lt;HD_Moderate_CE,Conseq_Moderate,Conseq_High)))</f>
        <v>NA</v>
      </c>
      <c r="AW381" s="83"/>
      <c r="AX381" s="1208" t="str">
        <f>IF(OR(AX377&lt;HD_Screening_Limit,AND(Chem_ExposureHazard="NA",T_atRelief&lt;Thermal_Vapor_High)),"NA",IF(T_atRelief&lt;IF(AX22&gt;ChemExp_Mass_Limit,Thermal_Liquid_Severe,Thermal_Vapor_Severe),Conseq_Low,IF(AX377&lt;HD_Moderate_CE,Conseq_Moderate,Conseq_High)))</f>
        <v>NA</v>
      </c>
      <c r="AY381" s="83"/>
      <c r="AZ381" s="1208" t="str">
        <f>IF(OR(AZ377&lt;HD_Screening_Limit,AND(Chem_ExposureHazard="NA",T_atRelief&lt;Thermal_Vapor_High)),"NA",IF(T_atRelief&lt;IF(AZ22&gt;ChemExp_Mass_Limit,Thermal_Liquid_Severe,Thermal_Vapor_Severe),Conseq_Low,IF(AZ377&lt;HD_Moderate_CE,Conseq_Moderate,Conseq_High)))</f>
        <v>NA</v>
      </c>
      <c r="BA381" s="83"/>
      <c r="BB381" s="1208" t="str">
        <f>IF(OR(BB377&lt;HD_Screening_Limit,AND(Chem_ExposureHazard="NA",T_atRelief&lt;Thermal_Vapor_High)),"NA",IF(T_atRelief&lt;IF(BB22&gt;ChemExp_Mass_Limit,Thermal_Liquid_Severe,Thermal_Vapor_Severe),Conseq_Low,IF(BB377&lt;HD_Moderate_CE,Conseq_Moderate,Conseq_High)))</f>
        <v>NA</v>
      </c>
      <c r="BC381" s="83"/>
      <c r="BD381" s="1208" t="str">
        <f>IF(OR(BD377&lt;HD_Screening_Limit,AND(Chem_ExposureHazard="NA",T_atRelief&lt;Thermal_Vapor_High)),"NA",IF(T_atRelief&lt;IF(BD22&gt;ChemExp_Mass_Limit,Thermal_Liquid_Severe,Thermal_Vapor_Severe),Conseq_Low,IF(BD377&lt;HD_Moderate_CE,Conseq_Moderate,Conseq_High)))</f>
        <v>NA</v>
      </c>
      <c r="BE381" s="83"/>
      <c r="BF381" s="1208" t="str">
        <f>IF(OR(BF377&lt;HD_Screening_Limit,AND(Chem_ExposureHazard="NA",T_atRelief&lt;Thermal_Vapor_High)),"NA",IF(T_atRelief&lt;IF(BF22&gt;ChemExp_Mass_Limit,Thermal_Liquid_Severe,Thermal_Vapor_Severe),Conseq_Low,IF(BF377&lt;HD_Moderate_CE,Conseq_Moderate,Conseq_High)))</f>
        <v>NA</v>
      </c>
      <c r="BG381" s="83"/>
      <c r="BH381" s="1208" t="str">
        <f>IF(OR(BH377&lt;HD_Screening_Limit,AND(Chem_ExposureHazard="NA",T_atRelief&lt;Thermal_Vapor_High)),"NA",IF(T_atRelief&lt;IF(BH22&gt;ChemExp_Mass_Limit,Thermal_Liquid_Severe,Thermal_Vapor_Severe),Conseq_Low,IF(BH377&lt;HD_Moderate_CE,Conseq_Moderate,Conseq_High)))</f>
        <v>NA</v>
      </c>
      <c r="BI381" s="83"/>
      <c r="BJ381" s="1208" t="str">
        <f>IF(OR(BJ377&lt;HD_Screening_Limit,AND(Chem_ExposureHazard="NA",T_atRelief&lt;Thermal_Vapor_High)),"NA",IF(T_atRelief&lt;IF(BJ22&gt;ChemExp_Mass_Limit,Thermal_Liquid_Severe,Thermal_Vapor_Severe),Conseq_Low,IF(BJ377&lt;HD_Moderate_CE,Conseq_Moderate,Conseq_High)))</f>
        <v>NA</v>
      </c>
      <c r="BK381" s="83"/>
      <c r="BL381" s="1208" t="str">
        <f>IF(OR(BL377&lt;HD_Screening_Limit,AND(Chem_ExposureHazard="NA",T_atRelief&lt;Thermal_Vapor_High)),"NA",IF(T_atRelief&lt;IF(BL22&gt;ChemExp_Mass_Limit,Thermal_Liquid_Severe,Thermal_Vapor_Severe),Conseq_Low,IF(BL377&lt;HD_Moderate_CE,Conseq_Moderate,Conseq_High)))</f>
        <v>NA</v>
      </c>
      <c r="BM381" s="83"/>
      <c r="BN381" s="1208" t="str">
        <f>IF(OR(BN377&lt;HD_Screening_Limit,AND(Chem_ExposureHazard="NA",T_atRelief&lt;Thermal_Vapor_High)),"NA",IF(T_atRelief&lt;IF(BN22&gt;ChemExp_Mass_Limit,Thermal_Liquid_Severe,Thermal_Vapor_Severe),Conseq_Low,IF(BN377&lt;HD_Moderate_CE,Conseq_Moderate,Conseq_High)))</f>
        <v>NA</v>
      </c>
      <c r="BO381" s="83"/>
      <c r="BP381" s="23"/>
      <c r="BQ381" s="83"/>
      <c r="BR381" s="81"/>
      <c r="BS381" s="23" t="s">
        <v>3630</v>
      </c>
      <c r="BT381" s="81"/>
      <c r="BU381" s="1206" t="e">
        <f>IF(BU208="Instantaneous",Dispersion_R,Dispersion_M)*(MAX(BU380,Public)^2-Public^2)+(MAX(BU380,Public)-Public)*IF(BU208="Instantaneous",DC_Duration_Initial*(BU83/BU98)^(1/3),2*(BU$55/3.142)^0.5)</f>
        <v>#DIV/0!</v>
      </c>
      <c r="BV381" s="81"/>
      <c r="BW381" s="1206" t="e">
        <f>IF(BW208="Instantaneous",Dispersion_R,Dispersion_M)*(MAX(BW380,Public)^2-Public^2)+(MAX(BW380,Public)-Public)*IF(BW208="Instantaneous",DC_Duration_Initial*(BW83/BW98)^(1/3),2*(BW$55/3.142)^0.5)</f>
        <v>#DIV/0!</v>
      </c>
      <c r="BX381" s="81"/>
      <c r="BY381" s="1206" t="e">
        <f>IF(BY208="Instantaneous",Dispersion_R,Dispersion_M)*(MAX(BY380,Public)^2-Public^2)+(MAX(BY380,Public)-Public)*IF(BY208="Instantaneous",DC_Duration_Initial*(BY83/BY98)^(1/3),2*(BY$55/3.142)^0.5)</f>
        <v>#DIV/0!</v>
      </c>
      <c r="BZ381" s="81"/>
      <c r="CA381" s="1206" t="e">
        <f>IF(CA208="Instantaneous",Dispersion_R,Dispersion_M)*(MAX(CA380,Public)^2-Public^2)+(MAX(CA380,Public)-Public)*IF(CA208="Instantaneous",DC_Duration_Initial*(CA83/CA98)^(1/3),2*(CA$55/3.142)^0.5)</f>
        <v>#DIV/0!</v>
      </c>
      <c r="CB381" s="81"/>
      <c r="CC381" s="1206" t="e">
        <f>IF(CC208="Instantaneous",Dispersion_R,Dispersion_M)*(MAX(CC380,Public)^2-Public^2)+(MAX(CC380,Public)-Public)*IF(CC208="Instantaneous",DC_Duration_Initial*(CC83/CC98)^(1/3),2*(CC$55/3.142)^0.5)</f>
        <v>#DIV/0!</v>
      </c>
      <c r="CD381" s="81"/>
      <c r="CE381" s="85" t="s">
        <v>3804</v>
      </c>
      <c r="CF381" s="81"/>
      <c r="CN381" s="26"/>
    </row>
    <row r="382" spans="1:92" ht="15" customHeight="1" thickBot="1" x14ac:dyDescent="0.3">
      <c r="A382" s="2"/>
      <c r="B382" s="85" t="s">
        <v>1793</v>
      </c>
      <c r="C382" s="83"/>
      <c r="D382" s="1208">
        <v>0</v>
      </c>
      <c r="E382" s="83"/>
      <c r="F382" s="1208">
        <v>0</v>
      </c>
      <c r="G382" s="83"/>
      <c r="H382" s="1208">
        <v>0</v>
      </c>
      <c r="I382" s="83"/>
      <c r="J382" s="1208">
        <v>0</v>
      </c>
      <c r="K382" s="83"/>
      <c r="L382" s="1208">
        <v>0</v>
      </c>
      <c r="M382" s="83"/>
      <c r="N382" s="1208">
        <v>0</v>
      </c>
      <c r="O382" s="83"/>
      <c r="P382" s="1208">
        <v>0</v>
      </c>
      <c r="Q382" s="83"/>
      <c r="R382" s="1208">
        <v>0</v>
      </c>
      <c r="S382" s="83"/>
      <c r="T382" s="1208">
        <v>0</v>
      </c>
      <c r="U382" s="83"/>
      <c r="V382" s="1208">
        <v>0</v>
      </c>
      <c r="W382" s="83"/>
      <c r="X382" s="1208">
        <v>0</v>
      </c>
      <c r="Y382" s="83"/>
      <c r="Z382" s="23"/>
      <c r="AA382" s="83"/>
      <c r="AB382" s="81"/>
      <c r="AC382" s="25" t="s">
        <v>4224</v>
      </c>
      <c r="AD382" s="81"/>
      <c r="AE382" s="2135" t="str">
        <f>IF(Conseq_Criteria="Hazard Distance",AE381,IF(OR(AND(Regulatory_Tox&lt;&gt;"Yes",ER3_Min&gt;Toxic_Limit),IF(AE244&lt;&gt;"",AE244,0)&gt;AE232,MAX(AE306,AE307,AE111)&lt;IF(AE250&lt;&gt;"",AE250,0),AE300&lt;HD_Screening_Limit),"NA",IF(AND(AE300&lt;HD_Severe_Impact,AE379&lt;N_VeryLow),Conseq_VeryLow,IF(AE379&lt;N_Low,Conseq_Low,IF(AE379&lt;N_Moderate,Conseq_Moderate,IF(AE379&lt;N_High,Conseq_High,IF(AE379&lt;N_VeryHigh,Conseq_VeryHigh,Conseq_ExtremeHigh)))))))</f>
        <v>NA</v>
      </c>
      <c r="AF382" s="81"/>
      <c r="AG382" s="2135" t="str">
        <f>IF(Conseq_Criteria="Hazard Distance",AG381,IF(OR(AND(Regulatory_Tox&lt;&gt;"Yes",ER3_Min&gt;Toxic_Limit),IF(AG244&lt;&gt;"",AG244,0)&gt;AG232,MAX(AG306,AG307,AG111)&lt;IF(AG250&lt;&gt;"",AG250,0),AG300&lt;HD_Screening_Limit),"NA",IF(AND(AG300&lt;HD_Severe_Impact,AG379&lt;N_VeryLow),Conseq_VeryLow,IF(AG379&lt;N_Low,Conseq_Low,IF(AG379&lt;N_Moderate,Conseq_Moderate,IF(AG379&lt;N_High,Conseq_High,IF(AG379&lt;N_VeryHigh,Conseq_VeryHigh,Conseq_ExtremeHigh)))))))</f>
        <v>NA</v>
      </c>
      <c r="AH382" s="81"/>
      <c r="AI382" s="2135" t="str">
        <f>IF(Conseq_Criteria="Hazard Distance",AI381,IF(OR(AND(Regulatory_Tox&lt;&gt;"Yes",ER3_Min&gt;Toxic_Limit),IF(AI244&lt;&gt;"",AI244,0)&gt;AI232,MAX(AI306,AI307,AI111)&lt;IF(AI250&lt;&gt;"",AI250,0),AI300&lt;HD_Screening_Limit),"NA",IF(AND(AI300&lt;HD_Severe_Impact,AI379&lt;N_VeryLow),Conseq_VeryLow,IF(AI379&lt;N_Low,Conseq_Low,IF(AI379&lt;N_Moderate,Conseq_Moderate,IF(AI379&lt;N_High,Conseq_High,IF(AI379&lt;N_VeryHigh,Conseq_VeryHigh,Conseq_ExtremeHigh)))))))</f>
        <v>NA</v>
      </c>
      <c r="AJ382" s="81"/>
      <c r="AK382" s="2135" t="str">
        <f>IF(Conseq_Criteria="Hazard Distance",AK381,IF(OR(AND(Regulatory_Tox&lt;&gt;"Yes",ER3_Min&gt;Toxic_Limit),IF(AK244&lt;&gt;"",AK244,0)&gt;AK232,MAX(AK306,AK307,AK111)&lt;IF(AK250&lt;&gt;"",AK250,0),AK300&lt;HD_Screening_Limit),"NA",IF(AND(AK300&lt;HD_Severe_Impact,AK379&lt;N_VeryLow),Conseq_VeryLow,IF(AK379&lt;N_Low,Conseq_Low,IF(AK379&lt;N_Moderate,Conseq_Moderate,IF(AK379&lt;N_High,Conseq_High,IF(AK379&lt;N_VeryHigh,Conseq_VeryHigh,Conseq_ExtremeHigh)))))))</f>
        <v>NA</v>
      </c>
      <c r="AL382" s="81"/>
      <c r="AM382" s="2135" t="str">
        <f>IF(Conseq_Criteria="Hazard Distance",AM381,IF(OR(AND(Regulatory_Tox&lt;&gt;"Yes",ER3_Min&gt;Toxic_Limit),IF(AM244&lt;&gt;"",AM244,0)&gt;AM232,MAX(AM306,AM307,AM111)&lt;IF(AM250&lt;&gt;"",AM250,0),AM300&lt;HD_Screening_Limit),"NA",IF(AND(AM300&lt;HD_Severe_Impact,AM379&lt;N_VeryLow),Conseq_VeryLow,IF(AM379&lt;N_Low,Conseq_Low,IF(AM379&lt;N_Moderate,Conseq_Moderate,IF(AM379&lt;N_High,Conseq_High,IF(AM379&lt;N_VeryHigh,Conseq_VeryHigh,Conseq_ExtremeHigh)))))))</f>
        <v>NA</v>
      </c>
      <c r="AN382" s="81"/>
      <c r="AO382" s="2135" t="str">
        <f>IF(Conseq_Criteria="Hazard Distance",AO381,IF(OR(AND(Regulatory_Tox&lt;&gt;"Yes",HT_ER3_Min&gt;Toxic_Limit),IF(AO244&lt;&gt;"",AO244,0)&gt;AO232,MAX(AO306,AO307,AO111)&lt;IF(AO250&lt;&gt;"",AO250,0),AO300&lt;HD_Screening_Limit),"NA",IF(AND(AO300&lt;HD_Severe_Impact,AO379&lt;N_VeryLow),Conseq_VeryLow,IF(AO379&lt;N_Low,Conseq_Low,IF(AO379&lt;N_Moderate,Conseq_Moderate,IF(AO379&lt;N_High,Conseq_High,IF(AO379&lt;N_VeryHigh,Conseq_VeryHigh,Conseq_ExtremeHigh)))))))</f>
        <v>NA</v>
      </c>
      <c r="AP382" s="81"/>
      <c r="AQ382" s="89"/>
      <c r="AR382" s="81"/>
      <c r="AS382" s="83"/>
      <c r="AT382" s="25" t="s">
        <v>4227</v>
      </c>
      <c r="AU382" s="613"/>
      <c r="AV382" s="2135" t="str">
        <f>IF(Conseq_Criteria="Hazard Distance",AV381,IF(OR(AV377&lt;HD_Screening_Limit,AND(Chem_ExposureHazard="NA",T_atRelief&lt;Thermal_Vapor_High)),"NA",IF(T_atRelief&lt;IF(AV22&gt;ChemExp_Mass_Limit,Thermal_Liquid_Severe,Thermal_Vapor_Severe),Conseq_Low,IF(AV379&lt;N_Moderate,Conseq_Moderate,Conseq_High))))</f>
        <v>NA</v>
      </c>
      <c r="AW382" s="613"/>
      <c r="AX382" s="2135" t="str">
        <f>IF(Conseq_Criteria="Hazard Distance",AX381,IF(OR(AX377&lt;HD_Screening_Limit,AND(Chem_ExposureHazard="NA",T_atRelief&lt;Thermal_Vapor_High)),"NA",IF(T_atRelief&lt;IF(AX22&gt;ChemExp_Mass_Limit,Thermal_Liquid_Severe,Thermal_Vapor_Severe),Conseq_Low,IF(AX379&lt;N_Moderate,Conseq_Moderate,Conseq_High))))</f>
        <v>NA</v>
      </c>
      <c r="AY382" s="613"/>
      <c r="AZ382" s="2135" t="str">
        <f>IF(Conseq_Criteria="Hazard Distance",AZ381,IF(OR(AZ377&lt;HD_Screening_Limit,AND(Chem_ExposureHazard="NA",T_atRelief&lt;Thermal_Vapor_High)),"NA",IF(T_atRelief&lt;IF(AZ22&gt;ChemExp_Mass_Limit,Thermal_Liquid_Severe,Thermal_Vapor_Severe),Conseq_Low,IF(AZ379&lt;N_Moderate,Conseq_Moderate,Conseq_High))))</f>
        <v>NA</v>
      </c>
      <c r="BA382" s="613"/>
      <c r="BB382" s="2135" t="str">
        <f>IF(Conseq_Criteria="Hazard Distance",BB381,IF(OR(BB377&lt;HD_Screening_Limit,AND(Chem_ExposureHazard="NA",T_atRelief&lt;Thermal_Vapor_High)),"NA",IF(T_atRelief&lt;IF(BB22&gt;ChemExp_Mass_Limit,Thermal_Liquid_Severe,Thermal_Vapor_Severe),Conseq_Low,IF(BB379&lt;N_Moderate,Conseq_Moderate,Conseq_High))))</f>
        <v>NA</v>
      </c>
      <c r="BC382" s="613"/>
      <c r="BD382" s="2135" t="str">
        <f>IF(Conseq_Criteria="Hazard Distance",BD381,IF(OR(BD377&lt;HD_Screening_Limit,AND(Chem_ExposureHazard="NA",T_atRelief&lt;Thermal_Vapor_High)),"NA",IF(T_atRelief&lt;IF(BD22&gt;ChemExp_Mass_Limit,Thermal_Liquid_Severe,Thermal_Vapor_Severe),Conseq_Low,IF(BD379&lt;N_Moderate,Conseq_Moderate,Conseq_High))))</f>
        <v>NA</v>
      </c>
      <c r="BE382" s="613"/>
      <c r="BF382" s="2135" t="str">
        <f>IF(Conseq_Criteria="Hazard Distance",BF381,IF(OR(BF377&lt;HD_Screening_Limit,AND(Chem_ExposureHazard="NA",T_atRelief&lt;Thermal_Vapor_High)),"NA",IF(T_atRelief&lt;IF(BF22&gt;ChemExp_Mass_Limit,Thermal_Liquid_Severe,Thermal_Vapor_Severe),Conseq_Low,IF(BF379&lt;N_Moderate,Conseq_Moderate,Conseq_High))))</f>
        <v>NA</v>
      </c>
      <c r="BG382" s="613"/>
      <c r="BH382" s="2135" t="str">
        <f>IF(Conseq_Criteria="Hazard Distance",BH381,IF(OR(BH377&lt;HD_Screening_Limit,AND(Chem_ExposureHazard="NA",T_atRelief&lt;Thermal_Vapor_High)),"NA",IF(T_atRelief&lt;IF(BH22&gt;ChemExp_Mass_Limit,Thermal_Liquid_Severe,Thermal_Vapor_Severe),Conseq_Low,IF(BH379&lt;N_Moderate,Conseq_Moderate,Conseq_High))))</f>
        <v>NA</v>
      </c>
      <c r="BI382" s="613"/>
      <c r="BJ382" s="2135" t="str">
        <f>IF(Conseq_Criteria="Hazard Distance",BJ381,IF(OR(BJ377&lt;HD_Screening_Limit,AND(Chem_ExposureHazard="NA",T_atRelief&lt;Thermal_Vapor_High)),"NA",IF(T_atRelief&lt;IF(BJ22&gt;ChemExp_Mass_Limit,Thermal_Liquid_Severe,Thermal_Vapor_Severe),Conseq_Low,IF(BJ379&lt;N_Moderate,Conseq_Moderate,Conseq_High))))</f>
        <v>NA</v>
      </c>
      <c r="BK382" s="613"/>
      <c r="BL382" s="2135" t="str">
        <f>IF(Conseq_Criteria="Hazard Distance",BL381,IF(OR(BL377&lt;HD_Screening_Limit,AND(Chem_ExposureHazard="NA",T_atRelief&lt;Thermal_Vapor_High)),"NA",IF(T_atRelief&lt;IF(BL22&gt;ChemExp_Mass_Limit,Thermal_Liquid_Severe,Thermal_Vapor_Severe),Conseq_Low,IF(BL379&lt;N_Moderate,Conseq_Moderate,Conseq_High))))</f>
        <v>NA</v>
      </c>
      <c r="BM382" s="613"/>
      <c r="BN382" s="2135" t="str">
        <f>IF(Conseq_Criteria="Hazard Distance",BN381,IF(OR(BN377&lt;HD_Screening_Limit,AND(Chem_ExposureHazard="NA",T_atRelief&lt;Thermal_Vapor_High)),"NA",IF(T_atRelief&lt;IF(BN22&gt;ChemExp_Mass_Limit,Thermal_Liquid_Severe,Thermal_Vapor_Severe),Conseq_Low,IF(BN379&lt;N_Moderate,Conseq_Moderate,Conseq_High))))</f>
        <v>NA</v>
      </c>
      <c r="BO382" s="83"/>
      <c r="BP382" s="89"/>
      <c r="BQ382" s="83"/>
      <c r="BR382" s="81"/>
      <c r="BS382" s="23" t="s">
        <v>3631</v>
      </c>
      <c r="BT382" s="81"/>
      <c r="BU382" s="1206">
        <f>IF(OR(BU$279=0,BU$273=""),0,IF(BU380&gt;Zone_1,IF(BU208="Instantaneous",Dispersion_R,Dispersion_M)*(MAX(Public,Zone_1)^2-MAX(Public,BU380)^2)+(MAX(Public,Zone_1)-MAX(Public,BU380))*IF(BU208="Instantaneous",DC_Duration_Initial*(BU83/BU98)^(1/3),2*(BU$55/3.142)^0.5),IF(BU208="Instantaneous",Dispersion_R,Dispersion_M)*BU$273^(2*IF(BU208="Instantaneous",BU$206,BU$180))*BU$290^2*(EXP(BU$278+BU$279*MAX(Public,Zone_1)^2/(BU$273^(2*IF(BU208="Instantaneous",BU$206,BU$180))*BU$290^2))-EXP(BU$278+BU$279*MAX(Public,BU380)^2/(BU$273^(2*IF(BU208="Instantaneous",BU$206,BU$180))*BU$290^2)))/BU$279))</f>
        <v>0</v>
      </c>
      <c r="BV382" s="81"/>
      <c r="BW382" s="1206">
        <f>IF(OR(BW$279=0,BW$273=""),0,IF(BW380&gt;Zone_1,IF(BW208="Instantaneous",Dispersion_R,Dispersion_M)*(MAX(Public,Zone_1)^2-MAX(Public,BW380)^2)+(MAX(Public,Zone_1)-MAX(Public,BW380))*IF(BW208="Instantaneous",DC_Duration_Initial*(BW83/BW98)^(1/3),2*(BW$55/3.142)^0.5),IF(BW208="Instantaneous",Dispersion_R,Dispersion_M)*BW$273^(2*IF(BW208="Instantaneous",BW$206,BW$180))*BW$290^2*(EXP(BW$278+BW$279*MAX(Public,Zone_1)^2/(BW$273^(2*IF(BW208="Instantaneous",BW$206,BW$180))*BW$290^2))-EXP(BW$278+BW$279*MAX(Public,BW380)^2/(BW$273^(2*IF(BW208="Instantaneous",BW$206,BW$180))*BW$290^2)))/BW$279))</f>
        <v>0</v>
      </c>
      <c r="BX382" s="81"/>
      <c r="BY382" s="1206">
        <f>IF(OR(BY$279=0,BY$273=""),0,IF(BY380&gt;Zone_1,IF(BY208="Instantaneous",Dispersion_R,Dispersion_M)*(MAX(Public,Zone_1)^2-MAX(Public,BY380)^2)+(MAX(Public,Zone_1)-MAX(Public,BY380))*IF(BY208="Instantaneous",DC_Duration_Initial*(BY83/BY98)^(1/3),2*(BY$55/3.142)^0.5),IF(BY208="Instantaneous",Dispersion_R,Dispersion_M)*BY$273^(2*IF(BY208="Instantaneous",BY$206,BY$180))*BY$290^2*(EXP(BY$278+BY$279*MAX(Public,Zone_1)^2/(BY$273^(2*IF(BY208="Instantaneous",BY$206,BY$180))*BY$290^2))-EXP(BY$278+BY$279*MAX(Public,BY380)^2/(BY$273^(2*IF(BY208="Instantaneous",BY$206,BY$180))*BY$290^2)))/BY$279))</f>
        <v>0</v>
      </c>
      <c r="BZ382" s="81"/>
      <c r="CA382" s="1206">
        <f>IF(OR(CA$279=0,CA$273=""),0,IF(CA380&gt;Zone_1,IF(CA208="Instantaneous",Dispersion_R,Dispersion_M)*(MAX(Public,Zone_1)^2-MAX(Public,CA380)^2)+(MAX(Public,Zone_1)-MAX(Public,CA380))*IF(CA208="Instantaneous",DC_Duration_Initial*(CA83/CA98)^(1/3),2*(CA$55/3.142)^0.5),IF(CA208="Instantaneous",Dispersion_R,Dispersion_M)*CA$273^(2*IF(CA208="Instantaneous",CA$206,CA$180))*CA$290^2*(EXP(CA$278+CA$279*MAX(Public,Zone_1)^2/(CA$273^(2*IF(CA208="Instantaneous",CA$206,CA$180))*CA$290^2))-EXP(CA$278+CA$279*MAX(Public,CA380)^2/(CA$273^(2*IF(CA208="Instantaneous",CA$206,CA$180))*CA$290^2)))/CA$279))</f>
        <v>0</v>
      </c>
      <c r="CB382" s="81"/>
      <c r="CC382" s="1206">
        <f>IF(OR(CC$279=0,CC$273=""),0,IF(CC380&gt;Zone_1,IF(CC208="Instantaneous",Dispersion_R,Dispersion_M)*(MAX(Public,Zone_1)^2-MAX(Public,CC380)^2)+(MAX(Public,Zone_1)-MAX(Public,CC380))*IF(CC208="Instantaneous",DC_Duration_Initial*(CC83/CC98)^(1/3),2*(CC$55/3.142)^0.5),IF(CC208="Instantaneous",Dispersion_R,Dispersion_M)*CC$273^(2*IF(CC208="Instantaneous",CC$206,CC$180))*CC$290^2*(EXP(CC$278+CC$279*MAX(Public,Zone_1)^2/(CC$273^(2*IF(CC208="Instantaneous",CC$206,CC$180))*CC$290^2))-EXP(CC$278+CC$279*MAX(Public,CC380)^2/(CC$273^(2*IF(CC208="Instantaneous",CC$206,CC$180))*CC$290^2)))/CC$279))</f>
        <v>0</v>
      </c>
      <c r="CD382" s="81"/>
      <c r="CE382" s="85" t="s">
        <v>3804</v>
      </c>
      <c r="CF382" s="81"/>
      <c r="CN382" s="26"/>
    </row>
    <row r="383" spans="1:92" ht="15" customHeight="1" thickBot="1" x14ac:dyDescent="0.3">
      <c r="A383" s="2"/>
      <c r="B383" s="25" t="s">
        <v>4794</v>
      </c>
      <c r="C383" s="83"/>
      <c r="D383" s="1208" t="str">
        <f>IF(OR(Chem_ExposureHazard="NA",D379&lt;HD_Screening_Limit,D23&lt;ChemExp_Flow_Limit),"NA",IF(AND(Chem_ExposureHazard="Potential Fatality",D379&lt;HD_Moderate_CE),Conseq_Moderate,IF(Chem_ExposureHazard="Potential Fatality",Conseq_High,IF(Chem_ExposureHazard="Serious Injury",Conseq_Low,IF(D$292&lt;&gt;"Yes",Conseq_VeryLow,Conseq_Low)))))</f>
        <v>NA</v>
      </c>
      <c r="E383" s="83"/>
      <c r="F383" s="1208" t="str">
        <f>IF(OR(Chem_ExposureHazard="NA",F379&lt;HD_Screening_Limit,F23&lt;ChemExp_Flow_Limit),"NA",IF(AND(Chem_ExposureHazard="Potential Fatality",F379&lt;HD_Moderate_CE),Conseq_Moderate,IF(Chem_ExposureHazard="Potential Fatality",Conseq_High,IF(Chem_ExposureHazard="Serious Injury",Conseq_Low,IF(F$292&lt;&gt;"Yes",Conseq_VeryLow,Conseq_Low)))))</f>
        <v>NA</v>
      </c>
      <c r="G383" s="83"/>
      <c r="H383" s="1208" t="str">
        <f>IF(OR(Chem_ExposureHazard="NA",H379&lt;HD_Screening_Limit,H23&lt;ChemExp_Flow_Limit),"NA",IF(AND(Chem_ExposureHazard="Potential Fatality",H379&lt;HD_Moderate_CE),Conseq_Moderate,IF(Chem_ExposureHazard="Potential Fatality",Conseq_High,IF(Chem_ExposureHazard="Serious Injury",Conseq_Low,IF(H$292&lt;&gt;"Yes",Conseq_VeryLow,Conseq_Low)))))</f>
        <v>NA</v>
      </c>
      <c r="I383" s="83"/>
      <c r="J383" s="1208" t="str">
        <f>IF(OR(Chem_ExposureHazard="NA",J379&lt;HD_Screening_Limit,J23&lt;ChemExp_Flow_Limit),"NA",IF(AND(Chem_ExposureHazard="Potential Fatality",J379&lt;HD_Moderate_CE),Conseq_Moderate,IF(Chem_ExposureHazard="Potential Fatality",Conseq_High,IF(Chem_ExposureHazard="Serious Injury",Conseq_Low,IF(J$292&lt;&gt;"Yes",Conseq_VeryLow,Conseq_Low)))))</f>
        <v>NA</v>
      </c>
      <c r="K383" s="83"/>
      <c r="L383" s="1208" t="str">
        <f>IF(OR(Chem_ExposureHazard="NA",L379&lt;HD_Screening_Limit,L23&lt;ChemExp_Flow_Limit),"NA",IF(AND(Chem_ExposureHazard="Potential Fatality",L379&lt;HD_Moderate_CE),Conseq_Moderate,IF(Chem_ExposureHazard="Potential Fatality",Conseq_High,IF(Chem_ExposureHazard="Serious Injury",Conseq_Low,IF(L$292&lt;&gt;"Yes",Conseq_VeryLow,Conseq_Low)))))</f>
        <v>NA</v>
      </c>
      <c r="M383" s="83"/>
      <c r="N383" s="1208" t="str">
        <f>IF(OR(Chem_ExposureHazard="NA",N379&lt;HD_Screening_Limit,N23&lt;ChemExp_Flow_Limit),"NA",IF(AND(Chem_ExposureHazard="Potential Fatality",N379&lt;HD_Moderate_CE),Conseq_Moderate,IF(Chem_ExposureHazard="Potential Fatality",Conseq_High,IF(Chem_ExposureHazard="Serious Injury",Conseq_Low,IF('Special Calcs'!G$164&lt;&gt;"Yes",Conseq_VeryLow,Conseq_Low)))))</f>
        <v>NA</v>
      </c>
      <c r="O383" s="83"/>
      <c r="P383" s="1208" t="str">
        <f>IF(OR(Chem_ExposureHazard="NA",P379&lt;HD_Screening_Limit,P23&lt;ChemExp_Flow_Limit),"NA",IF(AND(Chem_ExposureHazard="Potential Fatality",P379&lt;HD_Moderate_CE),Conseq_Moderate,IF(Chem_ExposureHazard="Potential Fatality",Conseq_High,IF(Chem_ExposureHazard="Serious Injury",Conseq_Low,IF(P$292&lt;&gt;"Yes",Conseq_VeryLow,Conseq_Low)))))</f>
        <v>NA</v>
      </c>
      <c r="Q383" s="83"/>
      <c r="R383" s="1208" t="str">
        <f>IF(OR(Chem_ExposureHazard="NA",R379&lt;HD_Screening_Limit,R23&lt;ChemExp_Flow_Limit),"NA",IF(AND(Chem_ExposureHazard="Potential Fatality",R379&lt;HD_Moderate_CE),Conseq_Moderate,IF(Chem_ExposureHazard="Potential Fatality",Conseq_High,IF(Chem_ExposureHazard="Serious Injury",Conseq_Low,IF(R$292&lt;&gt;"Yes",Conseq_VeryLow,Conseq_Low)))))</f>
        <v>NA</v>
      </c>
      <c r="S383" s="83"/>
      <c r="T383" s="1208" t="str">
        <f>IF(OR(Chem_ExposureHazard="NA",T379&lt;HD_Screening_Limit,T23&lt;ChemExp_Flow_Limit),"NA",IF(AND(Chem_ExposureHazard="Potential Fatality",T379&lt;HD_Moderate_CE),Conseq_Moderate,IF(Chem_ExposureHazard="Potential Fatality",Conseq_High,IF(Chem_ExposureHazard="Serious Injury",Conseq_Low,IF(T$292&lt;&gt;"Yes",Conseq_VeryLow,Conseq_Low)))))</f>
        <v>NA</v>
      </c>
      <c r="U383" s="83"/>
      <c r="V383" s="1208" t="str">
        <f>IF(OR(Chem_ExposureHazard="NA",V379&lt;HD_Screening_Limit,V23&lt;ChemExp_Flow_Limit),"NA",IF(AND(Chem_ExposureHazard="Potential Fatality",V379&lt;HD_Moderate_CE),Conseq_Moderate,IF(Chem_ExposureHazard="Potential Fatality",Conseq_High,IF(Chem_ExposureHazard="Serious Injury",Conseq_Low,IF(V$292&lt;&gt;"Yes",Conseq_VeryLow,Conseq_Low)))))</f>
        <v>NA</v>
      </c>
      <c r="W383" s="83"/>
      <c r="X383" s="1208" t="str">
        <f>IF(OR(Chem_ExposureHazard="NA",X379&lt;HD_Screening_Limit,X23&lt;ChemExp_Flow_Limit),"NA",IF(AND(Chem_ExposureHazard="Potential Fatality",X379&lt;HD_Moderate_CE),Conseq_Moderate,IF(Chem_ExposureHazard="Potential Fatality",Conseq_High,IF(Chem_ExposureHazard="Serious Injury",Conseq_Low,IF(X$292&lt;&gt;"Yes",Conseq_VeryLow,Conseq_Low)))))</f>
        <v>NA</v>
      </c>
      <c r="Y383" s="83"/>
      <c r="Z383" s="23"/>
      <c r="AA383" s="83"/>
      <c r="AB383" s="81"/>
      <c r="AC383" s="23" t="s">
        <v>4723</v>
      </c>
      <c r="AD383" s="81"/>
      <c r="AE383" s="3013">
        <f>IF(AE318="No",IF(AE319="No",0,IF(AE295&gt;1000000*(0.21-Asp_Limit)/0.21,1,AE314*0.21/(1000000*(0.21-Asp_Limit)))),IF(AE274=0,0,MIN(1,AE314/AE274)))</f>
        <v>0</v>
      </c>
      <c r="AF383" s="81"/>
      <c r="AG383" s="3013">
        <f>IF(AG318="No",IF(AG319="No",0,IF(AG295&gt;1000000*(0.21-Asp_Limit)/0.21,1,AG314*0.21/(1000000*(0.21-Asp_Limit)))),IF(AG274=0,0,MIN(1,AG314/AG274)))</f>
        <v>0</v>
      </c>
      <c r="AH383" s="81"/>
      <c r="AI383" s="3013">
        <f>IF(AI318="No",IF(AI319="No",0,IF(AI295&gt;1000000*(0.21-Asp_Limit)/0.21,1,AI314*0.21/(1000000*(0.21-Asp_Limit)))),IF(AI274=0,0,MIN(1,AI314/AI274)))</f>
        <v>0</v>
      </c>
      <c r="AJ383" s="81"/>
      <c r="AK383" s="3013">
        <f>IF(AK318="No",IF(AK319="No",0,IF(AK295&gt;1000000*(0.21-Asp_Limit)/0.21,1,AK314*0.21/(1000000*(0.21-Asp_Limit)))),IF(AK274=0,0,MIN(1,AK314/AK274)))</f>
        <v>0</v>
      </c>
      <c r="AL383" s="81"/>
      <c r="AM383" s="3013">
        <f>IF(AM318="No",IF(AM319="No",0,IF(AM295&gt;1000000*(0.21-Asp_Limit)/0.21,1,AM314*0.21/(1000000*(0.21-Asp_Limit)))),IF(AM274=0,0,MIN(1,AM314/AM274)))</f>
        <v>0</v>
      </c>
      <c r="AN383" s="81"/>
      <c r="AO383" s="3013">
        <f>IF(AO318="No",IF(AO319="No",0,IF(2*AO295&gt;1000000*(0.21-Asp_Limit)/0.21,1,2*AO314*0.21/(1000000*(0.21-Asp_Limit)))),IF(AO274=0,0,MIN(1,2*AO314/AO274)))</f>
        <v>0</v>
      </c>
      <c r="AP383" s="81"/>
      <c r="AQ383" s="84"/>
      <c r="AR383" s="81"/>
      <c r="AS383" s="83"/>
      <c r="AT383" s="23" t="s">
        <v>5128</v>
      </c>
      <c r="AU383" s="83"/>
      <c r="AV383" s="1861">
        <f>IF(AV246="",0,IF(AND(AV278="Outdoors",MAX(AV95,AV290,AV291)&lt;LFL_Fract_FlashFIre*10000*AV246),0,IF(AV278="Indoors",IF(2*AV298&gt;LFL_Fract_FlashFIre*10000*AV246,Enclosed_Process_Volume^(2/3),2*AV298/(LFL_Fract_FlashFIre*10000*AV246)*Enclosed_Process_Volume^(2/3)),MAX(0,Dispersion_D*(AV317^2-((AV93-MIN(AV93,WorkArea_Elevation))*Dispersion_E^0.5)^2)))))</f>
        <v>0</v>
      </c>
      <c r="AW383" s="83"/>
      <c r="AX383" s="1861">
        <f>IF(AX246="",0,IF(AND(AX278="Outdoors",MAX(AX95,AX290,AX291)&lt;LFL_Fract_FlashFIre*10000*AX246),0,IF(AX278="Indoors",IF(2*AX298&gt;LFL_Fract_FlashFIre*10000*AX246,Enclosed_Process_Volume^(2/3),2*AX298/(LFL_Fract_FlashFIre*10000*AX246)*Enclosed_Process_Volume^(2/3)),MAX(0,Dispersion_D*(AX317^2-((AX93-MIN(AX93,WorkArea_Elevation))*Dispersion_E^0.5)^2)))))</f>
        <v>0</v>
      </c>
      <c r="AY383" s="83"/>
      <c r="AZ383" s="1861">
        <f>IF(OR(AZ317&lt;HD_Screening_Limit,AZ246=""),0,IF(AND(AZ278="Outdoors",MAX(AZ95,AZ290,AZ291)&lt;LFL_Fract_FlashFIre*10000*AZ246),0,IF(AZ278="Indoors",IF(2*AZ298&gt;LFL_Fract_FlashFIre*10000*AZ246,Enclosed_Process_Volume^(2/3),2*AZ298/(LFL_Fract_FlashFIre*10000*AZ246)*Enclosed_Process_Volume^(2/3)),MAX(0,Dispersion_D*(AZ317^2-((AZ93-MIN(AZ93,WorkArea_Elevation))*Dispersion_E^0.5)^2)))))</f>
        <v>0</v>
      </c>
      <c r="BA383" s="83"/>
      <c r="BB383" s="1861">
        <f>IF(BB246="",0,IF(AND(BB278="Outdoors",MAX(BB95,BB290,BB291)&lt;LFL_Fract_FlashFIre*10000*BB246),0,IF(BB278="Indoors",IF(2*BB298&gt;LFL_Fract_FlashFIre*10000*BB246,Enclosed_Process_Volume^(2/3),2*BB298/(LFL_Fract_FlashFIre*10000*BB246)*Enclosed_Process_Volume^(2/3)),MAX(0,Dispersion_D*(BB317^2-((BB93-MIN(BB93,WorkArea_Elevation))*Dispersion_E^0.5)^2)))))</f>
        <v>0</v>
      </c>
      <c r="BC383" s="83"/>
      <c r="BD383" s="1861">
        <f>IF(BD246="",0,IF(AND(BD278="Outdoors",MAX(BD95,BD290,BD291)&lt;LFL_Fract_FlashFIre*10000*BD246),0,IF(BD278="Indoors",IF(2*BD298&gt;LFL_Fract_FlashFIre*10000*BD246,Enclosed_Process_Volume^(2/3),2*BD298/(LFL_Fract_FlashFIre*10000*BD246)*Enclosed_Process_Volume^(2/3)),MAX(0,Dispersion_D*(BD317^2-((BD93-MIN(BD93,WorkArea_Elevation))*Dispersion_E^0.5)^2)))))</f>
        <v>0</v>
      </c>
      <c r="BE383" s="83"/>
      <c r="BF383" s="1861">
        <f>IF(BF246="",0,IF(AND(BF278="Outdoors",MAX(BF95,BF290,BF291)&lt;LFL_Fract_FlashFIre*10000*BF246),0,IF(BF278="Indoors",IF(2*BF298&gt;LFL_Fract_FlashFIre*10000*BF246,Enclosed_Process_Volume^(2/3),2*BF298/(LFL_Fract_FlashFIre*10000*BF246)*Enclosed_Process_Volume^(2/3)),MAX(0,Dispersion_D*(BF317^2-((BF93-MIN(BF93,WorkArea_Elevation))*Dispersion_E^0.5)^2)))))</f>
        <v>0</v>
      </c>
      <c r="BG383" s="83"/>
      <c r="BH383" s="1861">
        <f>IF(BH246="",0,IF(AND(BH278="Outdoors",MAX(BH95,BH290,BH291)&lt;LFL_Fract_FlashFIre*10000*BH246),0,IF(BH278="Indoors",IF(2*BH298&gt;LFL_Fract_FlashFIre*10000*BH246,Enclosed_Process_Volume^(2/3),2*BH298/(LFL_Fract_FlashFIre*10000*BH246)*Enclosed_Process_Volume^(2/3)),MAX(0,Dispersion_D*(BH317^2-((BH93-MIN(BH93,WorkArea_Elevation))*Dispersion_E^0.5)^2)))))</f>
        <v>0</v>
      </c>
      <c r="BI383" s="83"/>
      <c r="BJ383" s="1861">
        <f>IF(BJ246="",0,IF(AND(BJ278="Outdoors",MAX(BJ95,BJ290,BJ291)&lt;LFL_Fract_FlashFIre*10000*BJ246),0,IF(BJ278="Indoors",IF(2*BJ298&gt;LFL_Fract_FlashFIre*10000*BJ246,Enclosed_Process_Volume^(2/3),2*BJ298/(LFL_Fract_FlashFIre*10000*BJ246)*Enclosed_Process_Volume^(2/3)),MAX(0,Dispersion_D*(BJ317^2-((BJ93-MIN(BJ93,WorkArea_Elevation))*Dispersion_E^0.5)^2)))))</f>
        <v>0</v>
      </c>
      <c r="BK383" s="83"/>
      <c r="BL383" s="1861">
        <f>IF(BL246="",0,IF(AND(BL278="Outdoors",MAX(BL95,BL290,BL291)&lt;LFL_Fract_FlashFIre*10000*BL246),0,IF(BL278="Indoors",IF(2*BL298&gt;LFL_Fract_FlashFIre*10000*BL246,Enclosed_Process_Volume^(2/3),2*BL298/(LFL_Fract_FlashFIre*10000*BL246)*Enclosed_Process_Volume^(2/3)),MAX(0,Dispersion_D*(BL317^2-((BL93-MIN(BL93,WorkArea_Elevation))*Dispersion_E^0.5)^2)))))</f>
        <v>0</v>
      </c>
      <c r="BM383" s="83"/>
      <c r="BN383" s="1861">
        <f>IF(BN246="",0,IF(AND(BN278="Outdoors",MAX(BN95,BN290,BN291)&lt;LFL_Fract_FlashFIre*10000*BN246),0,IF(BN278="Indoors",IF(2*BN298&gt;LFL_Fract_FlashFIre*10000*BN246,Enclosed_Process_Volume^(2/3),2*BN298/(LFL_Fract_FlashFIre*10000*BN246)*Enclosed_Process_Volume^(2/3)),MAX(0,Dispersion_D*(BN317^2-((BN93-MIN(BN93,WorkArea_Elevation))*Dispersion_E^0.5)^2)))))</f>
        <v>0</v>
      </c>
      <c r="BO383" s="83"/>
      <c r="BP383" s="85" t="s">
        <v>3804</v>
      </c>
      <c r="BQ383" s="83"/>
      <c r="BR383" s="81"/>
      <c r="BS383" s="23" t="s">
        <v>3632</v>
      </c>
      <c r="BT383" s="81"/>
      <c r="BU383" s="1206" t="e">
        <f>IF(Zone_1&lt;Public,IF(BU208="Instantaneous",Dispersion_R,Dispersion_M)*(MAX(BU380,Public)^2-Public^2)+(MAX(BU380,Public)-Public)*IF(BU208="Instantaneous",DC_Duration_Initial*(BU83/BU98)^(1/3),2*(BU$55/3.142)^0.5),IF(BU208="Instantaneous",Dispersion_R,Dispersion_M)*(MAX(BU380,Zone_1)^2-Zone_1^2)+(MAX(BU380,Zone_1)-Zone_1)*IF(BU208="Instantaneous",DC_Duration_Initial*(BU83/BU98)^(1/3),2*(BU$55/3.142)^0.5))</f>
        <v>#DIV/0!</v>
      </c>
      <c r="BV383" s="81"/>
      <c r="BW383" s="1206" t="e">
        <f>IF(Zone_1&lt;Public,IF(BW208="Instantaneous",Dispersion_R,Dispersion_M)*(MAX(BW380,Public)^2-Public^2)+(MAX(BW380,Public)-Public)*IF(BW208="Instantaneous",DC_Duration_Initial*(BW83/BW98)^(1/3),2*(BW$55/3.142)^0.5),IF(BW208="Instantaneous",Dispersion_R,Dispersion_M)*(MAX(BW380,Zone_1)^2-Zone_1^2)+(MAX(BW380,Zone_1)-Zone_1)*IF(BW208="Instantaneous",DC_Duration_Initial*(BW83/BW98)^(1/3),2*(BW$55/3.142)^0.5))</f>
        <v>#DIV/0!</v>
      </c>
      <c r="BX383" s="81"/>
      <c r="BY383" s="1206" t="e">
        <f>IF(Zone_1&lt;Public,IF(BY208="Instantaneous",Dispersion_R,Dispersion_M)*(MAX(BY380,Public)^2-Public^2)+(MAX(BY380,Public)-Public)*IF(BY208="Instantaneous",DC_Duration_Initial*(BY83/BY98)^(1/3),2*(BY$55/3.142)^0.5),IF(BY208="Instantaneous",Dispersion_R,Dispersion_M)*(MAX(BY380,Zone_1)^2-Zone_1^2)+(MAX(BY380,Zone_1)-Zone_1)*IF(BY208="Instantaneous",DC_Duration_Initial*(BY83/BY98)^(1/3),2*(BY$55/3.142)^0.5))</f>
        <v>#DIV/0!</v>
      </c>
      <c r="BZ383" s="81"/>
      <c r="CA383" s="1206" t="e">
        <f>IF(Zone_1&lt;Public,IF(CA208="Instantaneous",Dispersion_R,Dispersion_M)*(MAX(CA380,Public)^2-Public^2)+(MAX(CA380,Public)-Public)*IF(CA208="Instantaneous",DC_Duration_Initial*(CA83/CA98)^(1/3),2*(CA$55/3.142)^0.5),IF(CA208="Instantaneous",Dispersion_R,Dispersion_M)*(MAX(CA380,Zone_1)^2-Zone_1^2)+(MAX(CA380,Zone_1)-Zone_1)*IF(CA208="Instantaneous",DC_Duration_Initial*(CA83/CA98)^(1/3),2*(CA$55/3.142)^0.5))</f>
        <v>#DIV/0!</v>
      </c>
      <c r="CB383" s="81"/>
      <c r="CC383" s="1206" t="e">
        <f>IF(Zone_1&lt;Public,IF(CC208="Instantaneous",Dispersion_R,Dispersion_M)*(MAX(CC380,Public)^2-Public^2)+(MAX(CC380,Public)-Public)*IF(CC208="Instantaneous",DC_Duration_Initial*(CC83/CC98)^(1/3),2*(CC$55/3.142)^0.5),IF(CC208="Instantaneous",Dispersion_R,Dispersion_M)*(MAX(CC380,Zone_1)^2-Zone_1^2)+(MAX(CC380,Zone_1)-Zone_1)*IF(CC208="Instantaneous",DC_Duration_Initial*(CC83/CC98)^(1/3),2*(CC$55/3.142)^0.5))</f>
        <v>#DIV/0!</v>
      </c>
      <c r="CD383" s="81"/>
      <c r="CE383" s="85" t="s">
        <v>3804</v>
      </c>
      <c r="CF383" s="81"/>
      <c r="CN383" s="26"/>
    </row>
    <row r="384" spans="1:92" ht="15" customHeight="1" thickBot="1" x14ac:dyDescent="0.3">
      <c r="A384" s="2"/>
      <c r="B384" s="25" t="s">
        <v>4227</v>
      </c>
      <c r="C384" s="83"/>
      <c r="D384" s="2135" t="str">
        <f>IF(Conseq_Criteria="Hazard Distance",D383,IF(OR(Chem_ExposureHazard="NA",D379&lt;HD_Screening_Limit,D23&lt;ChemExp_Flow_Limit),"NA",IF(AND(Chem_ExposureHazard="Potential Fatality",D381&lt;N_Moderate),Conseq_Moderate,IF(Chem_ExposureHazard="Potential Fatality",Conseq_High,IF(Chem_ExposureHazard="Serious Injury",Conseq_Low,Conseq_VeryLow)))))</f>
        <v>NA</v>
      </c>
      <c r="E384" s="83"/>
      <c r="F384" s="2135" t="str">
        <f>IF(Conseq_Criteria="Hazard Distance",F383,IF(OR(Chem_ExposureHazard="NA",F379&lt;HD_Screening_Limit,F23&lt;ChemExp_Flow_Limit),"NA",IF(AND(Chem_ExposureHazard="Potential Fatality",F381&lt;N_Moderate),Conseq_Moderate,IF(Chem_ExposureHazard="Potential Fatality",Conseq_High,IF(Chem_ExposureHazard="Serious Injury",Conseq_Low,Conseq_VeryLow)))))</f>
        <v>NA</v>
      </c>
      <c r="G384" s="83"/>
      <c r="H384" s="2135" t="str">
        <f>IF(Conseq_Criteria="Hazard Distance",H383,IF(OR(Chem_ExposureHazard="NA",H379&lt;HD_Screening_Limit,H23&lt;ChemExp_Flow_Limit),"NA",IF(AND(Chem_ExposureHazard="Potential Fatality",H381&lt;N_Moderate),Conseq_Moderate,IF(Chem_ExposureHazard="Potential Fatality",Conseq_High,IF(Chem_ExposureHazard="Serious Injury",Conseq_Low,Conseq_VeryLow)))))</f>
        <v>NA</v>
      </c>
      <c r="I384" s="83"/>
      <c r="J384" s="2135" t="str">
        <f>IF(Conseq_Criteria="Hazard Distance",J383,IF(OR(Chem_ExposureHazard="NA",J379&lt;HD_Screening_Limit,J23&lt;ChemExp_Flow_Limit),"NA",IF(AND(Chem_ExposureHazard="Potential Fatality",J381&lt;N_Moderate),Conseq_Moderate,IF(Chem_ExposureHazard="Potential Fatality",Conseq_High,IF(Chem_ExposureHazard="Serious Injury",Conseq_Low,Conseq_VeryLow)))))</f>
        <v>NA</v>
      </c>
      <c r="K384" s="83"/>
      <c r="L384" s="2135" t="str">
        <f>IF(Conseq_Criteria="Hazard Distance",L383,IF(OR(Chem_ExposureHazard="NA",L379&lt;HD_Screening_Limit,L23&lt;ChemExp_Flow_Limit),"NA",IF(AND(Chem_ExposureHazard="Potential Fatality",L381&lt;N_Moderate),Conseq_Moderate,IF(Chem_ExposureHazard="Potential Fatality",Conseq_High,IF(Chem_ExposureHazard="Serious Injury",Conseq_Low,Conseq_VeryLow)))))</f>
        <v>NA</v>
      </c>
      <c r="M384" s="83"/>
      <c r="N384" s="2135" t="str">
        <f>IF(Conseq_Criteria="Hazard Distance",N383,IF(OR(Chem_ExposureHazard="NA",N379&lt;HD_Screening_Limit,N23&lt;ChemExp_Flow_Limit),"NA",IF(AND(Chem_ExposureHazard="Potential Fatality",N381&lt;N_Moderate),Conseq_Moderate,IF(Chem_ExposureHazard="Potential Fatality",Conseq_High,IF(Chem_ExposureHazard="Serious Injury",Conseq_Low,Conseq_VeryLow)))))</f>
        <v>NA</v>
      </c>
      <c r="O384" s="83"/>
      <c r="P384" s="2135" t="str">
        <f>IF(Conseq_Criteria="Hazard Distance",P383,IF(OR(Chem_ExposureHazard="NA",P379&lt;HD_Screening_Limit,P23&lt;ChemExp_Flow_Limit),"NA",IF(AND(Chem_ExposureHazard="Potential Fatality",P381&lt;N_Moderate),Conseq_Moderate,IF(Chem_ExposureHazard="Potential Fatality",Conseq_High,IF(Chem_ExposureHazard="Serious Injury",Conseq_Low,Conseq_VeryLow)))))</f>
        <v>NA</v>
      </c>
      <c r="Q384" s="83"/>
      <c r="R384" s="2135" t="str">
        <f>IF(Conseq_Criteria="Hazard Distance",R383,IF(OR(Chem_ExposureHazard="NA",R379&lt;HD_Screening_Limit,R23&lt;ChemExp_Flow_Limit),"NA",IF(AND(Chem_ExposureHazard="Potential Fatality",R381&lt;N_Moderate),Conseq_Moderate,IF(Chem_ExposureHazard="Potential Fatality",Conseq_High,IF(Chem_ExposureHazard="Serious Injury",Conseq_Low,Conseq_VeryLow)))))</f>
        <v>NA</v>
      </c>
      <c r="S384" s="83"/>
      <c r="T384" s="2135" t="str">
        <f>IF(Conseq_Criteria="Hazard Distance",T383,IF(OR(Chem_ExposureHazard="NA",T379&lt;HD_Screening_Limit,T23&lt;ChemExp_Flow_Limit),"NA",IF(AND(Chem_ExposureHazard="Potential Fatality",T381&lt;N_Moderate),Conseq_Moderate,IF(Chem_ExposureHazard="Potential Fatality",Conseq_High,IF(Chem_ExposureHazard="Serious Injury",Conseq_Low,Conseq_VeryLow)))))</f>
        <v>NA</v>
      </c>
      <c r="U384" s="83"/>
      <c r="V384" s="2135" t="str">
        <f>IF(Conseq_Criteria="Hazard Distance",V383,IF(OR(Chem_ExposureHazard="NA",V379&lt;HD_Screening_Limit,V23&lt;ChemExp_Flow_Limit),"NA",IF(AND(Chem_ExposureHazard="Potential Fatality",V381&lt;N_Moderate),Conseq_Moderate,IF(Chem_ExposureHazard="Potential Fatality",Conseq_High,IF(Chem_ExposureHazard="Serious Injury",Conseq_Low,Conseq_VeryLow)))))</f>
        <v>NA</v>
      </c>
      <c r="W384" s="83"/>
      <c r="X384" s="2135" t="str">
        <f>IF(Conseq_Criteria="Hazard Distance",X383,IF(OR(Chem_ExposureHazard="NA",X379&lt;HD_Screening_Limit,X23&lt;ChemExp_Flow_Limit),"NA",IF(AND(Chem_ExposureHazard="Potential Fatality",X381&lt;N_Moderate),Conseq_Moderate,IF(Chem_ExposureHazard="Potential Fatality",Conseq_High,IF(Chem_ExposureHazard="Serious Injury",Conseq_Low,Conseq_VeryLow)))))</f>
        <v>NA</v>
      </c>
      <c r="Y384" s="83"/>
      <c r="Z384" s="23"/>
      <c r="AA384" s="83"/>
      <c r="AB384" s="81"/>
      <c r="AC384" s="851" t="s">
        <v>1054</v>
      </c>
      <c r="AD384" s="81"/>
      <c r="AE384" s="1861">
        <f>Op_Indoors*AE383+IF(AND(AE$305="Yes",OR(AE318="Yes",AE319="Yes")),0.9,0)</f>
        <v>0</v>
      </c>
      <c r="AF384" s="81"/>
      <c r="AG384" s="1861">
        <f>Op_Indoors*AG383+IF(AND(AG$305="Yes",OR(AG318="Yes",AG319="Yes")),0.9,0)</f>
        <v>0</v>
      </c>
      <c r="AH384" s="81"/>
      <c r="AI384" s="1861">
        <f>Op_Indoors*AI383+IF(AND(AI$305="Yes",OR(AI318="Yes",AI319="Yes")),0.9,0)</f>
        <v>0</v>
      </c>
      <c r="AJ384" s="81"/>
      <c r="AK384" s="1861">
        <f>Op_Indoors*AK383+IF(AND(AK$305="Yes",OR(AK318="Yes",AK319="Yes")),0.9,0)</f>
        <v>0</v>
      </c>
      <c r="AL384" s="81"/>
      <c r="AM384" s="1861">
        <f>Op_Indoors*AM383+IF(AND(AM$305="Yes",OR(AM318="Yes",AM319="Yes")),0.9,0)</f>
        <v>0</v>
      </c>
      <c r="AN384" s="81"/>
      <c r="AO384" s="1861">
        <f>Op_Indoors*AO383+IF(AND(AO$305="Yes",OR(AO318="Yes",AO319="Yes")),0.9,0)</f>
        <v>0</v>
      </c>
      <c r="AP384" s="81"/>
      <c r="AQ384" s="23"/>
      <c r="AR384" s="81"/>
      <c r="AS384" s="83"/>
      <c r="AT384" s="23" t="s">
        <v>611</v>
      </c>
      <c r="AU384" s="83"/>
      <c r="AV384" s="1207">
        <f>IF(AND(Enclosed_Process_Volume&gt;0,AV278="Indoors"),IF(AV305="Yes",Op_Indoors,Op_Indoors*AV383/Enclosed_Process_Volume^(2/3)),AV383*Onsite_PD/1000000)+IF(AND(AV$289="Yes",AV305="No",AV317&gt;HD_Severe_Impact),0.9,0)</f>
        <v>0</v>
      </c>
      <c r="AW384" s="83"/>
      <c r="AX384" s="1207">
        <f>IF(AND(Enclosed_Process_Volume&gt;0,AX278="Indoors"),IF(AX305="Yes",Op_Indoors,Op_Indoors*AX383/Enclosed_Process_Volume^(2/3)),AX383*Onsite_PD/1000000)+IF(AND(AX$289="Yes",AX305="No",AX317&gt;HD_Severe_Impact),0.9,0)</f>
        <v>0</v>
      </c>
      <c r="AY384" s="83"/>
      <c r="AZ384" s="1207">
        <f>IF(AND(Enclosed_Process_Volume&gt;0,AZ278="Indoors"),IF(AZ305="Yes",Op_Indoors,Op_Indoors*AZ383/Enclosed_Process_Volume^(2/3)),AZ383*Onsite_PD/1000000)+IF(AND(AZ$289="Yes",AZ305="No",AZ317&gt;HD_Severe_Impact),0.9,0)</f>
        <v>0</v>
      </c>
      <c r="BA384" s="83"/>
      <c r="BB384" s="1207">
        <f>IF(AND(Enclosed_Process_Volume&gt;0,BB278="Indoors"),IF(BB305="Yes",Op_Indoors,Op_Indoors*BB383/Enclosed_Process_Volume^(2/3)),BB383*Onsite_PD/1000000)+IF(AND(BB$289="Yes",BB305="No",BB317&gt;HD_Severe_Impact),0.9,0)</f>
        <v>0</v>
      </c>
      <c r="BC384" s="83"/>
      <c r="BD384" s="1207">
        <f>IF(AND(Enclosed_Process_Volume&gt;0,BD278="Indoors"),IF(BD305="Yes",Op_Indoors,Op_Indoors*BD383/Enclosed_Process_Volume^(2/3)),BD383*Onsite_PD/1000000)+IF(AND(BD$289="Yes",BD305="No",BD317&gt;HD_Severe_Impact),0.9,0)</f>
        <v>0</v>
      </c>
      <c r="BE384" s="83"/>
      <c r="BF384" s="1207">
        <f>IF(AND(Enclosed_Process_Volume&gt;0,BF278="Indoors"),IF(BF305="Yes",Op_Indoors,Op_Indoors*BF383/Enclosed_Process_Volume^(2/3)),BF383*Onsite_PD/1000000)+IF(AND(BF$289="Yes",BF305="No",BF317&gt;HD_Severe_Impact),0.9,0)</f>
        <v>0</v>
      </c>
      <c r="BG384" s="83"/>
      <c r="BH384" s="1207">
        <f>IF(AND(Enclosed_Process_Volume&gt;0,BH278="Indoors"),IF(BH305="Yes",Op_Indoors,Op_Indoors*BH383/Enclosed_Process_Volume^(2/3)),BH383*Onsite_PD/1000000)+IF(AND(BH$289="Yes",BH305="No",BH317&gt;HD_Severe_Impact),0.9,0)</f>
        <v>0</v>
      </c>
      <c r="BI384" s="83"/>
      <c r="BJ384" s="1207">
        <f>IF(AND(Enclosed_Process_Volume&gt;0,BJ278="Indoors"),IF(BJ305="Yes",Op_Indoors,Op_Indoors*BJ383/Enclosed_Process_Volume^(2/3)),BJ383*Onsite_PD/1000000)+IF(AND(BJ$289="Yes",BJ305="No",BJ317&gt;HD_Severe_Impact),0.9,0)</f>
        <v>0</v>
      </c>
      <c r="BK384" s="83"/>
      <c r="BL384" s="1207">
        <f>IF(AND(Enclosed_Process_Volume&gt;0,BL278="Indoors"),IF(BL305="Yes",Op_Indoors,Op_Indoors*BL383/Enclosed_Process_Volume^(2/3)),BL383*Onsite_PD/1000000)+IF(AND(BL$289="Yes",BL305="No",BL317&gt;HD_Severe_Impact),0.9,0)</f>
        <v>0</v>
      </c>
      <c r="BM384" s="83"/>
      <c r="BN384" s="1207">
        <f>IF(AND(Enclosed_Process_Volume&gt;0,BN278="Indoors"),IF(BN305="Yes",Op_Indoors,Op_Indoors*BN383/Enclosed_Process_Volume^(2/3)),BN383*Onsite_PD/1000000)+IF(AND(BN$289="Yes",BN305="No",BN317&gt;HD_Severe_Impact),0.9,0)</f>
        <v>0</v>
      </c>
      <c r="BO384" s="83"/>
      <c r="BP384" s="23"/>
      <c r="BQ384" s="83"/>
      <c r="BR384" s="81"/>
      <c r="BS384" s="23" t="s">
        <v>3633</v>
      </c>
      <c r="BT384" s="81"/>
      <c r="BU384" s="1206">
        <f>IF(OR(BU$279=0,BU$273=""),0,IF(Zone_1&lt;Public,IF(BU208="Instantaneous",Dispersion_R,Dispersion_M)*BU$273^(2*IF(BU208="Instantaneous",BU$206,BU$180))*BU$290^2*(0-EXP(BU$278+BU$279*MAX(BU380,Public)^2/(BU$273^(2*IF(BU208="Instantaneous",BU$206,BU$180))*BU$290^2)))/BU$279,IF(BU208="Instantaneous",Dispersion_R,Dispersion_M)*BU$273^(2*IF(BU208="Instantaneous",BU$206,BU$180))*BU$290^2*(0-EXP(BU$278+BU$279*MAX(BU380,Zone_1)^2/(BU$273^(2*IF(BU208="Instantaneous",BU$206,BU$180))*BU$290^2)))/BU$279))</f>
        <v>0</v>
      </c>
      <c r="BV384" s="81"/>
      <c r="BW384" s="1206">
        <f>IF(OR(BW$279=0,BW$273=""),0,IF(Zone_1&lt;Public,IF(BW208="Instantaneous",Dispersion_R,Dispersion_M)*BW$273^(2*IF(BW208="Instantaneous",BW$206,BW$180))*BW$290^2*(0-EXP(BW$278+BW$279*MAX(BW380,Public)^2/(BW$273^(2*IF(BW208="Instantaneous",BW$206,BW$180))*BW$290^2)))/BW$279,IF(BW208="Instantaneous",Dispersion_R,Dispersion_M)*BW$273^(2*IF(BW208="Instantaneous",BW$206,BW$180))*BW$290^2*(0-EXP(BW$278+BW$279*MAX(BW380,Zone_1)^2/(BW$273^(2*IF(BW208="Instantaneous",BW$206,BW$180))*BW$290^2)))/BW$279))</f>
        <v>0</v>
      </c>
      <c r="BX384" s="81"/>
      <c r="BY384" s="1206">
        <f>IF(OR(BY$279=0,BY$273=""),0,IF(Zone_1&lt;Public,IF(BY208="Instantaneous",Dispersion_R,Dispersion_M)*BY$273^(2*IF(BY208="Instantaneous",BY$206,BY$180))*BY$290^2*(0-EXP(BY$278+BY$279*MAX(BY380,Public)^2/(BY$273^(2*IF(BY208="Instantaneous",BY$206,BY$180))*BY$290^2)))/BY$279,IF(BY208="Instantaneous",Dispersion_R,Dispersion_M)*BY$273^(2*IF(BY208="Instantaneous",BY$206,BY$180))*BY$290^2*(0-EXP(BY$278+BY$279*MAX(BY380,Zone_1)^2/(BY$273^(2*IF(BY208="Instantaneous",BY$206,BY$180))*BY$290^2)))/BY$279))</f>
        <v>0</v>
      </c>
      <c r="BZ384" s="81"/>
      <c r="CA384" s="1206">
        <f>IF(OR(CA$279=0,CA$273=""),0,IF(Zone_1&lt;Public,IF(CA208="Instantaneous",Dispersion_R,Dispersion_M)*CA$273^(2*IF(CA208="Instantaneous",CA$206,CA$180))*CA$290^2*(0-EXP(CA$278+CA$279*MAX(CA380,Public)^2/(CA$273^(2*IF(CA208="Instantaneous",CA$206,CA$180))*CA$290^2)))/CA$279,IF(CA208="Instantaneous",Dispersion_R,Dispersion_M)*CA$273^(2*IF(CA208="Instantaneous",CA$206,CA$180))*CA$290^2*(0-EXP(CA$278+CA$279*MAX(CA380,Zone_1)^2/(CA$273^(2*IF(CA208="Instantaneous",CA$206,CA$180))*CA$290^2)))/CA$279))</f>
        <v>0</v>
      </c>
      <c r="CB384" s="81"/>
      <c r="CC384" s="1206">
        <f>IF(OR(CC$279=0,CC$273=""),0,IF(Zone_1&lt;Public,IF(CC208="Instantaneous",Dispersion_R,Dispersion_M)*CC$273^(2*IF(CC208="Instantaneous",CC$206,CC$180))*CC$290^2*(0-EXP(CC$278+CC$279*MAX(CC380,Public)^2/(CC$273^(2*IF(CC208="Instantaneous",CC$206,CC$180))*CC$290^2)))/CC$279,IF(CC208="Instantaneous",Dispersion_R,Dispersion_M)*CC$273^(2*IF(CC208="Instantaneous",CC$206,CC$180))*CC$290^2*(0-EXP(CC$278+CC$279*MAX(CC380,Zone_1)^2/(CC$273^(2*IF(CC208="Instantaneous",CC$206,CC$180))*CC$290^2)))/CC$279))</f>
        <v>0</v>
      </c>
      <c r="CD384" s="81"/>
      <c r="CE384" s="85" t="s">
        <v>3804</v>
      </c>
      <c r="CF384" s="81"/>
      <c r="CN384" s="26"/>
    </row>
    <row r="385" spans="1:92" ht="15" customHeight="1" x14ac:dyDescent="0.25">
      <c r="A385" s="2"/>
      <c r="B385" s="23" t="s">
        <v>5128</v>
      </c>
      <c r="C385" s="83"/>
      <c r="D385" s="2089">
        <f>IF(OR(D249=0,D249&gt;76),0,IF(Location="Indoors",IF(2*D300&gt;LFL_Fract_FlashFIre*10000*D249,Enclosed_Process_Volume^(2/3),2*D300/(LFL_Fract_FlashFIre*10000*D249)*Enclosed_Process_Volume^(2/3)),Dispersion_D*D319^2))</f>
        <v>0</v>
      </c>
      <c r="E385" s="83"/>
      <c r="F385" s="2089">
        <f>IF(OR(F249=0,F249&gt;76),0,IF(Location="Indoors",IF(2*F300&gt;LFL_Fract_FlashFIre*10000*F249,Enclosed_Process_Volume^(2/3),2*F300/(LFL_Fract_FlashFIre*10000*F249)*Enclosed_Process_Volume^(2/3)),Dispersion_D*F319^2))</f>
        <v>0</v>
      </c>
      <c r="G385" s="83"/>
      <c r="H385" s="2089">
        <f>IF(OR(H249=0,H249&gt;76),0,IF(Location="Indoors",IF(2*H300&gt;LFL_Fract_FlashFIre*10000*H249,Enclosed_Process_Volume^(2/3),2*H300/(LFL_Fract_FlashFIre*10000*H249)*Enclosed_Process_Volume^(2/3)),Dispersion_D*H319^2))</f>
        <v>0</v>
      </c>
      <c r="I385" s="83"/>
      <c r="J385" s="2089">
        <f>IF(OR(J249=0,J249&gt;76),0,IF(Location="Indoors",IF(2*J300&gt;LFL_Fract_FlashFIre*10000*J249,Enclosed_Process_Volume^(2/3),2*J300/(LFL_Fract_FlashFIre*10000*J249)*Enclosed_Process_Volume^(2/3)),Dispersion_D*J319^2))</f>
        <v>0</v>
      </c>
      <c r="K385" s="83"/>
      <c r="L385" s="2089">
        <f>IF(OR(L249=0,L249&gt;76),0,IF(Location="Indoors",IF(2*L300&gt;LFL_Fract_FlashFIre*10000*L249,Enclosed_Process_Volume^(2/3),2*L300/(LFL_Fract_FlashFIre*10000*L249)*Enclosed_Process_Volume^(2/3)),Dispersion_D*L319^2))</f>
        <v>0</v>
      </c>
      <c r="M385" s="83"/>
      <c r="N385" s="2089">
        <f>IF(OR(N249=0,N249&gt;76),0,IF(Location="Indoors",IF(2*N300&gt;LFL_Fract_FlashFIre*10000*N249,Enclosed_Process_Volume^(2/3),2*N300/(LFL_Fract_FlashFIre*10000*N249)*Enclosed_Process_Volume^(2/3)),Dispersion_D*N319^2))</f>
        <v>0</v>
      </c>
      <c r="O385" s="83"/>
      <c r="P385" s="2089">
        <f>IF(OR(P249=0,P249&gt;76),0,IF(Location="Indoors",IF(2*P300&gt;LFL_Fract_FlashFIre*10000*P249,Enclosed_Process_Volume^(2/3),2*P300/(LFL_Fract_FlashFIre*10000*P249)*Enclosed_Process_Volume^(2/3)),Dispersion_D*P319^2))</f>
        <v>0</v>
      </c>
      <c r="Q385" s="83"/>
      <c r="R385" s="2089">
        <f>IF(OR(R249=0,R249&gt;76),0,IF(Location="Indoors",IF(2*R300&gt;LFL_Fract_FlashFIre*10000*R249,Enclosed_Process_Volume^(2/3),2*R300/(LFL_Fract_FlashFIre*10000*R249)*Enclosed_Process_Volume^(2/3)),Dispersion_D*R319^2))</f>
        <v>0</v>
      </c>
      <c r="S385" s="83"/>
      <c r="T385" s="2089">
        <f>IF(OR(T249=0,T249&gt;76),0,IF(Location="Indoors",IF(2*T300&gt;LFL_Fract_FlashFIre*10000*T249,Enclosed_Process_Volume^(2/3),2*T300/(LFL_Fract_FlashFIre*10000*T249)*Enclosed_Process_Volume^(2/3)),Dispersion_D*T319^2))</f>
        <v>0</v>
      </c>
      <c r="U385" s="83"/>
      <c r="V385" s="2089">
        <f>IF(OR(V249=0,V249&gt;76),0,IF(Location="Indoors",IF(2*V300&gt;LFL_Fract_FlashFIre*10000*V249,Enclosed_Process_Volume^(2/3),2*V300/(LFL_Fract_FlashFIre*10000*V249)*Enclosed_Process_Volume^(2/3)),Dispersion_D*V319^2))</f>
        <v>0</v>
      </c>
      <c r="W385" s="83"/>
      <c r="X385" s="2089">
        <f>IF(OR(X249=0,X249&gt;76),0,IF(Location="Indoors",IF(2*X300&gt;LFL_Fract_FlashFIre*10000*X249,Enclosed_Process_Volume^(2/3),2*X300/(LFL_Fract_FlashFIre*10000*X249)*Enclosed_Process_Volume^(2/3)),Dispersion_D*X319^2))</f>
        <v>0</v>
      </c>
      <c r="Y385" s="83"/>
      <c r="Z385" s="85" t="s">
        <v>3804</v>
      </c>
      <c r="AA385" s="83"/>
      <c r="AB385" s="81"/>
      <c r="AC385" s="848" t="s">
        <v>1414</v>
      </c>
      <c r="AD385" s="81"/>
      <c r="AE385" s="1208">
        <v>0</v>
      </c>
      <c r="AF385" s="81"/>
      <c r="AG385" s="1208">
        <v>0</v>
      </c>
      <c r="AH385" s="81"/>
      <c r="AI385" s="1208">
        <v>0</v>
      </c>
      <c r="AJ385" s="81"/>
      <c r="AK385" s="1208">
        <v>0</v>
      </c>
      <c r="AL385" s="81"/>
      <c r="AM385" s="1208">
        <v>0</v>
      </c>
      <c r="AN385" s="81"/>
      <c r="AO385" s="1208">
        <v>0</v>
      </c>
      <c r="AP385" s="81"/>
      <c r="AQ385" s="23"/>
      <c r="AR385" s="81"/>
      <c r="AS385" s="83"/>
      <c r="AT385" s="85" t="s">
        <v>1794</v>
      </c>
      <c r="AU385" s="83"/>
      <c r="AV385" s="1208">
        <v>0</v>
      </c>
      <c r="AW385" s="83"/>
      <c r="AX385" s="1208">
        <v>0</v>
      </c>
      <c r="AY385" s="83"/>
      <c r="AZ385" s="1208">
        <v>0</v>
      </c>
      <c r="BA385" s="83"/>
      <c r="BB385" s="1208">
        <v>0</v>
      </c>
      <c r="BC385" s="83"/>
      <c r="BD385" s="1208">
        <v>0</v>
      </c>
      <c r="BE385" s="83"/>
      <c r="BF385" s="1208">
        <v>0</v>
      </c>
      <c r="BG385" s="83"/>
      <c r="BH385" s="1208">
        <v>0</v>
      </c>
      <c r="BI385" s="83"/>
      <c r="BJ385" s="1208">
        <v>0</v>
      </c>
      <c r="BK385" s="83"/>
      <c r="BL385" s="1208">
        <v>0</v>
      </c>
      <c r="BM385" s="83"/>
      <c r="BN385" s="1208">
        <v>0</v>
      </c>
      <c r="BO385" s="83"/>
      <c r="BP385" s="1311"/>
      <c r="BQ385" s="83"/>
      <c r="BR385" s="81"/>
      <c r="BS385" s="23" t="s">
        <v>3634</v>
      </c>
      <c r="BT385" s="81"/>
      <c r="BU385" s="1206">
        <f>IF(AND(BU98&gt;0,BU280&gt;0),IF(Location="Indoors",IF(ConcFract_Indoor*BU301&lt;=BU280,0.1,BU$179*((IF(Enclosed_Ventilation_Rate&gt;1,Enclosed_Ventilation_Rate,1)*Enclosed_Process_Volume*BU98*BU301/88020000000)*1000000*(ConcFract_Indoor/BU280-1/BU301)/(BU98*Wind_Night))^BU$180),IF(OR(BU280=0,BU280&gt;=ConcFract_Indoor*1000000*BU$99),0,IF(BU208="Instantaneous",BU$205*((BU83/BU98)*(ConcFract_Indoor*1000000/BU280))^BU$206-BU$207,BU$179*(BU89*(ConcFract_Indoor*1000000/BU280)/(BU98*Wind_Night))^BU$180-BU$181))),0.1)</f>
        <v>0.1</v>
      </c>
      <c r="BV385" s="81"/>
      <c r="BW385" s="1206">
        <f>IF(AND(BW98&gt;0,BW280&gt;0),IF(Location="Indoors",IF(ConcFract_Indoor*BW301&lt;=BW280,0.1,BW$179*((IF(Enclosed_Ventilation_Rate&gt;1,Enclosed_Ventilation_Rate,1)*Enclosed_Process_Volume*BW98*BW301/88020000000)*1000000*(ConcFract_Indoor/BW280-1/BW301)/(BW98*Wind_Night))^BW$180),IF(OR(BW280=0,BW280&gt;=ConcFract_Indoor*1000000*BW$99),0,IF(BW208="Instantaneous",BW$205*((BW83/BW98)*(ConcFract_Indoor*1000000/BW280))^BW$206-BW$207,BW$179*(BW89*(ConcFract_Indoor*1000000/BW280)/(BW98*Wind_Night))^BW$180-BW$181))),0.1)</f>
        <v>0.1</v>
      </c>
      <c r="BX385" s="81"/>
      <c r="BY385" s="1206">
        <f>IF(AND(BY98&gt;0,BY280&gt;0),IF(Location="Indoors",IF(ConcFract_Indoor*BY301&lt;=BY280,0.1,BY$179*((IF(Enclosed_Ventilation_Rate&gt;1,Enclosed_Ventilation_Rate,1)*Enclosed_Process_Volume*BY98*BY301/88020000000)*1000000*(ConcFract_Indoor/BY280-1/BY301)/(BY98*Wind_Night))^BY$180),IF(OR(BY280=0,BY280&gt;=ConcFract_Indoor*1000000*BY$99),0,IF(BY208="Instantaneous",BY$205*((BY83/BY98)*(ConcFract_Indoor*1000000/BY280))^BY$206-BY$207,BY$179*(BY89*(ConcFract_Indoor*1000000/BY280)/(BY98*Wind_Night))^BY$180-BY$181))),0.1)</f>
        <v>0.1</v>
      </c>
      <c r="BZ385" s="81"/>
      <c r="CA385" s="1206">
        <f>IF(AND(CA98&gt;0,CA280&gt;0),IF(Location="Indoors",IF(ConcFract_Indoor*CA301&lt;=CA280,0.1,CA$179*((IF(Enclosed_Ventilation_Rate&gt;1,Enclosed_Ventilation_Rate,1)*Enclosed_Process_Volume*CA98*CA301/88020000000)*1000000*(ConcFract_Indoor/CA280-1/CA301)/(CA98*Wind_Night))^CA$180),IF(OR(CA280=0,CA280&gt;=ConcFract_Indoor*1000000*CA$99),0,IF(CA208="Instantaneous",CA$205*((CA83/CA98)*(ConcFract_Indoor*1000000/CA280))^CA$206-CA$207,CA$179*(CA89*(ConcFract_Indoor*1000000/CA280)/(CA98*Wind_Night))^CA$180-CA$181))),0.1)</f>
        <v>0.1</v>
      </c>
      <c r="CB385" s="81"/>
      <c r="CC385" s="1206">
        <f>IF(AND(CC98&gt;0,CC280&gt;0),IF(Location="Indoors",IF(ConcFract_Indoor*CC301&lt;=CC280,0.1,CC$179*((IF(Enclosed_Ventilation_Rate&gt;1,Enclosed_Ventilation_Rate,1)*Enclosed_Process_Volume*CC98*CC301/88020000000)*1000000*(ConcFract_Indoor/CC280-1/CC301)/(CC98*Wind_Night))^CC$180),IF(OR(CC280=0,CC280&gt;=ConcFract_Indoor*1000000*CC$99),0,IF(CC208="Instantaneous",CC$205*((CC83/CC98)*(ConcFract_Indoor*1000000/CC280))^CC$206-CC$207,CC$179*(CC89*(ConcFract_Indoor*1000000/CC280)/(CC98*Wind_Night))^CC$180-CC$181))),0.1)</f>
        <v>0.1</v>
      </c>
      <c r="CD385" s="81"/>
      <c r="CE385" s="85" t="s">
        <v>1068</v>
      </c>
      <c r="CF385" s="81"/>
      <c r="CN385" s="26"/>
    </row>
    <row r="386" spans="1:92" ht="15" customHeight="1" thickBot="1" x14ac:dyDescent="0.3">
      <c r="A386" s="2"/>
      <c r="B386" s="23" t="s">
        <v>611</v>
      </c>
      <c r="C386" s="83"/>
      <c r="D386" s="1207">
        <f>IF(AND(Enclosed_Process_Volume&gt;0,Location="Indoors"),IF(D307="Yes",Op_Indoors,Op_Indoors*D385/Enclosed_Process_Volume^(2/3)),D385*Onsite_PD/1000000)+IF(AND(D$292="Yes",D307="No",D319&gt;HD_Severe_Impact),0.9,0)</f>
        <v>0</v>
      </c>
      <c r="E386" s="83"/>
      <c r="F386" s="1207">
        <f>IF(AND(Enclosed_Process_Volume&gt;0,Location="Indoors"),IF(F307="Yes",Op_Indoors,Op_Indoors*F385/Enclosed_Process_Volume^(2/3)),F385*Onsite_PD/1000000)+IF(AND(F$292="Yes",F307="No",F319&gt;HD_Severe_Impact),0.9,0)</f>
        <v>0</v>
      </c>
      <c r="G386" s="83"/>
      <c r="H386" s="1207">
        <f>IF(AND(Enclosed_Process_Volume&gt;0,Location="Indoors"),IF(H307="Yes",Op_Indoors,Op_Indoors*H385/Enclosed_Process_Volume^(2/3)),H385*Onsite_PD/1000000)+IF(AND(H$292="Yes",H307="No",H319&gt;HD_Severe_Impact),0.9,0)</f>
        <v>0</v>
      </c>
      <c r="I386" s="83"/>
      <c r="J386" s="1207">
        <f>IF(AND(Enclosed_Process_Volume&gt;0,Location="Indoors"),IF(J307="Yes",Op_Indoors,Op_Indoors*J385/Enclosed_Process_Volume^(2/3)),J385*Onsite_PD/1000000)+IF(AND(J$292="Yes",J307="No",J319&gt;HD_Severe_Impact),0.9,0)</f>
        <v>0</v>
      </c>
      <c r="K386" s="83"/>
      <c r="L386" s="1207">
        <f>IF(AND(Enclosed_Process_Volume&gt;0,Location="Indoors"),IF(L307="Yes",Op_Indoors,Op_Indoors*L385/Enclosed_Process_Volume^(2/3)),L385*Onsite_PD/1000000)+IF(AND(L$292="Yes",L307="No",L319&gt;HD_Severe_Impact),0.9,0)</f>
        <v>0</v>
      </c>
      <c r="M386" s="83"/>
      <c r="N386" s="1207">
        <f>IF(AND(Enclosed_Process_Volume&gt;0,Location="Indoors"),IF(N307="Yes",Op_Indoors,Op_Indoors*N385/Enclosed_Process_Volume^(2/3)),N385*Onsite_PD/1000000)+IF(AND('Special Calcs'!G$164="Yes",N307="No",N319&gt;HD_Severe_Impact),0.9,0)</f>
        <v>0</v>
      </c>
      <c r="O386" s="83"/>
      <c r="P386" s="1207">
        <f>IF(AND(Enclosed_Process_Volume&gt;0,Location="Indoors"),IF(P307="Yes",Op_Indoors,Op_Indoors*P385/Enclosed_Process_Volume^(2/3)),P385*Onsite_PD/1000000)+IF(AND(P$292="Yes",P307="No",P319&gt;HD_Severe_Impact),0.9,0)</f>
        <v>0</v>
      </c>
      <c r="Q386" s="83"/>
      <c r="R386" s="1207">
        <f>IF(AND(Enclosed_Process_Volume&gt;0,Location="Indoors"),IF(R307="Yes",Op_Indoors,Op_Indoors*R385/Enclosed_Process_Volume^(2/3)),R385*Onsite_PD/1000000)+IF(AND(R$292="Yes",R307="No",R319&gt;HD_Severe_Impact),0.9,0)</f>
        <v>0</v>
      </c>
      <c r="S386" s="83"/>
      <c r="T386" s="1207">
        <f>IF(AND(Enclosed_Process_Volume&gt;0,Location="Indoors"),IF(T307="Yes",Op_Indoors,Op_Indoors*T385/Enclosed_Process_Volume^(2/3)),T385*Onsite_PD/1000000)+IF(AND(T$292="Yes",T307="No",T319&gt;HD_Severe_Impact),0.9,0)</f>
        <v>0</v>
      </c>
      <c r="U386" s="83"/>
      <c r="V386" s="1207">
        <f>IF(AND(Enclosed_Process_Volume&gt;0,Location="Indoors"),IF(V307="Yes",Op_Indoors,Op_Indoors*V385/Enclosed_Process_Volume^(2/3)),V385*Onsite_PD/1000000)+IF(AND(V$292="Yes",V307="No",V319&gt;HD_Severe_Impact),0.9,0)</f>
        <v>0</v>
      </c>
      <c r="W386" s="83"/>
      <c r="X386" s="1207">
        <f>IF(AND(Enclosed_Process_Volume&gt;0,Location="Indoors"),IF(X307="Yes",Op_Indoors,Op_Indoors*X385/Enclosed_Process_Volume^(2/3)),X385*Onsite_PD/1000000)+IF(AND(X$292="Yes",X307="No",X319&gt;HD_Severe_Impact),0.9,0)</f>
        <v>0</v>
      </c>
      <c r="Y386" s="83"/>
      <c r="Z386" s="23"/>
      <c r="AA386" s="83"/>
      <c r="AB386" s="81"/>
      <c r="AC386" s="849" t="s">
        <v>4790</v>
      </c>
      <c r="AD386" s="81"/>
      <c r="AE386" s="1208" t="str">
        <f>IF(AE383=0,"NA",IF(AND(AE$305&lt;&gt;"Yes",AE383&lt;HD_VeryLow_Indoor),Conseq_VeryLow,IF(AE383&lt;HD_Low_Indoor,Conseq_Low,IF(AE383&lt;HD_Moderate_Indoor,Conseq_Moderate,IF(AE383&lt;HD_High_Indoor,Conseq_High,Conseq_VeryHigh)))))</f>
        <v>NA</v>
      </c>
      <c r="AF386" s="81"/>
      <c r="AG386" s="1208" t="str">
        <f>IF(AG383=0,"NA",IF(AND(AG$305&lt;&gt;"Yes",AG383&lt;HD_VeryLow_Indoor),Conseq_VeryLow,IF(AG383&lt;HD_Low_Indoor,Conseq_Low,IF(AG383&lt;HD_Moderate_Indoor,Conseq_Moderate,IF(AG383&lt;HD_High_Indoor,Conseq_High,Conseq_VeryHigh)))))</f>
        <v>NA</v>
      </c>
      <c r="AH386" s="81"/>
      <c r="AI386" s="1208" t="str">
        <f>IF(AI383=0,"NA",IF(AND(AI$305&lt;&gt;"Yes",AI383&lt;HD_VeryLow_Indoor),Conseq_VeryLow,IF(AI383&lt;HD_Low_Indoor,Conseq_Low,IF(AI383&lt;HD_Moderate_Indoor,Conseq_Moderate,IF(AI383&lt;HD_High_Indoor,Conseq_High,Conseq_VeryHigh)))))</f>
        <v>NA</v>
      </c>
      <c r="AJ386" s="81"/>
      <c r="AK386" s="1208" t="str">
        <f>IF(AK383=0,"NA",IF(AND(AK$305&lt;&gt;"Yes",AK383&lt;HD_VeryLow_Indoor),Conseq_VeryLow,IF(AK383&lt;HD_Low_Indoor,Conseq_Low,IF(AK383&lt;HD_Moderate_Indoor,Conseq_Moderate,IF(AK383&lt;HD_High_Indoor,Conseq_High,Conseq_VeryHigh)))))</f>
        <v>NA</v>
      </c>
      <c r="AL386" s="81"/>
      <c r="AM386" s="1208" t="str">
        <f>IF(AM383=0,"NA",IF(AND(AM$305&lt;&gt;"Yes",AM383&lt;HD_VeryLow_Indoor),Conseq_VeryLow,IF(AM383&lt;HD_Low_Indoor,Conseq_Low,IF(AM383&lt;HD_Moderate_Indoor,Conseq_Moderate,IF(AM383&lt;HD_High_Indoor,Conseq_High,Conseq_VeryHigh)))))</f>
        <v>NA</v>
      </c>
      <c r="AN386" s="81"/>
      <c r="AO386" s="1208" t="str">
        <f>IF(AO383=0,"NA",IF(AND(AO$305&lt;&gt;"Yes",AO383&lt;HD_VeryLow_Indoor),Conseq_VeryLow,IF(AO383&lt;HD_Low_Indoor,Conseq_Low,IF(AO383&lt;HD_Moderate_Indoor,Conseq_Moderate,IF(AO383&lt;HD_High_Indoor,Conseq_High,Conseq_VeryHigh)))))</f>
        <v>NA</v>
      </c>
      <c r="AP386" s="81"/>
      <c r="AQ386" s="23"/>
      <c r="AR386" s="81"/>
      <c r="AS386" s="83"/>
      <c r="AT386" s="25" t="s">
        <v>4792</v>
      </c>
      <c r="AU386" s="83"/>
      <c r="AV386" s="1208" t="str">
        <f>IF(OR(Flash_Pt_Feed="",AV246="",AND(AV278="Outdoors",AV317&lt;HD_Screening_Limit)),"NA",IF(AV278="Indoors",IF(AND(Ease_of_Ignition_Feed&lt;&gt;"High",AV$289&lt;&gt;"Yes",0.0001*AV298/AV246&lt;HD_VeryLow_IndoorFF),Conseq_VeryLow,IF(0.0001*AV298/AV246&lt;HD_Low_IndoorFF,Conseq_Low,IF(0.0001*AV298/AV246&lt;HD_Moderate_IndoorFF,Conseq_Moderate,Conseq_High))),IF(AND(Ease_of_Ignition_Feed&lt;&gt;"High",AV$289&lt;&gt;"Yes",AV317&lt;HD_VeryLow_FF),Conseq_VeryLow,IF(AV317&lt;HD_Low_FF,Conseq_Low,IF(AV317&lt;HD_Moderate_FF,Conseq_Moderate,IF(AV317&lt;HD_High_FF,Conseq_High,IF(AV317&lt;HD_VeryHigh_FF,Conseq_VeryHigh,Conseq_ExtremeHigh)))))))</f>
        <v>NA</v>
      </c>
      <c r="AW386" s="83"/>
      <c r="AX386" s="1208" t="str">
        <f>IF(OR(Flash_Pt_Feed="",AX246="",AND(AX278="Outdoors",AX317&lt;HD_Screening_Limit)),"NA",IF(AX278="Indoors",IF(AND(Ease_of_Ignition_Feed&lt;&gt;"High",AX$289&lt;&gt;"Yes",0.0001*AX298/AX246&lt;HD_VeryLow_IndoorFF),Conseq_VeryLow,IF(0.0001*AX298/AX246&lt;HD_Low_IndoorFF,Conseq_Low,IF(0.0001*AX298/AX246&lt;HD_Moderate_IndoorFF,Conseq_Moderate,Conseq_High))),IF(AND(Ease_of_Ignition_Feed&lt;&gt;"High",AX$289&lt;&gt;"Yes",AX317&lt;HD_VeryLow_FF),Conseq_VeryLow,IF(AX317&lt;HD_Low_FF,Conseq_Low,IF(AX317&lt;HD_Moderate_FF,Conseq_Moderate,IF(AX317&lt;HD_High_FF,Conseq_High,IF(AX317&lt;HD_VeryHigh_FF,Conseq_VeryHigh,Conseq_ExtremeHigh)))))))</f>
        <v>NA</v>
      </c>
      <c r="AY386" s="83"/>
      <c r="AZ386" s="1208" t="str">
        <f>IF(OR(Flash_Pt_Feed="",AZ246="",AND(AZ278="Outdoors",AZ317&lt;HD_Screening_Limit)),"NA",IF(AZ278="Indoors",IF(AND(Ease_of_Ignition_Feed&lt;&gt;"High",AZ$289&lt;&gt;"Yes",0.0001*AZ298/AZ246&lt;HD_VeryLow_IndoorFF),Conseq_VeryLow,IF(0.0001*AZ298/AZ246&lt;HD_Low_IndoorFF,Conseq_Low,IF(0.0001*AZ298/AZ246&lt;HD_Moderate_IndoorFF,Conseq_Moderate,Conseq_High))),IF(AND(Ease_of_Ignition_Feed&lt;&gt;"High",AZ$289&lt;&gt;"Yes",AZ317&lt;HD_VeryLow_FF),Conseq_VeryLow,IF(AZ317&lt;HD_Low_FF,Conseq_Low,IF(AZ317&lt;HD_Moderate_FF,Conseq_Moderate,IF(AZ317&lt;HD_High_FF,Conseq_High,IF(AZ317&lt;HD_VeryHigh_FF,Conseq_VeryHigh,Conseq_ExtremeHigh)))))))</f>
        <v>NA</v>
      </c>
      <c r="BA386" s="83"/>
      <c r="BB386" s="1208" t="str">
        <f>IF(OR(Flash_Pt_Feed="",BB246="",AND(BB278="Outdoors",BB317&lt;HD_Screening_Limit)),"NA",IF(BB278="Indoors",IF(AND(Ease_of_Ignition_Feed&lt;&gt;"High",BB$289&lt;&gt;"Yes",0.0001*BB298/BB246&lt;HD_VeryLow_IndoorFF),Conseq_VeryLow,IF(0.0001*BB298/BB246&lt;HD_Low_IndoorFF,Conseq_Low,IF(0.0001*BB298/BB246&lt;HD_Moderate_IndoorFF,Conseq_Moderate,Conseq_High))),IF(AND(Ease_of_Ignition_Feed&lt;&gt;"High",BB$289&lt;&gt;"Yes",BB317&lt;HD_VeryLow_FF),Conseq_VeryLow,IF(BB317&lt;HD_Low_FF,Conseq_Low,IF(BB317&lt;HD_Moderate_FF,Conseq_Moderate,IF(BB317&lt;HD_High_FF,Conseq_High,IF(BB317&lt;HD_VeryHigh_FF,Conseq_VeryHigh,Conseq_ExtremeHigh)))))))</f>
        <v>NA</v>
      </c>
      <c r="BC386" s="83"/>
      <c r="BD386" s="1208" t="str">
        <f>IF(OR(Flash_Pt_Feed="",BD246="",AND(BD278="Outdoors",BD317&lt;HD_Screening_Limit)),"NA",IF(BD278="Indoors",IF(AND(Ease_of_Ignition_Feed&lt;&gt;"High",BD$289&lt;&gt;"Yes",0.0001*BD298/BD246&lt;HD_VeryLow_IndoorFF),Conseq_VeryLow,IF(0.0001*BD298/BD246&lt;HD_Low_IndoorFF,Conseq_Low,IF(0.0001*BD298/BD246&lt;HD_Moderate_IndoorFF,Conseq_Moderate,Conseq_High))),IF(AND(Ease_of_Ignition_Feed&lt;&gt;"High",BD$289&lt;&gt;"Yes",BD317&lt;HD_VeryLow_FF),Conseq_VeryLow,IF(BD317&lt;HD_Low_FF,Conseq_Low,IF(BD317&lt;HD_Moderate_FF,Conseq_Moderate,IF(BD317&lt;HD_High_FF,Conseq_High,IF(BD317&lt;HD_VeryHigh_FF,Conseq_VeryHigh,Conseq_ExtremeHigh)))))))</f>
        <v>NA</v>
      </c>
      <c r="BE386" s="83"/>
      <c r="BF386" s="1208" t="str">
        <f>IF(OR(Flash_Pt_Feed="",BF246="",AND(BF278="Outdoors",BF317&lt;HD_Screening_Limit)),"NA",IF(BF278="Indoors",IF(AND(Ease_of_Ignition_Feed&lt;&gt;"High",BF$289&lt;&gt;"Yes",0.0001*BF298/BF246&lt;HD_VeryLow_IndoorFF),Conseq_VeryLow,IF(0.0001*BF298/BF246&lt;HD_Low_IndoorFF,Conseq_Low,IF(0.0001*BF298/BF246&lt;HD_Moderate_IndoorFF,Conseq_Moderate,Conseq_High))),IF(AND(Ease_of_Ignition_Feed&lt;&gt;"High",BF$289&lt;&gt;"Yes",BF317&lt;HD_VeryLow_FF),Conseq_VeryLow,IF(BF317&lt;HD_Low_FF,Conseq_Low,IF(BF317&lt;HD_Moderate_FF,Conseq_Moderate,IF(BF317&lt;HD_High_FF,Conseq_High,IF(BF317&lt;HD_VeryHigh_FF,Conseq_VeryHigh,Conseq_ExtremeHigh)))))))</f>
        <v>NA</v>
      </c>
      <c r="BG386" s="83"/>
      <c r="BH386" s="1208" t="str">
        <f>IF(OR(Flash_Pt_Feed="",BH246="",AND(BH278="Outdoors",BH317&lt;HD_Screening_Limit)),"NA",IF(BH278="Indoors",IF(AND(Ease_of_Ignition_Feed&lt;&gt;"High",BH$289&lt;&gt;"Yes",0.0001*BH298/BH246&lt;HD_VeryLow_IndoorFF),Conseq_VeryLow,IF(0.0001*BH298/BH246&lt;HD_Low_IndoorFF,Conseq_Low,IF(0.0001*BH298/BH246&lt;HD_Moderate_IndoorFF,Conseq_Moderate,Conseq_High))),IF(AND(Ease_of_Ignition_Feed&lt;&gt;"High",BH$289&lt;&gt;"Yes",BH317&lt;HD_VeryLow_FF),Conseq_VeryLow,IF(BH317&lt;HD_Low_FF,Conseq_Low,IF(BH317&lt;HD_Moderate_FF,Conseq_Moderate,IF(BH317&lt;HD_High_FF,Conseq_High,IF(BH317&lt;HD_VeryHigh_FF,Conseq_VeryHigh,Conseq_ExtremeHigh)))))))</f>
        <v>NA</v>
      </c>
      <c r="BI386" s="83"/>
      <c r="BJ386" s="1208" t="str">
        <f>IF(OR(Flash_Pt_Feed="",BJ246="",AND(BJ278="Outdoors",BJ317&lt;HD_Screening_Limit)),"NA",IF(BJ278="Indoors",IF(AND(Ease_of_Ignition_Feed&lt;&gt;"High",BJ$289&lt;&gt;"Yes",0.0001*BJ298/BJ246&lt;HD_VeryLow_IndoorFF),Conseq_VeryLow,IF(0.0001*BJ298/BJ246&lt;HD_Low_IndoorFF,Conseq_Low,IF(0.0001*BJ298/BJ246&lt;HD_Moderate_IndoorFF,Conseq_Moderate,Conseq_High))),IF(AND(Ease_of_Ignition_Feed&lt;&gt;"High",BJ$289&lt;&gt;"Yes",BJ317&lt;HD_VeryLow_FF),Conseq_VeryLow,IF(BJ317&lt;HD_Low_FF,Conseq_Low,IF(BJ317&lt;HD_Moderate_FF,Conseq_Moderate,IF(BJ317&lt;HD_High_FF,Conseq_High,IF(BJ317&lt;HD_VeryHigh_FF,Conseq_VeryHigh,Conseq_ExtremeHigh)))))))</f>
        <v>NA</v>
      </c>
      <c r="BK386" s="83"/>
      <c r="BL386" s="1208" t="str">
        <f>IF(OR(Flash_Pt_Feed="",BL246="",AND(BL278="Outdoors",BL317&lt;HD_Screening_Limit)),"NA",IF(BL278="Indoors",IF(AND(Ease_of_Ignition_Feed&lt;&gt;"High",BL$289&lt;&gt;"Yes",0.0001*BL298/BL246&lt;HD_VeryLow_IndoorFF),Conseq_VeryLow,IF(0.0001*BL298/BL246&lt;HD_Low_IndoorFF,Conseq_Low,IF(0.0001*BL298/BL246&lt;HD_Moderate_IndoorFF,Conseq_Moderate,Conseq_High))),IF(AND(Ease_of_Ignition_Feed&lt;&gt;"High",BL$289&lt;&gt;"Yes",BL317&lt;HD_VeryLow_FF),Conseq_VeryLow,IF(BL317&lt;HD_Low_FF,Conseq_Low,IF(BL317&lt;HD_Moderate_FF,Conseq_Moderate,IF(BL317&lt;HD_High_FF,Conseq_High,IF(BL317&lt;HD_VeryHigh_FF,Conseq_VeryHigh,Conseq_ExtremeHigh)))))))</f>
        <v>NA</v>
      </c>
      <c r="BM386" s="83"/>
      <c r="BN386" s="1208" t="str">
        <f>IF(OR(Flash_Pt_Feed="",BN246="",AND(BN278="Outdoors",BN317&lt;HD_Screening_Limit)),"NA",IF(BN278="Indoors",IF(AND(Ease_of_Ignition_Feed&lt;&gt;"High",BN$289&lt;&gt;"Yes",0.0001*BN298/BN246&lt;HD_VeryLow_IndoorFF),Conseq_VeryLow,IF(0.0001*BN298/BN246&lt;HD_Low_IndoorFF,Conseq_Low,IF(0.0001*BN298/BN246&lt;HD_Moderate_IndoorFF,Conseq_Moderate,Conseq_High))),IF(AND(Ease_of_Ignition_Feed&lt;&gt;"High",BN$289&lt;&gt;"Yes",BN317&lt;HD_VeryLow_FF),Conseq_VeryLow,IF(BN317&lt;HD_Low_FF,Conseq_Low,IF(BN317&lt;HD_Moderate_FF,Conseq_Moderate,IF(BN317&lt;HD_High_FF,Conseq_High,IF(BN317&lt;HD_VeryHigh_FF,Conseq_VeryHigh,Conseq_ExtremeHigh)))))))</f>
        <v>NA</v>
      </c>
      <c r="BO386" s="83"/>
      <c r="BP386" s="1311"/>
      <c r="BQ386" s="83"/>
      <c r="BR386" s="81"/>
      <c r="BS386" s="23" t="s">
        <v>3635</v>
      </c>
      <c r="BT386" s="81"/>
      <c r="BU386" s="1206" t="e">
        <f>IF(BU208="Instantaneous",Dispersion_R,Dispersion_M)*(MAX(BU385,Public)^2-Public^2)+(MAX(BU385,Public)-Public)*IF(BU208="Instantaneous",DC_Duration_Initial*(BU83/BU98)^(1/3),2*(BU$55/3.142)^0.5)</f>
        <v>#DIV/0!</v>
      </c>
      <c r="BV386" s="81"/>
      <c r="BW386" s="1206" t="e">
        <f>IF(BW208="Instantaneous",Dispersion_R,Dispersion_M)*(MAX(BW385,Public)^2-Public^2)+(MAX(BW385,Public)-Public)*IF(BW208="Instantaneous",DC_Duration_Initial*(BW83/BW98)^(1/3),2*(BW$55/3.142)^0.5)</f>
        <v>#DIV/0!</v>
      </c>
      <c r="BX386" s="81"/>
      <c r="BY386" s="1206" t="e">
        <f>IF(BY208="Instantaneous",Dispersion_R,Dispersion_M)*(MAX(BY385,Public)^2-Public^2)+(MAX(BY385,Public)-Public)*IF(BY208="Instantaneous",DC_Duration_Initial*(BY83/BY98)^(1/3),2*(BY$55/3.142)^0.5)</f>
        <v>#DIV/0!</v>
      </c>
      <c r="BZ386" s="81"/>
      <c r="CA386" s="1206" t="e">
        <f>IF(CA208="Instantaneous",Dispersion_R,Dispersion_M)*(MAX(CA385,Public)^2-Public^2)+(MAX(CA385,Public)-Public)*IF(CA208="Instantaneous",DC_Duration_Initial*(CA83/CA98)^(1/3),2*(CA$55/3.142)^0.5)</f>
        <v>#DIV/0!</v>
      </c>
      <c r="CB386" s="81"/>
      <c r="CC386" s="1206" t="e">
        <f>IF(CC208="Instantaneous",Dispersion_R,Dispersion_M)*(MAX(CC385,Public)^2-Public^2)+(MAX(CC385,Public)-Public)*IF(CC208="Instantaneous",DC_Duration_Initial*(CC83/CC98)^(1/3),2*(CC$55/3.142)^0.5)</f>
        <v>#DIV/0!</v>
      </c>
      <c r="CD386" s="81"/>
      <c r="CE386" s="85" t="s">
        <v>3804</v>
      </c>
      <c r="CF386" s="81"/>
      <c r="CN386" s="26"/>
    </row>
    <row r="387" spans="1:92" ht="15" customHeight="1" thickBot="1" x14ac:dyDescent="0.3">
      <c r="A387" s="2"/>
      <c r="B387" s="85" t="s">
        <v>1794</v>
      </c>
      <c r="C387" s="83"/>
      <c r="D387" s="1208">
        <v>0</v>
      </c>
      <c r="E387" s="83"/>
      <c r="F387" s="1208">
        <v>0</v>
      </c>
      <c r="G387" s="83"/>
      <c r="H387" s="1208">
        <v>0</v>
      </c>
      <c r="I387" s="83"/>
      <c r="J387" s="1208">
        <v>0</v>
      </c>
      <c r="K387" s="83"/>
      <c r="L387" s="1208">
        <v>0</v>
      </c>
      <c r="M387" s="83"/>
      <c r="N387" s="1208">
        <v>0</v>
      </c>
      <c r="O387" s="83"/>
      <c r="P387" s="1208">
        <v>0</v>
      </c>
      <c r="Q387" s="83"/>
      <c r="R387" s="1208">
        <v>0</v>
      </c>
      <c r="S387" s="83"/>
      <c r="T387" s="1208">
        <v>0</v>
      </c>
      <c r="U387" s="83"/>
      <c r="V387" s="1208">
        <v>0</v>
      </c>
      <c r="W387" s="83"/>
      <c r="X387" s="1208">
        <v>0</v>
      </c>
      <c r="Y387" s="83"/>
      <c r="Z387" s="1311"/>
      <c r="AA387" s="83"/>
      <c r="AB387" s="81"/>
      <c r="AC387" s="849" t="s">
        <v>4225</v>
      </c>
      <c r="AD387" s="81"/>
      <c r="AE387" s="2135" t="str">
        <f>IF(Conseq_Criteria="Hazard Distance",AE386,IF(AND(OR(AE256="",AND(Regulatory_Tox&lt;&gt;"Yes",ER3_Min&gt;Toxic_Limit),AE318="No"),AE319="No"),"NA",IF(AE384&lt;N_VeryLow,Conseq_VeryLow,IF(AE384&lt;N_Low,Conseq_Low,IF(AE384&lt;N_Moderate,Conseq_Moderate,IF(AE384&lt;N_High,Conseq_High,IF(AE384&lt;N_VeryHigh,Conseq_VeryHigh,Conseq_ExtremeHigh)))))))</f>
        <v>NA</v>
      </c>
      <c r="AF387" s="81"/>
      <c r="AG387" s="2135" t="str">
        <f>IF(Conseq_Criteria="Hazard Distance",AG386,IF(AND(OR(AG256="",AND(Regulatory_Tox&lt;&gt;"Yes",ER3_Min&gt;Toxic_Limit),AG318="No"),AG319="No"),"NA",IF(AG384&lt;N_VeryLow,Conseq_VeryLow,IF(AG384&lt;N_Low,Conseq_Low,IF(AG384&lt;N_Moderate,Conseq_Moderate,IF(AG384&lt;N_High,Conseq_High,IF(AG384&lt;N_VeryHigh,Conseq_VeryHigh,Conseq_ExtremeHigh)))))))</f>
        <v>NA</v>
      </c>
      <c r="AH387" s="81"/>
      <c r="AI387" s="2135" t="str">
        <f>IF(Conseq_Criteria="Hazard Distance",AI386,IF(AND(OR(AI256="",AND(Regulatory_Tox&lt;&gt;"Yes",ER3_Min&gt;Toxic_Limit),AI318="No"),AI319="No"),"NA",IF(AI384&lt;N_VeryLow,Conseq_VeryLow,IF(AI384&lt;N_Low,Conseq_Low,IF(AI384&lt;N_Moderate,Conseq_Moderate,IF(AI384&lt;N_High,Conseq_High,IF(AI384&lt;N_VeryHigh,Conseq_VeryHigh,Conseq_ExtremeHigh)))))))</f>
        <v>NA</v>
      </c>
      <c r="AJ387" s="81"/>
      <c r="AK387" s="2135" t="str">
        <f>IF(Conseq_Criteria="Hazard Distance",AK386,IF(AND(OR(AK256="",AND(Regulatory_Tox&lt;&gt;"Yes",ER3_Min&gt;Toxic_Limit),AK318="No"),AK319="No"),"NA",IF(AK384&lt;N_VeryLow,Conseq_VeryLow,IF(AK384&lt;N_Low,Conseq_Low,IF(AK384&lt;N_Moderate,Conseq_Moderate,IF(AK384&lt;N_High,Conseq_High,IF(AK384&lt;N_VeryHigh,Conseq_VeryHigh,Conseq_ExtremeHigh)))))))</f>
        <v>NA</v>
      </c>
      <c r="AL387" s="81"/>
      <c r="AM387" s="2135" t="str">
        <f>IF(Conseq_Criteria="Hazard Distance",AM386,IF(AND(OR(AM256="",AND(Regulatory_Tox&lt;&gt;"Yes",ER3_Min&gt;Toxic_Limit),AM318="No"),AM319="No"),"NA",IF(AM384&lt;N_VeryLow,Conseq_VeryLow,IF(AM384&lt;N_Low,Conseq_Low,IF(AM384&lt;N_Moderate,Conseq_Moderate,IF(AM384&lt;N_High,Conseq_High,IF(AM384&lt;N_VeryHigh,Conseq_VeryHigh,Conseq_ExtremeHigh)))))))</f>
        <v>NA</v>
      </c>
      <c r="AN387" s="81"/>
      <c r="AO387" s="2135" t="str">
        <f>IF(Conseq_Criteria="Hazard Distance",AO386,IF(AND(OR(AO256="",AND(Regulatory_Tox&lt;&gt;"Yes",ER3_Min&gt;Toxic_Limit),AO318="No"),AO319="No"),"NA",IF(AO384&lt;N_VeryLow,Conseq_VeryLow,IF(AO384&lt;N_Low,Conseq_Low,IF(AO384&lt;N_Moderate,Conseq_Moderate,IF(AO384&lt;N_High,Conseq_High,IF(AO384&lt;N_VeryHigh,Conseq_VeryHigh,Conseq_ExtremeHigh)))))))</f>
        <v>NA</v>
      </c>
      <c r="AP387" s="81"/>
      <c r="AQ387" s="89"/>
      <c r="AR387" s="81"/>
      <c r="AS387" s="83"/>
      <c r="AT387" s="25" t="s">
        <v>4228</v>
      </c>
      <c r="AU387" s="83"/>
      <c r="AV387" s="2135" t="str">
        <f>IF(Conseq_Criteria="Hazard Distance",AV386,IF(OR(AV384&lt;N_Screening,AND(AV278="Outdoors",AV317&lt;HD_Screening_Limit)),"NA",IF(OR(AND(AV278="Indoors",AV384&lt;N_Low),AND(Location="Outdoors",AV317&lt;HD_Severe_Impact)),Conseq_Low,IF(AV384&lt;N_Moderate,Conseq_Moderate,IF(AV384&lt;N_High,Conseq_High,IF(AV384&lt;N_VeryHigh,Conseq_VeryHigh,Conseq_ExtremeHigh))))))</f>
        <v>NA</v>
      </c>
      <c r="AW387" s="83"/>
      <c r="AX387" s="2135" t="str">
        <f>IF(Conseq_Criteria="Hazard Distance",AX386,IF(OR(AX384&lt;N_Screening,AND(AX278="Outdoors",AX317&lt;HD_Screening_Limit)),"NA",IF(OR(AND(AX278="Indoors",AX384&lt;N_Low),AND(Location="Outdoors",AX317&lt;HD_Severe_Impact)),Conseq_Low,IF(AX384&lt;N_Moderate,Conseq_Moderate,IF(AX384&lt;N_High,Conseq_High,IF(AX384&lt;N_VeryHigh,Conseq_VeryHigh,Conseq_ExtremeHigh))))))</f>
        <v>NA</v>
      </c>
      <c r="AY387" s="83"/>
      <c r="AZ387" s="2135" t="str">
        <f>IF(Conseq_Criteria="Hazard Distance",AZ386,IF(OR(AZ384&lt;N_Screening,AND(AZ278="Outdoors",AZ317&lt;HD_Screening_Limit)),"NA",IF(OR(AND(AZ278="Indoors",AZ384&lt;N_Low),AND(Location="Outdoors",AZ317&lt;HD_Severe_Impact)),Conseq_Low,IF(AZ384&lt;N_Moderate,Conseq_Moderate,IF(AZ384&lt;N_High,Conseq_High,IF(AZ384&lt;N_VeryHigh,Conseq_VeryHigh,Conseq_ExtremeHigh))))))</f>
        <v>NA</v>
      </c>
      <c r="BA387" s="83"/>
      <c r="BB387" s="2135" t="str">
        <f>IF(Conseq_Criteria="Hazard Distance",BB386,IF(OR(BB384&lt;N_Screening,AND(BB278="Outdoors",BB317&lt;HD_Screening_Limit)),"NA",IF(OR(AND(BB278="Indoors",BB384&lt;N_Low),AND(Location="Outdoors",BB317&lt;HD_Severe_Impact)),Conseq_Low,IF(BB384&lt;N_Moderate,Conseq_Moderate,IF(BB384&lt;N_High,Conseq_High,IF(BB384&lt;N_VeryHigh,Conseq_VeryHigh,Conseq_ExtremeHigh))))))</f>
        <v>NA</v>
      </c>
      <c r="BC387" s="83"/>
      <c r="BD387" s="2135" t="str">
        <f>IF(Conseq_Criteria="Hazard Distance",BD386,IF(OR(BD384&lt;N_Screening,AND(BD278="Outdoors",BD317&lt;HD_Screening_Limit)),"NA",IF(OR(AND(BD278="Indoors",BD384&lt;N_Low),AND(Location="Outdoors",BD317&lt;HD_Severe_Impact)),Conseq_Low,IF(BD384&lt;N_Moderate,Conseq_Moderate,IF(BD384&lt;N_High,Conseq_High,IF(BD384&lt;N_VeryHigh,Conseq_VeryHigh,Conseq_ExtremeHigh))))))</f>
        <v>NA</v>
      </c>
      <c r="BE387" s="83"/>
      <c r="BF387" s="2135" t="str">
        <f>IF(Conseq_Criteria="Hazard Distance",BF386,IF(OR(BF384&lt;N_Screening,AND(BF278="Outdoors",BF317&lt;HD_Screening_Limit)),"NA",IF(OR(AND(BF278="Indoors",BF384&lt;N_Low),AND(Location="Outdoors",BF317&lt;HD_Severe_Impact)),Conseq_Low,IF(BF384&lt;N_Moderate,Conseq_Moderate,IF(BF384&lt;N_High,Conseq_High,IF(BF384&lt;N_VeryHigh,Conseq_VeryHigh,Conseq_ExtremeHigh))))))</f>
        <v>NA</v>
      </c>
      <c r="BG387" s="83"/>
      <c r="BH387" s="2135" t="str">
        <f>IF(Conseq_Criteria="Hazard Distance",BH386,IF(OR(BH384&lt;N_Screening,AND(BH278="Outdoors",BH317&lt;HD_Screening_Limit)),"NA",IF(OR(AND(BH278="Indoors",BH384&lt;N_Low),AND(Location="Outdoors",BH317&lt;HD_Severe_Impact)),Conseq_Low,IF(BH384&lt;N_Moderate,Conseq_Moderate,IF(BH384&lt;N_High,Conseq_High,IF(BH384&lt;N_VeryHigh,Conseq_VeryHigh,Conseq_ExtremeHigh))))))</f>
        <v>NA</v>
      </c>
      <c r="BI387" s="83"/>
      <c r="BJ387" s="2135" t="str">
        <f>IF(Conseq_Criteria="Hazard Distance",BJ386,IF(OR(BJ384&lt;N_Screening,AND(BJ278="Outdoors",BJ317&lt;HD_Screening_Limit)),"NA",IF(OR(AND(BJ278="Indoors",BJ384&lt;N_Low),AND(Location="Outdoors",BJ317&lt;HD_Severe_Impact)),Conseq_Low,IF(BJ384&lt;N_Moderate,Conseq_Moderate,IF(BJ384&lt;N_High,Conseq_High,IF(BJ384&lt;N_VeryHigh,Conseq_VeryHigh,Conseq_ExtremeHigh))))))</f>
        <v>NA</v>
      </c>
      <c r="BK387" s="83"/>
      <c r="BL387" s="2135" t="str">
        <f>IF(Conseq_Criteria="Hazard Distance",BL386,IF(OR(BL384&lt;N_Screening,AND(BL278="Outdoors",BL317&lt;HD_Screening_Limit)),"NA",IF(OR(AND(BL278="Indoors",BL384&lt;N_Low),AND(Location="Outdoors",BL317&lt;HD_Severe_Impact)),Conseq_Low,IF(BL384&lt;N_Moderate,Conseq_Moderate,IF(BL384&lt;N_High,Conseq_High,IF(BL384&lt;N_VeryHigh,Conseq_VeryHigh,Conseq_ExtremeHigh))))))</f>
        <v>NA</v>
      </c>
      <c r="BM387" s="83"/>
      <c r="BN387" s="2135" t="str">
        <f>IF(Conseq_Criteria="Hazard Distance",BN386,IF(OR(BN384&lt;N_Screening,AND(BN278="Outdoors",BN317&lt;HD_Screening_Limit)),"NA",IF(OR(AND(BN278="Indoors",BN384&lt;N_Low),AND(Location="Outdoors",BN317&lt;HD_Severe_Impact)),Conseq_Low,IF(BN384&lt;N_Moderate,Conseq_Moderate,IF(BN384&lt;N_High,Conseq_High,IF(BN384&lt;N_VeryHigh,Conseq_VeryHigh,Conseq_ExtremeHigh))))))</f>
        <v>NA</v>
      </c>
      <c r="BO387" s="83"/>
      <c r="BP387" s="104"/>
      <c r="BQ387" s="83"/>
      <c r="BR387" s="81"/>
      <c r="BS387" s="23" t="s">
        <v>3636</v>
      </c>
      <c r="BT387" s="81"/>
      <c r="BU387" s="1206">
        <f>IF(OR(BU$279=0,BU$273=""),0,IF(BU385&gt;Zone_1,IF(BU208="Instantaneous",Dispersion_R,Dispersion_M)*(MAX(Public,Zone_1)^2-MAX(Public,BU385)^2)+(MAX(Public,Zone_1)-MAX(Public,BU385))*IF(BU208="Instantaneous",DC_Duration_Initial*(BU83/BU98)^(1/3),2*(BU$55/3.142)^0.5),IF(BU208="Instantaneous",Dispersion_R,Dispersion_M)*BU$273^(2*IF(BU208="Instantaneous",BU$206,BU$180))*BU$291^2*(EXP(BU$278+BU$279*MAX(Public,Zone_1)^2/(BU$273^(2*IF(BU208="Instantaneous",BU$206,BU$180))*BU$291^2))-EXP(BU$278+BU$279*MAX(Public,BU385)^2/(BU$273^(2*IF(BU208="Instantaneous",BU$206,BU$180))*BU$291^2)))/BU$279))</f>
        <v>0</v>
      </c>
      <c r="BV387" s="81"/>
      <c r="BW387" s="1206">
        <f>IF(OR(BW$279=0,BW$273=""),0,IF(BW385&gt;Zone_1,IF(BW208="Instantaneous",Dispersion_R,Dispersion_M)*(MAX(Public,Zone_1)^2-MAX(Public,BW385)^2)+(MAX(Public,Zone_1)-MAX(Public,BW385))*IF(BW208="Instantaneous",DC_Duration_Initial*(BW83/BW98)^(1/3),2*(BW$55/3.142)^0.5),IF(BW208="Instantaneous",Dispersion_R,Dispersion_M)*BW$273^(2*IF(BW208="Instantaneous",BW$206,BW$180))*BW$291^2*(EXP(BW$278+BW$279*MAX(Public,Zone_1)^2/(BW$273^(2*IF(BW208="Instantaneous",BW$206,BW$180))*BW$291^2))-EXP(BW$278+BW$279*MAX(Public,BW385)^2/(BW$273^(2*IF(BW208="Instantaneous",BW$206,BW$180))*BW$291^2)))/BW$279))</f>
        <v>0</v>
      </c>
      <c r="BX387" s="81"/>
      <c r="BY387" s="1206">
        <f>IF(OR(BY$279=0,BY$273=""),0,IF(BY385&gt;Zone_1,IF(BY208="Instantaneous",Dispersion_R,Dispersion_M)*(MAX(Public,Zone_1)^2-MAX(Public,BY385)^2)+(MAX(Public,Zone_1)-MAX(Public,BY385))*IF(BY208="Instantaneous",DC_Duration_Initial*(BY83/BY98)^(1/3),2*(BY$55/3.142)^0.5),IF(BY208="Instantaneous",Dispersion_R,Dispersion_M)*BY$273^(2*IF(BY208="Instantaneous",BY$206,BY$180))*BY$291^2*(EXP(BY$278+BY$279*MAX(Public,Zone_1)^2/(BY$273^(2*IF(BY208="Instantaneous",BY$206,BY$180))*BY$291^2))-EXP(BY$278+BY$279*MAX(Public,BY385)^2/(BY$273^(2*IF(BY208="Instantaneous",BY$206,BY$180))*BY$291^2)))/BY$279))</f>
        <v>0</v>
      </c>
      <c r="BZ387" s="81"/>
      <c r="CA387" s="1206">
        <f>IF(OR(CA$279=0,CA$273=""),0,IF(CA385&gt;Zone_1,IF(CA208="Instantaneous",Dispersion_R,Dispersion_M)*(MAX(Public,Zone_1)^2-MAX(Public,CA385)^2)+(MAX(Public,Zone_1)-MAX(Public,CA385))*IF(CA208="Instantaneous",DC_Duration_Initial*(CA83/CA98)^(1/3),2*(CA$55/3.142)^0.5),IF(CA208="Instantaneous",Dispersion_R,Dispersion_M)*CA$273^(2*IF(CA208="Instantaneous",CA$206,CA$180))*CA$291^2*(EXP(CA$278+CA$279*MAX(Public,Zone_1)^2/(CA$273^(2*IF(CA208="Instantaneous",CA$206,CA$180))*CA$291^2))-EXP(CA$278+CA$279*MAX(Public,CA385)^2/(CA$273^(2*IF(CA208="Instantaneous",CA$206,CA$180))*CA$291^2)))/CA$279))</f>
        <v>0</v>
      </c>
      <c r="CB387" s="81"/>
      <c r="CC387" s="1206">
        <f>IF(OR(CC$279=0,CC$273=""),0,IF(CC385&gt;Zone_1,IF(CC208="Instantaneous",Dispersion_R,Dispersion_M)*(MAX(Public,Zone_1)^2-MAX(Public,CC385)^2)+(MAX(Public,Zone_1)-MAX(Public,CC385))*IF(CC208="Instantaneous",DC_Duration_Initial*(CC83/CC98)^(1/3),2*(CC$55/3.142)^0.5),IF(CC208="Instantaneous",Dispersion_R,Dispersion_M)*CC$273^(2*IF(CC208="Instantaneous",CC$206,CC$180))*CC$291^2*(EXP(CC$278+CC$279*MAX(Public,Zone_1)^2/(CC$273^(2*IF(CC208="Instantaneous",CC$206,CC$180))*CC$291^2))-EXP(CC$278+CC$279*MAX(Public,CC385)^2/(CC$273^(2*IF(CC208="Instantaneous",CC$206,CC$180))*CC$291^2)))/CC$279))</f>
        <v>0</v>
      </c>
      <c r="CD387" s="81"/>
      <c r="CE387" s="85" t="s">
        <v>3804</v>
      </c>
      <c r="CF387" s="81"/>
      <c r="CN387" s="26"/>
    </row>
    <row r="388" spans="1:92" ht="15" customHeight="1" thickBot="1" x14ac:dyDescent="0.3">
      <c r="A388" s="2"/>
      <c r="B388" s="25" t="s">
        <v>4792</v>
      </c>
      <c r="C388" s="83"/>
      <c r="D388" s="1208" t="str">
        <f>IF(OR(Flash_Pt_Feed="",D249="",AND(Location="Outdoors",D319&lt;HD_Screening_Limit)),"NA",IF(Location="Indoors",IF(AND(Ease_of_Ignition_Feed&lt;&gt;"High",D$292&lt;&gt;"Yes",0.0001*D300/D249&lt;HD_VeryLow_IndoorFF),Conseq_VeryLow,IF(0.0001*D300/D249&lt;HD_Low_IndoorFF,Conseq_Low,IF(0.0001*D300/D249&lt;HD_Moderate_IndoorFF,Conseq_Moderate,Conseq_High))),IF(AND(Ease_of_Ignition_Feed&lt;&gt;"High",D$292&lt;&gt;"Yes",D319&lt;HD_VeryLow_FF),Conseq_VeryLow,IF(D319&lt;HD_Low_FF,Conseq_Low,IF(D319&lt;HD_Moderate_FF,Conseq_Moderate,IF(D319&lt;HD_High_FF,Conseq_High,IF(D319&lt;HD_VeryHigh_FF,Conseq_VeryHigh,Conseq_ExtremeHigh)))))))</f>
        <v>NA</v>
      </c>
      <c r="E388" s="83"/>
      <c r="F388" s="1208" t="str">
        <f>IF(OR(Flash_Pt_Feed="",F249="",AND(Location="Outdoors",F319&lt;HD_Screening_Limit)),"NA",IF(Location="Indoors",IF(AND(Ease_of_Ignition_Feed&lt;&gt;"High",F$292&lt;&gt;"Yes",0.0001*F300/F249&lt;HD_VeryLow_IndoorFF),Conseq_VeryLow,IF(0.0001*F300/F249&lt;HD_Low_IndoorFF,Conseq_Low,IF(0.0001*F300/F249&lt;HD_Moderate_IndoorFF,Conseq_Moderate,Conseq_High))),IF(AND(Ease_of_Ignition_Feed&lt;&gt;"High",F$292&lt;&gt;"Yes",F319&lt;HD_VeryLow_FF),Conseq_VeryLow,IF(F319&lt;HD_Low_FF,Conseq_Low,IF(F319&lt;HD_Moderate_FF,Conseq_Moderate,IF(F319&lt;HD_High_FF,Conseq_High,IF(F319&lt;HD_VeryHigh_FF,Conseq_VeryHigh,Conseq_ExtremeHigh)))))))</f>
        <v>NA</v>
      </c>
      <c r="G388" s="83"/>
      <c r="H388" s="1208" t="str">
        <f>IF(OR(Flash_Pt_Feed="",H249="",AND(Location="Outdoors",H319&lt;HD_Screening_Limit)),"NA",IF(Location="Indoors",IF(AND(Ease_of_Ignition_Feed&lt;&gt;"High",H$292&lt;&gt;"Yes",0.0001*H300/H249&lt;HD_VeryLow_IndoorFF),Conseq_VeryLow,IF(0.0001*H300/H249&lt;HD_Low_IndoorFF,Conseq_Low,IF(0.0001*H300/H249&lt;HD_Moderate_IndoorFF,Conseq_Moderate,Conseq_High))),IF(AND(Ease_of_Ignition_Feed&lt;&gt;"High",H$292&lt;&gt;"Yes",H319&lt;HD_VeryLow_FF),Conseq_VeryLow,IF(H319&lt;HD_Low_FF,Conseq_Low,IF(H319&lt;HD_Moderate_FF,Conseq_Moderate,IF(H319&lt;HD_High_FF,Conseq_High,IF(H319&lt;HD_VeryHigh_FF,Conseq_VeryHigh,Conseq_ExtremeHigh)))))))</f>
        <v>NA</v>
      </c>
      <c r="I388" s="83"/>
      <c r="J388" s="1208" t="str">
        <f>IF(OR(Flash_Pt_Feed="",J249="",AND(Location="Outdoors",J319&lt;HD_Screening_Limit)),"NA",IF(Location="Indoors",IF(AND(Ease_of_Ignition_Feed&lt;&gt;"High",J$292&lt;&gt;"Yes",0.0001*J300/J249&lt;HD_VeryLow_IndoorFF),Conseq_VeryLow,IF(0.0001*J300/J249&lt;HD_Low_IndoorFF,Conseq_Low,IF(0.0001*J300/J249&lt;HD_Moderate_IndoorFF,Conseq_Moderate,Conseq_High))),IF(AND(Ease_of_Ignition_Feed&lt;&gt;"High",J$292&lt;&gt;"Yes",J319&lt;HD_VeryLow_FF),Conseq_VeryLow,IF(J319&lt;HD_Low_FF,Conseq_Low,IF(J319&lt;HD_Moderate_FF,Conseq_Moderate,IF(J319&lt;HD_High_FF,Conseq_High,IF(J319&lt;HD_VeryHigh_FF,Conseq_VeryHigh,Conseq_ExtremeHigh)))))))</f>
        <v>NA</v>
      </c>
      <c r="K388" s="83"/>
      <c r="L388" s="1208" t="str">
        <f>IF(OR(Flash_Pt_Feed="",L249="",AND(Location="Outdoors",L319&lt;HD_Screening_Limit)),"NA",IF(Location="Indoors",IF(AND(Ease_of_Ignition_Feed&lt;&gt;"High",L$292&lt;&gt;"Yes",0.0001*L300/L249&lt;HD_VeryLow_IndoorFF),Conseq_VeryLow,IF(0.0001*L300/L249&lt;HD_Low_IndoorFF,Conseq_Low,IF(0.0001*L300/L249&lt;HD_Moderate_IndoorFF,Conseq_Moderate,Conseq_High))),IF(AND(Ease_of_Ignition_Feed&lt;&gt;"High",L$292&lt;&gt;"Yes",L319&lt;HD_VeryLow_FF),Conseq_VeryLow,IF(L319&lt;HD_Low_FF,Conseq_Low,IF(L319&lt;HD_Moderate_FF,Conseq_Moderate,IF(L319&lt;HD_High_FF,Conseq_High,IF(L319&lt;HD_VeryHigh_FF,Conseq_VeryHigh,Conseq_ExtremeHigh)))))))</f>
        <v>NA</v>
      </c>
      <c r="M388" s="83"/>
      <c r="N388" s="1208" t="str">
        <f>IF(OR(Flash_Pt_Feed="",N249="",AND(Location="Outdoors",N319&lt;HD_Screening_Limit)),"NA",IF(Location="Indoors",IF(AND(Ease_of_Ignition_Feed&lt;&gt;"High",'Special Calcs'!G$164&lt;&gt;"Yes",0.0001*N300/N249&lt;HD_VeryLow_IndoorFF),Conseq_VeryLow,IF(0.0001*N300/N249&lt;HD_Low_IndoorFF,Conseq_Low,IF(0.0001*N300/N249&lt;HD_Moderate_IndoorFF,Conseq_Moderate,Conseq_High))),IF(AND(Ease_of_Ignition_Feed&lt;&gt;"High",'Special Calcs'!G$164&lt;&gt;"Yes",N319&lt;HD_VeryLow_FF),Conseq_VeryLow,IF(N319&lt;HD_Low_FF,Conseq_Low,IF(N319&lt;HD_Moderate_FF,Conseq_Moderate,IF(N319&lt;HD_High_FF,Conseq_High,IF(N319&lt;HD_VeryHigh_FF,Conseq_VeryHigh,Conseq_ExtremeHigh)))))))</f>
        <v>NA</v>
      </c>
      <c r="O388" s="83"/>
      <c r="P388" s="1208" t="str">
        <f>IF(OR(Flash_Pt_Feed="",P249="",AND(Location="Outdoors",P319&lt;HD_Screening_Limit)),"NA",IF(Location="Indoors",IF(AND(Ease_of_Ignition_Feed&lt;&gt;"High",P$292&lt;&gt;"Yes",0.0001*P300/P249&lt;HD_VeryLow_IndoorFF),Conseq_VeryLow,IF(0.0001*P300/P249&lt;HD_Low_IndoorFF,Conseq_Low,IF(0.0001*P300/P249&lt;HD_Moderate_IndoorFF,Conseq_Moderate,Conseq_High))),IF(AND(Ease_of_Ignition_Feed&lt;&gt;"High",P$292&lt;&gt;"Yes",P319&lt;HD_VeryLow_FF),Conseq_VeryLow,IF(P319&lt;HD_Low_FF,Conseq_Low,IF(P319&lt;HD_Moderate_FF,Conseq_Moderate,IF(P319&lt;HD_High_FF,Conseq_High,IF(P319&lt;HD_VeryHigh_FF,Conseq_VeryHigh,Conseq_ExtremeHigh)))))))</f>
        <v>NA</v>
      </c>
      <c r="Q388" s="83"/>
      <c r="R388" s="1208" t="str">
        <f>IF(OR(Flash_Pt_Feed="",R249="",AND(Location="Outdoors",R319&lt;HD_Screening_Limit)),"NA",IF(Location="Indoors",IF(AND(Ease_of_Ignition_Feed&lt;&gt;"High",R$292&lt;&gt;"Yes",0.0001*R300/R249&lt;HD_VeryLow_IndoorFF),Conseq_VeryLow,IF(0.0001*R300/R249&lt;HD_Low_IndoorFF,Conseq_Low,IF(0.0001*R300/R249&lt;HD_Moderate_IndoorFF,Conseq_Moderate,Conseq_High))),IF(AND(Ease_of_Ignition_Feed&lt;&gt;"High",R$292&lt;&gt;"Yes",R319&lt;HD_VeryLow_FF),Conseq_VeryLow,IF(R319&lt;HD_Low_FF,Conseq_Low,IF(R319&lt;HD_Moderate_FF,Conseq_Moderate,IF(R319&lt;HD_High_FF,Conseq_High,IF(R319&lt;HD_VeryHigh_FF,Conseq_VeryHigh,Conseq_ExtremeHigh)))))))</f>
        <v>NA</v>
      </c>
      <c r="S388" s="83"/>
      <c r="T388" s="1208" t="str">
        <f>IF(OR(Flash_Pt_Feed="",T249="",AND(Location="Outdoors",T319&lt;HD_Screening_Limit)),"NA",IF(Location="Indoors",IF(AND(Ease_of_Ignition_Feed&lt;&gt;"High",T$292&lt;&gt;"Yes",0.0001*T300/T249&lt;HD_VeryLow_IndoorFF),Conseq_VeryLow,IF(0.0001*T300/T249&lt;HD_Low_IndoorFF,Conseq_Low,IF(0.0001*T300/T249&lt;HD_Moderate_IndoorFF,Conseq_Moderate,Conseq_High))),IF(AND(Ease_of_Ignition_Feed&lt;&gt;"High",T$292&lt;&gt;"Yes",T319&lt;HD_VeryLow_FF),Conseq_VeryLow,IF(T319&lt;HD_Low_FF,Conseq_Low,IF(T319&lt;HD_Moderate_FF,Conseq_Moderate,IF(T319&lt;HD_High_FF,Conseq_High,IF(T319&lt;HD_VeryHigh_FF,Conseq_VeryHigh,Conseq_ExtremeHigh)))))))</f>
        <v>NA</v>
      </c>
      <c r="U388" s="83"/>
      <c r="V388" s="1208" t="str">
        <f>IF(OR(Flash_Pt_Feed="",V249="",AND(Location="Outdoors",V319&lt;HD_Screening_Limit)),"NA",IF(Location="Indoors",IF(AND(Ease_of_Ignition_Feed&lt;&gt;"High",V$292&lt;&gt;"Yes",0.0001*V300/V249&lt;HD_VeryLow_IndoorFF),Conseq_VeryLow,IF(0.0001*V300/V249&lt;HD_Low_IndoorFF,Conseq_Low,IF(0.0001*V300/V249&lt;HD_Moderate_IndoorFF,Conseq_Moderate,Conseq_High))),IF(AND(Ease_of_Ignition_Feed&lt;&gt;"High",V$292&lt;&gt;"Yes",V319&lt;HD_VeryLow_FF),Conseq_VeryLow,IF(V319&lt;HD_Low_FF,Conseq_Low,IF(V319&lt;HD_Moderate_FF,Conseq_Moderate,IF(V319&lt;HD_High_FF,Conseq_High,IF(V319&lt;HD_VeryHigh_FF,Conseq_VeryHigh,Conseq_ExtremeHigh)))))))</f>
        <v>NA</v>
      </c>
      <c r="W388" s="83"/>
      <c r="X388" s="1208" t="str">
        <f>IF(OR(Flash_Pt_Feed="",X249="",AND(Location="Outdoors",X319&lt;HD_Screening_Limit)),"NA",IF(Location="Indoors",IF(AND(Ease_of_Ignition_Feed&lt;&gt;"High",X$292&lt;&gt;"Yes",0.0001*X300/X249&lt;HD_VeryLow_IndoorFF),Conseq_VeryLow,IF(0.0001*X300/X249&lt;HD_Low_IndoorFF,Conseq_Low,IF(0.0001*X300/X249&lt;HD_Moderate_IndoorFF,Conseq_Moderate,Conseq_High))),IF(AND(Ease_of_Ignition_Feed&lt;&gt;"High",X$292&lt;&gt;"Yes",X319&lt;HD_VeryLow_FF),Conseq_VeryLow,IF(X319&lt;HD_Low_FF,Conseq_Low,IF(X319&lt;HD_Moderate_FF,Conseq_Moderate,IF(X319&lt;HD_High_FF,Conseq_High,IF(X319&lt;HD_VeryHigh_FF,Conseq_VeryHigh,Conseq_ExtremeHigh)))))))</f>
        <v>NA</v>
      </c>
      <c r="Y388" s="83"/>
      <c r="Z388" s="1311"/>
      <c r="AA388" s="83"/>
      <c r="AB388" s="81"/>
      <c r="AC388" s="23" t="s">
        <v>4061</v>
      </c>
      <c r="AD388" s="81"/>
      <c r="AE388" s="1820">
        <f>IF(OR(AE$287=0,AE310=0),0,MIN(1,EXP(AE$287+AE$288/AE310^(2*AE$141))))</f>
        <v>0</v>
      </c>
      <c r="AF388" s="81"/>
      <c r="AG388" s="1820">
        <f>IF(OR(AG$287=0,AG310=0),0,MIN(1,EXP(AG$287+AG$288/AG310^(2*AG$141))))</f>
        <v>0</v>
      </c>
      <c r="AH388" s="81"/>
      <c r="AI388" s="1820">
        <f>IF(OR(AI$287=0,AI310=0),0,MIN(1,EXP(AI$287+AI$288/AI310^(2*AI$141))))</f>
        <v>0</v>
      </c>
      <c r="AJ388" s="81"/>
      <c r="AK388" s="1820">
        <f>IF(OR(AK$287=0,AK310=0),0,MIN(1,EXP(AK$287+AK$288/AK310^(2*AK$141))))</f>
        <v>0</v>
      </c>
      <c r="AL388" s="81"/>
      <c r="AM388" s="1820">
        <f>IF(OR(AM$287=0,AM310=0),0,MIN(1,EXP(AM$287+AM$288/AM310^(2*AM$141))))</f>
        <v>0</v>
      </c>
      <c r="AN388" s="81"/>
      <c r="AO388" s="1820">
        <f>IF(OR(AO$287=0,AO310=0),0,MIN(1,EXP(AO$287+AO$288/AO310^(2*AO$141))))</f>
        <v>0</v>
      </c>
      <c r="AP388" s="81"/>
      <c r="AQ388" s="84"/>
      <c r="AR388" s="81"/>
      <c r="AS388" s="83"/>
      <c r="AT388" s="23" t="s">
        <v>2008</v>
      </c>
      <c r="AU388" s="83"/>
      <c r="AV388" s="1182">
        <f>IF(AV315&lt;&gt;"Yes",0,EXP(-Bldg_Type_Coefficient*(Bldg_Type_Correction/AV311)^Bldg_Type_Exponent))</f>
        <v>0</v>
      </c>
      <c r="AW388" s="83"/>
      <c r="AX388" s="1182">
        <f>IF(AX315&lt;&gt;"Yes",0,EXP(-Bldg_Type_Coefficient*(Bldg_Type_Correction/AX311)^Bldg_Type_Exponent))</f>
        <v>0</v>
      </c>
      <c r="AY388" s="83"/>
      <c r="AZ388" s="1182">
        <f>IF(AZ315&lt;&gt;"Yes",0,EXP(-Bldg_Type_Coefficient*(Bldg_Type_Correction/AZ311)^Bldg_Type_Exponent))</f>
        <v>0</v>
      </c>
      <c r="BA388" s="83"/>
      <c r="BB388" s="1182">
        <f>IF(BB315&lt;&gt;"Yes",0,EXP(-Bldg_Type_Coefficient*(Bldg_Type_Correction/BB311)^Bldg_Type_Exponent))</f>
        <v>0</v>
      </c>
      <c r="BC388" s="83"/>
      <c r="BD388" s="1182">
        <f>IF(BD315&lt;&gt;"Yes",0,EXP(-Bldg_Type_Coefficient*(Bldg_Type_Correction/BD311)^Bldg_Type_Exponent))</f>
        <v>0</v>
      </c>
      <c r="BE388" s="83"/>
      <c r="BF388" s="1182">
        <f>IF(BF315&lt;&gt;"Yes",0,EXP(-Bldg_Type_Coefficient*(Bldg_Type_Correction/BF311)^Bldg_Type_Exponent))</f>
        <v>0</v>
      </c>
      <c r="BG388" s="83"/>
      <c r="BH388" s="1182">
        <f>IF(BH315&lt;&gt;"Yes",0,EXP(-Bldg_Type_Coefficient*(Bldg_Type_Correction/BH311)^Bldg_Type_Exponent))</f>
        <v>0</v>
      </c>
      <c r="BI388" s="83"/>
      <c r="BJ388" s="1182">
        <f>IF(BJ315&lt;&gt;"Yes",0,EXP(-Bldg_Type_Coefficient*(Bldg_Type_Correction/BJ311)^Bldg_Type_Exponent))</f>
        <v>0</v>
      </c>
      <c r="BK388" s="83"/>
      <c r="BL388" s="1182">
        <f>IF(BL315&lt;&gt;"Yes",0,EXP(-Bldg_Type_Coefficient*(Bldg_Type_Correction/BL311)^Bldg_Type_Exponent))</f>
        <v>0</v>
      </c>
      <c r="BM388" s="83"/>
      <c r="BN388" s="1182">
        <f>IF(BN315&lt;&gt;"Yes",0,EXP(-Bldg_Type_Coefficient*(Bldg_Type_Correction/BN311)^Bldg_Type_Exponent))</f>
        <v>0</v>
      </c>
      <c r="BO388" s="83"/>
      <c r="BP388" s="84"/>
      <c r="BQ388" s="83"/>
      <c r="BR388" s="81"/>
      <c r="BS388" s="23" t="s">
        <v>3637</v>
      </c>
      <c r="BT388" s="81"/>
      <c r="BU388" s="1206" t="e">
        <f>IF(Zone_1&lt;Public,IF(BU208="Instantaneous",Dispersion_R,Dispersion_M)*(MAX(BU385,Public)^2-Public^2)+(MAX(BU385,Public)-Public)*IF(BU208="Instantaneous",DC_Duration_Initial*(BU83/BU98)^(1/3),2*(BU$55/3.142)^0.5),IF(BU208="Instantaneous",Dispersion_R,Dispersion_M)*(MAX(BU385,Zone_1)^2-Zone_1^2)+(MAX(BU385,Zone_1)-Zone_1)*IF(BU208="Instantaneous",DC_Duration_Initial*(BU83/BU98)^(1/3),2*(BU$55/3.142)^0.5))</f>
        <v>#DIV/0!</v>
      </c>
      <c r="BV388" s="81"/>
      <c r="BW388" s="1206" t="e">
        <f>IF(Zone_1&lt;Public,IF(BW208="Instantaneous",Dispersion_R,Dispersion_M)*(MAX(BW385,Public)^2-Public^2)+(MAX(BW385,Public)-Public)*IF(BW208="Instantaneous",DC_Duration_Initial*(BW83/BW98)^(1/3),2*(BW$55/3.142)^0.5),IF(BW208="Instantaneous",Dispersion_R,Dispersion_M)*(MAX(BW385,Zone_1)^2-Zone_1^2)+(MAX(BW385,Zone_1)-Zone_1)*IF(BW208="Instantaneous",DC_Duration_Initial*(BW83/BW98)^(1/3),2*(BW$55/3.142)^0.5))</f>
        <v>#DIV/0!</v>
      </c>
      <c r="BX388" s="81"/>
      <c r="BY388" s="1206" t="e">
        <f>IF(Zone_1&lt;Public,IF(BY208="Instantaneous",Dispersion_R,Dispersion_M)*(MAX(BY385,Public)^2-Public^2)+(MAX(BY385,Public)-Public)*IF(BY208="Instantaneous",DC_Duration_Initial*(BY83/BY98)^(1/3),2*(BY$55/3.142)^0.5),IF(BY208="Instantaneous",Dispersion_R,Dispersion_M)*(MAX(BY385,Zone_1)^2-Zone_1^2)+(MAX(BY385,Zone_1)-Zone_1)*IF(BY208="Instantaneous",DC_Duration_Initial*(BY83/BY98)^(1/3),2*(BY$55/3.142)^0.5))</f>
        <v>#DIV/0!</v>
      </c>
      <c r="BZ388" s="81"/>
      <c r="CA388" s="1206" t="e">
        <f>IF(Zone_1&lt;Public,IF(CA208="Instantaneous",Dispersion_R,Dispersion_M)*(MAX(CA385,Public)^2-Public^2)+(MAX(CA385,Public)-Public)*IF(CA208="Instantaneous",DC_Duration_Initial*(CA83/CA98)^(1/3),2*(CA$55/3.142)^0.5),IF(CA208="Instantaneous",Dispersion_R,Dispersion_M)*(MAX(CA385,Zone_1)^2-Zone_1^2)+(MAX(CA385,Zone_1)-Zone_1)*IF(CA208="Instantaneous",DC_Duration_Initial*(CA83/CA98)^(1/3),2*(CA$55/3.142)^0.5))</f>
        <v>#DIV/0!</v>
      </c>
      <c r="CB388" s="81"/>
      <c r="CC388" s="1206" t="e">
        <f>IF(Zone_1&lt;Public,IF(CC208="Instantaneous",Dispersion_R,Dispersion_M)*(MAX(CC385,Public)^2-Public^2)+(MAX(CC385,Public)-Public)*IF(CC208="Instantaneous",DC_Duration_Initial*(CC83/CC98)^(1/3),2*(CC$55/3.142)^0.5),IF(CC208="Instantaneous",Dispersion_R,Dispersion_M)*(MAX(CC385,Zone_1)^2-Zone_1^2)+(MAX(CC385,Zone_1)-Zone_1)*IF(CC208="Instantaneous",DC_Duration_Initial*(CC83/CC98)^(1/3),2*(CC$55/3.142)^0.5))</f>
        <v>#DIV/0!</v>
      </c>
      <c r="CD388" s="81"/>
      <c r="CE388" s="85" t="s">
        <v>3804</v>
      </c>
      <c r="CF388" s="81"/>
      <c r="CN388" s="26"/>
    </row>
    <row r="389" spans="1:92" ht="15" customHeight="1" thickBot="1" x14ac:dyDescent="0.3">
      <c r="A389" s="2"/>
      <c r="B389" s="25" t="s">
        <v>4228</v>
      </c>
      <c r="C389" s="83"/>
      <c r="D389" s="2135" t="str">
        <f>IF(Conseq_Criteria="Hazard Distance",D388,IF(AND(Ease_of_Ignition_Feed&lt;&gt;"High",OR(D386&lt;N_Screening,AND(Location="Outdoors",D319&lt;HD_Screening_Limit))),"NA",IF(OR(AND(Location="Indoors",D386&lt;N_Low),AND(Location="Outdoors",D319&lt;HD_Severe_Impact)),Conseq_Low,IF(D386&lt;N_Moderate,Conseq_Moderate,IF(D386&lt;N_High,Conseq_High,IF(D386&lt;N_VeryHigh,Conseq_VeryHigh,Conseq_ExtremeHigh))))))</f>
        <v>NA</v>
      </c>
      <c r="E389" s="83"/>
      <c r="F389" s="2135" t="str">
        <f>IF(Conseq_Criteria="Hazard Distance",F388,IF(AND(Ease_of_Ignition_Feed&lt;&gt;"High",OR(F386&lt;N_Screening,AND(Location="Outdoors",F319&lt;HD_Screening_Limit))),"NA",IF(OR(AND(Location="Indoors",F386&lt;N_Low),AND(Location="Outdoors",F319&lt;HD_Severe_Impact)),Conseq_Low,IF(F386&lt;N_Moderate,Conseq_Moderate,IF(F386&lt;N_High,Conseq_High,IF(F386&lt;N_VeryHigh,Conseq_VeryHigh,Conseq_ExtremeHigh))))))</f>
        <v>NA</v>
      </c>
      <c r="G389" s="83"/>
      <c r="H389" s="2135" t="str">
        <f>IF(Conseq_Criteria="Hazard Distance",H388,IF(AND(Ease_of_Ignition_Feed&lt;&gt;"High",OR(H386&lt;N_Screening,AND(Location="Outdoors",H319&lt;HD_Screening_Limit))),"NA",IF(OR(AND(Location="Indoors",H386&lt;N_Low),AND(Location="Outdoors",H319&lt;HD_Severe_Impact)),Conseq_Low,IF(H386&lt;N_Moderate,Conseq_Moderate,IF(H386&lt;N_High,Conseq_High,IF(H386&lt;N_VeryHigh,Conseq_VeryHigh,Conseq_ExtremeHigh))))))</f>
        <v>NA</v>
      </c>
      <c r="I389" s="83"/>
      <c r="J389" s="2135" t="str">
        <f>IF(Conseq_Criteria="Hazard Distance",J388,IF(AND(Ease_of_Ignition_Feed&lt;&gt;"High",OR(J386&lt;N_Screening,AND(Location="Outdoors",J319&lt;HD_Screening_Limit))),"NA",IF(OR(AND(Location="Indoors",J386&lt;N_Low),AND(Location="Outdoors",J319&lt;HD_Severe_Impact)),Conseq_Low,IF(J386&lt;N_Moderate,Conseq_Moderate,IF(J386&lt;N_High,Conseq_High,IF(J386&lt;N_VeryHigh,Conseq_VeryHigh,Conseq_ExtremeHigh))))))</f>
        <v>NA</v>
      </c>
      <c r="K389" s="83"/>
      <c r="L389" s="2135" t="str">
        <f>IF(Conseq_Criteria="Hazard Distance",L388,IF(AND(Ease_of_Ignition_Feed&lt;&gt;"High",OR(L386&lt;N_Screening,AND(Location="Outdoors",L319&lt;HD_Screening_Limit))),"NA",IF(OR(AND(Location="Indoors",L386&lt;N_Low),AND(Location="Outdoors",L319&lt;HD_Severe_Impact)),Conseq_Low,IF(L386&lt;N_Moderate,Conseq_Moderate,IF(L386&lt;N_High,Conseq_High,IF(L386&lt;N_VeryHigh,Conseq_VeryHigh,Conseq_ExtremeHigh))))))</f>
        <v>NA</v>
      </c>
      <c r="M389" s="83"/>
      <c r="N389" s="2135" t="str">
        <f>IF(Conseq_Criteria="Hazard Distance",N388,IF(AND(Ease_of_Ignition_Feed&lt;&gt;"High",OR(N386&lt;N_Screening,AND(Location="Outdoors",N319&lt;HD_Screening_Limit))),"NA",IF(OR(AND(Location="Indoors",N386&lt;N_Low),AND(Location="Outdoors",N319&lt;HD_Severe_Impact)),Conseq_Low,IF(N386&lt;N_Moderate,Conseq_Moderate,IF(N386&lt;N_High,Conseq_High,IF(N386&lt;N_VeryHigh,Conseq_VeryHigh,Conseq_ExtremeHigh))))))</f>
        <v>NA</v>
      </c>
      <c r="O389" s="83"/>
      <c r="P389" s="2135" t="str">
        <f>IF(Conseq_Criteria="Hazard Distance",P388,IF(AND(Ease_of_Ignition_Feed&lt;&gt;"High",OR(P386&lt;N_Screening,AND(Location="Outdoors",P319&lt;HD_Screening_Limit))),"NA",IF(OR(AND(Location="Indoors",P386&lt;N_Low),AND(Location="Outdoors",P319&lt;HD_Severe_Impact)),Conseq_Low,IF(P386&lt;N_Moderate,Conseq_Moderate,IF(P386&lt;N_High,Conseq_High,IF(P386&lt;N_VeryHigh,Conseq_VeryHigh,Conseq_ExtremeHigh))))))</f>
        <v>NA</v>
      </c>
      <c r="Q389" s="83"/>
      <c r="R389" s="2135" t="str">
        <f>IF(Conseq_Criteria="Hazard Distance",R388,IF(AND(Ease_of_Ignition_Feed&lt;&gt;"High",OR(R386&lt;N_Screening,AND(Location="Outdoors",R319&lt;HD_Screening_Limit))),"NA",IF(OR(AND(Location="Indoors",R386&lt;N_Low),AND(Location="Outdoors",R319&lt;HD_Severe_Impact)),Conseq_Low,IF(R386&lt;N_Moderate,Conseq_Moderate,IF(R386&lt;N_High,Conseq_High,IF(R386&lt;N_VeryHigh,Conseq_VeryHigh,Conseq_ExtremeHigh))))))</f>
        <v>NA</v>
      </c>
      <c r="S389" s="83"/>
      <c r="T389" s="2135" t="str">
        <f>IF(Conseq_Criteria="Hazard Distance",T388,IF(AND(Ease_of_Ignition_Feed&lt;&gt;"High",OR(T386&lt;N_Screening,AND(Location="Outdoors",T319&lt;HD_Screening_Limit))),"NA",IF(OR(AND(Location="Indoors",T386&lt;N_Low),AND(Location="Outdoors",T319&lt;HD_Severe_Impact)),Conseq_Low,IF(T386&lt;N_Moderate,Conseq_Moderate,IF(T386&lt;N_High,Conseq_High,IF(T386&lt;N_VeryHigh,Conseq_VeryHigh,Conseq_ExtremeHigh))))))</f>
        <v>NA</v>
      </c>
      <c r="U389" s="83"/>
      <c r="V389" s="2135" t="str">
        <f>IF(Conseq_Criteria="Hazard Distance",V388,IF(AND(Ease_of_Ignition_Feed&lt;&gt;"High",OR(V386&lt;N_Screening,AND(Location="Outdoors",V319&lt;HD_Screening_Limit))),"NA",IF(OR(AND(Location="Indoors",V386&lt;N_Low),AND(Location="Outdoors",V319&lt;HD_Severe_Impact)),Conseq_Low,IF(V386&lt;N_Moderate,Conseq_Moderate,IF(V386&lt;N_High,Conseq_High,IF(V386&lt;N_VeryHigh,Conseq_VeryHigh,Conseq_ExtremeHigh))))))</f>
        <v>NA</v>
      </c>
      <c r="W389" s="83"/>
      <c r="X389" s="2135" t="str">
        <f>IF(Conseq_Criteria="Hazard Distance",X388,IF(AND(Ease_of_Ignition_Feed&lt;&gt;"High",OR(X386&lt;N_Screening,AND(Location="Outdoors",X319&lt;HD_Screening_Limit))),"NA",IF(OR(AND(Location="Indoors",X386&lt;N_Low),AND(Location="Outdoors",X319&lt;HD_Severe_Impact)),Conseq_Low,IF(X386&lt;N_Moderate,Conseq_Moderate,IF(X386&lt;N_High,Conseq_High,IF(X386&lt;N_VeryHigh,Conseq_VeryHigh,Conseq_ExtremeHigh))))))</f>
        <v>NA</v>
      </c>
      <c r="Y389" s="83"/>
      <c r="Z389" s="104"/>
      <c r="AA389" s="83"/>
      <c r="AB389" s="81"/>
      <c r="AC389" s="23" t="s">
        <v>2931</v>
      </c>
      <c r="AD389" s="81"/>
      <c r="AE389" s="1820">
        <f>IF(OR(AE$287=0,AE311=0),0,MIN(1,EXP(AE$287+AE$288/AE311^(2*AE$141))))</f>
        <v>0</v>
      </c>
      <c r="AF389" s="81"/>
      <c r="AG389" s="1820">
        <f>IF(OR(AG$287=0,AG311=0),0,MIN(1,EXP(AG$287+AG$288/AG311^(2*AG$141))))</f>
        <v>0</v>
      </c>
      <c r="AH389" s="81"/>
      <c r="AI389" s="1820">
        <f>IF(OR(AI$287=0,AI311=0),0,MIN(1,EXP(AI$287+AI$288/AI311^(2*AI$141))))</f>
        <v>0</v>
      </c>
      <c r="AJ389" s="81"/>
      <c r="AK389" s="1820">
        <f>IF(OR(AK$287=0,AK311=0),0,MIN(1,EXP(AK$287+AK$288/AK311^(2*AK$141))))</f>
        <v>0</v>
      </c>
      <c r="AL389" s="81"/>
      <c r="AM389" s="1820">
        <f>IF(OR(AM$287=0,AM311=0),0,MIN(1,EXP(AM$287+AM$288/AM311^(2*AM$141))))</f>
        <v>0</v>
      </c>
      <c r="AN389" s="81"/>
      <c r="AO389" s="1820">
        <f>IF(OR(AO$287=0,AO311=0),0,MIN(1,EXP(AO$287+AO$288/AO311^(2*AO$141))))</f>
        <v>0</v>
      </c>
      <c r="AP389" s="81"/>
      <c r="AQ389" s="23"/>
      <c r="AR389" s="81"/>
      <c r="AS389" s="83"/>
      <c r="AT389" s="23" t="s">
        <v>2009</v>
      </c>
      <c r="AU389" s="83"/>
      <c r="AV389" s="1820">
        <f>AV388*Occupants_atRisk</f>
        <v>0</v>
      </c>
      <c r="AW389" s="83"/>
      <c r="AX389" s="1820">
        <f>AX388*Occupants_atRisk</f>
        <v>0</v>
      </c>
      <c r="AY389" s="83"/>
      <c r="AZ389" s="1820">
        <f>AZ388*Occupants_atRisk</f>
        <v>0</v>
      </c>
      <c r="BA389" s="83"/>
      <c r="BB389" s="1820">
        <f>BB388*Occupants_atRisk</f>
        <v>0</v>
      </c>
      <c r="BC389" s="83"/>
      <c r="BD389" s="1820">
        <f>BD388*Occupants_atRisk</f>
        <v>0</v>
      </c>
      <c r="BE389" s="83"/>
      <c r="BF389" s="1820">
        <f>BF388*Occupants_atRisk</f>
        <v>0</v>
      </c>
      <c r="BG389" s="83"/>
      <c r="BH389" s="1820">
        <f>BH388*Occupants_atRisk</f>
        <v>0</v>
      </c>
      <c r="BI389" s="83"/>
      <c r="BJ389" s="1820">
        <f>BJ388*Occupants_atRisk</f>
        <v>0</v>
      </c>
      <c r="BK389" s="83"/>
      <c r="BL389" s="1820">
        <f>BL388*Occupants_atRisk</f>
        <v>0</v>
      </c>
      <c r="BM389" s="83"/>
      <c r="BN389" s="1820">
        <f>BN388*Occupants_atRisk</f>
        <v>0</v>
      </c>
      <c r="BO389" s="83"/>
      <c r="BP389" s="23"/>
      <c r="BQ389" s="83"/>
      <c r="BR389" s="81"/>
      <c r="BS389" s="23" t="s">
        <v>3638</v>
      </c>
      <c r="BT389" s="81"/>
      <c r="BU389" s="1206">
        <f>IF(OR(BU$279=0,BU$273=""),0,IF(Zone_1&lt;Public,IF(BU208="Instantaneous",Dispersion_R,Dispersion_M)*BU$273^(2*IF(BU208="Instantaneous",BU$206,BU$180))*BU$291^2*(0-EXP(BU$278+BU$279*MAX(BU385,Public)^2/(BU$273^(2*IF(BU208="Instantaneous",BU$206,BU$180))*BU$291^2)))/BU$279,IF(BU208="Instantaneous",Dispersion_R,Dispersion_M)*BU$273^(2*IF(BU208="Instantaneous",BU$206,BU$180))*BU$291^2*(0-EXP(BU$278+BU$279*MAX(BU385,Zone_1)^2/(BU$273^(2*IF(BU208="Instantaneous",BU$206,BU$180))*BU$291^2)))/BU$279))</f>
        <v>0</v>
      </c>
      <c r="BV389" s="81"/>
      <c r="BW389" s="1206">
        <f>IF(OR(BW$279=0,BW$273=""),0,IF(Zone_1&lt;Public,IF(BW208="Instantaneous",Dispersion_R,Dispersion_M)*BW$273^(2*IF(BW208="Instantaneous",BW$206,BW$180))*BW$291^2*(0-EXP(BW$278+BW$279*MAX(BW385,Public)^2/(BW$273^(2*IF(BW208="Instantaneous",BW$206,BW$180))*BW$291^2)))/BW$279,IF(BW208="Instantaneous",Dispersion_R,Dispersion_M)*BW$273^(2*IF(BW208="Instantaneous",BW$206,BW$180))*BW$291^2*(0-EXP(BW$278+BW$279*MAX(BW385,Zone_1)^2/(BW$273^(2*IF(BW208="Instantaneous",BW$206,BW$180))*BW$291^2)))/BW$279))</f>
        <v>0</v>
      </c>
      <c r="BX389" s="81"/>
      <c r="BY389" s="1206">
        <f>IF(OR(BY$279=0,BY$273=""),0,IF(Zone_1&lt;Public,IF(BY208="Instantaneous",Dispersion_R,Dispersion_M)*BY$273^(2*IF(BY208="Instantaneous",BY$206,BY$180))*BY$291^2*(0-EXP(BY$278+BY$279*MAX(BY385,Public)^2/(BY$273^(2*IF(BY208="Instantaneous",BY$206,BY$180))*BY$291^2)))/BY$279,IF(BY208="Instantaneous",Dispersion_R,Dispersion_M)*BY$273^(2*IF(BY208="Instantaneous",BY$206,BY$180))*BY$291^2*(0-EXP(BY$278+BY$279*MAX(BY385,Zone_1)^2/(BY$273^(2*IF(BY208="Instantaneous",BY$206,BY$180))*BY$291^2)))/BY$279))</f>
        <v>0</v>
      </c>
      <c r="BZ389" s="81"/>
      <c r="CA389" s="1206">
        <f>IF(OR(CA$279=0,CA$273=""),0,IF(Zone_1&lt;Public,IF(CA208="Instantaneous",Dispersion_R,Dispersion_M)*CA$273^(2*IF(CA208="Instantaneous",CA$206,CA$180))*CA$291^2*(0-EXP(CA$278+CA$279*MAX(CA385,Public)^2/(CA$273^(2*IF(CA208="Instantaneous",CA$206,CA$180))*CA$291^2)))/CA$279,IF(CA208="Instantaneous",Dispersion_R,Dispersion_M)*CA$273^(2*IF(CA208="Instantaneous",CA$206,CA$180))*CA$291^2*(0-EXP(CA$278+CA$279*MAX(CA385,Zone_1)^2/(CA$273^(2*IF(CA208="Instantaneous",CA$206,CA$180))*CA$291^2)))/CA$279))</f>
        <v>0</v>
      </c>
      <c r="CB389" s="81"/>
      <c r="CC389" s="1206">
        <f>IF(OR(CC$279=0,CC$273=""),0,IF(Zone_1&lt;Public,IF(CC208="Instantaneous",Dispersion_R,Dispersion_M)*CC$273^(2*IF(CC208="Instantaneous",CC$206,CC$180))*CC$291^2*(0-EXP(CC$278+CC$279*MAX(CC385,Public)^2/(CC$273^(2*IF(CC208="Instantaneous",CC$206,CC$180))*CC$291^2)))/CC$279,IF(CC208="Instantaneous",Dispersion_R,Dispersion_M)*CC$273^(2*IF(CC208="Instantaneous",CC$206,CC$180))*CC$291^2*(0-EXP(CC$278+CC$279*MAX(CC385,Zone_1)^2/(CC$273^(2*IF(CC208="Instantaneous",CC$206,CC$180))*CC$291^2)))/CC$279))</f>
        <v>0</v>
      </c>
      <c r="CD389" s="81"/>
      <c r="CE389" s="85" t="s">
        <v>3804</v>
      </c>
      <c r="CF389" s="81"/>
      <c r="CN389" s="26"/>
    </row>
    <row r="390" spans="1:92" ht="15" customHeight="1" x14ac:dyDescent="0.25">
      <c r="A390" s="2"/>
      <c r="B390" s="23" t="s">
        <v>2008</v>
      </c>
      <c r="C390" s="83"/>
      <c r="D390" s="1182">
        <f>IF(D317&lt;&gt;"Yes",0,EXP(-Bldg_Type_Coefficient*(Bldg_Type_Correction/D313)^Bldg_Type_Exponent))</f>
        <v>0</v>
      </c>
      <c r="E390" s="83"/>
      <c r="F390" s="1182">
        <f>IF(F317&lt;&gt;"Yes",0,EXP(-Bldg_Type_Coefficient*(Bldg_Type_Correction/F313)^Bldg_Type_Exponent))</f>
        <v>0</v>
      </c>
      <c r="G390" s="83"/>
      <c r="H390" s="1182">
        <f>IF(H317&lt;&gt;"Yes",0,EXP(-Bldg_Type_Coefficient*(Bldg_Type_Correction/H313)^Bldg_Type_Exponent))</f>
        <v>0</v>
      </c>
      <c r="I390" s="83"/>
      <c r="J390" s="1182">
        <f>IF(J317&lt;&gt;"Yes",0,EXP(-Bldg_Type_Coefficient*(Bldg_Type_Correction/J313)^Bldg_Type_Exponent))</f>
        <v>0</v>
      </c>
      <c r="K390" s="83"/>
      <c r="L390" s="1182">
        <f>IF(L317&lt;&gt;"Yes",0,EXP(-Bldg_Type_Coefficient*(Bldg_Type_Correction/L313)^Bldg_Type_Exponent))</f>
        <v>0</v>
      </c>
      <c r="M390" s="83"/>
      <c r="N390" s="1182">
        <f>IF(N317&lt;&gt;"Yes",0,EXP(-Bldg_Type_Coefficient*(Bldg_Type_Correction/N313)^Bldg_Type_Exponent))</f>
        <v>0</v>
      </c>
      <c r="O390" s="83"/>
      <c r="P390" s="1182">
        <f>IF(P317&lt;&gt;"Yes",0,EXP(-Bldg_Type_Coefficient*(Bldg_Type_Correction/P313)^Bldg_Type_Exponent))</f>
        <v>0</v>
      </c>
      <c r="Q390" s="83"/>
      <c r="R390" s="1182">
        <f>IF(R317&lt;&gt;"Yes",0,EXP(-Bldg_Type_Coefficient*(Bldg_Type_Correction/R313)^Bldg_Type_Exponent))</f>
        <v>0</v>
      </c>
      <c r="S390" s="83"/>
      <c r="T390" s="1182">
        <f>IF(T317&lt;&gt;"Yes",0,EXP(-Bldg_Type_Coefficient*(Bldg_Type_Correction/T313)^Bldg_Type_Exponent))</f>
        <v>0</v>
      </c>
      <c r="U390" s="83"/>
      <c r="V390" s="1182">
        <f>IF(V317&lt;&gt;"Yes",0,EXP(-Bldg_Type_Coefficient*(Bldg_Type_Correction/V313)^Bldg_Type_Exponent))</f>
        <v>0</v>
      </c>
      <c r="W390" s="83"/>
      <c r="X390" s="1182">
        <f>IF(X317&lt;&gt;"Yes",0,EXP(-Bldg_Type_Coefficient*(Bldg_Type_Correction/X313)^Bldg_Type_Exponent))</f>
        <v>0</v>
      </c>
      <c r="Y390" s="83"/>
      <c r="Z390" s="84"/>
      <c r="AA390" s="83"/>
      <c r="AB390" s="81"/>
      <c r="AC390" s="23" t="s">
        <v>3162</v>
      </c>
      <c r="AD390" s="81"/>
      <c r="AE390" s="1820">
        <f>IF(Occ_Bldg2_Direction="Yes",Occupants_atRisk*AE388+Occupants_atRisk2*AE389,MAX(Occupants_atRisk*AE388,Occupants_atRisk2*AE389))+AE379</f>
        <v>6.0000000000000008E-7</v>
      </c>
      <c r="AF390" s="81"/>
      <c r="AG390" s="1820">
        <f>IF(Occ_Bldg2_Direction="Yes",Occupants_atRisk*AG388+Occupants_atRisk2*AG389,MAX(Occupants_atRisk*AG388,Occupants_atRisk2*AG389))+AG379</f>
        <v>6.0000000000000008E-7</v>
      </c>
      <c r="AH390" s="81"/>
      <c r="AI390" s="1820">
        <f>IF(Occ_Bldg2_Direction="Yes",Occupants_atRisk*AI388+Occupants_atRisk2*AI389,MAX(Occupants_atRisk*AI388,Occupants_atRisk2*AI389))+AI379</f>
        <v>6.0000000000000008E-7</v>
      </c>
      <c r="AJ390" s="81"/>
      <c r="AK390" s="1820">
        <f>IF(Occ_Bldg2_Direction="Yes",Occupants_atRisk*AK388+Occupants_atRisk2*AK389,MAX(Occupants_atRisk*AK388,Occupants_atRisk2*AK389))+AK379</f>
        <v>6.0000000000000008E-7</v>
      </c>
      <c r="AL390" s="81"/>
      <c r="AM390" s="1820">
        <f>IF(Occ_Bldg2_Direction="Yes",Occupants_atRisk*AM388+Occupants_atRisk2*AM389,MAX(Occupants_atRisk*AM388,Occupants_atRisk2*AM389))+AM379</f>
        <v>6.0000000000000008E-7</v>
      </c>
      <c r="AN390" s="81"/>
      <c r="AO390" s="1820">
        <f>IF(Occ_Bldg2_Direction="Yes",Occupants_atRisk*AO388+Occupants_atRisk2*AO389,MAX(Occupants_atRisk*AO388,Occupants_atRisk2*AO389))+AO379</f>
        <v>6.0000000000000008E-7</v>
      </c>
      <c r="AP390" s="81"/>
      <c r="AQ390" s="23"/>
      <c r="AR390" s="81"/>
      <c r="AS390" s="83"/>
      <c r="AT390" s="23" t="s">
        <v>630</v>
      </c>
      <c r="AU390" s="83"/>
      <c r="AV390" s="3014">
        <f>IF(OR(Occ_Bldg2=0,AV315&lt;&gt;"Yes"),0,EXP(-Bldg2_Type_Coefficient*(Bldg2_Type_Correction/AV313)^Bldg2_Type_Exponent))</f>
        <v>0</v>
      </c>
      <c r="AW390" s="83"/>
      <c r="AX390" s="3014">
        <f>IF(OR(Occ_Bldg2=0,AX315&lt;&gt;"Yes"),0,EXP(-Bldg2_Type_Coefficient*(Bldg2_Type_Correction/AX313)^Bldg2_Type_Exponent))</f>
        <v>0</v>
      </c>
      <c r="AY390" s="83"/>
      <c r="AZ390" s="3014">
        <f>IF(OR(Occ_Bldg2=0,AZ315&lt;&gt;"Yes"),0,EXP(-Bldg2_Type_Coefficient*(Bldg2_Type_Correction/AZ313)^Bldg2_Type_Exponent))</f>
        <v>0</v>
      </c>
      <c r="BA390" s="83"/>
      <c r="BB390" s="3014">
        <f>IF(OR(Occ_Bldg2=0,BB315&lt;&gt;"Yes"),0,EXP(-Bldg2_Type_Coefficient*(Bldg2_Type_Correction/BB313)^Bldg2_Type_Exponent))</f>
        <v>0</v>
      </c>
      <c r="BC390" s="83"/>
      <c r="BD390" s="3014">
        <f>IF(OR(Occ_Bldg2=0,BD315&lt;&gt;"Yes"),0,EXP(-Bldg2_Type_Coefficient*(Bldg2_Type_Correction/BD313)^Bldg2_Type_Exponent))</f>
        <v>0</v>
      </c>
      <c r="BE390" s="83"/>
      <c r="BF390" s="3014">
        <f>IF(OR(Occ_Bldg2=0,BF315&lt;&gt;"Yes"),0,EXP(-Bldg2_Type_Coefficient*(Bldg2_Type_Correction/BF313)^Bldg2_Type_Exponent))</f>
        <v>0</v>
      </c>
      <c r="BG390" s="83"/>
      <c r="BH390" s="3014">
        <f>IF(OR(Occ_Bldg2=0,BH315&lt;&gt;"Yes"),0,EXP(-Bldg2_Type_Coefficient*(Bldg2_Type_Correction/BH313)^Bldg2_Type_Exponent))</f>
        <v>0</v>
      </c>
      <c r="BI390" s="83"/>
      <c r="BJ390" s="3014">
        <f>IF(OR(Occ_Bldg2=0,BJ315&lt;&gt;"Yes"),0,EXP(-Bldg2_Type_Coefficient*(Bldg2_Type_Correction/BJ313)^Bldg2_Type_Exponent))</f>
        <v>0</v>
      </c>
      <c r="BK390" s="83"/>
      <c r="BL390" s="3014">
        <f>IF(OR(Occ_Bldg2=0,BL315&lt;&gt;"Yes"),0,EXP(-Bldg2_Type_Coefficient*(Bldg2_Type_Correction/BL313)^Bldg2_Type_Exponent))</f>
        <v>0</v>
      </c>
      <c r="BM390" s="83"/>
      <c r="BN390" s="3014">
        <f>IF(OR(Occ_Bldg2=0,BN315&lt;&gt;"Yes"),0,EXP(-Bldg2_Type_Coefficient*(Bldg2_Type_Correction/BN313)^Bldg2_Type_Exponent))</f>
        <v>0</v>
      </c>
      <c r="BO390" s="83"/>
      <c r="BP390" s="23"/>
      <c r="BQ390" s="83"/>
      <c r="BR390" s="81"/>
      <c r="BS390" s="23" t="s">
        <v>3639</v>
      </c>
      <c r="BT390" s="81"/>
      <c r="BU390" s="1861" t="e">
        <f>Outdoor_Fract_Night*((BU381+BU382)*IF(Offsite_PD1="",Offsite_PD,1000000*Offsite_PD1)+(BU383+BU384)*IF(Offsite_PD2="",Offsite_PD,1000000*Offsite_PD2))/1000000+(1-Outdoor_Fract_Night)*((BU386+BU387)*IF(Offsite_PD1="",Offsite_PD,1000000*Offsite_PD1)+(BU388+BU389)*IF(Offsite_PD2="",Offsite_PD,1000000*Offsite_PD2))/1000000</f>
        <v>#DIV/0!</v>
      </c>
      <c r="BV390" s="81"/>
      <c r="BW390" s="1861" t="e">
        <f>Outdoor_Fract_Night*((BW381+BW382)*IF(Offsite_PD1="",Offsite_PD,1000000*Offsite_PD1)+(BW383+BW384)*IF(Offsite_PD2="",Offsite_PD,1000000*Offsite_PD2))/1000000+(1-Outdoor_Fract_Night)*((BW386+BW387)*IF(Offsite_PD1="",Offsite_PD,1000000*Offsite_PD1)+(BW388+BW389)*IF(Offsite_PD2="",Offsite_PD,1000000*Offsite_PD2))/1000000</f>
        <v>#DIV/0!</v>
      </c>
      <c r="BX390" s="81"/>
      <c r="BY390" s="1861" t="e">
        <f>Outdoor_Fract_Night*((BY381+BY382)*IF(Offsite_PD1="",Offsite_PD,1000000*Offsite_PD1)+(BY383+BY384)*IF(Offsite_PD2="",Offsite_PD,1000000*Offsite_PD2))/1000000+(1-Outdoor_Fract_Night)*((BY386+BY387)*IF(Offsite_PD1="",Offsite_PD,1000000*Offsite_PD1)+(BY388+BY389)*IF(Offsite_PD2="",Offsite_PD,1000000*Offsite_PD2))/1000000</f>
        <v>#DIV/0!</v>
      </c>
      <c r="BZ390" s="81"/>
      <c r="CA390" s="1861" t="e">
        <f>Outdoor_Fract_Night*((CA381+CA382)*IF(Offsite_PD1="",Offsite_PD,1000000*Offsite_PD1)+(CA383+CA384)*IF(Offsite_PD2="",Offsite_PD,1000000*Offsite_PD2))/1000000+(1-Outdoor_Fract_Night)*((CA386+CA387)*IF(Offsite_PD1="",Offsite_PD,1000000*Offsite_PD1)+(CA388+CA389)*IF(Offsite_PD2="",Offsite_PD,1000000*Offsite_PD2))/1000000</f>
        <v>#DIV/0!</v>
      </c>
      <c r="CB390" s="81"/>
      <c r="CC390" s="1861" t="e">
        <f>Outdoor_Fract_Night*((CC381+CC382)*IF(Offsite_PD1="",Offsite_PD,1000000*Offsite_PD1)+(CC383+CC384)*IF(Offsite_PD2="",Offsite_PD,1000000*Offsite_PD2))/1000000+(1-Outdoor_Fract_Night)*((CC386+CC387)*IF(Offsite_PD1="",Offsite_PD,1000000*Offsite_PD1)+(CC388+CC389)*IF(Offsite_PD2="",Offsite_PD,1000000*Offsite_PD2))/1000000</f>
        <v>#DIV/0!</v>
      </c>
      <c r="CD390" s="81"/>
      <c r="CE390" s="23"/>
      <c r="CF390" s="81"/>
      <c r="CN390" s="26"/>
    </row>
    <row r="391" spans="1:92" ht="15" customHeight="1" thickBot="1" x14ac:dyDescent="0.3">
      <c r="A391" s="2"/>
      <c r="B391" s="23" t="s">
        <v>2009</v>
      </c>
      <c r="C391" s="83"/>
      <c r="D391" s="1820">
        <f>D390*Occupants_atRisk</f>
        <v>0</v>
      </c>
      <c r="E391" s="83"/>
      <c r="F391" s="1820">
        <f>F390*Occupants_atRisk</f>
        <v>0</v>
      </c>
      <c r="G391" s="83"/>
      <c r="H391" s="1820">
        <f>H390*Occupants_atRisk</f>
        <v>0</v>
      </c>
      <c r="I391" s="83"/>
      <c r="J391" s="1820">
        <f>J390*Occupants_atRisk</f>
        <v>0</v>
      </c>
      <c r="K391" s="83"/>
      <c r="L391" s="1820">
        <f>L390*Occupants_atRisk</f>
        <v>0</v>
      </c>
      <c r="M391" s="83"/>
      <c r="N391" s="1820">
        <f>N390*Occupants_atRisk</f>
        <v>0</v>
      </c>
      <c r="O391" s="83"/>
      <c r="P391" s="1820">
        <f>P390*Occupants_atRisk</f>
        <v>0</v>
      </c>
      <c r="Q391" s="83"/>
      <c r="R391" s="1820">
        <f>R390*Occupants_atRisk</f>
        <v>0</v>
      </c>
      <c r="S391" s="83"/>
      <c r="T391" s="1820">
        <f>T390*Occupants_atRisk</f>
        <v>0</v>
      </c>
      <c r="U391" s="83"/>
      <c r="V391" s="1820">
        <f>V390*Occupants_atRisk</f>
        <v>0</v>
      </c>
      <c r="W391" s="83"/>
      <c r="X391" s="1820">
        <f>X390*Occupants_atRisk</f>
        <v>0</v>
      </c>
      <c r="Y391" s="83"/>
      <c r="Z391" s="23"/>
      <c r="AA391" s="83"/>
      <c r="AB391" s="81"/>
      <c r="AC391" s="849" t="s">
        <v>4791</v>
      </c>
      <c r="AD391" s="81"/>
      <c r="AE391" s="1286" t="str">
        <f>IF(OR(AND(Regulatory_Tox&lt;&gt;"Yes",ER3_Min&gt;Toxic_Limit),AE268="",AND(AE310&lt;=IF(AE256&lt;&gt;"",AE256,1000000),AE311&lt;=IF(AE256&lt;&gt;"",AE256,1000000))),"NA",IF(MAX(AE310,AE311)/AE268&lt;HD_VeryLow_Infiltration,Conseq_VeryLow,IF(MAX(AE310,AE311)/AE268&lt;HD_Low_Infiltration,Conseq_Low,IF(MAX(AE310,AE311)/AE268&lt;HD_Moderate_Infiltration,Conseq_Moderate,IF(MAX(AE310,AE311)/AE268&lt;HD_High_Infiltration,Conseq_High,IF(MAX(AE310,AE311)/AE268&lt;HD_VeryHigh_Infiltration,Conseq_VeryHigh,Conseq_ExtremeHigh))))))</f>
        <v>NA</v>
      </c>
      <c r="AF391" s="81"/>
      <c r="AG391" s="1286" t="str">
        <f>IF(OR(AND(Regulatory_Tox&lt;&gt;"Yes",ER3_Min&gt;Toxic_Limit),AG268="",AND(AG310&lt;=IF(AG256&lt;&gt;"",AG256,1000000),AG311&lt;=IF(AG256&lt;&gt;"",AG256,1000000))),"NA",IF(MAX(AG310,AG311)/AG268&lt;HD_VeryLow_Infiltration,Conseq_VeryLow,IF(MAX(AG310,AG311)/AG268&lt;HD_Low_Infiltration,Conseq_Low,IF(MAX(AG310,AG311)/AG268&lt;HD_Moderate_Infiltration,Conseq_Moderate,IF(MAX(AG310,AG311)/AG268&lt;HD_High_Infiltration,Conseq_High,IF(MAX(AG310,AG311)/AG268&lt;HD_VeryHigh_Infiltration,Conseq_VeryHigh,Conseq_ExtremeHigh))))))</f>
        <v>NA</v>
      </c>
      <c r="AH391" s="81"/>
      <c r="AI391" s="1286" t="str">
        <f>IF(OR(AND(Regulatory_Tox&lt;&gt;"Yes",ER3_Min&gt;Toxic_Limit),AI268="",AND(AI310&lt;=IF(AI256&lt;&gt;"",AI256,1000000),AI311&lt;=IF(AI256&lt;&gt;"",AI256,1000000))),"NA",IF(MAX(AI310,AI311)/AI268&lt;HD_VeryLow_Infiltration,Conseq_VeryLow,IF(MAX(AI310,AI311)/AI268&lt;HD_Low_Infiltration,Conseq_Low,IF(MAX(AI310,AI311)/AI268&lt;HD_Moderate_Infiltration,Conseq_Moderate,IF(MAX(AI310,AI311)/AI268&lt;HD_High_Infiltration,Conseq_High,IF(MAX(AI310,AI311)/AI268&lt;HD_VeryHigh_Infiltration,Conseq_VeryHigh,Conseq_ExtremeHigh))))))</f>
        <v>NA</v>
      </c>
      <c r="AJ391" s="81"/>
      <c r="AK391" s="1286" t="str">
        <f>IF(OR(AND(Regulatory_Tox&lt;&gt;"Yes",ER3_Min&gt;Toxic_Limit),AK268="",AND(AK310&lt;=IF(AK256&lt;&gt;"",AK256,1000000),AK311&lt;=IF(AK256&lt;&gt;"",AK256,1000000))),"NA",IF(MAX(AK310,AK311)/AK268&lt;HD_VeryLow_Infiltration,Conseq_VeryLow,IF(MAX(AK310,AK311)/AK268&lt;HD_Low_Infiltration,Conseq_Low,IF(MAX(AK310,AK311)/AK268&lt;HD_Moderate_Infiltration,Conseq_Moderate,IF(MAX(AK310,AK311)/AK268&lt;HD_High_Infiltration,Conseq_High,IF(MAX(AK310,AK311)/AK268&lt;HD_VeryHigh_Infiltration,Conseq_VeryHigh,Conseq_ExtremeHigh))))))</f>
        <v>NA</v>
      </c>
      <c r="AL391" s="81"/>
      <c r="AM391" s="1286" t="str">
        <f>IF(OR(AND(Regulatory_Tox&lt;&gt;"Yes",ER3_Min&gt;Toxic_Limit),AM268="",AND(AM310&lt;=IF(AM256&lt;&gt;"",AM256,1000000),AM311&lt;=IF(AM256&lt;&gt;"",AM256,1000000))),"NA",IF(MAX(AM310,AM311)/AM268&lt;HD_VeryLow_Infiltration,Conseq_VeryLow,IF(MAX(AM310,AM311)/AM268&lt;HD_Low_Infiltration,Conseq_Low,IF(MAX(AM310,AM311)/AM268&lt;HD_Moderate_Infiltration,Conseq_Moderate,IF(MAX(AM310,AM311)/AM268&lt;HD_High_Infiltration,Conseq_High,IF(MAX(AM310,AM311)/AM268&lt;HD_VeryHigh_Infiltration,Conseq_VeryHigh,Conseq_ExtremeHigh))))))</f>
        <v>NA</v>
      </c>
      <c r="AN391" s="81"/>
      <c r="AO391" s="1286" t="str">
        <f>IF(OR(AND(Regulatory_Tox&lt;&gt;"Yes",ER3_Min&gt;Toxic_Limit),AO268="",AND(AO310&lt;=IF(AO256&lt;&gt;"",AO256,1000000),AO311&lt;=IF(AO256&lt;&gt;"",AO256,1000000))),"NA",IF(MAX(AO310,AO311)/AO268&lt;HD_VeryLow_Infiltration,Conseq_VeryLow,IF(MAX(AO310,AO311)/AO268&lt;HD_Low_Infiltration,Conseq_Low,IF(MAX(AO310,AO311)/AO268&lt;HD_Moderate_Infiltration,Conseq_Moderate,IF(MAX(AO310,AO311)/AO268&lt;HD_High_Infiltration,Conseq_High,IF(MAX(AO310,AO311)/AO268&lt;HD_VeryHigh_Infiltration,Conseq_VeryHigh,Conseq_ExtremeHigh))))))</f>
        <v>NA</v>
      </c>
      <c r="AP391" s="81"/>
      <c r="AQ391" s="23"/>
      <c r="AR391" s="81"/>
      <c r="AS391" s="83"/>
      <c r="AT391" s="23" t="s">
        <v>629</v>
      </c>
      <c r="AU391" s="83"/>
      <c r="AV391" s="1820">
        <f>AV390*Occupants_atRisk2</f>
        <v>0</v>
      </c>
      <c r="AW391" s="83"/>
      <c r="AX391" s="1820">
        <f>AX390*Occupants_atRisk2</f>
        <v>0</v>
      </c>
      <c r="AY391" s="83"/>
      <c r="AZ391" s="1820">
        <f>AZ390*Occupants_atRisk2</f>
        <v>0</v>
      </c>
      <c r="BA391" s="83"/>
      <c r="BB391" s="1820">
        <f>BB390*Occupants_atRisk2</f>
        <v>0</v>
      </c>
      <c r="BC391" s="83"/>
      <c r="BD391" s="1820">
        <f>BD390*Occupants_atRisk2</f>
        <v>0</v>
      </c>
      <c r="BE391" s="83"/>
      <c r="BF391" s="1820">
        <f>BF390*Occupants_atRisk2</f>
        <v>0</v>
      </c>
      <c r="BG391" s="83"/>
      <c r="BH391" s="1820">
        <f>BH390*Occupants_atRisk2</f>
        <v>0</v>
      </c>
      <c r="BI391" s="83"/>
      <c r="BJ391" s="1820">
        <f>BJ390*Occupants_atRisk2</f>
        <v>0</v>
      </c>
      <c r="BK391" s="83"/>
      <c r="BL391" s="1820">
        <f>BL390*Occupants_atRisk2</f>
        <v>0</v>
      </c>
      <c r="BM391" s="83"/>
      <c r="BN391" s="1820">
        <f>BN390*Occupants_atRisk2</f>
        <v>0</v>
      </c>
      <c r="BO391" s="83"/>
      <c r="BP391" s="23"/>
      <c r="BQ391" s="83"/>
      <c r="BR391" s="81"/>
      <c r="BS391" s="23" t="s">
        <v>3533</v>
      </c>
      <c r="BT391" s="81"/>
      <c r="BU391" s="1861" t="e">
        <f>Lethality_Correction*((1-Fract_1.5_F)*BU379+Fract_1.5_F*BU390)</f>
        <v>#DIV/0!</v>
      </c>
      <c r="BV391" s="81"/>
      <c r="BW391" s="1861" t="e">
        <f>Lethality_Correction*((1-Fract_1.5_F)*BW379+Fract_1.5_F*BW390)</f>
        <v>#DIV/0!</v>
      </c>
      <c r="BX391" s="81"/>
      <c r="BY391" s="1861" t="e">
        <f>Lethality_Correction*((1-Fract_1.5_F)*BY379+Fract_1.5_F*BY390)</f>
        <v>#DIV/0!</v>
      </c>
      <c r="BZ391" s="81"/>
      <c r="CA391" s="1861" t="e">
        <f>Lethality_Correction*((1-Fract_1.5_F)*CA379+Fract_1.5_F*CA390)</f>
        <v>#DIV/0!</v>
      </c>
      <c r="CB391" s="81"/>
      <c r="CC391" s="1861" t="e">
        <f>Lethality_Correction*((1-Fract_1.5_F)*CC379+Fract_1.5_F*CC390)</f>
        <v>#DIV/0!</v>
      </c>
      <c r="CD391" s="81"/>
      <c r="CE391" s="23"/>
      <c r="CF391" s="81"/>
      <c r="CN391" s="26"/>
    </row>
    <row r="392" spans="1:92" ht="15" customHeight="1" thickBot="1" x14ac:dyDescent="0.3">
      <c r="A392" s="2"/>
      <c r="B392" s="23" t="s">
        <v>630</v>
      </c>
      <c r="C392" s="83"/>
      <c r="D392" s="3014">
        <f>IF(OR(Occ_Bldg2=0,D317&lt;&gt;"Yes"),0,EXP(-Bldg2_Type_Coefficient*(Bldg2_Type_Correction/D315)^Bldg2_Type_Exponent))</f>
        <v>0</v>
      </c>
      <c r="E392" s="83"/>
      <c r="F392" s="3014">
        <f>IF(OR(Occ_Bldg2=0,F317&lt;&gt;"Yes"),0,EXP(-Bldg2_Type_Coefficient*(Bldg2_Type_Correction/F315)^Bldg2_Type_Exponent))</f>
        <v>0</v>
      </c>
      <c r="G392" s="83"/>
      <c r="H392" s="3014">
        <f>IF(OR(Occ_Bldg2=0,H317&lt;&gt;"Yes"),0,EXP(-Bldg2_Type_Coefficient*(Bldg2_Type_Correction/H315)^Bldg2_Type_Exponent))</f>
        <v>0</v>
      </c>
      <c r="I392" s="83"/>
      <c r="J392" s="3014">
        <f>IF(OR(Occ_Bldg2=0,J317&lt;&gt;"Yes"),0,EXP(-Bldg2_Type_Coefficient*(Bldg2_Type_Correction/J315)^Bldg2_Type_Exponent))</f>
        <v>0</v>
      </c>
      <c r="K392" s="83"/>
      <c r="L392" s="3014">
        <f>IF(OR(Occ_Bldg2=0,L317&lt;&gt;"Yes"),0,EXP(-Bldg2_Type_Coefficient*(Bldg2_Type_Correction/L315)^Bldg2_Type_Exponent))</f>
        <v>0</v>
      </c>
      <c r="M392" s="83"/>
      <c r="N392" s="3014">
        <f>IF(OR(Occ_Bldg2=0,N317&lt;&gt;"Yes"),0,EXP(-Bldg2_Type_Coefficient*(Bldg2_Type_Correction/N315)^Bldg2_Type_Exponent))</f>
        <v>0</v>
      </c>
      <c r="O392" s="83"/>
      <c r="P392" s="3014">
        <f>IF(OR(Occ_Bldg2=0,P317&lt;&gt;"Yes"),0,EXP(-Bldg2_Type_Coefficient*(Bldg2_Type_Correction/P315)^Bldg2_Type_Exponent))</f>
        <v>0</v>
      </c>
      <c r="Q392" s="83"/>
      <c r="R392" s="3014">
        <f>IF(OR(Occ_Bldg2=0,R317&lt;&gt;"Yes"),0,EXP(-Bldg2_Type_Coefficient*(Bldg2_Type_Correction/R315)^Bldg2_Type_Exponent))</f>
        <v>0</v>
      </c>
      <c r="S392" s="83"/>
      <c r="T392" s="3014">
        <f>IF(OR(Occ_Bldg2=0,T317&lt;&gt;"Yes"),0,EXP(-Bldg2_Type_Coefficient*(Bldg2_Type_Correction/T315)^Bldg2_Type_Exponent))</f>
        <v>0</v>
      </c>
      <c r="U392" s="83"/>
      <c r="V392" s="3014">
        <f>IF(OR(Occ_Bldg2=0,V317&lt;&gt;"Yes"),0,EXP(-Bldg2_Type_Coefficient*(Bldg2_Type_Correction/V315)^Bldg2_Type_Exponent))</f>
        <v>0</v>
      </c>
      <c r="W392" s="83"/>
      <c r="X392" s="3014">
        <f>IF(OR(Occ_Bldg2=0,X317&lt;&gt;"Yes"),0,EXP(-Bldg2_Type_Coefficient*(Bldg2_Type_Correction/X315)^Bldg2_Type_Exponent))</f>
        <v>0</v>
      </c>
      <c r="Y392" s="83"/>
      <c r="Z392" s="23"/>
      <c r="AA392" s="83"/>
      <c r="AB392" s="81"/>
      <c r="AC392" s="849" t="s">
        <v>4226</v>
      </c>
      <c r="AD392" s="81"/>
      <c r="AE392" s="2135" t="str">
        <f>IF(Conseq_Criteria="Hazard Distance",AE391,IF(OR(AND(Regulatory_Tox&lt;&gt;"Yes",ER3_Min&gt;Toxic_Limit),AND(AE308&lt;=IF(AE256&lt;&gt;"",AE256,1000000),AE309&lt;=IF(AE256&lt;&gt;"",AE256,1000000))),"NA",IF(AE390&lt;N_VeryLow,Conseq_VeryLow,IF(AE390&lt;N_Low,Conseq_Low,IF(AE390&lt;N_Moderate,Conseq_Moderate,IF(AE390&lt;N_High,Conseq_High,IF(AE390&lt;N_VeryHigh,Conseq_VeryHigh,Conseq_ExtremeHigh)))))))</f>
        <v>NA</v>
      </c>
      <c r="AF392" s="81"/>
      <c r="AG392" s="2135" t="str">
        <f>IF(Conseq_Criteria="Hazard Distance",AG391,IF(OR(AND(Regulatory_Tox&lt;&gt;"Yes",ER3_Min&gt;Toxic_Limit),AND(AG308&lt;=IF(AG256&lt;&gt;"",AG256,1000000),AG309&lt;=IF(AG256&lt;&gt;"",AG256,1000000))),"NA",IF(AG390&lt;N_VeryLow,Conseq_VeryLow,IF(AG390&lt;N_Low,Conseq_Low,IF(AG390&lt;N_Moderate,Conseq_Moderate,IF(AG390&lt;N_High,Conseq_High,IF(AG390&lt;N_VeryHigh,Conseq_VeryHigh,Conseq_ExtremeHigh)))))))</f>
        <v>NA</v>
      </c>
      <c r="AH392" s="81"/>
      <c r="AI392" s="2135" t="str">
        <f>IF(Conseq_Criteria="Hazard Distance",AI391,IF(OR(AND(Regulatory_Tox&lt;&gt;"Yes",ER3_Min&gt;Toxic_Limit),AND(AI308&lt;=IF(AI256&lt;&gt;"",AI256,1000000),AI309&lt;=IF(AI256&lt;&gt;"",AI256,1000000))),"NA",IF(AI390&lt;N_VeryLow,Conseq_VeryLow,IF(AI390&lt;N_Low,Conseq_Low,IF(AI390&lt;N_Moderate,Conseq_Moderate,IF(AI390&lt;N_High,Conseq_High,IF(AI390&lt;N_VeryHigh,Conseq_VeryHigh,Conseq_ExtremeHigh)))))))</f>
        <v>NA</v>
      </c>
      <c r="AJ392" s="81"/>
      <c r="AK392" s="2135" t="str">
        <f>IF(Conseq_Criteria="Hazard Distance",AK391,IF(OR(AND(Regulatory_Tox&lt;&gt;"Yes",ER3_Min&gt;Toxic_Limit),AND(AK308&lt;=IF(AK256&lt;&gt;"",AK256,1000000),AK309&lt;=IF(AK256&lt;&gt;"",AK256,1000000))),"NA",IF(AK390&lt;N_VeryLow,Conseq_VeryLow,IF(AK390&lt;N_Low,Conseq_Low,IF(AK390&lt;N_Moderate,Conseq_Moderate,IF(AK390&lt;N_High,Conseq_High,IF(AK390&lt;N_VeryHigh,Conseq_VeryHigh,Conseq_ExtremeHigh)))))))</f>
        <v>NA</v>
      </c>
      <c r="AL392" s="81"/>
      <c r="AM392" s="2135" t="str">
        <f>IF(Conseq_Criteria="Hazard Distance",AM391,IF(OR(AND(Regulatory_Tox&lt;&gt;"Yes",ER3_Min&gt;Toxic_Limit),AND(AM308&lt;=IF(AM256&lt;&gt;"",AM256,1000000),AM309&lt;=IF(AM256&lt;&gt;"",AM256,1000000))),"NA",IF(AM390&lt;N_VeryLow,Conseq_VeryLow,IF(AM390&lt;N_Low,Conseq_Low,IF(AM390&lt;N_Moderate,Conseq_Moderate,IF(AM390&lt;N_High,Conseq_High,IF(AM390&lt;N_VeryHigh,Conseq_VeryHigh,Conseq_ExtremeHigh)))))))</f>
        <v>NA</v>
      </c>
      <c r="AN392" s="81"/>
      <c r="AO392" s="2135" t="str">
        <f>IF(Conseq_Criteria="Hazard Distance",AO391,IF(OR(AND(Regulatory_Tox&lt;&gt;"Yes",ER3_Min&gt;Toxic_Limit),AND(AO308&lt;=IF(AO256&lt;&gt;"",AO256,1000000),AO309&lt;=IF(AO256&lt;&gt;"",AO256,1000000))),"NA",IF(AO390&lt;N_VeryLow,Conseq_VeryLow,IF(AO390&lt;N_Low,Conseq_Low,IF(AO390&lt;N_Moderate,Conseq_Moderate,IF(AO390&lt;N_High,Conseq_High,IF(AO390&lt;N_VeryHigh,Conseq_VeryHigh,Conseq_ExtremeHigh)))))))</f>
        <v>NA</v>
      </c>
      <c r="AP392" s="81"/>
      <c r="AQ392" s="104"/>
      <c r="AR392" s="81"/>
      <c r="AS392" s="83"/>
      <c r="AT392" s="851" t="s">
        <v>5215</v>
      </c>
      <c r="AU392" s="83"/>
      <c r="AV392" s="3169">
        <f>IF(AV310="No",0,3.14*Offsite_Area_Bldg_Factor*IF(Offsite_PD1="",Offsite_PD/1000000,Offsite_PD1)*AV309^2*(EXP(-Offsite_Bldg_a*Zone_1^2/AV309^2)-EXP(-Offsite_Bldg_a*Public^2/AV309^2))/(-Offsite_Bldg_a))</f>
        <v>0</v>
      </c>
      <c r="AW392" s="83"/>
      <c r="AX392" s="3169">
        <f>IF(AX310="No",0,3.14*Offsite_Area_Bldg_Factor*IF(Offsite_PD1="",Offsite_PD/1000000,Offsite_PD1)*AX309^2*(EXP(-Offsite_Bldg_a*Zone_1^2/AX309^2)-EXP(-Offsite_Bldg_a*Public^2/AX309^2))/(-Offsite_Bldg_a))</f>
        <v>0</v>
      </c>
      <c r="AY392" s="83"/>
      <c r="AZ392" s="3169">
        <f>IF(AZ310="No",0,3.14*Offsite_Area_Bldg_Factor*IF(Offsite_PD1="",Offsite_PD/1000000,Offsite_PD1)*AZ309^2*(EXP(-Offsite_Bldg_a*Zone_1^2/AZ309^2)-EXP(-Offsite_Bldg_a*Public^2/AZ309^2))/(-Offsite_Bldg_a))</f>
        <v>0</v>
      </c>
      <c r="BA392" s="83"/>
      <c r="BB392" s="3169">
        <f>IF(BB310="No",0,3.14*Offsite_Area_Bldg_Factor*IF(Offsite_PD1="",Offsite_PD/1000000,Offsite_PD1)*BB309^2*(EXP(-Offsite_Bldg_a*Zone_1^2/BB309^2)-EXP(-Offsite_Bldg_a*Public^2/BB309^2))/(-Offsite_Bldg_a))</f>
        <v>0</v>
      </c>
      <c r="BC392" s="83"/>
      <c r="BD392" s="3169">
        <f>IF(BD310="No",0,3.14*Offsite_Area_Bldg_Factor*IF(Offsite_PD1="",Offsite_PD/1000000,Offsite_PD1)*BD309^2*(EXP(-Offsite_Bldg_a*Zone_1^2/BD309^2)-EXP(-Offsite_Bldg_a*Public^2/BD309^2))/(-Offsite_Bldg_a))</f>
        <v>0</v>
      </c>
      <c r="BE392" s="83"/>
      <c r="BF392" s="3169">
        <f>IF(BF310="No",0,3.14*Offsite_Area_Bldg_Factor*IF(Offsite_PD1="",Offsite_PD/1000000,Offsite_PD1)*BF309^2*(EXP(-Offsite_Bldg_a*Zone_1^2/BF309^2)-EXP(-Offsite_Bldg_a*Public^2/BF309^2))/(-Offsite_Bldg_a))</f>
        <v>0</v>
      </c>
      <c r="BG392" s="83"/>
      <c r="BH392" s="3169">
        <f>IF(BH310="No",0,3.14*Offsite_Area_Bldg_Factor*IF(Offsite_PD1="",Offsite_PD/1000000,Offsite_PD1)*BH309^2*(EXP(-Offsite_Bldg_a*Zone_1^2/BH309^2)-EXP(-Offsite_Bldg_a*Public^2/BH309^2))/(-Offsite_Bldg_a))</f>
        <v>0</v>
      </c>
      <c r="BI392" s="83"/>
      <c r="BJ392" s="3169">
        <f>IF(BJ310="No",0,3.14*Offsite_Area_Bldg_Factor*IF(Offsite_PD1="",Offsite_PD/1000000,Offsite_PD1)*BJ309^2*(EXP(-Offsite_Bldg_a*Zone_1^2/BJ309^2)-EXP(-Offsite_Bldg_a*Public^2/BJ309^2))/(-Offsite_Bldg_a))</f>
        <v>0</v>
      </c>
      <c r="BK392" s="83"/>
      <c r="BL392" s="3169">
        <f>IF(BL310="No",0,3.14*Offsite_Area_Bldg_Factor*IF(Offsite_PD1="",Offsite_PD/1000000,Offsite_PD1)*BL309^2*(EXP(-Offsite_Bldg_a*Zone_1^2/BL309^2)-EXP(-Offsite_Bldg_a*Public^2/BL309^2))/(-Offsite_Bldg_a))</f>
        <v>0</v>
      </c>
      <c r="BM392" s="83"/>
      <c r="BN392" s="3169">
        <f>IF(BN310="No",0,3.14*Offsite_Area_Bldg_Factor*IF(Offsite_PD1="",Offsite_PD/1000000,Offsite_PD1)*BN309^2*(EXP(-Offsite_Bldg_a*Zone_1^2/BN309^2)-EXP(-Offsite_Bldg_a*Public^2/BN309^2))/(-Offsite_Bldg_a))</f>
        <v>0</v>
      </c>
      <c r="BO392" s="83"/>
      <c r="BP392" s="23"/>
      <c r="BQ392" s="83"/>
      <c r="BR392" s="81"/>
      <c r="BS392" s="25" t="s">
        <v>4788</v>
      </c>
      <c r="BT392" s="81"/>
      <c r="BU392" s="1286">
        <f>IF(BU284="No","NA",IF(BU290-Public&lt;HD_VeryLow_Offsite,Conseq_VeryLow_Offsite+N_OffSite,IF(BU290-Public&lt;HD_Low_Offsite,Conseq_Low+N_OffSite,IF(BU290-Public&lt;HD_Moderate_Offsite,Conseq_Moderate+IF(Conseq_Moderate&lt;Conseq_GT_ExtremeHigh,N_OffSite,0),IF(BU290-Public&lt;HD_High_Offsite,Conseq_High+IF(Conseq_High&lt;Conseq_GT_ExtremeHigh,N_OffSite,0),IF(BU290-Public&lt;HD_VeryHigh_Offsite,Conseq_VeryHigh+IF(Conseq_VeryHigh&lt;Conseq_GT_ExtremeHigh,N_OffSite,0),Conseq_ExtremeHigh+IF(Conseq_ExtremeHigh&lt;Conseq_GT_ExtremeHigh,N_OffSite,0)))))))</f>
        <v>3</v>
      </c>
      <c r="BV392" s="81"/>
      <c r="BW392" s="1286">
        <f>IF(BW284="No","NA",IF(BW290-Public&lt;HD_VeryLow_Offsite,Conseq_VeryLow_Offsite+N_OffSite,IF(BW290-Public&lt;HD_Low_Offsite,Conseq_Low+N_OffSite,IF(BW290-Public&lt;HD_Moderate_Offsite,Conseq_Moderate+IF(Conseq_Moderate&lt;Conseq_GT_ExtremeHigh,N_OffSite,0),IF(BW290-Public&lt;HD_High_Offsite,Conseq_High+IF(Conseq_High&lt;Conseq_GT_ExtremeHigh,N_OffSite,0),IF(BW290-Public&lt;HD_VeryHigh_Offsite,Conseq_VeryHigh+IF(Conseq_VeryHigh&lt;Conseq_GT_ExtremeHigh,N_OffSite,0),Conseq_ExtremeHigh+IF(Conseq_ExtremeHigh&lt;Conseq_GT_ExtremeHigh,N_OffSite,0)))))))</f>
        <v>3</v>
      </c>
      <c r="BX392" s="81"/>
      <c r="BY392" s="1286">
        <f>IF(BY284="No","NA",IF(BY290-Public&lt;HD_VeryLow_Offsite,Conseq_VeryLow_Offsite+N_OffSite,IF(BY290-Public&lt;HD_Low_Offsite,Conseq_Low+N_OffSite,IF(BY290-Public&lt;HD_Moderate_Offsite,Conseq_Moderate+IF(Conseq_Moderate&lt;Conseq_GT_ExtremeHigh,N_OffSite,0),IF(BY290-Public&lt;HD_High_Offsite,Conseq_High+IF(Conseq_High&lt;Conseq_GT_ExtremeHigh,N_OffSite,0),IF(BY290-Public&lt;HD_VeryHigh_Offsite,Conseq_VeryHigh+IF(Conseq_VeryHigh&lt;Conseq_GT_ExtremeHigh,N_OffSite,0),Conseq_ExtremeHigh+IF(Conseq_ExtremeHigh&lt;Conseq_GT_ExtremeHigh,N_OffSite,0)))))))</f>
        <v>3</v>
      </c>
      <c r="BZ392" s="81"/>
      <c r="CA392" s="1286">
        <f>IF(CA284="No","NA",IF(CA290-Public&lt;HD_VeryLow_Offsite,Conseq_VeryLow_Offsite+N_OffSite,IF(CA290-Public&lt;HD_Low_Offsite,Conseq_Low+N_OffSite,IF(CA290-Public&lt;HD_Moderate_Offsite,Conseq_Moderate+IF(Conseq_Moderate&lt;Conseq_GT_ExtremeHigh,N_OffSite,0),IF(CA290-Public&lt;HD_High_Offsite,Conseq_High+IF(Conseq_High&lt;Conseq_GT_ExtremeHigh,N_OffSite,0),IF(CA290-Public&lt;HD_VeryHigh_Offsite,Conseq_VeryHigh+IF(Conseq_VeryHigh&lt;Conseq_GT_ExtremeHigh,N_OffSite,0),Conseq_ExtremeHigh+IF(Conseq_ExtremeHigh&lt;Conseq_GT_ExtremeHigh,N_OffSite,0)))))))</f>
        <v>3</v>
      </c>
      <c r="CB392" s="81"/>
      <c r="CC392" s="1286">
        <f>IF(CC284="No","NA",IF(CC290-Public&lt;HD_VeryLow_Offsite,Conseq_VeryLow_Offsite+N_OffSite,IF(CC290-Public&lt;HD_Low_Offsite,Conseq_Low+N_OffSite,IF(CC290-Public&lt;HD_Moderate_Offsite,Conseq_Moderate+IF(Conseq_Moderate&lt;Conseq_GT_ExtremeHigh,N_OffSite,0),IF(CC290-Public&lt;HD_High_Offsite,Conseq_High+IF(Conseq_High&lt;Conseq_GT_ExtremeHigh,N_OffSite,0),IF(CC290-Public&lt;HD_VeryHigh_Offsite,Conseq_VeryHigh+IF(Conseq_VeryHigh&lt;Conseq_GT_ExtremeHigh,N_OffSite,0),Conseq_ExtremeHigh+IF(Conseq_ExtremeHigh&lt;Conseq_GT_ExtremeHigh,N_OffSite,0)))))))</f>
        <v>3</v>
      </c>
      <c r="CD392" s="81"/>
      <c r="CE392" s="23"/>
      <c r="CF392" s="81"/>
      <c r="CN392" s="26"/>
    </row>
    <row r="393" spans="1:92" ht="15" customHeight="1" thickBot="1" x14ac:dyDescent="0.3">
      <c r="A393" s="2"/>
      <c r="B393" s="23" t="s">
        <v>629</v>
      </c>
      <c r="C393" s="83"/>
      <c r="D393" s="1820">
        <f>D392*Occupants_atRisk2</f>
        <v>0</v>
      </c>
      <c r="E393" s="83"/>
      <c r="F393" s="1820">
        <f>F392*Occupants_atRisk2</f>
        <v>0</v>
      </c>
      <c r="G393" s="83"/>
      <c r="H393" s="1820">
        <f>H392*Occupants_atRisk2</f>
        <v>0</v>
      </c>
      <c r="I393" s="83"/>
      <c r="J393" s="1820">
        <f>J392*Occupants_atRisk2</f>
        <v>0</v>
      </c>
      <c r="K393" s="83"/>
      <c r="L393" s="1820">
        <f>L392*Occupants_atRisk2</f>
        <v>0</v>
      </c>
      <c r="M393" s="83"/>
      <c r="N393" s="1820">
        <f>N392*Occupants_atRisk2</f>
        <v>0</v>
      </c>
      <c r="O393" s="83"/>
      <c r="P393" s="1820">
        <f>P392*Occupants_atRisk2</f>
        <v>0</v>
      </c>
      <c r="Q393" s="83"/>
      <c r="R393" s="1820">
        <f>R392*Occupants_atRisk2</f>
        <v>0</v>
      </c>
      <c r="S393" s="83"/>
      <c r="T393" s="1820">
        <f>T392*Occupants_atRisk2</f>
        <v>0</v>
      </c>
      <c r="U393" s="83"/>
      <c r="V393" s="1820">
        <f>V392*Occupants_atRisk2</f>
        <v>0</v>
      </c>
      <c r="W393" s="83"/>
      <c r="X393" s="1820">
        <f>X392*Occupants_atRisk2</f>
        <v>0</v>
      </c>
      <c r="Y393" s="83"/>
      <c r="Z393" s="23"/>
      <c r="AA393" s="83"/>
      <c r="AB393" s="81"/>
      <c r="AC393" s="848" t="s">
        <v>958</v>
      </c>
      <c r="AD393" s="81"/>
      <c r="AE393" s="2104">
        <f>IF(OR(Relief_Discharge_Location="Outdoors to Ground",AND(State="Liquid",OR(Relief_Discharge_Location="Indoors",Relief_Discharge_Location="Outdoors-Upwards",Relief_Discharge_Location="Outdoors-Horizontal"))),Spray_Distance_Relief,0)</f>
        <v>0</v>
      </c>
      <c r="AF393" s="236"/>
      <c r="AG393" s="2104">
        <f>IF(OR(Relief_Discharge_Location="Outdoors to Ground",AND(State="Liquid",OR(Relief_Discharge_Location="Indoors",Relief_Discharge_Location="Outdoors-Upwards",Relief_Discharge_Location="Outdoors-Horizontal"))),Spray_Distance_Relief,0)</f>
        <v>0</v>
      </c>
      <c r="AH393" s="236"/>
      <c r="AI393" s="2104">
        <f>IF(OR(Relief_Discharge_Location="Outdoors to Ground",AND(State="Liquid",OR(Relief_Discharge_Location="Indoors",Relief_Discharge_Location="Outdoors-Upwards",Relief_Discharge_Location="Outdoors-Horizontal"))),Spray_Distance_Relief,0)</f>
        <v>0</v>
      </c>
      <c r="AJ393" s="236"/>
      <c r="AK393" s="2104">
        <f>IF(OR(Relief_Discharge_Location="Outdoors to Ground",AND(State="Liquid",OR(Relief_Discharge_Location="Indoors",Relief_Discharge_Location="Outdoors-Upwards",Relief_Discharge_Location="Outdoors-Horizontal"))),Spray_Distance_Relief,0)</f>
        <v>0</v>
      </c>
      <c r="AL393" s="81"/>
      <c r="AM393" s="2104">
        <f>IF(OR(Relief_Discharge_Location="Outdoors to Ground",AND(State="Liquid",OR(Relief_Discharge_Location="Indoors",Relief_Discharge_Location="Outdoors-Upwards",Relief_Discharge_Location="Outdoors-Horizontal"))),Spray_Distance_Relief,0)</f>
        <v>0</v>
      </c>
      <c r="AN393" s="81"/>
      <c r="AO393" s="2104">
        <f>IF(OR(Relief_Discharge_Location="Outdoors to Ground",AND(Heating_Media_State="Liquid",OR(Relief_Discharge_Location="Indoors",Relief_Discharge_Location="Outdoors-Upwards",Relief_Discharge_Location="Outdoors-Horizontal"))),Spray_Distance_HT,0)</f>
        <v>0</v>
      </c>
      <c r="AP393" s="81"/>
      <c r="AQ393" s="1829" t="s">
        <v>1068</v>
      </c>
      <c r="AR393" s="81"/>
      <c r="AS393" s="83"/>
      <c r="AT393" s="851" t="s">
        <v>5216</v>
      </c>
      <c r="AU393" s="83"/>
      <c r="AV393" s="3169">
        <f>IF(AV310="No",0,3.14*Offsite_Area_Bldg_Factor*IF(Offsite_PD2="",Offsite_PD/1000000,Offsite_PD2)*AV309^2*(0-EXP(-Offsite_Bldg_a*Zone_1^2/AV309^2))/(-Offsite_Bldg_a))</f>
        <v>0</v>
      </c>
      <c r="AW393" s="83"/>
      <c r="AX393" s="3169">
        <f>IF(AX310="No",0,3.14*Offsite_Area_Bldg_Factor*IF(Offsite_PD2="",Offsite_PD/1000000,Offsite_PD2)*AX309^2*(0-EXP(-Offsite_Bldg_a*Zone_1^2/AX309^2))/(-Offsite_Bldg_a))</f>
        <v>0</v>
      </c>
      <c r="AY393" s="83"/>
      <c r="AZ393" s="3169">
        <f>IF(AZ310="No",0,3.14*Offsite_Area_Bldg_Factor*IF(Offsite_PD2="",Offsite_PD/1000000,Offsite_PD2)*AZ309^2*(0-EXP(-Offsite_Bldg_a*Zone_1^2/AZ309^2))/(-Offsite_Bldg_a))</f>
        <v>0</v>
      </c>
      <c r="BA393" s="83"/>
      <c r="BB393" s="3169">
        <f>IF(BB310="No",0,3.14*Offsite_Area_Bldg_Factor*IF(Offsite_PD2="",Offsite_PD/1000000,Offsite_PD2)*BB309^2*(0-EXP(-Offsite_Bldg_a*Zone_1^2/BB309^2))/(-Offsite_Bldg_a))</f>
        <v>0</v>
      </c>
      <c r="BC393" s="83"/>
      <c r="BD393" s="3169">
        <f>IF(BD310="No",0,3.14*Offsite_Area_Bldg_Factor*IF(Offsite_PD2="",Offsite_PD/1000000,Offsite_PD2)*BD309^2*(0-EXP(-Offsite_Bldg_a*Zone_1^2/BD309^2))/(-Offsite_Bldg_a))</f>
        <v>0</v>
      </c>
      <c r="BE393" s="83"/>
      <c r="BF393" s="3169">
        <f>IF(BF310="No",0,3.14*Offsite_Area_Bldg_Factor*IF(Offsite_PD2="",Offsite_PD/1000000,Offsite_PD2)*BF309^2*(0-EXP(-Offsite_Bldg_a*Zone_1^2/BF309^2))/(-Offsite_Bldg_a))</f>
        <v>0</v>
      </c>
      <c r="BG393" s="83"/>
      <c r="BH393" s="3169">
        <f>IF(BH310="No",0,3.14*Offsite_Area_Bldg_Factor*IF(Offsite_PD2="",Offsite_PD/1000000,Offsite_PD2)*BH309^2*(0-EXP(-Offsite_Bldg_a*Zone_1^2/BH309^2))/(-Offsite_Bldg_a))</f>
        <v>0</v>
      </c>
      <c r="BI393" s="83"/>
      <c r="BJ393" s="3169">
        <f>IF(BJ310="No",0,3.14*Offsite_Area_Bldg_Factor*IF(Offsite_PD2="",Offsite_PD/1000000,Offsite_PD2)*BJ309^2*(0-EXP(-Offsite_Bldg_a*Zone_1^2/BJ309^2))/(-Offsite_Bldg_a))</f>
        <v>0</v>
      </c>
      <c r="BK393" s="83"/>
      <c r="BL393" s="3169">
        <f>IF(BL310="No",0,3.14*Offsite_Area_Bldg_Factor*IF(Offsite_PD2="",Offsite_PD/1000000,Offsite_PD2)*BL309^2*(0-EXP(-Offsite_Bldg_a*Zone_1^2/BL309^2))/(-Offsite_Bldg_a))</f>
        <v>0</v>
      </c>
      <c r="BM393" s="83"/>
      <c r="BN393" s="3169">
        <f>IF(BN310="No",0,3.14*Offsite_Area_Bldg_Factor*IF(Offsite_PD2="",Offsite_PD/1000000,Offsite_PD2)*BN309^2*(0-EXP(-Offsite_Bldg_a*Zone_1^2/BN309^2))/(-Offsite_Bldg_a))</f>
        <v>0</v>
      </c>
      <c r="BO393" s="83"/>
      <c r="BP393" s="23"/>
      <c r="BQ393" s="83"/>
      <c r="BR393" s="81"/>
      <c r="BS393" s="25" t="s">
        <v>4223</v>
      </c>
      <c r="BT393" s="81"/>
      <c r="BU393" s="2540" t="e">
        <f>IF(BU391&lt;N_Screening,IF(BU286="Yes",Conseq_Low_Offsite,IF(BU284="Yes",Conseq_VeryLow_Offsite,"NA")),IF(BU391&lt;N_VeryLow,Conseq_VeryLow+N_OffSite,IF(BU391&lt;N_Low,Conseq_Low+N_OffSite,IF(BU391&lt;N_Moderate,Conseq_Moderate+IF(Conseq_Moderate&lt;Conseq_GT_ExtremeHigh,N_OffSite,0),IF(BU391&lt;N_High,Conseq_High+IF(Conseq_High&lt;Conseq_GT_ExtremeHigh,N_OffSite,0),IF(BU391&lt;N_VeryHigh,Conseq_VeryHigh+IF(Conseq_VeryHigh&lt;Conseq_GT_ExtremeHigh,N_OffSite,0),Conseq_ExtremeHigh+IF(Conseq_ExtremeHigh&lt;Conseq_GT_ExtremeHigh,N_OffSite,0)))))))</f>
        <v>#DIV/0!</v>
      </c>
      <c r="BV393" s="1180"/>
      <c r="BW393" s="2540" t="e">
        <f>IF(BW391&lt;N_Screening,IF(BW286="Yes",Conseq_Low_Offsite,IF(BW284="Yes",Conseq_VeryLow_Offsite,"NA")),IF(BW391&lt;N_VeryLow,Conseq_VeryLow+N_OffSite,IF(BW391&lt;N_Low,Conseq_Low+N_OffSite,IF(BW391&lt;N_Moderate,Conseq_Moderate+IF(Conseq_Moderate&lt;Conseq_GT_ExtremeHigh,N_OffSite,0),IF(BW391&lt;N_High,Conseq_High+IF(Conseq_High&lt;Conseq_GT_ExtremeHigh,N_OffSite,0),IF(BW391&lt;N_VeryHigh,Conseq_VeryHigh+IF(Conseq_VeryHigh&lt;Conseq_GT_ExtremeHigh,N_OffSite,0),Conseq_ExtremeHigh+IF(Conseq_ExtremeHigh&lt;Conseq_GT_ExtremeHigh,N_OffSite,0)))))))</f>
        <v>#DIV/0!</v>
      </c>
      <c r="BX393" s="1180"/>
      <c r="BY393" s="2540" t="e">
        <f>IF(BY391&lt;N_Screening,IF(BY286="Yes",Conseq_Low_Offsite,IF(BY284="Yes",Conseq_VeryLow_Offsite,"NA")),IF(BY391&lt;N_VeryLow,Conseq_VeryLow+N_OffSite,IF(BY391&lt;N_Low,Conseq_Low+N_OffSite,IF(BY391&lt;N_Moderate,Conseq_Moderate+IF(Conseq_Moderate&lt;Conseq_GT_ExtremeHigh,N_OffSite,0),IF(BY391&lt;N_High,Conseq_High+IF(Conseq_High&lt;Conseq_GT_ExtremeHigh,N_OffSite,0),IF(BY391&lt;N_VeryHigh,Conseq_VeryHigh+IF(Conseq_VeryHigh&lt;Conseq_GT_ExtremeHigh,N_OffSite,0),Conseq_ExtremeHigh+IF(Conseq_ExtremeHigh&lt;Conseq_GT_ExtremeHigh,N_OffSite,0)))))))</f>
        <v>#DIV/0!</v>
      </c>
      <c r="BZ393" s="1180"/>
      <c r="CA393" s="2540" t="e">
        <f>IF(CA391&lt;N_Screening,IF(CA286="Yes",Conseq_Low_Offsite,IF(CA284="Yes",Conseq_VeryLow_Offsite,"NA")),IF(CA391&lt;N_VeryLow,Conseq_VeryLow+N_OffSite,IF(CA391&lt;N_Low,Conseq_Low+N_OffSite,IF(CA391&lt;N_Moderate,Conseq_Moderate+IF(Conseq_Moderate&lt;Conseq_GT_ExtremeHigh,N_OffSite,0),IF(CA391&lt;N_High,Conseq_High+IF(Conseq_High&lt;Conseq_GT_ExtremeHigh,N_OffSite,0),IF(CA391&lt;N_VeryHigh,Conseq_VeryHigh+IF(Conseq_VeryHigh&lt;Conseq_GT_ExtremeHigh,N_OffSite,0),Conseq_ExtremeHigh+IF(Conseq_ExtremeHigh&lt;Conseq_GT_ExtremeHigh,N_OffSite,0)))))))</f>
        <v>#DIV/0!</v>
      </c>
      <c r="CB393" s="1180" t="s">
        <v>3922</v>
      </c>
      <c r="CC393" s="2540" t="e">
        <f>IF(CC391&lt;N_Screening,IF(CC286="Yes",Conseq_Low_Offsite,IF(CC284="Yes",Conseq_VeryLow_Offsite,"NA")),IF(CC391&lt;N_VeryLow,Conseq_VeryLow+N_OffSite,IF(CC391&lt;N_Low,Conseq_Low+N_OffSite,IF(CC391&lt;N_Moderate,Conseq_Moderate+IF(Conseq_Moderate&lt;Conseq_GT_ExtremeHigh,N_OffSite,0),IF(CC391&lt;N_High,Conseq_High+IF(Conseq_High&lt;Conseq_GT_ExtremeHigh,N_OffSite,0),IF(CC391&lt;N_VeryHigh,Conseq_VeryHigh+IF(Conseq_VeryHigh&lt;Conseq_GT_ExtremeHigh,N_OffSite,0),Conseq_ExtremeHigh+IF(Conseq_ExtremeHigh&lt;Conseq_GT_ExtremeHigh,N_OffSite,0)))))))</f>
        <v>#DIV/0!</v>
      </c>
      <c r="CD393" s="81"/>
      <c r="CE393" s="89"/>
      <c r="CF393" s="81"/>
      <c r="CN393" s="26"/>
    </row>
    <row r="394" spans="1:92" ht="15" customHeight="1" x14ac:dyDescent="0.25">
      <c r="A394" s="2"/>
      <c r="B394" s="23" t="s">
        <v>5215</v>
      </c>
      <c r="C394" s="83"/>
      <c r="D394" s="3169">
        <f>IF(D312="No",0,3.14*Offsite_Area_Bldg_Factor*IF(Offsite_PD1="",Offsite_PD/1000000,Offsite_PD1)*D311^2*(EXP(-Offsite_Bldg_a*Zone_1^2/D311^2)-EXP(-Offsite_Bldg_a*Public^2/D311^2))/(-Offsite_Bldg_a))</f>
        <v>0</v>
      </c>
      <c r="E394" s="83"/>
      <c r="F394" s="3169">
        <f>IF(F312="No",0,3.14*Offsite_Area_Bldg_Factor*IF(Offsite_PD1="",Offsite_PD/1000000,Offsite_PD1)*F311^2*(EXP(-Offsite_Bldg_a*Zone_1^2/F311^2)-EXP(-Offsite_Bldg_a*Public^2/F311^2))/(-Offsite_Bldg_a))</f>
        <v>0</v>
      </c>
      <c r="G394" s="83"/>
      <c r="H394" s="3169">
        <f>IF(H312="No",0,3.14*Offsite_Area_Bldg_Factor*IF(Offsite_PD1="",Offsite_PD/1000000,Offsite_PD1)*H311^2*(EXP(-Offsite_Bldg_a*Zone_1^2/H311^2)-EXP(-Offsite_Bldg_a*Public^2/H311^2))/(-Offsite_Bldg_a))</f>
        <v>0</v>
      </c>
      <c r="I394" s="83"/>
      <c r="J394" s="3169">
        <f>IF(J312="No",0,3.14*Offsite_Area_Bldg_Factor*IF(Offsite_PD1="",Offsite_PD/1000000,Offsite_PD1)*J311^2*(EXP(-Offsite_Bldg_a*Zone_1^2/J311^2)-EXP(-Offsite_Bldg_a*Public^2/J311^2))/(-Offsite_Bldg_a))</f>
        <v>0</v>
      </c>
      <c r="K394" s="83"/>
      <c r="L394" s="3169">
        <f>IF(L312="No",0,3.14*Offsite_Area_Bldg_Factor*IF(Offsite_PD1="",Offsite_PD/1000000,Offsite_PD1)*L311^2*(EXP(-Offsite_Bldg_a*Zone_1^2/L311^2)-EXP(-Offsite_Bldg_a*Public^2/L311^2))/(-Offsite_Bldg_a))</f>
        <v>0</v>
      </c>
      <c r="M394" s="83"/>
      <c r="N394" s="3169">
        <f>IF(N312="No",0,3.14*Offsite_Area_Bldg_Factor*IF(Offsite_PD1="",Offsite_PD/1000000,Offsite_PD1)*N311^2*(EXP(-Offsite_Bldg_a*Zone_1^2/N311^2)-EXP(-Offsite_Bldg_a*Public^2/N311^2))/(-Offsite_Bldg_a))</f>
        <v>0</v>
      </c>
      <c r="O394" s="83"/>
      <c r="P394" s="3169">
        <f>IF(P312="No",0,3.14*Offsite_Area_Bldg_Factor*IF(Offsite_PD1="",Offsite_PD/1000000,Offsite_PD1)*P311^2*(EXP(-Offsite_Bldg_a*Zone_1^2/P311^2)-EXP(-Offsite_Bldg_a*Public^2/P311^2))/(-Offsite_Bldg_a))</f>
        <v>0</v>
      </c>
      <c r="Q394" s="83"/>
      <c r="R394" s="3169">
        <f>IF(R312="No",0,3.14*Offsite_Area_Bldg_Factor*IF(Offsite_PD1="",Offsite_PD/1000000,Offsite_PD1)*R311^2*(EXP(-Offsite_Bldg_a*Zone_1^2/R311^2)-EXP(-Offsite_Bldg_a*Public^2/R311^2))/(-Offsite_Bldg_a))</f>
        <v>0</v>
      </c>
      <c r="S394" s="83"/>
      <c r="T394" s="3169">
        <f>IF(T312="No",0,3.14*Offsite_Area_Bldg_Factor*IF(Offsite_PD1="",Offsite_PD/1000000,Offsite_PD1)*T311^2*(EXP(-Offsite_Bldg_a*Zone_1^2/T311^2)-EXP(-Offsite_Bldg_a*Public^2/T311^2))/(-Offsite_Bldg_a))</f>
        <v>0</v>
      </c>
      <c r="U394" s="83"/>
      <c r="V394" s="3169">
        <f>IF(V312="No",0,3.14*Offsite_Area_Bldg_Factor*IF(Offsite_PD1="",Offsite_PD/1000000,Offsite_PD1)*V311^2*(EXP(-Offsite_Bldg_a*Zone_1^2/V311^2)-EXP(-Offsite_Bldg_a*Public^2/V311^2))/(-Offsite_Bldg_a))</f>
        <v>0</v>
      </c>
      <c r="W394" s="83"/>
      <c r="X394" s="3169">
        <f>IF(X312="No",0,3.14*Offsite_Area_Bldg_Factor*IF(Offsite_PD1="",Offsite_PD/1000000,Offsite_PD1)*X311^2*(EXP(-Offsite_Bldg_a*Zone_1^2/X311^2)-EXP(-Offsite_Bldg_a*Public^2/X311^2))/(-Offsite_Bldg_a))</f>
        <v>0</v>
      </c>
      <c r="Y394" s="83"/>
      <c r="Z394" s="23"/>
      <c r="AA394" s="83"/>
      <c r="AB394" s="81"/>
      <c r="AC394" s="848" t="s">
        <v>1062</v>
      </c>
      <c r="AD394" s="81"/>
      <c r="AE394" s="2104">
        <f>0.4*AE393^2</f>
        <v>0</v>
      </c>
      <c r="AF394" s="81"/>
      <c r="AG394" s="2104">
        <f>0.4*AG393^2</f>
        <v>0</v>
      </c>
      <c r="AH394" s="81"/>
      <c r="AI394" s="2104">
        <f>0.4*AI393^2</f>
        <v>0</v>
      </c>
      <c r="AJ394" s="81"/>
      <c r="AK394" s="2104">
        <f>0.4*AK393^2</f>
        <v>0</v>
      </c>
      <c r="AL394" s="81"/>
      <c r="AM394" s="2104">
        <f>0.4*AM393^2</f>
        <v>0</v>
      </c>
      <c r="AN394" s="81"/>
      <c r="AO394" s="2104">
        <f>0.4*AO393^2</f>
        <v>0</v>
      </c>
      <c r="AP394" s="81"/>
      <c r="AQ394" s="85" t="s">
        <v>3804</v>
      </c>
      <c r="AR394" s="81"/>
      <c r="AS394" s="83"/>
      <c r="AT394" s="846" t="s">
        <v>5217</v>
      </c>
      <c r="AU394" s="83"/>
      <c r="AV394" s="3169">
        <f>AV392+AV393</f>
        <v>0</v>
      </c>
      <c r="AW394" s="83"/>
      <c r="AX394" s="3169">
        <f>AX392+AX393</f>
        <v>0</v>
      </c>
      <c r="AY394" s="83"/>
      <c r="AZ394" s="3169">
        <f>AZ392+AZ393</f>
        <v>0</v>
      </c>
      <c r="BA394" s="83"/>
      <c r="BB394" s="3169">
        <f>BB392+BB393</f>
        <v>0</v>
      </c>
      <c r="BC394" s="83"/>
      <c r="BD394" s="3169">
        <f>BD392+BD393</f>
        <v>0</v>
      </c>
      <c r="BE394" s="83"/>
      <c r="BF394" s="3169">
        <f>BF392+BF393</f>
        <v>0</v>
      </c>
      <c r="BG394" s="83"/>
      <c r="BH394" s="3169">
        <f>BH392+BH393</f>
        <v>0</v>
      </c>
      <c r="BI394" s="83"/>
      <c r="BJ394" s="3169">
        <f>BJ392+BJ393</f>
        <v>0</v>
      </c>
      <c r="BK394" s="83"/>
      <c r="BL394" s="3169">
        <f>BL392+BL393</f>
        <v>0</v>
      </c>
      <c r="BM394" s="83"/>
      <c r="BN394" s="3169">
        <f>BN392+BN393</f>
        <v>0</v>
      </c>
      <c r="BO394" s="83"/>
      <c r="BP394" s="23"/>
      <c r="BQ394" s="83"/>
      <c r="BR394" s="81"/>
      <c r="BS394" s="23" t="s">
        <v>4735</v>
      </c>
      <c r="BT394" s="81"/>
      <c r="BU394" s="1206">
        <f>IF(BU23="Instantaneous",Dispersion_I,Dispersion_D)*IF(Public2=0,BU287,MIN(BU287,Public2))^2+IF(Location="Indoors",0,IF(Public2=0,BU287,MIN(BU287,Public2))*MAX(2*(BU$55/3.142)^0.5,IF(AND(BU98&gt;0,BU208="Instantaneous"),DC_Duration_Initial*(BU83/BU98)^(1/3),0)))</f>
        <v>3.0000000000000005E-3</v>
      </c>
      <c r="BV394" s="81"/>
      <c r="BW394" s="1206">
        <f>IF(BW23="Instantaneous",Dispersion_I,Dispersion_D)*IF(Public2=0,BW287,MIN(BW287,Public2))^2+IF(Location="Indoors",0,IF(Public2=0,BW287,MIN(BW287,Public2))*MAX(2*(BW$55/3.142)^0.5,IF(AND(BW98&gt;0,BW208="Instantaneous"),DC_Duration_Initial*(BW83/BW98)^(1/3),0)))</f>
        <v>3.0000000000000005E-3</v>
      </c>
      <c r="BX394" s="81"/>
      <c r="BY394" s="1206">
        <f>IF(BY23="Instantaneous",Dispersion_I,Dispersion_D)*IF(Public2=0,BY287,MIN(BY287,Public2))^2+IF(Location="Indoors",0,IF(Public2=0,BY287,MIN(BY287,Public2))*MAX(2*(BY$55/3.142)^0.5,IF(AND(BY98&gt;0,BY208="Instantaneous"),DC_Duration_Initial*(BY83/BY98)^(1/3),0)))</f>
        <v>3.0000000000000005E-3</v>
      </c>
      <c r="BZ394" s="81"/>
      <c r="CA394" s="1206">
        <f>IF(CA23="Instantaneous",Dispersion_I,Dispersion_D)*IF(Public2=0,CA287,MIN(CA287,Public2))^2+IF(Location="Indoors",0,IF(Public2=0,CA287,MIN(CA287,Public2))*MAX(2*(CA$55/3.142)^0.5,IF(AND(CA98&gt;0,CA208="Instantaneous"),DC_Duration_Initial*(CA83/CA98)^(1/3),0)))</f>
        <v>3.0000000000000005E-3</v>
      </c>
      <c r="CB394" s="81"/>
      <c r="CC394" s="1206">
        <f>IF(CC23="Instantaneous",Dispersion_I,Dispersion_D)*IF(Public2=0,CC287,MIN(CC287,Public2))^2+IF(Location="Indoors",0,IF(Public2=0,CC287,MIN(CC287,Public2))*MAX(2*(CC$55/3.142)^0.5,IF(AND(CC98&gt;0,CC208="Instantaneous"),DC_Duration_Initial*(CC83/CC98)^(1/3),0)))</f>
        <v>3.0000000000000005E-3</v>
      </c>
      <c r="CD394" s="81"/>
      <c r="CE394" s="85" t="s">
        <v>3804</v>
      </c>
      <c r="CF394" s="81"/>
      <c r="CN394" s="26"/>
    </row>
    <row r="395" spans="1:92" ht="15" customHeight="1" x14ac:dyDescent="0.25">
      <c r="A395" s="2"/>
      <c r="B395" s="23" t="s">
        <v>5216</v>
      </c>
      <c r="C395" s="83"/>
      <c r="D395" s="3169">
        <f>IF(D312="No",0,3.14*Offsite_Area_Bldg_Factor*IF(Offsite_PD2="",Offsite_PD/1000000,Offsite_PD2)*D311^2*(0-EXP(-Offsite_Bldg_a*Zone_1^2/D311^2))/(-Offsite_Bldg_a))</f>
        <v>0</v>
      </c>
      <c r="E395" s="83"/>
      <c r="F395" s="3169">
        <f>IF(F312="No",0,3.14*Offsite_Area_Bldg_Factor*IF(Offsite_PD2="",Offsite_PD/1000000,Offsite_PD2)*F311^2*(0-EXP(-Offsite_Bldg_a*Zone_1^2/F311^2))/(-Offsite_Bldg_a))</f>
        <v>0</v>
      </c>
      <c r="G395" s="83"/>
      <c r="H395" s="3169">
        <f>IF(H312="No",0,3.14*Offsite_Area_Bldg_Factor*IF(Offsite_PD2="",Offsite_PD/1000000,Offsite_PD2)*H311^2*(0-EXP(-Offsite_Bldg_a*Zone_1^2/H311^2))/(-Offsite_Bldg_a))</f>
        <v>0</v>
      </c>
      <c r="I395" s="83"/>
      <c r="J395" s="3169">
        <f>IF(J312="No",0,3.14*Offsite_Area_Bldg_Factor*IF(Offsite_PD2="",Offsite_PD/1000000,Offsite_PD2)*J311^2*(0-EXP(-Offsite_Bldg_a*Zone_1^2/J311^2))/(-Offsite_Bldg_a))</f>
        <v>0</v>
      </c>
      <c r="K395" s="83"/>
      <c r="L395" s="3169">
        <f>IF(L312="No",0,3.14*Offsite_Area_Bldg_Factor*IF(Offsite_PD2="",Offsite_PD/1000000,Offsite_PD2)*L311^2*(0-EXP(-Offsite_Bldg_a*Zone_1^2/L311^2))/(-Offsite_Bldg_a))</f>
        <v>0</v>
      </c>
      <c r="M395" s="83"/>
      <c r="N395" s="3169">
        <f>IF(N312="No",0,3.14*Offsite_Area_Bldg_Factor*IF(Offsite_PD2="",Offsite_PD/1000000,Offsite_PD2)*N311^2*(0-EXP(-Offsite_Bldg_a*Zone_1^2/N311^2))/(-Offsite_Bldg_a))</f>
        <v>0</v>
      </c>
      <c r="O395" s="83"/>
      <c r="P395" s="3169">
        <f>IF(P312="No",0,3.14*Offsite_Area_Bldg_Factor*IF(Offsite_PD2="",Offsite_PD/1000000,Offsite_PD2)*P311^2*(0-EXP(-Offsite_Bldg_a*Zone_1^2/P311^2))/(-Offsite_Bldg_a))</f>
        <v>0</v>
      </c>
      <c r="Q395" s="83"/>
      <c r="R395" s="3169">
        <f>IF(R312="No",0,3.14*Offsite_Area_Bldg_Factor*IF(Offsite_PD2="",Offsite_PD/1000000,Offsite_PD2)*R311^2*(0-EXP(-Offsite_Bldg_a*Zone_1^2/R311^2))/(-Offsite_Bldg_a))</f>
        <v>0</v>
      </c>
      <c r="S395" s="83"/>
      <c r="T395" s="3169">
        <f>IF(T312="No",0,3.14*Offsite_Area_Bldg_Factor*IF(Offsite_PD2="",Offsite_PD/1000000,Offsite_PD2)*T311^2*(0-EXP(-Offsite_Bldg_a*Zone_1^2/T311^2))/(-Offsite_Bldg_a))</f>
        <v>0</v>
      </c>
      <c r="U395" s="83"/>
      <c r="V395" s="3169">
        <f>IF(V312="No",0,3.14*Offsite_Area_Bldg_Factor*IF(Offsite_PD2="",Offsite_PD/1000000,Offsite_PD2)*V311^2*(0-EXP(-Offsite_Bldg_a*Zone_1^2/V311^2))/(-Offsite_Bldg_a))</f>
        <v>0</v>
      </c>
      <c r="W395" s="83"/>
      <c r="X395" s="3169">
        <f>IF(X312="No",0,3.14*Offsite_Area_Bldg_Factor*IF(Offsite_PD2="",Offsite_PD/1000000,Offsite_PD2)*X311^2*(0-EXP(-Offsite_Bldg_a*Zone_1^2/X311^2))/(-Offsite_Bldg_a))</f>
        <v>0</v>
      </c>
      <c r="Y395" s="83"/>
      <c r="Z395" s="23"/>
      <c r="AA395" s="83"/>
      <c r="AB395" s="81"/>
      <c r="AC395" s="851" t="s">
        <v>843</v>
      </c>
      <c r="AD395" s="81"/>
      <c r="AE395" s="2981">
        <f>IF(AND(AE23&gt;ChemExp_Flow_Limit,AM294="Indoors"),IF(AE394&lt;Enclosed_Process_Volume^0.67/2,AE394*Op_Indoors/Enclosed_Process_Volume^0.67/2,Op_Indoors/2),IF(AE23&gt;ChemExp_Flow_Limit,AE394*Onsite_PD/1000000,0))+IF(AND(AE$305="Yes",AE393&gt;HD_Severe_Impact),0.9,0)</f>
        <v>0</v>
      </c>
      <c r="AF395" s="81"/>
      <c r="AG395" s="2981">
        <f>IF(AND(AG23&gt;ChemExp_Flow_Limit,AO294="Indoors"),IF(AG394&lt;Enclosed_Process_Volume^0.67/2,AG394*Op_Indoors/Enclosed_Process_Volume^0.67/2,Op_Indoors/2),IF(AG23&gt;ChemExp_Flow_Limit,AG394*Onsite_PD/1000000,0))+IF(AND(AG$305="Yes",AG393&gt;HD_Severe_Impact),0.9,0)</f>
        <v>0</v>
      </c>
      <c r="AH395" s="81"/>
      <c r="AI395" s="2981">
        <f>IF(AND(AI23&gt;ChemExp_Flow_Limit,AQ294="Indoors"),IF(AI394&lt;Enclosed_Process_Volume^0.67/2,AI394*Op_Indoors/Enclosed_Process_Volume^0.67/2,Op_Indoors/2),IF(AI23&gt;ChemExp_Flow_Limit,AI394*Onsite_PD/1000000,0))+IF(AND(AI$305="Yes",AI393&gt;HD_Severe_Impact),0.9,0)</f>
        <v>0</v>
      </c>
      <c r="AJ395" s="81"/>
      <c r="AK395" s="2981">
        <f>IF(AND(AK23&gt;ChemExp_Flow_Limit,AS282="Indoors"),IF(AK394&lt;Enclosed_Process_Volume^0.67/2,AK394*Op_Indoors/Enclosed_Process_Volume^0.67/2,Op_Indoors/2),IF(AK23&gt;ChemExp_Flow_Limit,AK394*Onsite_PD/1000000,0))+IF(AND(AK$305="Yes",AK393&gt;HD_Severe_Impact),0.9,0)</f>
        <v>0</v>
      </c>
      <c r="AL395" s="81"/>
      <c r="AM395" s="2981">
        <f>IF(AND(AM23&gt;ChemExp_Flow_Limit,AU411="Indoors"),IF(AM394&lt;Enclosed_Process_Volume^0.67/2,AM394*Op_Indoors/Enclosed_Process_Volume^0.67/2,Op_Indoors/2),IF(AM23&gt;ChemExp_Flow_Limit,AM394*Onsite_PD/1000000,0))+IF(AND(AM$305="Yes",AM393&gt;HD_Severe_Impact),0.9,0)</f>
        <v>0</v>
      </c>
      <c r="AN395" s="81"/>
      <c r="AO395" s="2981">
        <f>IF(AND(AO23&gt;ChemExp_Flow_Limit,AW388="Indoors"),IF(AO394&lt;Enclosed_Process_Volume^0.67/2,AO394*Op_Indoors/Enclosed_Process_Volume^0.67/2,Op_Indoors/2),IF(AO23&gt;ChemExp_Flow_Limit,AO394*Onsite_PD/1000000,0))+IF(AND(AO$305="Yes",AO393&gt;HD_Severe_Impact),0.9,0)</f>
        <v>0</v>
      </c>
      <c r="AP395" s="81"/>
      <c r="AQ395" s="23"/>
      <c r="AR395" s="81"/>
      <c r="AS395" s="83"/>
      <c r="AT395" s="851" t="s">
        <v>2011</v>
      </c>
      <c r="AU395" s="83"/>
      <c r="AV395" s="3014">
        <f>AV389+AV384+AV391+AV394</f>
        <v>0</v>
      </c>
      <c r="AW395" s="83"/>
      <c r="AX395" s="3014">
        <f>AX389+AX384+AX391+AX394</f>
        <v>0</v>
      </c>
      <c r="AY395" s="83"/>
      <c r="AZ395" s="3014">
        <f>AZ389+AZ384+AZ391+AZ394</f>
        <v>0</v>
      </c>
      <c r="BA395" s="83"/>
      <c r="BB395" s="3014">
        <f>BB389+BB384+BB391+BB394</f>
        <v>0</v>
      </c>
      <c r="BC395" s="83"/>
      <c r="BD395" s="3014">
        <f>BD389+BD384+BD391+BD394</f>
        <v>0</v>
      </c>
      <c r="BE395" s="83"/>
      <c r="BF395" s="3014">
        <f>BF389+BF384+BF391+BF394</f>
        <v>0</v>
      </c>
      <c r="BG395" s="83"/>
      <c r="BH395" s="3014">
        <f>BH389+BH384+BH391+BH394</f>
        <v>0</v>
      </c>
      <c r="BI395" s="83"/>
      <c r="BJ395" s="3014">
        <f>BJ389+BJ384+BJ391+BJ394</f>
        <v>0</v>
      </c>
      <c r="BK395" s="83"/>
      <c r="BL395" s="3014">
        <f>BL389+BL384+BL391+BL394</f>
        <v>0</v>
      </c>
      <c r="BM395" s="83"/>
      <c r="BN395" s="3014">
        <f>BN389+BN384+BN391+BN394</f>
        <v>0</v>
      </c>
      <c r="BO395" s="83"/>
      <c r="BP395" s="23"/>
      <c r="BQ395" s="83"/>
      <c r="BR395" s="81"/>
      <c r="BS395" s="23" t="s">
        <v>3161</v>
      </c>
      <c r="BT395" s="81"/>
      <c r="BU395" s="1207">
        <f>BU394*Onsite_PD/1000000+IF(AND(BU$292="Yes",BU287&gt;HD_Severe_Impact),1,0)</f>
        <v>6.0000000000000008E-7</v>
      </c>
      <c r="BV395" s="81"/>
      <c r="BW395" s="1207">
        <f>BW394*Onsite_PD/1000000+IF(AND(BW$292="Yes",BW287&gt;HD_Severe_Impact),1,0)</f>
        <v>6.0000000000000008E-7</v>
      </c>
      <c r="BX395" s="81"/>
      <c r="BY395" s="1207">
        <f>BY394*Onsite_PD/1000000+IF(AND(BY$292="Yes",BY287&gt;HD_Severe_Impact),1,0)</f>
        <v>6.0000000000000008E-7</v>
      </c>
      <c r="BZ395" s="81"/>
      <c r="CA395" s="1207">
        <f>CA394*Onsite_PD/1000000+IF(AND(CA$292="Yes",CA287&gt;HD_Severe_Impact),1,0)</f>
        <v>6.0000000000000008E-7</v>
      </c>
      <c r="CB395" s="81"/>
      <c r="CC395" s="1207">
        <f>CC394*Onsite_PD/1000000+IF(AND(CC$292="Yes",CC287&gt;HD_Severe_Impact),1,0)</f>
        <v>6.0000000000000008E-7</v>
      </c>
      <c r="CD395" s="81"/>
      <c r="CE395" s="23"/>
      <c r="CF395" s="81"/>
      <c r="CN395" s="26"/>
    </row>
    <row r="396" spans="1:92" ht="15" customHeight="1" thickBot="1" x14ac:dyDescent="0.3">
      <c r="A396" s="2"/>
      <c r="B396" s="512" t="s">
        <v>5217</v>
      </c>
      <c r="C396" s="83"/>
      <c r="D396" s="3169">
        <f>D394+D395</f>
        <v>0</v>
      </c>
      <c r="E396" s="83"/>
      <c r="F396" s="3169">
        <f>F394+F395</f>
        <v>0</v>
      </c>
      <c r="G396" s="83"/>
      <c r="H396" s="3169">
        <f>H394+H395</f>
        <v>0</v>
      </c>
      <c r="I396" s="83"/>
      <c r="J396" s="3169">
        <f>J394+J395</f>
        <v>0</v>
      </c>
      <c r="K396" s="83"/>
      <c r="L396" s="3169">
        <f>L394+L395</f>
        <v>0</v>
      </c>
      <c r="M396" s="83"/>
      <c r="N396" s="3169">
        <f>N394+N395</f>
        <v>0</v>
      </c>
      <c r="O396" s="83"/>
      <c r="P396" s="3169">
        <f>P394+P395</f>
        <v>0</v>
      </c>
      <c r="Q396" s="83"/>
      <c r="R396" s="3169">
        <f>R394+R395</f>
        <v>0</v>
      </c>
      <c r="S396" s="83"/>
      <c r="T396" s="3169">
        <f>T394+T395</f>
        <v>0</v>
      </c>
      <c r="U396" s="83"/>
      <c r="V396" s="3169">
        <f>V394+V395</f>
        <v>0</v>
      </c>
      <c r="W396" s="83"/>
      <c r="X396" s="3169">
        <f>X394+X395</f>
        <v>0</v>
      </c>
      <c r="Y396" s="83"/>
      <c r="Z396" s="23"/>
      <c r="AA396" s="83"/>
      <c r="AB396" s="81"/>
      <c r="AC396" s="848" t="s">
        <v>1793</v>
      </c>
      <c r="AD396" s="81"/>
      <c r="AE396" s="1208">
        <v>0</v>
      </c>
      <c r="AF396" s="81"/>
      <c r="AG396" s="1208">
        <v>0</v>
      </c>
      <c r="AH396" s="81"/>
      <c r="AI396" s="1208">
        <v>0</v>
      </c>
      <c r="AJ396" s="81"/>
      <c r="AK396" s="1208">
        <v>0</v>
      </c>
      <c r="AL396" s="81"/>
      <c r="AM396" s="1208">
        <v>0</v>
      </c>
      <c r="AN396" s="81"/>
      <c r="AO396" s="1208">
        <f>IF(AND(AO$305&lt;&gt;"Yes",AO398&gt;Conseq_VeryLow,AO395&lt;N_Low),1,0)</f>
        <v>1</v>
      </c>
      <c r="AP396" s="81"/>
      <c r="AQ396" s="23"/>
      <c r="AR396" s="81"/>
      <c r="AS396" s="83"/>
      <c r="AT396" s="849" t="s">
        <v>4795</v>
      </c>
      <c r="AU396" s="83"/>
      <c r="AV396" s="1286" t="str">
        <f>IF(AV305&lt;&gt;"Yes","NA",IF(MAX(AV311/Bldg_Type_Correction,AV313/Bldg2_Type_Correction)&lt;HD_Low_Expl,Conseq_Low,IF(MAX(AV311/Bldg_Type_Correction,AV313/Bldg2_Type_Correction)&lt;HD_Moderate_Expl,Conseq_Moderate,IF(MAX(AV311/Bldg_Type_Correction,AV313/Bldg2_Type_Correction)&lt;HD_High_Expl,Conseq_High,IF(MAX(AV311/Bldg_Type_Correction,AV313/Bldg2_Type_Correction)&lt;HD_VeryHigh_Expl,Conseq_VeryHigh,Conseq_ExtremeHigh)))))</f>
        <v>NA</v>
      </c>
      <c r="AW396" s="83"/>
      <c r="AX396" s="1286" t="str">
        <f>IF(AX305&lt;&gt;"Yes","NA",IF(MAX(AX311/Bldg_Type_Correction,AX313/Bldg2_Type_Correction)&lt;HD_Low_Expl,Conseq_Low,IF(MAX(AX311/Bldg_Type_Correction,AX313/Bldg2_Type_Correction)&lt;HD_Moderate_Expl,Conseq_Moderate,IF(MAX(AX311/Bldg_Type_Correction,AX313/Bldg2_Type_Correction)&lt;HD_High_Expl,Conseq_High,IF(MAX(AX311/Bldg_Type_Correction,AX313/Bldg2_Type_Correction)&lt;HD_VeryHigh_Expl,Conseq_VeryHigh,Conseq_ExtremeHigh)))))</f>
        <v>NA</v>
      </c>
      <c r="AY396" s="83"/>
      <c r="AZ396" s="1286" t="str">
        <f>IF(AZ305&lt;&gt;"Yes","NA",IF(MAX(AZ311/Bldg_Type_Correction,AZ313/Bldg2_Type_Correction)&lt;HD_Low_Expl,Conseq_Low,IF(MAX(AZ311/Bldg_Type_Correction,AZ313/Bldg2_Type_Correction)&lt;HD_Moderate_Expl,Conseq_Moderate,IF(MAX(AZ311/Bldg_Type_Correction,AZ313/Bldg2_Type_Correction)&lt;HD_High_Expl,Conseq_High,IF(MAX(AZ311/Bldg_Type_Correction,AZ313/Bldg2_Type_Correction)&lt;HD_VeryHigh_Expl,Conseq_VeryHigh,Conseq_ExtremeHigh)))))</f>
        <v>NA</v>
      </c>
      <c r="BA396" s="83"/>
      <c r="BB396" s="1286" t="str">
        <f>IF(BB305&lt;&gt;"Yes","NA",IF(MAX(BB311/Bldg_Type_Correction,BB313/Bldg2_Type_Correction)&lt;HD_Low_Expl,Conseq_Low,IF(MAX(BB311/Bldg_Type_Correction,BB313/Bldg2_Type_Correction)&lt;HD_Moderate_Expl,Conseq_Moderate,IF(MAX(BB311/Bldg_Type_Correction,BB313/Bldg2_Type_Correction)&lt;HD_High_Expl,Conseq_High,IF(MAX(BB311/Bldg_Type_Correction,BB313/Bldg2_Type_Correction)&lt;HD_VeryHigh_Expl,Conseq_VeryHigh,Conseq_ExtremeHigh)))))</f>
        <v>NA</v>
      </c>
      <c r="BC396" s="83"/>
      <c r="BD396" s="1286" t="str">
        <f>IF(BD305&lt;&gt;"Yes","NA",IF(MAX(BD311/Bldg_Type_Correction,BD313/Bldg2_Type_Correction)&lt;HD_Low_Expl,Conseq_Low,IF(MAX(BD311/Bldg_Type_Correction,BD313/Bldg2_Type_Correction)&lt;HD_Moderate_Expl,Conseq_Moderate,IF(MAX(BD311/Bldg_Type_Correction,BD313/Bldg2_Type_Correction)&lt;HD_High_Expl,Conseq_High,IF(MAX(BD311/Bldg_Type_Correction,BD313/Bldg2_Type_Correction)&lt;HD_VeryHigh_Expl,Conseq_VeryHigh,Conseq_ExtremeHigh)))))</f>
        <v>NA</v>
      </c>
      <c r="BE396" s="83"/>
      <c r="BF396" s="1286" t="str">
        <f>IF(BF305&lt;&gt;"Yes","NA",IF(MAX(BF311/Bldg_Type_Correction,BF313/Bldg2_Type_Correction)&lt;HD_Low_Expl,Conseq_Low,IF(MAX(BF311/Bldg_Type_Correction,BF313/Bldg2_Type_Correction)&lt;HD_Moderate_Expl,Conseq_Moderate,IF(MAX(BF311/Bldg_Type_Correction,BF313/Bldg2_Type_Correction)&lt;HD_High_Expl,Conseq_High,IF(MAX(BF311/Bldg_Type_Correction,BF313/Bldg2_Type_Correction)&lt;HD_VeryHigh_Expl,Conseq_VeryHigh,Conseq_ExtremeHigh)))))</f>
        <v>NA</v>
      </c>
      <c r="BG396" s="83"/>
      <c r="BH396" s="1286" t="str">
        <f>IF(BH305&lt;&gt;"Yes","NA",IF(MAX(BH311/Bldg_Type_Correction,BH313/Bldg2_Type_Correction)&lt;HD_Low_Expl,Conseq_Low,IF(MAX(BH311/Bldg_Type_Correction,BH313/Bldg2_Type_Correction)&lt;HD_Moderate_Expl,Conseq_Moderate,IF(MAX(BH311/Bldg_Type_Correction,BH313/Bldg2_Type_Correction)&lt;HD_High_Expl,Conseq_High,IF(MAX(BH311/Bldg_Type_Correction,BH313/Bldg2_Type_Correction)&lt;HD_VeryHigh_Expl,Conseq_VeryHigh,Conseq_ExtremeHigh)))))</f>
        <v>NA</v>
      </c>
      <c r="BI396" s="83"/>
      <c r="BJ396" s="1286" t="str">
        <f>IF(BJ305&lt;&gt;"Yes","NA",IF(MAX(BJ311/Bldg_Type_Correction,BJ313/Bldg2_Type_Correction)&lt;HD_Low_Expl,Conseq_Low,IF(MAX(BJ311/Bldg_Type_Correction,BJ313/Bldg2_Type_Correction)&lt;HD_Moderate_Expl,Conseq_Moderate,IF(MAX(BJ311/Bldg_Type_Correction,BJ313/Bldg2_Type_Correction)&lt;HD_High_Expl,Conseq_High,IF(MAX(BJ311/Bldg_Type_Correction,BJ313/Bldg2_Type_Correction)&lt;HD_VeryHigh_Expl,Conseq_VeryHigh,Conseq_ExtremeHigh)))))</f>
        <v>NA</v>
      </c>
      <c r="BK396" s="83"/>
      <c r="BL396" s="1286" t="str">
        <f>IF(BL305&lt;&gt;"Yes","NA",IF(MAX(BL311/Bldg_Type_Correction,BL313/Bldg2_Type_Correction)&lt;HD_Low_Expl,Conseq_Low,IF(MAX(BL311/Bldg_Type_Correction,BL313/Bldg2_Type_Correction)&lt;HD_Moderate_Expl,Conseq_Moderate,IF(MAX(BL311/Bldg_Type_Correction,BL313/Bldg2_Type_Correction)&lt;HD_High_Expl,Conseq_High,IF(MAX(BL311/Bldg_Type_Correction,BL313/Bldg2_Type_Correction)&lt;HD_VeryHigh_Expl,Conseq_VeryHigh,Conseq_ExtremeHigh)))))</f>
        <v>NA</v>
      </c>
      <c r="BM396" s="83"/>
      <c r="BN396" s="1286" t="str">
        <f>IF(BN305&lt;&gt;"Yes","NA",IF(MAX(BN311/Bldg_Type_Correction,BN313/Bldg2_Type_Correction)&lt;HD_Low_Expl,Conseq_Low,IF(MAX(BN311/Bldg_Type_Correction,BN313/Bldg2_Type_Correction)&lt;HD_Moderate_Expl,Conseq_Moderate,IF(MAX(BN311/Bldg_Type_Correction,BN313/Bldg2_Type_Correction)&lt;HD_High_Expl,Conseq_High,IF(MAX(BN311/Bldg_Type_Correction,BN313/Bldg2_Type_Correction)&lt;HD_VeryHigh_Expl,Conseq_VeryHigh,Conseq_ExtremeHigh)))))</f>
        <v>NA</v>
      </c>
      <c r="BO396" s="83"/>
      <c r="BP396" s="23"/>
      <c r="BQ396" s="83"/>
      <c r="BR396" s="81"/>
      <c r="BS396" s="85" t="s">
        <v>1638</v>
      </c>
      <c r="BT396" s="81"/>
      <c r="BU396" s="1208">
        <v>0</v>
      </c>
      <c r="BV396" s="81"/>
      <c r="BW396" s="1208">
        <v>0</v>
      </c>
      <c r="BX396" s="81"/>
      <c r="BY396" s="1208">
        <v>0</v>
      </c>
      <c r="BZ396" s="81"/>
      <c r="CA396" s="1208">
        <v>0</v>
      </c>
      <c r="CB396" s="81"/>
      <c r="CC396" s="1208">
        <v>0</v>
      </c>
      <c r="CD396" s="81"/>
      <c r="CE396" s="23"/>
      <c r="CF396" s="81"/>
      <c r="CN396" s="26"/>
    </row>
    <row r="397" spans="1:92" ht="15" customHeight="1" thickBot="1" x14ac:dyDescent="0.3">
      <c r="A397" s="2"/>
      <c r="B397" s="23" t="s">
        <v>2011</v>
      </c>
      <c r="C397" s="83"/>
      <c r="D397" s="3014">
        <f>D391+D386+D393+D396</f>
        <v>0</v>
      </c>
      <c r="E397" s="83"/>
      <c r="F397" s="3014">
        <f>F391+F386+F393+F396</f>
        <v>0</v>
      </c>
      <c r="G397" s="83"/>
      <c r="H397" s="3014">
        <f>H391+H386+H393+H396</f>
        <v>0</v>
      </c>
      <c r="I397" s="83"/>
      <c r="J397" s="3014">
        <f>J391+J386+J393+J396</f>
        <v>0</v>
      </c>
      <c r="K397" s="83"/>
      <c r="L397" s="3014">
        <f>L391+L386+L393+L396</f>
        <v>0</v>
      </c>
      <c r="M397" s="83"/>
      <c r="N397" s="3014">
        <f>N391+N386+N393+N396</f>
        <v>0</v>
      </c>
      <c r="O397" s="83"/>
      <c r="P397" s="3014">
        <f>P391+P386+P393+P396</f>
        <v>0</v>
      </c>
      <c r="Q397" s="83"/>
      <c r="R397" s="3014">
        <f>R391+R386+R393+R396</f>
        <v>0</v>
      </c>
      <c r="S397" s="83"/>
      <c r="T397" s="3014">
        <f>T391+T386+T393+T396</f>
        <v>0</v>
      </c>
      <c r="U397" s="83"/>
      <c r="V397" s="3014">
        <f>V391+V386+V393+V396</f>
        <v>0</v>
      </c>
      <c r="W397" s="83"/>
      <c r="X397" s="3014">
        <f>X391+X386+X393+X396</f>
        <v>0</v>
      </c>
      <c r="Y397" s="83"/>
      <c r="Z397" s="23"/>
      <c r="AA397" s="83"/>
      <c r="AB397" s="81"/>
      <c r="AC397" s="849" t="s">
        <v>4794</v>
      </c>
      <c r="AD397" s="81"/>
      <c r="AE397" s="1208" t="str">
        <f>IF(OR(Chem_ExposureHazard="NA",AE393&lt;HD_Screening_Limit,AE23&lt;ChemExp_Flow_Limit),"NA",IF(AND(Chem_ExposureHazard="Potential Fatality",AE393&lt;HD_Moderate_CE),Conseq_Moderate,IF(Chem_ExposureHazard="Potential Fatality",Conseq_High,IF(Chem_ExposureHazard="Serious Injury",Conseq_Low,IF(AE$305&lt;&gt;"Yes",Conseq_VeryLow,Conseq_Low)))))</f>
        <v>NA</v>
      </c>
      <c r="AF397" s="81"/>
      <c r="AG397" s="1208" t="str">
        <f>IF(OR(Chem_ExposureHazard="NA",AG393&lt;HD_Screening_Limit,AG23&lt;ChemExp_Flow_Limit),"NA",IF(AND(Chem_ExposureHazard="Potential Fatality",AG393&lt;HD_Moderate_CE),Conseq_Moderate,IF(Chem_ExposureHazard="Potential Fatality",Conseq_High,IF(Chem_ExposureHazard="Serious Injury",Conseq_Low,IF(AG$305&lt;&gt;"Yes",Conseq_VeryLow,Conseq_Low)))))</f>
        <v>NA</v>
      </c>
      <c r="AH397" s="81"/>
      <c r="AI397" s="1208" t="str">
        <f>IF(OR(Chem_ExposureHazard="NA",AI393&lt;HD_Screening_Limit,AI23&lt;ChemExp_Flow_Limit),"NA",IF(AND(Chem_ExposureHazard="Potential Fatality",AI393&lt;HD_Moderate_CE),Conseq_Moderate,IF(Chem_ExposureHazard="Potential Fatality",Conseq_High,IF(Chem_ExposureHazard="Serious Injury",Conseq_Low,IF(AI$305&lt;&gt;"Yes",Conseq_VeryLow,Conseq_Low)))))</f>
        <v>NA</v>
      </c>
      <c r="AJ397" s="81"/>
      <c r="AK397" s="1208" t="str">
        <f>IF(OR(Chem_ExposureHazard="NA",AK393&lt;HD_Screening_Limit,AK23&lt;ChemExp_Flow_Limit),"NA",IF(AND(Chem_ExposureHazard="Potential Fatality",AK393&lt;HD_Moderate_CE),Conseq_Moderate,IF(Chem_ExposureHazard="Potential Fatality",Conseq_High,IF(Chem_ExposureHazard="Serious Injury",Conseq_Low,IF(AK$305&lt;&gt;"Yes",Conseq_VeryLow,Conseq_Low)))))</f>
        <v>NA</v>
      </c>
      <c r="AL397" s="81"/>
      <c r="AM397" s="1208" t="str">
        <f>IF(OR(Chem_ExposureHazard="NA",AM393&lt;HD_Screening_Limit,AM23&lt;ChemExp_Flow_Limit),"NA",IF(AND(Chem_ExposureHazard="Potential Fatality",AM393&lt;HD_Moderate_CE),Conseq_Moderate,IF(Chem_ExposureHazard="Potential Fatality",Conseq_High,IF(Chem_ExposureHazard="Serious Injury",Conseq_Low,IF(AM$305&lt;&gt;"Yes",Conseq_VeryLow,Conseq_Low)))))</f>
        <v>NA</v>
      </c>
      <c r="AN397" s="81"/>
      <c r="AO397" s="1208" t="str">
        <f>IF(OR(Chem_ExposureHazard="NA",AO393&lt;HD_Screening_Limit,AO23&lt;ChemExp_Flow_Limit),"NA",IF(AND(Chem_ExposureHazard="Potential Fatality",AO393&lt;HD_Moderate_CE),Conseq_Moderate,IF(Chem_ExposureHazard="Potential Fatality",Conseq_High,IF(Chem_ExposureHazard="Serious Injury",Conseq_Low,IF(AO$305&lt;&gt;"Yes",Conseq_VeryLow,Conseq_Low)))))</f>
        <v>NA</v>
      </c>
      <c r="AP397" s="81"/>
      <c r="AQ397" s="23"/>
      <c r="AR397" s="81"/>
      <c r="AS397" s="83"/>
      <c r="AT397" s="849" t="s">
        <v>4229</v>
      </c>
      <c r="AU397" s="83"/>
      <c r="AV397" s="2135" t="str">
        <f>IF(Conseq_Criteria="Hazard Distance",AV396,IF(OR(AV305&lt;&gt;"Yes",AV395&lt;N_Screening),"NA",IF(AV395&lt;N_VeryLow,Conseq_VeryLow,IF(AV395&lt;N_Low,Conseq_Low,IF(AV395&lt;N_Moderate,Conseq_Moderate,IF(AV395&lt;N_High,Conseq_High,IF(AV395&lt;N_VeryHigh,Conseq_VeryHigh,Conseq_ExtremeHigh)))))))</f>
        <v>NA</v>
      </c>
      <c r="AW397" s="83"/>
      <c r="AX397" s="2135" t="str">
        <f>IF(Conseq_Criteria="Hazard Distance",AX396,IF(OR(AX305&lt;&gt;"Yes",AX395&lt;N_Screening),"NA",IF(AX395&lt;N_VeryLow,Conseq_VeryLow,IF(AX395&lt;N_Low,Conseq_Low,IF(AX395&lt;N_Moderate,Conseq_Moderate,IF(AX395&lt;N_High,Conseq_High,IF(AX395&lt;N_VeryHigh,Conseq_VeryHigh,Conseq_ExtremeHigh)))))))</f>
        <v>NA</v>
      </c>
      <c r="AY397" s="83"/>
      <c r="AZ397" s="2135" t="str">
        <f>IF(Conseq_Criteria="Hazard Distance",AZ396,IF(OR(AZ305&lt;&gt;"Yes",AZ395&lt;N_Screening),"NA",IF(AZ395&lt;N_VeryLow,Conseq_VeryLow,IF(AZ395&lt;N_Low,Conseq_Low,IF(AZ395&lt;N_Moderate,Conseq_Moderate,IF(AZ395&lt;N_High,Conseq_High,IF(AZ395&lt;N_VeryHigh,Conseq_VeryHigh,Conseq_ExtremeHigh)))))))</f>
        <v>NA</v>
      </c>
      <c r="BA397" s="83"/>
      <c r="BB397" s="2135" t="str">
        <f>IF(Conseq_Criteria="Hazard Distance",BB396,IF(OR(BB305&lt;&gt;"Yes",BB395&lt;N_Screening),"NA",IF(BB395&lt;N_VeryLow,Conseq_VeryLow,IF(BB395&lt;N_Low,Conseq_Low,IF(BB395&lt;N_Moderate,Conseq_Moderate,IF(BB395&lt;N_High,Conseq_High,IF(BB395&lt;N_VeryHigh,Conseq_VeryHigh,Conseq_ExtremeHigh)))))))</f>
        <v>NA</v>
      </c>
      <c r="BC397" s="83"/>
      <c r="BD397" s="2135" t="str">
        <f>IF(Conseq_Criteria="Hazard Distance",BD396,IF(OR(BD305&lt;&gt;"Yes",BD395&lt;N_Screening),"NA",IF(BD395&lt;N_VeryLow,Conseq_VeryLow,IF(BD395&lt;N_Low,Conseq_Low,IF(BD395&lt;N_Moderate,Conseq_Moderate,IF(BD395&lt;N_High,Conseq_High,IF(BD395&lt;N_VeryHigh,Conseq_VeryHigh,Conseq_ExtremeHigh)))))))</f>
        <v>NA</v>
      </c>
      <c r="BE397" s="83"/>
      <c r="BF397" s="2135" t="str">
        <f>IF(Conseq_Criteria="Hazard Distance",BF396,IF(OR(BF305&lt;&gt;"Yes",BF395&lt;N_Screening),"NA",IF(BF395&lt;N_VeryLow,Conseq_VeryLow,IF(BF395&lt;N_Low,Conseq_Low,IF(BF395&lt;N_Moderate,Conseq_Moderate,IF(BF395&lt;N_High,Conseq_High,IF(BF395&lt;N_VeryHigh,Conseq_VeryHigh,Conseq_ExtremeHigh)))))))</f>
        <v>NA</v>
      </c>
      <c r="BG397" s="83"/>
      <c r="BH397" s="2135" t="str">
        <f>IF(Conseq_Criteria="Hazard Distance",BH396,IF(OR(BH305&lt;&gt;"Yes",BH395&lt;N_Screening),"NA",IF(BH395&lt;N_VeryLow,Conseq_VeryLow,IF(BH395&lt;N_Low,Conseq_Low,IF(BH395&lt;N_Moderate,Conseq_Moderate,IF(BH395&lt;N_High,Conseq_High,IF(BH395&lt;N_VeryHigh,Conseq_VeryHigh,Conseq_ExtremeHigh)))))))</f>
        <v>NA</v>
      </c>
      <c r="BI397" s="83"/>
      <c r="BJ397" s="2135" t="str">
        <f>IF(Conseq_Criteria="Hazard Distance",BJ396,IF(OR(BJ305&lt;&gt;"Yes",BJ395&lt;N_Screening),"NA",IF(BJ395&lt;N_VeryLow,Conseq_VeryLow,IF(BJ395&lt;N_Low,Conseq_Low,IF(BJ395&lt;N_Moderate,Conseq_Moderate,IF(BJ395&lt;N_High,Conseq_High,IF(BJ395&lt;N_VeryHigh,Conseq_VeryHigh,Conseq_ExtremeHigh)))))))</f>
        <v>NA</v>
      </c>
      <c r="BK397" s="83"/>
      <c r="BL397" s="2135" t="str">
        <f>IF(Conseq_Criteria="Hazard Distance",BL396,IF(OR(BL305&lt;&gt;"Yes",BL395&lt;N_Screening),"NA",IF(BL395&lt;N_VeryLow,Conseq_VeryLow,IF(BL395&lt;N_Low,Conseq_Low,IF(BL395&lt;N_Moderate,Conseq_Moderate,IF(BL395&lt;N_High,Conseq_High,IF(BL395&lt;N_VeryHigh,Conseq_VeryHigh,Conseq_ExtremeHigh)))))))</f>
        <v>NA</v>
      </c>
      <c r="BM397" s="83"/>
      <c r="BN397" s="2135" t="str">
        <f>IF(Conseq_Criteria="Hazard Distance",BN396,IF(OR(BN305&lt;&gt;"Yes",BN395&lt;N_Screening),"NA",IF(BN395&lt;N_VeryLow,Conseq_VeryLow,IF(BN395&lt;N_Low,Conseq_Low,IF(BN395&lt;N_Moderate,Conseq_Moderate,IF(BN395&lt;N_High,Conseq_High,IF(BN395&lt;N_VeryHigh,Conseq_VeryHigh,Conseq_ExtremeHigh)))))))</f>
        <v>NA</v>
      </c>
      <c r="BO397" s="83"/>
      <c r="BP397" s="89"/>
      <c r="BQ397" s="83"/>
      <c r="BR397" s="81"/>
      <c r="BS397" s="25" t="s">
        <v>4789</v>
      </c>
      <c r="BT397" s="81"/>
      <c r="BU397" s="1208" t="str">
        <f>IF(OR(AND(Regulatory_Tox&lt;&gt;"Yes",ER3_Min&gt;Toxic_Limit),IF(BU231&lt;&gt;"",BU231,0)&gt;BU219,BU287&lt;HD_Screening_Limit),"NA",IF(AND(BU$292&lt;&gt;"Yes",BU287&lt;HD_VeryLow_OnSite),Conseq_VeryLow,IF(BU287&lt;HD_Low_OnSite,Conseq_Low,IF(BU287&lt;HD_Moderate_OnSite,Conseq_Moderate,IF(BU287&lt;HD_High_OnSite,Conseq_High,IF(BU287&lt;HD_VeryHigh_OnSite,Conseq_VeryHigh,Conseq_ExtremeHigh))))))</f>
        <v>NA</v>
      </c>
      <c r="BV397" s="81"/>
      <c r="BW397" s="1208" t="str">
        <f>IF(OR(AND(Regulatory_Tox&lt;&gt;"Yes",ER3_Min&gt;Toxic_Limit),IF(BW231&lt;&gt;"",BW231,0)&gt;BW219,BW287&lt;HD_Screening_Limit),"NA",IF(AND(BW$292&lt;&gt;"Yes",BW287&lt;HD_VeryLow_OnSite),Conseq_VeryLow,IF(BW287&lt;HD_Low_OnSite,Conseq_Low,IF(BW287&lt;HD_Moderate_OnSite,Conseq_Moderate,IF(BW287&lt;HD_High_OnSite,Conseq_High,IF(BW287&lt;HD_VeryHigh_OnSite,Conseq_VeryHigh,Conseq_ExtremeHigh))))))</f>
        <v>NA</v>
      </c>
      <c r="BX397" s="81"/>
      <c r="BY397" s="1208" t="str">
        <f>IF(OR(AND(Regulatory_Tox&lt;&gt;"Yes",ER3_Min&gt;Toxic_Limit),IF(BY231&lt;&gt;"",BY231,0)&gt;BY219,BY287&lt;HD_Screening_Limit),"NA",IF(AND(BY$292&lt;&gt;"Yes",BY287&lt;HD_VeryLow_OnSite),Conseq_VeryLow,IF(BY287&lt;HD_Low_OnSite,Conseq_Low,IF(BY287&lt;HD_Moderate_OnSite,Conseq_Moderate,IF(BY287&lt;HD_High_OnSite,Conseq_High,IF(BY287&lt;HD_VeryHigh_OnSite,Conseq_VeryHigh,Conseq_ExtremeHigh))))))</f>
        <v>NA</v>
      </c>
      <c r="BZ397" s="81"/>
      <c r="CA397" s="1208" t="str">
        <f>IF(OR(AND(Regulatory_Tox&lt;&gt;"Yes",ER3_Min&gt;Toxic_Limit),IF(CA231&lt;&gt;"",CA231,0)&gt;CA219,CA287&lt;HD_Screening_Limit),"NA",IF(AND(CA$292&lt;&gt;"Yes",CA287&lt;HD_VeryLow_OnSite),Conseq_VeryLow,IF(CA287&lt;HD_Low_OnSite,Conseq_Low,IF(CA287&lt;HD_Moderate_OnSite,Conseq_Moderate,IF(CA287&lt;HD_High_OnSite,Conseq_High,IF(CA287&lt;HD_VeryHigh_OnSite,Conseq_VeryHigh,Conseq_ExtremeHigh))))))</f>
        <v>NA</v>
      </c>
      <c r="CB397" s="81"/>
      <c r="CC397" s="1208" t="str">
        <f>IF(OR(AND(Regulatory_Tox&lt;&gt;"Yes",ER3_Min&gt;Toxic_Limit),IF(CC231&lt;&gt;"",CC231,0)&gt;CC219,CC287&lt;HD_Screening_Limit),"NA",IF(AND(CC$292&lt;&gt;"Yes",CC287&lt;HD_VeryLow_OnSite),Conseq_VeryLow,IF(CC287&lt;HD_Low_OnSite,Conseq_Low,IF(CC287&lt;HD_Moderate_OnSite,Conseq_Moderate,IF(CC287&lt;HD_High_OnSite,Conseq_High,IF(CC287&lt;HD_VeryHigh_OnSite,Conseq_VeryHigh,Conseq_ExtremeHigh))))))</f>
        <v>NA</v>
      </c>
      <c r="CD397" s="81"/>
      <c r="CE397" s="23"/>
      <c r="CF397" s="81"/>
      <c r="CN397" s="26"/>
    </row>
    <row r="398" spans="1:92" ht="15" customHeight="1" thickBot="1" x14ac:dyDescent="0.3">
      <c r="A398" s="2"/>
      <c r="B398" s="25" t="s">
        <v>4795</v>
      </c>
      <c r="C398" s="83"/>
      <c r="D398" s="1286" t="str">
        <f>IF(D307&lt;&gt;"Yes","NA",IF(MAX(D313/Bldg_Type_Correction,D315/Bldg2_Type_Correction)&lt;HD_Low_Expl,Conseq_Low,IF(MAX(D313/Bldg_Type_Correction,D315/Bldg2_Type_Correction)&lt;HD_Moderate_Expl,Conseq_Moderate,IF(MAX(D313/Bldg_Type_Correction,D315/Bldg2_Type_Correction)&lt;HD_High_Expl,Conseq_High,IF(MAX(D313/Bldg_Type_Correction,D315/Bldg2_Type_Correction)&lt;HD_VeryHigh_Expl,Conseq_VeryHigh,Conseq_ExtremeHigh)))))</f>
        <v>NA</v>
      </c>
      <c r="E398" s="1024"/>
      <c r="F398" s="1286" t="str">
        <f>IF(F307&lt;&gt;"Yes","NA",IF(MAX(F313/Bldg_Type_Correction,F315/Bldg2_Type_Correction)&lt;HD_Low_Expl,Conseq_Low,IF(MAX(F313/Bldg_Type_Correction,F315/Bldg2_Type_Correction)&lt;HD_Moderate_Expl,Conseq_Moderate,IF(MAX(F313/Bldg_Type_Correction,F315/Bldg2_Type_Correction)&lt;HD_High_Expl,Conseq_High,IF(MAX(F313/Bldg_Type_Correction,F315/Bldg2_Type_Correction)&lt;HD_VeryHigh_Expl,Conseq_VeryHigh,Conseq_ExtremeHigh)))))</f>
        <v>NA</v>
      </c>
      <c r="G398" s="1024"/>
      <c r="H398" s="1286" t="str">
        <f>IF(H307&lt;&gt;"Yes","NA",IF(MAX(H313/Bldg_Type_Correction,H315/Bldg2_Type_Correction)&lt;HD_Low_Expl,Conseq_Low,IF(MAX(H313/Bldg_Type_Correction,H315/Bldg2_Type_Correction)&lt;HD_Moderate_Expl,Conseq_Moderate,IF(MAX(H313/Bldg_Type_Correction,H315/Bldg2_Type_Correction)&lt;HD_High_Expl,Conseq_High,IF(MAX(H313/Bldg_Type_Correction,H315/Bldg2_Type_Correction)&lt;HD_VeryHigh_Expl,Conseq_VeryHigh,Conseq_ExtremeHigh)))))</f>
        <v>NA</v>
      </c>
      <c r="I398" s="1024"/>
      <c r="J398" s="1286" t="str">
        <f>IF(J307&lt;&gt;"Yes","NA",IF(MAX(J313/Bldg_Type_Correction,J315/Bldg2_Type_Correction)&lt;HD_Low_Expl,Conseq_Low,IF(MAX(J313/Bldg_Type_Correction,J315/Bldg2_Type_Correction)&lt;HD_Moderate_Expl,Conseq_Moderate,IF(MAX(J313/Bldg_Type_Correction,J315/Bldg2_Type_Correction)&lt;HD_High_Expl,Conseq_High,IF(MAX(J313/Bldg_Type_Correction,J315/Bldg2_Type_Correction)&lt;HD_VeryHigh_Expl,Conseq_VeryHigh,Conseq_ExtremeHigh)))))</f>
        <v>NA</v>
      </c>
      <c r="K398" s="1024"/>
      <c r="L398" s="1286" t="str">
        <f>IF(L307&lt;&gt;"Yes","NA",IF(MAX(L313/Bldg_Type_Correction,L315/Bldg2_Type_Correction)&lt;HD_Low_Expl,Conseq_Low,IF(MAX(L313/Bldg_Type_Correction,L315/Bldg2_Type_Correction)&lt;HD_Moderate_Expl,Conseq_Moderate,IF(MAX(L313/Bldg_Type_Correction,L315/Bldg2_Type_Correction)&lt;HD_High_Expl,Conseq_High,IF(MAX(L313/Bldg_Type_Correction,L315/Bldg2_Type_Correction)&lt;HD_VeryHigh_Expl,Conseq_VeryHigh,Conseq_ExtremeHigh)))))</f>
        <v>NA</v>
      </c>
      <c r="M398" s="1024"/>
      <c r="N398" s="1286" t="str">
        <f>IF(N307&lt;&gt;"Yes","NA",IF(MAX(N313/Bldg_Type_Correction,N315/Bldg2_Type_Correction)&lt;HD_Low_Expl,Conseq_Low,IF(MAX(N313/Bldg_Type_Correction,N315/Bldg2_Type_Correction)&lt;HD_Moderate_Expl,Conseq_Moderate,IF(MAX(N313/Bldg_Type_Correction,N315/Bldg2_Type_Correction)&lt;HD_High_Expl,Conseq_High,IF(MAX(N313/Bldg_Type_Correction,N315/Bldg2_Type_Correction)&lt;HD_VeryHigh_Expl,Conseq_VeryHigh,Conseq_ExtremeHigh)))))</f>
        <v>NA</v>
      </c>
      <c r="O398" s="1024"/>
      <c r="P398" s="1286" t="str">
        <f>IF(P307&lt;&gt;"Yes","NA",IF(MAX(P313/Bldg_Type_Correction,P315/Bldg2_Type_Correction)&lt;HD_Low_Expl,Conseq_Low,IF(MAX(P313/Bldg_Type_Correction,P315/Bldg2_Type_Correction)&lt;HD_Moderate_Expl,Conseq_Moderate,IF(MAX(P313/Bldg_Type_Correction,P315/Bldg2_Type_Correction)&lt;HD_High_Expl,Conseq_High,IF(MAX(P313/Bldg_Type_Correction,P315/Bldg2_Type_Correction)&lt;HD_VeryHigh_Expl,Conseq_VeryHigh,Conseq_ExtremeHigh)))))</f>
        <v>NA</v>
      </c>
      <c r="Q398" s="1024"/>
      <c r="R398" s="1286" t="str">
        <f>IF(R307&lt;&gt;"Yes","NA",IF(MAX(R313/Bldg_Type_Correction,R315/Bldg2_Type_Correction)&lt;HD_Low_Expl,Conseq_Low,IF(MAX(R313/Bldg_Type_Correction,R315/Bldg2_Type_Correction)&lt;HD_Moderate_Expl,Conseq_Moderate,IF(MAX(R313/Bldg_Type_Correction,R315/Bldg2_Type_Correction)&lt;HD_High_Expl,Conseq_High,IF(MAX(R313/Bldg_Type_Correction,R315/Bldg2_Type_Correction)&lt;HD_VeryHigh_Expl,Conseq_VeryHigh,Conseq_ExtremeHigh)))))</f>
        <v>NA</v>
      </c>
      <c r="S398" s="1024"/>
      <c r="T398" s="1286" t="str">
        <f>IF(T307&lt;&gt;"Yes","NA",IF(MAX(T313/Bldg_Type_Correction,T315/Bldg2_Type_Correction)&lt;HD_Low_Expl,Conseq_Low,IF(MAX(T313/Bldg_Type_Correction,T315/Bldg2_Type_Correction)&lt;HD_Moderate_Expl,Conseq_Moderate,IF(MAX(T313/Bldg_Type_Correction,T315/Bldg2_Type_Correction)&lt;HD_High_Expl,Conseq_High,IF(MAX(T313/Bldg_Type_Correction,T315/Bldg2_Type_Correction)&lt;HD_VeryHigh_Expl,Conseq_VeryHigh,Conseq_ExtremeHigh)))))</f>
        <v>NA</v>
      </c>
      <c r="U398" s="1024"/>
      <c r="V398" s="1286" t="str">
        <f>IF(V307&lt;&gt;"Yes","NA",IF(MAX(V313/Bldg_Type_Correction,V315/Bldg2_Type_Correction)&lt;HD_Low_Expl,Conseq_Low,IF(MAX(V313/Bldg_Type_Correction,V315/Bldg2_Type_Correction)&lt;HD_Moderate_Expl,Conseq_Moderate,IF(MAX(V313/Bldg_Type_Correction,V315/Bldg2_Type_Correction)&lt;HD_High_Expl,Conseq_High,IF(MAX(V313/Bldg_Type_Correction,V315/Bldg2_Type_Correction)&lt;HD_VeryHigh_Expl,Conseq_VeryHigh,Conseq_ExtremeHigh)))))</f>
        <v>NA</v>
      </c>
      <c r="W398" s="1024"/>
      <c r="X398" s="1286" t="str">
        <f>IF(X307&lt;&gt;"Yes","NA",IF(MAX(X313/Bldg_Type_Correction,X315/Bldg2_Type_Correction)&lt;HD_Low_Expl,Conseq_Low,IF(MAX(X313/Bldg_Type_Correction,X315/Bldg2_Type_Correction)&lt;HD_Moderate_Expl,Conseq_Moderate,IF(MAX(X313/Bldg_Type_Correction,X315/Bldg2_Type_Correction)&lt;HD_High_Expl,Conseq_High,IF(MAX(X313/Bldg_Type_Correction,X315/Bldg2_Type_Correction)&lt;HD_VeryHigh_Expl,Conseq_VeryHigh,Conseq_ExtremeHigh)))))</f>
        <v>NA</v>
      </c>
      <c r="Y398" s="83"/>
      <c r="Z398" s="23"/>
      <c r="AA398" s="83"/>
      <c r="AB398" s="81"/>
      <c r="AC398" s="849" t="s">
        <v>4227</v>
      </c>
      <c r="AD398" s="81"/>
      <c r="AE398" s="2135" t="str">
        <f>IF(Conseq_Criteria="Hazard Distance",AE397,IF(OR(Chem_ExposureHazard="NA",AE393&lt;HD_Screening_Limit,AE23&lt;ChemExp_Flow_Limit),"NA",IF(AND(Chem_ExposureHazard="Potential Fatality",AE395&lt;N_Moderate),Conseq_Moderate,IF(Chem_ExposureHazard="Potential Fatality",Conseq_High,IF(Chem_ExposureHazard="Serious Injury",Conseq_Low,Conseq_VeryLow)))))</f>
        <v>NA</v>
      </c>
      <c r="AF398" s="81"/>
      <c r="AG398" s="2135" t="str">
        <f>IF(Conseq_Criteria="Hazard Distance",AG397,IF(OR(Chem_ExposureHazard="NA",AG393&lt;HD_Screening_Limit,AG23&lt;ChemExp_Flow_Limit),"NA",IF(AND(Chem_ExposureHazard="Potential Fatality",AG395&lt;N_Moderate),Conseq_Moderate,IF(Chem_ExposureHazard="Potential Fatality",Conseq_High,IF(Chem_ExposureHazard="Serious Injury",Conseq_Low,Conseq_VeryLow)))))</f>
        <v>NA</v>
      </c>
      <c r="AH398" s="81"/>
      <c r="AI398" s="2135" t="str">
        <f>IF(Conseq_Criteria="Hazard Distance",AI397,IF(OR(Chem_ExposureHazard="NA",AI393&lt;HD_Screening_Limit,AI23&lt;ChemExp_Flow_Limit),"NA",IF(AND(Chem_ExposureHazard="Potential Fatality",AI395&lt;N_Moderate),Conseq_Moderate,IF(Chem_ExposureHazard="Potential Fatality",Conseq_High,IF(Chem_ExposureHazard="Serious Injury",Conseq_Low,Conseq_VeryLow)))))</f>
        <v>NA</v>
      </c>
      <c r="AJ398" s="81"/>
      <c r="AK398" s="2135" t="str">
        <f>IF(Conseq_Criteria="Hazard Distance",AK397,IF(OR(Chem_ExposureHazard="NA",AK393&lt;HD_Screening_Limit,AK23&lt;ChemExp_Flow_Limit),"NA",IF(AND(Chem_ExposureHazard="Potential Fatality",AK395&lt;N_Moderate),Conseq_Moderate,IF(Chem_ExposureHazard="Potential Fatality",Conseq_High,IF(Chem_ExposureHazard="Serious Injury",Conseq_Low,Conseq_VeryLow)))))</f>
        <v>NA</v>
      </c>
      <c r="AL398" s="81"/>
      <c r="AM398" s="2135" t="str">
        <f>IF(Conseq_Criteria="Hazard Distance",AM397,IF(OR(Chem_ExposureHazard="NA",AM393&lt;HD_Screening_Limit,AM23&lt;ChemExp_Flow_Limit),"NA",IF(AND(Chem_ExposureHazard="Potential Fatality",AM395&lt;N_Moderate),Conseq_Moderate,IF(Chem_ExposureHazard="Potential Fatality",Conseq_High,IF(Chem_ExposureHazard="Serious Injury",Conseq_Low,Conseq_VeryLow)))))</f>
        <v>NA</v>
      </c>
      <c r="AN398" s="81"/>
      <c r="AO398" s="2135" t="str">
        <f>IF(Conseq_Criteria="Hazard Distance",AO397,IF(OR(Chem_ExposureHazard="NA",AO393&lt;HD_Screening_Limit,AO23&lt;ChemExp_Flow_Limit),"NA",IF(AND(Chem_ExposureHazard="Potential Fatality",AO395&lt;N_Moderate),Conseq_Moderate,IF(Chem_ExposureHazard="Potential Fatality",Conseq_High,IF(Chem_ExposureHazard="Serious Injury",Conseq_Low,Conseq_VeryLow)))))</f>
        <v>NA</v>
      </c>
      <c r="AP398" s="81"/>
      <c r="AQ398" s="89"/>
      <c r="AR398" s="81"/>
      <c r="AS398" s="83"/>
      <c r="AT398" s="851" t="s">
        <v>2008</v>
      </c>
      <c r="AU398" s="83"/>
      <c r="AV398" s="3015">
        <f>IF(AV333&lt;&gt;"Yes",0,EXP(-Bldg_Type_Coefficient*(Bldg_Type_Correction/AV326)^Bldg_Type_Exponent))</f>
        <v>0</v>
      </c>
      <c r="AW398" s="83"/>
      <c r="AX398" s="3015">
        <f>IF(AX333&lt;&gt;"Yes",0,EXP(-Bldg_Type_Coefficient*(Bldg_Type_Correction/AX326)^Bldg_Type_Exponent))</f>
        <v>0</v>
      </c>
      <c r="AY398" s="83"/>
      <c r="AZ398" s="3015">
        <f>IF(AZ333&lt;&gt;"Yes",0,EXP(-Bldg_Type_Coefficient*(Bldg_Type_Correction/AZ326)^Bldg_Type_Exponent))</f>
        <v>0</v>
      </c>
      <c r="BA398" s="83"/>
      <c r="BB398" s="3015">
        <f>IF(BB333&lt;&gt;"Yes",0,EXP(-Bldg_Type_Coefficient*(Bldg_Type_Correction/BB326)^Bldg_Type_Exponent))</f>
        <v>0</v>
      </c>
      <c r="BC398" s="83"/>
      <c r="BD398" s="3015">
        <f>IF(BD333&lt;&gt;"Yes",0,EXP(-Bldg_Type_Coefficient*(Bldg_Type_Correction/BD326)^Bldg_Type_Exponent))</f>
        <v>0</v>
      </c>
      <c r="BE398" s="83"/>
      <c r="BF398" s="3015">
        <f>IF(BF333&lt;&gt;"Yes",0,EXP(-Bldg_Type_Coefficient*(Bldg_Type_Correction/BF326)^Bldg_Type_Exponent))</f>
        <v>0</v>
      </c>
      <c r="BG398" s="83"/>
      <c r="BH398" s="3015">
        <f>IF(BH333&lt;&gt;"Yes",0,EXP(-Bldg_Type_Coefficient*(Bldg_Type_Correction/BH326)^Bldg_Type_Exponent))</f>
        <v>0</v>
      </c>
      <c r="BI398" s="83"/>
      <c r="BJ398" s="3015">
        <f>IF(BJ333&lt;&gt;"Yes",0,EXP(-Bldg_Type_Coefficient*(Bldg_Type_Correction/BJ326)^Bldg_Type_Exponent))</f>
        <v>0</v>
      </c>
      <c r="BK398" s="83"/>
      <c r="BL398" s="3015">
        <f>IF(BL333&lt;&gt;"Yes",0,EXP(-Bldg_Type_Coefficient*(Bldg_Type_Correction/BL326)^Bldg_Type_Exponent))</f>
        <v>0</v>
      </c>
      <c r="BM398" s="83"/>
      <c r="BN398" s="3015">
        <f>IF(BN333&lt;&gt;"Yes",0,EXP(-Bldg_Type_Coefficient*(Bldg_Type_Correction/BN326)^Bldg_Type_Exponent))</f>
        <v>0</v>
      </c>
      <c r="BO398" s="83"/>
      <c r="BP398" s="1819"/>
      <c r="BQ398" s="83"/>
      <c r="BR398" s="81"/>
      <c r="BS398" s="25" t="s">
        <v>4224</v>
      </c>
      <c r="BT398" s="81"/>
      <c r="BU398" s="2135" t="str">
        <f>IF(Conseq_Criteria="Hazard Distance",BU397,IF(OR(AND(Regulatory_Tox&lt;&gt;"Yes",ER3_Min&gt;Toxic_Limit),IF(BU237&lt;&gt;"",BU237,0)&gt;BU219,BU287&lt;HD_Screening_Limit),"NA",IF(AND(BU287&lt;HD_Severe_Impact,BU395&lt;N_VeryLow),Conseq_VeryLow,IF(BU395&lt;N_Low,Conseq_Low,IF(BU395&lt;N_Moderate,Conseq_Moderate,IF(BU395&lt;N_High,Conseq_High,IF(BU395&lt;N_VeryHigh,Conseq_VeryHigh,Conseq_ExtremeHigh)))))))</f>
        <v>NA</v>
      </c>
      <c r="BV398" s="81"/>
      <c r="BW398" s="2135" t="str">
        <f>IF(Conseq_Criteria="Hazard Distance",BW397,IF(OR(AND(Regulatory_Tox&lt;&gt;"Yes",ER3_Min&gt;Toxic_Limit),IF(BW237&lt;&gt;"",BW237,0)&gt;BW219,BW287&lt;HD_Screening_Limit),"NA",IF(AND(BW287&lt;HD_Severe_Impact,BW395&lt;N_VeryLow),Conseq_VeryLow,IF(BW395&lt;N_Low,Conseq_Low,IF(BW395&lt;N_Moderate,Conseq_Moderate,IF(BW395&lt;N_High,Conseq_High,IF(BW395&lt;N_VeryHigh,Conseq_VeryHigh,Conseq_ExtremeHigh)))))))</f>
        <v>NA</v>
      </c>
      <c r="BX398" s="81"/>
      <c r="BY398" s="2135" t="str">
        <f>IF(Conseq_Criteria="Hazard Distance",BY397,IF(OR(AND(Regulatory_Tox&lt;&gt;"Yes",ER3_Min&gt;Toxic_Limit),IF(BY237&lt;&gt;"",BY237,0)&gt;BY219,BY287&lt;HD_Screening_Limit),"NA",IF(AND(BY287&lt;HD_Severe_Impact,BY395&lt;N_VeryLow),Conseq_VeryLow,IF(BY395&lt;N_Low,Conseq_Low,IF(BY395&lt;N_Moderate,Conseq_Moderate,IF(BY395&lt;N_High,Conseq_High,IF(BY395&lt;N_VeryHigh,Conseq_VeryHigh,Conseq_ExtremeHigh)))))))</f>
        <v>NA</v>
      </c>
      <c r="BZ398" s="81"/>
      <c r="CA398" s="2135" t="str">
        <f>IF(Conseq_Criteria="Hazard Distance",CA397,IF(OR(AND(Regulatory_Tox&lt;&gt;"Yes",ER3_Min&gt;Toxic_Limit),IF(CA237&lt;&gt;"",CA237,0)&gt;CA219,CA287&lt;HD_Screening_Limit),"NA",IF(AND(CA287&lt;HD_Severe_Impact,CA395&lt;N_VeryLow),Conseq_VeryLow,IF(CA395&lt;N_Low,Conseq_Low,IF(CA395&lt;N_Moderate,Conseq_Moderate,IF(CA395&lt;N_High,Conseq_High,IF(CA395&lt;N_VeryHigh,Conseq_VeryHigh,Conseq_ExtremeHigh)))))))</f>
        <v>NA</v>
      </c>
      <c r="CB398" s="81"/>
      <c r="CC398" s="2135" t="str">
        <f>IF(Conseq_Criteria="Hazard Distance",CC397,IF(OR(AND(Regulatory_Tox&lt;&gt;"Yes",ER3_Min&gt;Toxic_Limit),IF(CC237&lt;&gt;"",CC237,0)&gt;CC219,CC287&lt;HD_Screening_Limit),"NA",IF(AND(CC287&lt;HD_Severe_Impact,CC395&lt;N_VeryLow),Conseq_VeryLow,IF(CC395&lt;N_Low,Conseq_Low,IF(CC395&lt;N_Moderate,Conseq_Moderate,IF(CC395&lt;N_High,Conseq_High,IF(CC395&lt;N_VeryHigh,Conseq_VeryHigh,Conseq_ExtremeHigh)))))))</f>
        <v>NA</v>
      </c>
      <c r="CD398" s="81"/>
      <c r="CE398" s="89"/>
      <c r="CF398" s="81"/>
      <c r="CN398" s="26"/>
    </row>
    <row r="399" spans="1:92" ht="15" customHeight="1" thickBot="1" x14ac:dyDescent="0.3">
      <c r="A399" s="2"/>
      <c r="B399" s="25" t="s">
        <v>4229</v>
      </c>
      <c r="C399" s="83"/>
      <c r="D399" s="2135" t="str">
        <f>IF(Conseq_Criteria="Hazard Distance",D398,IF(OR(D307&lt;&gt;"Yes",D397&lt;N_Screening),"NA",IF(D397&lt;N_VeryLow,Conseq_VeryLow,IF(D397&lt;N_Low,Conseq_Low,IF(D397&lt;N_Moderate,Conseq_Moderate,IF(D397&lt;N_High,Conseq_High,IF(D397&lt;N_VeryHigh,Conseq_VeryHigh,Conseq_ExtremeHigh)))))))</f>
        <v>NA</v>
      </c>
      <c r="E399" s="83"/>
      <c r="F399" s="2135" t="str">
        <f>IF(Conseq_Criteria="Hazard Distance",F398,IF(OR(F307&lt;&gt;"Yes",F397&lt;N_Screening),"NA",IF(F397&lt;N_VeryLow,Conseq_VeryLow,IF(F397&lt;N_Low,Conseq_Low,IF(F397&lt;N_Moderate,Conseq_Moderate,IF(F397&lt;N_High,Conseq_High,IF(F397&lt;N_VeryHigh,Conseq_VeryHigh,Conseq_ExtremeHigh)))))))</f>
        <v>NA</v>
      </c>
      <c r="G399" s="83"/>
      <c r="H399" s="2135" t="str">
        <f>IF(Conseq_Criteria="Hazard Distance",H398,IF(OR(H307&lt;&gt;"Yes",H397&lt;N_Screening),"NA",IF(H397&lt;N_VeryLow,Conseq_VeryLow,IF(H397&lt;N_Low,Conseq_Low,IF(H397&lt;N_Moderate,Conseq_Moderate,IF(H397&lt;N_High,Conseq_High,IF(H397&lt;N_VeryHigh,Conseq_VeryHigh,Conseq_ExtremeHigh)))))))</f>
        <v>NA</v>
      </c>
      <c r="I399" s="83"/>
      <c r="J399" s="2135" t="str">
        <f>IF(Conseq_Criteria="Hazard Distance",J398,IF(OR(J307&lt;&gt;"Yes",J397&lt;N_Screening),"NA",IF(J397&lt;N_VeryLow,Conseq_VeryLow,IF(J397&lt;N_Low,Conseq_Low,IF(J397&lt;N_Moderate,Conseq_Moderate,IF(J397&lt;N_High,Conseq_High,IF(J397&lt;N_VeryHigh,Conseq_VeryHigh,Conseq_ExtremeHigh)))))))</f>
        <v>NA</v>
      </c>
      <c r="K399" s="83"/>
      <c r="L399" s="2135" t="str">
        <f>IF(Conseq_Criteria="Hazard Distance",L398,IF(OR(L307&lt;&gt;"Yes",L397&lt;N_Screening),"NA",IF(L397&lt;N_VeryLow,Conseq_VeryLow,IF(L397&lt;N_Low,Conseq_Low,IF(L397&lt;N_Moderate,Conseq_Moderate,IF(L397&lt;N_High,Conseq_High,IF(L397&lt;N_VeryHigh,Conseq_VeryHigh,Conseq_ExtremeHigh)))))))</f>
        <v>NA</v>
      </c>
      <c r="M399" s="83"/>
      <c r="N399" s="2135" t="str">
        <f>IF(Conseq_Criteria="Hazard Distance",N398,IF(OR(N307&lt;&gt;"Yes",N397&lt;N_Screening),"NA",IF(N397&lt;N_VeryLow,Conseq_VeryLow,IF(N397&lt;N_Low,Conseq_Low,IF(N397&lt;N_Moderate,Conseq_Moderate,IF(N397&lt;N_High,Conseq_High,IF(N397&lt;N_VeryHigh,Conseq_VeryHigh,Conseq_ExtremeHigh)))))))</f>
        <v>NA</v>
      </c>
      <c r="O399" s="83"/>
      <c r="P399" s="2135" t="str">
        <f>IF(Conseq_Criteria="Hazard Distance",P398,IF(OR(P307&lt;&gt;"Yes",P397&lt;N_Screening),"NA",IF(P397&lt;N_VeryLow,Conseq_VeryLow,IF(P397&lt;N_Low,Conseq_Low,IF(P397&lt;N_Moderate,Conseq_Moderate,IF(P397&lt;N_High,Conseq_High,IF(P397&lt;N_VeryHigh,Conseq_VeryHigh,Conseq_ExtremeHigh)))))))</f>
        <v>NA</v>
      </c>
      <c r="Q399" s="83"/>
      <c r="R399" s="2135" t="str">
        <f>IF(Conseq_Criteria="Hazard Distance",R398,IF(OR(R307&lt;&gt;"Yes",R397&lt;N_Screening),"NA",IF(R397&lt;N_VeryLow,Conseq_VeryLow,IF(R397&lt;N_Low,Conseq_Low,IF(R397&lt;N_Moderate,Conseq_Moderate,IF(R397&lt;N_High,Conseq_High,IF(R397&lt;N_VeryHigh,Conseq_VeryHigh,Conseq_ExtremeHigh)))))))</f>
        <v>NA</v>
      </c>
      <c r="S399" s="83"/>
      <c r="T399" s="2135" t="str">
        <f>IF(Conseq_Criteria="Hazard Distance",T398,IF(OR(T307&lt;&gt;"Yes",T397&lt;N_Screening),"NA",IF(T397&lt;N_VeryLow,Conseq_VeryLow,IF(T397&lt;N_Low,Conseq_Low,IF(T397&lt;N_Moderate,Conseq_Moderate,IF(T397&lt;N_High,Conseq_High,IF(T397&lt;N_VeryHigh,Conseq_VeryHigh,Conseq_ExtremeHigh)))))))</f>
        <v>NA</v>
      </c>
      <c r="U399" s="83"/>
      <c r="V399" s="2135" t="str">
        <f>IF(Conseq_Criteria="Hazard Distance",V398,IF(OR(V307&lt;&gt;"Yes",V397&lt;N_Screening),"NA",IF(V397&lt;N_VeryLow,Conseq_VeryLow,IF(V397&lt;N_Low,Conseq_Low,IF(V397&lt;N_Moderate,Conseq_Moderate,IF(V397&lt;N_High,Conseq_High,IF(V397&lt;N_VeryHigh,Conseq_VeryHigh,Conseq_ExtremeHigh)))))))</f>
        <v>NA</v>
      </c>
      <c r="W399" s="83"/>
      <c r="X399" s="2135" t="str">
        <f>IF(Conseq_Criteria="Hazard Distance",X398,IF(OR(X307&lt;&gt;"Yes",X397&lt;N_Screening),"NA",IF(X397&lt;N_VeryLow,Conseq_VeryLow,IF(X397&lt;N_Low,Conseq_Low,IF(X397&lt;N_Moderate,Conseq_Moderate,IF(X397&lt;N_High,Conseq_High,IF(X397&lt;N_VeryHigh,Conseq_VeryHigh,Conseq_ExtremeHigh)))))))</f>
        <v>NA</v>
      </c>
      <c r="Y399" s="83"/>
      <c r="Z399" s="89"/>
      <c r="AA399" s="83"/>
      <c r="AB399" s="81"/>
      <c r="AC399" s="851" t="s">
        <v>832</v>
      </c>
      <c r="AD399" s="81"/>
      <c r="AE399" s="1861">
        <f>IF(AE262="",0,IF(AND(AE294="Outdoors",MAX(AE111,AE306,AE307)&lt;LFL_Fract_FlashFIre*10000*AE262),0,IF(AE294="Indoors",IF(2*AE314&gt;LFL_Fract_FlashFIre*10000*AE262,Enclosed_Process_Volume^(2/3),2*AE314/(LFL_Fract_FlashFIre*10000*AE262)*Enclosed_Process_Volume^(2/3)),MAX(0,Dispersion_D*(AE333^2-((AE109-MIN(AE109,WorkArea_Elevation))*Dispersion_E^0.5)^2)))))</f>
        <v>0</v>
      </c>
      <c r="AF399" s="81"/>
      <c r="AG399" s="1861">
        <f>IF(AG262="",0,IF(AND(AG294="Outdoors",MAX(AG111,AG306,AG307)&lt;LFL_Fract_FlashFIre*10000*AG262),0,IF(AG294="Indoors",IF(2*AG314&gt;LFL_Fract_FlashFIre*10000*AG262,Enclosed_Process_Volume^(2/3),2*AG314/(LFL_Fract_FlashFIre*10000*AG262)*Enclosed_Process_Volume^(2/3)),MAX(0,Dispersion_D*(AG333^2-((AG109-MIN(AG109,WorkArea_Elevation))*Dispersion_E^0.5)^2)))))</f>
        <v>0</v>
      </c>
      <c r="AH399" s="81"/>
      <c r="AI399" s="1861">
        <f>IF(AI262="",0,IF(AND(AI294="Outdoors",MAX(AI111,AI306,AI307)&lt;LFL_Fract_FlashFIre*10000*AI262),0,IF(AI294="Indoors",IF(2*AI314&gt;LFL_Fract_FlashFIre*10000*AI262,Enclosed_Process_Volume^(2/3),2*AI314/(LFL_Fract_FlashFIre*10000*AI262)*Enclosed_Process_Volume^(2/3)),MAX(0,Dispersion_D*(AI333^2-((AI109-MIN(AI109,WorkArea_Elevation))*Dispersion_E^0.5)^2)))))</f>
        <v>0</v>
      </c>
      <c r="AJ399" s="81"/>
      <c r="AK399" s="1861">
        <f>IF(AK262="",0,IF(AND(AK294="Outdoors",MAX(AK111,AK306,AK307)&lt;LFL_Fract_FlashFIre*10000*AK262),0,IF(AK294="Indoors",IF(2*AK314&gt;LFL_Fract_FlashFIre*10000*AK262,Enclosed_Process_Volume^(2/3),2*AK314/(LFL_Fract_FlashFIre*10000*AK262)*Enclosed_Process_Volume^(2/3)),MAX(0,Dispersion_D*(AK333^2-((AK109-MIN(AK109,WorkArea_Elevation))*Dispersion_E^0.5)^2)))))</f>
        <v>0</v>
      </c>
      <c r="AL399" s="81"/>
      <c r="AM399" s="1861">
        <f>IF(AM262="",0,IF(AND(AM294="Outdoors",MAX(AM111,AM306,AM307)&lt;LFL_Fract_FlashFIre*10000*AM262),0,IF(AM294="Indoors",IF(2*AM314&gt;LFL_Fract_FlashFIre*10000*AM262,Enclosed_Process_Volume^(2/3),2*AM314/(LFL_Fract_FlashFIre*10000*AM262)*Enclosed_Process_Volume^(2/3)),MAX(0,Dispersion_D*(AM333^2-((AM109-MIN(AM109,WorkArea_Elevation))*Dispersion_E^0.5)^2)))))</f>
        <v>0</v>
      </c>
      <c r="AN399" s="81"/>
      <c r="AO399" s="1861">
        <f>IF(AO262="",0,IF(AND(AO294="Outdoors",MAX(AO111,AO306,AO307)&lt;LFL_Fract_FlashFIre*10000*AO262),0,IF(AO294="Indoors",IF(2*AO314&gt;LFL_Fract_FlashFIre*10000*AO262,Enclosed_Process_Volume^(2/3),2*AO314/(LFL_Fract_FlashFIre*10000*AO262)*Enclosed_Process_Volume^(2/3)),MAX(0,Dispersion_D*(AO333^2-((AO109-MIN(AO109,WorkArea_Elevation))*Dispersion_E^0.5)^2)))))</f>
        <v>0</v>
      </c>
      <c r="AP399" s="81"/>
      <c r="AQ399" s="85" t="s">
        <v>3804</v>
      </c>
      <c r="AR399" s="81"/>
      <c r="AS399" s="83"/>
      <c r="AT399" s="851" t="s">
        <v>2009</v>
      </c>
      <c r="AU399" s="83"/>
      <c r="AV399" s="1820">
        <f>AV398*Occupants_atRisk</f>
        <v>0</v>
      </c>
      <c r="AW399" s="83"/>
      <c r="AX399" s="1820">
        <f>AX398*Occupants_atRisk</f>
        <v>0</v>
      </c>
      <c r="AY399" s="83"/>
      <c r="AZ399" s="1820">
        <f>AZ398*Occupants_atRisk</f>
        <v>0</v>
      </c>
      <c r="BA399" s="83"/>
      <c r="BB399" s="1820">
        <f>BB398*Occupants_atRisk</f>
        <v>0</v>
      </c>
      <c r="BC399" s="83"/>
      <c r="BD399" s="1820">
        <f>BD398*Occupants_atRisk</f>
        <v>0</v>
      </c>
      <c r="BE399" s="83"/>
      <c r="BF399" s="1820">
        <f>BF398*Occupants_atRisk</f>
        <v>0</v>
      </c>
      <c r="BG399" s="83"/>
      <c r="BH399" s="1820">
        <f>BH398*Occupants_atRisk</f>
        <v>0</v>
      </c>
      <c r="BI399" s="83"/>
      <c r="BJ399" s="1820">
        <f>BJ398*Occupants_atRisk</f>
        <v>0</v>
      </c>
      <c r="BK399" s="83"/>
      <c r="BL399" s="1820">
        <f>BL398*Occupants_atRisk</f>
        <v>0</v>
      </c>
      <c r="BM399" s="83"/>
      <c r="BN399" s="1820">
        <f>BN398*Occupants_atRisk</f>
        <v>0</v>
      </c>
      <c r="BO399" s="83"/>
      <c r="BP399" s="107"/>
      <c r="BQ399" s="83"/>
      <c r="BR399" s="81"/>
      <c r="BS399" s="23" t="s">
        <v>4723</v>
      </c>
      <c r="BT399" s="81"/>
      <c r="BU399" s="3013">
        <f>IF(BU304="No",IF(BU305="No",0,IF(BU300&gt;1000000*(0.21-Asp_Limit)/0.21,1,BU300*0.21/(1000000*(0.21-Asp_Limit)))),IF(BU261=0,0,MIN(1,BU300/BU261)))</f>
        <v>0</v>
      </c>
      <c r="BV399" s="81"/>
      <c r="BW399" s="3013">
        <f>IF(BW304="No",IF(BW305="No",0,IF(BW300&gt;1000000*(0.21-Asp_Limit)/0.21,1,BW300*0.21/(1000000*(0.21-Asp_Limit)))),IF(BW261=0,0,MIN(1,BW300/BW261)))</f>
        <v>0</v>
      </c>
      <c r="BX399" s="81"/>
      <c r="BY399" s="3013">
        <f>IF(BY304="No",IF(BY305="No",0,IF(BY300&gt;1000000*(0.21-Asp_Limit)/0.21,1,BY300*0.21/(1000000*(0.21-Asp_Limit)))),IF(BY261=0,0,MIN(1,BY300/BY261)))</f>
        <v>0</v>
      </c>
      <c r="BZ399" s="81"/>
      <c r="CA399" s="3013">
        <f>IF(CA304="No",IF(CA305="No",0,IF(CA300&gt;1000000*(0.21-Asp_Limit)/0.21,1,CA300*0.21/(1000000*(0.21-Asp_Limit)))),IF(CA261=0,0,MIN(1,CA300/CA261)))</f>
        <v>0</v>
      </c>
      <c r="CB399" s="81"/>
      <c r="CC399" s="3013">
        <f>IF(CC304="No",IF(CC305="No",0,IF(CC300&gt;1000000*(0.21-Asp_Limit)/0.21,1,CC300*0.21/(1000000*(0.21-Asp_Limit)))),IF(CC261=0,0,MIN(1,CC300/CC261)))</f>
        <v>0</v>
      </c>
      <c r="CD399" s="81"/>
      <c r="CE399" s="84"/>
      <c r="CF399" s="81"/>
      <c r="CN399" s="26"/>
    </row>
    <row r="400" spans="1:92" ht="15" customHeight="1" x14ac:dyDescent="0.25">
      <c r="A400" s="2"/>
      <c r="B400" s="23" t="s">
        <v>2008</v>
      </c>
      <c r="C400" s="83"/>
      <c r="D400" s="3015">
        <f>IF(D335&lt;&gt;"Yes",0,EXP(-Bldg_Type_Coefficient*(Bldg_Type_Correction/D328)^Bldg_Type_Exponent))</f>
        <v>0</v>
      </c>
      <c r="E400" s="83"/>
      <c r="F400" s="3015">
        <f>IF(F335&lt;&gt;"Yes",0,EXP(-Bldg_Type_Coefficient*(Bldg_Type_Correction/F328)^Bldg_Type_Exponent))</f>
        <v>0</v>
      </c>
      <c r="G400" s="83"/>
      <c r="H400" s="3015">
        <f>IF(H335&lt;&gt;"Yes",0,EXP(-Bldg_Type_Coefficient*(Bldg_Type_Correction/H328)^Bldg_Type_Exponent))</f>
        <v>0</v>
      </c>
      <c r="I400" s="83"/>
      <c r="J400" s="3015">
        <f>IF(J335&lt;&gt;"Yes",0,EXP(-Bldg_Type_Coefficient*(Bldg_Type_Correction/J328)^Bldg_Type_Exponent))</f>
        <v>0</v>
      </c>
      <c r="K400" s="83"/>
      <c r="L400" s="3015">
        <f>IF(L335&lt;&gt;"Yes",0,EXP(-Bldg_Type_Coefficient*(Bldg_Type_Correction/L328)^Bldg_Type_Exponent))</f>
        <v>0</v>
      </c>
      <c r="M400" s="83"/>
      <c r="N400" s="3015">
        <f>IF(N335&lt;&gt;"Yes",0,EXP(-Bldg_Type_Coefficient*(Bldg_Type_Correction/N328)^Bldg_Type_Exponent))</f>
        <v>0</v>
      </c>
      <c r="O400" s="83"/>
      <c r="P400" s="3015">
        <f>IF(P335&lt;&gt;"Yes",0,EXP(-Bldg_Type_Coefficient*(Bldg_Type_Correction/P328)^Bldg_Type_Exponent))</f>
        <v>0</v>
      </c>
      <c r="Q400" s="83"/>
      <c r="R400" s="3015">
        <f>IF(R335&lt;&gt;"Yes",0,EXP(-Bldg_Type_Coefficient*(Bldg_Type_Correction/R328)^Bldg_Type_Exponent))</f>
        <v>0</v>
      </c>
      <c r="S400" s="83"/>
      <c r="T400" s="3015">
        <f>IF(T335&lt;&gt;"Yes",0,EXP(-Bldg_Type_Coefficient*(Bldg_Type_Correction/T328)^Bldg_Type_Exponent))</f>
        <v>0</v>
      </c>
      <c r="U400" s="83"/>
      <c r="V400" s="3015">
        <f>IF(V335&lt;&gt;"Yes",0,EXP(-Bldg_Type_Coefficient*(Bldg_Type_Correction/V328)^Bldg_Type_Exponent))</f>
        <v>0</v>
      </c>
      <c r="W400" s="83"/>
      <c r="X400" s="3015">
        <f>IF(X335&lt;&gt;"Yes",0,EXP(-Bldg_Type_Coefficient*(Bldg_Type_Correction/X328)^Bldg_Type_Exponent))</f>
        <v>0</v>
      </c>
      <c r="Y400" s="83"/>
      <c r="Z400" s="1819"/>
      <c r="AA400" s="83"/>
      <c r="AB400" s="81"/>
      <c r="AC400" s="851" t="s">
        <v>611</v>
      </c>
      <c r="AD400" s="81"/>
      <c r="AE400" s="1207">
        <f>IF(AND(Enclosed_Process_Volume&gt;0,AE294="Indoors"),IF(AE321="Yes",Op_Indoors,Op_Indoors*AE399/Enclosed_Process_Volume^(2/3)),AE399*Onsite_PD/1000000)+IF(AND(AE$305="Yes",AE321="No",AE333&gt;HD_Severe_Impact),0.9,0)</f>
        <v>0</v>
      </c>
      <c r="AF400" s="81"/>
      <c r="AG400" s="1207">
        <f>IF(AND(Enclosed_Process_Volume&gt;0,AG294="Indoors"),IF(AG321="Yes",Op_Indoors,Op_Indoors*AG399/Enclosed_Process_Volume^(2/3)),AG399*Onsite_PD/1000000)+IF(AND(AG$305="Yes",AG321="No",AG333&gt;HD_Severe_Impact),0.9,0)</f>
        <v>0</v>
      </c>
      <c r="AH400" s="81"/>
      <c r="AI400" s="1207">
        <f>IF(AND(Enclosed_Process_Volume&gt;0,AI294="Indoors"),IF(AI321="Yes",Op_Indoors,Op_Indoors*AI399/Enclosed_Process_Volume^(2/3)),AI399*Onsite_PD/1000000)+IF(AND(AI$305="Yes",AI321="No",AI333&gt;HD_Severe_Impact),0.9,0)</f>
        <v>0</v>
      </c>
      <c r="AJ400" s="81"/>
      <c r="AK400" s="1207">
        <f>IF(AND(Enclosed_Process_Volume&gt;0,AK294="Indoors"),IF(AK321="Yes",Op_Indoors,Op_Indoors*AK399/Enclosed_Process_Volume^(2/3)),AK399*Onsite_PD/1000000)+IF(AND(AK$305="Yes",AK321="No",AK333&gt;HD_Severe_Impact),0.9,0)</f>
        <v>0</v>
      </c>
      <c r="AL400" s="81"/>
      <c r="AM400" s="1207">
        <f>IF(AND(Enclosed_Process_Volume&gt;0,AM294="Indoors"),IF(AM321="Yes",Op_Indoors,Op_Indoors*AM399/Enclosed_Process_Volume^(2/3)),AM399*Onsite_PD/1000000)+IF(AND(AM$305="Yes",AM321="No",AM333&gt;HD_Severe_Impact),0.9,0)</f>
        <v>0</v>
      </c>
      <c r="AN400" s="81"/>
      <c r="AO400" s="1207">
        <f>IF(AND(Enclosed_Process_Volume&gt;0,AO294="Indoors"),IF(AO321="Yes",Op_Indoors,Op_Indoors*AO399/Enclosed_Process_Volume^(2/3)),AO399*Onsite_PD/1000000)+IF(AND(AO$305="Yes",AO321="No",AO333&gt;HD_Severe_Impact),0.9,0)</f>
        <v>0</v>
      </c>
      <c r="AP400" s="81"/>
      <c r="AQ400" s="23"/>
      <c r="AR400" s="81"/>
      <c r="AS400" s="83"/>
      <c r="AT400" s="851" t="s">
        <v>630</v>
      </c>
      <c r="AU400" s="83"/>
      <c r="AV400" s="321">
        <f>IF(OR(Occ_Bldg2=0,AV333&lt;&gt;"Yes"),0,EXP(-Bldg2_Type_Coefficient*(Bldg2_Type_Correction/AV330)^Bldg2_Type_Exponent))</f>
        <v>0</v>
      </c>
      <c r="AW400" s="83"/>
      <c r="AX400" s="321">
        <f>IF(OR(Occ_Bldg2=0,AX333&lt;&gt;"Yes"),0,EXP(-Bldg2_Type_Coefficient*(Bldg2_Type_Correction/AX330)^Bldg2_Type_Exponent))</f>
        <v>0</v>
      </c>
      <c r="AY400" s="83"/>
      <c r="AZ400" s="321">
        <f>IF(OR(Occ_Bldg2=0,AZ333&lt;&gt;"Yes"),0,EXP(-Bldg2_Type_Coefficient*(Bldg2_Type_Correction/AZ330)^Bldg2_Type_Exponent))</f>
        <v>0</v>
      </c>
      <c r="BA400" s="83"/>
      <c r="BB400" s="321">
        <f>IF(OR(Occ_Bldg2=0,BB333&lt;&gt;"Yes"),0,EXP(-Bldg2_Type_Coefficient*(Bldg2_Type_Correction/BB330)^Bldg2_Type_Exponent))</f>
        <v>0</v>
      </c>
      <c r="BC400" s="83"/>
      <c r="BD400" s="321">
        <f>IF(OR(Occ_Bldg2=0,BD333&lt;&gt;"Yes"),0,EXP(-Bldg2_Type_Coefficient*(Bldg2_Type_Correction/BD330)^Bldg2_Type_Exponent))</f>
        <v>0</v>
      </c>
      <c r="BE400" s="83"/>
      <c r="BF400" s="321">
        <f>IF(OR(Occ_Bldg2=0,BF333&lt;&gt;"Yes"),0,EXP(-Bldg2_Type_Coefficient*(Bldg2_Type_Correction/BF330)^Bldg2_Type_Exponent))</f>
        <v>0</v>
      </c>
      <c r="BG400" s="83"/>
      <c r="BH400" s="321">
        <f>IF(OR(Occ_Bldg2=0,BH333&lt;&gt;"Yes"),0,EXP(-Bldg2_Type_Coefficient*(Bldg2_Type_Correction/BH330)^Bldg2_Type_Exponent))</f>
        <v>0</v>
      </c>
      <c r="BI400" s="83"/>
      <c r="BJ400" s="321">
        <f>IF(OR(Occ_Bldg2=0,BJ333&lt;&gt;"Yes"),0,EXP(-Bldg2_Type_Coefficient*(Bldg2_Type_Correction/BJ330)^Bldg2_Type_Exponent))</f>
        <v>0</v>
      </c>
      <c r="BK400" s="83"/>
      <c r="BL400" s="321">
        <f>IF(OR(Occ_Bldg2=0,BL333&lt;&gt;"Yes"),0,EXP(-Bldg2_Type_Coefficient*(Bldg2_Type_Correction/BL330)^Bldg2_Type_Exponent))</f>
        <v>0</v>
      </c>
      <c r="BM400" s="83"/>
      <c r="BN400" s="321">
        <f>IF(OR(Occ_Bldg2=0,BN333&lt;&gt;"Yes"),0,EXP(-Bldg2_Type_Coefficient*(Bldg2_Type_Correction/BN330)^Bldg2_Type_Exponent))</f>
        <v>0</v>
      </c>
      <c r="BO400" s="83"/>
      <c r="BP400" s="107"/>
      <c r="BQ400" s="83"/>
      <c r="BR400" s="81"/>
      <c r="BS400" s="23" t="s">
        <v>1054</v>
      </c>
      <c r="BT400" s="81"/>
      <c r="BU400" s="1861">
        <f>Op_Indoors*BU399+IF(AND(BU$292="Yes",OR(BU304="Yes",BU305="Yes")),1,0)</f>
        <v>0</v>
      </c>
      <c r="BV400" s="81"/>
      <c r="BW400" s="1861">
        <f>Op_Indoors*BW399+IF(AND(BW$292="Yes",OR(BW304="Yes",BW305="Yes")),1,0)</f>
        <v>0</v>
      </c>
      <c r="BX400" s="81"/>
      <c r="BY400" s="1861">
        <f>Op_Indoors*BY399+IF(AND(BY$292="Yes",OR(BY304="Yes",BY305="Yes")),1,0)</f>
        <v>0</v>
      </c>
      <c r="BZ400" s="81"/>
      <c r="CA400" s="1861">
        <f>Op_Indoors*CA399+IF(AND(CA$292="Yes",OR(CA304="Yes",CA305="Yes")),1,0)</f>
        <v>0</v>
      </c>
      <c r="CB400" s="81"/>
      <c r="CC400" s="1861">
        <f>Op_Indoors*CC399+IF(AND(CC$292="Yes",OR(CC304="Yes",CC305="Yes")),1,0)</f>
        <v>0</v>
      </c>
      <c r="CD400" s="81"/>
      <c r="CE400" s="23"/>
      <c r="CF400" s="81"/>
      <c r="CN400" s="26"/>
    </row>
    <row r="401" spans="1:92" ht="15" customHeight="1" x14ac:dyDescent="0.25">
      <c r="A401" s="2"/>
      <c r="B401" s="23" t="s">
        <v>2009</v>
      </c>
      <c r="C401" s="83"/>
      <c r="D401" s="1820">
        <f>D400*Occupants_atRisk</f>
        <v>0</v>
      </c>
      <c r="E401" s="83"/>
      <c r="F401" s="1820">
        <f>F400*Occupants_atRisk</f>
        <v>0</v>
      </c>
      <c r="G401" s="83"/>
      <c r="H401" s="1820">
        <f>H400*Occupants_atRisk</f>
        <v>0</v>
      </c>
      <c r="I401" s="83"/>
      <c r="J401" s="1820">
        <f>J400*Occupants_atRisk</f>
        <v>0</v>
      </c>
      <c r="K401" s="83"/>
      <c r="L401" s="1820">
        <f>L400*Occupants_atRisk</f>
        <v>0</v>
      </c>
      <c r="M401" s="83"/>
      <c r="N401" s="1820">
        <f>N400*Occupants_atRisk</f>
        <v>0</v>
      </c>
      <c r="O401" s="83"/>
      <c r="P401" s="1820">
        <f>P400*Occupants_atRisk</f>
        <v>0</v>
      </c>
      <c r="Q401" s="83"/>
      <c r="R401" s="1820">
        <f>R400*Occupants_atRisk</f>
        <v>0</v>
      </c>
      <c r="S401" s="83"/>
      <c r="T401" s="1820">
        <f>T400*Occupants_atRisk</f>
        <v>0</v>
      </c>
      <c r="U401" s="83"/>
      <c r="V401" s="1820">
        <f>V400*Occupants_atRisk</f>
        <v>0</v>
      </c>
      <c r="W401" s="83"/>
      <c r="X401" s="1820">
        <f>X400*Occupants_atRisk</f>
        <v>0</v>
      </c>
      <c r="Y401" s="83"/>
      <c r="Z401" s="23"/>
      <c r="AA401" s="83"/>
      <c r="AB401" s="81"/>
      <c r="AC401" s="848" t="s">
        <v>1794</v>
      </c>
      <c r="AD401" s="81"/>
      <c r="AE401" s="1208">
        <v>0</v>
      </c>
      <c r="AF401" s="81"/>
      <c r="AG401" s="1208">
        <v>0</v>
      </c>
      <c r="AH401" s="81"/>
      <c r="AI401" s="1208">
        <v>0</v>
      </c>
      <c r="AJ401" s="81"/>
      <c r="AK401" s="1208">
        <v>0</v>
      </c>
      <c r="AL401" s="81"/>
      <c r="AM401" s="1208">
        <v>0</v>
      </c>
      <c r="AN401" s="81"/>
      <c r="AO401" s="1208">
        <v>0</v>
      </c>
      <c r="AP401" s="81"/>
      <c r="AQ401" s="1311"/>
      <c r="AR401" s="81"/>
      <c r="AS401" s="83"/>
      <c r="AT401" s="851" t="s">
        <v>629</v>
      </c>
      <c r="AU401" s="83"/>
      <c r="AV401" s="1820">
        <f>AV400*Occupants_atRisk2</f>
        <v>0</v>
      </c>
      <c r="AW401" s="83"/>
      <c r="AX401" s="1820">
        <f>AX400*Occupants_atRisk2</f>
        <v>0</v>
      </c>
      <c r="AY401" s="83"/>
      <c r="AZ401" s="1820">
        <f>AZ400*Occupants_atRisk2</f>
        <v>0</v>
      </c>
      <c r="BA401" s="83"/>
      <c r="BB401" s="1820">
        <f>BB400*Occupants_atRisk2</f>
        <v>0</v>
      </c>
      <c r="BC401" s="83"/>
      <c r="BD401" s="1820">
        <f>BD400*Occupants_atRisk2</f>
        <v>0</v>
      </c>
      <c r="BE401" s="83"/>
      <c r="BF401" s="1820">
        <f>BF400*Occupants_atRisk2</f>
        <v>0</v>
      </c>
      <c r="BG401" s="83"/>
      <c r="BH401" s="1820">
        <f>BH400*Occupants_atRisk2</f>
        <v>0</v>
      </c>
      <c r="BI401" s="83"/>
      <c r="BJ401" s="1820">
        <f>BJ400*Occupants_atRisk2</f>
        <v>0</v>
      </c>
      <c r="BK401" s="83"/>
      <c r="BL401" s="1820">
        <f>BL400*Occupants_atRisk2</f>
        <v>0</v>
      </c>
      <c r="BM401" s="83"/>
      <c r="BN401" s="1820">
        <f>BN400*Occupants_atRisk2</f>
        <v>0</v>
      </c>
      <c r="BO401" s="83"/>
      <c r="BP401" s="107"/>
      <c r="BQ401" s="83"/>
      <c r="BR401" s="81"/>
      <c r="BS401" s="85" t="s">
        <v>1414</v>
      </c>
      <c r="BT401" s="81"/>
      <c r="BU401" s="1208">
        <v>0</v>
      </c>
      <c r="BV401" s="81"/>
      <c r="BW401" s="1208">
        <v>0</v>
      </c>
      <c r="BX401" s="81"/>
      <c r="BY401" s="1208">
        <v>0</v>
      </c>
      <c r="BZ401" s="81"/>
      <c r="CA401" s="1208">
        <v>0</v>
      </c>
      <c r="CB401" s="81"/>
      <c r="CC401" s="1208">
        <v>0</v>
      </c>
      <c r="CD401" s="81"/>
      <c r="CE401" s="23"/>
      <c r="CF401" s="81"/>
      <c r="CN401" s="26"/>
    </row>
    <row r="402" spans="1:92" ht="15" customHeight="1" thickBot="1" x14ac:dyDescent="0.3">
      <c r="A402" s="2"/>
      <c r="B402" s="23" t="s">
        <v>630</v>
      </c>
      <c r="C402" s="83"/>
      <c r="D402" s="321">
        <f>IF(OR(Occ_Bldg2=0,D335&lt;&gt;"Yes",D331=0),0,EXP(-Bldg2_Type_Coefficient*(Bldg2_Type_Correction/D332)^Bldg2_Type_Exponent))</f>
        <v>0</v>
      </c>
      <c r="E402" s="83"/>
      <c r="F402" s="321">
        <f>IF(OR(Occ_Bldg2=0,F335&lt;&gt;"Yes",F331=0),0,EXP(-Bldg2_Type_Coefficient*(Bldg2_Type_Correction/F332)^Bldg2_Type_Exponent))</f>
        <v>0</v>
      </c>
      <c r="G402" s="83"/>
      <c r="H402" s="321">
        <f>IF(OR(Occ_Bldg2=0,H335&lt;&gt;"Yes",H331=0),0,EXP(-Bldg2_Type_Coefficient*(Bldg2_Type_Correction/H332)^Bldg2_Type_Exponent))</f>
        <v>0</v>
      </c>
      <c r="I402" s="83"/>
      <c r="J402" s="321">
        <f>IF(OR(Occ_Bldg2=0,J335&lt;&gt;"Yes",J331=0),0,EXP(-Bldg2_Type_Coefficient*(Bldg2_Type_Correction/J332)^Bldg2_Type_Exponent))</f>
        <v>0</v>
      </c>
      <c r="K402" s="83"/>
      <c r="L402" s="321">
        <f>IF(OR(Occ_Bldg2=0,L335&lt;&gt;"Yes",L331=0),0,EXP(-Bldg2_Type_Coefficient*(Bldg2_Type_Correction/L332)^Bldg2_Type_Exponent))</f>
        <v>0</v>
      </c>
      <c r="M402" s="83"/>
      <c r="N402" s="321">
        <f>IF(OR(Occ_Bldg2=0,N335&lt;&gt;"Yes",N331=0),0,EXP(-Bldg2_Type_Coefficient*(Bldg2_Type_Correction/N332)^Bldg2_Type_Exponent))</f>
        <v>0</v>
      </c>
      <c r="O402" s="83"/>
      <c r="P402" s="321">
        <f>IF(OR(Occ_Bldg2=0,P335&lt;&gt;"Yes",P331=0),0,EXP(-Bldg2_Type_Coefficient*(Bldg2_Type_Correction/P332)^Bldg2_Type_Exponent))</f>
        <v>0</v>
      </c>
      <c r="Q402" s="83"/>
      <c r="R402" s="321">
        <f>IF(OR(Occ_Bldg2=0,R335&lt;&gt;"Yes",R331=0),0,EXP(-Bldg2_Type_Coefficient*(Bldg2_Type_Correction/R332)^Bldg2_Type_Exponent))</f>
        <v>0</v>
      </c>
      <c r="S402" s="83"/>
      <c r="T402" s="321">
        <f>IF(OR(Occ_Bldg2=0,T335&lt;&gt;"Yes",T331=0),0,EXP(-Bldg2_Type_Coefficient*(Bldg2_Type_Correction/T332)^Bldg2_Type_Exponent))</f>
        <v>0</v>
      </c>
      <c r="U402" s="83"/>
      <c r="V402" s="321">
        <f>IF(OR(Occ_Bldg2=0,V335&lt;&gt;"Yes",V331=0),0,EXP(-Bldg2_Type_Coefficient*(Bldg2_Type_Correction/V332)^Bldg2_Type_Exponent))</f>
        <v>0</v>
      </c>
      <c r="W402" s="83"/>
      <c r="X402" s="321">
        <f>IF(OR(Occ_Bldg2=0,X335&lt;&gt;"Yes",X331=0),0,EXP(-Bldg2_Type_Coefficient*(Bldg2_Type_Correction/X332)^Bldg2_Type_Exponent))</f>
        <v>0</v>
      </c>
      <c r="Y402" s="83"/>
      <c r="Z402" s="23"/>
      <c r="AA402" s="83"/>
      <c r="AB402" s="81"/>
      <c r="AC402" s="849" t="s">
        <v>4792</v>
      </c>
      <c r="AD402" s="81"/>
      <c r="AE402" s="1208" t="str">
        <f>IF(OR(Flash_Pt_Feed="",AE262="",AND(AE294="Outdoors",AE333&lt;HD_Screening_Limit)),"NA",IF(AE294="Indoors",IF(AND(Ease_of_Ignition_Feed&lt;&gt;"High",AE$305&lt;&gt;"Yes",0.0001*AE314/AE262&lt;HD_VeryLow_IndoorFF),Conseq_VeryLow,IF(0.0001*AE314/AE262&lt;HD_Low_IndoorFF,Conseq_Low,IF(0.0001*AE314/AE262&lt;HD_Moderate_IndoorFF,Conseq_Moderate,Conseq_High))),IF(AND(Ease_of_Ignition_Feed&lt;&gt;"High",AE$305&lt;&gt;"Yes",AE333&lt;HD_VeryLow_FF),Conseq_VeryLow,IF(AE333&lt;HD_Low_FF,Conseq_Low,IF(AE333&lt;HD_Moderate_FF,Conseq_Moderate,IF(AE333&lt;HD_High_FF,Conseq_High,IF(AE333&lt;HD_VeryHigh_FF,Conseq_VeryHigh,Conseq_ExtremeHigh)))))))</f>
        <v>NA</v>
      </c>
      <c r="AF402" s="81"/>
      <c r="AG402" s="1208" t="str">
        <f>IF(OR(Flash_Pt_Feed="",AG262="",AND(AG294="Outdoors",AG333&lt;HD_Screening_Limit)),"NA",IF(AG294="Indoors",IF(AND(Ease_of_Ignition_Feed&lt;&gt;"High",AG$305&lt;&gt;"Yes",0.0001*AG314/AG262&lt;HD_VeryLow_IndoorFF),Conseq_VeryLow,IF(0.0001*AG314/AG262&lt;HD_Low_IndoorFF,Conseq_Low,IF(0.0001*AG314/AG262&lt;HD_Moderate_IndoorFF,Conseq_Moderate,Conseq_High))),IF(AND(Ease_of_Ignition_Feed&lt;&gt;"High",AG$305&lt;&gt;"Yes",AG333&lt;HD_VeryLow_FF),Conseq_VeryLow,IF(AG333&lt;HD_Low_FF,Conseq_Low,IF(AG333&lt;HD_Moderate_FF,Conseq_Moderate,IF(AG333&lt;HD_High_FF,Conseq_High,IF(AG333&lt;HD_VeryHigh_FF,Conseq_VeryHigh,Conseq_ExtremeHigh)))))))</f>
        <v>NA</v>
      </c>
      <c r="AH402" s="81"/>
      <c r="AI402" s="1208" t="str">
        <f>IF(OR(Flash_Pt_Feed="",AI262="",AND(AI294="Outdoors",AI333&lt;HD_Screening_Limit)),"NA",IF(AI294="Indoors",IF(AND(Ease_of_Ignition_Feed&lt;&gt;"High",AI$305&lt;&gt;"Yes",0.0001*AI314/AI262&lt;HD_VeryLow_IndoorFF),Conseq_VeryLow,IF(0.0001*AI314/AI262&lt;HD_Low_IndoorFF,Conseq_Low,IF(0.0001*AI314/AI262&lt;HD_Moderate_IndoorFF,Conseq_Moderate,Conseq_High))),IF(AND(Ease_of_Ignition_Feed&lt;&gt;"High",AI$305&lt;&gt;"Yes",AI333&lt;HD_VeryLow_FF),Conseq_VeryLow,IF(AI333&lt;HD_Low_FF,Conseq_Low,IF(AI333&lt;HD_Moderate_FF,Conseq_Moderate,IF(AI333&lt;HD_High_FF,Conseq_High,IF(AI333&lt;HD_VeryHigh_FF,Conseq_VeryHigh,Conseq_ExtremeHigh)))))))</f>
        <v>NA</v>
      </c>
      <c r="AJ402" s="81"/>
      <c r="AK402" s="1208" t="str">
        <f>IF(OR(Flash_Pt_Feed="",AK262="",AND(AK294="Outdoors",AK333&lt;HD_Screening_Limit)),"NA",IF(AK294="Indoors",IF(AND(Ease_of_Ignition_Feed&lt;&gt;"High",AK$305&lt;&gt;"Yes",0.0001*AK314/AK262&lt;HD_VeryLow_IndoorFF),Conseq_VeryLow,IF(0.0001*AK314/AK262&lt;HD_Low_IndoorFF,Conseq_Low,IF(0.0001*AK314/AK262&lt;HD_Moderate_IndoorFF,Conseq_Moderate,Conseq_High))),IF(AND(Ease_of_Ignition_Feed&lt;&gt;"High",AK$305&lt;&gt;"Yes",AK333&lt;HD_VeryLow_FF),Conseq_VeryLow,IF(AK333&lt;HD_Low_FF,Conseq_Low,IF(AK333&lt;HD_Moderate_FF,Conseq_Moderate,IF(AK333&lt;HD_High_FF,Conseq_High,IF(AK333&lt;HD_VeryHigh_FF,Conseq_VeryHigh,Conseq_ExtremeHigh)))))))</f>
        <v>NA</v>
      </c>
      <c r="AL402" s="81"/>
      <c r="AM402" s="1208" t="str">
        <f>IF(OR(Flash_Pt_Feed="",AM262="",AND(AM294="Outdoors",AM333&lt;HD_Screening_Limit)),"NA",IF(AM294="Indoors",IF(AND(Ease_of_Ignition_Feed&lt;&gt;"High",AM$305&lt;&gt;"Yes",0.0001*AM314/AM262&lt;HD_VeryLow_IndoorFF),Conseq_VeryLow,IF(0.0001*AM314/AM262&lt;HD_Low_IndoorFF,Conseq_Low,IF(0.0001*AM314/AM262&lt;HD_Moderate_IndoorFF,Conseq_Moderate,Conseq_High))),IF(AND(Ease_of_Ignition_Feed&lt;&gt;"High",AM$305&lt;&gt;"Yes",AM333&lt;HD_VeryLow_FF),Conseq_VeryLow,IF(AM333&lt;HD_Low_FF,Conseq_Low,IF(AM333&lt;HD_Moderate_FF,Conseq_Moderate,IF(AM333&lt;HD_High_FF,Conseq_High,IF(AM333&lt;HD_VeryHigh_FF,Conseq_VeryHigh,Conseq_ExtremeHigh)))))))</f>
        <v>NA</v>
      </c>
      <c r="AN402" s="81"/>
      <c r="AO402" s="1208" t="str">
        <f>IF(OR(Flash_Pt_Feed="",AO262="",AND(AO294="Outdoors",AO333&lt;HD_Screening_Limit)),"NA",IF(AO294="Indoors",IF(AND(Ease_of_Ignition_Feed&lt;&gt;"High",AO$305&lt;&gt;"Yes",0.0001*AO314/AO262&lt;HD_VeryLow_IndoorFF),Conseq_VeryLow,IF(0.0001*AO314/AO262&lt;HD_Low_IndoorFF,Conseq_Low,IF(0.0001*AO314/AO262&lt;HD_Moderate_IndoorFF,Conseq_Moderate,Conseq_High))),IF(AND(Ease_of_Ignition_Feed&lt;&gt;"High",AO$305&lt;&gt;"Yes",AO333&lt;HD_VeryLow_FF),Conseq_VeryLow,IF(AO333&lt;HD_Low_FF,Conseq_Low,IF(AO333&lt;HD_Moderate_FF,Conseq_Moderate,IF(AO333&lt;HD_High_FF,Conseq_High,IF(AO333&lt;HD_VeryHigh_FF,Conseq_VeryHigh,Conseq_ExtremeHigh)))))))</f>
        <v>NA</v>
      </c>
      <c r="AP402" s="81"/>
      <c r="AQ402" s="1311"/>
      <c r="AR402" s="81"/>
      <c r="AS402" s="83"/>
      <c r="AT402" s="851" t="s">
        <v>5215</v>
      </c>
      <c r="AU402" s="83"/>
      <c r="AV402" s="321">
        <f>IF(AV324="No",0,3.14*Offsite_Area_Bldg_Factor*IF(Offsite_PD1="",Offsite_PD/1000000,Offsite_PD1)*AV323^2*(EXP(-Offsite_Bldg_a*Zone_1^2/AV323^2)-EXP(-Offsite_Bldg_a*Public^2/AV323^2))/(-Offsite_Bldg_a))</f>
        <v>0</v>
      </c>
      <c r="AW402" s="83"/>
      <c r="AX402" s="321">
        <f>IF(AX324="No",0,3.14*Offsite_Area_Bldg_Factor*IF(Offsite_PD1="",Offsite_PD/1000000,Offsite_PD1)*AX323^2*(EXP(-Offsite_Bldg_a*Zone_1^2/AX323^2)-EXP(-Offsite_Bldg_a*Public^2/AX323^2))/(-Offsite_Bldg_a))</f>
        <v>0</v>
      </c>
      <c r="AY402" s="83"/>
      <c r="AZ402" s="321">
        <f>IF(AZ324="No",0,3.14*Offsite_Area_Bldg_Factor*IF(Offsite_PD1="",Offsite_PD/1000000,Offsite_PD1)*AZ323^2*(EXP(-Offsite_Bldg_a*Zone_1^2/AZ323^2)-EXP(-Offsite_Bldg_a*Public^2/AZ323^2))/(-Offsite_Bldg_a))</f>
        <v>0</v>
      </c>
      <c r="BA402" s="83"/>
      <c r="BB402" s="321">
        <f>IF(BB324="No",0,3.14*Offsite_Area_Bldg_Factor*IF(Offsite_PD1="",Offsite_PD/1000000,Offsite_PD1)*BB323^2*(EXP(-Offsite_Bldg_a*Zone_1^2/BB323^2)-EXP(-Offsite_Bldg_a*Public^2/BB323^2))/(-Offsite_Bldg_a))</f>
        <v>0</v>
      </c>
      <c r="BC402" s="83"/>
      <c r="BD402" s="321">
        <f>IF(BD324="No",0,3.14*Offsite_Area_Bldg_Factor*IF(Offsite_PD1="",Offsite_PD/1000000,Offsite_PD1)*BD323^2*(EXP(-Offsite_Bldg_a*Zone_1^2/BD323^2)-EXP(-Offsite_Bldg_a*Public^2/BD323^2))/(-Offsite_Bldg_a))</f>
        <v>0</v>
      </c>
      <c r="BE402" s="83"/>
      <c r="BF402" s="321">
        <f>IF(BF324="No",0,3.14*Offsite_Area_Bldg_Factor*IF(Offsite_PD1="",Offsite_PD/1000000,Offsite_PD1)*BF323^2*(EXP(-Offsite_Bldg_a*Zone_1^2/BF323^2)-EXP(-Offsite_Bldg_a*Public^2/BF323^2))/(-Offsite_Bldg_a))</f>
        <v>0</v>
      </c>
      <c r="BG402" s="83"/>
      <c r="BH402" s="321">
        <f>IF(BH324="No",0,3.14*Offsite_Area_Bldg_Factor*IF(Offsite_PD1="",Offsite_PD/1000000,Offsite_PD1)*BH323^2*(EXP(-Offsite_Bldg_a*Zone_1^2/BH323^2)-EXP(-Offsite_Bldg_a*Public^2/BH323^2))/(-Offsite_Bldg_a))</f>
        <v>0</v>
      </c>
      <c r="BI402" s="83"/>
      <c r="BJ402" s="321">
        <f>IF(BJ324="No",0,3.14*Offsite_Area_Bldg_Factor*IF(Offsite_PD1="",Offsite_PD/1000000,Offsite_PD1)*BJ323^2*(EXP(-Offsite_Bldg_a*Zone_1^2/BJ323^2)-EXP(-Offsite_Bldg_a*Public^2/BJ323^2))/(-Offsite_Bldg_a))</f>
        <v>0</v>
      </c>
      <c r="BK402" s="83"/>
      <c r="BL402" s="321">
        <f>IF(BL324="No",0,3.14*Offsite_Area_Bldg_Factor*IF(Offsite_PD1="",Offsite_PD/1000000,Offsite_PD1)*BL323^2*(EXP(-Offsite_Bldg_a*Zone_1^2/BL323^2)-EXP(-Offsite_Bldg_a*Public^2/BL323^2))/(-Offsite_Bldg_a))</f>
        <v>0</v>
      </c>
      <c r="BM402" s="83"/>
      <c r="BN402" s="321">
        <f>IF(BN324="No",0,3.14*Offsite_Area_Bldg_Factor*IF(Offsite_PD1="",Offsite_PD/1000000,Offsite_PD1)*BN323^2*(EXP(-Offsite_Bldg_a*Zone_1^2/BN323^2)-EXP(-Offsite_Bldg_a*Public^2/BN323^2))/(-Offsite_Bldg_a))</f>
        <v>0</v>
      </c>
      <c r="BO402" s="83"/>
      <c r="BP402" s="23"/>
      <c r="BQ402" s="83"/>
      <c r="BR402" s="81"/>
      <c r="BS402" s="25" t="s">
        <v>4790</v>
      </c>
      <c r="BT402" s="81"/>
      <c r="BU402" s="1208" t="str">
        <f>IF(BU399=0,"NA",IF(AND(BU$292&lt;&gt;"Yes",BU399&lt;HD_VeryLow_Indoor),Conseq_VeryLow,IF(BU399&lt;HD_Low_Indoor,Conseq_Low,IF(BU399&lt;HD_Moderate_Indoor,Conseq_Moderate,IF(BU399&lt;HD_High_Indoor,Conseq_High,Conseq_VeryHigh)))))</f>
        <v>NA</v>
      </c>
      <c r="BV402" s="81"/>
      <c r="BW402" s="1208" t="str">
        <f>IF(BW399=0,"NA",IF(AND(BW$292&lt;&gt;"Yes",BW399&lt;HD_VeryLow_Indoor),Conseq_VeryLow,IF(BW399&lt;HD_Low_Indoor,Conseq_Low,IF(BW399&lt;HD_Moderate_Indoor,Conseq_Moderate,IF(BW399&lt;HD_High_Indoor,Conseq_High,Conseq_VeryHigh)))))</f>
        <v>NA</v>
      </c>
      <c r="BX402" s="81"/>
      <c r="BY402" s="1208" t="str">
        <f>IF(BY399=0,"NA",IF(AND(BY$292&lt;&gt;"Yes",BY399&lt;HD_VeryLow_Indoor),Conseq_VeryLow,IF(BY399&lt;HD_Low_Indoor,Conseq_Low,IF(BY399&lt;HD_Moderate_Indoor,Conseq_Moderate,IF(BY399&lt;HD_High_Indoor,Conseq_High,Conseq_VeryHigh)))))</f>
        <v>NA</v>
      </c>
      <c r="BZ402" s="81"/>
      <c r="CA402" s="1208" t="str">
        <f>IF(CA399=0,"NA",IF(AND(CA$292&lt;&gt;"Yes",CA399&lt;HD_VeryLow_Indoor),Conseq_VeryLow,IF(CA399&lt;HD_Low_Indoor,Conseq_Low,IF(CA399&lt;HD_Moderate_Indoor,Conseq_Moderate,IF(CA399&lt;HD_High_Indoor,Conseq_High,Conseq_VeryHigh)))))</f>
        <v>NA</v>
      </c>
      <c r="CB402" s="81"/>
      <c r="CC402" s="1208" t="str">
        <f>IF(CC399=0,"NA",IF(AND(CC$292&lt;&gt;"Yes",CC399&lt;HD_VeryLow_Indoor),Conseq_VeryLow,IF(CC399&lt;HD_Low_Indoor,Conseq_Low,IF(CC399&lt;HD_Moderate_Indoor,Conseq_Moderate,IF(CC399&lt;HD_High_Indoor,Conseq_High,Conseq_VeryHigh)))))</f>
        <v>NA</v>
      </c>
      <c r="CD402" s="81"/>
      <c r="CE402" s="23"/>
      <c r="CF402" s="81"/>
      <c r="CN402" s="26"/>
    </row>
    <row r="403" spans="1:92" ht="15" customHeight="1" thickBot="1" x14ac:dyDescent="0.3">
      <c r="A403" s="2"/>
      <c r="B403" s="23" t="s">
        <v>629</v>
      </c>
      <c r="C403" s="83"/>
      <c r="D403" s="1820">
        <f>D402*Occupants_atRisk2</f>
        <v>0</v>
      </c>
      <c r="E403" s="83"/>
      <c r="F403" s="1820">
        <f>F402*Occupants_atRisk2</f>
        <v>0</v>
      </c>
      <c r="G403" s="83"/>
      <c r="H403" s="1820">
        <f>H402*Occupants_atRisk2</f>
        <v>0</v>
      </c>
      <c r="I403" s="83"/>
      <c r="J403" s="1820">
        <f>J402*Occupants_atRisk2</f>
        <v>0</v>
      </c>
      <c r="K403" s="83"/>
      <c r="L403" s="1820">
        <f>L402*Occupants_atRisk2</f>
        <v>0</v>
      </c>
      <c r="M403" s="83"/>
      <c r="N403" s="1820">
        <f>N402*Occupants_atRisk2</f>
        <v>0</v>
      </c>
      <c r="O403" s="83"/>
      <c r="P403" s="1820">
        <f>P402*Occupants_atRisk2</f>
        <v>0</v>
      </c>
      <c r="Q403" s="83"/>
      <c r="R403" s="1820">
        <f>R402*Occupants_atRisk2</f>
        <v>0</v>
      </c>
      <c r="S403" s="83"/>
      <c r="T403" s="1820">
        <f>T402*Occupants_atRisk2</f>
        <v>0</v>
      </c>
      <c r="U403" s="83"/>
      <c r="V403" s="1820">
        <f>V402*Occupants_atRisk2</f>
        <v>0</v>
      </c>
      <c r="W403" s="83"/>
      <c r="X403" s="1820">
        <f>X402*Occupants_atRisk2</f>
        <v>0</v>
      </c>
      <c r="Y403" s="83"/>
      <c r="Z403" s="23"/>
      <c r="AA403" s="83"/>
      <c r="AB403" s="81"/>
      <c r="AC403" s="849" t="s">
        <v>4228</v>
      </c>
      <c r="AD403" s="81"/>
      <c r="AE403" s="2135" t="str">
        <f>IF(Conseq_Criteria="Hazard Distance",AE402,IF(AND(Ease_of_Ignition_Feed&lt;&gt;"High",OR(AE400&lt;N_Screening,AND(AE294="Outdoors",AE333&lt;HD_Screening_Limit))),"NA",IF(OR(AND(AE294="Indoors",AE400&lt;N_Low),AND(AE294="Outdoors",AE333&lt;HD_Severe_Impact)),Conseq_Low,IF(AE400&lt;N_Moderate,Conseq_Moderate,IF(AE400&lt;N_High,Conseq_High,IF(AE400&lt;N_VeryHigh,Conseq_VeryHigh,Conseq_ExtremeHigh))))))</f>
        <v>NA</v>
      </c>
      <c r="AF403" s="81"/>
      <c r="AG403" s="2135" t="str">
        <f>IF(Conseq_Criteria="Hazard Distance",AG402,IF(AND(Ease_of_Ignition_Feed&lt;&gt;"High",OR(AG400&lt;N_Screening,AND(AG294="Outdoors",AG333&lt;HD_Screening_Limit))),"NA",IF(OR(AND(AG294="Indoors",AG400&lt;N_Low),AND(AG294="Outdoors",AG333&lt;HD_Severe_Impact)),Conseq_Low,IF(AG400&lt;N_Moderate,Conseq_Moderate,IF(AG400&lt;N_High,Conseq_High,IF(AG400&lt;N_VeryHigh,Conseq_VeryHigh,Conseq_ExtremeHigh))))))</f>
        <v>NA</v>
      </c>
      <c r="AH403" s="81"/>
      <c r="AI403" s="2135" t="str">
        <f>IF(Conseq_Criteria="Hazard Distance",AI402,IF(AND(Ease_of_Ignition_Feed&lt;&gt;"High",OR(AI400&lt;N_Screening,AND(AI294="Outdoors",AI333&lt;HD_Screening_Limit))),"NA",IF(OR(AND(AI294="Indoors",AI400&lt;N_Low),AND(AI294="Outdoors",AI333&lt;HD_Severe_Impact)),Conseq_Low,IF(AI400&lt;N_Moderate,Conseq_Moderate,IF(AI400&lt;N_High,Conseq_High,IF(AI400&lt;N_VeryHigh,Conseq_VeryHigh,Conseq_ExtremeHigh))))))</f>
        <v>NA</v>
      </c>
      <c r="AJ403" s="81"/>
      <c r="AK403" s="2135" t="str">
        <f>IF(Conseq_Criteria="Hazard Distance",AK402,IF(AND(Ease_of_Ignition_Feed&lt;&gt;"High",OR(AK400&lt;N_Screening,AND(AK294="Outdoors",AK333&lt;HD_Screening_Limit))),"NA",IF(OR(AND(AK294="Indoors",AK400&lt;N_Low),AND(AK294="Outdoors",AK333&lt;HD_Severe_Impact)),Conseq_Low,IF(AK400&lt;N_Moderate,Conseq_Moderate,IF(AK400&lt;N_High,Conseq_High,IF(AK400&lt;N_VeryHigh,Conseq_VeryHigh,Conseq_ExtremeHigh))))))</f>
        <v>NA</v>
      </c>
      <c r="AL403" s="81"/>
      <c r="AM403" s="2135" t="str">
        <f>IF(Conseq_Criteria="Hazard Distance",AM402,IF(AND(Ease_of_Ignition_Feed&lt;&gt;"High",OR(AM400&lt;N_Screening,AND(AM294="Outdoors",AM333&lt;HD_Screening_Limit))),"NA",IF(OR(AND(AM294="Indoors",AM400&lt;N_Low),AND(AM294="Outdoors",AM333&lt;HD_Severe_Impact)),Conseq_Low,IF(AM400&lt;N_Moderate,Conseq_Moderate,IF(AM400&lt;N_High,Conseq_High,IF(AM400&lt;N_VeryHigh,Conseq_VeryHigh,Conseq_ExtremeHigh))))))</f>
        <v>NA</v>
      </c>
      <c r="AN403" s="81"/>
      <c r="AO403" s="2135" t="str">
        <f>IF(Conseq_Criteria="Hazard Distance",AO402,IF(AND(Ease_of_Ignition_Feed&lt;&gt;"High",OR(AO400&lt;N_Screening,AND(AO294="Outdoors",AO333&lt;HD_Screening_Limit))),"NA",IF(OR(AND(AO294="Indoors",AO400&lt;N_Low),AND(AO294="Outdoors",AO333&lt;HD_Severe_Impact)),Conseq_Low,IF(AO400&lt;N_Moderate,Conseq_Moderate,IF(AO400&lt;N_High,Conseq_High,IF(AO400&lt;N_VeryHigh,Conseq_VeryHigh,Conseq_ExtremeHigh))))))</f>
        <v>NA</v>
      </c>
      <c r="AP403" s="81"/>
      <c r="AQ403" s="104"/>
      <c r="AR403" s="81"/>
      <c r="AS403" s="83"/>
      <c r="AT403" s="851" t="s">
        <v>5216</v>
      </c>
      <c r="AU403" s="83"/>
      <c r="AV403" s="1820">
        <f>IF(AV324="No",0,3.14*Offsite_Area_Bldg_Factor*IF(Offsite_PD2="",Offsite_PD/1000000,Offsite_PD2)*AV323^2*(0-EXP(-Offsite_Bldg_a*Zone_1^2/AV323^2))/(-Offsite_Bldg_a))</f>
        <v>0</v>
      </c>
      <c r="AW403" s="83"/>
      <c r="AX403" s="1820">
        <f>IF(AX324="No",0,3.14*Offsite_Area_Bldg_Factor*IF(Offsite_PD2="",Offsite_PD/1000000,Offsite_PD2)*AX323^2*(0-EXP(-Offsite_Bldg_a*Zone_1^2/AX323^2))/(-Offsite_Bldg_a))</f>
        <v>0</v>
      </c>
      <c r="AY403" s="83"/>
      <c r="AZ403" s="1820">
        <f>IF(AZ324="No",0,3.14*Offsite_Area_Bldg_Factor*IF(Offsite_PD2="",Offsite_PD/1000000,Offsite_PD2)*AZ323^2*(0-EXP(-Offsite_Bldg_a*Zone_1^2/AZ323^2))/(-Offsite_Bldg_a))</f>
        <v>0</v>
      </c>
      <c r="BA403" s="83"/>
      <c r="BB403" s="1820">
        <f>IF(BB324="No",0,3.14*Offsite_Area_Bldg_Factor*IF(Offsite_PD2="",Offsite_PD/1000000,Offsite_PD2)*BB323^2*(0-EXP(-Offsite_Bldg_a*Zone_1^2/BB323^2))/(-Offsite_Bldg_a))</f>
        <v>0</v>
      </c>
      <c r="BC403" s="83"/>
      <c r="BD403" s="1820">
        <f>IF(BD324="No",0,3.14*Offsite_Area_Bldg_Factor*IF(Offsite_PD2="",Offsite_PD/1000000,Offsite_PD2)*BD323^2*(0-EXP(-Offsite_Bldg_a*Zone_1^2/BD323^2))/(-Offsite_Bldg_a))</f>
        <v>0</v>
      </c>
      <c r="BE403" s="83"/>
      <c r="BF403" s="1820">
        <f>IF(BF324="No",0,3.14*Offsite_Area_Bldg_Factor*IF(Offsite_PD2="",Offsite_PD/1000000,Offsite_PD2)*BF323^2*(0-EXP(-Offsite_Bldg_a*Zone_1^2/BF323^2))/(-Offsite_Bldg_a))</f>
        <v>0</v>
      </c>
      <c r="BG403" s="83"/>
      <c r="BH403" s="1820">
        <f>IF(BH324="No",0,3.14*Offsite_Area_Bldg_Factor*IF(Offsite_PD2="",Offsite_PD/1000000,Offsite_PD2)*BH323^2*(0-EXP(-Offsite_Bldg_a*Zone_1^2/BH323^2))/(-Offsite_Bldg_a))</f>
        <v>0</v>
      </c>
      <c r="BI403" s="83"/>
      <c r="BJ403" s="1820">
        <f>IF(BJ324="No",0,3.14*Offsite_Area_Bldg_Factor*IF(Offsite_PD2="",Offsite_PD/1000000,Offsite_PD2)*BJ323^2*(0-EXP(-Offsite_Bldg_a*Zone_1^2/BJ323^2))/(-Offsite_Bldg_a))</f>
        <v>0</v>
      </c>
      <c r="BK403" s="83"/>
      <c r="BL403" s="1820">
        <f>IF(BL324="No",0,3.14*Offsite_Area_Bldg_Factor*IF(Offsite_PD2="",Offsite_PD/1000000,Offsite_PD2)*BL323^2*(0-EXP(-Offsite_Bldg_a*Zone_1^2/BL323^2))/(-Offsite_Bldg_a))</f>
        <v>0</v>
      </c>
      <c r="BM403" s="83"/>
      <c r="BN403" s="1820">
        <f>IF(BN324="No",0,3.14*Offsite_Area_Bldg_Factor*IF(Offsite_PD2="",Offsite_PD/1000000,Offsite_PD2)*BN323^2*(0-EXP(-Offsite_Bldg_a*Zone_1^2/BN323^2))/(-Offsite_Bldg_a))</f>
        <v>0</v>
      </c>
      <c r="BO403" s="83"/>
      <c r="BP403" s="23"/>
      <c r="BQ403" s="83"/>
      <c r="BR403" s="81"/>
      <c r="BS403" s="25" t="s">
        <v>4225</v>
      </c>
      <c r="BT403" s="81"/>
      <c r="BU403" s="2135" t="str">
        <f>IF(Conseq_Criteria="Hazard Distance",BU402,IF(AND(OR(BU243="",AND(Regulatory_Tox&lt;&gt;"Yes",ER3_Min&gt;Toxic_Limit),BU304="No"),BU305="No"),"NA",IF(BU400&lt;N_VeryLow,Conseq_VeryLow,IF(BU400&lt;N_Low,Conseq_Low,IF(BU400&lt;N_Moderate,Conseq_Moderate,IF(BU400&lt;N_High,Conseq_High,IF(BU400&lt;N_VeryHigh,Conseq_VeryHigh,Conseq_ExtremeHigh)))))))</f>
        <v>NA</v>
      </c>
      <c r="BV403" s="81"/>
      <c r="BW403" s="2135" t="str">
        <f>IF(Conseq_Criteria="Hazard Distance",BW402,IF(AND(OR(BW243="",AND(Regulatory_Tox&lt;&gt;"Yes",ER3_Min&gt;Toxic_Limit),BW304="No"),BW305="No"),"NA",IF(BW400&lt;N_VeryLow,Conseq_VeryLow,IF(BW400&lt;N_Low,Conseq_Low,IF(BW400&lt;N_Moderate,Conseq_Moderate,IF(BW400&lt;N_High,Conseq_High,IF(BW400&lt;N_VeryHigh,Conseq_VeryHigh,Conseq_ExtremeHigh)))))))</f>
        <v>NA</v>
      </c>
      <c r="BX403" s="81"/>
      <c r="BY403" s="2135" t="str">
        <f>IF(Conseq_Criteria="Hazard Distance",BY402,IF(AND(OR(BY243="",AND(Regulatory_Tox&lt;&gt;"Yes",ER3_Min&gt;Toxic_Limit),BY304="No"),BY305="No"),"NA",IF(BY400&lt;N_VeryLow,Conseq_VeryLow,IF(BY400&lt;N_Low,Conseq_Low,IF(BY400&lt;N_Moderate,Conseq_Moderate,IF(BY400&lt;N_High,Conseq_High,IF(BY400&lt;N_VeryHigh,Conseq_VeryHigh,Conseq_ExtremeHigh)))))))</f>
        <v>NA</v>
      </c>
      <c r="BZ403" s="81"/>
      <c r="CA403" s="2135" t="str">
        <f>IF(Conseq_Criteria="Hazard Distance",CA402,IF(AND(OR(CA243="",AND(Regulatory_Tox&lt;&gt;"Yes",ER3_Min&gt;Toxic_Limit),CA304="No"),CA305="No"),"NA",IF(CA400&lt;N_VeryLow,Conseq_VeryLow,IF(CA400&lt;N_Low,Conseq_Low,IF(CA400&lt;N_Moderate,Conseq_Moderate,IF(CA400&lt;N_High,Conseq_High,IF(CA400&lt;N_VeryHigh,Conseq_VeryHigh,Conseq_ExtremeHigh)))))))</f>
        <v>NA</v>
      </c>
      <c r="CB403" s="81"/>
      <c r="CC403" s="2135" t="str">
        <f>IF(Conseq_Criteria="Hazard Distance",CC402,IF(AND(OR(CC243="",AND(Regulatory_Tox&lt;&gt;"Yes",ER3_Min&gt;Toxic_Limit),CC304="No"),CC305="No"),"NA",IF(CC400&lt;N_VeryLow,Conseq_VeryLow,IF(CC400&lt;N_Low,Conseq_Low,IF(CC400&lt;N_Moderate,Conseq_Moderate,IF(CC400&lt;N_High,Conseq_High,IF(CC400&lt;N_VeryHigh,Conseq_VeryHigh,Conseq_ExtremeHigh)))))))</f>
        <v>NA</v>
      </c>
      <c r="CD403" s="81"/>
      <c r="CE403" s="89"/>
      <c r="CF403" s="81"/>
      <c r="CN403" s="26"/>
    </row>
    <row r="404" spans="1:92" ht="15" customHeight="1" x14ac:dyDescent="0.25">
      <c r="A404" s="2"/>
      <c r="B404" s="23" t="s">
        <v>5215</v>
      </c>
      <c r="C404" s="83"/>
      <c r="D404" s="321">
        <f>IF(D326="No",0,3.14*Offsite_Area_Bldg_Factor*IF(Offsite_PD1="",Offsite_PD/1000000,Offsite_PD1)*D325^2*(EXP(-Offsite_Bldg_a*Zone_1^2/D325^2)-EXP(-Offsite_Bldg_a*Public^2/D325^2))/(-Offsite_Bldg_a))</f>
        <v>0</v>
      </c>
      <c r="E404" s="83"/>
      <c r="F404" s="321">
        <f>IF(F326="No",0,3.14*Offsite_Area_Bldg_Factor*IF(Offsite_PD1="",Offsite_PD/1000000,Offsite_PD1)*F325^2*(EXP(-Offsite_Bldg_a*Zone_1^2/F325^2)-EXP(-Offsite_Bldg_a*Public^2/F325^2))/(-Offsite_Bldg_a))</f>
        <v>0</v>
      </c>
      <c r="G404" s="83"/>
      <c r="H404" s="321">
        <f>IF(H326="No",0,3.14*Offsite_Area_Bldg_Factor*IF(Offsite_PD1="",Offsite_PD/1000000,Offsite_PD1)*H325^2*(EXP(-Offsite_Bldg_a*Zone_1^2/H325^2)-EXP(-Offsite_Bldg_a*Public^2/H325^2))/(-Offsite_Bldg_a))</f>
        <v>0</v>
      </c>
      <c r="I404" s="83"/>
      <c r="J404" s="321">
        <f>IF(J326="No",0,3.14*Offsite_Area_Bldg_Factor*IF(Offsite_PD1="",Offsite_PD/1000000,Offsite_PD1)*J325^2*(EXP(-Offsite_Bldg_a*Zone_1^2/J325^2)-EXP(-Offsite_Bldg_a*Public^2/J325^2))/(-Offsite_Bldg_a))</f>
        <v>0</v>
      </c>
      <c r="K404" s="83"/>
      <c r="L404" s="321">
        <f>IF(L326="No",0,3.14*Offsite_Area_Bldg_Factor*IF(Offsite_PD1="",Offsite_PD/1000000,Offsite_PD1)*L325^2*(EXP(-Offsite_Bldg_a*Zone_1^2/L325^2)-EXP(-Offsite_Bldg_a*Public^2/L325^2))/(-Offsite_Bldg_a))</f>
        <v>0</v>
      </c>
      <c r="M404" s="83"/>
      <c r="N404" s="321">
        <f>IF(N326="No",0,3.14*Offsite_Area_Bldg_Factor*IF(Offsite_PD1="",Offsite_PD/1000000,Offsite_PD1)*N325^2*(EXP(-Offsite_Bldg_a*Zone_1^2/N325^2)-EXP(-Offsite_Bldg_a*Public^2/N325^2))/(-Offsite_Bldg_a))</f>
        <v>0</v>
      </c>
      <c r="O404" s="83"/>
      <c r="P404" s="321">
        <f>IF(P326="No",0,3.14*Offsite_Area_Bldg_Factor*IF(Offsite_PD1="",Offsite_PD/1000000,Offsite_PD1)*P325^2*(EXP(-Offsite_Bldg_a*Zone_1^2/P325^2)-EXP(-Offsite_Bldg_a*Public^2/P325^2))/(-Offsite_Bldg_a))</f>
        <v>0</v>
      </c>
      <c r="Q404" s="83"/>
      <c r="R404" s="321">
        <f>IF(R326="No",0,3.14*Offsite_Area_Bldg_Factor*IF(Offsite_PD1="",Offsite_PD/1000000,Offsite_PD1)*R325^2*(EXP(-Offsite_Bldg_a*Zone_1^2/R325^2)-EXP(-Offsite_Bldg_a*Public^2/R325^2))/(-Offsite_Bldg_a))</f>
        <v>0</v>
      </c>
      <c r="S404" s="83"/>
      <c r="T404" s="321">
        <f>IF(T326="No",0,3.14*Offsite_Area_Bldg_Factor*IF(Offsite_PD1="",Offsite_PD/1000000,Offsite_PD1)*T325^2*(EXP(-Offsite_Bldg_a*Zone_1^2/T325^2)-EXP(-Offsite_Bldg_a*Public^2/T325^2))/(-Offsite_Bldg_a))</f>
        <v>0</v>
      </c>
      <c r="U404" s="83"/>
      <c r="V404" s="321">
        <f>IF(V326="No",0,3.14*Offsite_Area_Bldg_Factor*IF(Offsite_PD1="",Offsite_PD/1000000,Offsite_PD1)*V325^2*(EXP(-Offsite_Bldg_a*Zone_1^2/V325^2)-EXP(-Offsite_Bldg_a*Public^2/V325^2))/(-Offsite_Bldg_a))</f>
        <v>0</v>
      </c>
      <c r="W404" s="83"/>
      <c r="X404" s="321">
        <f>IF(X326="No",0,3.14*Offsite_Area_Bldg_Factor*IF(Offsite_PD1="",Offsite_PD/1000000,Offsite_PD1)*X325^2*(EXP(-Offsite_Bldg_a*Zone_1^2/X325^2)-EXP(-Offsite_Bldg_a*Public^2/X325^2))/(-Offsite_Bldg_a))</f>
        <v>0</v>
      </c>
      <c r="Y404" s="83"/>
      <c r="Z404" s="23"/>
      <c r="AA404" s="83"/>
      <c r="AB404" s="81"/>
      <c r="AC404" s="851" t="s">
        <v>2008</v>
      </c>
      <c r="AD404" s="81"/>
      <c r="AE404" s="1182">
        <f>IF(AE331&lt;&gt;"Yes",0,EXP(-Bldg_Type_Coefficient*(Bldg_Type_Correction/AE327)^Bldg_Type_Exponent))</f>
        <v>0</v>
      </c>
      <c r="AF404" s="81"/>
      <c r="AG404" s="1182">
        <f>IF(AG331&lt;&gt;"Yes",0,EXP(-Bldg_Type_Coefficient*(Bldg_Type_Correction/AG327)^Bldg_Type_Exponent))</f>
        <v>0</v>
      </c>
      <c r="AH404" s="81"/>
      <c r="AI404" s="1182">
        <f>IF(AI331&lt;&gt;"Yes",0,EXP(-Bldg_Type_Coefficient*(Bldg_Type_Correction/AI327)^Bldg_Type_Exponent))</f>
        <v>0</v>
      </c>
      <c r="AJ404" s="81"/>
      <c r="AK404" s="1182">
        <f>IF(AK331&lt;&gt;"Yes",0,EXP(-Bldg_Type_Coefficient*(Bldg_Type_Correction/AK327)^Bldg_Type_Exponent))</f>
        <v>0</v>
      </c>
      <c r="AL404" s="81"/>
      <c r="AM404" s="1182">
        <f>IF(AM331&lt;&gt;"Yes",0,EXP(-Bldg_Type_Coefficient*(Bldg_Type_Correction/AM327)^Bldg_Type_Exponent))</f>
        <v>0</v>
      </c>
      <c r="AN404" s="81"/>
      <c r="AO404" s="1182">
        <f>IF(AO331&lt;&gt;"Yes",0,EXP(-Bldg_Type_Coefficient*(Bldg_Type_Correction/AO327)^Bldg_Type_Exponent))</f>
        <v>0</v>
      </c>
      <c r="AP404" s="81"/>
      <c r="AQ404" s="84"/>
      <c r="AR404" s="81"/>
      <c r="AS404" s="83"/>
      <c r="AT404" s="846" t="s">
        <v>5217</v>
      </c>
      <c r="AU404" s="83"/>
      <c r="AV404" s="3169">
        <f>AV402+AV403</f>
        <v>0</v>
      </c>
      <c r="AW404" s="83"/>
      <c r="AX404" s="3169">
        <f>AX402+AX403</f>
        <v>0</v>
      </c>
      <c r="AY404" s="83"/>
      <c r="AZ404" s="3169">
        <f>AZ402+AZ403</f>
        <v>0</v>
      </c>
      <c r="BA404" s="83"/>
      <c r="BB404" s="3169">
        <f>BB402+BB403</f>
        <v>0</v>
      </c>
      <c r="BC404" s="83"/>
      <c r="BD404" s="3169">
        <f>BD402+BD403</f>
        <v>0</v>
      </c>
      <c r="BE404" s="83"/>
      <c r="BF404" s="3169">
        <f>BF402+BF403</f>
        <v>0</v>
      </c>
      <c r="BG404" s="83"/>
      <c r="BH404" s="3169">
        <f>BH402+BH403</f>
        <v>0</v>
      </c>
      <c r="BI404" s="83"/>
      <c r="BJ404" s="3169">
        <f>BJ402+BJ403</f>
        <v>0</v>
      </c>
      <c r="BK404" s="83"/>
      <c r="BL404" s="3169">
        <f>BL402+BL403</f>
        <v>0</v>
      </c>
      <c r="BM404" s="83"/>
      <c r="BN404" s="3169">
        <f>BN402+BN403</f>
        <v>0</v>
      </c>
      <c r="BO404" s="83"/>
      <c r="BP404" s="23"/>
      <c r="BQ404" s="83"/>
      <c r="BR404" s="81"/>
      <c r="BS404" s="23" t="s">
        <v>4061</v>
      </c>
      <c r="BT404" s="81"/>
      <c r="BU404" s="1820">
        <f>IF(OR(BU$274=0,BU296=0),0,MIN(1,EXP(BU$274+BU$275/BU296^(2*BU$128))))</f>
        <v>0</v>
      </c>
      <c r="BV404" s="81"/>
      <c r="BW404" s="1820">
        <f>IF(OR(BW$274=0,BW296=0),0,MIN(1,EXP(BW$274+BW$275/BW296^(2*BW$128))))</f>
        <v>0</v>
      </c>
      <c r="BX404" s="81"/>
      <c r="BY404" s="1820">
        <f>IF(OR(BY$274=0,BY296=0),0,MIN(1,EXP(BY$274+BY$275/BY296^(2*BY$128))))</f>
        <v>0</v>
      </c>
      <c r="BZ404" s="81"/>
      <c r="CA404" s="1820">
        <f>IF(OR(CA$274=0,CA296=0),0,MIN(1,EXP(CA$274+CA$275/CA296^(2*CA$128))))</f>
        <v>0</v>
      </c>
      <c r="CB404" s="81"/>
      <c r="CC404" s="1820">
        <f>IF(OR(CC$274=0,CC296=0),0,MIN(1,EXP(CC$274+CC$275/CC296^(2*CC$128))))</f>
        <v>0</v>
      </c>
      <c r="CD404" s="81"/>
      <c r="CE404" s="84"/>
      <c r="CF404" s="81"/>
    </row>
    <row r="405" spans="1:92" ht="15" customHeight="1" x14ac:dyDescent="0.25">
      <c r="A405" s="2"/>
      <c r="B405" s="23" t="s">
        <v>5216</v>
      </c>
      <c r="C405" s="83"/>
      <c r="D405" s="1820">
        <f>IF(D326="No",0,3.14*Offsite_Area_Bldg_Factor*IF(Offsite_PD2="",Offsite_PD/1000000,Offsite_PD2)*D325^2*(0-EXP(-Offsite_Bldg_a*Zone_1^2/D325^2))/(-Offsite_Bldg_a))</f>
        <v>0</v>
      </c>
      <c r="E405" s="83"/>
      <c r="F405" s="1820">
        <f>IF(F326="No",0,3.14*Offsite_Area_Bldg_Factor*IF(Offsite_PD2="",Offsite_PD/1000000,Offsite_PD2)*F325^2*(0-EXP(-Offsite_Bldg_a*Zone_1^2/F325^2))/(-Offsite_Bldg_a))</f>
        <v>0</v>
      </c>
      <c r="G405" s="83"/>
      <c r="H405" s="1820">
        <f>IF(H326="No",0,3.14*Offsite_Area_Bldg_Factor*IF(Offsite_PD2="",Offsite_PD/1000000,Offsite_PD2)*H325^2*(0-EXP(-Offsite_Bldg_a*Zone_1^2/H325^2))/(-Offsite_Bldg_a))</f>
        <v>0</v>
      </c>
      <c r="I405" s="83"/>
      <c r="J405" s="1820">
        <f>IF(J326="No",0,3.14*Offsite_Area_Bldg_Factor*IF(Offsite_PD2="",Offsite_PD/1000000,Offsite_PD2)*J325^2*(0-EXP(-Offsite_Bldg_a*Zone_1^2/J325^2))/(-Offsite_Bldg_a))</f>
        <v>0</v>
      </c>
      <c r="K405" s="83"/>
      <c r="L405" s="1820">
        <f>IF(L326="No",0,3.14*Offsite_Area_Bldg_Factor*IF(Offsite_PD2="",Offsite_PD/1000000,Offsite_PD2)*L325^2*(0-EXP(-Offsite_Bldg_a*Zone_1^2/L325^2))/(-Offsite_Bldg_a))</f>
        <v>0</v>
      </c>
      <c r="M405" s="83"/>
      <c r="N405" s="1820">
        <f>IF(N326="No",0,3.14*Offsite_Area_Bldg_Factor*IF(Offsite_PD2="",Offsite_PD/1000000,Offsite_PD2)*N325^2*(0-EXP(-Offsite_Bldg_a*Zone_1^2/N325^2))/(-Offsite_Bldg_a))</f>
        <v>0</v>
      </c>
      <c r="O405" s="83"/>
      <c r="P405" s="1820">
        <f>IF(P326="No",0,3.14*Offsite_Area_Bldg_Factor*IF(Offsite_PD2="",Offsite_PD/1000000,Offsite_PD2)*P325^2*(0-EXP(-Offsite_Bldg_a*Zone_1^2/P325^2))/(-Offsite_Bldg_a))</f>
        <v>0</v>
      </c>
      <c r="Q405" s="83"/>
      <c r="R405" s="1820">
        <f>IF(R326="No",0,3.14*Offsite_Area_Bldg_Factor*IF(Offsite_PD2="",Offsite_PD/1000000,Offsite_PD2)*R325^2*(0-EXP(-Offsite_Bldg_a*Zone_1^2/R325^2))/(-Offsite_Bldg_a))</f>
        <v>0</v>
      </c>
      <c r="S405" s="83"/>
      <c r="T405" s="1820">
        <f>IF(T326="No",0,3.14*Offsite_Area_Bldg_Factor*IF(Offsite_PD2="",Offsite_PD/1000000,Offsite_PD2)*T325^2*(0-EXP(-Offsite_Bldg_a*Zone_1^2/T325^2))/(-Offsite_Bldg_a))</f>
        <v>0</v>
      </c>
      <c r="U405" s="83"/>
      <c r="V405" s="1820">
        <f>IF(V326="No",0,3.14*Offsite_Area_Bldg_Factor*IF(Offsite_PD2="",Offsite_PD/1000000,Offsite_PD2)*V325^2*(0-EXP(-Offsite_Bldg_a*Zone_1^2/V325^2))/(-Offsite_Bldg_a))</f>
        <v>0</v>
      </c>
      <c r="W405" s="83"/>
      <c r="X405" s="1820">
        <f>IF(X326="No",0,3.14*Offsite_Area_Bldg_Factor*IF(Offsite_PD2="",Offsite_PD/1000000,Offsite_PD2)*X325^2*(0-EXP(-Offsite_Bldg_a*Zone_1^2/X325^2))/(-Offsite_Bldg_a))</f>
        <v>0</v>
      </c>
      <c r="Y405" s="83"/>
      <c r="Z405" s="23"/>
      <c r="AA405" s="83"/>
      <c r="AB405" s="81"/>
      <c r="AC405" s="851" t="s">
        <v>2009</v>
      </c>
      <c r="AD405" s="81"/>
      <c r="AE405" s="1820">
        <f>AE404*Occupants_atRisk</f>
        <v>0</v>
      </c>
      <c r="AF405" s="81"/>
      <c r="AG405" s="1820">
        <f>AG404*Occupants_atRisk</f>
        <v>0</v>
      </c>
      <c r="AH405" s="81"/>
      <c r="AI405" s="1820">
        <f>AI404*Occupants_atRisk</f>
        <v>0</v>
      </c>
      <c r="AJ405" s="81"/>
      <c r="AK405" s="1820">
        <f>AK404*Occupants_atRisk</f>
        <v>0</v>
      </c>
      <c r="AL405" s="81"/>
      <c r="AM405" s="1820">
        <f>AM404*Occupants_atRisk</f>
        <v>0</v>
      </c>
      <c r="AN405" s="81"/>
      <c r="AO405" s="1820">
        <f>AO404*Occupants_atRisk</f>
        <v>0</v>
      </c>
      <c r="AP405" s="81"/>
      <c r="AQ405" s="23"/>
      <c r="AR405" s="81"/>
      <c r="AS405" s="83"/>
      <c r="AT405" s="23" t="s">
        <v>1979</v>
      </c>
      <c r="AU405" s="83"/>
      <c r="AV405" s="1182">
        <f>AV384+AV404+IF(Occ_Bldg2_Direction="Yes",AV399+AV401,IF(AV399&gt;AV401,AV399,AV401))</f>
        <v>0</v>
      </c>
      <c r="AW405" s="83"/>
      <c r="AX405" s="1182">
        <f>AX384+AX404+IF(Occ_Bldg2_Direction="Yes",AX399+AX401,IF(AX399&gt;AX401,AX399,AX401))</f>
        <v>0</v>
      </c>
      <c r="AY405" s="83"/>
      <c r="AZ405" s="1182">
        <f>AZ384+AZ404+IF(Occ_Bldg2_Direction="Yes",AZ399+AZ401,IF(AZ399&gt;AZ401,AZ399,AZ401))</f>
        <v>0</v>
      </c>
      <c r="BA405" s="83"/>
      <c r="BB405" s="1182">
        <f>BB384+BB404+IF(Occ_Bldg2_Direction="Yes",BB399+BB401,IF(BB399&gt;BB401,BB399,BB401))</f>
        <v>0</v>
      </c>
      <c r="BC405" s="83"/>
      <c r="BD405" s="1182">
        <f>BD384+BD404+IF(Occ_Bldg2_Direction="Yes",BD399+BD401,IF(BD399&gt;BD401,BD399,BD401))</f>
        <v>0</v>
      </c>
      <c r="BE405" s="83"/>
      <c r="BF405" s="1182">
        <f>BF384+BF404+IF(Occ_Bldg2_Direction="Yes",BF399+BF401,IF(BF399&gt;BF401,BF399,BF401))</f>
        <v>0</v>
      </c>
      <c r="BG405" s="83"/>
      <c r="BH405" s="1182">
        <f>BH384+BH404+IF(Occ_Bldg2_Direction="Yes",BH399+BH401,IF(BH399&gt;BH401,BH399,BH401))</f>
        <v>0</v>
      </c>
      <c r="BI405" s="83"/>
      <c r="BJ405" s="1182">
        <f>BJ384+BJ404+IF(Occ_Bldg2_Direction="Yes",BJ399+BJ401,IF(BJ399&gt;BJ401,BJ399,BJ401))</f>
        <v>0</v>
      </c>
      <c r="BK405" s="83"/>
      <c r="BL405" s="1182">
        <f>BL384+BL404+IF(Occ_Bldg2_Direction="Yes",BL399+BL401,IF(BL399&gt;BL401,BL399,BL401))</f>
        <v>0</v>
      </c>
      <c r="BM405" s="83"/>
      <c r="BN405" s="1182">
        <f>BN384+BN404+IF(Occ_Bldg2_Direction="Yes",BN399+BN401,IF(BN399&gt;BN401,BN399,BN401))</f>
        <v>0</v>
      </c>
      <c r="BO405" s="83"/>
      <c r="BP405" s="91"/>
      <c r="BQ405" s="83"/>
      <c r="BR405" s="81"/>
      <c r="BS405" s="23" t="s">
        <v>2931</v>
      </c>
      <c r="BT405" s="81"/>
      <c r="BU405" s="1820">
        <f>IF(OR(BU$274=0,BU297=0),0,MIN(1,EXP(BU$274+BU$275/BU297^(2*BU$128))))</f>
        <v>0</v>
      </c>
      <c r="BV405" s="81"/>
      <c r="BW405" s="1820">
        <f>IF(OR(BW$274=0,BW297=0),0,MIN(1,EXP(BW$274+BW$275/BW297^(2*BW$128))))</f>
        <v>0</v>
      </c>
      <c r="BX405" s="81"/>
      <c r="BY405" s="1820">
        <f>IF(OR(BY$274=0,BY297=0),0,MIN(1,EXP(BY$274+BY$275/BY297^(2*BY$128))))</f>
        <v>0</v>
      </c>
      <c r="BZ405" s="81"/>
      <c r="CA405" s="1820">
        <f>IF(OR(CA$274=0,CA297=0),0,MIN(1,EXP(CA$274+CA$275/CA297^(2*CA$128))))</f>
        <v>0</v>
      </c>
      <c r="CB405" s="81"/>
      <c r="CC405" s="1820">
        <f>IF(OR(CC$274=0,CC297=0),0,MIN(1,EXP(CC$274+CC$275/CC297^(2*CC$128))))</f>
        <v>0</v>
      </c>
      <c r="CD405" s="81"/>
      <c r="CE405" s="23"/>
      <c r="CF405" s="81"/>
    </row>
    <row r="406" spans="1:92" ht="15" customHeight="1" thickBot="1" x14ac:dyDescent="0.3">
      <c r="A406" s="2"/>
      <c r="B406" s="512" t="s">
        <v>5217</v>
      </c>
      <c r="C406" s="83"/>
      <c r="D406" s="3169">
        <f>D404+D405</f>
        <v>0</v>
      </c>
      <c r="E406" s="83"/>
      <c r="F406" s="3169">
        <f>F404+F405</f>
        <v>0</v>
      </c>
      <c r="G406" s="83"/>
      <c r="H406" s="3169">
        <f>H404+H405</f>
        <v>0</v>
      </c>
      <c r="I406" s="83"/>
      <c r="J406" s="3169">
        <f>J404+J405</f>
        <v>0</v>
      </c>
      <c r="K406" s="83"/>
      <c r="L406" s="3169">
        <f>L404+L405</f>
        <v>0</v>
      </c>
      <c r="M406" s="83"/>
      <c r="N406" s="3169">
        <f>N404+N405</f>
        <v>0</v>
      </c>
      <c r="O406" s="83"/>
      <c r="P406" s="3169">
        <f>P404+P405</f>
        <v>0</v>
      </c>
      <c r="Q406" s="83"/>
      <c r="R406" s="3169">
        <f>R404+R405</f>
        <v>0</v>
      </c>
      <c r="S406" s="83"/>
      <c r="T406" s="3169">
        <f>T404+T405</f>
        <v>0</v>
      </c>
      <c r="U406" s="83"/>
      <c r="V406" s="3169">
        <f>V404+V405</f>
        <v>0</v>
      </c>
      <c r="W406" s="83"/>
      <c r="X406" s="3169">
        <f>X404+X405</f>
        <v>0</v>
      </c>
      <c r="Y406" s="83"/>
      <c r="Z406" s="23"/>
      <c r="AA406" s="83"/>
      <c r="AB406" s="81"/>
      <c r="AC406" s="851" t="s">
        <v>630</v>
      </c>
      <c r="AD406" s="81"/>
      <c r="AE406" s="3014">
        <f>IF(OR(IF(Occ_Bldg2_Relief&gt;0,Occ_Bldg2_Relief,Occ_Bldg2)=0,AE331&lt;&gt;"Yes"),0,EXP(-Bldg2_Type_Coefficient*(Bldg2_Type_Correction/AE329)^Bldg2_Type_Exponent))</f>
        <v>0</v>
      </c>
      <c r="AF406" s="81"/>
      <c r="AG406" s="3014">
        <f>IF(OR(IF(Occ_Bldg2_Relief&gt;0,Occ_Bldg2_Relief,Occ_Bldg2)=0,AG331&lt;&gt;"Yes"),0,EXP(-Bldg2_Type_Coefficient*(Bldg2_Type_Correction/AG329)^Bldg2_Type_Exponent))</f>
        <v>0</v>
      </c>
      <c r="AH406" s="81"/>
      <c r="AI406" s="3014">
        <f>IF(OR(IF(Occ_Bldg2_Relief&gt;0,Occ_Bldg2_Relief,Occ_Bldg2)=0,AI331&lt;&gt;"Yes"),0,EXP(-Bldg2_Type_Coefficient*(Bldg2_Type_Correction/AI329)^Bldg2_Type_Exponent))</f>
        <v>0</v>
      </c>
      <c r="AJ406" s="81"/>
      <c r="AK406" s="3014">
        <f>IF(OR(IF(Occ_Bldg2_Relief&gt;0,Occ_Bldg2_Relief,Occ_Bldg2)=0,AK331&lt;&gt;"Yes"),0,EXP(-Bldg2_Type_Coefficient*(Bldg2_Type_Correction/AK329)^Bldg2_Type_Exponent))</f>
        <v>0</v>
      </c>
      <c r="AL406" s="81"/>
      <c r="AM406" s="3014">
        <f>IF(OR(IF(Occ_Bldg2_Relief&gt;0,Occ_Bldg2_Relief,Occ_Bldg2)=0,AM331&lt;&gt;"Yes"),0,EXP(-Bldg2_Type_Coefficient*(Bldg2_Type_Correction/AM329)^Bldg2_Type_Exponent))</f>
        <v>0</v>
      </c>
      <c r="AN406" s="81"/>
      <c r="AO406" s="3014">
        <f>IF(OR(IF(Occ_Bldg2_Relief&gt;0,Occ_Bldg2_Relief,Occ_Bldg2)=0,AO331&lt;&gt;"Yes"),0,EXP(-Bldg2_Type_Coefficient*(Bldg2_Type_Correction/AO329)^Bldg2_Type_Exponent))</f>
        <v>0</v>
      </c>
      <c r="AP406" s="81"/>
      <c r="AQ406" s="23"/>
      <c r="AR406" s="81"/>
      <c r="AS406" s="83"/>
      <c r="AT406" s="25" t="s">
        <v>4796</v>
      </c>
      <c r="AU406" s="83"/>
      <c r="AV406" s="3016" t="str">
        <f>IF(AV316&lt;&gt;"Yes","NA",IF(MAX(AV326/Bldg_Type_Correction,AV330/Bldg2_Type_Correction)&lt;HD_Low_Expl,Conseq_Low,IF(MAX(AV326/Bldg_Type_Correction,AV330/Bldg2_Type_Correction)&lt;HD_Moderate_Expl,Conseq_Moderate,IF(MAX(AV326/Bldg_Type_Correction,AV330/Bldg2_Type_Correction)&lt;HD_High_Expl,Conseq_High,IF(MAX(AV326/Bldg_Type_Correction,AV330/Bldg2_Type_Correction)&lt;HD_VeryHigh_Expl,Conseq_VeryHigh,Conseq_ExtremeHigh)))))</f>
        <v>NA</v>
      </c>
      <c r="AW406" s="83"/>
      <c r="AX406" s="3016" t="str">
        <f>IF(AX316&lt;&gt;"Yes","NA",IF(MAX(AX326/Bldg_Type_Correction,AX330/Bldg2_Type_Correction)&lt;HD_Low_Expl,Conseq_Low,IF(MAX(AX326/Bldg_Type_Correction,AX330/Bldg2_Type_Correction)&lt;HD_Moderate_Expl,Conseq_Moderate,IF(MAX(AX326/Bldg_Type_Correction,AX330/Bldg2_Type_Correction)&lt;HD_High_Expl,Conseq_High,IF(MAX(AX326/Bldg_Type_Correction,AX330/Bldg2_Type_Correction)&lt;HD_VeryHigh_Expl,Conseq_VeryHigh,Conseq_ExtremeHigh)))))</f>
        <v>NA</v>
      </c>
      <c r="AY406" s="83"/>
      <c r="AZ406" s="3016" t="str">
        <f>IF(AZ316&lt;&gt;"Yes","NA",IF(MAX(AZ326/Bldg_Type_Correction,AZ330/Bldg2_Type_Correction)&lt;HD_Low_Expl,Conseq_Low,IF(MAX(AZ326/Bldg_Type_Correction,AZ330/Bldg2_Type_Correction)&lt;HD_Moderate_Expl,Conseq_Moderate,IF(MAX(AZ326/Bldg_Type_Correction,AZ330/Bldg2_Type_Correction)&lt;HD_High_Expl,Conseq_High,IF(MAX(AZ326/Bldg_Type_Correction,AZ330/Bldg2_Type_Correction)&lt;HD_VeryHigh_Expl,Conseq_VeryHigh,Conseq_ExtremeHigh)))))</f>
        <v>NA</v>
      </c>
      <c r="BA406" s="83"/>
      <c r="BB406" s="3016" t="str">
        <f>IF(BB316&lt;&gt;"Yes","NA",IF(MAX(BB326/Bldg_Type_Correction,BB330/Bldg2_Type_Correction)&lt;HD_Low_Expl,Conseq_Low,IF(MAX(BB326/Bldg_Type_Correction,BB330/Bldg2_Type_Correction)&lt;HD_Moderate_Expl,Conseq_Moderate,IF(MAX(BB326/Bldg_Type_Correction,BB330/Bldg2_Type_Correction)&lt;HD_High_Expl,Conseq_High,IF(MAX(BB326/Bldg_Type_Correction,BB330/Bldg2_Type_Correction)&lt;HD_VeryHigh_Expl,Conseq_VeryHigh,Conseq_ExtremeHigh)))))</f>
        <v>NA</v>
      </c>
      <c r="BC406" s="83"/>
      <c r="BD406" s="3016" t="str">
        <f>IF(BD316&lt;&gt;"Yes","NA",IF(MAX(BD326/Bldg_Type_Correction,BD330/Bldg2_Type_Correction)&lt;HD_Low_Expl,Conseq_Low,IF(MAX(BD326/Bldg_Type_Correction,BD330/Bldg2_Type_Correction)&lt;HD_Moderate_Expl,Conseq_Moderate,IF(MAX(BD326/Bldg_Type_Correction,BD330/Bldg2_Type_Correction)&lt;HD_High_Expl,Conseq_High,IF(MAX(BD326/Bldg_Type_Correction,BD330/Bldg2_Type_Correction)&lt;HD_VeryHigh_Expl,Conseq_VeryHigh,Conseq_ExtremeHigh)))))</f>
        <v>NA</v>
      </c>
      <c r="BE406" s="83"/>
      <c r="BF406" s="3016" t="str">
        <f>IF(BF316&lt;&gt;"Yes","NA",IF(MAX(BF326/Bldg_Type_Correction,BF330/Bldg2_Type_Correction)&lt;HD_Low_Expl,Conseq_Low,IF(MAX(BF326/Bldg_Type_Correction,BF330/Bldg2_Type_Correction)&lt;HD_Moderate_Expl,Conseq_Moderate,IF(MAX(BF326/Bldg_Type_Correction,BF330/Bldg2_Type_Correction)&lt;HD_High_Expl,Conseq_High,IF(MAX(BF326/Bldg_Type_Correction,BF330/Bldg2_Type_Correction)&lt;HD_VeryHigh_Expl,Conseq_VeryHigh,Conseq_ExtremeHigh)))))</f>
        <v>NA</v>
      </c>
      <c r="BG406" s="83"/>
      <c r="BH406" s="3016" t="str">
        <f>IF(BH316&lt;&gt;"Yes","NA",IF(MAX(BH326/Bldg_Type_Correction,BH330/Bldg2_Type_Correction)&lt;HD_Low_Expl,Conseq_Low,IF(MAX(BH326/Bldg_Type_Correction,BH330/Bldg2_Type_Correction)&lt;HD_Moderate_Expl,Conseq_Moderate,IF(MAX(BH326/Bldg_Type_Correction,BH330/Bldg2_Type_Correction)&lt;HD_High_Expl,Conseq_High,IF(MAX(BH326/Bldg_Type_Correction,BH330/Bldg2_Type_Correction)&lt;HD_VeryHigh_Expl,Conseq_VeryHigh,Conseq_ExtremeHigh)))))</f>
        <v>NA</v>
      </c>
      <c r="BI406" s="83"/>
      <c r="BJ406" s="3016" t="str">
        <f>IF(BJ316&lt;&gt;"Yes","NA",IF(MAX(BJ326/Bldg_Type_Correction,BJ330/Bldg2_Type_Correction)&lt;HD_Low_Expl,Conseq_Low,IF(MAX(BJ326/Bldg_Type_Correction,BJ330/Bldg2_Type_Correction)&lt;HD_Moderate_Expl,Conseq_Moderate,IF(MAX(BJ326/Bldg_Type_Correction,BJ330/Bldg2_Type_Correction)&lt;HD_High_Expl,Conseq_High,IF(MAX(BJ326/Bldg_Type_Correction,BJ330/Bldg2_Type_Correction)&lt;HD_VeryHigh_Expl,Conseq_VeryHigh,Conseq_ExtremeHigh)))))</f>
        <v>NA</v>
      </c>
      <c r="BK406" s="83"/>
      <c r="BL406" s="3016" t="str">
        <f>IF(BL316&lt;&gt;"Yes","NA",IF(MAX(BL326/Bldg_Type_Correction,BL330/Bldg2_Type_Correction)&lt;HD_Low_Expl,Conseq_Low,IF(MAX(BL326/Bldg_Type_Correction,BL330/Bldg2_Type_Correction)&lt;HD_Moderate_Expl,Conseq_Moderate,IF(MAX(BL326/Bldg_Type_Correction,BL330/Bldg2_Type_Correction)&lt;HD_High_Expl,Conseq_High,IF(MAX(BL326/Bldg_Type_Correction,BL330/Bldg2_Type_Correction)&lt;HD_VeryHigh_Expl,Conseq_VeryHigh,Conseq_ExtremeHigh)))))</f>
        <v>NA</v>
      </c>
      <c r="BM406" s="83"/>
      <c r="BN406" s="3016" t="str">
        <f>IF(BN316&lt;&gt;"Yes","NA",IF(MAX(BN326/Bldg_Type_Correction,BN330/Bldg2_Type_Correction)&lt;HD_Low_Expl,Conseq_Low,IF(MAX(BN326/Bldg_Type_Correction,BN330/Bldg2_Type_Correction)&lt;HD_Moderate_Expl,Conseq_Moderate,IF(MAX(BN326/Bldg_Type_Correction,BN330/Bldg2_Type_Correction)&lt;HD_High_Expl,Conseq_High,IF(MAX(BN326/Bldg_Type_Correction,BN330/Bldg2_Type_Correction)&lt;HD_VeryHigh_Expl,Conseq_VeryHigh,Conseq_ExtremeHigh)))))</f>
        <v>NA</v>
      </c>
      <c r="BO406" s="83"/>
      <c r="BP406" s="91"/>
      <c r="BQ406" s="83"/>
      <c r="BR406" s="81"/>
      <c r="BS406" s="23" t="s">
        <v>3162</v>
      </c>
      <c r="BT406" s="81"/>
      <c r="BU406" s="1820">
        <f>IF(Occ_Bldg2_Direction="Yes",Occupants_atRisk*BU404+Occupants_atRisk2*BU405,MAX(Occupants_atRisk*BU404,Occupants_atRisk2*BU405))+BU395</f>
        <v>6.0000000000000008E-7</v>
      </c>
      <c r="BV406" s="81"/>
      <c r="BW406" s="1820">
        <f>IF(Occ_Bldg2_Direction="Yes",Occupants_atRisk*BW404+Occupants_atRisk2*BW405,MAX(Occupants_atRisk*BW404,Occupants_atRisk2*BW405))+BW395</f>
        <v>6.0000000000000008E-7</v>
      </c>
      <c r="BX406" s="81"/>
      <c r="BY406" s="1820">
        <f>IF(Occ_Bldg2_Direction="Yes",Occupants_atRisk*BY404+Occupants_atRisk2*BY405,IF(Occupants_atRisk*BY404&gt;Occupants_atRisk2*BY405,Occupants_atRisk*BY404,Occupants_atRisk2*BY405))</f>
        <v>0</v>
      </c>
      <c r="BZ406" s="81"/>
      <c r="CA406" s="1820">
        <f>IF(Occ_Bldg2_Direction="Yes",Occupants_atRisk*CA404+Occupants_atRisk2*CA405,MAX(Occupants_atRisk*CA404,Occupants_atRisk2*CA405))+CA395</f>
        <v>6.0000000000000008E-7</v>
      </c>
      <c r="CB406" s="81"/>
      <c r="CC406" s="1820">
        <f>IF(Occ_Bldg2_Direction="Yes",Occupants_atRisk*CC404+Occupants_atRisk2*CC405,MAX(Occupants_atRisk*CC404,Occupants_atRisk2*CC405))+CC395</f>
        <v>6.0000000000000008E-7</v>
      </c>
      <c r="CD406" s="81"/>
      <c r="CE406" s="23"/>
      <c r="CF406" s="81"/>
    </row>
    <row r="407" spans="1:92" ht="15" customHeight="1" thickBot="1" x14ac:dyDescent="0.3">
      <c r="A407" s="2"/>
      <c r="B407" s="23" t="s">
        <v>1979</v>
      </c>
      <c r="C407" s="83"/>
      <c r="D407" s="1182">
        <f>D386+D406+IF(Occ_Bldg2_Direction="Yes",D401+D403,IF(D401&gt;D403,D401,D403))</f>
        <v>0</v>
      </c>
      <c r="E407" s="83"/>
      <c r="F407" s="1182">
        <f>F386+F406+IF(Occ_Bldg2_Direction="Yes",F401+F403,IF(F401&gt;F403,F401,F403))</f>
        <v>0</v>
      </c>
      <c r="G407" s="83"/>
      <c r="H407" s="1182">
        <f>H386+H406+IF(Occ_Bldg2_Direction="Yes",H401+H403,IF(H401&gt;H403,H401,H403))</f>
        <v>0</v>
      </c>
      <c r="I407" s="83"/>
      <c r="J407" s="1182">
        <f>J386+J406+IF(Occ_Bldg2_Direction="Yes",J401+J403,IF(J401&gt;J403,J401,J403))</f>
        <v>0</v>
      </c>
      <c r="K407" s="83"/>
      <c r="L407" s="1182">
        <f>L386+L406+IF(Occ_Bldg2_Direction="Yes",L401+L403,IF(L401&gt;L403,L401,L403))</f>
        <v>0</v>
      </c>
      <c r="M407" s="83"/>
      <c r="N407" s="1182">
        <f>N386+N406+IF(Occ_Bldg2_Direction="Yes",N401+N403,IF(N401&gt;N403,N401,N403))</f>
        <v>0</v>
      </c>
      <c r="O407" s="83"/>
      <c r="P407" s="1182">
        <f>P386+P406+IF(Occ_Bldg2_Direction="Yes",P401+P403,IF(P401&gt;P403,P401,P403))</f>
        <v>0</v>
      </c>
      <c r="Q407" s="83"/>
      <c r="R407" s="1182">
        <f>R386+R406+IF(Occ_Bldg2_Direction="Yes",R401+R403,IF(R401&gt;R403,R401,R403))</f>
        <v>0</v>
      </c>
      <c r="S407" s="83"/>
      <c r="T407" s="1182">
        <f>T386+T406+IF(Occ_Bldg2_Direction="Yes",T401+T403,IF(T401&gt;T403,T401,T403))</f>
        <v>0</v>
      </c>
      <c r="U407" s="83"/>
      <c r="V407" s="1182">
        <f>V386+V406+IF(Occ_Bldg2_Direction="Yes",V401+V403,IF(V401&gt;V403,V401,V403))</f>
        <v>0</v>
      </c>
      <c r="W407" s="83"/>
      <c r="X407" s="1182">
        <f>X386+X406+IF(Occ_Bldg2_Direction="Yes",X401+X403,IF(X401&gt;X403,X401,X403))</f>
        <v>0</v>
      </c>
      <c r="Y407" s="83"/>
      <c r="Z407" s="91"/>
      <c r="AA407" s="83"/>
      <c r="AB407" s="81"/>
      <c r="AC407" s="851" t="s">
        <v>629</v>
      </c>
      <c r="AD407" s="81"/>
      <c r="AE407" s="1820">
        <f>AE406*Occupants_atRisk2</f>
        <v>0</v>
      </c>
      <c r="AF407" s="81"/>
      <c r="AG407" s="1820">
        <f>AG406*Occupants_atRisk2</f>
        <v>0</v>
      </c>
      <c r="AH407" s="81"/>
      <c r="AI407" s="1820">
        <f>AI406*Occupants_atRisk2</f>
        <v>0</v>
      </c>
      <c r="AJ407" s="81"/>
      <c r="AK407" s="1820">
        <f>AK406*Occupants_atRisk2</f>
        <v>0</v>
      </c>
      <c r="AL407" s="81"/>
      <c r="AM407" s="1820">
        <f>AM406*Occupants_atRisk2</f>
        <v>0</v>
      </c>
      <c r="AN407" s="81"/>
      <c r="AO407" s="1820">
        <f>AO406*Occupants_atRisk2</f>
        <v>0</v>
      </c>
      <c r="AP407" s="81"/>
      <c r="AQ407" s="23"/>
      <c r="AR407" s="81"/>
      <c r="AS407" s="83"/>
      <c r="AT407" s="25" t="s">
        <v>4230</v>
      </c>
      <c r="AU407" s="83"/>
      <c r="AV407" s="3017" t="str">
        <f>IF(Conseq_Criteria="Hazard Distance",AV406,IF(OR(AV316&lt;&gt;"Yes",AV405&lt;N_Screening),"NA",IF(AV405&lt;N_VeryLow,Conseq_VeryLow,IF(AV405&lt;N_Low,Conseq_Low,IF(AV405&lt;N_Moderate,Conseq_Moderate,IF(AV405&lt;N_High,Conseq_High,IF(AV405&lt;N_VeryHigh,Conseq_VeryHigh,Conseq_ExtremeHigh)))))))</f>
        <v>NA</v>
      </c>
      <c r="AW407" s="83"/>
      <c r="AX407" s="3017" t="str">
        <f>IF(Conseq_Criteria="Hazard Distance",AX406,IF(OR(AX316&lt;&gt;"Yes",AX405&lt;N_Screening),"NA",IF(AX405&lt;N_VeryLow,Conseq_VeryLow,IF(AX405&lt;N_Low,Conseq_Low,IF(AX405&lt;N_Moderate,Conseq_Moderate,IF(AX405&lt;N_High,Conseq_High,IF(AX405&lt;N_VeryHigh,Conseq_VeryHigh,Conseq_ExtremeHigh)))))))</f>
        <v>NA</v>
      </c>
      <c r="AY407" s="83"/>
      <c r="AZ407" s="3017" t="str">
        <f>IF(Conseq_Criteria="Hazard Distance",AZ406,IF(OR(AZ316&lt;&gt;"Yes",AZ405&lt;N_Screening),"NA",IF(AZ405&lt;N_VeryLow,Conseq_VeryLow,IF(AZ405&lt;N_Low,Conseq_Low,IF(AZ405&lt;N_Moderate,Conseq_Moderate,IF(AZ405&lt;N_High,Conseq_High,IF(AZ405&lt;N_VeryHigh,Conseq_VeryHigh,Conseq_ExtremeHigh)))))))</f>
        <v>NA</v>
      </c>
      <c r="BA407" s="83"/>
      <c r="BB407" s="3017" t="str">
        <f>IF(Conseq_Criteria="Hazard Distance",BB406,IF(OR(BB316&lt;&gt;"Yes",BB405&lt;N_Screening),"NA",IF(BB405&lt;N_VeryLow,Conseq_VeryLow,IF(BB405&lt;N_Low,Conseq_Low,IF(BB405&lt;N_Moderate,Conseq_Moderate,IF(BB405&lt;N_High,Conseq_High,IF(BB405&lt;N_VeryHigh,Conseq_VeryHigh,Conseq_ExtremeHigh)))))))</f>
        <v>NA</v>
      </c>
      <c r="BC407" s="83"/>
      <c r="BD407" s="3017" t="str">
        <f>IF(Conseq_Criteria="Hazard Distance",BD406,IF(OR(BD316&lt;&gt;"Yes",BD405&lt;N_Screening),"NA",IF(BD405&lt;N_VeryLow,Conseq_VeryLow,IF(BD405&lt;N_Low,Conseq_Low,IF(BD405&lt;N_Moderate,Conseq_Moderate,IF(BD405&lt;N_High,Conseq_High,IF(BD405&lt;N_VeryHigh,Conseq_VeryHigh,Conseq_ExtremeHigh)))))))</f>
        <v>NA</v>
      </c>
      <c r="BE407" s="83"/>
      <c r="BF407" s="3017" t="str">
        <f>IF(Conseq_Criteria="Hazard Distance",BF406,IF(OR(BF316&lt;&gt;"Yes",BF405&lt;N_Screening),"NA",IF(BF405&lt;N_VeryLow,Conseq_VeryLow,IF(BF405&lt;N_Low,Conseq_Low,IF(BF405&lt;N_Moderate,Conseq_Moderate,IF(BF405&lt;N_High,Conseq_High,IF(BF405&lt;N_VeryHigh,Conseq_VeryHigh,Conseq_ExtremeHigh)))))))</f>
        <v>NA</v>
      </c>
      <c r="BG407" s="83"/>
      <c r="BH407" s="3017" t="str">
        <f>IF(Conseq_Criteria="Hazard Distance",BH406,IF(OR(BH316&lt;&gt;"Yes",BH405&lt;N_Screening),"NA",IF(BH405&lt;N_VeryLow,Conseq_VeryLow,IF(BH405&lt;N_Low,Conseq_Low,IF(BH405&lt;N_Moderate,Conseq_Moderate,IF(BH405&lt;N_High,Conseq_High,IF(BH405&lt;N_VeryHigh,Conseq_VeryHigh,Conseq_ExtremeHigh)))))))</f>
        <v>NA</v>
      </c>
      <c r="BI407" s="83"/>
      <c r="BJ407" s="3017" t="str">
        <f>IF(Conseq_Criteria="Hazard Distance",BJ406,IF(OR(BJ316&lt;&gt;"Yes",BJ405&lt;N_Screening),"NA",IF(BJ405&lt;N_VeryLow,Conseq_VeryLow,IF(BJ405&lt;N_Low,Conseq_Low,IF(BJ405&lt;N_Moderate,Conseq_Moderate,IF(BJ405&lt;N_High,Conseq_High,IF(BJ405&lt;N_VeryHigh,Conseq_VeryHigh,Conseq_ExtremeHigh)))))))</f>
        <v>NA</v>
      </c>
      <c r="BK407" s="83"/>
      <c r="BL407" s="3017" t="str">
        <f>IF(Conseq_Criteria="Hazard Distance",BL406,IF(OR(BL316&lt;&gt;"Yes",BL405&lt;N_Screening),"NA",IF(BL405&lt;N_VeryLow,Conseq_VeryLow,IF(BL405&lt;N_Low,Conseq_Low,IF(BL405&lt;N_Moderate,Conseq_Moderate,IF(BL405&lt;N_High,Conseq_High,IF(BL405&lt;N_VeryHigh,Conseq_VeryHigh,Conseq_ExtremeHigh)))))))</f>
        <v>NA</v>
      </c>
      <c r="BM407" s="83"/>
      <c r="BN407" s="3017" t="str">
        <f>IF(Conseq_Criteria="Hazard Distance",BN406,IF(OR(BN316&lt;&gt;"Yes",BN405&lt;N_Screening),"NA",IF(BN405&lt;N_VeryLow,Conseq_VeryLow,IF(BN405&lt;N_Low,Conseq_Low,IF(BN405&lt;N_Moderate,Conseq_Moderate,IF(BN405&lt;N_High,Conseq_High,IF(BN405&lt;N_VeryHigh,Conseq_VeryHigh,Conseq_ExtremeHigh)))))))</f>
        <v>NA</v>
      </c>
      <c r="BO407" s="83"/>
      <c r="BP407" s="89"/>
      <c r="BQ407" s="83"/>
      <c r="BR407" s="81"/>
      <c r="BS407" s="25" t="s">
        <v>4791</v>
      </c>
      <c r="BT407" s="81"/>
      <c r="BU407" s="1286" t="str">
        <f>IF(OR(AND(Regulatory_Tox&lt;&gt;"Yes",ER3_Min&gt;Toxic_Limit),BU255="",AND(BU296&lt;=IF(BU243&lt;&gt;"",BU243,1000000),BU297&lt;=IF(BU243&lt;&gt;"",BU243,1000000))),"NA",IF(MAX(BU296,BU297)/BU255&lt;HD_VeryLow_Infiltration,Conseq_VeryLow,IF(MAX(BU296,BU297)/BU255&lt;HD_Low_Infiltration,Conseq_Low,IF(MAX(BU296,BU297)/BU255&lt;HD_Moderate_Infiltration,Conseq_Moderate,IF(MAX(BU296,BU297)/BU255&lt;HD_High_Infiltration,Conseq_High,IF(MAX(BU296,BU297)/BU255&lt;HD_VeryHigh_Infiltration,Conseq_VeryHigh,Conseq_ExtremeHigh))))))</f>
        <v>NA</v>
      </c>
      <c r="BV407" s="81"/>
      <c r="BW407" s="1286" t="str">
        <f>IF(OR(AND(Regulatory_Tox&lt;&gt;"Yes",ER3_Min&gt;Toxic_Limit),BW255="",AND(BW296&lt;=IF(BW243&lt;&gt;"",BW243,1000000),BW297&lt;=IF(BW243&lt;&gt;"",BW243,1000000))),"NA",IF(MAX(BW296,BW297)/BW255&lt;HD_VeryLow_Infiltration,Conseq_VeryLow,IF(MAX(BW296,BW297)/BW255&lt;HD_Low_Infiltration,Conseq_Low,IF(MAX(BW296,BW297)/BW255&lt;HD_Moderate_Infiltration,Conseq_Moderate,IF(MAX(BW296,BW297)/BW255&lt;HD_High_Infiltration,Conseq_High,IF(MAX(BW296,BW297)/BW255&lt;HD_VeryHigh_Infiltration,Conseq_VeryHigh,Conseq_ExtremeHigh))))))</f>
        <v>NA</v>
      </c>
      <c r="BX407" s="81"/>
      <c r="BY407" s="1286" t="str">
        <f>IF(OR(AND(Regulatory_Tox&lt;&gt;"Yes",ER3_Min&gt;Toxic_Limit),BY255="",AND(BY296&lt;=IF(BY243&lt;&gt;"",BY243,1000000),BY297&lt;=IF(BY243&lt;&gt;"",BY243,1000000))),"NA",IF(MAX(BY296,BY297)/BY255&lt;HD_VeryLow_Infiltration,Conseq_VeryLow,IF(MAX(BY296,BY297)/BY255&lt;HD_Low_Infiltration,Conseq_Low,IF(MAX(BY296,BY297)/BY255&lt;HD_Moderate_Infiltration,Conseq_Moderate,IF(MAX(BY296,BY297)/BY255&lt;HD_High_Infiltration,Conseq_High,IF(MAX(BY296,BY297)/BY255&lt;HD_VeryHigh_Infiltration,Conseq_VeryHigh,Conseq_ExtremeHigh))))))</f>
        <v>NA</v>
      </c>
      <c r="BZ407" s="81"/>
      <c r="CA407" s="1286" t="str">
        <f>IF(OR(AND(Regulatory_Tox&lt;&gt;"Yes",ER3_Min&gt;Toxic_Limit),CA255="",AND(CA296&lt;=IF(CA243&lt;&gt;"",CA243,1000000),CA297&lt;=IF(CA243&lt;&gt;"",CA243,1000000))),"NA",IF(MAX(CA296,CA297)/CA255&lt;HD_VeryLow_Infiltration,Conseq_VeryLow,IF(MAX(CA296,CA297)/CA255&lt;HD_Low_Infiltration,Conseq_Low,IF(MAX(CA296,CA297)/CA255&lt;HD_Moderate_Infiltration,Conseq_Moderate,IF(MAX(CA296,CA297)/CA255&lt;HD_High_Infiltration,Conseq_High,IF(MAX(CA296,CA297)/CA255&lt;HD_VeryHigh_Infiltration,Conseq_VeryHigh,Conseq_ExtremeHigh))))))</f>
        <v>NA</v>
      </c>
      <c r="CB407" s="81"/>
      <c r="CC407" s="1286" t="str">
        <f>IF(OR(AND(Regulatory_Tox&lt;&gt;"Yes",ER3_Min&gt;Toxic_Limit),CC255="",AND(CC296&lt;=IF(CC243&lt;&gt;"",CC243,1000000),CC297&lt;=IF(CC243&lt;&gt;"",CC243,1000000))),"NA",IF(MAX(CC296,CC297)/CC255&lt;HD_VeryLow_Infiltration,Conseq_VeryLow,IF(MAX(CC296,CC297)/CC255&lt;HD_Low_Infiltration,Conseq_Low,IF(MAX(CC296,CC297)/CC255&lt;HD_Moderate_Infiltration,Conseq_Moderate,IF(MAX(CC296,CC297)/CC255&lt;HD_High_Infiltration,Conseq_High,IF(MAX(CC296,CC297)/CC255&lt;HD_VeryHigh_Infiltration,Conseq_VeryHigh,Conseq_ExtremeHigh))))))</f>
        <v>NA</v>
      </c>
      <c r="CD407" s="81"/>
      <c r="CE407" s="23"/>
      <c r="CF407" s="81"/>
    </row>
    <row r="408" spans="1:92" ht="15" customHeight="1" thickBot="1" x14ac:dyDescent="0.3">
      <c r="A408" s="2"/>
      <c r="B408" s="25" t="s">
        <v>4796</v>
      </c>
      <c r="C408" s="83"/>
      <c r="D408" s="3016" t="str">
        <f>IF(D318&lt;&gt;"Yes","NA",IF(MAX(D328/Bldg_Type_Correction,D332/Bldg2_Type_Correction)&lt;HD_Low_Expl,Conseq_Low,IF(MAX(D328/Bldg_Type_Correction,D332/Bldg2_Type_Correction)&lt;HD_Moderate_Expl,Conseq_Moderate,IF(MAX(D328/Bldg_Type_Correction,D332/Bldg2_Type_Correction)&lt;HD_High_Expl,Conseq_High,IF(MAX(D328/Bldg_Type_Correction,D332/Bldg2_Type_Correction)&lt;HD_VeryHigh_Expl,Conseq_VeryHigh,Conseq_ExtremeHigh)))))</f>
        <v>NA</v>
      </c>
      <c r="E408" s="83"/>
      <c r="F408" s="3016" t="str">
        <f>IF(F318&lt;&gt;"Yes","NA",IF(MAX(F328/Bldg_Type_Correction,F332/Bldg2_Type_Correction)&lt;HD_Low_Expl,Conseq_Low,IF(MAX(F328/Bldg_Type_Correction,F332/Bldg2_Type_Correction)&lt;HD_Moderate_Expl,Conseq_Moderate,IF(MAX(F328/Bldg_Type_Correction,F332/Bldg2_Type_Correction)&lt;HD_High_Expl,Conseq_High,IF(MAX(F328/Bldg_Type_Correction,F332/Bldg2_Type_Correction)&lt;HD_VeryHigh_Expl,Conseq_VeryHigh,Conseq_ExtremeHigh)))))</f>
        <v>NA</v>
      </c>
      <c r="G408" s="83"/>
      <c r="H408" s="3016" t="str">
        <f>IF(H318&lt;&gt;"Yes","NA",IF(MAX(H328/Bldg_Type_Correction,H332/Bldg2_Type_Correction)&lt;HD_Low_Expl,Conseq_Low,IF(MAX(H328/Bldg_Type_Correction,H332/Bldg2_Type_Correction)&lt;HD_Moderate_Expl,Conseq_Moderate,IF(MAX(H328/Bldg_Type_Correction,H332/Bldg2_Type_Correction)&lt;HD_High_Expl,Conseq_High,IF(MAX(H328/Bldg_Type_Correction,H332/Bldg2_Type_Correction)&lt;HD_VeryHigh_Expl,Conseq_VeryHigh,Conseq_ExtremeHigh)))))</f>
        <v>NA</v>
      </c>
      <c r="I408" s="83"/>
      <c r="J408" s="3016" t="str">
        <f>IF(J318&lt;&gt;"Yes","NA",IF(MAX(J328/Bldg_Type_Correction,J332/Bldg2_Type_Correction)&lt;HD_Low_Expl,Conseq_Low,IF(MAX(J328/Bldg_Type_Correction,J332/Bldg2_Type_Correction)&lt;HD_Moderate_Expl,Conseq_Moderate,IF(MAX(J328/Bldg_Type_Correction,J332/Bldg2_Type_Correction)&lt;HD_High_Expl,Conseq_High,IF(MAX(J328/Bldg_Type_Correction,J332/Bldg2_Type_Correction)&lt;HD_VeryHigh_Expl,Conseq_VeryHigh,Conseq_ExtremeHigh)))))</f>
        <v>NA</v>
      </c>
      <c r="K408" s="83"/>
      <c r="L408" s="3016" t="str">
        <f>IF(L318&lt;&gt;"Yes","NA",IF(MAX(L328/Bldg_Type_Correction,L332/Bldg2_Type_Correction)&lt;HD_Low_Expl,Conseq_Low,IF(MAX(L328/Bldg_Type_Correction,L332/Bldg2_Type_Correction)&lt;HD_Moderate_Expl,Conseq_Moderate,IF(MAX(L328/Bldg_Type_Correction,L332/Bldg2_Type_Correction)&lt;HD_High_Expl,Conseq_High,IF(MAX(L328/Bldg_Type_Correction,L332/Bldg2_Type_Correction)&lt;HD_VeryHigh_Expl,Conseq_VeryHigh,Conseq_ExtremeHigh)))))</f>
        <v>NA</v>
      </c>
      <c r="M408" s="83"/>
      <c r="N408" s="3016" t="str">
        <f>IF(N318&lt;&gt;"Yes","NA",IF(MAX(N328/Bldg_Type_Correction,N332/Bldg2_Type_Correction)&lt;HD_Low_Expl,Conseq_Low,IF(MAX(N328/Bldg_Type_Correction,N332/Bldg2_Type_Correction)&lt;HD_Moderate_Expl,Conseq_Moderate,IF(MAX(N328/Bldg_Type_Correction,N332/Bldg2_Type_Correction)&lt;HD_High_Expl,Conseq_High,IF(MAX(N328/Bldg_Type_Correction,N332/Bldg2_Type_Correction)&lt;HD_VeryHigh_Expl,Conseq_VeryHigh,Conseq_ExtremeHigh)))))</f>
        <v>NA</v>
      </c>
      <c r="O408" s="83"/>
      <c r="P408" s="3016" t="str">
        <f>IF(P318&lt;&gt;"Yes","NA",IF(MAX(P328/Bldg_Type_Correction,P332/Bldg2_Type_Correction)&lt;HD_Low_Expl,Conseq_Low,IF(MAX(P328/Bldg_Type_Correction,P332/Bldg2_Type_Correction)&lt;HD_Moderate_Expl,Conseq_Moderate,IF(MAX(P328/Bldg_Type_Correction,P332/Bldg2_Type_Correction)&lt;HD_High_Expl,Conseq_High,IF(MAX(P328/Bldg_Type_Correction,P332/Bldg2_Type_Correction)&lt;HD_VeryHigh_Expl,Conseq_VeryHigh,Conseq_ExtremeHigh)))))</f>
        <v>NA</v>
      </c>
      <c r="Q408" s="83"/>
      <c r="R408" s="3016" t="str">
        <f>IF(R318&lt;&gt;"Yes","NA",IF(MAX(R328/Bldg_Type_Correction,R332/Bldg2_Type_Correction)&lt;HD_Low_Expl,Conseq_Low,IF(MAX(R328/Bldg_Type_Correction,R332/Bldg2_Type_Correction)&lt;HD_Moderate_Expl,Conseq_Moderate,IF(MAX(R328/Bldg_Type_Correction,R332/Bldg2_Type_Correction)&lt;HD_High_Expl,Conseq_High,IF(MAX(R328/Bldg_Type_Correction,R332/Bldg2_Type_Correction)&lt;HD_VeryHigh_Expl,Conseq_VeryHigh,Conseq_ExtremeHigh)))))</f>
        <v>NA</v>
      </c>
      <c r="S408" s="83"/>
      <c r="T408" s="3016" t="str">
        <f>IF(T318&lt;&gt;"Yes","NA",IF(MAX(T328/Bldg_Type_Correction,T332/Bldg2_Type_Correction)&lt;HD_Low_Expl,Conseq_Low,IF(MAX(T328/Bldg_Type_Correction,T332/Bldg2_Type_Correction)&lt;HD_Moderate_Expl,Conseq_Moderate,IF(MAX(T328/Bldg_Type_Correction,T332/Bldg2_Type_Correction)&lt;HD_High_Expl,Conseq_High,IF(MAX(T328/Bldg_Type_Correction,T332/Bldg2_Type_Correction)&lt;HD_VeryHigh_Expl,Conseq_VeryHigh,Conseq_ExtremeHigh)))))</f>
        <v>NA</v>
      </c>
      <c r="U408" s="83"/>
      <c r="V408" s="3016" t="str">
        <f>IF(V318&lt;&gt;"Yes","NA",IF(MAX(V328/Bldg_Type_Correction,V332/Bldg2_Type_Correction)&lt;HD_Low_Expl,Conseq_Low,IF(MAX(V328/Bldg_Type_Correction,V332/Bldg2_Type_Correction)&lt;HD_Moderate_Expl,Conseq_Moderate,IF(MAX(V328/Bldg_Type_Correction,V332/Bldg2_Type_Correction)&lt;HD_High_Expl,Conseq_High,IF(MAX(V328/Bldg_Type_Correction,V332/Bldg2_Type_Correction)&lt;HD_VeryHigh_Expl,Conseq_VeryHigh,Conseq_ExtremeHigh)))))</f>
        <v>NA</v>
      </c>
      <c r="W408" s="83"/>
      <c r="X408" s="3016" t="str">
        <f>IF(X318&lt;&gt;"Yes","NA",IF(MAX(X328/Bldg_Type_Correction,X332/Bldg2_Type_Correction)&lt;HD_Low_Expl,Conseq_Low,IF(MAX(X328/Bldg_Type_Correction,X332/Bldg2_Type_Correction)&lt;HD_Moderate_Expl,Conseq_Moderate,IF(MAX(X328/Bldg_Type_Correction,X332/Bldg2_Type_Correction)&lt;HD_High_Expl,Conseq_High,IF(MAX(X328/Bldg_Type_Correction,X332/Bldg2_Type_Correction)&lt;HD_VeryHigh_Expl,Conseq_VeryHigh,Conseq_ExtremeHigh)))))</f>
        <v>NA</v>
      </c>
      <c r="Y408" s="83"/>
      <c r="Z408" s="91"/>
      <c r="AA408" s="83"/>
      <c r="AB408" s="81"/>
      <c r="AC408" s="851" t="s">
        <v>5215</v>
      </c>
      <c r="AD408" s="81"/>
      <c r="AE408" s="3169">
        <f>IF(AE326="No",0,3.14*Offsite_Area_Bldg_Factor*IF(Offsite_PD1="",Offsite_PD/1000000,Offsite_PD1)*AE325^2*(EXP(-Offsite_Bldg_a*Zone_1^2/AE325^2)-EXP(-Offsite_Bldg_a*Public^2/AE325^2))/(-Offsite_Bldg_a))</f>
        <v>0</v>
      </c>
      <c r="AF408" s="81"/>
      <c r="AG408" s="3169">
        <f>IF(AG326="No",0,3.14*Offsite_Area_Bldg_Factor*IF(Offsite_PD1="",Offsite_PD/1000000,Offsite_PD1)*AG325^2*(EXP(-Offsite_Bldg_a*Zone_1^2/AG325^2)-EXP(-Offsite_Bldg_a*Public^2/AG325^2))/(-Offsite_Bldg_a))</f>
        <v>0</v>
      </c>
      <c r="AH408" s="81"/>
      <c r="AI408" s="3169">
        <f>IF(AI326="No",0,3.14*Offsite_Area_Bldg_Factor*IF(Offsite_PD1="",Offsite_PD/1000000,Offsite_PD1)*AI325^2*(EXP(-Offsite_Bldg_a*Zone_1^2/AI325^2)-EXP(-Offsite_Bldg_a*Public^2/AI325^2))/(-Offsite_Bldg_a))</f>
        <v>0</v>
      </c>
      <c r="AJ408" s="81"/>
      <c r="AK408" s="3169">
        <f>IF(AK326="No",0,3.14*Offsite_Area_Bldg_Factor*IF(Offsite_PD1="",Offsite_PD/1000000,Offsite_PD1)*AK325^2*(EXP(-Offsite_Bldg_a*Zone_1^2/AK325^2)-EXP(-Offsite_Bldg_a*Public^2/AK325^2))/(-Offsite_Bldg_a))</f>
        <v>0</v>
      </c>
      <c r="AL408" s="81"/>
      <c r="AM408" s="3169">
        <f>IF(AM326="No",0,3.14*Offsite_Area_Bldg_Factor*IF(Offsite_PD1="",Offsite_PD/1000000,Offsite_PD1)*AM325^2*(EXP(-Offsite_Bldg_a*Zone_1^2/AM325^2)-EXP(-Offsite_Bldg_a*Public^2/AM325^2))/(-Offsite_Bldg_a))</f>
        <v>0</v>
      </c>
      <c r="AN408" s="81"/>
      <c r="AO408" s="3169">
        <f>IF(AO326="No",0,3.14*Offsite_Area_Bldg_Factor*IF(Offsite_PD1="",Offsite_PD/1000000,Offsite_PD1)*AO325^2*(EXP(-Offsite_Bldg_a*Zone_1^2/AO325^2)-EXP(-Offsite_Bldg_a*Public^2/AO325^2))/(-Offsite_Bldg_a))</f>
        <v>0</v>
      </c>
      <c r="AP408" s="81"/>
      <c r="AQ408" s="23"/>
      <c r="AR408" s="81"/>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1"/>
      <c r="BS408" s="25" t="s">
        <v>4226</v>
      </c>
      <c r="BT408" s="81"/>
      <c r="BU408" s="2135" t="str">
        <f>IF(Conseq_Criteria="Hazard Distance",BU407,IF(OR(AND(Regulatory_Tox&lt;&gt;"Yes",ER3_Min&gt;Toxic_Limit),AND(BU296&lt;=IF(BU243&lt;&gt;"",BU243,1000000),BU297&lt;=IF(BU243&lt;&gt;"",BU243,1000000))),"NA",IF(BU406&lt;N_VeryLow,Conseq_VeryLow,IF(BU406&lt;N_Low,Conseq_Low,IF(BU406&lt;N_Moderate,Conseq_Moderate,IF(BU406&lt;N_High,Conseq_High,IF(BU406&lt;N_VeryHigh,Conseq_VeryHigh,Conseq_ExtremeHigh)))))))</f>
        <v>NA</v>
      </c>
      <c r="BV408" s="81"/>
      <c r="BW408" s="2135" t="str">
        <f>IF(Conseq_Criteria="Hazard Distance",BW407,IF(OR(AND(Regulatory_Tox&lt;&gt;"Yes",ER3_Min&gt;Toxic_Limit),AND(BW296&lt;=IF(BW243&lt;&gt;"",BW243,1000000),BW297&lt;=IF(BW243&lt;&gt;"",BW243,1000000))),"NA",IF(BW406&lt;N_VeryLow,Conseq_VeryLow,IF(BW406&lt;N_Low,Conseq_Low,IF(BW406&lt;N_Moderate,Conseq_Moderate,IF(BW406&lt;N_High,Conseq_High,IF(BW406&lt;N_VeryHigh,Conseq_VeryHigh,Conseq_ExtremeHigh)))))))</f>
        <v>NA</v>
      </c>
      <c r="BX408" s="81"/>
      <c r="BY408" s="2135" t="str">
        <f>IF(Conseq_Criteria="Hazard Distance",BY407,IF(OR(AND(Regulatory_Tox&lt;&gt;"Yes",ER3_Min&gt;Toxic_Limit),AND(BY296&lt;=IF(BY243&lt;&gt;"",BY243,1000000),BY297&lt;=IF(BY243&lt;&gt;"",BY243,1000000))),"NA",IF(BY406&lt;N_VeryLow,Conseq_VeryLow,IF(BY406&lt;N_Low,Conseq_Low,IF(BY406&lt;N_Moderate,Conseq_Moderate,IF(BY406&lt;N_High,Conseq_High,IF(BY406&lt;N_VeryHigh,Conseq_VeryHigh,Conseq_ExtremeHigh)))))))</f>
        <v>NA</v>
      </c>
      <c r="BZ408" s="81"/>
      <c r="CA408" s="2135" t="str">
        <f>IF(Conseq_Criteria="Hazard Distance",CA407,IF(OR(AND(Regulatory_Tox&lt;&gt;"Yes",ER3_Min&gt;Toxic_Limit),AND(CA296&lt;=IF(CA243&lt;&gt;"",CA243,1000000),CA297&lt;=IF(CA243&lt;&gt;"",CA243,1000000))),"NA",IF(CA406&lt;N_VeryLow,Conseq_VeryLow,IF(CA406&lt;N_Low,Conseq_Low,IF(CA406&lt;N_Moderate,Conseq_Moderate,IF(CA406&lt;N_High,Conseq_High,IF(CA406&lt;N_VeryHigh,Conseq_VeryHigh,Conseq_ExtremeHigh)))))))</f>
        <v>NA</v>
      </c>
      <c r="CB408" s="81"/>
      <c r="CC408" s="2135" t="str">
        <f>IF(Conseq_Criteria="Hazard Distance",CC407,IF(OR(AND(Regulatory_Tox&lt;&gt;"Yes",ER3_Min&gt;Toxic_Limit),AND(CC296&lt;=IF(CC243&lt;&gt;"",CC243,1000000),CC297&lt;=IF(CC243&lt;&gt;"",CC243,1000000))),"NA",IF(CC406&lt;N_VeryLow,Conseq_VeryLow,IF(CC406&lt;N_Low,Conseq_Low,IF(CC406&lt;N_Moderate,Conseq_Moderate,IF(CC406&lt;N_High,Conseq_High,IF(CC406&lt;N_VeryHigh,Conseq_VeryHigh,Conseq_ExtremeHigh)))))))</f>
        <v>NA</v>
      </c>
      <c r="CD408" s="81"/>
      <c r="CE408" s="104"/>
      <c r="CF408" s="81"/>
    </row>
    <row r="409" spans="1:92" ht="15" customHeight="1" thickBot="1" x14ac:dyDescent="0.3">
      <c r="A409" s="2"/>
      <c r="B409" s="25" t="s">
        <v>4230</v>
      </c>
      <c r="C409" s="83"/>
      <c r="D409" s="3017" t="str">
        <f>IF(Conseq_Criteria="Hazard Distance",D408,IF(OR(D318&lt;&gt;"Yes",D407&lt;N_Screening),"NA",IF(D407&lt;N_VeryLow,Conseq_VeryLow,IF(D407&lt;N_Low,Conseq_Low,IF(D407&lt;N_Moderate,Conseq_Moderate,IF(D407&lt;N_High,Conseq_High,IF(D407&lt;N_VeryHigh,Conseq_VeryHigh,Conseq_ExtremeHigh)))))))</f>
        <v>NA</v>
      </c>
      <c r="E409" s="83"/>
      <c r="F409" s="3017" t="str">
        <f>IF(Conseq_Criteria="Hazard Distance",F408,IF(OR(F318&lt;&gt;"Yes",F407&lt;N_Screening),"NA",IF(F407&lt;N_VeryLow,Conseq_VeryLow,IF(F407&lt;N_Low,Conseq_Low,IF(F407&lt;N_Moderate,Conseq_Moderate,IF(F407&lt;N_High,Conseq_High,IF(F407&lt;N_VeryHigh,Conseq_VeryHigh,Conseq_ExtremeHigh)))))))</f>
        <v>NA</v>
      </c>
      <c r="G409" s="83"/>
      <c r="H409" s="3017" t="str">
        <f>IF(Conseq_Criteria="Hazard Distance",H408,IF(OR(H318&lt;&gt;"Yes",H407&lt;N_Screening),"NA",IF(H407&lt;N_VeryLow,Conseq_VeryLow,IF(H407&lt;N_Low,Conseq_Low,IF(H407&lt;N_Moderate,Conseq_Moderate,IF(H407&lt;N_High,Conseq_High,IF(H407&lt;N_VeryHigh,Conseq_VeryHigh,Conseq_ExtremeHigh)))))))</f>
        <v>NA</v>
      </c>
      <c r="I409" s="83"/>
      <c r="J409" s="3017" t="str">
        <f>IF(Conseq_Criteria="Hazard Distance",J408,IF(OR(J318&lt;&gt;"Yes",J407&lt;N_Screening),"NA",IF(J407&lt;N_VeryLow,Conseq_VeryLow,IF(J407&lt;N_Low,Conseq_Low,IF(J407&lt;N_Moderate,Conseq_Moderate,IF(J407&lt;N_High,Conseq_High,IF(J407&lt;N_VeryHigh,Conseq_VeryHigh,Conseq_ExtremeHigh)))))))</f>
        <v>NA</v>
      </c>
      <c r="K409" s="83"/>
      <c r="L409" s="3017" t="str">
        <f>IF(Conseq_Criteria="Hazard Distance",L408,IF(OR(L318&lt;&gt;"Yes",L407&lt;N_Screening),"NA",IF(L407&lt;N_VeryLow,Conseq_VeryLow,IF(L407&lt;N_Low,Conseq_Low,IF(L407&lt;N_Moderate,Conseq_Moderate,IF(L407&lt;N_High,Conseq_High,IF(L407&lt;N_VeryHigh,Conseq_VeryHigh,Conseq_ExtremeHigh)))))))</f>
        <v>NA</v>
      </c>
      <c r="M409" s="83"/>
      <c r="N409" s="3017" t="str">
        <f>IF(Conseq_Criteria="Hazard Distance",N408,IF(OR(N318&lt;&gt;"Yes",N407&lt;N_Screening),"NA",IF(N407&lt;N_VeryLow,Conseq_VeryLow,IF(N407&lt;N_Low,Conseq_Low,IF(N407&lt;N_Moderate,Conseq_Moderate,IF(N407&lt;N_High,Conseq_High,IF(N407&lt;N_VeryHigh,Conseq_VeryHigh,Conseq_ExtremeHigh)))))))</f>
        <v>NA</v>
      </c>
      <c r="O409" s="83"/>
      <c r="P409" s="3017" t="str">
        <f>IF(Conseq_Criteria="Hazard Distance",P408,IF(OR(P318&lt;&gt;"Yes",P407&lt;N_Screening),"NA",IF(P407&lt;N_VeryLow,Conseq_VeryLow,IF(P407&lt;N_Low,Conseq_Low,IF(P407&lt;N_Moderate,Conseq_Moderate,IF(P407&lt;N_High,Conseq_High,IF(P407&lt;N_VeryHigh,Conseq_VeryHigh,Conseq_ExtremeHigh)))))))</f>
        <v>NA</v>
      </c>
      <c r="Q409" s="83"/>
      <c r="R409" s="3017" t="str">
        <f>IF(Conseq_Criteria="Hazard Distance",R408,IF(OR(R318&lt;&gt;"Yes",R407&lt;N_Screening),"NA",IF(R407&lt;N_VeryLow,Conseq_VeryLow,IF(R407&lt;N_Low,Conseq_Low,IF(R407&lt;N_Moderate,Conseq_Moderate,IF(R407&lt;N_High,Conseq_High,IF(R407&lt;N_VeryHigh,Conseq_VeryHigh,Conseq_ExtremeHigh)))))))</f>
        <v>NA</v>
      </c>
      <c r="S409" s="83"/>
      <c r="T409" s="3017" t="str">
        <f>IF(Conseq_Criteria="Hazard Distance",T408,IF(OR(T318&lt;&gt;"Yes",T407&lt;N_Screening),"NA",IF(T407&lt;N_VeryLow,Conseq_VeryLow,IF(T407&lt;N_Low,Conseq_Low,IF(T407&lt;N_Moderate,Conseq_Moderate,IF(T407&lt;N_High,Conseq_High,IF(T407&lt;N_VeryHigh,Conseq_VeryHigh,Conseq_ExtremeHigh)))))))</f>
        <v>NA</v>
      </c>
      <c r="U409" s="83"/>
      <c r="V409" s="3017" t="str">
        <f>IF(Conseq_Criteria="Hazard Distance",V408,IF(OR(V318&lt;&gt;"Yes",V407&lt;N_Screening),"NA",IF(V407&lt;N_VeryLow,Conseq_VeryLow,IF(V407&lt;N_Low,Conseq_Low,IF(V407&lt;N_Moderate,Conseq_Moderate,IF(V407&lt;N_High,Conseq_High,IF(V407&lt;N_VeryHigh,Conseq_VeryHigh,Conseq_ExtremeHigh)))))))</f>
        <v>NA</v>
      </c>
      <c r="W409" s="83"/>
      <c r="X409" s="3017" t="str">
        <f>IF(Conseq_Criteria="Hazard Distance",X408,IF(OR(X318&lt;&gt;"Yes",X407&lt;N_Screening),"NA",IF(X407&lt;N_VeryLow,Conseq_VeryLow,IF(X407&lt;N_Low,Conseq_Low,IF(X407&lt;N_Moderate,Conseq_Moderate,IF(X407&lt;N_High,Conseq_High,IF(X407&lt;N_VeryHigh,Conseq_VeryHigh,Conseq_ExtremeHigh)))))))</f>
        <v>NA</v>
      </c>
      <c r="Y409" s="83"/>
      <c r="Z409" s="89"/>
      <c r="AA409" s="83"/>
      <c r="AB409" s="81"/>
      <c r="AC409" s="851" t="s">
        <v>5216</v>
      </c>
      <c r="AD409" s="81"/>
      <c r="AE409" s="3169">
        <f>IF(AE326="No",0,3.14*Offsite_Area_Bldg_Factor*IF(Offsite_PD2="",Offsite_PD/1000000,Offsite_PD2)*AE325^2*(0-EXP(-Offsite_Bldg_a*Zone_1^2/AE325^2))/(-Offsite_Bldg_a))</f>
        <v>0</v>
      </c>
      <c r="AF409" s="81"/>
      <c r="AG409" s="3169">
        <f>IF(AG326="No",0,3.14*Offsite_Area_Bldg_Factor*IF(Offsite_PD2="",Offsite_PD/1000000,Offsite_PD2)*AG325^2*(0-EXP(-Offsite_Bldg_a*Zone_1^2/AG325^2))/(-Offsite_Bldg_a))</f>
        <v>0</v>
      </c>
      <c r="AH409" s="81"/>
      <c r="AI409" s="3169">
        <f>IF(AI326="No",0,3.14*Offsite_Area_Bldg_Factor*IF(Offsite_PD2="",Offsite_PD/1000000,Offsite_PD2)*AI325^2*(0-EXP(-Offsite_Bldg_a*Zone_1^2/AI325^2))/(-Offsite_Bldg_a))</f>
        <v>0</v>
      </c>
      <c r="AJ409" s="81"/>
      <c r="AK409" s="3169">
        <f>IF(AK326="No",0,3.14*Offsite_Area_Bldg_Factor*IF(Offsite_PD2="",Offsite_PD/1000000,Offsite_PD2)*AK325^2*(0-EXP(-Offsite_Bldg_a*Zone_1^2/AK325^2))/(-Offsite_Bldg_a))</f>
        <v>0</v>
      </c>
      <c r="AL409" s="81"/>
      <c r="AM409" s="3169">
        <f>IF(AM326="No",0,3.14*Offsite_Area_Bldg_Factor*IF(Offsite_PD2="",Offsite_PD/1000000,Offsite_PD2)*AM325^2*(0-EXP(-Offsite_Bldg_a*Zone_1^2/AM325^2))/(-Offsite_Bldg_a))</f>
        <v>0</v>
      </c>
      <c r="AN409" s="81"/>
      <c r="AO409" s="3169">
        <f>IF(AO326="No",0,3.14*Offsite_Area_Bldg_Factor*IF(Offsite_PD2="",Offsite_PD/1000000,Offsite_PD2)*AO325^2*(0-EXP(-Offsite_Bldg_a*Zone_1^2/AO325^2))/(-Offsite_Bldg_a))</f>
        <v>0</v>
      </c>
      <c r="AP409" s="81"/>
      <c r="AQ409" s="23"/>
      <c r="AR409" s="81"/>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1"/>
      <c r="BS409" s="23" t="s">
        <v>843</v>
      </c>
      <c r="BT409" s="81"/>
      <c r="BU409" s="2981">
        <f>IF(AND(Location="Indoors",BU16&gt;ChemExp_Mass_Limit),IF(Rupture_Spray_Area&lt;Enclosed_Process_Volume^0.67/2,Rupture_Spray_Area*Op_Indoors/Enclosed_Process_Volume^0.67/2,Op_Indoors/2),IF(BU16&gt;ChemExp_Mass_Limit,Rupture_Spray_Area*Onsite_PD/1000000,0))+IF(AND(BU$292="Yes",BU16&gt;ChemExp_Mass_Limit),0.9,0)</f>
        <v>0</v>
      </c>
      <c r="BV409" s="237"/>
      <c r="BW409" s="2981">
        <f>IF(AND(Location="Indoors",BW16&gt;ChemExp_Mass_Limit),IF(Rupture_Spray_Area&lt;Enclosed_Process_Volume^0.67/2,Rupture_Spray_Area*Op_Indoors/Enclosed_Process_Volume^0.67/2,Op_Indoors/2),IF(BW16&gt;ChemExp_Mass_Limit,Rupture_Spray_Area*Onsite_PD/1000000,0))+IF(AND(BW$292="Yes",BW16&gt;ChemExp_Mass_Limit),0.9,0)</f>
        <v>0</v>
      </c>
      <c r="BX409" s="237"/>
      <c r="BY409" s="2981">
        <f>IF(AND(Location="Indoors",BY16&gt;ChemExp_Mass_Limit),IF(Rupture_Spray_Area&lt;Enclosed_Process_Volume^0.67/2,Rupture_Spray_Area*Op_Indoors/Enclosed_Process_Volume^0.67/2,Op_Indoors/2),IF(BY16&gt;ChemExp_Mass_Limit,Rupture_Spray_Area*Onsite_PD/1000000,0))+IF(AND(BY$292="Yes",BY16&gt;ChemExp_Mass_Limit),0.9,0)</f>
        <v>0</v>
      </c>
      <c r="BZ409" s="237"/>
      <c r="CA409" s="2981">
        <f>IF(AND(Location="Indoors",CA16&gt;ChemExp_Mass_Limit),IF(Rupture_Spray_Area&lt;Enclosed_Process_Volume^0.67/2,Rupture_Spray_Area*Op_Indoors/Enclosed_Process_Volume^0.67/2,Op_Indoors/2),IF(CA16&gt;ChemExp_Mass_Limit,Rupture_Spray_Area*Onsite_PD/1000000,0))+IF(AND(CA$292="Yes",CA16&gt;ChemExp_Mass_Limit),0.9,0)</f>
        <v>0</v>
      </c>
      <c r="CB409" s="237"/>
      <c r="CC409" s="2981">
        <f>IF(AND(Location="Indoors",CC16&gt;ChemExp_Mass_Limit),IF(Rupture_Spray_Area&lt;Enclosed_Process_Volume^0.67/2,Rupture_Spray_Area*Op_Indoors/Enclosed_Process_Volume^0.67/2,Op_Indoors/2),IF(CC16&gt;ChemExp_Mass_Limit,Rupture_Spray_Area*Onsite_PD/1000000,0))+IF(AND(CC$292="Yes",CC16&gt;ChemExp_Mass_Limit),0.9,0)</f>
        <v>0</v>
      </c>
      <c r="CD409" s="81"/>
      <c r="CE409" s="1829"/>
      <c r="CF409" s="81"/>
    </row>
    <row r="410" spans="1:92" ht="15" customHeight="1" x14ac:dyDescent="0.25">
      <c r="A410" s="2"/>
      <c r="B410" s="2"/>
      <c r="C410" s="2"/>
      <c r="D410" s="2"/>
      <c r="E410" s="83"/>
      <c r="F410" s="2"/>
      <c r="G410" s="2"/>
      <c r="H410" s="2"/>
      <c r="I410" s="2"/>
      <c r="J410" s="2"/>
      <c r="K410" s="2"/>
      <c r="L410" s="2"/>
      <c r="M410" s="2"/>
      <c r="N410" s="2"/>
      <c r="O410" s="2"/>
      <c r="P410" s="2"/>
      <c r="Q410" s="2"/>
      <c r="R410" s="2"/>
      <c r="S410" s="2"/>
      <c r="T410" s="2"/>
      <c r="U410" s="2"/>
      <c r="V410" s="2"/>
      <c r="W410" s="2"/>
      <c r="X410" s="2"/>
      <c r="Y410" s="2"/>
      <c r="Z410" s="2"/>
      <c r="AA410" s="83"/>
      <c r="AB410" s="81"/>
      <c r="AC410" s="846" t="s">
        <v>5217</v>
      </c>
      <c r="AD410" s="81"/>
      <c r="AE410" s="3169">
        <f>AE408+AE409</f>
        <v>0</v>
      </c>
      <c r="AF410" s="81"/>
      <c r="AG410" s="3169">
        <f>AG408+AG409</f>
        <v>0</v>
      </c>
      <c r="AH410" s="81"/>
      <c r="AI410" s="3169">
        <f>AI408+AI409</f>
        <v>0</v>
      </c>
      <c r="AJ410" s="81"/>
      <c r="AK410" s="3169">
        <f>AK408+AK409</f>
        <v>0</v>
      </c>
      <c r="AL410" s="81"/>
      <c r="AM410" s="3169">
        <f>AM408+AM409</f>
        <v>0</v>
      </c>
      <c r="AN410" s="81"/>
      <c r="AO410" s="3169">
        <f>AO408+AO409</f>
        <v>0</v>
      </c>
      <c r="AP410" s="81"/>
      <c r="AQ410" s="23"/>
      <c r="AR410" s="81"/>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1"/>
      <c r="BS410" s="85" t="s">
        <v>1793</v>
      </c>
      <c r="BT410" s="81"/>
      <c r="BU410" s="1208">
        <v>0</v>
      </c>
      <c r="BV410" s="237"/>
      <c r="BW410" s="1208">
        <v>0</v>
      </c>
      <c r="BX410" s="237"/>
      <c r="BY410" s="1208">
        <v>0</v>
      </c>
      <c r="BZ410" s="237"/>
      <c r="CA410" s="1208">
        <v>0</v>
      </c>
      <c r="CB410" s="237"/>
      <c r="CC410" s="1208">
        <v>0</v>
      </c>
      <c r="CD410" s="81"/>
      <c r="CE410" s="85"/>
      <c r="CF410" s="81"/>
    </row>
    <row r="411" spans="1:92" ht="15" customHeight="1" thickBot="1" x14ac:dyDescent="0.3">
      <c r="A411" s="2"/>
      <c r="B411" s="2"/>
      <c r="C411" s="2"/>
      <c r="D411" s="2"/>
      <c r="E411" s="83"/>
      <c r="F411" s="2"/>
      <c r="G411" s="2"/>
      <c r="H411" s="2"/>
      <c r="I411" s="2"/>
      <c r="J411" s="2"/>
      <c r="K411" s="2"/>
      <c r="L411" s="2"/>
      <c r="M411" s="2"/>
      <c r="N411" s="2"/>
      <c r="O411" s="2"/>
      <c r="P411" s="2"/>
      <c r="Q411" s="2"/>
      <c r="R411" s="2"/>
      <c r="S411" s="2"/>
      <c r="T411" s="2"/>
      <c r="U411" s="2"/>
      <c r="V411" s="2"/>
      <c r="W411" s="2"/>
      <c r="X411" s="2"/>
      <c r="Y411" s="2"/>
      <c r="Z411" s="2"/>
      <c r="AA411" s="83"/>
      <c r="AB411" s="81"/>
      <c r="AC411" s="851" t="s">
        <v>2011</v>
      </c>
      <c r="AD411" s="81"/>
      <c r="AE411" s="3014">
        <f>AE405+AE400+AE407+AE410</f>
        <v>0</v>
      </c>
      <c r="AF411" s="81"/>
      <c r="AG411" s="3014">
        <f>AG405+AG400+AG407+AG410</f>
        <v>0</v>
      </c>
      <c r="AH411" s="81"/>
      <c r="AI411" s="3014">
        <f>AI405+AI400+AI407+AI410</f>
        <v>0</v>
      </c>
      <c r="AJ411" s="81"/>
      <c r="AK411" s="3014">
        <f>AK405+AK400+AK407+AK410</f>
        <v>0</v>
      </c>
      <c r="AL411" s="81"/>
      <c r="AM411" s="3014">
        <f>AM405+AM400+AM407+AM410</f>
        <v>0</v>
      </c>
      <c r="AN411" s="81"/>
      <c r="AO411" s="3014">
        <f>AO405+AO400+AO407+AO410</f>
        <v>0</v>
      </c>
      <c r="AP411" s="81"/>
      <c r="AQ411" s="23"/>
      <c r="AR411" s="81"/>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1"/>
      <c r="BS411" s="25" t="s">
        <v>4794</v>
      </c>
      <c r="BT411" s="81"/>
      <c r="BU411" s="1208" t="str">
        <f>IF(OR(Chem_ExposureHazard="NA",Spray_Distance_Rupture&lt;HD_Screening_Limit,BU16&lt;ChemExp_Mass_Limit),"NA",IF(AND(OR(BU15&gt;Thermal_Liquid_Severe,Chem_ExposureHazard="Potential Fatality"),Spray_Distance_Rupture&lt;HD_Moderate_CE),Conseq_Moderate,IF(OR(BU15&gt;Thermal_Liquid_Severe,Chem_ExposureHazard="Potential Fatality"),Conseq_High,IF(Chem_ExposureHazard="Serious Injury",Conseq_Low,IF(BU$292&lt;&gt;"Yes",Conseq_VeryLow,Conseq_Low)))))</f>
        <v>NA</v>
      </c>
      <c r="BV411" s="237"/>
      <c r="BW411" s="1208" t="str">
        <f>IF(OR(Chem_ExposureHazard="NA",Spray_Distance_Rupture&lt;HD_Screening_Limit,BW16&lt;ChemExp_Mass_Limit),"NA",IF(AND(OR(BW15&gt;Thermal_Liquid_Severe,Chem_ExposureHazard="Potential Fatality"),Spray_Distance_Rupture&lt;HD_Moderate_CE),Conseq_Moderate,IF(OR(BW15&gt;Thermal_Liquid_Severe,Chem_ExposureHazard="Potential Fatality"),Conseq_High,IF(Chem_ExposureHazard="Serious Injury",Conseq_Low,IF(BW$292&lt;&gt;"Yes",Conseq_VeryLow,Conseq_Low)))))</f>
        <v>NA</v>
      </c>
      <c r="BX411" s="237"/>
      <c r="BY411" s="1208" t="str">
        <f>IF(OR(Chem_ExposureHazard="NA",Spray_Distance_Rupture&lt;HD_Screening_Limit,BY16&lt;ChemExp_Mass_Limit),"NA",IF(AND(OR(BY15&gt;Thermal_Liquid_Severe,Chem_ExposureHazard="Potential Fatality"),Spray_Distance_Rupture&lt;HD_Moderate_CE),Conseq_Moderate,IF(OR(BY15&gt;Thermal_Liquid_Severe,Chem_ExposureHazard="Potential Fatality"),Conseq_High,IF(Chem_ExposureHazard="Serious Injury",Conseq_Low,IF(BY$292&lt;&gt;"Yes",Conseq_VeryLow,Conseq_Low)))))</f>
        <v>NA</v>
      </c>
      <c r="BZ411" s="237"/>
      <c r="CA411" s="1208" t="str">
        <f>IF(OR(Chem_ExposureHazard="NA",Spray_Distance_Rupture&lt;HD_Screening_Limit,CA16&lt;ChemExp_Mass_Limit),"NA",IF(AND(OR(CA15&gt;Thermal_Liquid_Severe,Chem_ExposureHazard="Potential Fatality"),Spray_Distance_Rupture&lt;HD_Moderate_CE),Conseq_Moderate,IF(OR(CA15&gt;Thermal_Liquid_Severe,Chem_ExposureHazard="Potential Fatality"),Conseq_High,IF(Chem_ExposureHazard="Serious Injury",Conseq_Low,IF(CA$292&lt;&gt;"Yes",Conseq_VeryLow,Conseq_Low)))))</f>
        <v>NA</v>
      </c>
      <c r="CB411" s="237"/>
      <c r="CC411" s="1208" t="str">
        <f>IF(OR(Chem_ExposureHazard="NA",Spray_Distance_Rupture&lt;HD_Screening_Limit,CC16&lt;ChemExp_Mass_Limit),"NA",IF(AND(OR(CC15&gt;Thermal_Liquid_Severe,Chem_ExposureHazard="Potential Fatality"),Spray_Distance_Rupture&lt;HD_Moderate_CE),Conseq_Moderate,IF(OR(CC15&gt;Thermal_Liquid_Severe,Chem_ExposureHazard="Potential Fatality"),Conseq_High,IF(Chem_ExposureHazard="Serious Injury",Conseq_Low,IF(CC$292&lt;&gt;"Yes",Conseq_VeryLow,Conseq_Low)))))</f>
        <v>NA</v>
      </c>
      <c r="CD411" s="81"/>
      <c r="CE411" s="85"/>
      <c r="CF411" s="81"/>
    </row>
    <row r="412" spans="1:92" ht="15" customHeight="1" thickBot="1" x14ac:dyDescent="0.3">
      <c r="A412" s="2"/>
      <c r="B412" s="2"/>
      <c r="C412" s="83"/>
      <c r="D412" s="2"/>
      <c r="E412" s="83"/>
      <c r="F412" s="2"/>
      <c r="G412" s="83"/>
      <c r="H412" s="2"/>
      <c r="I412" s="83"/>
      <c r="J412" s="2"/>
      <c r="K412" s="83"/>
      <c r="L412" s="2"/>
      <c r="M412" s="83"/>
      <c r="N412" s="2"/>
      <c r="O412" s="83"/>
      <c r="P412" s="2"/>
      <c r="Q412" s="83"/>
      <c r="R412" s="2"/>
      <c r="S412" s="83"/>
      <c r="T412" s="2"/>
      <c r="U412" s="83"/>
      <c r="V412" s="2"/>
      <c r="W412" s="83"/>
      <c r="X412" s="2"/>
      <c r="Y412" s="83"/>
      <c r="Z412" s="2"/>
      <c r="AA412" s="83"/>
      <c r="AB412" s="81"/>
      <c r="AC412" s="849" t="s">
        <v>4795</v>
      </c>
      <c r="AD412" s="81"/>
      <c r="AE412" s="1286" t="str">
        <f>IF(AE321&lt;&gt;"Yes","NA",IF(MAX(AE327/Bldg_Type_Correction,AE329/Bldg2_Type_Correction)&lt;HD_Low_Expl,Conseq_Low,IF(MAX(AE327/Bldg_Type_Correction,AE329/Bldg2_Type_Correction)&lt;HD_Moderate_Expl,Conseq_Moderate,IF(MAX(AE327/Bldg_Type_Correction,AE329/Bldg2_Type_Correction)&lt;HD_High_Expl,Conseq_High,IF(MAX(AE327/Bldg_Type_Correction,AE329/Bldg2_Type_Correction)&lt;HD_VeryHigh_Expl,Conseq_VeryHigh,Conseq_ExtremeHigh)))))</f>
        <v>NA</v>
      </c>
      <c r="AF412" s="81"/>
      <c r="AG412" s="1286" t="str">
        <f>IF(AG321&lt;&gt;"Yes","NA",IF(MAX(AG327/Bldg_Type_Correction,AG329/Bldg2_Type_Correction)&lt;HD_Low_Expl,Conseq_Low,IF(MAX(AG327/Bldg_Type_Correction,AG329/Bldg2_Type_Correction)&lt;HD_Moderate_Expl,Conseq_Moderate,IF(MAX(AG327/Bldg_Type_Correction,AG329/Bldg2_Type_Correction)&lt;HD_High_Expl,Conseq_High,IF(MAX(AG327/Bldg_Type_Correction,AG329/Bldg2_Type_Correction)&lt;HD_VeryHigh_Expl,Conseq_VeryHigh,Conseq_ExtremeHigh)))))</f>
        <v>NA</v>
      </c>
      <c r="AH412" s="81"/>
      <c r="AI412" s="1286" t="str">
        <f>IF(AI321&lt;&gt;"Yes","NA",IF(MAX(AI327/Bldg_Type_Correction,AI329/Bldg2_Type_Correction)&lt;HD_Low_Expl,Conseq_Low,IF(MAX(AI327/Bldg_Type_Correction,AI329/Bldg2_Type_Correction)&lt;HD_Moderate_Expl,Conseq_Moderate,IF(MAX(AI327/Bldg_Type_Correction,AI329/Bldg2_Type_Correction)&lt;HD_High_Expl,Conseq_High,IF(MAX(AI327/Bldg_Type_Correction,AI329/Bldg2_Type_Correction)&lt;HD_VeryHigh_Expl,Conseq_VeryHigh,Conseq_ExtremeHigh)))))</f>
        <v>NA</v>
      </c>
      <c r="AJ412" s="81"/>
      <c r="AK412" s="1286" t="str">
        <f>IF(AK321&lt;&gt;"Yes","NA",IF(MAX(AK327/Bldg_Type_Correction,AK329/Bldg2_Type_Correction)&lt;HD_Low_Expl,Conseq_Low,IF(MAX(AK327/Bldg_Type_Correction,AK329/Bldg2_Type_Correction)&lt;HD_Moderate_Expl,Conseq_Moderate,IF(MAX(AK327/Bldg_Type_Correction,AK329/Bldg2_Type_Correction)&lt;HD_High_Expl,Conseq_High,IF(MAX(AK327/Bldg_Type_Correction,AK329/Bldg2_Type_Correction)&lt;HD_VeryHigh_Expl,Conseq_VeryHigh,Conseq_ExtremeHigh)))))</f>
        <v>NA</v>
      </c>
      <c r="AL412" s="81"/>
      <c r="AM412" s="1286" t="str">
        <f>IF(AM321&lt;&gt;"Yes","NA",IF(MAX(AM327/Bldg_Type_Correction,AM329/Bldg2_Type_Correction)&lt;HD_Low_Expl,Conseq_Low,IF(MAX(AM327/Bldg_Type_Correction,AM329/Bldg2_Type_Correction)&lt;HD_Moderate_Expl,Conseq_Moderate,IF(MAX(AM327/Bldg_Type_Correction,AM329/Bldg2_Type_Correction)&lt;HD_High_Expl,Conseq_High,IF(MAX(AM327/Bldg_Type_Correction,AM329/Bldg2_Type_Correction)&lt;HD_VeryHigh_Expl,Conseq_VeryHigh,Conseq_ExtremeHigh)))))</f>
        <v>NA</v>
      </c>
      <c r="AN412" s="81"/>
      <c r="AO412" s="1286" t="str">
        <f>IF(AO321&lt;&gt;"Yes","NA",IF(MAX(AO327/Bldg_Type_Correction,AO329/Bldg2_Type_Correction)&lt;HD_Low_Expl,Conseq_Low,IF(MAX(AO327/Bldg_Type_Correction,AO329/Bldg2_Type_Correction)&lt;HD_Moderate_Expl,Conseq_Moderate,IF(MAX(AO327/Bldg_Type_Correction,AO329/Bldg2_Type_Correction)&lt;HD_High_Expl,Conseq_High,IF(MAX(AO327/Bldg_Type_Correction,AO329/Bldg2_Type_Correction)&lt;HD_VeryHigh_Expl,Conseq_VeryHigh,Conseq_ExtremeHigh)))))</f>
        <v>NA</v>
      </c>
      <c r="AP412" s="81"/>
      <c r="AQ412" s="23"/>
      <c r="AR412" s="81"/>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1"/>
      <c r="BS412" s="25" t="s">
        <v>4227</v>
      </c>
      <c r="BT412" s="81"/>
      <c r="BU412" s="2135" t="str">
        <f>IF(Conseq_Criteria="Hazard Distance",BU411,IF(OR(Chem_ExposureHazard="NA",Spray_Distance_Rupture&lt;HD_Screening_Limit),"NA",IF(AND(OR(BU15&gt;Thermal_Liquid_Severe,Chem_ExposureHazard="Potential Fatality"),BU409&lt;N_Moderate),Conseq_Moderate,IF(OR(BU15&gt;Thermal_Liquid_Severe,Chem_ExposureHazard="Potential Fatality"),Conseq_High,IF(Chem_ExposureHazard="Serious Injury",Conseq_Low,Conseq_VeryLow)))))</f>
        <v>NA</v>
      </c>
      <c r="BV412" s="81"/>
      <c r="BW412" s="2135" t="str">
        <f>IF(Conseq_Criteria="Hazard Distance",BW411,IF(OR(Chem_ExposureHazard="NA",Spray_Distance_Rupture&lt;HD_Screening_Limit),"NA",IF(AND(OR(BW15&gt;Thermal_Liquid_Severe,Chem_ExposureHazard="Potential Fatality"),BW409&lt;N_Moderate),Conseq_Moderate,IF(OR(BW15&gt;Thermal_Liquid_Severe,Chem_ExposureHazard="Potential Fatality"),Conseq_High,IF(Chem_ExposureHazard="Serious Injury",Conseq_Low,Conseq_VeryLow)))))</f>
        <v>NA</v>
      </c>
      <c r="BX412" s="81"/>
      <c r="BY412" s="2135" t="str">
        <f>IF(Conseq_Criteria="Hazard Distance",BY411,IF(OR(Chem_ExposureHazard="NA",Spray_Distance_Rupture&lt;HD_Screening_Limit),"NA",IF(AND(OR(BY15&gt;Thermal_Liquid_Severe,Chem_ExposureHazard="Potential Fatality"),BY409&lt;N_Moderate),Conseq_Moderate,IF(OR(BY15&gt;Thermal_Liquid_Severe,Chem_ExposureHazard="Potential Fatality"),Conseq_High,IF(Chem_ExposureHazard="Serious Injury",Conseq_Low,Conseq_VeryLow)))))</f>
        <v>NA</v>
      </c>
      <c r="BZ412" s="81"/>
      <c r="CA412" s="2135" t="str">
        <f>IF(Conseq_Criteria="Hazard Distance",CA411,IF(OR(Chem_ExposureHazard="NA",Spray_Distance_Rupture&lt;HD_Screening_Limit),"NA",IF(AND(OR(CA15&gt;Thermal_Liquid_Severe,Chem_ExposureHazard="Potential Fatality"),CA409&lt;N_Moderate),Conseq_Moderate,IF(OR(CA15&gt;Thermal_Liquid_Severe,Chem_ExposureHazard="Potential Fatality"),Conseq_High,IF(Chem_ExposureHazard="Serious Injury",Conseq_Low,Conseq_VeryLow)))))</f>
        <v>NA</v>
      </c>
      <c r="CB412" s="81"/>
      <c r="CC412" s="2135" t="str">
        <f>IF(Conseq_Criteria="Hazard Distance",CC411,IF(OR(Chem_ExposureHazard="NA",Spray_Distance_Rupture&lt;HD_Screening_Limit),"NA",IF(AND(OR(CC15&gt;Thermal_Liquid_Severe,Chem_ExposureHazard="Potential Fatality"),CC409&lt;N_Moderate),Conseq_Moderate,IF(OR(CC15&gt;Thermal_Liquid_Severe,Chem_ExposureHazard="Potential Fatality"),Conseq_High,IF(Chem_ExposureHazard="Serious Injury",Conseq_Low,Conseq_VeryLow)))))</f>
        <v>NA</v>
      </c>
      <c r="CD412" s="81"/>
      <c r="CE412" s="23"/>
      <c r="CF412" s="81"/>
    </row>
    <row r="413" spans="1:92" ht="15" customHeight="1" thickBot="1" x14ac:dyDescent="0.3">
      <c r="A413" s="2"/>
      <c r="B413" s="4246" t="s">
        <v>2276</v>
      </c>
      <c r="C413" s="83"/>
      <c r="D413" s="4246" t="str">
        <f>D4</f>
        <v>Mechanical Seal</v>
      </c>
      <c r="E413" s="83"/>
      <c r="F413" s="4246" t="str">
        <f>F4</f>
        <v>Gasket at Op Press</v>
      </c>
      <c r="G413" s="83"/>
      <c r="H413" s="4246" t="str">
        <f>H4</f>
        <v>Gasket at 1.3 MAWP</v>
      </c>
      <c r="I413" s="83"/>
      <c r="J413" s="4246" t="str">
        <f>J4</f>
        <v>Drain or Vent</v>
      </c>
      <c r="K413" s="83"/>
      <c r="L413" s="4246" t="str">
        <f>L4</f>
        <v>USER DEFINED</v>
      </c>
      <c r="M413" s="83"/>
      <c r="N413" s="4246" t="str">
        <f>N4</f>
        <v>FULL BORE</v>
      </c>
      <c r="O413" s="83"/>
      <c r="P413" s="4246" t="str">
        <f>P4</f>
        <v>VERY SMALL</v>
      </c>
      <c r="Q413" s="83"/>
      <c r="R413" s="4246" t="str">
        <f>R4</f>
        <v>SMALL</v>
      </c>
      <c r="S413" s="83"/>
      <c r="T413" s="4246" t="str">
        <f>T4</f>
        <v>MEDIUM</v>
      </c>
      <c r="U413" s="83"/>
      <c r="V413" s="4246" t="str">
        <f>V4</f>
        <v>VERY LARGE</v>
      </c>
      <c r="W413" s="83"/>
      <c r="X413" s="4246" t="str">
        <f>X4</f>
        <v>EXTREMELY LARGE</v>
      </c>
      <c r="Y413" s="83"/>
      <c r="Z413" s="2"/>
      <c r="AA413" s="83"/>
      <c r="AB413" s="81"/>
      <c r="AC413" s="849" t="s">
        <v>4229</v>
      </c>
      <c r="AD413" s="81"/>
      <c r="AE413" s="2135" t="str">
        <f>IF(Conseq_Criteria="Hazard Distance",AE412,IF(OR(AE321&lt;&gt;"Yes",AE411&lt;N_Screening),"NA",IF(AE411&lt;N_VeryLow,Conseq_VeryLow,IF(AE411&lt;N_Low,Conseq_Low,IF(AE411&lt;N_Moderate,Conseq_Moderate,IF(AE411&lt;N_High,Conseq_High,IF(AE411&lt;N_VeryHigh,Conseq_VeryHigh,Conseq_ExtremeHigh)))))))</f>
        <v>NA</v>
      </c>
      <c r="AF413" s="81"/>
      <c r="AG413" s="2135" t="str">
        <f>IF(Conseq_Criteria="Hazard Distance",AG412,IF(OR(AG321&lt;&gt;"Yes",AG411&lt;N_Screening),"NA",IF(AG411&lt;N_VeryLow,Conseq_VeryLow,IF(AG411&lt;N_Low,Conseq_Low,IF(AG411&lt;N_Moderate,Conseq_Moderate,IF(AG411&lt;N_High,Conseq_High,IF(AG411&lt;N_VeryHigh,Conseq_VeryHigh,Conseq_ExtremeHigh)))))))</f>
        <v>NA</v>
      </c>
      <c r="AH413" s="81"/>
      <c r="AI413" s="2135" t="str">
        <f>IF(Conseq_Criteria="Hazard Distance",AI412,IF(OR(AI321&lt;&gt;"Yes",AI411&lt;N_Screening),"NA",IF(AI411&lt;N_VeryLow,Conseq_VeryLow,IF(AI411&lt;N_Low,Conseq_Low,IF(AI411&lt;N_Moderate,Conseq_Moderate,IF(AI411&lt;N_High,Conseq_High,IF(AI411&lt;N_VeryHigh,Conseq_VeryHigh,Conseq_ExtremeHigh)))))))</f>
        <v>NA</v>
      </c>
      <c r="AJ413" s="81"/>
      <c r="AK413" s="2135" t="str">
        <f>IF(Conseq_Criteria="Hazard Distance",AK412,IF(OR(AK321&lt;&gt;"Yes",AK411&lt;N_Screening),"NA",IF(AK411&lt;N_VeryLow,Conseq_VeryLow,IF(AK411&lt;N_Low,Conseq_Low,IF(AK411&lt;N_Moderate,Conseq_Moderate,IF(AK411&lt;N_High,Conseq_High,IF(AK411&lt;N_VeryHigh,Conseq_VeryHigh,Conseq_ExtremeHigh)))))))</f>
        <v>NA</v>
      </c>
      <c r="AL413" s="81"/>
      <c r="AM413" s="2135" t="str">
        <f>IF(Conseq_Criteria="Hazard Distance",AM412,IF(OR(AM321&lt;&gt;"Yes",AM411&lt;N_Screening),"NA",IF(AM411&lt;N_VeryLow,Conseq_VeryLow,IF(AM411&lt;N_Low,Conseq_Low,IF(AM411&lt;N_Moderate,Conseq_Moderate,IF(AM411&lt;N_High,Conseq_High,IF(AM411&lt;N_VeryHigh,Conseq_VeryHigh,Conseq_ExtremeHigh)))))))</f>
        <v>NA</v>
      </c>
      <c r="AN413" s="81"/>
      <c r="AO413" s="2135" t="str">
        <f>IF(Conseq_Criteria="Hazard Distance",AO412,IF(OR(AO321&lt;&gt;"Yes",AO411&lt;N_Screening),"NA",IF(AO411&lt;N_VeryLow,Conseq_VeryLow,IF(AO411&lt;N_Low,Conseq_Low,IF(AO411&lt;N_Moderate,Conseq_Moderate,IF(AO411&lt;N_High,Conseq_High,IF(AO411&lt;N_VeryHigh,Conseq_VeryHigh,Conseq_ExtremeHigh)))))))</f>
        <v>NA</v>
      </c>
      <c r="AP413" s="81"/>
      <c r="AQ413" s="89"/>
      <c r="AR413" s="81"/>
      <c r="AS413" s="83"/>
      <c r="AT413" s="1410"/>
      <c r="AU413" s="1411"/>
      <c r="AV413" s="1411"/>
      <c r="AW413" s="1411"/>
      <c r="AX413" s="1411"/>
      <c r="AY413" s="77"/>
      <c r="AZ413" s="77"/>
      <c r="BA413" s="77"/>
      <c r="BB413" s="77"/>
      <c r="BC413" s="77"/>
      <c r="BD413" s="77"/>
      <c r="BE413" s="77"/>
      <c r="BF413" s="78"/>
      <c r="BG413" s="77"/>
      <c r="BH413" s="79"/>
      <c r="BI413" s="83"/>
      <c r="BJ413" s="83"/>
      <c r="BK413" s="83"/>
      <c r="BL413" s="83"/>
      <c r="BM413" s="83"/>
      <c r="BN413" s="83"/>
      <c r="BO413" s="83"/>
      <c r="BP413" s="83"/>
      <c r="BQ413" s="83"/>
      <c r="BR413" s="81"/>
      <c r="BS413" s="23" t="s">
        <v>5128</v>
      </c>
      <c r="BT413" s="81"/>
      <c r="BU413" s="1861">
        <f>IF(OR(BU249=0,BU249&gt;76),0,IF(Location="Indoors",IF(2*BU300&gt;LFL_Fract_FlashFIre*10000*BU249,Enclosed_Process_Volume^(2/3),2*BU300/(LFL_Fract_FlashFIre*10000*BU249)*Enclosed_Process_Volume^(2/3)),IF(BU23="Instantaneous",Dispersion_I*BU319^2+DC_Duration_Initial*(BU83/BU98)^(1/3),Dispersion_D*BU319^2)))</f>
        <v>0</v>
      </c>
      <c r="BV413" s="81"/>
      <c r="BW413" s="4243" t="s">
        <v>1579</v>
      </c>
      <c r="BX413" s="81"/>
      <c r="BY413" s="1861">
        <f>IF(OR(BY249=0,BY249&gt;76),0,IF(Location="Indoors",IF(2*BY300&gt;LFL_Fract_FlashFIre*10000*BY249,Enclosed_Process_Volume^(2/3),2*BY300/(LFL_Fract_FlashFIre*10000*BY249)*Enclosed_Process_Volume^(2/3)),IF(BY23="Instantaneous",Dispersion_I*BY319^2+DC_Duration_Initial*(BY83/BY98)^(1/3),Dispersion_D*BY319^2)))</f>
        <v>0</v>
      </c>
      <c r="BZ413" s="81"/>
      <c r="CA413" s="1861">
        <f>IF(OR(CA249=0,CA249&gt;76),0,IF(Location="Indoors",IF(2*CA300&gt;LFL_Fract_FlashFIre*10000*CA249,Enclosed_Process_Volume^(2/3),2*CA300/(LFL_Fract_FlashFIre*10000*CA249)*Enclosed_Process_Volume^(2/3)),IF(CA23="Instantaneous",Dispersion_I*CA319^2+DC_Duration_Initial*(CA83/CA98)^(1/3),Dispersion_D*CA319^2)))</f>
        <v>0</v>
      </c>
      <c r="CB413" s="81"/>
      <c r="CC413" s="4244" t="s">
        <v>1579</v>
      </c>
      <c r="CD413" s="81"/>
      <c r="CE413" s="92" t="s">
        <v>3804</v>
      </c>
      <c r="CF413" s="81"/>
    </row>
    <row r="414" spans="1:92" ht="15" customHeight="1" thickBot="1" x14ac:dyDescent="0.3">
      <c r="A414" s="2"/>
      <c r="B414" s="4253"/>
      <c r="C414" s="83"/>
      <c r="D414" s="4263"/>
      <c r="E414" s="83"/>
      <c r="F414" s="4263"/>
      <c r="G414" s="83"/>
      <c r="H414" s="4263"/>
      <c r="I414" s="83"/>
      <c r="J414" s="4263"/>
      <c r="K414" s="83"/>
      <c r="L414" s="4263"/>
      <c r="M414" s="83"/>
      <c r="N414" s="4263"/>
      <c r="O414" s="83"/>
      <c r="P414" s="4263"/>
      <c r="Q414" s="83"/>
      <c r="R414" s="4263"/>
      <c r="S414" s="83"/>
      <c r="T414" s="4263"/>
      <c r="U414" s="83"/>
      <c r="V414" s="4263"/>
      <c r="W414" s="83"/>
      <c r="X414" s="4263"/>
      <c r="Y414" s="83"/>
      <c r="Z414" s="2"/>
      <c r="AA414" s="83"/>
      <c r="AB414" s="81"/>
      <c r="AC414" s="851" t="s">
        <v>2008</v>
      </c>
      <c r="AD414" s="81"/>
      <c r="AE414" s="1182">
        <f>IF(AE349&lt;&gt;"Yes",0,EXP(-Bldg_Type_Coefficient*(Bldg_Type_Correction/AE342)^Bldg_Type_Exponent))</f>
        <v>0</v>
      </c>
      <c r="AF414" s="81"/>
      <c r="AG414" s="1182">
        <f>IF(AG349&lt;&gt;"Yes",0,EXP(-Bldg_Type_Coefficient*(Bldg_Type_Correction/AG342)^Bldg_Type_Exponent))</f>
        <v>0</v>
      </c>
      <c r="AH414" s="81"/>
      <c r="AI414" s="1182">
        <f>IF(AI349&lt;&gt;"Yes",0,EXP(-Bldg_Type_Coefficient*(Bldg_Type_Correction/AI342)^Bldg_Type_Exponent))</f>
        <v>0</v>
      </c>
      <c r="AJ414" s="81"/>
      <c r="AK414" s="1182">
        <f>IF(AK349&lt;&gt;"Yes",0,EXP(-Bldg_Type_Coefficient*(Bldg_Type_Correction/AK342)^Bldg_Type_Exponent))</f>
        <v>0</v>
      </c>
      <c r="AL414" s="81"/>
      <c r="AM414" s="1182">
        <f>IF(AM349&lt;&gt;"Yes",0,EXP(-Bldg_Type_Coefficient*(Bldg_Type_Correction/AM342)^Bldg_Type_Exponent))</f>
        <v>0</v>
      </c>
      <c r="AN414" s="81"/>
      <c r="AO414" s="1182">
        <f>IF(AO349&lt;&gt;"Yes",0,EXP(-Bldg_Type_Coefficient*(Bldg_Type_Correction/AO342)^Bldg_Type_Exponent))</f>
        <v>0</v>
      </c>
      <c r="AP414" s="81"/>
      <c r="AQ414" s="1819"/>
      <c r="AR414" s="81"/>
      <c r="AS414" s="83"/>
      <c r="AT414" s="1399" t="s">
        <v>592</v>
      </c>
      <c r="AU414" s="1400"/>
      <c r="AV414" s="1400"/>
      <c r="AW414" s="1400"/>
      <c r="AX414" s="1400"/>
      <c r="AY414" s="1400"/>
      <c r="AZ414" s="1400"/>
      <c r="BA414" s="1400"/>
      <c r="BB414" s="1400"/>
      <c r="BC414" s="1400"/>
      <c r="BD414" s="1400"/>
      <c r="BE414" s="1400"/>
      <c r="BF414" s="1400"/>
      <c r="BG414" s="1400"/>
      <c r="BH414" s="1401"/>
      <c r="BI414" s="83"/>
      <c r="BJ414" s="83"/>
      <c r="BK414" s="83"/>
      <c r="BL414" s="83"/>
      <c r="BM414" s="83"/>
      <c r="BN414" s="83"/>
      <c r="BO414" s="83"/>
      <c r="BP414" s="83"/>
      <c r="BQ414" s="83"/>
      <c r="BR414" s="81"/>
      <c r="BS414" s="23" t="s">
        <v>611</v>
      </c>
      <c r="BT414" s="81"/>
      <c r="BU414" s="1207">
        <f>IF(AND(Enclosed_Process_Volume&gt;0,Location="Indoors"),IF(BU307="Yes",Op_Indoors,Op_Indoors*BU413/Enclosed_Process_Volume^(2/3)),BU413*Onsite_PD/1000000)+IF(AND(BU$292="Yes",BU307="No",BU319&gt;HD_Severe_Impact),0.9,0)</f>
        <v>0</v>
      </c>
      <c r="BV414" s="81"/>
      <c r="BW414" s="4239"/>
      <c r="BX414" s="81"/>
      <c r="BY414" s="1207">
        <f>IF(AND(Enclosed_Process_Volume&gt;0,Location="Indoors"),IF(BY307="Yes",Op_Indoors,Op_Indoors*BY413/Enclosed_Process_Volume^(2/3)),BY413*Onsite_PD/1000000)+IF(AND(BY$292="Yes",BY307="No",BY319&gt;HD_Severe_Impact),0.9,0)</f>
        <v>0</v>
      </c>
      <c r="BZ414" s="81"/>
      <c r="CA414" s="1207">
        <f>IF(AND(Enclosed_Process_Volume&gt;0,Location="Indoors"),IF(CA307="Yes",Op_Indoors,Op_Indoors*CA413/Enclosed_Process_Volume^(2/3)),CA413*Onsite_PD/1000000)+IF(AND(CA$292="Yes",CA307="No",CA319&gt;HD_Severe_Impact),0.9,0)</f>
        <v>0</v>
      </c>
      <c r="CB414" s="81"/>
      <c r="CC414" s="4239"/>
      <c r="CD414" s="81"/>
      <c r="CE414" s="23"/>
      <c r="CF414" s="81"/>
    </row>
    <row r="415" spans="1:92" ht="15" customHeight="1" x14ac:dyDescent="0.25">
      <c r="A415" s="2"/>
      <c r="B415" s="92" t="s">
        <v>2547</v>
      </c>
      <c r="C415" s="83"/>
      <c r="D415" s="1862">
        <f>P</f>
        <v>1E-3</v>
      </c>
      <c r="E415" s="83"/>
      <c r="F415" s="1862">
        <f>P</f>
        <v>1E-3</v>
      </c>
      <c r="G415" s="83"/>
      <c r="H415" s="1862">
        <f>Failure_Gasket*MAWP</f>
        <v>0</v>
      </c>
      <c r="I415" s="83"/>
      <c r="J415" s="1862">
        <f>P</f>
        <v>1E-3</v>
      </c>
      <c r="K415" s="235"/>
      <c r="L415" s="1862">
        <f>L8</f>
        <v>0</v>
      </c>
      <c r="M415" s="235"/>
      <c r="N415" s="1862">
        <f>P</f>
        <v>1E-3</v>
      </c>
      <c r="O415" s="235"/>
      <c r="P415" s="1862">
        <f>P</f>
        <v>1E-3</v>
      </c>
      <c r="Q415" s="235"/>
      <c r="R415" s="1862">
        <f>P</f>
        <v>1E-3</v>
      </c>
      <c r="S415" s="235"/>
      <c r="T415" s="4246">
        <f>T6</f>
        <v>0.61</v>
      </c>
      <c r="U415" s="235"/>
      <c r="V415" s="1862">
        <f>P</f>
        <v>1E-3</v>
      </c>
      <c r="W415" s="235"/>
      <c r="X415" s="1862">
        <f>P</f>
        <v>1E-3</v>
      </c>
      <c r="Y415" s="83"/>
      <c r="Z415" s="92" t="s">
        <v>1067</v>
      </c>
      <c r="AA415" s="83"/>
      <c r="AB415" s="81"/>
      <c r="AC415" s="851" t="s">
        <v>2009</v>
      </c>
      <c r="AD415" s="81"/>
      <c r="AE415" s="1820">
        <f>AE414*Occupants_atRisk</f>
        <v>0</v>
      </c>
      <c r="AF415" s="81"/>
      <c r="AG415" s="1820">
        <f>AG414*Occupants_atRisk</f>
        <v>0</v>
      </c>
      <c r="AH415" s="81"/>
      <c r="AI415" s="1820">
        <f>AI414*Occupants_atRisk</f>
        <v>0</v>
      </c>
      <c r="AJ415" s="81"/>
      <c r="AK415" s="1820">
        <f>AK414*Occupants_atRisk</f>
        <v>0</v>
      </c>
      <c r="AL415" s="81"/>
      <c r="AM415" s="1820">
        <f>AM414*Occupants_atRisk</f>
        <v>0</v>
      </c>
      <c r="AN415" s="81"/>
      <c r="AO415" s="1820">
        <f>AO414*Occupants_atRisk</f>
        <v>0</v>
      </c>
      <c r="AP415" s="81"/>
      <c r="AQ415" s="23"/>
      <c r="AR415" s="81"/>
      <c r="AS415" s="83"/>
      <c r="AT415" s="1410"/>
      <c r="AU415" s="1411"/>
      <c r="AV415" s="1411"/>
      <c r="AW415" s="1411"/>
      <c r="AX415" s="1411"/>
      <c r="AY415" s="3224"/>
      <c r="AZ415" s="1411"/>
      <c r="BA415" s="1411"/>
      <c r="BB415" s="77"/>
      <c r="BC415" s="1411"/>
      <c r="BD415" s="77"/>
      <c r="BE415" s="77"/>
      <c r="BF415" s="3225"/>
      <c r="BG415" s="77"/>
      <c r="BH415" s="79"/>
      <c r="BI415" s="83"/>
      <c r="BJ415" s="83"/>
      <c r="BK415" s="83"/>
      <c r="BL415" s="83"/>
      <c r="BM415" s="83"/>
      <c r="BN415" s="83"/>
      <c r="BO415" s="83"/>
      <c r="BP415" s="83"/>
      <c r="BQ415" s="83"/>
      <c r="BR415" s="81"/>
      <c r="BS415" s="85" t="s">
        <v>1794</v>
      </c>
      <c r="BT415" s="81"/>
      <c r="BU415" s="1208">
        <v>0</v>
      </c>
      <c r="BV415" s="81"/>
      <c r="BW415" s="4239"/>
      <c r="BX415" s="81"/>
      <c r="BY415" s="1208">
        <v>0</v>
      </c>
      <c r="BZ415" s="81"/>
      <c r="CA415" s="1208">
        <v>0</v>
      </c>
      <c r="CB415" s="81"/>
      <c r="CC415" s="4239"/>
      <c r="CD415" s="81"/>
      <c r="CE415" s="85"/>
      <c r="CF415" s="81"/>
    </row>
    <row r="416" spans="1:92" ht="15" customHeight="1" thickBot="1" x14ac:dyDescent="0.3">
      <c r="A416" s="2"/>
      <c r="B416" s="85" t="s">
        <v>2548</v>
      </c>
      <c r="C416" s="83"/>
      <c r="D416" s="1862">
        <f>T</f>
        <v>0</v>
      </c>
      <c r="E416" s="83"/>
      <c r="F416" s="1862">
        <f>T</f>
        <v>0</v>
      </c>
      <c r="G416" s="83"/>
      <c r="H416" s="1862">
        <f>T</f>
        <v>0</v>
      </c>
      <c r="I416" s="83"/>
      <c r="J416" s="1862">
        <f>T</f>
        <v>0</v>
      </c>
      <c r="K416" s="235"/>
      <c r="L416" s="1862">
        <f>L9</f>
        <v>0</v>
      </c>
      <c r="M416" s="235"/>
      <c r="N416" s="1862">
        <f>T</f>
        <v>0</v>
      </c>
      <c r="O416" s="235"/>
      <c r="P416" s="1862">
        <f>T</f>
        <v>0</v>
      </c>
      <c r="Q416" s="235"/>
      <c r="R416" s="1862">
        <f>T</f>
        <v>0</v>
      </c>
      <c r="S416" s="235"/>
      <c r="T416" s="4263"/>
      <c r="U416" s="235"/>
      <c r="V416" s="1862">
        <f>T</f>
        <v>0</v>
      </c>
      <c r="W416" s="235"/>
      <c r="X416" s="1862">
        <f>T</f>
        <v>0</v>
      </c>
      <c r="Y416" s="83"/>
      <c r="Z416" s="85" t="s">
        <v>1836</v>
      </c>
      <c r="AA416" s="83"/>
      <c r="AB416" s="81"/>
      <c r="AC416" s="851" t="s">
        <v>630</v>
      </c>
      <c r="AD416" s="81"/>
      <c r="AE416" s="321">
        <f>IF(OR(IF(Occ_Bldg2_Relief&gt;0,Occ_Bldg2_Relief,Occ_Bldg2)=0,AE349&lt;&gt;"Yes"),0,EXP(-Bldg2_Type_Coefficient*(Bldg2_Type_Correction/AE346)^Bldg2_Type_Exponent))</f>
        <v>0</v>
      </c>
      <c r="AF416" s="81"/>
      <c r="AG416" s="321">
        <f>IF(OR(IF(Occ_Bldg2_Relief&gt;0,Occ_Bldg2_Relief,Occ_Bldg2)=0,AG349&lt;&gt;"Yes"),0,EXP(-Bldg2_Type_Coefficient*(Bldg2_Type_Correction/AG346)^Bldg2_Type_Exponent))</f>
        <v>0</v>
      </c>
      <c r="AH416" s="81"/>
      <c r="AI416" s="321">
        <f>IF(OR(IF(Occ_Bldg2_Relief&gt;0,Occ_Bldg2_Relief,Occ_Bldg2)=0,AI349&lt;&gt;"Yes"),0,EXP(-Bldg2_Type_Coefficient*(Bldg2_Type_Correction/AI346)^Bldg2_Type_Exponent))</f>
        <v>0</v>
      </c>
      <c r="AJ416" s="81"/>
      <c r="AK416" s="321">
        <f>IF(OR(IF(Occ_Bldg2_Relief&gt;0,Occ_Bldg2_Relief,Occ_Bldg2)=0,AK349&lt;&gt;"Yes"),0,EXP(-Bldg2_Type_Coefficient*(Bldg2_Type_Correction/AK346)^Bldg2_Type_Exponent))</f>
        <v>0</v>
      </c>
      <c r="AL416" s="81"/>
      <c r="AM416" s="321">
        <f>IF(OR(IF(Occ_Bldg2_Relief&gt;0,Occ_Bldg2_Relief,Occ_Bldg2)=0,AM349&lt;&gt;"Yes"),0,EXP(-Bldg2_Type_Coefficient*(Bldg2_Type_Correction/AM346)^Bldg2_Type_Exponent))</f>
        <v>0</v>
      </c>
      <c r="AN416" s="81"/>
      <c r="AO416" s="321">
        <f>IF(OR(IF(Occ_Bldg2_Relief&gt;0,Occ_Bldg2_Relief,Occ_Bldg2)=0,AO349&lt;&gt;"Yes"),0,EXP(-Bldg2_Type_Coefficient*(Bldg2_Type_Correction/AO346)^Bldg2_Type_Exponent))</f>
        <v>0</v>
      </c>
      <c r="AP416" s="81"/>
      <c r="AQ416" s="23"/>
      <c r="AR416" s="81"/>
      <c r="AS416" s="83"/>
      <c r="AT416" s="1413" t="s">
        <v>652</v>
      </c>
      <c r="AU416" s="71"/>
      <c r="AV416" s="71"/>
      <c r="AW416" s="71"/>
      <c r="AX416" s="35" t="s">
        <v>1204</v>
      </c>
      <c r="AZ416" s="35" t="s">
        <v>823</v>
      </c>
      <c r="BA416" s="35"/>
      <c r="BB416" s="35" t="s">
        <v>982</v>
      </c>
      <c r="BC416" s="35"/>
      <c r="BD416" s="35" t="s">
        <v>1366</v>
      </c>
      <c r="BE416" s="65"/>
      <c r="BF416" s="40"/>
      <c r="BG416" s="19"/>
      <c r="BH416" s="74"/>
      <c r="BI416" s="83"/>
      <c r="BJ416" s="83"/>
      <c r="BK416" s="83"/>
      <c r="BL416" s="83"/>
      <c r="BM416" s="83"/>
      <c r="BN416" s="83"/>
      <c r="BO416" s="83"/>
      <c r="BP416" s="83"/>
      <c r="BQ416" s="83"/>
      <c r="BR416" s="81"/>
      <c r="BS416" s="85" t="s">
        <v>4803</v>
      </c>
      <c r="BT416" s="81"/>
      <c r="BU416" s="1208" t="str">
        <f>IF(OR(Flash_Pt_Feed="",BU249="",AND(Location="Outdoors",BU319&lt;HD_Screening_Limit)),"NA",IF(Location="Indoors",IF(AND(Ease_of_Ignition_Feed&lt;&gt;"High",BU$292&lt;&gt;"Yes",0.0001*BU300/BU249&lt;HD_VeryLow_IndoorFF),Conseq_VeryLow,IF(0.0001*BU300/BU249&lt;HD_Low_IndoorFF,Conseq_Low,IF(0.0001*BU300/BU249&lt;HD_Moderate_IndoorFF,Conseq_Moderate,Conseq_High))),IF(AND(Ease_of_Ignition_Feed&lt;&gt;"High",BU$292&lt;&gt;"Yes",BU319&lt;HD_VeryLow_FF),Conseq_VeryLow,IF(BU319&lt;HD_Low_FF,Conseq_Low,IF(BU319&lt;HD_Moderate_FF,Conseq_Moderate,IF(BU319&lt;HD_High_FF,Conseq_High,IF(BU319&lt;HD_VeryHigh_FF,Conseq_VeryHigh,Conseq_ExtremeHigh)))))))</f>
        <v>NA</v>
      </c>
      <c r="BV416" s="81"/>
      <c r="BW416" s="4239"/>
      <c r="BX416" s="81"/>
      <c r="BY416" s="1208" t="str">
        <f>IF(OR(Flash_Pt_Feed="",BY249="",AND(Location="Outdoors",BY319&lt;HD_Screening_Limit)),"NA",IF(Location="Indoors",IF(AND(Ease_of_Ignition_Feed&lt;&gt;"High",BY$292&lt;&gt;"Yes",0.0001*BY300/BY249&lt;HD_VeryLow_IndoorFF),Conseq_VeryLow,IF(0.0001*BY300/BY249&lt;HD_Low_IndoorFF,Conseq_Low,IF(0.0001*BY300/BY249&lt;HD_Moderate_IndoorFF,Conseq_Moderate,Conseq_High))),IF(AND(Ease_of_Ignition_Feed&lt;&gt;"High",BY$292&lt;&gt;"Yes",BY319&lt;HD_VeryLow_FF),Conseq_VeryLow,IF(BY319&lt;HD_Low_FF,Conseq_Low,IF(BY319&lt;HD_Moderate_FF,Conseq_Moderate,IF(BY319&lt;HD_High_FF,Conseq_High,IF(BY319&lt;HD_VeryHigh_FF,Conseq_VeryHigh,Conseq_ExtremeHigh)))))))</f>
        <v>NA</v>
      </c>
      <c r="BZ416" s="81"/>
      <c r="CA416" s="1208" t="str">
        <f>IF(OR(Flash_Pt_Feed="",CA249="",AND(Location="Outdoors",CA319&lt;HD_Screening_Limit)),"NA",IF(Location="Indoors",IF(AND(Ease_of_Ignition_Feed&lt;&gt;"High",CA$292&lt;&gt;"Yes",0.0001*CA300/CA249&lt;HD_VeryLow_IndoorFF),Conseq_VeryLow,IF(0.0001*CA300/CA249&lt;HD_Low_IndoorFF,Conseq_Low,IF(0.0001*CA300/CA249&lt;HD_Moderate_IndoorFF,Conseq_Moderate,Conseq_High))),IF(AND(Ease_of_Ignition_Feed&lt;&gt;"High",CA$292&lt;&gt;"Yes",CA319&lt;HD_VeryLow_FF),Conseq_VeryLow,IF(CA319&lt;HD_Low_FF,Conseq_Low,IF(CA319&lt;HD_Moderate_FF,Conseq_Moderate,IF(CA319&lt;HD_High_FF,Conseq_High,IF(CA319&lt;HD_VeryHigh_FF,Conseq_VeryHigh,Conseq_ExtremeHigh)))))))</f>
        <v>NA</v>
      </c>
      <c r="CB416" s="81"/>
      <c r="CC416" s="4239"/>
      <c r="CD416" s="81"/>
      <c r="CE416" s="85"/>
      <c r="CF416" s="81"/>
    </row>
    <row r="417" spans="1:88" ht="15" customHeight="1" thickBot="1" x14ac:dyDescent="0.3">
      <c r="A417" s="2"/>
      <c r="B417" s="471" t="s">
        <v>2222</v>
      </c>
      <c r="C417" s="235"/>
      <c r="D417" s="474">
        <f>Mw_HeadSpace</f>
        <v>29.289710289710289</v>
      </c>
      <c r="E417" s="83"/>
      <c r="F417" s="474">
        <f>Mw_HeadSpace</f>
        <v>29.289710289710289</v>
      </c>
      <c r="G417" s="235"/>
      <c r="H417" s="474">
        <f>Mw_HeadSpace</f>
        <v>29.289710289710289</v>
      </c>
      <c r="I417" s="235"/>
      <c r="J417" s="474">
        <f>Mw_HeadSpace</f>
        <v>29.289710289710289</v>
      </c>
      <c r="K417" s="235"/>
      <c r="L417" s="474">
        <f>Mw_HeadSpace</f>
        <v>29.289710289710289</v>
      </c>
      <c r="M417" s="235"/>
      <c r="N417" s="474">
        <f>Mw_HeadSpace</f>
        <v>29.289710289710289</v>
      </c>
      <c r="O417" s="83"/>
      <c r="P417" s="474">
        <f>Mw_HeadSpace</f>
        <v>29.289710289710289</v>
      </c>
      <c r="Q417" s="235"/>
      <c r="R417" s="474">
        <f>Mw_HeadSpace</f>
        <v>29.289710289710289</v>
      </c>
      <c r="S417" s="235"/>
      <c r="T417" s="474">
        <f>Mw_HeadSpace</f>
        <v>29.289710289710289</v>
      </c>
      <c r="U417" s="235"/>
      <c r="V417" s="474">
        <f>Mw_HeadSpace</f>
        <v>29.289710289710289</v>
      </c>
      <c r="W417" s="235"/>
      <c r="X417" s="474">
        <f>Mw_HeadSpace</f>
        <v>29.289710289710289</v>
      </c>
      <c r="Y417" s="83"/>
      <c r="Z417" s="85"/>
      <c r="AA417" s="83"/>
      <c r="AB417" s="81"/>
      <c r="AC417" s="851" t="s">
        <v>629</v>
      </c>
      <c r="AD417" s="81"/>
      <c r="AE417" s="1820">
        <f>AE416*Occupants_atRisk2</f>
        <v>0</v>
      </c>
      <c r="AF417" s="81"/>
      <c r="AG417" s="1820">
        <f>AG416*Occupants_atRisk2</f>
        <v>0</v>
      </c>
      <c r="AH417" s="81"/>
      <c r="AI417" s="1820">
        <f>AI416*Occupants_atRisk2</f>
        <v>0</v>
      </c>
      <c r="AJ417" s="81"/>
      <c r="AK417" s="1820">
        <f>AK416*Occupants_atRisk2</f>
        <v>0</v>
      </c>
      <c r="AL417" s="81"/>
      <c r="AM417" s="1820">
        <f>AM416*Occupants_atRisk2</f>
        <v>0</v>
      </c>
      <c r="AN417" s="81"/>
      <c r="AO417" s="1820">
        <f>AO416*Occupants_atRisk2</f>
        <v>0</v>
      </c>
      <c r="AP417" s="81"/>
      <c r="AQ417" s="23"/>
      <c r="AR417" s="81"/>
      <c r="AS417" s="83"/>
      <c r="AT417" s="1412" t="s">
        <v>3984</v>
      </c>
      <c r="AU417" s="65"/>
      <c r="AV417" s="65"/>
      <c r="AW417" s="71"/>
      <c r="AX417" s="3226">
        <f>P45</f>
        <v>0</v>
      </c>
      <c r="AZ417" s="3227">
        <f t="shared" ref="AZ417:AZ439" si="65">IF(Soil_Remediation="Yes",IF(NFPA_H_Feed=4,IF(AX417&gt;SoilLimit_ExtremeHigh_Environ,Conseq_ExtremeHigh_Environ,IF(AX417&gt;SoilLimit_VeryHigh_Environ,Conseq_VeryHigh_Environ,IF(AX417&gt;SoilLimit_High_Environ,Conseq_High_Environ,IF(AX417&gt;SoilLimit_Moderate_Environ,Conseq_Moderate_Environ,IF(AX417&gt;SoilLimit_Low_Environ,Conseq_Low_Environ,0))))),IF(NFPA_H_Feed=3,IF(AX417&gt;SoilLimit_ExtremeHigh_Environ,Conseq_VeryHigh_Environ,IF(AX417&gt;SoilLimit_VeryHigh_Environ,Conseq_High_Environ,IF(AX417&gt;SoilLimit_High_Environ,Conseq_Moderate_Environ,IF(AX417&gt;SoilLimit_Moderate_Environ,Conseq_Low_Environ,IF(AX417&gt;SoilLimit_Low_Environ,Conseq_VeryLow_Environ,0))))),IF(NFPA_H_Feed=2,IF(AX417&gt;SoilLimit_ExtremeHigh_Environ,Conseq_High_Environ,IF(AX417&gt;SoilLimit_VeryHigh_Environ,Conseq_Moderate_Environ,IF(AX417&gt;SoilLimit_High_Environ,Conseq_Low_Environ,IF(AX417&gt;SoilLimit_Moderate_Environ,Conseq_VeryLow_Environ,0)))),0))),0)</f>
        <v>0</v>
      </c>
      <c r="BA417" s="3227"/>
      <c r="BB417" s="3227">
        <f t="shared" ref="BB417:BB439" si="66">IF(Waterway="Yes",IF(Aquatic_Tox_Feed="Very Toxic",IF(AX417&gt;WaterLimit_ExtremeHigh_Environ,Conseq_ExtremeHigh_Environ,IF(AX417&gt;WaterLimit_VeryHigh_Environ,IF(Downstream_Population="Yes",Conseq_ExtremeHigh_Environ,Conseq_VeryHigh_Environ),IF(AX417&gt;WaterLimit_High_Environ,IF(Downstream_Population="Yes",Conseq_VeryHigh_Environ,Conseq_High_Environ),IF(AX417&gt;WaterLimit_Moderate_Environ,IF(Downstream_Population="Yes",Conseq_High_Environ,Conseq_Moderate_Environ),IF(AX417&gt;WaterLimit_Low_Environ,IF(Downstream_Population="Yes",Conseq_Moderate_Environ,Conseq_Low_Environ),0))))),IF(Aquatic_Tox_Feed="Toxic",IF(AX417&gt;WaterLimit_ExtremeHigh_Environ,IF(Downstream_Population="Yes",Conseq_ExtremeHigh_Environ,Conseq_VeryHigh_Environ),IF(AX417&gt;WaterLimit_VeryHigh_Environ,IF(Downstream_Population="Yes",Conseq_VeryHigh_Environ,Conseq_High_Environ),IF(AX417&gt;WaterLimit_High_Environ,IF(Downstream_Population="Yes",Conseq_High_Environ,Conseq_Moderate_Environ),IF(AX417&gt;WaterLimit_Moderate_Environ,IF(Downstream_Population="Yes",Conseq_Moderate_Environ,Conseq_Low_Environ),IF(AX417&gt;WaterLimit_Low_Environ,IF(Downstream_Population="Yes",Conseq_Low_Environ,Conseq_VeryLow_Environ),0))))),IF(Aquatic_Tox_Feed="Harmful",IF(AX417&gt;WaterLimit_ExtremeHigh_Environ,IF(Downstream_Population="Yes",Conseq_VeryHigh_Environ,Conseq_High_Environ),IF(AX417&gt;WaterLimit_VeryHigh_Environ,IF(Downstream_Population="Yes",Conseq_High_Environ,Conseq_Moderate_Environ),IF(AX417&gt;WaterLimit_High_Environ,IF(Downstream_Population="Yes",Conseq_Moderate_Environ,Conseq_Low_Environ),IF(AX417&gt;WaterLimit_Moderate_Environ,IF(Downstream_Population="Yes",Conseq_Low_Environ,Conseq_VeryLow_Environ),0)))),0))),0)</f>
        <v>0</v>
      </c>
      <c r="BC417" s="3227"/>
      <c r="BD417" s="3228" t="str">
        <f t="shared" ref="BD417:BD439" si="67">IF(AND(AZ417=0,BB417=0),"NA",IF(AZ417&gt;BB417,AZ417,BB417))</f>
        <v>NA</v>
      </c>
      <c r="BF417" s="228"/>
      <c r="BG417" s="19"/>
      <c r="BH417" s="74"/>
      <c r="BI417" s="83"/>
      <c r="BJ417" s="83"/>
      <c r="BK417" s="83"/>
      <c r="BL417" s="83"/>
      <c r="BM417" s="83"/>
      <c r="BN417" s="83"/>
      <c r="BO417" s="83"/>
      <c r="BP417" s="83"/>
      <c r="BQ417" s="83"/>
      <c r="BR417" s="81"/>
      <c r="BS417" s="25" t="s">
        <v>4228</v>
      </c>
      <c r="BT417" s="81"/>
      <c r="BU417" s="2135" t="str">
        <f>IF(Conseq_Criteria="Hazard Distance",BU416,IF(AND(Ease_of_Ignition_Feed&lt;&gt;"High",OR(BU414&lt;N_Screening,AND(Location="Outdoors",BU319&lt;HD_Screening_Limit))),"NA",IF(OR(AND(Location="Indoors",BU414&lt;N_Low),AND(Location="Outdoors",BU319&lt;HD_Severe_Impact)),Conseq_Low,IF(BU414&lt;N_Moderate,Conseq_Moderate,IF(BU414&lt;N_High,Conseq_High,IF(BU414&lt;N_VeryHigh,Conseq_VeryHigh,Conseq_ExtremeHigh))))))</f>
        <v>NA</v>
      </c>
      <c r="BV417" s="81"/>
      <c r="BW417" s="4239"/>
      <c r="BX417" s="81"/>
      <c r="BY417" s="2135" t="str">
        <f>IF(Conseq_Criteria="Hazard Distance",BY416,IF(AND(Ease_of_Ignition_Feed&lt;&gt;"High",OR(BY414&lt;N_Screening,AND(Location="Outdoors",BY319&lt;HD_Screening_Limit))),"NA",IF(OR(AND(Location="Indoors",BY414&lt;N_Low),AND(Location="Outdoors",BY319&lt;HD_Severe_Impact)),Conseq_Low,IF(BY414&lt;N_Moderate,Conseq_Moderate,IF(BY414&lt;N_High,Conseq_High,IF(BY414&lt;N_VeryHigh,Conseq_VeryHigh,Conseq_ExtremeHigh))))))</f>
        <v>NA</v>
      </c>
      <c r="BZ417" s="81"/>
      <c r="CA417" s="2135" t="str">
        <f>IF(Conseq_Criteria="Hazard Distance",CA416,IF(AND(Ease_of_Ignition_Feed&lt;&gt;"High",OR(CA414&lt;N_Screening,AND(Location="Outdoors",CA319&lt;HD_Screening_Limit))),"NA",IF(OR(AND(Location="Indoors",CA414&lt;N_Low),AND(Location="Outdoors",CA319&lt;HD_Severe_Impact)),Conseq_Low,IF(CA414&lt;N_Moderate,Conseq_Moderate,IF(CA414&lt;N_High,Conseq_High,IF(CA414&lt;N_VeryHigh,Conseq_VeryHigh,Conseq_ExtremeHigh))))))</f>
        <v>NA</v>
      </c>
      <c r="CB417" s="81"/>
      <c r="CC417" s="4239"/>
      <c r="CD417" s="81"/>
      <c r="CE417" s="89"/>
      <c r="CF417" s="81"/>
    </row>
    <row r="418" spans="1:88" ht="15" customHeight="1" x14ac:dyDescent="0.25">
      <c r="A418" s="2"/>
      <c r="B418" s="267" t="s">
        <v>1570</v>
      </c>
      <c r="C418" s="83"/>
      <c r="D418" s="2089">
        <f>IF(OR(D7="",State&lt;&gt;"Liquid"),0,IF(1/(1+P)&lt;0.528,0.0595*D6*(D7^2)*(P+1)*(D417/(273+T))^0.5,0.231*D6*(D7^2)*(P+1)*((1/(1+P)^1.429-(1/(1+P))^1.714)*D417/(273+T))^0.5))</f>
        <v>7.7915692117653862E-4</v>
      </c>
      <c r="E418" s="83"/>
      <c r="F418" s="2089">
        <f>IF(OR(F7="",State&lt;&gt;"Liquid"),0,IF(1/(1+P)&lt;0.528,0.0595*F6*(F7^2)*(P+1)*(F417/(273+T))^0.5,0.231*F6*(F7^2)*(P+1)*((1/(1+P)^1.429-(1/(1+P))^1.714)*F417/(273+T))^0.5))</f>
        <v>7.7915692117653862E-4</v>
      </c>
      <c r="G418" s="83"/>
      <c r="H418" s="2089">
        <f>IF(OR(H7="",State&lt;&gt;"Liquid"),0,IF(1/(1+Failure_Gasket*MAWP)&lt;0.528,0.0595*H6*(H7^2)*(Failure_Gasket*MAWP+1)*(H417/(273+T))^0.5,0.231*H6*(H7^2)*(Failure_Gasket*MAWP+1)*((1/(1+Failure_Gasket*MAWP)^1.429-(1/(1+Failure_Gasket*MAWP))^1.714)*H417/(273+T))^0.5))</f>
        <v>0</v>
      </c>
      <c r="I418" s="83"/>
      <c r="J418" s="2089">
        <f>IF(OR(J7="",State&lt;&gt;"Liquid"),0,IF(1/(1+P)&lt;0.528,0.0595*J6*(J7^2)*(P+1)*(J417/(273+T))^0.5,0.231*J6*(J7^2)*(P+1)*((1/(1+P)^1.429-(1/(1+P))^1.714)*J417/(273+T))^0.5))</f>
        <v>7.7915692117653862E-4</v>
      </c>
      <c r="K418" s="83"/>
      <c r="L418" s="2089">
        <f>IF(OR(L7="",State&lt;&gt;"Liquid"),0,IF(1/(1+P)&lt;0.528,0.0595*L6*(L7^2)*(P+1)*(L417/(273+T))^0.5,0.231*L6*(L7^2)*(P+1)*((1/(1+P)^1.429-(1/(1+P))^1.714)*L417/(273+T))^0.5))</f>
        <v>0</v>
      </c>
      <c r="M418" s="83"/>
      <c r="N418" s="2089">
        <f>IF(OR(N7="",State&lt;&gt;"Liquid"),0,IF(1/(1+P)&lt;0.528,0.0595*N6*(N7^2)*(P+1)*(N417/(273+T))^0.5,0.231*N6*(N7^2)*(P+1)*((1/(1+P)^1.429-(1/(1+P))^1.714)*N417/(273+T))^0.5))</f>
        <v>0</v>
      </c>
      <c r="O418" s="83"/>
      <c r="P418" s="2089">
        <f>IF(OR(P7="",State&lt;&gt;"Liquid"),0,IF(1/(1+P)&lt;0.528,0.0595*P6*(P7^2)*(P+1)*(P417/(273+T))^0.5,0.231*P6*(P7^2)*(P+1)*((1/(1+P)^1.429-(1/(1+P))^1.714)*P417/(273+T))^0.5))</f>
        <v>7.0124122905888464E-5</v>
      </c>
      <c r="Q418" s="83"/>
      <c r="R418" s="2089">
        <f>IF(OR(R7="",State&lt;&gt;"Liquid"),0,IF(1/(1+P)&lt;0.528,0.0595*R6*(R7^2)*(P+1)*(R417/(273+T))^0.5,0.231*R6*(R7^2)*(P+1)*((1/(1+P)^1.429-(1/(1+P))^1.714)*R417/(273+T))^0.5))</f>
        <v>7.7915692117653862E-4</v>
      </c>
      <c r="S418" s="83"/>
      <c r="T418" s="2089">
        <f>IF(OR(T7="",State&lt;&gt;"Liquid"),0,IF(1/(1+P)&lt;0.528,0.0595*T6*(T7^2)*(P+1)*(T417/(273+T))^0.5,0.231*T6*(T7^2)*(P+1)*((1/(1+P)^1.429-(1/(1+P))^1.714)*T417/(273+T))^0.5))</f>
        <v>4.8697307573533659E-3</v>
      </c>
      <c r="U418" s="83"/>
      <c r="V418" s="2089">
        <f>IF(OR(V7="",State&lt;&gt;"Liquid"),0,IF(1/(1+P)&lt;0.528,0.0595*V6*(V7^2)*(P+1)*(V417/(273+T))^0.5,0.231*V6*(V7^2)*(P+1)*((1/(1+P)^1.429-(1/(1+P))^1.714)*V417/(273+T))^0.5))</f>
        <v>1.9478923029413463E-2</v>
      </c>
      <c r="W418" s="83"/>
      <c r="X418" s="2089">
        <f>IF(OR(X7="",State&lt;&gt;"Liquid"),0,IF(1/(1+P)&lt;0.528,0.0595*X6*(X7^2)*(P+1)*(X417/(273+T))^0.5,0.231*X6*(X7^2)*(P+1)*((1/(1+P)^1.429-(1/(1+P))^1.714)*X417/(273+T))^0.5))</f>
        <v>0.17531030726472116</v>
      </c>
      <c r="Y418" s="83"/>
      <c r="Z418" s="85" t="s">
        <v>1069</v>
      </c>
      <c r="AA418" s="83"/>
      <c r="AB418" s="81"/>
      <c r="AC418" s="851" t="s">
        <v>5215</v>
      </c>
      <c r="AD418" s="81"/>
      <c r="AE418" s="321">
        <f>IF(AE340="No",0,3.14*Offsite_Area_Bldg_Factor*IF(Offsite_PD1="",Offsite_PD/1000000,Offsite_PD1)*AE339^2*(EXP(-Offsite_Bldg_a*Zone_1^2/AE339^2)-EXP(-Offsite_Bldg_a*Public^2/AE339^2))/(-Offsite_Bldg_a))</f>
        <v>0</v>
      </c>
      <c r="AF418" s="81"/>
      <c r="AG418" s="321">
        <f>IF(AG340="No",0,3.14*Offsite_Area_Bldg_Factor*IF(Offsite_PD1="",Offsite_PD/1000000,Offsite_PD1)*AG339^2*(EXP(-Offsite_Bldg_a*Zone_1^2/AG339^2)-EXP(-Offsite_Bldg_a*Public^2/AG339^2))/(-Offsite_Bldg_a))</f>
        <v>0</v>
      </c>
      <c r="AH418" s="81"/>
      <c r="AI418" s="321">
        <f>IF(AI340="No",0,3.14*Offsite_Area_Bldg_Factor*IF(Offsite_PD1="",Offsite_PD/1000000,Offsite_PD1)*AI339^2*(EXP(-Offsite_Bldg_a*Zone_1^2/AI339^2)-EXP(-Offsite_Bldg_a*Public^2/AI339^2))/(-Offsite_Bldg_a))</f>
        <v>0</v>
      </c>
      <c r="AJ418" s="81"/>
      <c r="AK418" s="321">
        <f>IF(AK340="No",0,3.14*Offsite_Area_Bldg_Factor*IF(Offsite_PD1="",Offsite_PD/1000000,Offsite_PD1)*AK339^2*(EXP(-Offsite_Bldg_a*Zone_1^2/AK339^2)-EXP(-Offsite_Bldg_a*Public^2/AK339^2))/(-Offsite_Bldg_a))</f>
        <v>0</v>
      </c>
      <c r="AL418" s="81"/>
      <c r="AM418" s="321">
        <f>IF(AM340="No",0,3.14*Offsite_Area_Bldg_Factor*IF(Offsite_PD1="",Offsite_PD/1000000,Offsite_PD1)*AM339^2*(EXP(-Offsite_Bldg_a*Zone_1^2/AM339^2)-EXP(-Offsite_Bldg_a*Public^2/AM339^2))/(-Offsite_Bldg_a))</f>
        <v>0</v>
      </c>
      <c r="AN418" s="81"/>
      <c r="AO418" s="321">
        <f>IF(AO340="No",0,3.14*Offsite_Area_Bldg_Factor*IF(Offsite_PD1="",Offsite_PD/1000000,Offsite_PD1)*AO339^2*(EXP(-Offsite_Bldg_a*Zone_1^2/AO339^2)-EXP(-Offsite_Bldg_a*Public^2/AO339^2))/(-Offsite_Bldg_a))</f>
        <v>0</v>
      </c>
      <c r="AP418" s="81"/>
      <c r="AQ418" s="23"/>
      <c r="AR418" s="81"/>
      <c r="AS418" s="83"/>
      <c r="AT418" s="3229" t="s">
        <v>2689</v>
      </c>
      <c r="AU418" s="65"/>
      <c r="AV418" s="65"/>
      <c r="AW418" s="71"/>
      <c r="AX418" s="3226">
        <f>D45</f>
        <v>0</v>
      </c>
      <c r="AZ418" s="3227">
        <f t="shared" si="65"/>
        <v>0</v>
      </c>
      <c r="BA418" s="3227"/>
      <c r="BB418" s="3227">
        <f t="shared" si="66"/>
        <v>0</v>
      </c>
      <c r="BC418" s="3227"/>
      <c r="BD418" s="3228" t="str">
        <f t="shared" si="67"/>
        <v>NA</v>
      </c>
      <c r="BF418" s="228"/>
      <c r="BG418" s="19"/>
      <c r="BH418" s="74"/>
      <c r="BI418" s="83"/>
      <c r="BJ418" s="83"/>
      <c r="BK418" s="83"/>
      <c r="BL418" s="83"/>
      <c r="BM418" s="83"/>
      <c r="BN418" s="83"/>
      <c r="BO418" s="83"/>
      <c r="BP418" s="83"/>
      <c r="BQ418" s="83"/>
      <c r="BR418" s="81"/>
      <c r="BS418" s="23" t="s">
        <v>2008</v>
      </c>
      <c r="BT418" s="81"/>
      <c r="BU418" s="1182">
        <f>IF(BU317&lt;&gt;"Yes",0,EXP(-Bldg_Type_Coefficient*(Bldg_Type_Correction/BU313)^Bldg_Type_Exponent))</f>
        <v>0</v>
      </c>
      <c r="BV418" s="81"/>
      <c r="BW418" s="4239"/>
      <c r="BX418" s="81"/>
      <c r="BY418" s="1182">
        <f>IF(BY317&lt;&gt;"Yes",0,EXP(-Bldg_Type_Coefficient*(Bldg_Type_Correction/BY313)^Bldg_Type_Exponent))</f>
        <v>0</v>
      </c>
      <c r="BZ418" s="81"/>
      <c r="CA418" s="1182">
        <f>IF(CA317&lt;&gt;"Yes",0,EXP(-Bldg_Type_Coefficient*(Bldg_Type_Correction/CA313)^Bldg_Type_Exponent))</f>
        <v>0</v>
      </c>
      <c r="CB418" s="81"/>
      <c r="CC418" s="4239"/>
      <c r="CD418" s="81"/>
      <c r="CE418" s="107"/>
      <c r="CF418" s="81"/>
    </row>
    <row r="419" spans="1:88" ht="15" customHeight="1" x14ac:dyDescent="0.25">
      <c r="A419" s="2"/>
      <c r="B419" s="267" t="s">
        <v>2224</v>
      </c>
      <c r="C419" s="83"/>
      <c r="D419" s="2344">
        <f t="array" ref="D419:D426">IF(P&lt;=0.001,0,estimateOfMulticomponentDistillationOPT(Number_Trials, Trial_Gain,Max_Duration, T, Molar_HtVap, MW_Pad, Inert_FeedRate, Alpha_1, Alpha_2, Alpha_3, Alpha_4, Alpha_5, Feed_1, Feed_2, Feed_3, Feed_4, Feed_5, Rel_1, Rel_2, Rel_3, Rel_4, Rel_5, Mw_1, Mw_2, Mw_3, Mw_4, Mw_5, Sep_1, Sep_2, Sep_3, Sep_4, Sep_5, VP_A, VP_B, VP_C, Molar_Cs, TBp, P, Volume, Mw_Feed, Max_ContainedMass))</f>
        <v>0</v>
      </c>
      <c r="E419" s="83"/>
      <c r="F419" s="2344">
        <f t="array" ref="F419:F426">IF(P&lt;=0.001,0,estimateOfMulticomponentDistillationOPT(Number_Trials, Trial_Gain,Max_Duration, T, Molar_HtVap, MW_Pad, Inert_FeedRate, Alpha_1, Alpha_2, Alpha_3, Alpha_4, Alpha_5, Feed_1, Feed_2, Feed_3, Feed_4, Feed_5, Rel_1, Rel_2, Rel_3, Rel_4, Rel_5, Mw_1, Mw_2, Mw_3, Mw_4, Mw_5, Sep_1, Sep_2, Sep_3, Sep_4, Sep_5, VP_A, VP_B, VP_C, Molar_Cs, TBp, P, Volume, Mw_Feed, Max_ContainedMass))</f>
        <v>0</v>
      </c>
      <c r="G419" s="83"/>
      <c r="H419" s="2344">
        <f t="array" ref="H419:H426">IF(Failure_Gasket*MAWP&lt;=0.001,0,estimateOfMulticomponentDistillationOPT(Number_Trials, Trial_Gain,Max_Duration, T, Molar_HtVap, MW_Pad, Inert_FeedRate, Alpha_1, Alpha_2, Alpha_3, Alpha_4, Alpha_5, Feed_1, Feed_2, Feed_3, Feed_4, Feed_5, Rel_1, Rel_2, Rel_3, Rel_4, Rel_5, Mw_1, Mw_2, Mw_3, Mw_4, Mw_5, Sep_1, Sep_2, Sep_3, Sep_4, Sep_5, VP_A, VP_B, VP_C, Molar_Cs, TBp, P, Volume, Mw_Feed, Max_ContainedMass))</f>
        <v>0</v>
      </c>
      <c r="I419" s="83"/>
      <c r="J419" s="2344">
        <f t="array" ref="J419:J426">IF(P&lt;=0.001,0,estimateOfMulticomponentDistillationOPT(Number_Trials, Trial_Gain,Max_Duration, T, Molar_HtVap, MW_Pad, Inert_FeedRate, Alpha_1, Alpha_2, Alpha_3, Alpha_4, Alpha_5, Feed_1, Feed_2, Feed_3, Feed_4, Feed_5, Rel_1, Rel_2, Rel_3, Rel_4, Rel_5, Mw_1, Mw_2, Mw_3, Mw_4, Mw_5, Sep_1, Sep_2, Sep_3, Sep_4, Sep_5, VP_A, VP_B, VP_C, Molar_Cs, TBp, P, Volume, Mw_Feed, Max_ContainedMass))</f>
        <v>0</v>
      </c>
      <c r="K419" s="83"/>
      <c r="L419" s="2344">
        <f t="array" ref="L419:L426">IF(P&lt;=0.001,0,estimateOfMulticomponentDistillationOPT(Number_Trials, Trial_Gain,Max_Duration, T, Molar_HtVap, MW_Pad, Inert_FeedRate, Alpha_1, Alpha_2, Alpha_3, Alpha_4, Alpha_5, Feed_1, Feed_2, Feed_3, Feed_4, Feed_5, Rel_1, Rel_2, Rel_3, Rel_4, Rel_5, Mw_1, Mw_2, Mw_3, Mw_4, Mw_5, Sep_1, Sep_2, Sep_3, Sep_4, Sep_5, VP_A, VP_B, VP_C, Molar_Cs, TBp, P, Volume, Mw_Feed, Max_ContainedMass))</f>
        <v>0</v>
      </c>
      <c r="M419" s="83"/>
      <c r="N419" s="2344">
        <f t="array" ref="N419:N426">IF(P&lt;=0.001,0,estimateOfMulticomponentDistillationOPT(Number_Trials, Trial_Gain,Max_Duration, T, Molar_HtVap, MW_Pad, Inert_FeedRate, Alpha_1, Alpha_2, Alpha_3, Alpha_4, Alpha_5, Feed_1, Feed_2, Feed_3, Feed_4, Feed_5, Rel_1, Rel_2, Rel_3, Rel_4, Rel_5, Mw_1, Mw_2, Mw_3, Mw_4, Mw_5, Sep_1, Sep_2, Sep_3, Sep_4, Sep_5, VP_A, VP_B, VP_C, Molar_Cs, TBp, P, Volume, Mw_Feed, Max_ContainedMass))</f>
        <v>0</v>
      </c>
      <c r="O419" s="83"/>
      <c r="P419" s="2344">
        <f t="array" ref="P419:P426">IF(P&lt;=0.001,0,estimateOfMulticomponentDistillationOPT(Number_Trials, Trial_Gain,Max_Duration, T, Molar_HtVap, MW_Pad, Inert_FeedRate, Alpha_1, Alpha_2, Alpha_3, Alpha_4, Alpha_5, Feed_1, Feed_2, Feed_3, Feed_4, Feed_5, Rel_1, Rel_2, Rel_3, Rel_4, Rel_5, Mw_1, Mw_2, Mw_3, Mw_4, Mw_5, Sep_1, Sep_2, Sep_3, Sep_4, Sep_5, VP_A, VP_B, VP_C, Molar_Cs, TBp, P, Volume, Mw_Feed, Max_ContainedMass))</f>
        <v>0</v>
      </c>
      <c r="Q419" s="83"/>
      <c r="R419" s="2344">
        <f t="array" ref="R419:R426">IF(P&lt;=0.001,0,estimateOfMulticomponentDistillationOPT(Number_Trials, Trial_Gain,Max_Duration, T, Molar_HtVap, MW_Pad, Inert_FeedRate, Alpha_1, Alpha_2, Alpha_3, Alpha_4, Alpha_5, Feed_1, Feed_2, Feed_3, Feed_4, Feed_5, Rel_1, Rel_2, Rel_3, Rel_4, Rel_5, Mw_1, Mw_2, Mw_3, Mw_4, Mw_5, Sep_1, Sep_2, Sep_3, Sep_4, Sep_5, VP_A, VP_B, VP_C, Molar_Cs, TBp, P, Volume, Mw_Feed, Max_ContainedMass))</f>
        <v>0</v>
      </c>
      <c r="S419" s="83"/>
      <c r="T419" s="2344">
        <f t="array" ref="T419:T426">IF(P&lt;=0.001,0,estimateOfMulticomponentDistillationOPT(Number_Trials, Trial_Gain,Max_Duration, T, Molar_HtVap, MW_Pad, Inert_FeedRate, Alpha_1, Alpha_2, Alpha_3, Alpha_4, Alpha_5, Feed_1, Feed_2, Feed_3, Feed_4, Feed_5, Rel_1, Rel_2, Rel_3, Rel_4, Rel_5, Mw_1, Mw_2, Mw_3, Mw_4, Mw_5, Sep_1, Sep_2, Sep_3, Sep_4, Sep_5, VP_A, VP_B, VP_C, Molar_Cs, TBp, P, Volume, Mw_Feed, Max_ContainedMass))</f>
        <v>0</v>
      </c>
      <c r="U419" s="83"/>
      <c r="V419" s="2344">
        <f t="array" ref="V419:V426">IF(P&lt;=0.001,0,estimateOfMulticomponentDistillationOPT(Number_Trials, Trial_Gain,Max_Duration, T, Molar_HtVap, MW_Pad, Inert_FeedRate, Alpha_1, Alpha_2, Alpha_3, Alpha_4, Alpha_5, Feed_1, Feed_2, Feed_3, Feed_4, Feed_5, Rel_1, Rel_2, Rel_3, Rel_4, Rel_5, Mw_1, Mw_2, Mw_3, Mw_4, Mw_5, Sep_1, Sep_2, Sep_3, Sep_4, Sep_5, VP_A, VP_B, VP_C, Molar_Cs, TBp, P, Volume, Mw_Feed, Max_ContainedMass))</f>
        <v>0</v>
      </c>
      <c r="W419" s="83"/>
      <c r="X419" s="2344">
        <f t="array" ref="X419:X426">IF(P&lt;=0.001,0,estimateOfMulticomponentDistillationOPT(Number_Trials, Trial_Gain,Max_Duration, T, Molar_HtVap, MW_Pad, Inert_FeedRate, Alpha_1, Alpha_2, Alpha_3, Alpha_4, Alpha_5, Feed_1, Feed_2, Feed_3, Feed_4, Feed_5, Rel_1, Rel_2, Rel_3, Rel_4, Rel_5, Mw_1, Mw_2, Mw_3, Mw_4, Mw_5, Sep_1, Sep_2, Sep_3, Sep_4, Sep_5, VP_A, VP_B, VP_C, Molar_Cs, TBp, P, Volume, Mw_Feed, Max_ContainedMass))</f>
        <v>0</v>
      </c>
      <c r="Y419" s="83"/>
      <c r="Z419" s="85"/>
      <c r="AA419" s="83"/>
      <c r="AB419" s="81"/>
      <c r="AC419" s="851" t="s">
        <v>5216</v>
      </c>
      <c r="AD419" s="81"/>
      <c r="AE419" s="1820">
        <f>IF(AE340="No",0,3.14*Offsite_Area_Bldg_Factor*IF(Offsite_PD2="",Offsite_PD/1000000,Offsite_PD2)*AE339^2*(0-EXP(-Offsite_Bldg_a*Zone_1^2/AE339^2))/(-Offsite_Bldg_a))</f>
        <v>0</v>
      </c>
      <c r="AF419" s="81"/>
      <c r="AG419" s="1820">
        <f>IF(AG340="No",0,3.14*Offsite_Area_Bldg_Factor*IF(Offsite_PD2="",Offsite_PD/1000000,Offsite_PD2)*AG339^2*(0-EXP(-Offsite_Bldg_a*Zone_1^2/AG339^2))/(-Offsite_Bldg_a))</f>
        <v>0</v>
      </c>
      <c r="AH419" s="81"/>
      <c r="AI419" s="1820">
        <f>IF(AI340="No",0,3.14*Offsite_Area_Bldg_Factor*IF(Offsite_PD2="",Offsite_PD/1000000,Offsite_PD2)*AI339^2*(0-EXP(-Offsite_Bldg_a*Zone_1^2/AI339^2))/(-Offsite_Bldg_a))</f>
        <v>0</v>
      </c>
      <c r="AJ419" s="81"/>
      <c r="AK419" s="1820">
        <f>IF(AK340="No",0,3.14*Offsite_Area_Bldg_Factor*IF(Offsite_PD2="",Offsite_PD/1000000,Offsite_PD2)*AK339^2*(0-EXP(-Offsite_Bldg_a*Zone_1^2/AK339^2))/(-Offsite_Bldg_a))</f>
        <v>0</v>
      </c>
      <c r="AL419" s="81"/>
      <c r="AM419" s="1820">
        <f>IF(AM340="No",0,3.14*Offsite_Area_Bldg_Factor*IF(Offsite_PD2="",Offsite_PD/1000000,Offsite_PD2)*AM339^2*(0-EXP(-Offsite_Bldg_a*Zone_1^2/AM339^2))/(-Offsite_Bldg_a))</f>
        <v>0</v>
      </c>
      <c r="AN419" s="81"/>
      <c r="AO419" s="1820">
        <f>IF(AO340="No",0,3.14*Offsite_Area_Bldg_Factor*IF(Offsite_PD2="",Offsite_PD/1000000,Offsite_PD2)*AO339^2*(0-EXP(-Offsite_Bldg_a*Zone_1^2/AO339^2))/(-Offsite_Bldg_a))</f>
        <v>0</v>
      </c>
      <c r="AP419" s="81"/>
      <c r="AQ419" s="23"/>
      <c r="AR419" s="81"/>
      <c r="AS419" s="83"/>
      <c r="AT419" s="1412" t="s">
        <v>5211</v>
      </c>
      <c r="AU419" s="65"/>
      <c r="AV419" s="65"/>
      <c r="AW419" s="71"/>
      <c r="AX419" s="3226">
        <f>F45</f>
        <v>0</v>
      </c>
      <c r="AZ419" s="3227">
        <f t="shared" ref="AZ419" si="68">IF(Soil_Remediation="Yes",IF(NFPA_H_Feed=4,IF(AX419&gt;SoilLimit_ExtremeHigh_Environ,Conseq_ExtremeHigh_Environ,IF(AX419&gt;SoilLimit_VeryHigh_Environ,Conseq_VeryHigh_Environ,IF(AX419&gt;SoilLimit_High_Environ,Conseq_High_Environ,IF(AX419&gt;SoilLimit_Moderate_Environ,Conseq_Moderate_Environ,IF(AX419&gt;SoilLimit_Low_Environ,Conseq_Low_Environ,0))))),IF(NFPA_H_Feed=3,IF(AX419&gt;SoilLimit_ExtremeHigh_Environ,Conseq_VeryHigh_Environ,IF(AX419&gt;SoilLimit_VeryHigh_Environ,Conseq_High_Environ,IF(AX419&gt;SoilLimit_High_Environ,Conseq_Moderate_Environ,IF(AX419&gt;SoilLimit_Moderate_Environ,Conseq_Low_Environ,IF(AX419&gt;SoilLimit_Low_Environ,Conseq_VeryLow_Environ,0))))),IF(NFPA_H_Feed=2,IF(AX419&gt;SoilLimit_ExtremeHigh_Environ,Conseq_High_Environ,IF(AX419&gt;SoilLimit_VeryHigh_Environ,Conseq_Moderate_Environ,IF(AX419&gt;SoilLimit_High_Environ,Conseq_Low_Environ,IF(AX419&gt;SoilLimit_Moderate_Environ,Conseq_VeryLow_Environ,0)))),0))),0)</f>
        <v>0</v>
      </c>
      <c r="BA419" s="3227"/>
      <c r="BB419" s="3227">
        <f t="shared" ref="BB419" si="69">IF(Waterway="Yes",IF(Aquatic_Tox_Feed="Very Toxic",IF(AX419&gt;WaterLimit_ExtremeHigh_Environ,Conseq_ExtremeHigh_Environ,IF(AX419&gt;WaterLimit_VeryHigh_Environ,IF(Downstream_Population="Yes",Conseq_ExtremeHigh_Environ,Conseq_VeryHigh_Environ),IF(AX419&gt;WaterLimit_High_Environ,IF(Downstream_Population="Yes",Conseq_VeryHigh_Environ,Conseq_High_Environ),IF(AX419&gt;WaterLimit_Moderate_Environ,IF(Downstream_Population="Yes",Conseq_High_Environ,Conseq_Moderate_Environ),IF(AX419&gt;WaterLimit_Low_Environ,IF(Downstream_Population="Yes",Conseq_Moderate_Environ,Conseq_Low_Environ),0))))),IF(Aquatic_Tox_Feed="Toxic",IF(AX419&gt;WaterLimit_ExtremeHigh_Environ,IF(Downstream_Population="Yes",Conseq_ExtremeHigh_Environ,Conseq_VeryHigh_Environ),IF(AX419&gt;WaterLimit_VeryHigh_Environ,IF(Downstream_Population="Yes",Conseq_VeryHigh_Environ,Conseq_High_Environ),IF(AX419&gt;WaterLimit_High_Environ,IF(Downstream_Population="Yes",Conseq_High_Environ,Conseq_Moderate_Environ),IF(AX419&gt;WaterLimit_Moderate_Environ,IF(Downstream_Population="Yes",Conseq_Moderate_Environ,Conseq_Low_Environ),IF(AX419&gt;WaterLimit_Low_Environ,IF(Downstream_Population="Yes",Conseq_Low_Environ,Conseq_VeryLow_Environ),0))))),IF(Aquatic_Tox_Feed="Harmful",IF(AX419&gt;WaterLimit_ExtremeHigh_Environ,IF(Downstream_Population="Yes",Conseq_VeryHigh_Environ,Conseq_High_Environ),IF(AX419&gt;WaterLimit_VeryHigh_Environ,IF(Downstream_Population="Yes",Conseq_High_Environ,Conseq_Moderate_Environ),IF(AX419&gt;WaterLimit_High_Environ,IF(Downstream_Population="Yes",Conseq_Moderate_Environ,Conseq_Low_Environ),IF(AX419&gt;WaterLimit_Moderate_Environ,IF(Downstream_Population="Yes",Conseq_Low_Environ,Conseq_VeryLow_Environ),0)))),0))),0)</f>
        <v>0</v>
      </c>
      <c r="BC419" s="3227"/>
      <c r="BD419" s="3228" t="str">
        <f t="shared" ref="BD419" si="70">IF(AND(AZ419=0,BB419=0),"NA",IF(AZ419&gt;BB419,AZ419,BB419))</f>
        <v>NA</v>
      </c>
      <c r="BF419" s="228"/>
      <c r="BG419" s="19"/>
      <c r="BH419" s="74"/>
      <c r="BI419" s="83"/>
      <c r="BJ419" s="83"/>
      <c r="BK419" s="83"/>
      <c r="BL419" s="83"/>
      <c r="BM419" s="83"/>
      <c r="BN419" s="83"/>
      <c r="BO419" s="83"/>
      <c r="BP419" s="83"/>
      <c r="BQ419" s="83"/>
      <c r="BR419" s="81"/>
      <c r="BS419" s="23" t="s">
        <v>2009</v>
      </c>
      <c r="BT419" s="81"/>
      <c r="BU419" s="1820">
        <f>BU418*Occupants_atRisk</f>
        <v>0</v>
      </c>
      <c r="BV419" s="81"/>
      <c r="BW419" s="4239"/>
      <c r="BX419" s="81"/>
      <c r="BY419" s="1820">
        <f>BY418*Occupants_atRisk</f>
        <v>0</v>
      </c>
      <c r="BZ419" s="81"/>
      <c r="CA419" s="1820">
        <f>CA418*Occupants_atRisk</f>
        <v>0</v>
      </c>
      <c r="CB419" s="81"/>
      <c r="CC419" s="4239"/>
      <c r="CD419" s="81"/>
      <c r="CE419" s="23"/>
      <c r="CF419" s="81"/>
    </row>
    <row r="420" spans="1:88" ht="15" customHeight="1" thickBot="1" x14ac:dyDescent="0.3">
      <c r="A420" s="2"/>
      <c r="B420" s="267" t="s">
        <v>2223</v>
      </c>
      <c r="C420" s="83"/>
      <c r="D420" s="2345">
        <v>0</v>
      </c>
      <c r="E420" s="83"/>
      <c r="F420" s="2345">
        <v>0</v>
      </c>
      <c r="G420" s="83"/>
      <c r="H420" s="2345">
        <v>0</v>
      </c>
      <c r="I420" s="83"/>
      <c r="J420" s="2345">
        <v>0</v>
      </c>
      <c r="K420" s="83"/>
      <c r="L420" s="2345">
        <v>0</v>
      </c>
      <c r="M420" s="83"/>
      <c r="N420" s="2345">
        <v>0</v>
      </c>
      <c r="O420" s="83"/>
      <c r="P420" s="2345">
        <v>0</v>
      </c>
      <c r="Q420" s="83"/>
      <c r="R420" s="2345">
        <v>0</v>
      </c>
      <c r="S420" s="83"/>
      <c r="T420" s="2345">
        <v>0</v>
      </c>
      <c r="U420" s="83"/>
      <c r="V420" s="2345">
        <v>0</v>
      </c>
      <c r="W420" s="83"/>
      <c r="X420" s="2345">
        <v>0</v>
      </c>
      <c r="Y420" s="83"/>
      <c r="Z420" s="85" t="s">
        <v>1836</v>
      </c>
      <c r="AA420" s="83"/>
      <c r="AB420" s="81"/>
      <c r="AC420" s="846" t="s">
        <v>5217</v>
      </c>
      <c r="AD420" s="81"/>
      <c r="AE420" s="3169">
        <f>AE418+AE419</f>
        <v>0</v>
      </c>
      <c r="AF420" s="81"/>
      <c r="AG420" s="3169">
        <f>AG418+AG419</f>
        <v>0</v>
      </c>
      <c r="AH420" s="81"/>
      <c r="AI420" s="3169">
        <f>AI418+AI419</f>
        <v>0</v>
      </c>
      <c r="AJ420" s="81"/>
      <c r="AK420" s="3169">
        <f>AK418+AK419</f>
        <v>0</v>
      </c>
      <c r="AL420" s="81"/>
      <c r="AM420" s="3169">
        <f>AM418+AM419</f>
        <v>0</v>
      </c>
      <c r="AN420" s="81"/>
      <c r="AO420" s="3169">
        <f>AO418+AO419</f>
        <v>0</v>
      </c>
      <c r="AP420" s="81"/>
      <c r="AQ420" s="23"/>
      <c r="AR420" s="81"/>
      <c r="AS420" s="83"/>
      <c r="AT420" s="1412" t="str">
        <f>" Gasket at "&amp;Failure_Gasket&amp;" MAWP"</f>
        <v xml:space="preserve"> Gasket at 1.3 MAWP</v>
      </c>
      <c r="AU420" s="65"/>
      <c r="AV420" s="65"/>
      <c r="AW420" s="71"/>
      <c r="AX420" s="3226">
        <f>H45</f>
        <v>0</v>
      </c>
      <c r="AZ420" s="3227">
        <f t="shared" si="65"/>
        <v>0</v>
      </c>
      <c r="BA420" s="3227"/>
      <c r="BB420" s="3227">
        <f t="shared" si="66"/>
        <v>0</v>
      </c>
      <c r="BC420" s="3227"/>
      <c r="BD420" s="3228" t="str">
        <f t="shared" si="67"/>
        <v>NA</v>
      </c>
      <c r="BF420" s="228"/>
      <c r="BG420" s="19"/>
      <c r="BH420" s="74"/>
      <c r="BI420" s="83"/>
      <c r="BJ420" s="83"/>
      <c r="BK420" s="83"/>
      <c r="BL420" s="83"/>
      <c r="BM420" s="83"/>
      <c r="BN420" s="83"/>
      <c r="BO420" s="83"/>
      <c r="BP420" s="1024"/>
      <c r="BQ420" s="83"/>
      <c r="BR420" s="81"/>
      <c r="BS420" s="23" t="s">
        <v>630</v>
      </c>
      <c r="BT420" s="81"/>
      <c r="BU420" s="3014">
        <f>IF(OR(Occ_Bldg2=0,BU317&lt;&gt;"Yes"),0,EXP(-Bldg2_Type_Coefficient*(Bldg2_Type_Correction/BU315)^Bldg2_Type_Exponent))</f>
        <v>0</v>
      </c>
      <c r="BV420" s="81"/>
      <c r="BW420" s="4239"/>
      <c r="BX420" s="81"/>
      <c r="BY420" s="3014">
        <f>IF(OR(Occ_Bldg2=0,BY317&lt;&gt;"Yes"),0,EXP(-Bldg2_Type_Coefficient*(Bldg2_Type_Correction/BY315)^Bldg2_Type_Exponent))</f>
        <v>0</v>
      </c>
      <c r="BZ420" s="81"/>
      <c r="CA420" s="3014">
        <f>IF(OR(Occ_Bldg2=0,CA317&lt;&gt;"Yes"),0,EXP(-Bldg2_Type_Coefficient*(Bldg2_Type_Correction/CA315)^Bldg2_Type_Exponent))</f>
        <v>0</v>
      </c>
      <c r="CB420" s="81"/>
      <c r="CC420" s="4239"/>
      <c r="CD420" s="81"/>
      <c r="CE420" s="23"/>
      <c r="CF420" s="81"/>
    </row>
    <row r="421" spans="1:88" ht="15" customHeight="1" x14ac:dyDescent="0.25">
      <c r="A421" s="2"/>
      <c r="B421" s="1350" t="str">
        <f>IF(B17="","","Mol Vapor / Mol Initial Liiquid "&amp;B17)</f>
        <v/>
      </c>
      <c r="C421" s="83"/>
      <c r="D421" s="2346">
        <v>0</v>
      </c>
      <c r="E421" s="83"/>
      <c r="F421" s="2346">
        <v>0</v>
      </c>
      <c r="G421" s="83"/>
      <c r="H421" s="2346">
        <v>0</v>
      </c>
      <c r="I421" s="83"/>
      <c r="J421" s="2346">
        <v>0</v>
      </c>
      <c r="K421" s="83"/>
      <c r="L421" s="2346">
        <v>0</v>
      </c>
      <c r="M421" s="83"/>
      <c r="N421" s="2346">
        <v>0</v>
      </c>
      <c r="O421" s="83"/>
      <c r="P421" s="2346">
        <v>0</v>
      </c>
      <c r="Q421" s="83"/>
      <c r="R421" s="2346">
        <v>0</v>
      </c>
      <c r="S421" s="83"/>
      <c r="T421" s="2346">
        <v>0</v>
      </c>
      <c r="U421" s="83"/>
      <c r="V421" s="2346">
        <v>0</v>
      </c>
      <c r="W421" s="83"/>
      <c r="X421" s="2346">
        <v>0</v>
      </c>
      <c r="Y421" s="83"/>
      <c r="Z421" s="85"/>
      <c r="AA421" s="83"/>
      <c r="AB421" s="81"/>
      <c r="AC421" s="23" t="s">
        <v>1979</v>
      </c>
      <c r="AD421" s="81"/>
      <c r="AE421" s="1182">
        <f>AE400+AE420+IF(Occ_Bldg2_Direction="Yes",AE415+AE417,IF(AE415&gt;AE417,AE415,AE417))</f>
        <v>0</v>
      </c>
      <c r="AF421" s="81"/>
      <c r="AG421" s="1182">
        <f>AG400+AG420+IF(Occ_Bldg2_Direction="Yes",AG415+AG417,IF(AG415&gt;AG417,AG415,AG417))</f>
        <v>0</v>
      </c>
      <c r="AH421" s="81"/>
      <c r="AI421" s="1182">
        <f>AI400+AI420+IF(Occ_Bldg2_Direction="Yes",AI415+AI417,IF(AI415&gt;AI417,AI415,AI417))</f>
        <v>0</v>
      </c>
      <c r="AJ421" s="81"/>
      <c r="AK421" s="1182">
        <f>AK400+AK420+IF(Occ_Bldg2_Direction="Yes",AK415+AK417,IF(AK415&gt;AK417,AK415,AK417))</f>
        <v>0</v>
      </c>
      <c r="AL421" s="81"/>
      <c r="AM421" s="1182">
        <f>AM400+AM420+IF(Occ_Bldg2_Direction="Yes",AM415+AM417,IF(AM415&gt;AM417,AM415,AM417))</f>
        <v>0</v>
      </c>
      <c r="AN421" s="81"/>
      <c r="AO421" s="1182">
        <f>AO400+AO420+IF(Occ_Bldg2_Direction="Yes",AO415+AO417,IF(AO415&gt;AO417,AO415,AO417))</f>
        <v>0</v>
      </c>
      <c r="AP421" s="81"/>
      <c r="AQ421" s="91"/>
      <c r="AR421" s="81"/>
      <c r="AS421" s="83"/>
      <c r="AT421" s="1412" t="s">
        <v>2690</v>
      </c>
      <c r="AU421" s="65"/>
      <c r="AV421" s="65"/>
      <c r="AW421" s="71"/>
      <c r="AX421" s="3226">
        <f>J45</f>
        <v>0</v>
      </c>
      <c r="AZ421" s="3227">
        <f t="shared" si="65"/>
        <v>0</v>
      </c>
      <c r="BA421" s="3227"/>
      <c r="BB421" s="3227">
        <f t="shared" si="66"/>
        <v>0</v>
      </c>
      <c r="BC421" s="3227"/>
      <c r="BD421" s="3228" t="str">
        <f t="shared" si="67"/>
        <v>NA</v>
      </c>
      <c r="BF421" s="228"/>
      <c r="BG421" s="19"/>
      <c r="BH421" s="74"/>
      <c r="BI421" s="83"/>
      <c r="BJ421" s="83"/>
      <c r="BK421" s="83"/>
      <c r="BL421" s="83"/>
      <c r="BM421" s="83"/>
      <c r="BN421" s="83"/>
      <c r="BO421" s="83"/>
      <c r="BP421" s="83"/>
      <c r="BQ421" s="83"/>
      <c r="BR421" s="81"/>
      <c r="BS421" s="23" t="s">
        <v>629</v>
      </c>
      <c r="BT421" s="81"/>
      <c r="BU421" s="1820">
        <f>BU420*Occupants_atRisk2</f>
        <v>0</v>
      </c>
      <c r="BV421" s="81"/>
      <c r="BW421" s="4239"/>
      <c r="BX421" s="81"/>
      <c r="BY421" s="1820">
        <f>BY420*Occupants_atRisk2</f>
        <v>0</v>
      </c>
      <c r="BZ421" s="81"/>
      <c r="CA421" s="1820">
        <f>CA420*Occupants_atRisk2</f>
        <v>0</v>
      </c>
      <c r="CB421" s="81"/>
      <c r="CC421" s="4239"/>
      <c r="CD421" s="81"/>
      <c r="CE421" s="23"/>
      <c r="CF421" s="81"/>
    </row>
    <row r="422" spans="1:88" ht="15" customHeight="1" thickBot="1" x14ac:dyDescent="0.3">
      <c r="A422" s="2"/>
      <c r="B422" s="266" t="str">
        <f>IF(B18="","","Mol Vapor / Mol Initial Liiquid "&amp;B18)</f>
        <v/>
      </c>
      <c r="C422" s="83"/>
      <c r="D422" s="2346">
        <v>0</v>
      </c>
      <c r="E422" s="83"/>
      <c r="F422" s="2346">
        <v>0</v>
      </c>
      <c r="G422" s="83"/>
      <c r="H422" s="2346">
        <v>0</v>
      </c>
      <c r="I422" s="83"/>
      <c r="J422" s="2346">
        <v>0</v>
      </c>
      <c r="K422" s="83"/>
      <c r="L422" s="2346">
        <v>0</v>
      </c>
      <c r="M422" s="83"/>
      <c r="N422" s="2346">
        <v>0</v>
      </c>
      <c r="O422" s="83"/>
      <c r="P422" s="2346">
        <v>0</v>
      </c>
      <c r="Q422" s="83"/>
      <c r="R422" s="2346">
        <v>0</v>
      </c>
      <c r="S422" s="83"/>
      <c r="T422" s="2346">
        <v>0</v>
      </c>
      <c r="U422" s="83"/>
      <c r="V422" s="2346">
        <v>0</v>
      </c>
      <c r="W422" s="83"/>
      <c r="X422" s="2346">
        <v>0</v>
      </c>
      <c r="Y422" s="83"/>
      <c r="Z422" s="85"/>
      <c r="AA422" s="2"/>
      <c r="AB422" s="81"/>
      <c r="AC422" s="849" t="s">
        <v>4796</v>
      </c>
      <c r="AD422" s="81"/>
      <c r="AE422" s="3025" t="str">
        <f>IF(AE332&lt;&gt;"Yes","NA",IF(MAX(AE342/Bldg_Type_Correction,AE346/Bldg2_Type_Correction)&lt;HD_Low_Expl,Conseq_Low,IF(MAX(AE342/Bldg_Type_Correction,AE346/Bldg2_Type_Correction)&lt;HD_Moderate_Expl,Conseq_Moderate,IF(MAX(AE342/Bldg_Type_Correction,AE346/Bldg2_Type_Correction)&lt;HD_High_Expl,Conseq_High,IF(MAX(AE342/Bldg_Type_Correction,AE346/Bldg2_Type_Correction)&lt;HD_VeryHigh_Expl,Conseq_VeryHigh,Conseq_ExtremeHigh)))))</f>
        <v>NA</v>
      </c>
      <c r="AF422" s="81"/>
      <c r="AG422" s="3025" t="str">
        <f>IF(AG332&lt;&gt;"Yes","NA",IF(MAX(AG342/Bldg_Type_Correction,AG346/Bldg2_Type_Correction)&lt;HD_Low_Expl,Conseq_Low,IF(MAX(AG342/Bldg_Type_Correction,AG346/Bldg2_Type_Correction)&lt;HD_Moderate_Expl,Conseq_Moderate,IF(MAX(AG342/Bldg_Type_Correction,AG346/Bldg2_Type_Correction)&lt;HD_High_Expl,Conseq_High,IF(MAX(AG342/Bldg_Type_Correction,AG346/Bldg2_Type_Correction)&lt;HD_VeryHigh_Expl,Conseq_VeryHigh,Conseq_ExtremeHigh)))))</f>
        <v>NA</v>
      </c>
      <c r="AH422" s="81"/>
      <c r="AI422" s="3025" t="str">
        <f>IF(AI332&lt;&gt;"Yes","NA",IF(MAX(AI342/Bldg_Type_Correction,AI346/Bldg2_Type_Correction)&lt;HD_Low_Expl,Conseq_Low,IF(MAX(AI342/Bldg_Type_Correction,AI346/Bldg2_Type_Correction)&lt;HD_Moderate_Expl,Conseq_Moderate,IF(MAX(AI342/Bldg_Type_Correction,AI346/Bldg2_Type_Correction)&lt;HD_High_Expl,Conseq_High,IF(MAX(AI342/Bldg_Type_Correction,AI346/Bldg2_Type_Correction)&lt;HD_VeryHigh_Expl,Conseq_VeryHigh,Conseq_ExtremeHigh)))))</f>
        <v>NA</v>
      </c>
      <c r="AJ422" s="81"/>
      <c r="AK422" s="3025" t="str">
        <f>IF(AK332&lt;&gt;"Yes","NA",IF(MAX(AK342/Bldg_Type_Correction,AK346/Bldg2_Type_Correction)&lt;HD_Low_Expl,Conseq_Low,IF(MAX(AK342/Bldg_Type_Correction,AK346/Bldg2_Type_Correction)&lt;HD_Moderate_Expl,Conseq_Moderate,IF(MAX(AK342/Bldg_Type_Correction,AK346/Bldg2_Type_Correction)&lt;HD_High_Expl,Conseq_High,IF(MAX(AK342/Bldg_Type_Correction,AK346/Bldg2_Type_Correction)&lt;HD_VeryHigh_Expl,Conseq_VeryHigh,Conseq_ExtremeHigh)))))</f>
        <v>NA</v>
      </c>
      <c r="AL422" s="81"/>
      <c r="AM422" s="3025" t="str">
        <f>IF(AM332&lt;&gt;"Yes","NA",IF(MAX(AM342/Bldg_Type_Correction,AM346/Bldg2_Type_Correction)&lt;HD_Low_Expl,Conseq_Low,IF(MAX(AM342/Bldg_Type_Correction,AM346/Bldg2_Type_Correction)&lt;HD_Moderate_Expl,Conseq_Moderate,IF(MAX(AM342/Bldg_Type_Correction,AM346/Bldg2_Type_Correction)&lt;HD_High_Expl,Conseq_High,IF(MAX(AM342/Bldg_Type_Correction,AM346/Bldg2_Type_Correction)&lt;HD_VeryHigh_Expl,Conseq_VeryHigh,Conseq_ExtremeHigh)))))</f>
        <v>NA</v>
      </c>
      <c r="AN422" s="81"/>
      <c r="AO422" s="3025" t="str">
        <f>IF(AO332&lt;&gt;"Yes","NA",IF(MAX(AO342/Bldg_Type_Correction,AO346/Bldg2_Type_Correction)&lt;HD_Low_Expl,Conseq_Low,IF(MAX(AO342/Bldg_Type_Correction,AO346/Bldg2_Type_Correction)&lt;HD_Moderate_Expl,Conseq_Moderate,IF(MAX(AO342/Bldg_Type_Correction,AO346/Bldg2_Type_Correction)&lt;HD_High_Expl,Conseq_High,IF(MAX(AO342/Bldg_Type_Correction,AO346/Bldg2_Type_Correction)&lt;HD_VeryHigh_Expl,Conseq_VeryHigh,Conseq_ExtremeHigh)))))</f>
        <v>NA</v>
      </c>
      <c r="AP422" s="81"/>
      <c r="AQ422" s="91"/>
      <c r="AR422" s="81"/>
      <c r="AS422" s="83"/>
      <c r="AT422" s="1412" t="s">
        <v>29</v>
      </c>
      <c r="AU422" s="65"/>
      <c r="AV422" s="65"/>
      <c r="AW422" s="65"/>
      <c r="AX422" s="3226">
        <f>L45</f>
        <v>0</v>
      </c>
      <c r="AZ422" s="3227">
        <f t="shared" si="65"/>
        <v>0</v>
      </c>
      <c r="BA422" s="3227"/>
      <c r="BB422" s="3227">
        <f t="shared" si="66"/>
        <v>0</v>
      </c>
      <c r="BC422" s="3227"/>
      <c r="BD422" s="3228" t="str">
        <f t="shared" si="67"/>
        <v>NA</v>
      </c>
      <c r="BF422" s="228"/>
      <c r="BG422" s="19"/>
      <c r="BH422" s="75"/>
      <c r="BI422" s="83"/>
      <c r="BJ422" s="83"/>
      <c r="BK422" s="83"/>
      <c r="BL422" s="83"/>
      <c r="BM422" s="83"/>
      <c r="BN422" s="83"/>
      <c r="BO422" s="83"/>
      <c r="BP422" s="83"/>
      <c r="BQ422" s="83"/>
      <c r="BR422" s="81"/>
      <c r="BS422" s="851" t="s">
        <v>5215</v>
      </c>
      <c r="BT422" s="81"/>
      <c r="BU422" s="3169">
        <f>IF(BU312="No",0,3.14*Offsite_Area_Bldg_Factor*IF(Offsite_PD1="",Offsite_PD/1000000,Offsite_PD1)*BU311^2*(EXP(-Offsite_Bldg_a*Zone_1^2/BU311^2)-EXP(-Offsite_Bldg_a*Public^2/BU311^2))/(-Offsite_Bldg_a))</f>
        <v>0</v>
      </c>
      <c r="BV422" s="81"/>
      <c r="BW422" s="4239"/>
      <c r="BX422" s="81"/>
      <c r="BY422" s="3169">
        <f>IF(BY312="No",0,3.14*Offsite_Area_Bldg_Factor*IF(Offsite_PD1="",Offsite_PD/1000000,Offsite_PD1)*BY311^2*(EXP(-Offsite_Bldg_a*Zone_1^2/BY311^2)-EXP(-Offsite_Bldg_a*Public^2/BY311^2))/(-Offsite_Bldg_a))</f>
        <v>0</v>
      </c>
      <c r="BZ422" s="81"/>
      <c r="CA422" s="3169">
        <f>IF(CA312="No",0,3.14*Offsite_Area_Bldg_Factor*IF(Offsite_PD1="",Offsite_PD/1000000,Offsite_PD1)*CA311^2*(EXP(-Offsite_Bldg_a*Zone_1^2/CA311^2)-EXP(-Offsite_Bldg_a*Public^2/CA311^2))/(-Offsite_Bldg_a))</f>
        <v>0</v>
      </c>
      <c r="CB422" s="81"/>
      <c r="CC422" s="4239"/>
      <c r="CD422" s="81"/>
      <c r="CE422" s="23"/>
      <c r="CF422" s="81"/>
      <c r="CH422" s="228"/>
      <c r="CJ422" s="228"/>
    </row>
    <row r="423" spans="1:88" ht="15" customHeight="1" thickBot="1" x14ac:dyDescent="0.3">
      <c r="A423" s="2"/>
      <c r="B423" s="266" t="str">
        <f>IF(B19="","","Mol Vapor / Mol Initial Liiquid "&amp;B19)</f>
        <v/>
      </c>
      <c r="C423" s="83"/>
      <c r="D423" s="2346">
        <v>0</v>
      </c>
      <c r="E423" s="83"/>
      <c r="F423" s="2346">
        <v>0</v>
      </c>
      <c r="G423" s="83"/>
      <c r="H423" s="2346">
        <v>0</v>
      </c>
      <c r="I423" s="83"/>
      <c r="J423" s="2346">
        <v>0</v>
      </c>
      <c r="K423" s="83"/>
      <c r="L423" s="2346">
        <v>0</v>
      </c>
      <c r="M423" s="83"/>
      <c r="N423" s="2346">
        <v>0</v>
      </c>
      <c r="O423" s="83"/>
      <c r="P423" s="2346">
        <v>0</v>
      </c>
      <c r="Q423" s="83"/>
      <c r="R423" s="2346">
        <v>0</v>
      </c>
      <c r="S423" s="83"/>
      <c r="T423" s="2346">
        <v>0</v>
      </c>
      <c r="U423" s="83"/>
      <c r="V423" s="2346">
        <v>0</v>
      </c>
      <c r="W423" s="83"/>
      <c r="X423" s="2346">
        <v>0</v>
      </c>
      <c r="Y423" s="83"/>
      <c r="Z423" s="85"/>
      <c r="AA423" s="83"/>
      <c r="AB423" s="81"/>
      <c r="AC423" s="849" t="s">
        <v>4230</v>
      </c>
      <c r="AD423" s="81"/>
      <c r="AE423" s="3012" t="str">
        <f>IF(Conseq_Criteria="Hazard Distance",AE422,IF(OR(AE332&lt;&gt;"Yes",AE421&lt;N_Screening),"NA",IF(AE421&lt;N_VeryLow,Conseq_VeryLow,IF(AE421&lt;N_Low,Conseq_Low,IF(AE421&lt;N_Moderate,Conseq_Moderate,IF(AE421&lt;N_High,Conseq_High,IF(AE421&lt;N_VeryHigh,Conseq_VeryHigh,Conseq_ExtremeHigh)))))))</f>
        <v>NA</v>
      </c>
      <c r="AF423" s="81"/>
      <c r="AG423" s="3012" t="str">
        <f>IF(Conseq_Criteria="Hazard Distance",AG422,IF(OR(AG332&lt;&gt;"Yes",AG421&lt;N_Screening),"NA",IF(AG421&lt;N_VeryLow,Conseq_VeryLow,IF(AG421&lt;N_Low,Conseq_Low,IF(AG421&lt;N_Moderate,Conseq_Moderate,IF(AG421&lt;N_High,Conseq_High,IF(AG421&lt;N_VeryHigh,Conseq_VeryHigh,Conseq_ExtremeHigh)))))))</f>
        <v>NA</v>
      </c>
      <c r="AH423" s="81"/>
      <c r="AI423" s="3012" t="str">
        <f>IF(Conseq_Criteria="Hazard Distance",AI422,IF(OR(AI332&lt;&gt;"Yes",AI421&lt;N_Screening),"NA",IF(AI421&lt;N_VeryLow,Conseq_VeryLow,IF(AI421&lt;N_Low,Conseq_Low,IF(AI421&lt;N_Moderate,Conseq_Moderate,IF(AI421&lt;N_High,Conseq_High,IF(AI421&lt;N_VeryHigh,Conseq_VeryHigh,Conseq_ExtremeHigh)))))))</f>
        <v>NA</v>
      </c>
      <c r="AJ423" s="81"/>
      <c r="AK423" s="3012" t="str">
        <f>IF(Conseq_Criteria="Hazard Distance",AK422,IF(OR(AK332&lt;&gt;"Yes",AK421&lt;N_Screening),"NA",IF(AK421&lt;N_VeryLow,Conseq_VeryLow,IF(AK421&lt;N_Low,Conseq_Low,IF(AK421&lt;N_Moderate,Conseq_Moderate,IF(AK421&lt;N_High,Conseq_High,IF(AK421&lt;N_VeryHigh,Conseq_VeryHigh,Conseq_ExtremeHigh)))))))</f>
        <v>NA</v>
      </c>
      <c r="AL423" s="81"/>
      <c r="AM423" s="3012" t="str">
        <f>IF(Conseq_Criteria="Hazard Distance",AM422,IF(OR(AM332&lt;&gt;"Yes",AM421&lt;N_Screening),"NA",IF(AM421&lt;N_VeryLow,Conseq_VeryLow,IF(AM421&lt;N_Low,Conseq_Low,IF(AM421&lt;N_Moderate,Conseq_Moderate,IF(AM421&lt;N_High,Conseq_High,IF(AM421&lt;N_VeryHigh,Conseq_VeryHigh,Conseq_ExtremeHigh)))))))</f>
        <v>NA</v>
      </c>
      <c r="AN423" s="81"/>
      <c r="AO423" s="3012" t="str">
        <f>IF(Conseq_Criteria="Hazard Distance",AO422,IF(OR(AO332&lt;&gt;"Yes",AO421&lt;N_Screening),"NA",IF(AO421&lt;N_VeryLow,Conseq_VeryLow,IF(AO421&lt;N_Low,Conseq_Low,IF(AO421&lt;N_Moderate,Conseq_Moderate,IF(AO421&lt;N_High,Conseq_High,IF(AO421&lt;N_VeryHigh,Conseq_VeryHigh,Conseq_ExtremeHigh)))))))</f>
        <v>NA</v>
      </c>
      <c r="AP423" s="81"/>
      <c r="AQ423" s="89"/>
      <c r="AR423" s="81"/>
      <c r="AS423" s="83"/>
      <c r="AT423" s="1412" t="s">
        <v>3985</v>
      </c>
      <c r="AU423" s="65"/>
      <c r="AV423" s="65"/>
      <c r="AW423" s="65"/>
      <c r="AX423" s="3226">
        <f>R45</f>
        <v>0</v>
      </c>
      <c r="AZ423" s="3227">
        <f t="shared" si="65"/>
        <v>0</v>
      </c>
      <c r="BA423" s="3227"/>
      <c r="BB423" s="3227">
        <f t="shared" si="66"/>
        <v>0</v>
      </c>
      <c r="BC423" s="3227"/>
      <c r="BD423" s="3228" t="str">
        <f t="shared" si="67"/>
        <v>NA</v>
      </c>
      <c r="BF423" s="228"/>
      <c r="BG423" s="19"/>
      <c r="BH423" s="75"/>
      <c r="BI423" s="83"/>
      <c r="BJ423" s="83"/>
      <c r="BK423" s="83"/>
      <c r="BL423" s="83"/>
      <c r="BM423" s="83"/>
      <c r="BN423" s="83"/>
      <c r="BO423" s="83"/>
      <c r="BP423" s="1195"/>
      <c r="BQ423" s="83"/>
      <c r="BR423" s="81"/>
      <c r="BS423" s="851" t="s">
        <v>5216</v>
      </c>
      <c r="BT423" s="81"/>
      <c r="BU423" s="3169">
        <f>IF(BU312="No",0,3.14*Offsite_Area_Bldg_Factor*IF(Offsite_PD2="",Offsite_PD/1000000,Offsite_PD2)*BU311^2*(0-EXP(-Offsite_Bldg_a*Zone_1^2/BU311^2))/(-Offsite_Bldg_a))</f>
        <v>0</v>
      </c>
      <c r="BV423" s="81"/>
      <c r="BW423" s="4239"/>
      <c r="BX423" s="81"/>
      <c r="BY423" s="3169">
        <f>IF(BY312="No",0,3.14*Offsite_Area_Bldg_Factor*IF(Offsite_PD2="",Offsite_PD/1000000,Offsite_PD2)*BY311^2*(0-EXP(-Offsite_Bldg_a*Zone_1^2/BY311^2))/(-Offsite_Bldg_a))</f>
        <v>0</v>
      </c>
      <c r="BZ423" s="81"/>
      <c r="CA423" s="3169">
        <f>IF(CA312="No",0,3.14*Offsite_Area_Bldg_Factor*IF(Offsite_PD2="",Offsite_PD/1000000,Offsite_PD2)*CA311^2*(0-EXP(-Offsite_Bldg_a*Zone_1^2/CA311^2))/(-Offsite_Bldg_a))</f>
        <v>0</v>
      </c>
      <c r="CB423" s="81"/>
      <c r="CC423" s="4239"/>
      <c r="CD423" s="81"/>
      <c r="CE423" s="23"/>
      <c r="CF423" s="81"/>
      <c r="CH423" s="1229"/>
      <c r="CJ423" s="1229"/>
    </row>
    <row r="424" spans="1:88" ht="15" customHeight="1" x14ac:dyDescent="0.25">
      <c r="A424" s="2"/>
      <c r="B424" s="266" t="str">
        <f>IF(B20="","","Mol Vapor / Mol Initial Liiquid "&amp;B20)</f>
        <v/>
      </c>
      <c r="C424" s="83"/>
      <c r="D424" s="2346">
        <v>0</v>
      </c>
      <c r="E424" s="83"/>
      <c r="F424" s="2346">
        <v>0</v>
      </c>
      <c r="G424" s="83"/>
      <c r="H424" s="2346">
        <v>0</v>
      </c>
      <c r="I424" s="83"/>
      <c r="J424" s="2346">
        <v>0</v>
      </c>
      <c r="K424" s="83"/>
      <c r="L424" s="2346">
        <v>0</v>
      </c>
      <c r="M424" s="83"/>
      <c r="N424" s="2346">
        <v>0</v>
      </c>
      <c r="O424" s="83"/>
      <c r="P424" s="2346">
        <v>0</v>
      </c>
      <c r="Q424" s="83"/>
      <c r="R424" s="2346">
        <v>0</v>
      </c>
      <c r="S424" s="83"/>
      <c r="T424" s="2346">
        <v>0</v>
      </c>
      <c r="U424" s="83"/>
      <c r="V424" s="2346">
        <v>0</v>
      </c>
      <c r="W424" s="83"/>
      <c r="X424" s="2346">
        <v>0</v>
      </c>
      <c r="Y424" s="83"/>
      <c r="Z424" s="85"/>
      <c r="AA424" s="83"/>
      <c r="AB424" s="81"/>
      <c r="AC424" s="81"/>
      <c r="AD424" s="81"/>
      <c r="AE424" s="81"/>
      <c r="AF424" s="81"/>
      <c r="AG424" s="81"/>
      <c r="AH424" s="81"/>
      <c r="AI424" s="81"/>
      <c r="AJ424" s="81"/>
      <c r="AK424" s="81"/>
      <c r="AL424" s="81"/>
      <c r="AM424" s="81"/>
      <c r="AN424" s="81"/>
      <c r="AO424" s="81"/>
      <c r="AP424" s="81"/>
      <c r="AQ424" s="81"/>
      <c r="AR424" s="81"/>
      <c r="AS424" s="83"/>
      <c r="AT424" s="1412" t="s">
        <v>3983</v>
      </c>
      <c r="AU424" s="65"/>
      <c r="AV424" s="65"/>
      <c r="AW424" s="65"/>
      <c r="AX424" s="3226">
        <f>T45</f>
        <v>0</v>
      </c>
      <c r="AZ424" s="3227">
        <f t="shared" si="65"/>
        <v>0</v>
      </c>
      <c r="BA424" s="3227"/>
      <c r="BB424" s="3227">
        <f t="shared" si="66"/>
        <v>0</v>
      </c>
      <c r="BC424" s="3227"/>
      <c r="BD424" s="3228" t="str">
        <f t="shared" si="67"/>
        <v>NA</v>
      </c>
      <c r="BF424" s="228"/>
      <c r="BG424" s="19"/>
      <c r="BH424" s="74"/>
      <c r="BI424" s="83"/>
      <c r="BJ424" s="83"/>
      <c r="BK424" s="83"/>
      <c r="BL424" s="83"/>
      <c r="BM424" s="83"/>
      <c r="BN424" s="83"/>
      <c r="BO424" s="83"/>
      <c r="BP424" s="83"/>
      <c r="BQ424" s="83"/>
      <c r="BR424" s="81"/>
      <c r="BS424" s="846" t="s">
        <v>5217</v>
      </c>
      <c r="BT424" s="81"/>
      <c r="BU424" s="3169">
        <f>BU422+BU423</f>
        <v>0</v>
      </c>
      <c r="BV424" s="81"/>
      <c r="BW424" s="4239"/>
      <c r="BX424" s="81"/>
      <c r="BY424" s="3169">
        <f>BY422+BY423</f>
        <v>0</v>
      </c>
      <c r="BZ424" s="81"/>
      <c r="CA424" s="3169">
        <f>CA422+CA423</f>
        <v>0</v>
      </c>
      <c r="CB424" s="81"/>
      <c r="CC424" s="4239"/>
      <c r="CD424" s="81"/>
      <c r="CE424" s="23"/>
      <c r="CF424" s="81"/>
    </row>
    <row r="425" spans="1:88" ht="15" customHeight="1" thickBot="1" x14ac:dyDescent="0.3">
      <c r="A425" s="2"/>
      <c r="B425" s="3094" t="str">
        <f>IF(B21="","","Mol Vapor / Mol Initial Liiquid "&amp;B21)</f>
        <v/>
      </c>
      <c r="C425" s="83"/>
      <c r="D425" s="2346">
        <v>0</v>
      </c>
      <c r="E425" s="83"/>
      <c r="F425" s="2346">
        <v>0</v>
      </c>
      <c r="G425" s="83"/>
      <c r="H425" s="2346">
        <v>0</v>
      </c>
      <c r="I425" s="83"/>
      <c r="J425" s="2346">
        <v>0</v>
      </c>
      <c r="K425" s="83"/>
      <c r="L425" s="2346">
        <v>0</v>
      </c>
      <c r="M425" s="83"/>
      <c r="N425" s="2346">
        <v>0</v>
      </c>
      <c r="O425" s="83"/>
      <c r="P425" s="2346">
        <v>0</v>
      </c>
      <c r="Q425" s="83"/>
      <c r="R425" s="2346">
        <v>0</v>
      </c>
      <c r="S425" s="83"/>
      <c r="T425" s="2346">
        <v>0</v>
      </c>
      <c r="U425" s="83"/>
      <c r="V425" s="2346">
        <v>0</v>
      </c>
      <c r="W425" s="83"/>
      <c r="X425" s="2346">
        <v>0</v>
      </c>
      <c r="Y425" s="83"/>
      <c r="Z425" s="85"/>
      <c r="AA425" s="83"/>
      <c r="AB425" s="81"/>
      <c r="AC425" s="81"/>
      <c r="AD425" s="81"/>
      <c r="AE425" s="81"/>
      <c r="AF425" s="81"/>
      <c r="AG425" s="81"/>
      <c r="AH425" s="81"/>
      <c r="AI425" s="81"/>
      <c r="AJ425" s="81"/>
      <c r="AK425" s="81"/>
      <c r="AL425" s="81"/>
      <c r="AM425" s="81"/>
      <c r="AN425" s="81"/>
      <c r="AO425" s="81"/>
      <c r="AP425" s="81"/>
      <c r="AQ425" s="81"/>
      <c r="AR425" s="81"/>
      <c r="AS425" s="83"/>
      <c r="AT425" s="1412" t="s">
        <v>847</v>
      </c>
      <c r="AU425" s="65"/>
      <c r="AV425" s="65"/>
      <c r="AW425" s="65"/>
      <c r="AX425" s="3226">
        <f>N45</f>
        <v>0</v>
      </c>
      <c r="AZ425" s="3227">
        <f t="shared" si="65"/>
        <v>0</v>
      </c>
      <c r="BA425" s="3227"/>
      <c r="BB425" s="3227">
        <f t="shared" si="66"/>
        <v>0</v>
      </c>
      <c r="BC425" s="3227"/>
      <c r="BD425" s="3228" t="str">
        <f t="shared" si="67"/>
        <v>NA</v>
      </c>
      <c r="BF425" s="228"/>
      <c r="BG425" s="19"/>
      <c r="BH425" s="74"/>
      <c r="BI425" s="83"/>
      <c r="BJ425" s="83"/>
      <c r="BK425" s="83"/>
      <c r="BL425" s="83"/>
      <c r="BM425" s="83"/>
      <c r="BN425" s="83"/>
      <c r="BO425" s="83"/>
      <c r="BP425" s="83"/>
      <c r="BQ425" s="83"/>
      <c r="BR425" s="81"/>
      <c r="BS425" s="851" t="s">
        <v>2011</v>
      </c>
      <c r="BT425" s="81"/>
      <c r="BU425" s="3014">
        <f>BU419+BU414+BU421+BU424</f>
        <v>0</v>
      </c>
      <c r="BV425" s="81"/>
      <c r="BW425" s="4239"/>
      <c r="BX425" s="81"/>
      <c r="BY425" s="3014">
        <f>BY419+BY414+BY421+BY424</f>
        <v>0</v>
      </c>
      <c r="BZ425" s="81"/>
      <c r="CA425" s="3014">
        <f>CA419+CA414+CA421+CA424</f>
        <v>0</v>
      </c>
      <c r="CB425" s="81"/>
      <c r="CC425" s="4239"/>
      <c r="CD425" s="81"/>
      <c r="CE425" s="91"/>
      <c r="CF425" s="81"/>
    </row>
    <row r="426" spans="1:88" ht="15" customHeight="1" thickBot="1" x14ac:dyDescent="0.3">
      <c r="A426" s="2"/>
      <c r="B426" s="2407" t="s">
        <v>4630</v>
      </c>
      <c r="C426" s="83"/>
      <c r="D426" s="2411">
        <v>0</v>
      </c>
      <c r="E426" s="1690"/>
      <c r="F426" s="2411">
        <v>0</v>
      </c>
      <c r="G426" s="1690"/>
      <c r="H426" s="2411">
        <v>0</v>
      </c>
      <c r="I426" s="1690"/>
      <c r="J426" s="2411">
        <v>0</v>
      </c>
      <c r="K426" s="1690"/>
      <c r="L426" s="2411">
        <v>0</v>
      </c>
      <c r="M426" s="1690"/>
      <c r="N426" s="2411">
        <v>0</v>
      </c>
      <c r="O426" s="1690"/>
      <c r="P426" s="2411">
        <v>0</v>
      </c>
      <c r="Q426" s="1690"/>
      <c r="R426" s="2411">
        <v>0</v>
      </c>
      <c r="S426" s="1690"/>
      <c r="T426" s="2411">
        <v>0</v>
      </c>
      <c r="U426" s="1690"/>
      <c r="V426" s="2411">
        <v>0</v>
      </c>
      <c r="W426" s="1690"/>
      <c r="X426" s="2411">
        <v>0</v>
      </c>
      <c r="Y426" s="83"/>
      <c r="Z426" s="85"/>
      <c r="AA426" s="83"/>
      <c r="AB426" s="81"/>
      <c r="AC426" s="81"/>
      <c r="AD426" s="81"/>
      <c r="AE426" s="81"/>
      <c r="AF426" s="81"/>
      <c r="AG426" s="81"/>
      <c r="AH426" s="81"/>
      <c r="AI426" s="81"/>
      <c r="AJ426" s="81"/>
      <c r="AK426" s="81"/>
      <c r="AL426" s="81"/>
      <c r="AM426" s="81"/>
      <c r="AN426" s="81"/>
      <c r="AO426" s="81"/>
      <c r="AP426" s="81"/>
      <c r="AQ426" s="81"/>
      <c r="AR426" s="81"/>
      <c r="AS426" s="83"/>
      <c r="AT426" s="1412" t="s">
        <v>434</v>
      </c>
      <c r="AU426" s="65"/>
      <c r="AV426" s="65"/>
      <c r="AW426" s="65"/>
      <c r="AX426" s="3226">
        <f>V45</f>
        <v>0</v>
      </c>
      <c r="AZ426" s="3227">
        <f t="shared" si="65"/>
        <v>0</v>
      </c>
      <c r="BA426" s="3227"/>
      <c r="BB426" s="3227">
        <f t="shared" si="66"/>
        <v>0</v>
      </c>
      <c r="BC426" s="3227"/>
      <c r="BD426" s="3228" t="str">
        <f t="shared" si="67"/>
        <v>NA</v>
      </c>
      <c r="BF426" s="228"/>
      <c r="BG426" s="19"/>
      <c r="BH426" s="74"/>
      <c r="BI426" s="83"/>
      <c r="BJ426" s="83"/>
      <c r="BK426" s="83"/>
      <c r="BL426" s="83"/>
      <c r="BM426" s="83"/>
      <c r="BN426" s="83"/>
      <c r="BO426" s="83"/>
      <c r="BP426" s="83"/>
      <c r="BQ426" s="83"/>
      <c r="BR426" s="81"/>
      <c r="BS426" s="849" t="s">
        <v>4795</v>
      </c>
      <c r="BT426" s="81"/>
      <c r="BU426" s="1286" t="str">
        <f>IF(BU307&lt;&gt;"Yes","NA",IF(MAX(BU313/Bldg_Type_Correction,BU315/Bldg2_Type_Correction)&lt;HD_Low_Expl,Conseq_Low,IF(MAX(BU313/Bldg_Type_Correction,BU315/Bldg2_Type_Correction)&lt;HD_Moderate_Expl,Conseq_Moderate,IF(MAX(BU313/Bldg_Type_Correction,BU315/Bldg2_Type_Correction)&lt;HD_High_Expl,Conseq_High,IF(MAX(BU313/Bldg_Type_Correction,BU315/Bldg2_Type_Correction)&lt;HD_VeryHigh_Expl,Conseq_VeryHigh,Conseq_ExtremeHigh)))))</f>
        <v>NA</v>
      </c>
      <c r="BV426" s="81"/>
      <c r="BW426" s="4239"/>
      <c r="BX426" s="81"/>
      <c r="BY426" s="1286" t="str">
        <f>IF(BY307&lt;&gt;"Yes","NA",IF(MAX(BY313/Bldg_Type_Correction,BY315/Bldg2_Type_Correction)&lt;HD_Low_Expl,Conseq_Low,IF(MAX(BY313/Bldg_Type_Correction,BY315/Bldg2_Type_Correction)&lt;HD_Moderate_Expl,Conseq_Moderate,IF(MAX(BY313/Bldg_Type_Correction,BY315/Bldg2_Type_Correction)&lt;HD_High_Expl,Conseq_High,IF(MAX(BY313/Bldg_Type_Correction,BY315/Bldg2_Type_Correction)&lt;HD_VeryHigh_Expl,Conseq_VeryHigh,Conseq_ExtremeHigh)))))</f>
        <v>NA</v>
      </c>
      <c r="BZ426" s="81"/>
      <c r="CA426" s="1286" t="str">
        <f>IF(CA307&lt;&gt;"Yes","NA",IF(MAX(CA313/Bldg_Type_Correction,CA315/Bldg2_Type_Correction)&lt;HD_Low_Expl,Conseq_Low,IF(MAX(CA313/Bldg_Type_Correction,CA315/Bldg2_Type_Correction)&lt;HD_Moderate_Expl,Conseq_Moderate,IF(MAX(CA313/Bldg_Type_Correction,CA315/Bldg2_Type_Correction)&lt;HD_High_Expl,Conseq_High,IF(MAX(CA313/Bldg_Type_Correction,CA315/Bldg2_Type_Correction)&lt;HD_VeryHigh_Expl,Conseq_VeryHigh,Conseq_ExtremeHigh)))))</f>
        <v>NA</v>
      </c>
      <c r="CB426" s="81"/>
      <c r="CC426" s="4239"/>
      <c r="CD426" s="81"/>
      <c r="CE426" s="91"/>
      <c r="CF426" s="81"/>
    </row>
    <row r="427" spans="1:88" ht="15" customHeight="1" thickBot="1" x14ac:dyDescent="0.3">
      <c r="A427" s="2"/>
      <c r="B427" s="3093" t="s">
        <v>2227</v>
      </c>
      <c r="C427" s="83"/>
      <c r="D427" s="2347">
        <f>SUM(D428:D432)</f>
        <v>0</v>
      </c>
      <c r="E427" s="83"/>
      <c r="F427" s="2347">
        <f>SUM(F428:F432)</f>
        <v>0</v>
      </c>
      <c r="G427" s="83"/>
      <c r="H427" s="2347">
        <f>SUM(H428:H432)</f>
        <v>0</v>
      </c>
      <c r="I427" s="83"/>
      <c r="J427" s="2347">
        <f>SUM(J428:J432)</f>
        <v>0</v>
      </c>
      <c r="K427" s="83"/>
      <c r="L427" s="2347">
        <f>SUM(L428:L432)</f>
        <v>0</v>
      </c>
      <c r="M427" s="83"/>
      <c r="N427" s="2347">
        <f>SUM(N428:N432)</f>
        <v>0</v>
      </c>
      <c r="O427" s="83"/>
      <c r="P427" s="2347">
        <f>SUM(P428:P432)</f>
        <v>0</v>
      </c>
      <c r="Q427" s="83"/>
      <c r="R427" s="2347">
        <f>SUM(R428:R432)</f>
        <v>0</v>
      </c>
      <c r="S427" s="83"/>
      <c r="T427" s="2347">
        <f>SUM(T428:T432)</f>
        <v>0</v>
      </c>
      <c r="U427" s="83"/>
      <c r="V427" s="2347">
        <f>SUM(V428:V432)</f>
        <v>0</v>
      </c>
      <c r="W427" s="83"/>
      <c r="X427" s="2347">
        <f>SUM(X428:X432)</f>
        <v>0</v>
      </c>
      <c r="Y427" s="83"/>
      <c r="Z427" s="473" t="s">
        <v>1497</v>
      </c>
      <c r="AA427" s="83"/>
      <c r="AB427" s="81"/>
      <c r="AC427" s="4264" t="s">
        <v>998</v>
      </c>
      <c r="AD427" s="81"/>
      <c r="AE427" s="4241" t="s">
        <v>1623</v>
      </c>
      <c r="AF427" s="81"/>
      <c r="AG427" s="4241" t="s">
        <v>5304</v>
      </c>
      <c r="AH427" s="81"/>
      <c r="AI427" s="4241" t="s">
        <v>5305</v>
      </c>
      <c r="AJ427" s="81"/>
      <c r="AK427" s="81"/>
      <c r="AL427" s="81"/>
      <c r="AM427" s="81"/>
      <c r="AN427" s="81"/>
      <c r="AO427" s="81"/>
      <c r="AP427" s="81"/>
      <c r="AQ427" s="81"/>
      <c r="AR427" s="81"/>
      <c r="AS427" s="83"/>
      <c r="AT427" s="1412" t="s">
        <v>971</v>
      </c>
      <c r="AU427" s="65"/>
      <c r="AV427" s="65"/>
      <c r="AW427" s="65"/>
      <c r="AX427" s="3226">
        <f>X45</f>
        <v>0</v>
      </c>
      <c r="AZ427" s="3227">
        <f t="shared" si="65"/>
        <v>0</v>
      </c>
      <c r="BA427" s="3227"/>
      <c r="BB427" s="3227">
        <f t="shared" si="66"/>
        <v>0</v>
      </c>
      <c r="BC427" s="3227"/>
      <c r="BD427" s="3228" t="str">
        <f t="shared" si="67"/>
        <v>NA</v>
      </c>
      <c r="BF427" s="228"/>
      <c r="BG427" s="26"/>
      <c r="BH427" s="74"/>
      <c r="BI427" s="83"/>
      <c r="BJ427" s="83"/>
      <c r="BK427" s="83"/>
      <c r="BL427" s="83"/>
      <c r="BM427" s="83"/>
      <c r="BN427" s="83"/>
      <c r="BO427" s="83"/>
      <c r="BP427" s="83"/>
      <c r="BQ427" s="83"/>
      <c r="BR427" s="81"/>
      <c r="BS427" s="849" t="s">
        <v>4229</v>
      </c>
      <c r="BT427" s="81"/>
      <c r="BU427" s="2135" t="str">
        <f>IF(Conseq_Criteria="Hazard Distance",BU426,IF(OR(BU307&lt;&gt;"Yes",BU425&lt;N_Screening),"NA",IF(BU425&lt;N_VeryLow,Conseq_VeryLow,IF(BU425&lt;N_Low,Conseq_Low,IF(BU425&lt;N_Moderate,Conseq_Moderate,IF(BU425&lt;N_High,Conseq_High,IF(BU425&lt;N_VeryHigh,Conseq_VeryHigh,Conseq_ExtremeHigh)))))))</f>
        <v>NA</v>
      </c>
      <c r="BV427" s="81"/>
      <c r="BW427" s="4239"/>
      <c r="BX427" s="81"/>
      <c r="BY427" s="2135" t="str">
        <f>IF(Conseq_Criteria="Hazard Distance",BY426,IF(OR(BY307&lt;&gt;"Yes",BY425&lt;N_Screening),"NA",IF(BY425&lt;N_VeryLow,Conseq_VeryLow,IF(BY425&lt;N_Low,Conseq_Low,IF(BY425&lt;N_Moderate,Conseq_Moderate,IF(BY425&lt;N_High,Conseq_High,IF(BY425&lt;N_VeryHigh,Conseq_VeryHigh,Conseq_ExtremeHigh)))))))</f>
        <v>NA</v>
      </c>
      <c r="BZ427" s="81"/>
      <c r="CA427" s="2135" t="str">
        <f>IF(Conseq_Criteria="Hazard Distance",CA426,IF(OR(CA307&lt;&gt;"Yes",CA425&lt;N_Screening),"NA",IF(CA425&lt;N_VeryLow,Conseq_VeryLow,IF(CA425&lt;N_Low,Conseq_Low,IF(CA425&lt;N_Moderate,Conseq_Moderate,IF(CA425&lt;N_High,Conseq_High,IF(CA425&lt;N_VeryHigh,Conseq_VeryHigh,Conseq_ExtremeHigh)))))))</f>
        <v>NA</v>
      </c>
      <c r="CB427" s="81"/>
      <c r="CC427" s="4239"/>
      <c r="CD427" s="81"/>
      <c r="CE427" s="89"/>
      <c r="CF427" s="81"/>
    </row>
    <row r="428" spans="1:88" ht="15" customHeight="1" thickBot="1" x14ac:dyDescent="0.3">
      <c r="A428" s="2"/>
      <c r="B428" s="1187" t="str">
        <f>B17</f>
        <v/>
      </c>
      <c r="C428" s="83"/>
      <c r="D428" s="470">
        <f>Depressurization_1*ContainedMass*WFeed_1</f>
        <v>0</v>
      </c>
      <c r="E428" s="83"/>
      <c r="F428" s="470">
        <f>Depressurization_1*ContainedMass*WFeed_1</f>
        <v>0</v>
      </c>
      <c r="G428" s="83"/>
      <c r="H428" s="470">
        <f>Depressurization_1*ContainedMass*WFeed_1</f>
        <v>0</v>
      </c>
      <c r="I428" s="83"/>
      <c r="J428" s="470">
        <f>Depressurization_1*ContainedMass*WFeed_1</f>
        <v>0</v>
      </c>
      <c r="K428" s="83"/>
      <c r="L428" s="470">
        <f>Depressurization_1*ContainedMass*WFeed_1</f>
        <v>0</v>
      </c>
      <c r="M428" s="83"/>
      <c r="N428" s="470">
        <f>Depressurization_1*ContainedMass*WFeed_1</f>
        <v>0</v>
      </c>
      <c r="O428" s="83"/>
      <c r="P428" s="470">
        <f>Depressurization_1*ContainedMass*WFeed_1</f>
        <v>0</v>
      </c>
      <c r="Q428" s="83"/>
      <c r="R428" s="470">
        <f>Depressurization_1*ContainedMass*WFeed_1</f>
        <v>0</v>
      </c>
      <c r="S428" s="83"/>
      <c r="T428" s="470">
        <f>Depressurization_1*ContainedMass*WFeed_1</f>
        <v>0</v>
      </c>
      <c r="U428" s="83"/>
      <c r="V428" s="470">
        <f>Depressurization_1*ContainedMass*WFeed_1</f>
        <v>0</v>
      </c>
      <c r="W428" s="83"/>
      <c r="X428" s="470">
        <f>Depressurization_1*ContainedMass*WFeed_1</f>
        <v>0</v>
      </c>
      <c r="Y428" s="83"/>
      <c r="Z428" s="473" t="s">
        <v>1497</v>
      </c>
      <c r="AA428" s="83"/>
      <c r="AB428" s="81"/>
      <c r="AC428" s="4242"/>
      <c r="AD428" s="81"/>
      <c r="AE428" s="4242"/>
      <c r="AF428" s="81"/>
      <c r="AG428" s="4242"/>
      <c r="AH428" s="81"/>
      <c r="AI428" s="4242"/>
      <c r="AJ428" s="81"/>
      <c r="AK428" s="81"/>
      <c r="AL428" s="81"/>
      <c r="AM428" s="81"/>
      <c r="AN428" s="81"/>
      <c r="AO428" s="81"/>
      <c r="AP428" s="81"/>
      <c r="AQ428" s="81"/>
      <c r="AR428" s="81"/>
      <c r="AS428" s="83"/>
      <c r="AT428" s="1412" t="s">
        <v>1739</v>
      </c>
      <c r="AU428" s="65"/>
      <c r="AV428" s="65"/>
      <c r="AW428" s="65"/>
      <c r="AX428" s="3226">
        <f>'Special Calcs'!C83</f>
        <v>0</v>
      </c>
      <c r="AZ428" s="3227">
        <f t="shared" si="65"/>
        <v>0</v>
      </c>
      <c r="BA428" s="3227"/>
      <c r="BB428" s="3227">
        <f t="shared" si="66"/>
        <v>0</v>
      </c>
      <c r="BC428" s="3227"/>
      <c r="BD428" s="3228" t="str">
        <f t="shared" si="67"/>
        <v>NA</v>
      </c>
      <c r="BF428" s="228"/>
      <c r="BG428" s="19"/>
      <c r="BH428" s="74"/>
      <c r="BI428" s="83"/>
      <c r="BJ428" s="83"/>
      <c r="BK428" s="83"/>
      <c r="BL428" s="83"/>
      <c r="BM428" s="83"/>
      <c r="BN428" s="83"/>
      <c r="BO428" s="83"/>
      <c r="BP428" s="1024"/>
      <c r="BQ428" s="83"/>
      <c r="BR428" s="81"/>
      <c r="BS428" s="851" t="s">
        <v>2008</v>
      </c>
      <c r="BT428" s="81"/>
      <c r="BU428" s="1182">
        <f>IF(BU335&lt;&gt;"Yes",0,EXP(-Bldg_Type_Coefficient*(Bldg_Type_Correction/BU328)^Bldg_Type_Exponent))</f>
        <v>0</v>
      </c>
      <c r="BV428" s="81"/>
      <c r="BW428" s="4239"/>
      <c r="BX428" s="81"/>
      <c r="BY428" s="1182">
        <f>IF(BY335&lt;&gt;"Yes",0,EXP(-Bldg_Type_Coefficient*(Bldg_Type_Correction/BY328)^Bldg_Type_Exponent))</f>
        <v>0</v>
      </c>
      <c r="BZ428" s="81"/>
      <c r="CA428" s="1182">
        <f>IF(CA335&lt;&gt;"Yes",0,EXP(-Bldg_Type_Coefficient*(Bldg_Type_Correction/CA328)^Bldg_Type_Exponent))</f>
        <v>0</v>
      </c>
      <c r="CB428" s="81"/>
      <c r="CC428" s="4239"/>
      <c r="CD428" s="81"/>
      <c r="CE428" s="107"/>
      <c r="CF428" s="81"/>
    </row>
    <row r="429" spans="1:88" ht="15" customHeight="1" x14ac:dyDescent="0.25">
      <c r="A429" s="2"/>
      <c r="B429" s="512" t="str">
        <f>B18</f>
        <v/>
      </c>
      <c r="C429" s="83"/>
      <c r="D429" s="470">
        <f>Depressurization_2*ContainedMass*WFeed_2</f>
        <v>0</v>
      </c>
      <c r="E429" s="2"/>
      <c r="F429" s="470">
        <f>Depressurization_2*ContainedMass*WFeed_2</f>
        <v>0</v>
      </c>
      <c r="G429" s="83"/>
      <c r="H429" s="470">
        <f>Depressurization_2*ContainedMass*WFeed_2</f>
        <v>0</v>
      </c>
      <c r="I429" s="83"/>
      <c r="J429" s="470">
        <f>Depressurization_2*ContainedMass*WFeed_2</f>
        <v>0</v>
      </c>
      <c r="K429" s="83"/>
      <c r="L429" s="470">
        <f>Depressurization_2*ContainedMass*WFeed_2</f>
        <v>0</v>
      </c>
      <c r="M429" s="83"/>
      <c r="N429" s="470">
        <f>Depressurization_2*ContainedMass*WFeed_2</f>
        <v>0</v>
      </c>
      <c r="O429" s="83"/>
      <c r="P429" s="470">
        <f>Depressurization_2*ContainedMass*WFeed_2</f>
        <v>0</v>
      </c>
      <c r="Q429" s="83"/>
      <c r="R429" s="470">
        <f>Depressurization_2*ContainedMass*WFeed_2</f>
        <v>0</v>
      </c>
      <c r="S429" s="83"/>
      <c r="T429" s="470">
        <f>Depressurization_2*ContainedMass*WFeed_2</f>
        <v>0</v>
      </c>
      <c r="U429" s="83"/>
      <c r="V429" s="470">
        <f>Depressurization_2*ContainedMass*WFeed_2</f>
        <v>0</v>
      </c>
      <c r="W429" s="83"/>
      <c r="X429" s="470">
        <f>Depressurization_2*ContainedMass*WFeed_2</f>
        <v>0</v>
      </c>
      <c r="Y429" s="83"/>
      <c r="Z429" s="473" t="s">
        <v>1497</v>
      </c>
      <c r="AA429" s="83"/>
      <c r="AB429" s="81"/>
      <c r="AC429" s="92" t="s">
        <v>2547</v>
      </c>
      <c r="AD429" s="81"/>
      <c r="AE429" s="110">
        <f>P</f>
        <v>1E-3</v>
      </c>
      <c r="AF429" s="81"/>
      <c r="AG429" s="110">
        <f>P</f>
        <v>1E-3</v>
      </c>
      <c r="AH429" s="81"/>
      <c r="AI429" s="110">
        <f>P</f>
        <v>1E-3</v>
      </c>
      <c r="AJ429" s="81"/>
      <c r="AK429" s="81"/>
      <c r="AL429" s="81"/>
      <c r="AM429" s="81"/>
      <c r="AN429" s="81"/>
      <c r="AO429" s="81"/>
      <c r="AP429" s="81"/>
      <c r="AQ429" s="1829" t="s">
        <v>1067</v>
      </c>
      <c r="AR429" s="81"/>
      <c r="AS429" s="83"/>
      <c r="AT429" s="1412" t="s">
        <v>705</v>
      </c>
      <c r="AU429" s="65"/>
      <c r="AV429" s="65"/>
      <c r="AW429" s="65"/>
      <c r="AX429" s="3226">
        <f>AI45</f>
        <v>0</v>
      </c>
      <c r="AZ429" s="3227">
        <f t="shared" si="65"/>
        <v>0</v>
      </c>
      <c r="BA429" s="3227"/>
      <c r="BB429" s="3227">
        <f t="shared" si="66"/>
        <v>0</v>
      </c>
      <c r="BC429" s="3227"/>
      <c r="BD429" s="3228" t="str">
        <f t="shared" si="67"/>
        <v>NA</v>
      </c>
      <c r="BF429" s="228"/>
      <c r="BG429" s="19"/>
      <c r="BH429" s="74"/>
      <c r="BI429" s="83"/>
      <c r="BJ429" s="83"/>
      <c r="BK429" s="83"/>
      <c r="BL429" s="83"/>
      <c r="BM429" s="83"/>
      <c r="BN429" s="83"/>
      <c r="BO429" s="83"/>
      <c r="BP429" s="83"/>
      <c r="BQ429" s="83"/>
      <c r="BR429" s="81"/>
      <c r="BS429" s="851" t="s">
        <v>2009</v>
      </c>
      <c r="BT429" s="81"/>
      <c r="BU429" s="1820">
        <f>BU428*Occupants_atRisk</f>
        <v>0</v>
      </c>
      <c r="BV429" s="81"/>
      <c r="BW429" s="4239"/>
      <c r="BX429" s="81"/>
      <c r="BY429" s="1820">
        <f>BY428*Occupants_atRisk</f>
        <v>0</v>
      </c>
      <c r="BZ429" s="81"/>
      <c r="CA429" s="1820">
        <f>CA428*Occupants_atRisk</f>
        <v>0</v>
      </c>
      <c r="CB429" s="81"/>
      <c r="CC429" s="4239"/>
      <c r="CD429" s="81"/>
      <c r="CE429" s="23"/>
      <c r="CF429" s="81"/>
    </row>
    <row r="430" spans="1:88" ht="15" customHeight="1" thickBot="1" x14ac:dyDescent="0.3">
      <c r="A430" s="2"/>
      <c r="B430" s="512" t="str">
        <f>B19</f>
        <v/>
      </c>
      <c r="C430" s="83"/>
      <c r="D430" s="470">
        <f>Depressurization_3*ContainedMass*WFeed_3</f>
        <v>0</v>
      </c>
      <c r="E430" s="2"/>
      <c r="F430" s="470">
        <f>Depressurization_3*ContainedMass*WFeed_3</f>
        <v>0</v>
      </c>
      <c r="G430" s="83"/>
      <c r="H430" s="470">
        <f>Depressurization_3*ContainedMass*WFeed_3</f>
        <v>0</v>
      </c>
      <c r="I430" s="83"/>
      <c r="J430" s="470">
        <f>Depressurization_3*ContainedMass*WFeed_3</f>
        <v>0</v>
      </c>
      <c r="K430" s="83"/>
      <c r="L430" s="470">
        <f>Depressurization_3*ContainedMass*WFeed_3</f>
        <v>0</v>
      </c>
      <c r="M430" s="83"/>
      <c r="N430" s="470">
        <f>Depressurization_3*ContainedMass*WFeed_3</f>
        <v>0</v>
      </c>
      <c r="O430" s="83"/>
      <c r="P430" s="470">
        <f>Depressurization_3*ContainedMass*WFeed_3</f>
        <v>0</v>
      </c>
      <c r="Q430" s="83"/>
      <c r="R430" s="470">
        <f>Depressurization_3*ContainedMass*WFeed_3</f>
        <v>0</v>
      </c>
      <c r="S430" s="83"/>
      <c r="T430" s="470">
        <f>Depressurization_3*ContainedMass*WFeed_3</f>
        <v>0</v>
      </c>
      <c r="U430" s="83"/>
      <c r="V430" s="470">
        <f>Depressurization_3*ContainedMass*WFeed_3</f>
        <v>0</v>
      </c>
      <c r="W430" s="83"/>
      <c r="X430" s="470">
        <f>Depressurization_3*ContainedMass*WFeed_3</f>
        <v>0</v>
      </c>
      <c r="Y430" s="83"/>
      <c r="Z430" s="473" t="s">
        <v>1497</v>
      </c>
      <c r="AA430" s="83"/>
      <c r="AB430" s="81"/>
      <c r="AC430" s="85" t="s">
        <v>2548</v>
      </c>
      <c r="AD430" s="81"/>
      <c r="AE430" s="1862">
        <f>T</f>
        <v>0</v>
      </c>
      <c r="AF430" s="81"/>
      <c r="AG430" s="1862">
        <f>T</f>
        <v>0</v>
      </c>
      <c r="AH430" s="81"/>
      <c r="AI430" s="1862">
        <f>T</f>
        <v>0</v>
      </c>
      <c r="AJ430" s="81"/>
      <c r="AK430" s="81"/>
      <c r="AL430" s="81"/>
      <c r="AM430" s="81"/>
      <c r="AN430" s="81"/>
      <c r="AO430" s="81"/>
      <c r="AP430" s="81"/>
      <c r="AQ430" s="473" t="s">
        <v>1836</v>
      </c>
      <c r="AR430" s="81"/>
      <c r="AS430" s="83"/>
      <c r="AT430" s="1412" t="s">
        <v>848</v>
      </c>
      <c r="AU430" s="65"/>
      <c r="AV430" s="65"/>
      <c r="AW430" s="65"/>
      <c r="AX430" s="3226">
        <f>AE45</f>
        <v>0</v>
      </c>
      <c r="AZ430" s="3227">
        <f t="shared" si="65"/>
        <v>0</v>
      </c>
      <c r="BA430" s="3227"/>
      <c r="BB430" s="3227">
        <f t="shared" si="66"/>
        <v>0</v>
      </c>
      <c r="BC430" s="3227"/>
      <c r="BD430" s="3228" t="str">
        <f t="shared" si="67"/>
        <v>NA</v>
      </c>
      <c r="BF430" s="228"/>
      <c r="BG430" s="19"/>
      <c r="BH430" s="74"/>
      <c r="BI430" s="83"/>
      <c r="BJ430" s="83"/>
      <c r="BK430" s="83"/>
      <c r="BL430" s="83"/>
      <c r="BM430" s="83"/>
      <c r="BN430" s="83"/>
      <c r="BO430" s="83"/>
      <c r="BP430" s="83"/>
      <c r="BQ430" s="83"/>
      <c r="BR430" s="81"/>
      <c r="BS430" s="851" t="s">
        <v>630</v>
      </c>
      <c r="BT430" s="81"/>
      <c r="BU430" s="321">
        <f>IF(OR(Occ_Bldg2=0,BU335&lt;&gt;"Yes"),0,EXP(-Bldg2_Type_Coefficient*(Bldg2_Type_Correction/BU332)^Bldg2_Type_Exponent))</f>
        <v>0</v>
      </c>
      <c r="BV430" s="81"/>
      <c r="BW430" s="4239"/>
      <c r="BX430" s="81"/>
      <c r="BY430" s="321">
        <f>IF(OR(Occ_Bldg2=0,BY335&lt;&gt;"Yes"),0,EXP(-Bldg2_Type_Coefficient*(Bldg2_Type_Correction/BY332)^Bldg2_Type_Exponent))</f>
        <v>0</v>
      </c>
      <c r="BZ430" s="81"/>
      <c r="CA430" s="321">
        <f>IF(OR(Occ_Bldg2=0,CA335&lt;&gt;"Yes"),0,EXP(-Bldg2_Type_Coefficient*(Bldg2_Type_Correction/CA332)^Bldg2_Type_Exponent))</f>
        <v>0</v>
      </c>
      <c r="CB430" s="81"/>
      <c r="CC430" s="4239"/>
      <c r="CD430" s="81"/>
      <c r="CE430" s="23"/>
      <c r="CF430" s="81"/>
    </row>
    <row r="431" spans="1:88" ht="15" customHeight="1" x14ac:dyDescent="0.25">
      <c r="A431" s="2"/>
      <c r="B431" s="512" t="str">
        <f>B20</f>
        <v/>
      </c>
      <c r="C431" s="83"/>
      <c r="D431" s="470">
        <f>Depressurization_4*ContainedMass*WFeed_4</f>
        <v>0</v>
      </c>
      <c r="E431" s="83"/>
      <c r="F431" s="470">
        <f>Depressurization_4*ContainedMass*WFeed_4</f>
        <v>0</v>
      </c>
      <c r="G431" s="83"/>
      <c r="H431" s="470">
        <f>Depressurization_4*ContainedMass*WFeed_4</f>
        <v>0</v>
      </c>
      <c r="I431" s="83"/>
      <c r="J431" s="470">
        <f>Depressurization_4*ContainedMass*WFeed_4</f>
        <v>0</v>
      </c>
      <c r="K431" s="83"/>
      <c r="L431" s="470">
        <f>Depressurization_4*ContainedMass*WFeed_4</f>
        <v>0</v>
      </c>
      <c r="M431" s="83"/>
      <c r="N431" s="470">
        <f>Depressurization_4*ContainedMass*WFeed_4</f>
        <v>0</v>
      </c>
      <c r="O431" s="83"/>
      <c r="P431" s="470">
        <f>Depressurization_4*ContainedMass*WFeed_4</f>
        <v>0</v>
      </c>
      <c r="Q431" s="83"/>
      <c r="R431" s="470">
        <f>Depressurization_4*ContainedMass*WFeed_4</f>
        <v>0</v>
      </c>
      <c r="S431" s="83"/>
      <c r="T431" s="470">
        <f>Depressurization_4*ContainedMass*WFeed_4</f>
        <v>0</v>
      </c>
      <c r="U431" s="83"/>
      <c r="V431" s="470">
        <f>Depressurization_4*ContainedMass*WFeed_4</f>
        <v>0</v>
      </c>
      <c r="W431" s="83"/>
      <c r="X431" s="470">
        <f>Depressurization_4*ContainedMass*WFeed_4</f>
        <v>0</v>
      </c>
      <c r="Y431" s="83"/>
      <c r="Z431" s="473" t="s">
        <v>1497</v>
      </c>
      <c r="AA431" s="83"/>
      <c r="AB431" s="81"/>
      <c r="AC431" s="471" t="s">
        <v>2222</v>
      </c>
      <c r="AD431" s="81"/>
      <c r="AE431" s="474">
        <f>Mw_HeadSpace</f>
        <v>29.289710289710289</v>
      </c>
      <c r="AF431" s="81"/>
      <c r="AG431" s="474">
        <f>Mw_HeadSpace</f>
        <v>29.289710289710289</v>
      </c>
      <c r="AH431" s="81"/>
      <c r="AI431" s="474">
        <f>Mw_HeadSpace</f>
        <v>29.289710289710289</v>
      </c>
      <c r="AJ431" s="81"/>
      <c r="AK431" s="81"/>
      <c r="AL431" s="81"/>
      <c r="AM431" s="81"/>
      <c r="AN431" s="81"/>
      <c r="AO431" s="81"/>
      <c r="AP431" s="81"/>
      <c r="AQ431" s="473" t="s">
        <v>3806</v>
      </c>
      <c r="AR431" s="81"/>
      <c r="AS431" s="83"/>
      <c r="AT431" s="1412" t="s">
        <v>2780</v>
      </c>
      <c r="AU431" s="65"/>
      <c r="AV431" s="65"/>
      <c r="AW431" s="65"/>
      <c r="AX431" s="3226">
        <f>AG45</f>
        <v>0</v>
      </c>
      <c r="AZ431" s="3227">
        <f t="shared" si="65"/>
        <v>0</v>
      </c>
      <c r="BA431" s="3227"/>
      <c r="BB431" s="3227">
        <f t="shared" si="66"/>
        <v>0</v>
      </c>
      <c r="BC431" s="3227"/>
      <c r="BD431" s="3228" t="str">
        <f>IF(AND(AZ431=0,BB431=0),"NA",IF(AZ431&gt;BB431,AZ431,BB431))</f>
        <v>NA</v>
      </c>
      <c r="BF431" s="228"/>
      <c r="BG431" s="19"/>
      <c r="BH431" s="74"/>
      <c r="BI431" s="83"/>
      <c r="BJ431" s="83"/>
      <c r="BK431" s="83"/>
      <c r="BL431" s="83"/>
      <c r="BM431" s="83"/>
      <c r="BN431" s="83"/>
      <c r="BO431" s="83"/>
      <c r="BP431" s="83"/>
      <c r="BQ431" s="83"/>
      <c r="BR431" s="81"/>
      <c r="BS431" s="851" t="s">
        <v>629</v>
      </c>
      <c r="BT431" s="81"/>
      <c r="BU431" s="1820">
        <f>BU430*Occupants_atRisk2</f>
        <v>0</v>
      </c>
      <c r="BV431" s="81"/>
      <c r="BW431" s="4239"/>
      <c r="BX431" s="81"/>
      <c r="BY431" s="1820">
        <f>BY430*Occupants_atRisk2</f>
        <v>0</v>
      </c>
      <c r="BZ431" s="81"/>
      <c r="CA431" s="1820">
        <f>CA430*Occupants_atRisk2</f>
        <v>0</v>
      </c>
      <c r="CB431" s="81"/>
      <c r="CC431" s="4239"/>
      <c r="CD431" s="81"/>
      <c r="CE431" s="23"/>
      <c r="CF431" s="81"/>
    </row>
    <row r="432" spans="1:88" ht="15" customHeight="1" x14ac:dyDescent="0.25">
      <c r="A432" s="2"/>
      <c r="B432" s="512" t="str">
        <f>B21</f>
        <v/>
      </c>
      <c r="C432" s="83"/>
      <c r="D432" s="470">
        <f>Depressurization_5*ContainedMass*WFeed_5</f>
        <v>0</v>
      </c>
      <c r="E432" s="83"/>
      <c r="F432" s="470">
        <f>Depressurization_5*ContainedMass*WFeed_5</f>
        <v>0</v>
      </c>
      <c r="G432" s="83"/>
      <c r="H432" s="470">
        <f>Depressurization_5*ContainedMass*WFeed_5</f>
        <v>0</v>
      </c>
      <c r="I432" s="83"/>
      <c r="J432" s="470">
        <f>Depressurization_5*ContainedMass*WFeed_5</f>
        <v>0</v>
      </c>
      <c r="K432" s="83"/>
      <c r="L432" s="470">
        <f>Depressurization_5*ContainedMass*WFeed_5</f>
        <v>0</v>
      </c>
      <c r="M432" s="83"/>
      <c r="N432" s="470">
        <f>Depressurization_5*ContainedMass*WFeed_5</f>
        <v>0</v>
      </c>
      <c r="O432" s="83"/>
      <c r="P432" s="470">
        <f>Depressurization_5*ContainedMass*WFeed_5</f>
        <v>0</v>
      </c>
      <c r="Q432" s="83"/>
      <c r="R432" s="470">
        <f>Depressurization_5*ContainedMass*WFeed_5</f>
        <v>0</v>
      </c>
      <c r="S432" s="83"/>
      <c r="T432" s="470">
        <f>Depressurization_5*ContainedMass*WFeed_5</f>
        <v>0</v>
      </c>
      <c r="U432" s="83"/>
      <c r="V432" s="470">
        <f>Depressurization_5*ContainedMass*WFeed_5</f>
        <v>0</v>
      </c>
      <c r="W432" s="83"/>
      <c r="X432" s="470">
        <f>Depressurization_5*ContainedMass*WFeed_5</f>
        <v>0</v>
      </c>
      <c r="Y432" s="83"/>
      <c r="Z432" s="473" t="s">
        <v>1497</v>
      </c>
      <c r="AA432" s="83"/>
      <c r="AB432" s="81"/>
      <c r="AC432" s="267" t="s">
        <v>1570</v>
      </c>
      <c r="AD432" s="81"/>
      <c r="AE432" s="2089">
        <f>IF(OR(Relief_Vapor_Capacity_Pad=0,AND(Modulating_Relief="Yes",Inert_FeedRate*Mw_HeadSpace/MW_Pad&lt;Relief_Vapor_Capacity_Pad)),Inert_FeedRate*Mw_HeadSpace/Pad_MW,Relief_Vapor_Capacity_Pad)</f>
        <v>0</v>
      </c>
      <c r="AF432" s="81"/>
      <c r="AG432" s="2089">
        <f>IF(AND(State="Liquid",Liq_rho&gt;0),Mw_HeadSpace*(IF(Relief_Set_Input="",MAWP,Relief_Set)+1-Psat)*Feedrate/(82.05*Liq_rho*(T+273.15)),0)</f>
        <v>0</v>
      </c>
      <c r="AH432" s="81"/>
      <c r="AI432" s="2089">
        <f>IF(AND(Modulating_Relief="Yes",Inert_FeedRate*Mw_HeadSpace/MW_Pad&lt;IF(1/(1+P)&lt;0.528,0.0595*Cd_Relief*(AI7^2)*(P+1)*(Mw_HeadSpace/(273+T))^0.5,0.231*Cd_Relief*(AI7^2)*(P+1)*((1/(1+P)^1.429-(1/(1+P))^1.714)*Mw_HeadSpace/(273+T))^0.5)),Inert_FeedRate*Mw_HeadSpace/Pad_MW,IF(1/(1+P)&lt;0.528,0.0595*Cd_Relief*(AI7^2)*(P+1)*(Mw_HeadSpace/(273+T))^0.5,0.231*Cd_Relief*(AI7^2)*(P+1)*((1/(1+P)^1.429-(1/(1+P))^1.714)*Mw_HeadSpace/(273+T))^0.5))</f>
        <v>1.2567021981656388E-3</v>
      </c>
      <c r="AJ432" s="81"/>
      <c r="AK432" s="81"/>
      <c r="AL432" s="81"/>
      <c r="AM432" s="81"/>
      <c r="AN432" s="81"/>
      <c r="AO432" s="81"/>
      <c r="AP432" s="81"/>
      <c r="AQ432" s="473" t="s">
        <v>1069</v>
      </c>
      <c r="AR432" s="81"/>
      <c r="AS432" s="83"/>
      <c r="AT432" s="1412" t="s">
        <v>2836</v>
      </c>
      <c r="AU432" s="65"/>
      <c r="AV432" s="65"/>
      <c r="AW432" s="65"/>
      <c r="AX432" s="3226">
        <f>AM45</f>
        <v>0</v>
      </c>
      <c r="AZ432" s="3227">
        <f t="shared" si="65"/>
        <v>0</v>
      </c>
      <c r="BA432" s="3227"/>
      <c r="BB432" s="3227">
        <f t="shared" si="66"/>
        <v>0</v>
      </c>
      <c r="BC432" s="3227"/>
      <c r="BD432" s="3228" t="str">
        <f>IF(AND(AZ432=0,BB432=0),"NA",IF(AZ432&gt;BB432,AZ432,BB432))</f>
        <v>NA</v>
      </c>
      <c r="BF432" s="228"/>
      <c r="BG432" s="19"/>
      <c r="BH432" s="74"/>
      <c r="BI432" s="83"/>
      <c r="BJ432" s="83"/>
      <c r="BK432" s="83"/>
      <c r="BL432" s="83"/>
      <c r="BM432" s="83"/>
      <c r="BN432" s="83"/>
      <c r="BO432" s="83"/>
      <c r="BP432" s="83"/>
      <c r="BQ432" s="83"/>
      <c r="BR432" s="81"/>
      <c r="BS432" s="851" t="s">
        <v>5215</v>
      </c>
      <c r="BT432" s="81"/>
      <c r="BU432" s="3169">
        <f>IF(BU326="No",0,3.14*Offsite_Area_Bldg_Factor*IF(Offsite_PD1="",Offsite_PD/1000000,Offsite_PD1)*BU325^2*(EXP(-Offsite_Bldg_a*Zone_1^2/BU325^2)-EXP(-Offsite_Bldg_a*Public^2/BU325^2))/(-Offsite_Bldg_a))</f>
        <v>0</v>
      </c>
      <c r="BV432" s="81"/>
      <c r="BW432" s="4239"/>
      <c r="BX432" s="81"/>
      <c r="BY432" s="3169">
        <f>IF(BY326="No",0,3.14*Offsite_Area_Bldg_Factor*IF(Offsite_PD1="",Offsite_PD/1000000,Offsite_PD1)*BY325^2*(EXP(-Offsite_Bldg_a*Zone_1^2/BY325^2)-EXP(-Offsite_Bldg_a*Public^2/BY325^2))/(-Offsite_Bldg_a))</f>
        <v>0</v>
      </c>
      <c r="BZ432" s="81"/>
      <c r="CA432" s="3169">
        <f>IF(CA326="No",0,3.14*Offsite_Area_Bldg_Factor*IF(Offsite_PD1="",Offsite_PD/1000000,Offsite_PD1)*CA325^2*(EXP(-Offsite_Bldg_a*Zone_1^2/CA325^2)-EXP(-Offsite_Bldg_a*Public^2/CA325^2))/(-Offsite_Bldg_a))</f>
        <v>0</v>
      </c>
      <c r="CB432" s="81"/>
      <c r="CC432" s="4239"/>
      <c r="CD432" s="81"/>
      <c r="CE432" s="23"/>
      <c r="CF432" s="81"/>
    </row>
    <row r="433" spans="1:84" ht="15" customHeight="1" thickBot="1" x14ac:dyDescent="0.3">
      <c r="A433" s="2"/>
      <c r="B433" s="615" t="s">
        <v>5129</v>
      </c>
      <c r="C433" s="235"/>
      <c r="D433" s="470">
        <f>IF(P+1-Psat&gt;0,MW_Pad*(P+1-Psat)/(P+1)*(P*Volume/(82.05*(T+273.15))),0)</f>
        <v>0</v>
      </c>
      <c r="E433" s="83"/>
      <c r="F433" s="470">
        <f>IF(P+1-Psat&gt;0,MW_Pad*(P+1-Psat)/(P+1)*(P*Volume/(82.05*(T+273.15))),0)</f>
        <v>0</v>
      </c>
      <c r="G433" s="235"/>
      <c r="H433" s="470">
        <f>IF(Failure_Gasket*MAWP+1-Psat&gt;0,MW_Pad*(Failure_Gasket*MAWP+1-Psat)/(Failure_Gasket*MAWP+1)*(Failure_Gasket*MAWP*Volume/(82.05*(T+273.15))),0)</f>
        <v>0</v>
      </c>
      <c r="I433" s="235"/>
      <c r="J433" s="470">
        <f>IF(P+1-Psat&gt;0,MW_Pad*(P+1-Psat)/(P+1)*(P*Volume/(82.05*(T+273.15))),0)</f>
        <v>0</v>
      </c>
      <c r="K433" s="235"/>
      <c r="L433" s="470">
        <f>IF(P+1-Psat&gt;0,MW_Pad*(P+1-Psat)/(P+1)*(P*Volume/(82.05*(T+273.15))),0)</f>
        <v>0</v>
      </c>
      <c r="M433" s="235"/>
      <c r="N433" s="470">
        <f>IF(P+1-Psat&gt;0,MW_Pad*(P+1-Psat)/(P+1)*(P*Volume/(82.05*(T+273.15))),0)</f>
        <v>0</v>
      </c>
      <c r="O433" s="83"/>
      <c r="P433" s="470">
        <f>IF(P+1-Psat&gt;0,MW_Pad*(P+1-Psat)/(P+1)*(P*Volume/(82.05*(T+273.15))),0)</f>
        <v>0</v>
      </c>
      <c r="Q433" s="235"/>
      <c r="R433" s="470">
        <f>IF(P+1-Psat&gt;0,MW_Pad*(P+1-Psat)/(P+1)*(P*Volume/(82.05*(T+273.15))),0)</f>
        <v>0</v>
      </c>
      <c r="S433" s="235"/>
      <c r="T433" s="470">
        <f>IF(P+1-Psat&gt;0,MW_Pad*(P+1-Psat)/(P+1)*(P*Volume/(82.05*(T+273.15))),0)</f>
        <v>0</v>
      </c>
      <c r="U433" s="235"/>
      <c r="V433" s="470">
        <f>IF(P+1-Psat&gt;0,MW_Pad*(P+1-Psat)/(P+1)*(P*Volume/(82.05*(T+273.15))),0)</f>
        <v>0</v>
      </c>
      <c r="W433" s="235"/>
      <c r="X433" s="470">
        <f>IF(P+1-Psat&gt;0,MW_Pad*(P+1-Psat)/(P+1)*(P*Volume/(82.05*(T+273.15))),0)</f>
        <v>0</v>
      </c>
      <c r="Y433" s="83"/>
      <c r="Z433" s="473" t="s">
        <v>1497</v>
      </c>
      <c r="AA433" s="83"/>
      <c r="AB433" s="81"/>
      <c r="AC433" s="267" t="s">
        <v>2224</v>
      </c>
      <c r="AD433" s="81"/>
      <c r="AE433" s="2998">
        <f>$D419</f>
        <v>0</v>
      </c>
      <c r="AF433" s="81"/>
      <c r="AG433" s="2998">
        <f>$D419</f>
        <v>0</v>
      </c>
      <c r="AH433" s="81"/>
      <c r="AI433" s="2998">
        <f>$D419</f>
        <v>0</v>
      </c>
      <c r="AJ433" s="81"/>
      <c r="AK433" s="81"/>
      <c r="AL433" s="81"/>
      <c r="AM433" s="81"/>
      <c r="AN433" s="81"/>
      <c r="AO433" s="81"/>
      <c r="AP433" s="81"/>
      <c r="AQ433" s="473"/>
      <c r="AR433" s="81"/>
      <c r="AS433" s="83"/>
      <c r="AT433" s="1412" t="s">
        <v>2837</v>
      </c>
      <c r="AU433" s="65"/>
      <c r="AV433" s="65"/>
      <c r="AW433" s="65"/>
      <c r="AX433" s="3226">
        <f>AO45</f>
        <v>0</v>
      </c>
      <c r="AZ433" s="3227">
        <f>IF(Soil_Remediation="Yes",IF(NFPA_HT_H=4,IF(AX433&gt;SoilLimit_ExtremeHigh_Environ,Conseq_ExtremeHigh_Environ,IF(AX433&gt;SoilLimit_VeryHigh_Environ,Conseq_VeryHigh_Environ,IF(AX433&gt;SoilLimit_High_Environ,Conseq_High_Environ,IF(AX433&gt;SoilLimit_Moderate_Environ,Conseq_Moderate_Environ,IF(AX433&gt;SoilLimit_Low_Environ,Conseq_Low_Environ,0))))),IF(NFPA_H_Feed=3,IF(AX433&gt;SoilLimit_ExtremeHigh_Environ,Conseq_VeryHigh_Environ,IF(AX433&gt;SoilLimit_VeryHigh_Environ,Conseq_High_Environ,IF(AX433&gt;SoilLimit_High_Environ,Conseq_Moderate_Environ,IF(AX433&gt;SoilLimit_Moderate_Environ,Conseq_Low_Environ,IF(AX433&gt;SoilLimit_Low_Environ,Conseq_VeryLow_Environ,0))))),IF(NFPA_H_Feed=2,IF(AX433&gt;SoilLimit_ExtremeHigh_Environ,Conseq_High_Environ,IF(AX433&gt;SoilLimit_VeryHigh_Environ,Conseq_Moderate_Environ,IF(AX433&gt;SoilLimit_High_Environ,Conseq_Low_Environ,IF(AX433&gt;SoilLimit_Moderate_Environ,Conseq_VeryLow_Environ,0)))),0))),0)</f>
        <v>0</v>
      </c>
      <c r="BA433" s="3227"/>
      <c r="BB433" s="3227">
        <f t="shared" si="66"/>
        <v>0</v>
      </c>
      <c r="BC433" s="3227"/>
      <c r="BD433" s="3228" t="str">
        <f>IF(AND(AZ433=0,BB433=0),"NA",IF(AZ433&gt;BB433,AZ433,BB433))</f>
        <v>NA</v>
      </c>
      <c r="BF433" s="228"/>
      <c r="BG433" s="19"/>
      <c r="BH433" s="74"/>
      <c r="BI433" s="83"/>
      <c r="BJ433" s="83"/>
      <c r="BK433" s="83"/>
      <c r="BL433" s="83"/>
      <c r="BM433" s="83"/>
      <c r="BN433" s="83"/>
      <c r="BO433" s="83"/>
      <c r="BP433" s="83"/>
      <c r="BQ433" s="83"/>
      <c r="BR433" s="81"/>
      <c r="BS433" s="851" t="s">
        <v>5216</v>
      </c>
      <c r="BT433" s="81"/>
      <c r="BU433" s="3169">
        <f>IF(BU326="No",0,3.14*Offsite_Area_Bldg_Factor*IF(Offsite_PD2="",Offsite_PD/1000000,Offsite_PD2)*BU325^2*(0-EXP(-Offsite_Bldg_a*Zone_1^2/BU325^2))/(-Offsite_Bldg_a))</f>
        <v>0</v>
      </c>
      <c r="BV433" s="81"/>
      <c r="BW433" s="4239"/>
      <c r="BX433" s="81"/>
      <c r="BY433" s="3169">
        <f>IF(BY326="No",0,3.14*Offsite_Area_Bldg_Factor*IF(Offsite_PD2="",Offsite_PD/1000000,Offsite_PD2)*BY325^2*(0-EXP(-Offsite_Bldg_a*Zone_1^2/BY325^2))/(-Offsite_Bldg_a))</f>
        <v>0</v>
      </c>
      <c r="BZ433" s="81"/>
      <c r="CA433" s="3169">
        <f>IF(CA326="No",0,3.14*Offsite_Area_Bldg_Factor*IF(Offsite_PD2="",Offsite_PD/1000000,Offsite_PD2)*CA325^2*(0-EXP(-Offsite_Bldg_a*Zone_1^2/CA325^2))/(-Offsite_Bldg_a))</f>
        <v>0</v>
      </c>
      <c r="CB433" s="81"/>
      <c r="CC433" s="4239"/>
      <c r="CD433" s="81"/>
      <c r="CE433" s="23"/>
      <c r="CF433" s="81"/>
    </row>
    <row r="434" spans="1:84" ht="15" customHeight="1" x14ac:dyDescent="0.25">
      <c r="A434" s="2"/>
      <c r="B434" s="266" t="s">
        <v>1679</v>
      </c>
      <c r="C434" s="235"/>
      <c r="D434" s="108">
        <f>IF(D418-Inert_FeedRate&gt;0,IF((D427+D433)/(D418-Inert_FeedRate)&lt;Max_Duration,(D427+D433)/(D418-Inert_FeedRate),Max_Duration),Max_Duration)</f>
        <v>0</v>
      </c>
      <c r="E434" s="83"/>
      <c r="F434" s="108">
        <f>IF(F418-Inert_FeedRate&gt;0,IF((F427+F433)/(F418-Inert_FeedRate)&lt;Max_Duration,(F427+F433)/(F418-Inert_FeedRate),Max_Duration),Max_Duration)</f>
        <v>0</v>
      </c>
      <c r="G434" s="235"/>
      <c r="H434" s="108">
        <f>IF(H418-Inert_FeedRate&gt;0,IF((H427+H433)/(H418-Inert_FeedRate)&lt;Max_Duration,(H427+H433)/(H418-Inert_FeedRate),Max_Duration),Max_Duration)</f>
        <v>3600</v>
      </c>
      <c r="I434" s="235"/>
      <c r="J434" s="108">
        <f>IF(J418-Inert_FeedRate&gt;0,IF((J427+J433)/(J418-Inert_FeedRate)&lt;Max_Duration,(J427+J433)/(J418-Inert_FeedRate),Max_Duration),Max_Duration)</f>
        <v>0</v>
      </c>
      <c r="K434" s="235"/>
      <c r="L434" s="108">
        <f>IF(L418-Inert_FeedRate&gt;0,IF((L427+L433)/(L418-Inert_FeedRate)&lt;Max_Duration,(L427+L433)/(L418-Inert_FeedRate),Max_Duration),Max_Duration)</f>
        <v>3600</v>
      </c>
      <c r="M434" s="235"/>
      <c r="N434" s="108">
        <f>IF(N418-Inert_FeedRate&gt;0,IF((N427+N433)/(N418-Inert_FeedRate)&lt;Max_Duration,(N427+N433)/(N418-Inert_FeedRate),Max_Duration),Max_Duration)</f>
        <v>3600</v>
      </c>
      <c r="O434" s="83"/>
      <c r="P434" s="108">
        <f>IF(P418-Inert_FeedRate&gt;0,IF((P427+P433)/(P418-Inert_FeedRate)&lt;Max_Duration,(P427+P433)/(P418-Inert_FeedRate),Max_Duration),Max_Duration)</f>
        <v>0</v>
      </c>
      <c r="Q434" s="235"/>
      <c r="R434" s="108">
        <f>IF(R418-Inert_FeedRate&gt;0,IF((R427+R433)/(R418-Inert_FeedRate)&lt;Max_Duration,(R427+R433)/(R418-Inert_FeedRate),Max_Duration),Max_Duration)</f>
        <v>0</v>
      </c>
      <c r="S434" s="235"/>
      <c r="T434" s="108">
        <f>IF(T418-Inert_FeedRate&gt;0,IF((T427+T433)/(T418-Inert_FeedRate)&lt;Max_Duration,(T427+T433)/(T418-Inert_FeedRate),Max_Duration),Max_Duration)</f>
        <v>0</v>
      </c>
      <c r="U434" s="235"/>
      <c r="V434" s="108">
        <f>IF(V418-Inert_FeedRate&gt;0,IF((V427+V433)/(V418-Inert_FeedRate)&lt;Max_Duration,(V427+V433)/(V418-Inert_FeedRate),Max_Duration),Max_Duration)</f>
        <v>0</v>
      </c>
      <c r="W434" s="235"/>
      <c r="X434" s="108">
        <f>IF(X418-Inert_FeedRate&gt;0,IF((X427+X433)/(X418-Inert_FeedRate)&lt;Max_Duration,(X427+X433)/(X418-Inert_FeedRate),Max_Duration),Max_Duration)</f>
        <v>0</v>
      </c>
      <c r="Y434" s="83"/>
      <c r="Z434" s="85" t="s">
        <v>1760</v>
      </c>
      <c r="AA434" s="83"/>
      <c r="AB434" s="81"/>
      <c r="AC434" s="267" t="s">
        <v>2223</v>
      </c>
      <c r="AD434" s="81"/>
      <c r="AE434" s="2086">
        <f>$D420</f>
        <v>0</v>
      </c>
      <c r="AF434" s="81"/>
      <c r="AG434" s="2086">
        <f>$D420</f>
        <v>0</v>
      </c>
      <c r="AH434" s="81"/>
      <c r="AI434" s="2086">
        <f>$D420</f>
        <v>0</v>
      </c>
      <c r="AJ434" s="81"/>
      <c r="AK434" s="81"/>
      <c r="AL434" s="81"/>
      <c r="AM434" s="81"/>
      <c r="AN434" s="81"/>
      <c r="AO434" s="81"/>
      <c r="AP434" s="81"/>
      <c r="AQ434" s="473" t="s">
        <v>1836</v>
      </c>
      <c r="AR434" s="81"/>
      <c r="AS434" s="83"/>
      <c r="AT434" s="1412" t="s">
        <v>30</v>
      </c>
      <c r="AU434" s="65"/>
      <c r="AV434" s="65"/>
      <c r="AW434" s="65"/>
      <c r="AX434" s="3226">
        <f>AK45</f>
        <v>0</v>
      </c>
      <c r="AZ434" s="3227">
        <f>IF(Soil_Remediation="Yes",IF(NFPA_H_Feed=4,IF(AX434&gt;SoilLimit_ExtremeHigh_Environ,Conseq_ExtremeHigh_Environ,IF(AX434&gt;SoilLimit_VeryHigh_Environ,Conseq_VeryHigh_Environ,IF(AX434&gt;SoilLimit_High_Environ,Conseq_High_Environ,IF(AX434&gt;SoilLimit_Moderate_Environ,Conseq_Moderate_Environ,IF(AX434&gt;SoilLimit_Low_Environ,Conseq_Low_Environ,0))))),IF(NFPA_HT_H=3,IF(AX434&gt;SoilLimit_ExtremeHigh_Environ,Conseq_VeryHigh_Environ,IF(AX434&gt;SoilLimit_VeryHigh_Environ,Conseq_High_Environ,IF(AX434&gt;SoilLimit_High_Environ,Conseq_Moderate_Environ,IF(AX434&gt;SoilLimit_Moderate_Environ,Conseq_Low_Environ,IF(AX434&gt;SoilLimit_Low_Environ,Conseq_VeryLow_Environ,0))))),IF(NFPA_HT_H=2,IF(AX434&gt;SoilLimit_ExtremeHigh_Environ,Conseq_High_Environ,IF(AX434&gt;SoilLimit_VeryHigh_Environ,Conseq_Moderate_Environ,IF(AX434&gt;SoilLimit_High_Environ,Conseq_Low_Environ,IF(AX434&gt;SoilLimit_Moderate_Environ,Conseq_VeryLow_Environ,0)))),0))),0)</f>
        <v>0</v>
      </c>
      <c r="BA434" s="3227"/>
      <c r="BB434" s="3227">
        <f t="shared" si="66"/>
        <v>0</v>
      </c>
      <c r="BC434" s="3227"/>
      <c r="BD434" s="3228" t="str">
        <f t="shared" si="67"/>
        <v>NA</v>
      </c>
      <c r="BF434" s="228"/>
      <c r="BG434" s="19"/>
      <c r="BH434" s="74"/>
      <c r="BI434" s="83"/>
      <c r="BJ434" s="83"/>
      <c r="BK434" s="83"/>
      <c r="BL434" s="83"/>
      <c r="BM434" s="83"/>
      <c r="BN434" s="83"/>
      <c r="BO434" s="83"/>
      <c r="BP434" s="83"/>
      <c r="BQ434" s="83"/>
      <c r="BR434" s="81"/>
      <c r="BS434" s="846" t="s">
        <v>5217</v>
      </c>
      <c r="BT434" s="81"/>
      <c r="BU434" s="3169">
        <f>BU432+BU433</f>
        <v>0</v>
      </c>
      <c r="BV434" s="81"/>
      <c r="BW434" s="4239"/>
      <c r="BX434" s="81"/>
      <c r="BY434" s="3169">
        <f>BY432+BY433</f>
        <v>0</v>
      </c>
      <c r="BZ434" s="81"/>
      <c r="CA434" s="3169">
        <f>CA432+CA433</f>
        <v>0</v>
      </c>
      <c r="CB434" s="81"/>
      <c r="CC434" s="4239"/>
      <c r="CD434" s="81"/>
      <c r="CE434" s="23"/>
      <c r="CF434" s="81"/>
    </row>
    <row r="435" spans="1:84" ht="15" customHeight="1" x14ac:dyDescent="0.25">
      <c r="A435" s="2"/>
      <c r="B435" s="266" t="s">
        <v>4685</v>
      </c>
      <c r="C435" s="83"/>
      <c r="D435" s="1820">
        <f>IF(D434&gt;Max_Duration,0,Max_Duration-D434)</f>
        <v>3600</v>
      </c>
      <c r="E435" s="83"/>
      <c r="F435" s="1820">
        <f>IF(F434&gt;Max_Duration,0,Max_Duration-F434)</f>
        <v>3600</v>
      </c>
      <c r="G435" s="83"/>
      <c r="H435" s="1820">
        <f>IF(H434&gt;Max_Duration,0,Max_Duration-H434)</f>
        <v>0</v>
      </c>
      <c r="I435" s="83"/>
      <c r="J435" s="1820">
        <f>IF(J434&gt;Max_Duration,0,Max_Duration-J434)</f>
        <v>3600</v>
      </c>
      <c r="K435" s="83"/>
      <c r="L435" s="1820">
        <f>IF(L434&gt;Max_Duration,0,Max_Duration-L434)</f>
        <v>0</v>
      </c>
      <c r="M435" s="83"/>
      <c r="N435" s="1820">
        <f>IF(N434&gt;Max_Duration,0,Max_Duration-N434)</f>
        <v>0</v>
      </c>
      <c r="O435" s="83"/>
      <c r="P435" s="1820">
        <f>IF(P434&gt;Max_Duration,0,Max_Duration-P434)</f>
        <v>3600</v>
      </c>
      <c r="Q435" s="83"/>
      <c r="R435" s="1820">
        <f>IF(R434&gt;Max_Duration,0,Max_Duration-R434)</f>
        <v>3600</v>
      </c>
      <c r="S435" s="83"/>
      <c r="T435" s="1820">
        <f>IF(T434&gt;Max_Duration,0,Max_Duration-T434)</f>
        <v>3600</v>
      </c>
      <c r="U435" s="83"/>
      <c r="V435" s="1820">
        <f>IF(V434&gt;Max_Duration,0,Max_Duration-V434)</f>
        <v>3600</v>
      </c>
      <c r="W435" s="83"/>
      <c r="X435" s="1820">
        <f>IF(X434&gt;Max_Duration,0,Max_Duration-X434)</f>
        <v>3600</v>
      </c>
      <c r="Y435" s="83"/>
      <c r="Z435" s="85" t="s">
        <v>1760</v>
      </c>
      <c r="AA435" s="83"/>
      <c r="AB435" s="81"/>
      <c r="AC435" s="2351" t="s">
        <v>4183</v>
      </c>
      <c r="AD435" s="81"/>
      <c r="AE435" s="2401">
        <f>SUM(AE442:AE447)</f>
        <v>0</v>
      </c>
      <c r="AF435" s="236"/>
      <c r="AG435" s="2401">
        <f>SUM(AG442:AG447)</f>
        <v>0</v>
      </c>
      <c r="AH435" s="81"/>
      <c r="AI435" s="2401">
        <f>SUM(AI442:AI447)</f>
        <v>0</v>
      </c>
      <c r="AJ435" s="81"/>
      <c r="AK435" s="81"/>
      <c r="AL435" s="81"/>
      <c r="AM435" s="81"/>
      <c r="AN435" s="81"/>
      <c r="AO435" s="81"/>
      <c r="AP435" s="81"/>
      <c r="AQ435" s="473" t="s">
        <v>1497</v>
      </c>
      <c r="AR435" s="81"/>
      <c r="AS435" s="83"/>
      <c r="AT435" s="1412" t="s">
        <v>645</v>
      </c>
      <c r="AU435" s="65"/>
      <c r="AV435" s="65"/>
      <c r="AW435" s="65"/>
      <c r="AX435" s="3226">
        <f>BU45</f>
        <v>0</v>
      </c>
      <c r="AZ435" s="3227">
        <f t="shared" si="65"/>
        <v>0</v>
      </c>
      <c r="BA435" s="3227"/>
      <c r="BB435" s="3227">
        <f t="shared" si="66"/>
        <v>0</v>
      </c>
      <c r="BC435" s="3227"/>
      <c r="BD435" s="3228" t="str">
        <f t="shared" si="67"/>
        <v>NA</v>
      </c>
      <c r="BF435" s="228"/>
      <c r="BG435" s="19"/>
      <c r="BH435" s="74"/>
      <c r="BI435" s="83"/>
      <c r="BJ435" s="83"/>
      <c r="BK435" s="83"/>
      <c r="BL435" s="83"/>
      <c r="BM435" s="83"/>
      <c r="BN435" s="83"/>
      <c r="BO435" s="83"/>
      <c r="BP435" s="83"/>
      <c r="BQ435" s="83"/>
      <c r="BR435" s="81"/>
      <c r="BS435" s="851" t="s">
        <v>2011</v>
      </c>
      <c r="BT435" s="81"/>
      <c r="BU435" s="3014">
        <f>BU429+BU424+BU431+BU434</f>
        <v>0</v>
      </c>
      <c r="BV435" s="81"/>
      <c r="BW435" s="4239"/>
      <c r="BX435" s="81"/>
      <c r="BY435" s="3014">
        <f>BY429+BY424+BY431+BY434</f>
        <v>0</v>
      </c>
      <c r="BZ435" s="81"/>
      <c r="CA435" s="3014">
        <f>CA429+CA424+CA431+CA434</f>
        <v>0</v>
      </c>
      <c r="CB435" s="81"/>
      <c r="CC435" s="4239"/>
      <c r="CD435" s="81"/>
      <c r="CE435" s="91"/>
      <c r="CF435" s="81"/>
    </row>
    <row r="436" spans="1:84" ht="15" customHeight="1" thickBot="1" x14ac:dyDescent="0.3">
      <c r="A436" s="2"/>
      <c r="B436" s="23" t="s">
        <v>2785</v>
      </c>
      <c r="C436" s="83"/>
      <c r="D436" s="2590">
        <f>IF(Flam_1&gt;0,D438,0)+IF(Flam_2&gt;0,D439,0)+IF(Flam_3&gt;0,D440,0)+IF(Flam_4&gt;0,D441,0)+IF(Flam_5&gt;0,D442,0)</f>
        <v>0</v>
      </c>
      <c r="E436" s="1195"/>
      <c r="F436" s="2590">
        <f>IF(Flam_1&gt;0,F438,0)+IF(Flam_2&gt;0,F439,0)+IF(Flam_3&gt;0,F440,0)+IF(Flam_4&gt;0,F441,0)+IF(Flam_5&gt;0,F442,0)</f>
        <v>0</v>
      </c>
      <c r="G436" s="1195"/>
      <c r="H436" s="2590">
        <f>IF(Flam_1&gt;0,H438,0)+IF(Flam_2&gt;0,H439,0)+IF(Flam_3&gt;0,H440,0)+IF(Flam_4&gt;0,H441,0)+IF(Flam_5&gt;0,H442,0)</f>
        <v>0</v>
      </c>
      <c r="I436" s="1195"/>
      <c r="J436" s="2590">
        <f>IF(Flam_1&gt;0,J438,0)+IF(Flam_2&gt;0,J439,0)+IF(Flam_3&gt;0,J440,0)+IF(Flam_4&gt;0,J441,0)+IF(Flam_5&gt;0,J442,0)</f>
        <v>0</v>
      </c>
      <c r="K436" s="1195"/>
      <c r="L436" s="2590">
        <f>IF(Flam_1&gt;0,L438,0)+IF(Flam_2&gt;0,L439,0)+IF(Flam_3&gt;0,L440,0)+IF(Flam_4&gt;0,L441,0)+IF(Flam_5&gt;0,L442,0)</f>
        <v>0</v>
      </c>
      <c r="M436" s="1195"/>
      <c r="N436" s="2590">
        <f>IF(Flam_1&gt;0,N438,0)+IF(Flam_2&gt;0,N439,0)+IF(Flam_3&gt;0,N440,0)+IF(Flam_4&gt;0,N441,0)+IF(Flam_5&gt;0,N442,0)</f>
        <v>0</v>
      </c>
      <c r="O436" s="1195"/>
      <c r="P436" s="2590">
        <f>IF(Flam_1&gt;0,P438,0)+IF(Flam_2&gt;0,P439,0)+IF(Flam_3&gt;0,P440,0)+IF(Flam_4&gt;0,P441,0)+IF(Flam_5&gt;0,P442,0)</f>
        <v>0</v>
      </c>
      <c r="Q436" s="1195"/>
      <c r="R436" s="2590">
        <f>IF(Flam_1&gt;0,R438,0)+IF(Flam_2&gt;0,R439,0)+IF(Flam_3&gt;0,R440,0)+IF(Flam_4&gt;0,R441,0)+IF(Flam_5&gt;0,R442,0)</f>
        <v>0</v>
      </c>
      <c r="S436" s="1195"/>
      <c r="T436" s="2590">
        <f>IF(Flam_1&gt;0,T438,0)+IF(Flam_2&gt;0,T439,0)+IF(Flam_3&gt;0,T440,0)+IF(Flam_4&gt;0,T441,0)+IF(Flam_5&gt;0,T442,0)</f>
        <v>0</v>
      </c>
      <c r="U436" s="1195"/>
      <c r="V436" s="2590">
        <f>IF(Flam_1&gt;0,V438,0)+IF(Flam_2&gt;0,V439,0)+IF(Flam_3&gt;0,V440,0)+IF(Flam_4&gt;0,V441,0)+IF(Flam_5&gt;0,V442,0)</f>
        <v>0</v>
      </c>
      <c r="W436" s="1195"/>
      <c r="X436" s="2590">
        <f>IF(Flam_1&gt;0,X438,0)+IF(Flam_2&gt;0,X439,0)+IF(Flam_3&gt;0,X440,0)+IF(Flam_4&gt;0,X441,0)+IF(Flam_5&gt;0,X442,0)</f>
        <v>0</v>
      </c>
      <c r="Y436" s="83"/>
      <c r="Z436" s="473" t="s">
        <v>1497</v>
      </c>
      <c r="AA436" s="83"/>
      <c r="AB436" s="81"/>
      <c r="AC436" s="3099" t="str">
        <f>B421</f>
        <v/>
      </c>
      <c r="AD436" s="81"/>
      <c r="AE436" s="3262">
        <f t="array" ref="AE436:AE441">IF(OR(State="Vapor",T&gt;=TBp,Inert_FeedRate=0),0,estimateOfMulticomponentDistillationPadGasSweep(Number_Trials, Trial_Gain, Max_Duration,T, Molar_HtVap, MW_Pad, Inert_FeedRate, Alpha_1, Alpha_2, Alpha_3, Alpha_4, Alpha_5, Feed_1, Feed_2, Feed_3, Feed_4, Feed_5, Rel_1, Rel_2, Rel_3, Rel_4, Rel_5, Mw_1, Mw_2, Mw_3, Mw_4, Mw_5, Sep_1, Sep_2, Sep_3, Sep_4, Sep_5, VP_A, VP_B, VP_C, Molar_Cs, TBp, P, Volume, Mw_Feed, ContainedMass, Relief_Set_Input, MAWP, Relief_Set, Fv_Relief_Depressurize, Psat))</f>
        <v>0</v>
      </c>
      <c r="AF436" s="236"/>
      <c r="AG436" s="3262">
        <f t="array" ref="AG436:AG441">IF(Pad_Vent=0,0,estimateOfMulticomponentDistillationPadGasSweep(Number_Trials, Trial_Gain, Max_Duration,T, Molar_HtVap, MW_Pad, Inert_FeedRate, Alpha_1, Alpha_2, Alpha_3, Alpha_4, Alpha_5, Feed_1, Feed_2, Feed_3, Feed_4, Feed_5, Rel_1, Rel_2, Rel_3, Rel_4, Rel_5, Mw_1, Mw_2, Mw_3, Mw_4, Mw_5, Sep_1, Sep_2, Sep_3, Sep_4, Sep_5, VP_A, VP_B, VP_C, Molar_Cs, TBp, P, Volume, Mw_Feed, ContainedMass, Relief_Set_Input, MAWP, Relief_Set, Fv_Relief_Depressurize, Psat))</f>
        <v>0</v>
      </c>
      <c r="AH436" s="81"/>
      <c r="AI436" s="3262"/>
      <c r="AJ436" s="81"/>
      <c r="AK436" s="81"/>
      <c r="AL436" s="81"/>
      <c r="AM436" s="81"/>
      <c r="AN436" s="81"/>
      <c r="AO436" s="81"/>
      <c r="AP436" s="81"/>
      <c r="AQ436" s="473"/>
      <c r="AR436" s="81"/>
      <c r="AS436" s="83"/>
      <c r="AT436" s="1412" t="s">
        <v>783</v>
      </c>
      <c r="AU436" s="65"/>
      <c r="AV436" s="65"/>
      <c r="AW436" s="65"/>
      <c r="AX436" s="3226">
        <f>BY45</f>
        <v>0</v>
      </c>
      <c r="AZ436" s="3227">
        <f t="shared" si="65"/>
        <v>0</v>
      </c>
      <c r="BA436" s="3227"/>
      <c r="BB436" s="3227">
        <f t="shared" si="66"/>
        <v>0</v>
      </c>
      <c r="BC436" s="3227"/>
      <c r="BD436" s="3228" t="str">
        <f t="shared" si="67"/>
        <v>NA</v>
      </c>
      <c r="BF436" s="228"/>
      <c r="BG436" s="19"/>
      <c r="BH436" s="74"/>
      <c r="BI436" s="83"/>
      <c r="BJ436" s="83"/>
      <c r="BK436" s="83"/>
      <c r="BL436" s="83"/>
      <c r="BM436" s="83"/>
      <c r="BN436" s="83"/>
      <c r="BO436" s="83"/>
      <c r="BP436" s="83"/>
      <c r="BQ436" s="83"/>
      <c r="BR436" s="81"/>
      <c r="BS436" s="25" t="s">
        <v>4796</v>
      </c>
      <c r="BT436" s="81"/>
      <c r="BU436" s="3025" t="str">
        <f>IF(BU318&lt;&gt;"Yes","NA",IF(MAX(BU328/Bldg_Type_Correction,BU332/Bldg2_Type_Correction)&lt;HD_Low_Expl,Conseq_Low,IF(MAX(BU328/Bldg_Type_Correction,BU332/Bldg2_Type_Correction)&lt;HD_Moderate_Expl,Conseq_Moderate,IF(MAX(BU328/Bldg_Type_Correction,BU332/Bldg2_Type_Correction)&lt;HD_High_Expl,Conseq_High,IF(MAX(BU328/Bldg_Type_Correction,BU332/Bldg2_Type_Correction)&lt;HD_VeryHigh_Expl,Conseq_VeryHigh,Conseq_ExtremeHigh)))))</f>
        <v>NA</v>
      </c>
      <c r="BV436" s="81"/>
      <c r="BW436" s="4239"/>
      <c r="BX436" s="81"/>
      <c r="BY436" s="3025" t="str">
        <f>IF(BY318&lt;&gt;"Yes","NA",IF(MAX(BY328/Bldg_Type_Correction,BY332/Bldg2_Type_Correction)&lt;HD_Low_Expl,Conseq_Low,IF(MAX(BY328/Bldg_Type_Correction,BY332/Bldg2_Type_Correction)&lt;HD_Moderate_Expl,Conseq_Moderate,IF(MAX(BY328/Bldg_Type_Correction,BY332/Bldg2_Type_Correction)&lt;HD_High_Expl,Conseq_High,IF(MAX(BY328/Bldg_Type_Correction,BY332/Bldg2_Type_Correction)&lt;HD_VeryHigh_Expl,Conseq_VeryHigh,Conseq_ExtremeHigh)))))</f>
        <v>NA</v>
      </c>
      <c r="BZ436" s="81"/>
      <c r="CA436" s="3025" t="str">
        <f>IF(CA318&lt;&gt;"Yes","NA",IF(MAX(CA328/Bldg_Type_Correction,CA332/Bldg2_Type_Correction)&lt;HD_Low_Expl,Conseq_Low,IF(MAX(CA328/Bldg_Type_Correction,CA332/Bldg2_Type_Correction)&lt;HD_Moderate_Expl,Conseq_Moderate,IF(MAX(CA328/Bldg_Type_Correction,CA332/Bldg2_Type_Correction)&lt;HD_High_Expl,Conseq_High,IF(MAX(CA328/Bldg_Type_Correction,CA332/Bldg2_Type_Correction)&lt;HD_VeryHigh_Expl,Conseq_VeryHigh,Conseq_ExtremeHigh)))))</f>
        <v>NA</v>
      </c>
      <c r="CB436" s="81"/>
      <c r="CC436" s="4239"/>
      <c r="CD436" s="81"/>
      <c r="CE436" s="91"/>
      <c r="CF436" s="81"/>
    </row>
    <row r="437" spans="1:84" ht="15" customHeight="1" thickBot="1" x14ac:dyDescent="0.3">
      <c r="A437" s="2"/>
      <c r="B437" s="267" t="s">
        <v>2228</v>
      </c>
      <c r="C437" s="235"/>
      <c r="D437" s="1292">
        <f>SUM(D438:D443)</f>
        <v>0</v>
      </c>
      <c r="E437" s="83"/>
      <c r="F437" s="1292">
        <f>SUM(F438:F443)</f>
        <v>0</v>
      </c>
      <c r="G437" s="235"/>
      <c r="H437" s="1292">
        <f>SUM(H438:H443)</f>
        <v>0</v>
      </c>
      <c r="I437" s="235"/>
      <c r="J437" s="1292">
        <f>SUM(J438:J443)</f>
        <v>0</v>
      </c>
      <c r="K437" s="235"/>
      <c r="L437" s="1292">
        <f>SUM(L438:L443)</f>
        <v>0</v>
      </c>
      <c r="M437" s="235"/>
      <c r="N437" s="1292">
        <f>SUM(N438:N443)</f>
        <v>0</v>
      </c>
      <c r="O437" s="83"/>
      <c r="P437" s="1292">
        <f>SUM(P438:P443)</f>
        <v>0</v>
      </c>
      <c r="Q437" s="235"/>
      <c r="R437" s="1292">
        <f>SUM(R438:R443)</f>
        <v>0</v>
      </c>
      <c r="S437" s="235"/>
      <c r="T437" s="1292">
        <f>SUM(T438:T443)</f>
        <v>0</v>
      </c>
      <c r="U437" s="235"/>
      <c r="V437" s="1292">
        <f>SUM(V438:V443)</f>
        <v>0</v>
      </c>
      <c r="W437" s="235"/>
      <c r="X437" s="1292">
        <f>SUM(X438:X443)</f>
        <v>0</v>
      </c>
      <c r="Y437" s="83"/>
      <c r="Z437" s="473" t="s">
        <v>1497</v>
      </c>
      <c r="AA437" s="83"/>
      <c r="AB437" s="81"/>
      <c r="AC437" s="3099" t="str">
        <f>B422</f>
        <v/>
      </c>
      <c r="AD437" s="81"/>
      <c r="AE437" s="3262">
        <v>0</v>
      </c>
      <c r="AF437" s="236"/>
      <c r="AG437" s="3262">
        <v>0</v>
      </c>
      <c r="AH437" s="81"/>
      <c r="AI437" s="3262"/>
      <c r="AJ437" s="81"/>
      <c r="AK437" s="81"/>
      <c r="AL437" s="81"/>
      <c r="AM437" s="81"/>
      <c r="AN437" s="81"/>
      <c r="AO437" s="81"/>
      <c r="AP437" s="81"/>
      <c r="AQ437" s="473"/>
      <c r="AR437" s="81"/>
      <c r="AS437" s="83"/>
      <c r="AT437" s="1412" t="s">
        <v>2284</v>
      </c>
      <c r="AU437" s="65"/>
      <c r="AV437" s="65"/>
      <c r="AW437" s="65"/>
      <c r="AX437" s="3226">
        <f>CA45</f>
        <v>0</v>
      </c>
      <c r="AZ437" s="3227">
        <f t="shared" si="65"/>
        <v>0</v>
      </c>
      <c r="BA437" s="3227"/>
      <c r="BB437" s="3227">
        <f t="shared" si="66"/>
        <v>0</v>
      </c>
      <c r="BC437" s="3227"/>
      <c r="BD437" s="3228" t="str">
        <f t="shared" si="67"/>
        <v>NA</v>
      </c>
      <c r="BF437" s="228"/>
      <c r="BG437" s="19"/>
      <c r="BH437" s="74"/>
      <c r="BI437" s="83"/>
      <c r="BJ437" s="83"/>
      <c r="BK437" s="83"/>
      <c r="BL437" s="83"/>
      <c r="BM437" s="83"/>
      <c r="BN437" s="83"/>
      <c r="BO437" s="83"/>
      <c r="BP437" s="83"/>
      <c r="BQ437" s="83"/>
      <c r="BR437" s="81"/>
      <c r="BS437" s="25" t="s">
        <v>4230</v>
      </c>
      <c r="BT437" s="81"/>
      <c r="BU437" s="2135" t="str">
        <f>IF(Conseq_Criteria="Hazard Distance",BU436,IF(OR(BU318&lt;&gt;"Yes",BU435&lt;N_Screening),"NA",IF(BU435&lt;N_VeryLow,Conseq_VeryLow,IF(BU435&lt;N_Low,Conseq_Low,IF(BU435&lt;N_Moderate,Conseq_Moderate,IF(BU435&lt;N_High,Conseq_High,IF(BU435&lt;N_VeryHigh,Conseq_VeryHigh,Conseq_ExtremeHigh)))))))</f>
        <v>NA</v>
      </c>
      <c r="BV437" s="81"/>
      <c r="BW437" s="3151"/>
      <c r="BX437" s="81"/>
      <c r="BY437" s="2135" t="str">
        <f>IF(Conseq_Criteria="Hazard Distance",BY436,IF(OR(BY318&lt;&gt;"Yes",BY435&lt;N_Screening),"NA",IF(BY435&lt;N_VeryLow,Conseq_VeryLow,IF(BY435&lt;N_Low,Conseq_Low,IF(BY435&lt;N_Moderate,Conseq_Moderate,IF(BY435&lt;N_High,Conseq_High,IF(BY435&lt;N_VeryHigh,Conseq_VeryHigh,Conseq_ExtremeHigh)))))))</f>
        <v>NA</v>
      </c>
      <c r="BZ437" s="81"/>
      <c r="CA437" s="2135" t="str">
        <f>IF(Conseq_Criteria="Hazard Distance",CA436,IF(OR(CA318&lt;&gt;"Yes",CA435&lt;N_Screening),"NA",IF(CA435&lt;N_VeryLow,Conseq_VeryLow,IF(CA435&lt;N_Low,Conseq_Low,IF(CA435&lt;N_Moderate,Conseq_Moderate,IF(CA435&lt;N_High,Conseq_High,IF(CA435&lt;N_VeryHigh,Conseq_VeryHigh,Conseq_ExtremeHigh)))))))</f>
        <v>NA</v>
      </c>
      <c r="CB437" s="81"/>
      <c r="CC437" s="4240"/>
      <c r="CD437" s="81"/>
      <c r="CE437" s="89"/>
      <c r="CF437" s="81"/>
    </row>
    <row r="438" spans="1:84" ht="15" customHeight="1" x14ac:dyDescent="0.25">
      <c r="A438" s="2"/>
      <c r="B438" s="614" t="str">
        <f>B17</f>
        <v/>
      </c>
      <c r="C438" s="235"/>
      <c r="D438" s="1820">
        <f>IF(OR(D$418*Max_Duration&gt;(D$427+D$433),D$427=0),D428,D$418*Max_Duration*D428/(D$427+D$433))</f>
        <v>0</v>
      </c>
      <c r="E438" s="83"/>
      <c r="F438" s="1820">
        <f>IF(OR(F$418*Max_Duration&gt;(F$427+F$433),F$427=0),F428,F$418*Max_Duration*F428/(F$427+F$433))</f>
        <v>0</v>
      </c>
      <c r="G438" s="235"/>
      <c r="H438" s="1820">
        <f>IF(OR(H$418*Max_Duration&gt;(H$427+H$433),H$427=0),H428,H$418*Max_Duration*H428/(H$427+H$433))</f>
        <v>0</v>
      </c>
      <c r="I438" s="235"/>
      <c r="J438" s="1820">
        <f>IF(OR(J$418*Max_Duration&gt;(J$427+J$433),J$427=0),J428,J$418*Max_Duration*J428/(J$427+J$433))</f>
        <v>0</v>
      </c>
      <c r="K438" s="235"/>
      <c r="L438" s="1820">
        <f>IF(OR(L$418*Max_Duration&gt;(L$427+L$433),L$427=0),L428,L$418*Max_Duration*L428/(L$427+L$433))</f>
        <v>0</v>
      </c>
      <c r="M438" s="235"/>
      <c r="N438" s="1820">
        <f>IF(OR(N$418*Max_Duration&gt;(N$427+N$433),N$427=0),N428,N$418*Max_Duration*N428/(N$427+N$433))</f>
        <v>0</v>
      </c>
      <c r="O438" s="83"/>
      <c r="P438" s="1820">
        <f>IF(OR(P$418*Max_Duration&gt;(P$427+P$433),P$427=0),P428,P$418*Max_Duration*P428/(P$427+P$433))</f>
        <v>0</v>
      </c>
      <c r="Q438" s="235"/>
      <c r="R438" s="1820">
        <f>IF(OR(R$418*Max_Duration&gt;(R$427+R$433),R$427=0),R428,R$418*Max_Duration*R428/(R$427+R$433))</f>
        <v>0</v>
      </c>
      <c r="S438" s="235"/>
      <c r="T438" s="1820">
        <f>IF(OR(T$418*Max_Duration&gt;(T$427+T$433),T$427=0),T428,T$418*Max_Duration*T428/(T$427+T$433))</f>
        <v>0</v>
      </c>
      <c r="U438" s="235"/>
      <c r="V438" s="1820">
        <f>IF(OR(V$418*Max_Duration&gt;(V$427+V$433),V$427=0),V428,V$418*Max_Duration*V428/(V$427+V$433))</f>
        <v>0</v>
      </c>
      <c r="W438" s="235"/>
      <c r="X438" s="1820">
        <f>IF(OR(X$418*Max_Duration&gt;(X$427+X$433),X$427=0),X428,X$418*Max_Duration*X428/(X$427+X$433))</f>
        <v>0</v>
      </c>
      <c r="Y438" s="83"/>
      <c r="Z438" s="473" t="s">
        <v>1497</v>
      </c>
      <c r="AA438" s="83"/>
      <c r="AB438" s="81"/>
      <c r="AC438" s="3099" t="str">
        <f>B423</f>
        <v/>
      </c>
      <c r="AD438" s="81"/>
      <c r="AE438" s="3262">
        <v>0</v>
      </c>
      <c r="AF438" s="236"/>
      <c r="AG438" s="3262">
        <v>0</v>
      </c>
      <c r="AH438" s="81"/>
      <c r="AI438" s="3262"/>
      <c r="AJ438" s="81"/>
      <c r="AK438" s="81"/>
      <c r="AL438" s="81"/>
      <c r="AM438" s="81"/>
      <c r="AN438" s="81"/>
      <c r="AO438" s="81"/>
      <c r="AP438" s="81"/>
      <c r="AQ438" s="473"/>
      <c r="AR438" s="81"/>
      <c r="AS438" s="83"/>
      <c r="AT438" s="1412" t="s">
        <v>132</v>
      </c>
      <c r="AU438" s="65"/>
      <c r="AV438" s="65"/>
      <c r="AW438" s="65"/>
      <c r="AX438" s="3226">
        <f>CC45*CC12</f>
        <v>0</v>
      </c>
      <c r="AZ438" s="3227">
        <f t="shared" si="65"/>
        <v>0</v>
      </c>
      <c r="BA438" s="3227"/>
      <c r="BB438" s="3227">
        <f t="shared" si="66"/>
        <v>0</v>
      </c>
      <c r="BC438" s="3227"/>
      <c r="BD438" s="3228" t="str">
        <f t="shared" si="67"/>
        <v>NA</v>
      </c>
      <c r="BF438" s="228"/>
      <c r="BG438" s="19"/>
      <c r="BH438" s="74"/>
      <c r="BI438" s="83"/>
      <c r="BJ438" s="83"/>
      <c r="BK438" s="83"/>
      <c r="BL438" s="83"/>
      <c r="BM438" s="83"/>
      <c r="BN438" s="83"/>
      <c r="BO438" s="83"/>
      <c r="BP438" s="83"/>
      <c r="BQ438" s="83"/>
      <c r="BR438" s="81"/>
      <c r="BS438" s="84" t="s">
        <v>5299</v>
      </c>
      <c r="BT438" s="81"/>
      <c r="BU438" s="232">
        <f>(BU339/1120)^0.33*EXP((TNT_A/(LN(Blast_Direct/14.7)+TNT_B)-TNT_C))</f>
        <v>0</v>
      </c>
      <c r="BV438" s="81"/>
      <c r="BW438" s="232">
        <f>(BW339/1120)^0.33*EXP((TNT_A/(LN(Blast_Direct/14.7)+TNT_B)-TNT_C))</f>
        <v>0</v>
      </c>
      <c r="BX438" s="81"/>
      <c r="BY438" s="232">
        <f>(BY339/1120)^0.33*EXP((TNT_A/(LN(Blast_Direct/14.7)+TNT_B)-TNT_C))</f>
        <v>0</v>
      </c>
      <c r="BZ438" s="81"/>
      <c r="CA438" s="232">
        <f>(CA339/1120)^0.33*EXP((TNT_A/(LN(Blast_Direct/14.7)+TNT_B)-TNT_C))</f>
        <v>0</v>
      </c>
      <c r="CB438" s="81"/>
      <c r="CC438" s="232">
        <f>(CC339/1120)^0.33*EXP((TNT_A/(LN(Blast_Direct/14.7)+TNT_B)-TNT_C))</f>
        <v>0</v>
      </c>
      <c r="CD438" s="81"/>
      <c r="CE438" s="92" t="s">
        <v>1068</v>
      </c>
      <c r="CF438" s="81"/>
    </row>
    <row r="439" spans="1:84" ht="15" customHeight="1" x14ac:dyDescent="0.25">
      <c r="A439" s="2"/>
      <c r="B439" s="512" t="str">
        <f>B18</f>
        <v/>
      </c>
      <c r="C439" s="235"/>
      <c r="D439" s="1820">
        <f>IF(OR(D$418*Max_Duration&gt;(D$427+D$433),D$427=0),D429,D$418*Max_Duration*D429/(D$427+D$433))</f>
        <v>0</v>
      </c>
      <c r="E439" s="83"/>
      <c r="F439" s="1820">
        <f>IF(OR(F$418*Max_Duration&gt;(F$427+F$433),F$427=0),F429,F$418*Max_Duration*F429/(F$427+F$433))</f>
        <v>0</v>
      </c>
      <c r="G439" s="235"/>
      <c r="H439" s="1820">
        <f>IF(OR(H$418*Max_Duration&gt;(H$427+H$433),H$427=0),H429,H$418*Max_Duration*H429/(H$427+H$433))</f>
        <v>0</v>
      </c>
      <c r="I439" s="235"/>
      <c r="J439" s="1820">
        <f>IF(OR(J$418*Max_Duration&gt;(J$427+J$433),J$427=0),J429,J$418*Max_Duration*J429/(J$427+J$433))</f>
        <v>0</v>
      </c>
      <c r="K439" s="235"/>
      <c r="L439" s="1820">
        <f>IF(OR(L$418*Max_Duration&gt;(L$427+L$433),L$427=0),L429,L$418*Max_Duration*L429/(L$427+L$433))</f>
        <v>0</v>
      </c>
      <c r="M439" s="235"/>
      <c r="N439" s="1820">
        <f>IF(OR(N$418*Max_Duration&gt;(N$427+N$433),N$427=0),N429,N$418*Max_Duration*N429/(N$427+N$433))</f>
        <v>0</v>
      </c>
      <c r="O439" s="83"/>
      <c r="P439" s="1820">
        <f>IF(OR(P$418*Max_Duration&gt;(P$427+P$433),P$427=0),P429,P$418*Max_Duration*P429/(P$427+P$433))</f>
        <v>0</v>
      </c>
      <c r="Q439" s="235"/>
      <c r="R439" s="1820">
        <f>IF(OR(R$418*Max_Duration&gt;(R$427+R$433),R$427=0),R429,R$418*Max_Duration*R429/(R$427+R$433))</f>
        <v>0</v>
      </c>
      <c r="S439" s="235"/>
      <c r="T439" s="1820">
        <f>IF(OR(T$418*Max_Duration&gt;(T$427+T$433),T$427=0),T429,T$418*Max_Duration*T429/(T$427+T$433))</f>
        <v>0</v>
      </c>
      <c r="U439" s="235"/>
      <c r="V439" s="1820">
        <f>IF(OR(V$418*Max_Duration&gt;(V$427+V$433),V$427=0),V429,V$418*Max_Duration*V429/(V$427+V$433))</f>
        <v>0</v>
      </c>
      <c r="W439" s="235"/>
      <c r="X439" s="1820">
        <f>IF(OR(X$418*Max_Duration&gt;(X$427+X$433),X$427=0),X429,X$418*Max_Duration*X429/(X$427+X$433))</f>
        <v>0</v>
      </c>
      <c r="Y439" s="83"/>
      <c r="Z439" s="473" t="s">
        <v>1497</v>
      </c>
      <c r="AA439" s="83"/>
      <c r="AB439" s="81"/>
      <c r="AC439" s="3099" t="str">
        <f>B424</f>
        <v/>
      </c>
      <c r="AD439" s="81"/>
      <c r="AE439" s="3262">
        <v>0</v>
      </c>
      <c r="AF439" s="236"/>
      <c r="AG439" s="3262">
        <v>0</v>
      </c>
      <c r="AH439" s="81"/>
      <c r="AI439" s="3262"/>
      <c r="AJ439" s="81"/>
      <c r="AK439" s="81"/>
      <c r="AL439" s="81"/>
      <c r="AM439" s="81"/>
      <c r="AN439" s="81"/>
      <c r="AO439" s="81"/>
      <c r="AP439" s="81"/>
      <c r="AQ439" s="473"/>
      <c r="AR439" s="81"/>
      <c r="AS439" s="83"/>
      <c r="AT439" s="1412" t="s">
        <v>33</v>
      </c>
      <c r="AU439" s="65"/>
      <c r="AV439" s="65"/>
      <c r="AW439" s="65"/>
      <c r="AX439" s="3226">
        <f>IF(CJ8&gt;CJ16,CJ8-CJ16,0)</f>
        <v>0</v>
      </c>
      <c r="AZ439" s="3227">
        <f t="shared" si="65"/>
        <v>0</v>
      </c>
      <c r="BA439" s="3227"/>
      <c r="BB439" s="3227">
        <f t="shared" si="66"/>
        <v>0</v>
      </c>
      <c r="BC439" s="3227"/>
      <c r="BD439" s="3228" t="str">
        <f t="shared" si="67"/>
        <v>NA</v>
      </c>
      <c r="BF439" s="228"/>
      <c r="BG439" s="19"/>
      <c r="BH439" s="74"/>
      <c r="BI439" s="83"/>
      <c r="BJ439" s="83"/>
      <c r="BK439" s="83"/>
      <c r="BL439" s="83"/>
      <c r="BM439" s="83"/>
      <c r="BN439" s="83"/>
      <c r="BO439" s="83"/>
      <c r="BP439" s="83"/>
      <c r="BQ439" s="83"/>
      <c r="BR439" s="81"/>
      <c r="BS439" s="85" t="s">
        <v>4004</v>
      </c>
      <c r="BT439" s="81"/>
      <c r="BU439" s="1183">
        <f>Blast_Fragments*(PV_Energy/1120)^0.33</f>
        <v>0</v>
      </c>
      <c r="BV439" s="81"/>
      <c r="BW439" s="1183">
        <f>Blast_Fragments*(BW339/1120)^0.33</f>
        <v>0</v>
      </c>
      <c r="BX439" s="81"/>
      <c r="BY439" s="1183">
        <f>Blast_Fragments*(PV_Energy_Tsat/1120)^0.33</f>
        <v>0</v>
      </c>
      <c r="BZ439" s="81"/>
      <c r="CA439" s="1183">
        <f>Blast_Fragments*(CA339/1120)^0.33</f>
        <v>0</v>
      </c>
      <c r="CB439" s="81"/>
      <c r="CC439" s="1183">
        <f>Blast_Fragments*(PV_Energy_Fire/1120)^0.33</f>
        <v>0</v>
      </c>
      <c r="CD439" s="81"/>
      <c r="CE439" s="85" t="s">
        <v>1068</v>
      </c>
      <c r="CF439" s="81"/>
    </row>
    <row r="440" spans="1:84" ht="15.75" customHeight="1" thickBot="1" x14ac:dyDescent="0.3">
      <c r="A440" s="2"/>
      <c r="B440" s="512" t="str">
        <f>B19</f>
        <v/>
      </c>
      <c r="C440" s="235"/>
      <c r="D440" s="1820">
        <f>IF(OR(D$418*Max_Duration&gt;(D$427+D$433),D$427=0),D430,D$418*Max_Duration*D430/(D$427+D$433))</f>
        <v>0</v>
      </c>
      <c r="E440" s="83"/>
      <c r="F440" s="1820">
        <f>IF(OR(F$418*Max_Duration&gt;(F$427+F$433),F$427=0),F430,F$418*Max_Duration*F430/(F$427+F$433))</f>
        <v>0</v>
      </c>
      <c r="G440" s="235"/>
      <c r="H440" s="1820">
        <f>IF(OR(H$418*Max_Duration&gt;(H$427+H$433),H$427=0),H430,H$418*Max_Duration*H430/(H$427+H$433))</f>
        <v>0</v>
      </c>
      <c r="I440" s="235"/>
      <c r="J440" s="1820">
        <f>IF(OR(J$418*Max_Duration&gt;(J$427+J$433),J$427=0),J430,J$418*Max_Duration*J430/(J$427+J$433))</f>
        <v>0</v>
      </c>
      <c r="K440" s="235"/>
      <c r="L440" s="1820">
        <f>IF(OR(L$418*Max_Duration&gt;(L$427+L$433),L$427=0),L430,L$418*Max_Duration*L430/(L$427+L$433))</f>
        <v>0</v>
      </c>
      <c r="M440" s="235"/>
      <c r="N440" s="1820">
        <f>IF(OR(N$418*Max_Duration&gt;(N$427+N$433),N$427=0),N430,N$418*Max_Duration*N430/(N$427+N$433))</f>
        <v>0</v>
      </c>
      <c r="O440" s="83"/>
      <c r="P440" s="1820">
        <f>IF(OR(P$418*Max_Duration&gt;(P$427+P$433),P$427=0),P430,P$418*Max_Duration*P430/(P$427+P$433))</f>
        <v>0</v>
      </c>
      <c r="Q440" s="235"/>
      <c r="R440" s="1820">
        <f>IF(OR(R$418*Max_Duration&gt;(R$427+R$433),R$427=0),R430,R$418*Max_Duration*R430/(R$427+R$433))</f>
        <v>0</v>
      </c>
      <c r="S440" s="235"/>
      <c r="T440" s="1820">
        <f>IF(OR(T$418*Max_Duration&gt;(T$427+T$433),T$427=0),T430,T$418*Max_Duration*T430/(T$427+T$433))</f>
        <v>0</v>
      </c>
      <c r="U440" s="235"/>
      <c r="V440" s="1820">
        <f>IF(OR(V$418*Max_Duration&gt;(V$427+V$433),V$427=0),V430,V$418*Max_Duration*V430/(V$427+V$433))</f>
        <v>0</v>
      </c>
      <c r="W440" s="235"/>
      <c r="X440" s="1820">
        <f>IF(OR(X$418*Max_Duration&gt;(X$427+X$433),X$427=0),X430,X$418*Max_Duration*X430/(X$427+X$433))</f>
        <v>0</v>
      </c>
      <c r="Y440" s="83"/>
      <c r="Z440" s="473" t="s">
        <v>1497</v>
      </c>
      <c r="AA440" s="83"/>
      <c r="AB440" s="81"/>
      <c r="AC440" s="3099" t="str">
        <f>B425</f>
        <v/>
      </c>
      <c r="AD440" s="81"/>
      <c r="AE440" s="3262">
        <v>0</v>
      </c>
      <c r="AF440" s="236"/>
      <c r="AG440" s="3262">
        <v>0</v>
      </c>
      <c r="AH440" s="81"/>
      <c r="AI440" s="3262"/>
      <c r="AJ440" s="81"/>
      <c r="AK440" s="81"/>
      <c r="AL440" s="81"/>
      <c r="AM440" s="81"/>
      <c r="AN440" s="81"/>
      <c r="AO440" s="81"/>
      <c r="AP440" s="81"/>
      <c r="AQ440" s="473"/>
      <c r="AR440" s="81"/>
      <c r="AS440" s="83"/>
      <c r="AT440" s="1414"/>
      <c r="AU440" s="40"/>
      <c r="AV440" s="40"/>
      <c r="AW440" s="65"/>
      <c r="AX440" s="19"/>
      <c r="AZ440" s="1415"/>
      <c r="BA440" s="1415"/>
      <c r="BB440" s="19"/>
      <c r="BC440" s="1415"/>
      <c r="BD440" s="19"/>
      <c r="BE440" s="40"/>
      <c r="BG440" s="19"/>
      <c r="BH440" s="74"/>
      <c r="BI440" s="83"/>
      <c r="BJ440" s="83"/>
      <c r="BK440" s="83"/>
      <c r="BL440" s="83"/>
      <c r="BM440" s="83"/>
      <c r="BN440" s="83"/>
      <c r="BO440" s="83"/>
      <c r="BP440" s="83"/>
      <c r="BQ440" s="83"/>
      <c r="BR440" s="81"/>
      <c r="BS440" s="23" t="s">
        <v>164</v>
      </c>
      <c r="BT440" s="81"/>
      <c r="BU440" s="1206">
        <f>3.142*BU438^2+BU439*IF(OR(Equipment="Turbine or Gas Expander",Brittle="Yes"),3.142*BU439,2)</f>
        <v>0</v>
      </c>
      <c r="BV440" s="81"/>
      <c r="BW440" s="1206">
        <f>3.142*BW438^2+BW439*IF(Brittle="Yes",3.142*BW439,2)</f>
        <v>0</v>
      </c>
      <c r="BX440" s="81"/>
      <c r="BY440" s="1206">
        <f>3.142*BY438^2+BY439*IF(Brittle="Yes",0.1*3.142*BY439,2)</f>
        <v>0</v>
      </c>
      <c r="BZ440" s="81"/>
      <c r="CA440" s="1206">
        <f>3.142*CA438^2+CA439*IF(Brittle="Yes",3.142*CA439,2)</f>
        <v>0</v>
      </c>
      <c r="CB440" s="81"/>
      <c r="CC440" s="1206">
        <f>3.142*CC438^2+CC439*IF(Brittle="Yes",3.142*CC439,2)</f>
        <v>0</v>
      </c>
      <c r="CD440" s="81"/>
      <c r="CE440" s="85" t="s">
        <v>3804</v>
      </c>
      <c r="CF440" s="81"/>
    </row>
    <row r="441" spans="1:84" ht="15" customHeight="1" thickBot="1" x14ac:dyDescent="0.3">
      <c r="A441" s="2"/>
      <c r="B441" s="512" t="str">
        <f>B20</f>
        <v/>
      </c>
      <c r="C441" s="235"/>
      <c r="D441" s="1820">
        <f>IF(OR(D$418*Max_Duration&gt;(D$427+D$433),D$427=0),D431,D$418*Max_Duration*D431/(D$427+D$433))</f>
        <v>0</v>
      </c>
      <c r="E441" s="83"/>
      <c r="F441" s="1820">
        <f>IF(OR(F$418*Max_Duration&gt;(F$427+F$433),F$427=0),F431,F$418*Max_Duration*F431/(F$427+F$433))</f>
        <v>0</v>
      </c>
      <c r="G441" s="235"/>
      <c r="H441" s="1820">
        <f>IF(OR(H$418*Max_Duration&gt;(H$427+H$433),H$427=0),H431,H$418*Max_Duration*H431/(H$427+H$433))</f>
        <v>0</v>
      </c>
      <c r="I441" s="235"/>
      <c r="J441" s="1820">
        <f>IF(OR(J$418*Max_Duration&gt;(J$427+J$433),J$427=0),J431,J$418*Max_Duration*J431/(J$427+J$433))</f>
        <v>0</v>
      </c>
      <c r="K441" s="235"/>
      <c r="L441" s="1820">
        <f>IF(OR(L$418*Max_Duration&gt;(L$427+L$433),L$427=0),L431,L$418*Max_Duration*L431/(L$427+L$433))</f>
        <v>0</v>
      </c>
      <c r="M441" s="235"/>
      <c r="N441" s="1820">
        <f>IF(OR(N$418*Max_Duration&gt;(N$427+N$433),N$427=0),N431,N$418*Max_Duration*N431/(N$427+N$433))</f>
        <v>0</v>
      </c>
      <c r="O441" s="83"/>
      <c r="P441" s="1820">
        <f>IF(OR(P$418*Max_Duration&gt;(P$427+P$433),P$427=0),P431,P$418*Max_Duration*P431/(P$427+P$433))</f>
        <v>0</v>
      </c>
      <c r="Q441" s="235"/>
      <c r="R441" s="1820">
        <f>IF(OR(R$418*Max_Duration&gt;(R$427+R$433),R$427=0),R431,R$418*Max_Duration*R431/(R$427+R$433))</f>
        <v>0</v>
      </c>
      <c r="S441" s="235"/>
      <c r="T441" s="1820">
        <f>IF(OR(T$418*Max_Duration&gt;(T$427+T$433),T$427=0),T431,T$418*Max_Duration*T431/(T$427+T$433))</f>
        <v>0</v>
      </c>
      <c r="U441" s="235"/>
      <c r="V441" s="1820">
        <f>IF(OR(V$418*Max_Duration&gt;(V$427+V$433),V$427=0),V431,V$418*Max_Duration*V431/(V$427+V$433))</f>
        <v>0</v>
      </c>
      <c r="W441" s="235"/>
      <c r="X441" s="1820">
        <f>IF(OR(X$418*Max_Duration&gt;(X$427+X$433),X$427=0),X431,X$418*Max_Duration*X431/(X$427+X$433))</f>
        <v>0</v>
      </c>
      <c r="Y441" s="83"/>
      <c r="Z441" s="473" t="s">
        <v>1497</v>
      </c>
      <c r="AA441" s="83"/>
      <c r="AB441" s="81"/>
      <c r="AC441" s="2407" t="s">
        <v>4630</v>
      </c>
      <c r="AD441" s="81"/>
      <c r="AE441" s="2411">
        <v>0</v>
      </c>
      <c r="AF441" s="236"/>
      <c r="AG441" s="2411">
        <v>0</v>
      </c>
      <c r="AH441" s="81"/>
      <c r="AI441" s="2411"/>
      <c r="AJ441" s="81"/>
      <c r="AK441" s="81"/>
      <c r="AL441" s="81"/>
      <c r="AM441" s="81"/>
      <c r="AN441" s="81"/>
      <c r="AO441" s="81"/>
      <c r="AP441" s="81"/>
      <c r="AQ441" s="473"/>
      <c r="AR441" s="81"/>
      <c r="AS441" s="83"/>
      <c r="AT441" s="672"/>
      <c r="AU441" s="19"/>
      <c r="AV441" s="19"/>
      <c r="AX441" s="3228" t="s">
        <v>1169</v>
      </c>
      <c r="AY441" s="3228"/>
      <c r="AZ441" s="3228" t="s">
        <v>1091</v>
      </c>
      <c r="BA441" s="3228"/>
      <c r="BB441" s="3228" t="s">
        <v>599</v>
      </c>
      <c r="BC441" s="7" t="s">
        <v>4783</v>
      </c>
      <c r="BG441" s="19"/>
      <c r="BH441" s="74"/>
      <c r="BI441" s="83"/>
      <c r="BJ441" s="83"/>
      <c r="BK441" s="83"/>
      <c r="BL441" s="83"/>
      <c r="BM441" s="83"/>
      <c r="BN441" s="83"/>
      <c r="BO441" s="83"/>
      <c r="BP441" s="83"/>
      <c r="BQ441" s="83"/>
      <c r="BR441" s="81"/>
      <c r="BS441" s="23" t="s">
        <v>2006</v>
      </c>
      <c r="BT441" s="81"/>
      <c r="BU441" s="1207">
        <f>IF(Location="Indoors",IF(BU440&lt;Enclosed_Process_Volume^0.67/2,BU440*Op_Indoors/Enclosed_Process_Volume^0.67/2,Op_Indoors/2),BU440*Onsite_PD/1000000)+IF(AND(BU$292="Yes",BU438&gt;HD_Severe_Impact),0.9,0)</f>
        <v>0</v>
      </c>
      <c r="BV441" s="81"/>
      <c r="BW441" s="1207">
        <f>IF(Location="Indoors",IF(BW440&lt;Enclosed_Process_Volume^0.67/2,BW440*Op_Indoors/Enclosed_Process_Volume^0.67/2,Op_Indoors/2),BW440*Onsite_PD/1000000)+IF(AND(BW$292="Yes",BW438&gt;HD_Severe_Impact),0.9,0)</f>
        <v>0</v>
      </c>
      <c r="BX441" s="81"/>
      <c r="BY441" s="1207">
        <f>IF(Location="Indoors",IF(BY440&lt;Enclosed_Process_Volume^0.67/2,BY440*Op_Indoors/Enclosed_Process_Volume^0.67/2,Op_Indoors/2),BY440*Onsite_PD/1000000)+IF(AND(BY$292="Yes",BY438&gt;HD_Severe_Impact),0.9,0)</f>
        <v>0</v>
      </c>
      <c r="BZ441" s="81"/>
      <c r="CA441" s="1207">
        <f>IF(Location="Indoors",IF(CA440&lt;Enclosed_Process_Volume^0.67/2,CA440*Op_Indoors/Enclosed_Process_Volume^0.67/2,Op_Indoors/2),CA440*Onsite_PD/1000000)+IF(AND(CA$292="Yes",CA438&gt;HD_Severe_Impact),0.9,0)</f>
        <v>0</v>
      </c>
      <c r="CB441" s="81"/>
      <c r="CC441" s="1207">
        <f>IF(Location="Indoors",IF(CC440&lt;Enclosed_Process_Volume^0.67/2,CC440*Op_Indoors/Enclosed_Process_Volume^0.67/2,Op_Indoors/2),CC440*Onsite_PD/1000000)+IF(AND(CC$292="Yes",CC438&gt;HD_Severe_Impact),0.9,0)</f>
        <v>0</v>
      </c>
      <c r="CD441" s="81"/>
      <c r="CE441" s="85"/>
      <c r="CF441" s="81"/>
    </row>
    <row r="442" spans="1:84" ht="15" customHeight="1" x14ac:dyDescent="0.25">
      <c r="A442" s="2"/>
      <c r="B442" s="512" t="str">
        <f>B21</f>
        <v/>
      </c>
      <c r="C442" s="235"/>
      <c r="D442" s="1820">
        <f>IF(OR(D$418*Max_Duration&gt;(D$427+D$433),D$427=0),D432,D$418*Max_Duration*D432/(D$427+D$433))</f>
        <v>0</v>
      </c>
      <c r="E442" s="83"/>
      <c r="F442" s="1820">
        <f>IF(OR(F$418*Max_Duration&gt;(F$427+F$433),F$427=0),F432,F$418*Max_Duration*F432/(F$427+F$433))</f>
        <v>0</v>
      </c>
      <c r="G442" s="235"/>
      <c r="H442" s="1820">
        <f>IF(OR(H$418*Max_Duration&gt;(H$427+H$433),H$427=0),H432,H$418*Max_Duration*H432/(H$427+H$433))</f>
        <v>0</v>
      </c>
      <c r="I442" s="235"/>
      <c r="J442" s="1820">
        <f>IF(OR(J$418*Max_Duration&gt;(J$427+J$433),J$427=0),J432,J$418*Max_Duration*J432/(J$427+J$433))</f>
        <v>0</v>
      </c>
      <c r="K442" s="235"/>
      <c r="L442" s="1820">
        <f>IF(OR(L$418*Max_Duration&gt;(L$427+L$433),L$427=0),L432,L$418*Max_Duration*L432/(L$427+L$433))</f>
        <v>0</v>
      </c>
      <c r="M442" s="235"/>
      <c r="N442" s="1820">
        <f>IF(OR(N$418*Max_Duration&gt;(N$427+N$433),N$427=0),N432,N$418*Max_Duration*N432/(N$427+N$433))</f>
        <v>0</v>
      </c>
      <c r="O442" s="83"/>
      <c r="P442" s="1820">
        <f>IF(OR(P$418*Max_Duration&gt;(P$427+P$433),P$427=0),P432,P$418*Max_Duration*P432/(P$427+P$433))</f>
        <v>0</v>
      </c>
      <c r="Q442" s="235"/>
      <c r="R442" s="1820">
        <f>IF(OR(R$418*Max_Duration&gt;(R$427+R$433),R$427=0),R432,R$418*Max_Duration*R432/(R$427+R$433))</f>
        <v>0</v>
      </c>
      <c r="S442" s="235"/>
      <c r="T442" s="1820">
        <f>IF(OR(T$418*Max_Duration&gt;(T$427+T$433),T$427=0),T432,T$418*Max_Duration*T432/(T$427+T$433))</f>
        <v>0</v>
      </c>
      <c r="U442" s="235"/>
      <c r="V442" s="1820">
        <f>IF(OR(V$418*Max_Duration&gt;(V$427+V$433),V$427=0),V432,V$418*Max_Duration*V432/(V$427+V$433))</f>
        <v>0</v>
      </c>
      <c r="W442" s="235"/>
      <c r="X442" s="1820">
        <f>IF(OR(X$418*Max_Duration&gt;(X$427+X$433),X$427=0),X432,X$418*Max_Duration*X432/(X$427+X$433))</f>
        <v>0</v>
      </c>
      <c r="Y442" s="83"/>
      <c r="Z442" s="473" t="s">
        <v>1497</v>
      </c>
      <c r="AA442" s="83"/>
      <c r="AB442" s="81"/>
      <c r="AC442" s="614" t="str">
        <f>B428</f>
        <v/>
      </c>
      <c r="AD442" s="81"/>
      <c r="AE442" s="2402">
        <f>IF(Disk_Relief="Yes",Depressurization_1+GasPad_1_Sweep,GasPad_1_Sweep)*ContainedMass*WFeed_1</f>
        <v>0</v>
      </c>
      <c r="AF442" s="81"/>
      <c r="AG442" s="2402">
        <f>GasPad_1_Displacement*ContainedMass*WFeed_1</f>
        <v>0</v>
      </c>
      <c r="AH442" s="81"/>
      <c r="AI442" s="2402">
        <f>IF(Disk_Relief="Yes",Depressurization_1+GasPad_1_Sweep,GasPad_1_Sweep)*ContainedMass*WFeed_1</f>
        <v>0</v>
      </c>
      <c r="AJ442" s="81"/>
      <c r="AK442" s="81"/>
      <c r="AL442" s="81"/>
      <c r="AM442" s="81"/>
      <c r="AN442" s="81"/>
      <c r="AO442" s="81"/>
      <c r="AP442" s="81"/>
      <c r="AQ442" s="473" t="s">
        <v>1497</v>
      </c>
      <c r="AR442" s="81"/>
      <c r="AS442" s="83"/>
      <c r="AT442" s="672"/>
      <c r="AU442" s="19"/>
      <c r="AV442" s="19"/>
      <c r="AX442" s="3227">
        <v>4</v>
      </c>
      <c r="AY442" s="3227"/>
      <c r="AZ442" s="3227">
        <v>3</v>
      </c>
      <c r="BA442" s="3227"/>
      <c r="BB442" s="3227">
        <v>2</v>
      </c>
      <c r="BC442" s="7" t="s">
        <v>4607</v>
      </c>
      <c r="BG442" s="19"/>
      <c r="BH442" s="74"/>
      <c r="BI442" s="83"/>
      <c r="BJ442" s="83"/>
      <c r="BK442" s="83"/>
      <c r="BL442" s="83"/>
      <c r="BM442" s="83"/>
      <c r="BN442" s="83"/>
      <c r="BO442" s="83"/>
      <c r="BP442" s="83"/>
      <c r="BQ442" s="83"/>
      <c r="BR442" s="81"/>
      <c r="BS442" s="85" t="s">
        <v>1996</v>
      </c>
      <c r="BT442" s="81"/>
      <c r="BU442" s="1208">
        <v>0</v>
      </c>
      <c r="BV442" s="81"/>
      <c r="BW442" s="1208">
        <v>0</v>
      </c>
      <c r="BX442" s="81"/>
      <c r="BY442" s="1208">
        <v>0</v>
      </c>
      <c r="BZ442" s="81"/>
      <c r="CA442" s="1208">
        <v>0</v>
      </c>
      <c r="CB442" s="81"/>
      <c r="CC442" s="1208">
        <v>0</v>
      </c>
      <c r="CD442" s="81"/>
      <c r="CE442" s="85"/>
      <c r="CF442" s="81"/>
    </row>
    <row r="443" spans="1:84" ht="15" customHeight="1" thickBot="1" x14ac:dyDescent="0.3">
      <c r="A443" s="2"/>
      <c r="B443" s="615" t="s">
        <v>5130</v>
      </c>
      <c r="C443" s="235"/>
      <c r="D443" s="1820">
        <f>IF(OR(D$418*Max_Duration&gt;(D$427+D$433),D$427=0),D433+Inert_FeedRate*D435,D$418*Max_Duration*D433/(D$427+D$433))</f>
        <v>0</v>
      </c>
      <c r="E443" s="83"/>
      <c r="F443" s="1820">
        <f>IF(OR(F$418*Max_Duration&gt;(F$427+F$433),F$427=0),F433+Inert_FeedRate*F435,F$418*Max_Duration*F433/(F$427+F$433))</f>
        <v>0</v>
      </c>
      <c r="G443" s="235"/>
      <c r="H443" s="1820">
        <f>IF(OR(H$418*Max_Duration&gt;(H$427+H$433),H$427=0),H433+Inert_FeedRate*H435,H$418*Max_Duration*H433/(H$427+H$433))</f>
        <v>0</v>
      </c>
      <c r="I443" s="235"/>
      <c r="J443" s="1820">
        <f>IF(OR(J$418*Max_Duration&gt;(J$427+J$433),J$427=0),J433+Inert_FeedRate*J435,J$418*Max_Duration*J433/(J$427+J$433))</f>
        <v>0</v>
      </c>
      <c r="K443" s="235"/>
      <c r="L443" s="1820">
        <f>IF(OR(L$418*Max_Duration&gt;(L$427+L$433),L$427=0),L433+Inert_FeedRate*L435,L$418*Max_Duration*L433/(L$427+L$433))</f>
        <v>0</v>
      </c>
      <c r="M443" s="235"/>
      <c r="N443" s="1820">
        <f>IF(OR(N$418*Max_Duration&gt;(N$427+N$433),N$427=0),N433+Inert_FeedRate*N435,N$418*Max_Duration*N433/(N$427+N$433))</f>
        <v>0</v>
      </c>
      <c r="O443" s="83"/>
      <c r="P443" s="1820">
        <f>IF(OR(P$418*Max_Duration&gt;(P$427+P$433),P$427=0),P433+Inert_FeedRate*P435,P$418*Max_Duration*P433/(P$427+P$433))</f>
        <v>0</v>
      </c>
      <c r="Q443" s="235"/>
      <c r="R443" s="1820">
        <f>IF(OR(R$418*Max_Duration&gt;(R$427+R$433),R$427=0),R433+Inert_FeedRate*R435,R$418*Max_Duration*R433/(R$427+R$433))</f>
        <v>0</v>
      </c>
      <c r="S443" s="235"/>
      <c r="T443" s="1820">
        <f>IF(OR(T$418*Max_Duration&gt;(T$427+T$433),T$427=0),T433+Inert_FeedRate*T435,T$418*Max_Duration*T433/(T$427+T$433))</f>
        <v>0</v>
      </c>
      <c r="U443" s="235"/>
      <c r="V443" s="1820">
        <f>IF(OR(V$418*Max_Duration&gt;(V$427+V$433),V$427=0),V433+Inert_FeedRate*V435,V$418*Max_Duration*V433/(V$427+V$433))</f>
        <v>0</v>
      </c>
      <c r="W443" s="235"/>
      <c r="X443" s="1820">
        <f>IF(OR(X$418*Max_Duration&gt;(X$427+X$433),X$427=0),X433+Inert_FeedRate*X435,X$418*Max_Duration*X433/(X$427+X$433))</f>
        <v>0</v>
      </c>
      <c r="Y443" s="83"/>
      <c r="Z443" s="473" t="s">
        <v>1497</v>
      </c>
      <c r="AA443" s="83"/>
      <c r="AB443" s="81"/>
      <c r="AC443" s="512" t="str">
        <f>B429</f>
        <v/>
      </c>
      <c r="AD443" s="81"/>
      <c r="AE443" s="2631">
        <f>IF(Disk_Relief="Yes",Depressurization_2+GasPad_2_Sweep,GasPad_2_Sweep)*ContainedMass*WFeed_2</f>
        <v>0</v>
      </c>
      <c r="AF443" s="81"/>
      <c r="AG443" s="2631">
        <f>GasPad_2_Displacement*ContainedMass*WFeed_2</f>
        <v>0</v>
      </c>
      <c r="AH443" s="81"/>
      <c r="AI443" s="2631">
        <f>IF(Disk_Relief="Yes",Depressurization_2+GasPad_2_Sweep,GasPad_2_Sweep)*ContainedMass*WFeed_2</f>
        <v>0</v>
      </c>
      <c r="AJ443" s="81"/>
      <c r="AK443" s="81"/>
      <c r="AL443" s="81"/>
      <c r="AM443" s="81"/>
      <c r="AN443" s="81"/>
      <c r="AO443" s="81"/>
      <c r="AP443" s="81"/>
      <c r="AQ443" s="473" t="s">
        <v>1497</v>
      </c>
      <c r="AR443" s="81"/>
      <c r="AS443" s="83"/>
      <c r="AT443" s="1414"/>
      <c r="AU443" s="40"/>
      <c r="AV443" s="72" t="s">
        <v>653</v>
      </c>
      <c r="AW443" s="35"/>
      <c r="AX443" s="3230" t="s">
        <v>4701</v>
      </c>
      <c r="AY443" s="3230"/>
      <c r="AZ443" s="3230"/>
      <c r="BA443" s="3230"/>
      <c r="BB443" s="3230"/>
      <c r="BD443" s="7" t="s">
        <v>4606</v>
      </c>
      <c r="BG443" s="19"/>
      <c r="BH443" s="74"/>
      <c r="BI443" s="83"/>
      <c r="BJ443" s="83"/>
      <c r="BK443" s="83"/>
      <c r="BL443" s="83"/>
      <c r="BM443" s="83"/>
      <c r="BN443" s="83"/>
      <c r="BO443" s="83"/>
      <c r="BP443" s="83"/>
      <c r="BQ443" s="83"/>
      <c r="BR443" s="81"/>
      <c r="BS443" s="25" t="s">
        <v>4804</v>
      </c>
      <c r="BT443" s="81"/>
      <c r="BU443" s="1208" t="str">
        <f>IF(BU438&lt;HD_Screening_Limit,"NA",IF(AND(BU$292&lt;&gt;"Yes",BU438&lt;HD_VeryLow_PE),Conseq_VeryLow,IF(BU438&lt;HD_Low_PE,Conseq_Low,IF(BU438&lt;HD_Moderate_PE,Conseq_Moderate,IF(BU438&lt;HD_High_PE,Conseq_High,IF(BU438&lt;HD_VeryHigh_PE,Conseq_VeryHigh,Conseq_ExtremeHigh))))))</f>
        <v>NA</v>
      </c>
      <c r="BV443" s="81"/>
      <c r="BW443" s="1208" t="str">
        <f>IF(BW438&lt;HD_Screening_Limit,"NA",IF(AND(BW$292&lt;&gt;"Yes",BW438&lt;HD_VeryLow_PE),Conseq_VeryLow,IF(BW438&lt;HD_Low_PE,Conseq_Low,IF(BW438&lt;HD_Moderate_PE,Conseq_Moderate,IF(BW438&lt;HD_High_PE,Conseq_High,IF(BW438&lt;HD_VeryHigh_PE,Conseq_VeryHigh,Conseq_ExtremeHigh))))))</f>
        <v>NA</v>
      </c>
      <c r="BX443" s="81"/>
      <c r="BY443" s="1208" t="str">
        <f>IF(BY438&lt;HD_Screening_Limit,"NA",IF(AND(BY$292&lt;&gt;"Yes",BY438&lt;HD_VeryLow_PE),Conseq_VeryLow,IF(BY438&lt;HD_Low_PE,Conseq_Low,IF(BY438&lt;HD_Moderate_PE,Conseq_Moderate,IF(BY438&lt;HD_High_PE,Conseq_High,IF(BY438&lt;HD_VeryHigh_PE,Conseq_VeryHigh,Conseq_ExtremeHigh))))))</f>
        <v>NA</v>
      </c>
      <c r="BZ443" s="81"/>
      <c r="CA443" s="1208" t="str">
        <f>IF(CA438&lt;HD_Screening_Limit,"NA",IF(AND(CA$292&lt;&gt;"Yes",CA438&lt;HD_VeryLow_PE),Conseq_VeryLow,IF(CA438&lt;HD_Low_PE,Conseq_Low,IF(CA438&lt;HD_Moderate_PE,Conseq_Moderate,IF(CA438&lt;HD_High_PE,Conseq_High,IF(CA438&lt;HD_VeryHigh_PE,Conseq_VeryHigh,Conseq_ExtremeHigh))))))</f>
        <v>NA</v>
      </c>
      <c r="CB443" s="81"/>
      <c r="CC443" s="1208" t="str">
        <f>IF(CC438&lt;HD_Screening_Limit,"NA",IF(AND(CC$292&lt;&gt;"Yes",CC438&lt;HD_VeryLow_PE),Conseq_VeryLow,IF(CC438&lt;HD_Low_PE,Conseq_Low,IF(CC438&lt;HD_Moderate_PE,Conseq_Moderate,IF(CC438&lt;HD_High_PE,Conseq_High,IF(CC438&lt;HD_VeryHigh_PE,Conseq_VeryHigh,Conseq_ExtremeHigh))))))</f>
        <v>NA</v>
      </c>
      <c r="CD443" s="81"/>
      <c r="CE443" s="85"/>
      <c r="CF443" s="81"/>
    </row>
    <row r="444" spans="1:84" ht="15" customHeight="1" thickBot="1" x14ac:dyDescent="0.3">
      <c r="A444" s="2"/>
      <c r="B444" s="614" t="str">
        <f>IF(B17="","","Vapor Mol Fraction "&amp;B17)</f>
        <v/>
      </c>
      <c r="C444" s="235"/>
      <c r="D444" s="1289">
        <f>IF(SUM(D438:D442)&gt;0,D438/MAX(Mw_1,1)/(D438/MAX(Mw_1,1)+D439/MAX(Mw_2,1)+D440/MAX(Mw_3,1)+D441/MAX(Mw_4,1)+D442/MAX(Mw_5,1)),0)</f>
        <v>0</v>
      </c>
      <c r="E444" s="83"/>
      <c r="F444" s="1289">
        <f>IF(SUM(F438:F442)&gt;0,F438/MAX(Mw_1,1)/(F438/MAX(Mw_1,1)+F439/MAX(Mw_2,1)+F440/MAX(Mw_3,1)+F441/MAX(Mw_4,1)+F442/MAX(Mw_5,1)),0)</f>
        <v>0</v>
      </c>
      <c r="G444" s="235"/>
      <c r="H444" s="1289">
        <f>IF(SUM(H438:H442)&gt;0,H438/MAX(Mw_1,1)/(H438/MAX(Mw_1,1)+H439/MAX(Mw_2,1)+H440/MAX(Mw_3,1)+H441/MAX(Mw_4,1)+H442/MAX(Mw_5,1)),0)</f>
        <v>0</v>
      </c>
      <c r="I444" s="235"/>
      <c r="J444" s="1289">
        <f>IF(SUM(J438:J442)&gt;0,J438/MAX(Mw_1,1)/(J438/MAX(Mw_1,1)+J439/MAX(Mw_2,1)+J440/MAX(Mw_3,1)+J441/MAX(Mw_4,1)+J442/MAX(Mw_5,1)),0)</f>
        <v>0</v>
      </c>
      <c r="K444" s="235"/>
      <c r="L444" s="1289">
        <f>IF(SUM(L438:L442)&gt;0,L438/MAX(Mw_1,1)/(L438/MAX(Mw_1,1)+L439/MAX(Mw_2,1)+L440/MAX(Mw_3,1)+L441/MAX(Mw_4,1)+L442/MAX(Mw_5,1)),0)</f>
        <v>0</v>
      </c>
      <c r="M444" s="235"/>
      <c r="N444" s="1289">
        <f>IF(SUM(N438:N442)&gt;0,N438/MAX(Mw_1,1)/(N438/MAX(Mw_1,1)+N439/MAX(Mw_2,1)+N440/MAX(Mw_3,1)+N441/MAX(Mw_4,1)+N442/MAX(Mw_5,1)),0)</f>
        <v>0</v>
      </c>
      <c r="O444" s="235"/>
      <c r="P444" s="1289">
        <f>IF(SUM(P438:P442)&gt;0,P438/MAX(Mw_1,1)/(P438/MAX(Mw_1,1)+P439/MAX(Mw_2,1)+P440/MAX(Mw_3,1)+P441/MAX(Mw_4,1)+P442/MAX(Mw_5,1)),0)</f>
        <v>0</v>
      </c>
      <c r="Q444" s="235"/>
      <c r="R444" s="1289">
        <f>IF(SUM(R438:R442)&gt;0,R438/MAX(Mw_1,1)/(R438/MAX(Mw_1,1)+R439/MAX(Mw_2,1)+R440/MAX(Mw_3,1)+R441/MAX(Mw_4,1)+R442/MAX(Mw_5,1)),0)</f>
        <v>0</v>
      </c>
      <c r="S444" s="235"/>
      <c r="T444" s="1289">
        <f>IF(SUM(T438:T442)&gt;0,T438/MAX(Mw_1,1)/(T438/MAX(Mw_1,1)+T439/MAX(Mw_2,1)+T440/MAX(Mw_3,1)+T441/MAX(Mw_4,1)+T442/MAX(Mw_5,1)),0)</f>
        <v>0</v>
      </c>
      <c r="U444" s="235"/>
      <c r="V444" s="1289">
        <f>IF(SUM(V438:V442)&gt;0,V438/MAX(Mw_1,1)/(V438/MAX(Mw_1,1)+V439/MAX(Mw_2,1)+V440/MAX(Mw_3,1)+V441/MAX(Mw_4,1)+V442/MAX(Mw_5,1)),0)</f>
        <v>0</v>
      </c>
      <c r="W444" s="235"/>
      <c r="X444" s="1289">
        <f>IF(SUM(X438:X442)&gt;0,X438/MAX(Mw_1,1)/(X438/MAX(Mw_1,1)+X439/MAX(Mw_2,1)+X440/MAX(Mw_3,1)+X441/MAX(Mw_4,1)+X442/MAX(Mw_5,1)),0)</f>
        <v>0</v>
      </c>
      <c r="Y444" s="235"/>
      <c r="Z444" s="473"/>
      <c r="AA444" s="83"/>
      <c r="AB444" s="81"/>
      <c r="AC444" s="512" t="str">
        <f>B430</f>
        <v/>
      </c>
      <c r="AD444" s="81"/>
      <c r="AE444" s="2631">
        <f>IF(Disk_Relief="Yes",Depressurization_3+GasPad_3_Sweep,GasPad_3_Sweep)*ContainedMass*WFeed_3</f>
        <v>0</v>
      </c>
      <c r="AF444" s="81"/>
      <c r="AG444" s="2631">
        <f>GasPad_3_Displacement*ContainedMass*WFeed_3</f>
        <v>0</v>
      </c>
      <c r="AH444" s="81"/>
      <c r="AI444" s="2631">
        <f>IF(Disk_Relief="Yes",Depressurization_3+GasPad_3_Sweep,GasPad_3_Sweep)*ContainedMass*WFeed_3</f>
        <v>0</v>
      </c>
      <c r="AJ444" s="81"/>
      <c r="AK444" s="81"/>
      <c r="AL444" s="81"/>
      <c r="AM444" s="81"/>
      <c r="AN444" s="81"/>
      <c r="AO444" s="81"/>
      <c r="AP444" s="81"/>
      <c r="AQ444" s="473" t="s">
        <v>1497</v>
      </c>
      <c r="AR444" s="81"/>
      <c r="AS444" s="83"/>
      <c r="AT444" s="1414"/>
      <c r="AU444" s="40"/>
      <c r="AV444" s="72" t="str">
        <f>"&lt; "&amp;WaterLimit_ExtremeHigh_Environ&amp;" Kg"</f>
        <v>&lt; 100000 Kg</v>
      </c>
      <c r="AW444" s="72"/>
      <c r="AX444" s="3231">
        <f>Conseq_ExtremeHigh_Environ</f>
        <v>5</v>
      </c>
      <c r="AY444" s="3228"/>
      <c r="AZ444" s="3232">
        <f>Conseq_VeryHigh_Environ</f>
        <v>5</v>
      </c>
      <c r="BA444" s="3228"/>
      <c r="BB444" s="3233">
        <f>Conseq_High_Environ</f>
        <v>5</v>
      </c>
      <c r="BC444" s="7" t="str">
        <f>" &lt; "&amp;SoilLimit_ExtremeHigh_Environ&amp;" Kg"</f>
        <v xml:space="preserve"> &lt; 1000000 Kg</v>
      </c>
      <c r="BG444" s="19"/>
      <c r="BH444" s="74"/>
      <c r="BI444" s="83"/>
      <c r="BJ444" s="83"/>
      <c r="BK444" s="83"/>
      <c r="BL444" s="83"/>
      <c r="BM444" s="83"/>
      <c r="BN444" s="83"/>
      <c r="BO444" s="83"/>
      <c r="BP444" s="83"/>
      <c r="BQ444" s="83"/>
      <c r="BR444" s="81"/>
      <c r="BS444" s="25" t="s">
        <v>4231</v>
      </c>
      <c r="BT444" s="81"/>
      <c r="BU444" s="2135" t="str">
        <f>IF(Conseq_Criteria="Hazard Distance",BU443,IF(BU438&lt;HD_Screening_Limit,"NA",IF(BU441&lt;N_Low,Conseq_Low,IF(BU441&lt;N_Moderate,Conseq_Moderate,IF(BU441&lt;N_High,Conseq_High,IF(BU441&lt;N_VeryHigh,Conseq_VeryHigh,Conseq_ExtremeHigh))))))</f>
        <v>NA</v>
      </c>
      <c r="BV444" s="81"/>
      <c r="BW444" s="2135" t="str">
        <f>IF(Conseq_Criteria="Hazard Distance",BW443,IF(BW438&lt;HD_Screening_Limit,"NA",IF(BW441&lt;N_Low,Conseq_Low,IF(BW441&lt;N_Moderate,Conseq_Moderate,IF(BW441&lt;N_High,Conseq_High,IF(BW441&lt;N_VeryHigh,Conseq_VeryHigh,Conseq_ExtremeHigh))))))</f>
        <v>NA</v>
      </c>
      <c r="BX444" s="81"/>
      <c r="BY444" s="2135" t="str">
        <f>IF(Conseq_Criteria="Hazard Distance",BY443,IF(BY438&lt;HD_Screening_Limit,"NA",IF(BY441&lt;N_Low,Conseq_Low,IF(BY441&lt;N_Moderate,Conseq_Moderate,IF(BY441&lt;N_High,Conseq_High,IF(BY441&lt;N_VeryHigh,Conseq_VeryHigh,Conseq_ExtremeHigh))))))</f>
        <v>NA</v>
      </c>
      <c r="BZ444" s="81"/>
      <c r="CA444" s="2135" t="str">
        <f>IF(Conseq_Criteria="Hazard Distance",CA443,IF(CA438&lt;HD_Screening_Limit,"NA",IF(CA441&lt;N_Low,Conseq_Low,IF(CA441&lt;N_Moderate,Conseq_Moderate,IF(CA441&lt;N_High,Conseq_High,IF(CA441&lt;N_VeryHigh,Conseq_VeryHigh,Conseq_ExtremeHigh))))))</f>
        <v>NA</v>
      </c>
      <c r="CB444" s="81"/>
      <c r="CC444" s="2135" t="str">
        <f>IF(Conseq_Criteria="Hazard Distance",CC443,IF(CC438&lt;HD_Screening_Limit,"NA",IF(CC441&lt;N_Low,Conseq_Low,IF(CC441&lt;N_Moderate,Conseq_Moderate,IF(CC441&lt;N_High,Conseq_High,IF(CC441&lt;N_VeryHigh,Conseq_VeryHigh,Conseq_ExtremeHigh))))))</f>
        <v>NA</v>
      </c>
      <c r="CD444" s="81"/>
      <c r="CE444" s="1830"/>
      <c r="CF444" s="81"/>
    </row>
    <row r="445" spans="1:84" ht="15" customHeight="1" x14ac:dyDescent="0.25">
      <c r="A445" s="2"/>
      <c r="B445" s="512" t="str">
        <f>IF(B18="","","Vapor Mol Fraction "&amp;B18)</f>
        <v/>
      </c>
      <c r="C445" s="235"/>
      <c r="D445" s="1289">
        <f>IF(SUM(D438:D442)&gt;0,D439/MAX(Mw_2,1)/(D438/MAX(Mw_1,1)+D439/MAX(Mw_2,1)+D440/MAX(Mw_3,1)+D441/MAX(Mw_4,1)+D442/MAX(Mw_5,1)),0)</f>
        <v>0</v>
      </c>
      <c r="E445" s="83"/>
      <c r="F445" s="1289">
        <f>IF(SUM(F438:F442)&gt;0,F439/MAX(Mw_2,1)/(F438/MAX(Mw_1,1)+F439/MAX(Mw_2,1)+F440/MAX(Mw_3,1)+F441/MAX(Mw_4,1)+F442/MAX(Mw_5,1)),0)</f>
        <v>0</v>
      </c>
      <c r="G445" s="235"/>
      <c r="H445" s="1289">
        <f>IF(SUM(H438:H442)&gt;0,H439/MAX(Mw_2,1)/(H438/MAX(Mw_1,1)+H439/MAX(Mw_2,1)+H440/MAX(Mw_3,1)+H441/MAX(Mw_4,1)+H442/MAX(Mw_5,1)),0)</f>
        <v>0</v>
      </c>
      <c r="I445" s="235"/>
      <c r="J445" s="1289">
        <f>IF(SUM(J438:J442)&gt;0,J439/MAX(Mw_2,1)/(J438/MAX(Mw_1,1)+J439/MAX(Mw_2,1)+J440/MAX(Mw_3,1)+J441/MAX(Mw_4,1)+J442/MAX(Mw_5,1)),0)</f>
        <v>0</v>
      </c>
      <c r="K445" s="235"/>
      <c r="L445" s="1289">
        <f>IF(SUM(L438:L442)&gt;0,L439/MAX(Mw_2,1)/(L438/MAX(Mw_1,1)+L439/MAX(Mw_2,1)+L440/MAX(Mw_3,1)+L441/MAX(Mw_4,1)+L442/MAX(Mw_5,1)),0)</f>
        <v>0</v>
      </c>
      <c r="M445" s="235"/>
      <c r="N445" s="1289">
        <f>IF(SUM(N438:N442)&gt;0,N439/MAX(Mw_2,1)/(N438/MAX(Mw_1,1)+N439/MAX(Mw_2,1)+N440/MAX(Mw_3,1)+N441/MAX(Mw_4,1)+N442/MAX(Mw_5,1)),0)</f>
        <v>0</v>
      </c>
      <c r="O445" s="235"/>
      <c r="P445" s="1289">
        <f>IF(SUM(P438:P442)&gt;0,P439/MAX(Mw_2,1)/(P438/MAX(Mw_1,1)+P439/MAX(Mw_2,1)+P440/MAX(Mw_3,1)+P441/MAX(Mw_4,1)+P442/MAX(Mw_5,1)),0)</f>
        <v>0</v>
      </c>
      <c r="Q445" s="235"/>
      <c r="R445" s="1289">
        <f>IF(SUM(R438:R442)&gt;0,R439/MAX(Mw_2,1)/(R438/MAX(Mw_1,1)+R439/MAX(Mw_2,1)+R440/MAX(Mw_3,1)+R441/MAX(Mw_4,1)+R442/MAX(Mw_5,1)),0)</f>
        <v>0</v>
      </c>
      <c r="S445" s="235"/>
      <c r="T445" s="1289">
        <f>IF(SUM(T438:T442)&gt;0,T439/MAX(Mw_2,1)/(T438/MAX(Mw_1,1)+T439/MAX(Mw_2,1)+T440/MAX(Mw_3,1)+T441/MAX(Mw_4,1)+T442/MAX(Mw_5,1)),0)</f>
        <v>0</v>
      </c>
      <c r="U445" s="235"/>
      <c r="V445" s="1289">
        <f>IF(SUM(V438:V442)&gt;0,V439/MAX(Mw_2,1)/(V438/MAX(Mw_1,1)+V439/MAX(Mw_2,1)+V440/MAX(Mw_3,1)+V441/MAX(Mw_4,1)+V442/MAX(Mw_5,1)),0)</f>
        <v>0</v>
      </c>
      <c r="W445" s="235"/>
      <c r="X445" s="1289">
        <f>IF(SUM(X438:X442)&gt;0,X439/MAX(Mw_2,1)/(X438/MAX(Mw_1,1)+X439/MAX(Mw_2,1)+X440/MAX(Mw_3,1)+X441/MAX(Mw_4,1)+X442/MAX(Mw_5,1)),0)</f>
        <v>0</v>
      </c>
      <c r="Y445" s="235"/>
      <c r="Z445" s="473"/>
      <c r="AA445" s="83"/>
      <c r="AB445" s="81"/>
      <c r="AC445" s="512" t="str">
        <f>B431</f>
        <v/>
      </c>
      <c r="AD445" s="81"/>
      <c r="AE445" s="2631">
        <f>IF(Disk_Relief="Yes",Depressurization_4+GasPad_4_Sweep,GasPad_4_Sweep)*ContainedMass*WFeed_4</f>
        <v>0</v>
      </c>
      <c r="AF445" s="81"/>
      <c r="AG445" s="2631">
        <f>GasPad_4_Displacement*ContainedMass*WFeed_4</f>
        <v>0</v>
      </c>
      <c r="AH445" s="81"/>
      <c r="AI445" s="2631">
        <f>IF(Disk_Relief="Yes",Depressurization_4+GasPad_4_Sweep,GasPad_4_Sweep)*ContainedMass*WFeed_4</f>
        <v>0</v>
      </c>
      <c r="AJ445" s="81"/>
      <c r="AK445" s="81"/>
      <c r="AL445" s="81"/>
      <c r="AM445" s="81"/>
      <c r="AN445" s="81"/>
      <c r="AO445" s="81"/>
      <c r="AP445" s="81"/>
      <c r="AQ445" s="473" t="s">
        <v>1497</v>
      </c>
      <c r="AR445" s="81"/>
      <c r="AS445" s="83"/>
      <c r="AT445" s="1414"/>
      <c r="AU445" s="40"/>
      <c r="AV445" s="72" t="str">
        <f>"&lt; "&amp;WaterLimit_VeryHigh_Environ&amp;" Kg"</f>
        <v>&lt; 10000 Kg</v>
      </c>
      <c r="AW445" s="72"/>
      <c r="AX445" s="3232">
        <f>Conseq_VeryHigh_Environ</f>
        <v>5</v>
      </c>
      <c r="AY445" s="3228"/>
      <c r="AZ445" s="3233">
        <f>Conseq_High_Environ</f>
        <v>5</v>
      </c>
      <c r="BA445" s="3228"/>
      <c r="BB445" s="3234">
        <f>Conseq_Moderate_Environ</f>
        <v>4</v>
      </c>
      <c r="BC445" s="7" t="str">
        <f>" &lt; "&amp;SoilLimit_VeryHigh_Environ&amp;" Kg"</f>
        <v xml:space="preserve"> &lt; 100000 Kg</v>
      </c>
      <c r="BG445" s="19"/>
      <c r="BH445" s="74"/>
      <c r="BI445" s="83"/>
      <c r="BJ445" s="83"/>
      <c r="BK445" s="83"/>
      <c r="BL445" s="83"/>
      <c r="BM445" s="83"/>
      <c r="BN445" s="83"/>
      <c r="BO445" s="83"/>
      <c r="BP445" s="83"/>
      <c r="BQ445" s="83"/>
      <c r="BR445" s="81"/>
      <c r="BS445" s="23" t="s">
        <v>2008</v>
      </c>
      <c r="BT445" s="81"/>
      <c r="BU445" s="120">
        <f>IF(BU348&lt;&gt;"Yes",0,EXP(-Bldg_Type_Coefficient*(Bldg_Type_Correction/BU344)^Bldg_Type_Exponent))</f>
        <v>0</v>
      </c>
      <c r="BV445" s="81"/>
      <c r="BW445" s="120">
        <f>IF(BW348&lt;&gt;"Yes",0,EXP(-Bldg_Type_Coefficient*(Bldg_Type_Correction/BW344)^Bldg_Type_Exponent))</f>
        <v>0</v>
      </c>
      <c r="BX445" s="81"/>
      <c r="BY445" s="120">
        <f>IF(BY348&lt;&gt;"Yes",0,EXP(-Bldg_Type_Coefficient*(Bldg_Type_Correction/BY344)^Bldg_Type_Exponent))</f>
        <v>0</v>
      </c>
      <c r="BZ445" s="81"/>
      <c r="CA445" s="120">
        <f>IF(CA348&lt;&gt;"Yes",0,EXP(-Bldg_Type_Coefficient*(Bldg_Type_Correction/CA344)^Bldg_Type_Exponent))</f>
        <v>0</v>
      </c>
      <c r="CB445" s="81"/>
      <c r="CC445" s="120">
        <f>IF(CC348&lt;&gt;"Yes",0,EXP(-Bldg_Type_Coefficient*(Bldg_Type_Correction/CC344)^Bldg_Type_Exponent))</f>
        <v>0</v>
      </c>
      <c r="CD445" s="81"/>
      <c r="CE445" s="107"/>
      <c r="CF445" s="81"/>
    </row>
    <row r="446" spans="1:84" ht="15" customHeight="1" x14ac:dyDescent="0.25">
      <c r="A446" s="2"/>
      <c r="B446" s="512" t="str">
        <f>IF(B19="","","Vapor Mol Fraction "&amp;B19)</f>
        <v/>
      </c>
      <c r="C446" s="235"/>
      <c r="D446" s="1289">
        <f>IF(SUM(D438:D442)&gt;0,D440/MAX(Mw_3,1)/(D438/MAX(Mw_1,1)+D439/MAX(Mw_2,1)+D440/MAX(Mw_3,1)+D441/MAX(Mw_4,1)+D442/MAX(Mw_5,1)),0)</f>
        <v>0</v>
      </c>
      <c r="E446" s="235"/>
      <c r="F446" s="1289">
        <f>IF(SUM(F438:F442)&gt;0,F440/MAX(Mw_3,1)/(F438/MAX(Mw_1,1)+F439/MAX(Mw_2,1)+F440/MAX(Mw_3,1)+F441/MAX(Mw_4,1)+F442/MAX(Mw_5,1)),0)</f>
        <v>0</v>
      </c>
      <c r="G446" s="235"/>
      <c r="H446" s="1289">
        <f>IF(SUM(H438:H442)&gt;0,H440/MAX(Mw_3,1)/(H438/MAX(Mw_1,1)+H439/MAX(Mw_2,1)+H440/MAX(Mw_3,1)+H441/MAX(Mw_4,1)+H442/MAX(Mw_5,1)),0)</f>
        <v>0</v>
      </c>
      <c r="I446" s="235"/>
      <c r="J446" s="1289">
        <f>IF(SUM(J438:J442)&gt;0,J440/MAX(Mw_3,1)/(J438/MAX(Mw_1,1)+J439/MAX(Mw_2,1)+J440/MAX(Mw_3,1)+J441/MAX(Mw_4,1)+J442/MAX(Mw_5,1)),0)</f>
        <v>0</v>
      </c>
      <c r="K446" s="235"/>
      <c r="L446" s="1289">
        <f>IF(SUM(L438:L442)&gt;0,L440/MAX(Mw_3,1)/(L438/MAX(Mw_1,1)+L439/MAX(Mw_2,1)+L440/MAX(Mw_3,1)+L441/MAX(Mw_4,1)+L442/MAX(Mw_5,1)),0)</f>
        <v>0</v>
      </c>
      <c r="M446" s="235"/>
      <c r="N446" s="1289">
        <f>IF(SUM(N438:N442)&gt;0,N440/MAX(Mw_3,1)/(N438/MAX(Mw_1,1)+N439/MAX(Mw_2,1)+N440/MAX(Mw_3,1)+N441/MAX(Mw_4,1)+N442/MAX(Mw_5,1)),0)</f>
        <v>0</v>
      </c>
      <c r="O446" s="235"/>
      <c r="P446" s="1289">
        <f>IF(SUM(P438:P442)&gt;0,P440/MAX(Mw_3,1)/(P438/MAX(Mw_1,1)+P439/MAX(Mw_2,1)+P440/MAX(Mw_3,1)+P441/MAX(Mw_4,1)+P442/MAX(Mw_5,1)),0)</f>
        <v>0</v>
      </c>
      <c r="Q446" s="235"/>
      <c r="R446" s="1289">
        <f>IF(SUM(R438:R442)&gt;0,R440/MAX(Mw_3,1)/(R438/MAX(Mw_1,1)+R439/MAX(Mw_2,1)+R440/MAX(Mw_3,1)+R441/MAX(Mw_4,1)+R442/MAX(Mw_5,1)),0)</f>
        <v>0</v>
      </c>
      <c r="S446" s="235"/>
      <c r="T446" s="1289">
        <f>IF(SUM(T438:T442)&gt;0,T440/MAX(Mw_3,1)/(T438/MAX(Mw_1,1)+T439/MAX(Mw_2,1)+T440/MAX(Mw_3,1)+T441/MAX(Mw_4,1)+T442/MAX(Mw_5,1)),0)</f>
        <v>0</v>
      </c>
      <c r="U446" s="235"/>
      <c r="V446" s="1289">
        <f>IF(SUM(V438:V442)&gt;0,V440/MAX(Mw_3,1)/(V438/MAX(Mw_1,1)+V439/MAX(Mw_2,1)+V440/MAX(Mw_3,1)+V441/MAX(Mw_4,1)+V442/MAX(Mw_5,1)),0)</f>
        <v>0</v>
      </c>
      <c r="W446" s="235"/>
      <c r="X446" s="1289">
        <f>IF(SUM(X438:X442)&gt;0,X440/MAX(Mw_3,1)/(X438/MAX(Mw_1,1)+X439/MAX(Mw_2,1)+X440/MAX(Mw_3,1)+X441/MAX(Mw_4,1)+X442/MAX(Mw_5,1)),0)</f>
        <v>0</v>
      </c>
      <c r="Y446" s="235"/>
      <c r="Z446" s="473"/>
      <c r="AA446" s="83"/>
      <c r="AB446" s="81"/>
      <c r="AC446" s="512" t="str">
        <f>B432</f>
        <v/>
      </c>
      <c r="AD446" s="81"/>
      <c r="AE446" s="2631">
        <f>IF(Disk_Relief="Yes",Depressurization_5+GasPad_5_Sweep,GasPad_5_Sweep)*ContainedMass*WFeed_5</f>
        <v>0</v>
      </c>
      <c r="AF446" s="81"/>
      <c r="AG446" s="2631">
        <f>GasPad_5_Displacement*ContainedMass*WFeed_5</f>
        <v>0</v>
      </c>
      <c r="AH446" s="81"/>
      <c r="AI446" s="2631">
        <f>IF(Disk_Relief="Yes",Depressurization_5+GasPad_5_Sweep,GasPad_5_Sweep)*ContainedMass*WFeed_5</f>
        <v>0</v>
      </c>
      <c r="AJ446" s="81"/>
      <c r="AK446" s="81"/>
      <c r="AL446" s="81"/>
      <c r="AM446" s="81"/>
      <c r="AN446" s="81"/>
      <c r="AO446" s="81"/>
      <c r="AP446" s="81"/>
      <c r="AQ446" s="473" t="s">
        <v>1497</v>
      </c>
      <c r="AR446" s="81"/>
      <c r="AS446" s="83"/>
      <c r="AT446" s="1414"/>
      <c r="AU446" s="40"/>
      <c r="AV446" s="72" t="str">
        <f>"&lt; "&amp;WaterLimit_High_Environ&amp;" Kg"</f>
        <v>&lt; 1000 Kg</v>
      </c>
      <c r="AW446" s="72"/>
      <c r="AX446" s="3233">
        <f>Conseq_High_Environ</f>
        <v>5</v>
      </c>
      <c r="AY446" s="3228"/>
      <c r="AZ446" s="3234">
        <f>Conseq_Moderate_Environ</f>
        <v>4</v>
      </c>
      <c r="BA446" s="3228"/>
      <c r="BB446" s="3235">
        <f>Conseq_Low_Environ</f>
        <v>3</v>
      </c>
      <c r="BC446" s="7" t="str">
        <f>" &lt; "&amp;SoilLimit_High_Environ&amp;" Kg"</f>
        <v xml:space="preserve"> &lt; 10000 Kg</v>
      </c>
      <c r="BG446" s="19"/>
      <c r="BH446" s="74"/>
      <c r="BI446" s="83"/>
      <c r="BJ446" s="83"/>
      <c r="BK446" s="83"/>
      <c r="BL446" s="83"/>
      <c r="BM446" s="83"/>
      <c r="BN446" s="83"/>
      <c r="BO446" s="83"/>
      <c r="BP446" s="83"/>
      <c r="BQ446" s="83"/>
      <c r="BR446" s="81"/>
      <c r="BS446" s="23" t="s">
        <v>2009</v>
      </c>
      <c r="BT446" s="81"/>
      <c r="BU446" s="1820">
        <f>BU445*Occupants_atRisk</f>
        <v>0</v>
      </c>
      <c r="BV446" s="81"/>
      <c r="BW446" s="1820">
        <f>BW445*Occupants_atRisk</f>
        <v>0</v>
      </c>
      <c r="BX446" s="81"/>
      <c r="BY446" s="1820">
        <f>BY445*Occupants_atRisk</f>
        <v>0</v>
      </c>
      <c r="BZ446" s="81"/>
      <c r="CA446" s="1820">
        <f>CA445*Occupants_atRisk</f>
        <v>0</v>
      </c>
      <c r="CB446" s="81"/>
      <c r="CC446" s="1820">
        <f>CC445*Occupants_atRisk</f>
        <v>0</v>
      </c>
      <c r="CD446" s="81"/>
      <c r="CE446" s="23"/>
      <c r="CF446" s="81"/>
    </row>
    <row r="447" spans="1:84" ht="15" customHeight="1" thickBot="1" x14ac:dyDescent="0.3">
      <c r="A447" s="2"/>
      <c r="B447" s="512" t="str">
        <f>IF(B20="","","Vapor Mol Fraction "&amp;B20)</f>
        <v/>
      </c>
      <c r="C447" s="235"/>
      <c r="D447" s="1289">
        <f>IF(SUM(D438:D442)&gt;0,D441/MAX(Mw_4,1)/(D438/MAX(Mw_1,1)+D439/MAX(Mw_2,1)+D440/MAX(Mw_3,1)+D441/MAX(Mw_4,1)+D442/MAX(Mw_5,1)),0)</f>
        <v>0</v>
      </c>
      <c r="E447" s="235"/>
      <c r="F447" s="1289">
        <f>IF(SUM(F438:F442)&gt;0,F441/MAX(Mw_4,1)/(F438/MAX(Mw_1,1)+F439/MAX(Mw_2,1)+F440/MAX(Mw_3,1)+F441/MAX(Mw_4,1)+F442/MAX(Mw_5,1)),0)</f>
        <v>0</v>
      </c>
      <c r="G447" s="235"/>
      <c r="H447" s="1289">
        <f>IF(SUM(H438:H442)&gt;0,H441/MAX(Mw_4,1)/(H438/MAX(Mw_1,1)+H439/MAX(Mw_2,1)+H440/MAX(Mw_3,1)+H441/MAX(Mw_4,1)+H442/MAX(Mw_5,1)),0)</f>
        <v>0</v>
      </c>
      <c r="I447" s="235"/>
      <c r="J447" s="1289">
        <f>IF(SUM(J438:J442)&gt;0,J441/MAX(Mw_4,1)/(J438/MAX(Mw_1,1)+J439/MAX(Mw_2,1)+J440/MAX(Mw_3,1)+J441/MAX(Mw_4,1)+J442/MAX(Mw_5,1)),0)</f>
        <v>0</v>
      </c>
      <c r="K447" s="235"/>
      <c r="L447" s="1289">
        <f>IF(SUM(L438:L442)&gt;0,L441/MAX(Mw_4,1)/(L438/MAX(Mw_1,1)+L439/MAX(Mw_2,1)+L440/MAX(Mw_3,1)+L441/MAX(Mw_4,1)+L442/MAX(Mw_5,1)),0)</f>
        <v>0</v>
      </c>
      <c r="M447" s="235"/>
      <c r="N447" s="1289">
        <f>IF(SUM(N438:N442)&gt;0,N441/MAX(Mw_4,1)/(N438/MAX(Mw_1,1)+N439/MAX(Mw_2,1)+N440/MAX(Mw_3,1)+N441/MAX(Mw_4,1)+N442/MAX(Mw_5,1)),0)</f>
        <v>0</v>
      </c>
      <c r="O447" s="235"/>
      <c r="P447" s="1289">
        <f>IF(SUM(P438:P442)&gt;0,P441/MAX(Mw_4,1)/(P438/MAX(Mw_1,1)+P439/MAX(Mw_2,1)+P440/MAX(Mw_3,1)+P441/MAX(Mw_4,1)+P442/MAX(Mw_5,1)),0)</f>
        <v>0</v>
      </c>
      <c r="Q447" s="235"/>
      <c r="R447" s="1289">
        <f>IF(SUM(R438:R442)&gt;0,R441/MAX(Mw_4,1)/(R438/MAX(Mw_1,1)+R439/MAX(Mw_2,1)+R440/MAX(Mw_3,1)+R441/MAX(Mw_4,1)+R442/MAX(Mw_5,1)),0)</f>
        <v>0</v>
      </c>
      <c r="S447" s="235"/>
      <c r="T447" s="1289">
        <f>IF(SUM(T438:T442)&gt;0,T441/MAX(Mw_4,1)/(T438/MAX(Mw_1,1)+T439/MAX(Mw_2,1)+T440/MAX(Mw_3,1)+T441/MAX(Mw_4,1)+T442/MAX(Mw_5,1)),0)</f>
        <v>0</v>
      </c>
      <c r="U447" s="235"/>
      <c r="V447" s="1289">
        <f>IF(SUM(V438:V442)&gt;0,V441/MAX(Mw_4,1)/(V438/MAX(Mw_1,1)+V439/MAX(Mw_2,1)+V440/MAX(Mw_3,1)+V441/MAX(Mw_4,1)+V442/MAX(Mw_5,1)),0)</f>
        <v>0</v>
      </c>
      <c r="W447" s="235"/>
      <c r="X447" s="1289">
        <f>IF(SUM(X438:X442)&gt;0,X441/MAX(Mw_4,1)/(X438/MAX(Mw_1,1)+X439/MAX(Mw_2,1)+X440/MAX(Mw_3,1)+X441/MAX(Mw_4,1)+X442/MAX(Mw_5,1)),0)</f>
        <v>0</v>
      </c>
      <c r="Y447" s="235"/>
      <c r="Z447" s="473"/>
      <c r="AA447" s="83"/>
      <c r="AB447" s="81"/>
      <c r="AC447" s="615" t="s">
        <v>5129</v>
      </c>
      <c r="AD447" s="81"/>
      <c r="AE447" s="470">
        <f>IF(IF(Relief_Set_Input="",MAWP,Relief_Set)+1-Psat&gt;0,MW_Pad*(IF(Relief_Set_Input="",MAWP,Relief_Set)+1-Psat)*Volume/(82.05*(T+273.15)),0)</f>
        <v>0</v>
      </c>
      <c r="AF447" s="81"/>
      <c r="AG447" s="470">
        <f>IF(IF(Relief_Set_Input="",MAWP,Relief_Set)+1-Psat&gt;0,MW_Pad*(IF(Relief_Set_Input="",MAWP,Relief_Set)+1-Psat)*Volume/(82.05*(T+273.15)),0)</f>
        <v>0</v>
      </c>
      <c r="AH447" s="81"/>
      <c r="AI447" s="470">
        <f>IF(P+1-Psat&gt;0,MW_Pad*(P+1-Psat)*Volume/(82.05*(T+273.15)),0)</f>
        <v>0</v>
      </c>
      <c r="AJ447" s="81"/>
      <c r="AK447" s="81"/>
      <c r="AL447" s="81"/>
      <c r="AM447" s="81"/>
      <c r="AN447" s="81"/>
      <c r="AO447" s="81"/>
      <c r="AP447" s="81"/>
      <c r="AQ447" s="473" t="s">
        <v>1497</v>
      </c>
      <c r="AR447" s="81"/>
      <c r="AS447" s="83"/>
      <c r="AT447" s="1414"/>
      <c r="AU447" s="40"/>
      <c r="AV447" s="72" t="str">
        <f>"&lt; "&amp;WaterLimit_Moderate_Environ&amp;" Kg"</f>
        <v>&lt; 100 Kg</v>
      </c>
      <c r="AW447" s="72"/>
      <c r="AX447" s="3234">
        <f>Conseq_Moderate_Environ</f>
        <v>4</v>
      </c>
      <c r="AY447" s="3228"/>
      <c r="AZ447" s="3235">
        <f>Conseq_Low_Environ</f>
        <v>3</v>
      </c>
      <c r="BA447" s="3228"/>
      <c r="BB447" s="3228">
        <f>Conseq_VeryLow_Environ</f>
        <v>2</v>
      </c>
      <c r="BC447" s="7" t="str">
        <f>" &lt; "&amp;SoilLimit_Moderate_Environ&amp;" Kg"</f>
        <v xml:space="preserve"> &lt; 1000 Kg</v>
      </c>
      <c r="BG447" s="19"/>
      <c r="BH447" s="74"/>
      <c r="BI447" s="83"/>
      <c r="BJ447" s="83"/>
      <c r="BK447" s="83"/>
      <c r="BL447" s="83"/>
      <c r="BM447" s="83"/>
      <c r="BN447" s="83"/>
      <c r="BO447" s="83"/>
      <c r="BP447" s="83"/>
      <c r="BQ447" s="83"/>
      <c r="BR447" s="81"/>
      <c r="BS447" s="23" t="s">
        <v>630</v>
      </c>
      <c r="BT447" s="81"/>
      <c r="BU447" s="321">
        <f>IF(OR(Occ_Bldg2=0,BU348&lt;&gt;"Yes"),0,EXP(-Bldg2_Type_Coefficient*(Bldg2_Type_Correction/BU346)^Bldg2_Type_Exponent))</f>
        <v>0</v>
      </c>
      <c r="BV447" s="81"/>
      <c r="BW447" s="321">
        <f>IF(OR(Occ_Bldg2=0,BW348&lt;&gt;"Yes"),0,EXP(-Bldg2_Type_Coefficient*(Bldg2_Type_Correction/BW346)^Bldg2_Type_Exponent))</f>
        <v>0</v>
      </c>
      <c r="BX447" s="81"/>
      <c r="BY447" s="321">
        <f>IF(OR(Occ_Bldg2=0,BY348&lt;&gt;"Yes"),0,EXP(-Bldg2_Type_Coefficient*(Bldg2_Type_Correction/BY346)^Bldg2_Type_Exponent))</f>
        <v>0</v>
      </c>
      <c r="BZ447" s="81"/>
      <c r="CA447" s="321">
        <f>IF(OR(Occ_Bldg2=0,CA348&lt;&gt;"Yes"),0,EXP(-Bldg2_Type_Coefficient*(Bldg2_Type_Correction/CA346)^Bldg2_Type_Exponent))</f>
        <v>0</v>
      </c>
      <c r="CB447" s="81"/>
      <c r="CC447" s="321">
        <f>IF(OR(Occ_Bldg2=0,CC348&lt;&gt;"Yes"),0,EXP(-Bldg2_Type_Coefficient*(Bldg2_Type_Correction/CC346)^Bldg2_Type_Exponent))</f>
        <v>0</v>
      </c>
      <c r="CD447" s="81"/>
      <c r="CE447" s="23"/>
      <c r="CF447" s="81"/>
    </row>
    <row r="448" spans="1:84" ht="15" customHeight="1" thickBot="1" x14ac:dyDescent="0.3">
      <c r="A448" s="2"/>
      <c r="B448" s="615" t="str">
        <f>IF(B21="","","Vapor Mol Fraction "&amp;B21)</f>
        <v/>
      </c>
      <c r="C448" s="235"/>
      <c r="D448" s="1289">
        <f>IF(SUM(D438:D442)&gt;0,D442/MAX(Mw_5,1)/(D438/MAX(Mw_1,1)+D439/MAX(Mw_2,1)+D440/MAX(Mw_3,1)+D441/MAX(Mw_4,1)+D442/MAX(Mw_5,1)),0)</f>
        <v>0</v>
      </c>
      <c r="E448" s="83"/>
      <c r="F448" s="1289">
        <f>IF(SUM(F438:F442)&gt;0,F442/MAX(Mw_5,1)/(F438/MAX(Mw_1,1)+F439/MAX(Mw_2,1)+F440/MAX(Mw_3,1)+F441/MAX(Mw_4,1)+F442/MAX(Mw_5,1)),0)</f>
        <v>0</v>
      </c>
      <c r="G448" s="235"/>
      <c r="H448" s="1289">
        <f>IF(SUM(H438:H442)&gt;0,H442/MAX(Mw_5,1)/(H438/MAX(Mw_1,1)+H439/MAX(Mw_2,1)+H440/MAX(Mw_3,1)+H441/MAX(Mw_4,1)+H442/MAX(Mw_5,1)),0)</f>
        <v>0</v>
      </c>
      <c r="I448" s="235"/>
      <c r="J448" s="1289">
        <f>IF(SUM(J438:J442)&gt;0,J442/MAX(Mw_5,1)/(J438/MAX(Mw_1,1)+J439/MAX(Mw_2,1)+J440/MAX(Mw_3,1)+J441/MAX(Mw_4,1)+J442/MAX(Mw_5,1)),0)</f>
        <v>0</v>
      </c>
      <c r="K448" s="235"/>
      <c r="L448" s="1289">
        <f>IF(SUM(L438:L442)&gt;0,L442/MAX(Mw_5,1)/(L438/MAX(Mw_1,1)+L439/MAX(Mw_2,1)+L440/MAX(Mw_3,1)+L441/MAX(Mw_4,1)+L442/MAX(Mw_5,1)),0)</f>
        <v>0</v>
      </c>
      <c r="M448" s="235"/>
      <c r="N448" s="1289">
        <f>IF(SUM(N438:N442)&gt;0,N442/MAX(Mw_5,1)/(N438/MAX(Mw_1,1)+N439/MAX(Mw_2,1)+N440/MAX(Mw_3,1)+N441/MAX(Mw_4,1)+N442/MAX(Mw_5,1)),0)</f>
        <v>0</v>
      </c>
      <c r="O448" s="235"/>
      <c r="P448" s="1289">
        <f>IF(SUM(P438:P442)&gt;0,P442/MAX(Mw_5,1)/(P438/MAX(Mw_1,1)+P439/MAX(Mw_2,1)+P440/MAX(Mw_3,1)+P441/MAX(Mw_4,1)+P442/MAX(Mw_5,1)),0)</f>
        <v>0</v>
      </c>
      <c r="Q448" s="235"/>
      <c r="R448" s="1289">
        <f>IF(SUM(R438:R442)&gt;0,R442/MAX(Mw_5,1)/(R438/MAX(Mw_1,1)+R439/MAX(Mw_2,1)+R440/MAX(Mw_3,1)+R441/MAX(Mw_4,1)+R442/MAX(Mw_5,1)),0)</f>
        <v>0</v>
      </c>
      <c r="S448" s="235"/>
      <c r="T448" s="1289">
        <f>IF(SUM(T438:T442)&gt;0,T442/MAX(Mw_5,1)/(T438/MAX(Mw_1,1)+T439/MAX(Mw_2,1)+T440/MAX(Mw_3,1)+T441/MAX(Mw_4,1)+T442/MAX(Mw_5,1)),0)</f>
        <v>0</v>
      </c>
      <c r="U448" s="235"/>
      <c r="V448" s="1289">
        <f>IF(SUM(V438:V442)&gt;0,V442/MAX(Mw_5,1)/(V438/MAX(Mw_1,1)+V439/MAX(Mw_2,1)+V440/MAX(Mw_3,1)+V441/MAX(Mw_4,1)+V442/MAX(Mw_5,1)),0)</f>
        <v>0</v>
      </c>
      <c r="W448" s="235"/>
      <c r="X448" s="1289">
        <f>IF(SUM(X438:X442)&gt;0,X442/MAX(Mw_5,1)/(X438/MAX(Mw_1,1)+X439/MAX(Mw_2,1)+X440/MAX(Mw_3,1)+X441/MAX(Mw_4,1)+X442/MAX(Mw_5,1)),0)</f>
        <v>0</v>
      </c>
      <c r="Y448" s="235"/>
      <c r="Z448" s="473"/>
      <c r="AA448" s="83"/>
      <c r="AB448" s="81"/>
      <c r="AC448" s="266" t="s">
        <v>1679</v>
      </c>
      <c r="AD448" s="81"/>
      <c r="AE448" s="108">
        <f>IF(AE432-Inert_FeedRate&gt;0,IF((AE435+AE447)/(AE432-Inert_FeedRate)&lt;Max_Duration,(AE435+AE447)/(AE432-Inert_FeedRate),Max_Duration),Max_Duration)</f>
        <v>3600</v>
      </c>
      <c r="AF448" s="81"/>
      <c r="AG448" s="108">
        <f>IF(AG432-Inert_FeedRate&gt;0,IF((AG435+AG447)/(AG432-Inert_FeedRate)&lt;Max_Duration,(AG435+AG447)/(AG432-Inert_FeedRate),Max_Duration),Max_Duration)</f>
        <v>3600</v>
      </c>
      <c r="AH448" s="81"/>
      <c r="AI448" s="108">
        <f>IF(AI432-Inert_FeedRate&gt;0,IF((AI435+AI447)/(AI432-Inert_FeedRate)&lt;Max_Duration,(AI435+AI447)/(AI432-Inert_FeedRate),Max_Duration),Max_Duration)</f>
        <v>0</v>
      </c>
      <c r="AJ448" s="81"/>
      <c r="AK448" s="81"/>
      <c r="AL448" s="81"/>
      <c r="AM448" s="81"/>
      <c r="AN448" s="81"/>
      <c r="AO448" s="81"/>
      <c r="AP448" s="81"/>
      <c r="AQ448" s="473" t="s">
        <v>1760</v>
      </c>
      <c r="AR448" s="81"/>
      <c r="AS448" s="83"/>
      <c r="AT448" s="1414"/>
      <c r="AU448" s="40"/>
      <c r="AV448" s="72" t="str">
        <f>"&lt; "&amp;WaterLimit_Low_Environ&amp;" Kg"</f>
        <v>&lt; 10 Kg</v>
      </c>
      <c r="AW448" s="72"/>
      <c r="AX448" s="3235">
        <f>Conseq_Low_Environ</f>
        <v>3</v>
      </c>
      <c r="AY448" s="3228"/>
      <c r="AZ448" s="3228">
        <f>Conseq_VeryLow_Environ</f>
        <v>2</v>
      </c>
      <c r="BA448" s="3228"/>
      <c r="BB448" s="3236"/>
      <c r="BC448" s="7" t="str">
        <f>" &lt; "&amp;SoilLimit_Low_Environ&amp;" Kg"</f>
        <v xml:space="preserve"> &lt; 100 Kg</v>
      </c>
      <c r="BG448" s="19"/>
      <c r="BH448" s="74"/>
      <c r="BI448" s="83"/>
      <c r="BJ448" s="83"/>
      <c r="BK448" s="83"/>
      <c r="BL448" s="83"/>
      <c r="BM448" s="83"/>
      <c r="BN448" s="83"/>
      <c r="BO448" s="83"/>
      <c r="BP448" s="83"/>
      <c r="BQ448" s="83"/>
      <c r="BR448" s="81"/>
      <c r="BS448" s="23" t="s">
        <v>629</v>
      </c>
      <c r="BT448" s="81"/>
      <c r="BU448" s="1820">
        <f>BU447*Occupants_atRisk2</f>
        <v>0</v>
      </c>
      <c r="BV448" s="81"/>
      <c r="BW448" s="1820">
        <f>BW447*Occupants_atRisk2</f>
        <v>0</v>
      </c>
      <c r="BX448" s="81"/>
      <c r="BY448" s="1820">
        <f>BY447*Occupants_atRisk2</f>
        <v>0</v>
      </c>
      <c r="BZ448" s="81"/>
      <c r="CA448" s="1820">
        <f>CA447*Occupants_atRisk2</f>
        <v>0</v>
      </c>
      <c r="CB448" s="81"/>
      <c r="CC448" s="1820">
        <f>CC447*Occupants_atRisk2</f>
        <v>0</v>
      </c>
      <c r="CD448" s="81"/>
      <c r="CE448" s="23"/>
      <c r="CF448" s="81"/>
    </row>
    <row r="449" spans="1:84" ht="15" customHeight="1" thickBot="1" x14ac:dyDescent="0.3">
      <c r="A449" s="2"/>
      <c r="B449" s="85" t="s">
        <v>2214</v>
      </c>
      <c r="C449" s="235"/>
      <c r="D449" s="1273">
        <f t="array" ref="D449:D455">IF(D437-D443&gt;0,MultiCompCndsOp(T,Number_Trials,1,Ambient_Temp,Act_rel,Molar_Vapor_Cs,Molar_HtVap,VP_A,VP_B,VP_C,D444,D445,D446,D447,D448,Alpha_1,Alpha_2,Alpha_3,Alpha_4,Alpha_5,Act_1,Act_2,Act_3,Act_4,Act_5,Rel_1,Rel_2,Rel_3,Rel_4,Rel_5),1)</f>
        <v>1</v>
      </c>
      <c r="E449" s="83"/>
      <c r="F449" s="1273">
        <f t="array" ref="F449:F455">IF(F437-F443&gt;0,MultiCompCndsOp(T,Number_Trials,1,Ambient_Temp,Act_rel,Molar_Vapor_Cs,Molar_HtVap,VP_A,VP_B,VP_C,F444,F445,F446,F447,F448,Alpha_1,Alpha_2,Alpha_3,Alpha_4,Alpha_5,Act_1,Act_2,Act_3,Act_4,Act_5,Rel_1,Rel_2,Rel_3,Rel_4,Rel_5),1)</f>
        <v>1</v>
      </c>
      <c r="G449" s="235"/>
      <c r="H449" s="1273">
        <f t="array" ref="H449:H455">IF(H437-H443&gt;0,MultiCompCndsOp(T,Number_Trials,1,Ambient_Temp,Act_rel,Molar_Vapor_Cs,Molar_HtVap,VP_A,VP_B,VP_C,H444,H445,H446,H447,H448,Alpha_1,Alpha_2,Alpha_3,Alpha_4,Alpha_5,Act_1,Act_2,Act_3,Act_4,Act_5,Rel_1,Rel_2,Rel_3,Rel_4,Rel_5),1)</f>
        <v>1</v>
      </c>
      <c r="I449" s="235"/>
      <c r="J449" s="1273">
        <f t="array" ref="J449:J455">IF(J437-J443&gt;0,MultiCompCndsOp(T,Number_Trials,1,Ambient_Temp,Act_rel,Molar_Vapor_Cs,Molar_HtVap,VP_A,VP_B,VP_C,J444,J445,J446,J447,J448,Alpha_1,Alpha_2,Alpha_3,Alpha_4,Alpha_5,Act_1,Act_2,Act_3,Act_4,Act_5,Rel_1,Rel_2,Rel_3,Rel_4,Rel_5),1)</f>
        <v>1</v>
      </c>
      <c r="K449" s="235"/>
      <c r="L449" s="1273">
        <f t="array" ref="L449:L455">IF(L437-L443&gt;0,MultiCompCndsOp(T,Number_Trials,1,Ambient_Temp,Act_rel,Molar_Vapor_Cs,Molar_HtVap,VP_A,VP_B,VP_C,L444,L445,L446,L447,L448,Alpha_1,Alpha_2,Alpha_3,Alpha_4,Alpha_5,Act_1,Act_2,Act_3,Act_4,Act_5,Rel_1,Rel_2,Rel_3,Rel_4,Rel_5),1)</f>
        <v>1</v>
      </c>
      <c r="M449" s="235"/>
      <c r="N449" s="1273">
        <f t="array" ref="N449:N455">IF(N437-N443&gt;0,MultiCompCndsOp(T,Number_Trials,1,Ambient_Temp,Act_rel,Molar_Vapor_Cs,Molar_HtVap,VP_A,VP_B,VP_C,N444,N445,N446,N447,N448,Alpha_1,Alpha_2,Alpha_3,Alpha_4,Alpha_5,Act_1,Act_2,Act_3,Act_4,Act_5,Rel_1,Rel_2,Rel_3,Rel_4,Rel_5),1)</f>
        <v>1</v>
      </c>
      <c r="O449" s="235"/>
      <c r="P449" s="1273">
        <f t="array" ref="P449:P455">IF(P437-P443&gt;0,MultiCompCndsOp(T,Number_Trials,1,Ambient_Temp,Act_rel,Molar_Vapor_Cs,Molar_HtVap,VP_A,VP_B,VP_C,P444,P445,P446,P447,P448,Alpha_1,Alpha_2,Alpha_3,Alpha_4,Alpha_5,Act_1,Act_2,Act_3,Act_4,Act_5,Rel_1,Rel_2,Rel_3,Rel_4,Rel_5),1)</f>
        <v>1</v>
      </c>
      <c r="Q449" s="235"/>
      <c r="R449" s="1273">
        <f t="array" ref="R449:R455">IF(R437-R443&gt;0,MultiCompCndsOp(T,Number_Trials,1,Ambient_Temp,Act_rel,Molar_Vapor_Cs,Molar_HtVap,VP_A,VP_B,VP_C,R444,R445,R446,R447,R448,Alpha_1,Alpha_2,Alpha_3,Alpha_4,Alpha_5,Act_1,Act_2,Act_3,Act_4,Act_5,Rel_1,Rel_2,Rel_3,Rel_4,Rel_5),1)</f>
        <v>1</v>
      </c>
      <c r="S449" s="235"/>
      <c r="T449" s="1273">
        <f t="array" ref="T449:T455">IF(T437-T443&gt;0,MultiCompCndsOp(T,Number_Trials,1,Ambient_Temp,Act_rel,Molar_Vapor_Cs,Molar_HtVap,VP_A,VP_B,VP_C,T444,T445,T446,T447,T448,Alpha_1,Alpha_2,Alpha_3,Alpha_4,Alpha_5,Act_1,Act_2,Act_3,Act_4,Act_5,Rel_1,Rel_2,Rel_3,Rel_4,Rel_5),1)</f>
        <v>1</v>
      </c>
      <c r="U449" s="235"/>
      <c r="V449" s="1273">
        <f t="array" ref="V449:V455">IF(V437-V443&gt;0,MultiCompCndsOp(T,Number_Trials,1,Ambient_Temp,Act_rel,Molar_Vapor_Cs,Molar_HtVap,VP_A,VP_B,VP_C,V444,V445,V446,V447,V448,Alpha_1,Alpha_2,Alpha_3,Alpha_4,Alpha_5,Act_1,Act_2,Act_3,Act_4,Act_5,Rel_1,Rel_2,Rel_3,Rel_4,Rel_5),1)</f>
        <v>1</v>
      </c>
      <c r="W449" s="235"/>
      <c r="X449" s="1273">
        <f t="array" ref="X449:X455">IF(X437-X443&gt;0,MultiCompCndsOp(T,Number_Trials,1,Ambient_Temp,Act_rel,Molar_Vapor_Cs,Molar_HtVap,VP_A,VP_B,VP_C,X444,X445,X446,X447,X448,Alpha_1,Alpha_2,Alpha_3,Alpha_4,Alpha_5,Act_1,Act_2,Act_3,Act_4,Act_5,Rel_1,Rel_2,Rel_3,Rel_4,Rel_5),1)</f>
        <v>1</v>
      </c>
      <c r="Y449" s="235"/>
      <c r="Z449" s="473"/>
      <c r="AA449" s="83"/>
      <c r="AB449" s="81"/>
      <c r="AC449" s="266" t="s">
        <v>4685</v>
      </c>
      <c r="AD449" s="81"/>
      <c r="AE449" s="1820">
        <f>IF(AE448&gt;Max_Duration,0,Max_Duration-AE448)</f>
        <v>0</v>
      </c>
      <c r="AF449" s="81"/>
      <c r="AG449" s="1820">
        <f>IF(AG448&gt;Max_Duration,0,Max_Duration-AG448)</f>
        <v>0</v>
      </c>
      <c r="AH449" s="81"/>
      <c r="AI449" s="1820">
        <f>IF(AI448&gt;Max_Duration,0,Max_Duration-AI448)</f>
        <v>3600</v>
      </c>
      <c r="AJ449" s="81"/>
      <c r="AK449" s="81"/>
      <c r="AL449" s="81"/>
      <c r="AM449" s="81"/>
      <c r="AN449" s="81"/>
      <c r="AO449" s="81"/>
      <c r="AP449" s="81"/>
      <c r="AQ449" s="473" t="s">
        <v>1760</v>
      </c>
      <c r="AR449" s="81"/>
      <c r="AS449" s="83"/>
      <c r="AT449" s="1416"/>
      <c r="AU449" s="1417"/>
      <c r="AV449" s="1417" t="str">
        <f>IF(Downstream_Population="Yes","Spill To Water to be Adjusted for High Downstream Population","")</f>
        <v/>
      </c>
      <c r="AW449" s="1417"/>
      <c r="AX449" s="140"/>
      <c r="AY449" s="73"/>
      <c r="AZ449" s="140"/>
      <c r="BA449" s="140"/>
      <c r="BB449" s="1417"/>
      <c r="BC449" s="140"/>
      <c r="BD449" s="1417"/>
      <c r="BE449" s="1417"/>
      <c r="BF449" s="73"/>
      <c r="BG449" s="140"/>
      <c r="BH449" s="76"/>
      <c r="BI449" s="83"/>
      <c r="BJ449" s="83"/>
      <c r="BK449" s="83"/>
      <c r="BL449" s="83"/>
      <c r="BM449" s="83"/>
      <c r="BN449" s="83"/>
      <c r="BO449" s="83"/>
      <c r="BP449" s="83"/>
      <c r="BQ449" s="83"/>
      <c r="BR449" s="81"/>
      <c r="BS449" s="851" t="s">
        <v>5215</v>
      </c>
      <c r="BT449" s="81"/>
      <c r="BU449" s="3169">
        <f>IF(BU343="No",0,3.14*Offsite_Area_Bldg_Factor*IF(Offsite_PD1="",Offsite_PD/1000000,Offsite_PD1)*BU342^2*(EXP(-Offsite_Bldg_a*Zone_1^2/BU342^2)-EXP(-Offsite_Bldg_a*Public^2/BU342^2))/(-Offsite_Bldg_a))</f>
        <v>0</v>
      </c>
      <c r="BV449" s="81"/>
      <c r="BW449" s="3169">
        <f>IF(BW343="No",0,3.14*Offsite_Area_Bldg_Factor*IF(Offsite_PD1="",Offsite_PD/1000000,Offsite_PD1)*BW342^2*(EXP(-Offsite_Bldg_a*Zone_1^2/BW342^2)-EXP(-Offsite_Bldg_a*Public^2/BW342^2))/(-Offsite_Bldg_a))</f>
        <v>0</v>
      </c>
      <c r="BX449" s="81"/>
      <c r="BY449" s="3169">
        <f>IF(BY343="No",0,3.14*Offsite_Area_Bldg_Factor*IF(Offsite_PD1="",Offsite_PD/1000000,Offsite_PD1)*BY342^2*(EXP(-Offsite_Bldg_a*Zone_1^2/BY342^2)-EXP(-Offsite_Bldg_a*Public^2/BY342^2))/(-Offsite_Bldg_a))</f>
        <v>0</v>
      </c>
      <c r="BZ449" s="81"/>
      <c r="CA449" s="3169">
        <f>IF(CA343="No",0,3.14*Offsite_Area_Bldg_Factor*IF(Offsite_PD1="",Offsite_PD/1000000,Offsite_PD1)*CA342^2*(EXP(-Offsite_Bldg_a*Zone_1^2/CA342^2)-EXP(-Offsite_Bldg_a*Public^2/CA342^2))/(-Offsite_Bldg_a))</f>
        <v>0</v>
      </c>
      <c r="CB449" s="81"/>
      <c r="CC449" s="3169">
        <f>IF(CC343="No",0,3.14*Offsite_Area_Bldg_Factor*IF(Offsite_PD1="",Offsite_PD/1000000,Offsite_PD1)*CC342^2*(EXP(-Offsite_Bldg_a*Zone_1^2/CC342^2)-EXP(-Offsite_Bldg_a*Public^2/CC342^2))/(-Offsite_Bldg_a))</f>
        <v>0</v>
      </c>
      <c r="CD449" s="81"/>
      <c r="CE449" s="23"/>
      <c r="CF449" s="81"/>
    </row>
    <row r="450" spans="1:84" ht="15" customHeight="1" thickBot="1" x14ac:dyDescent="0.3">
      <c r="A450" s="2"/>
      <c r="B450" s="614" t="str">
        <f>IF(B17="","","Vapor/Feed Mol Ratio "&amp;B17)</f>
        <v/>
      </c>
      <c r="C450" s="235"/>
      <c r="D450" s="1279">
        <v>1</v>
      </c>
      <c r="E450" s="235"/>
      <c r="F450" s="1279">
        <v>1</v>
      </c>
      <c r="G450" s="235"/>
      <c r="H450" s="1279">
        <v>1</v>
      </c>
      <c r="I450" s="235"/>
      <c r="J450" s="1279">
        <v>1</v>
      </c>
      <c r="K450" s="235"/>
      <c r="L450" s="1279">
        <v>1</v>
      </c>
      <c r="M450" s="235"/>
      <c r="N450" s="1279">
        <v>1</v>
      </c>
      <c r="O450" s="235"/>
      <c r="P450" s="1279">
        <v>1</v>
      </c>
      <c r="Q450" s="235"/>
      <c r="R450" s="1279">
        <v>1</v>
      </c>
      <c r="S450" s="235"/>
      <c r="T450" s="1279">
        <v>1</v>
      </c>
      <c r="U450" s="235"/>
      <c r="V450" s="1279">
        <v>1</v>
      </c>
      <c r="W450" s="235"/>
      <c r="X450" s="1279">
        <v>1</v>
      </c>
      <c r="Y450" s="235"/>
      <c r="Z450" s="473"/>
      <c r="AA450" s="83"/>
      <c r="AB450" s="81"/>
      <c r="AC450" s="23" t="s">
        <v>2785</v>
      </c>
      <c r="AD450" s="81"/>
      <c r="AE450" s="2427">
        <f>IF(Flam_1&gt;0,AE452,0)+IF(Flam_2&gt;0,AE453,0)+IF(Flam_3&gt;0,AE454,0)+IF(Flam_4&gt;0,AE455,0)+IF(Flam_5&gt;0,AE456,0)</f>
        <v>0</v>
      </c>
      <c r="AF450" s="81"/>
      <c r="AG450" s="2427">
        <f>IF(Flam_1&gt;0,AG452,0)+IF(Flam_2&gt;0,AG453,0)+IF(Flam_3&gt;0,AG454,0)+IF(Flam_4&gt;0,AG455,0)+IF(Flam_5&gt;0,AG456,0)</f>
        <v>0</v>
      </c>
      <c r="AH450" s="81"/>
      <c r="AI450" s="2427">
        <f>IF(Flam_1&gt;0,AI452,0)+IF(Flam_2&gt;0,AI453,0)+IF(Flam_3&gt;0,AI454,0)+IF(Flam_4&gt;0,AI455,0)+IF(Flam_5&gt;0,AI456,0)</f>
        <v>0</v>
      </c>
      <c r="AJ450" s="81"/>
      <c r="AK450" s="81"/>
      <c r="AL450" s="81"/>
      <c r="AM450" s="81"/>
      <c r="AN450" s="81"/>
      <c r="AO450" s="81"/>
      <c r="AP450" s="81"/>
      <c r="AQ450" s="473" t="s">
        <v>1497</v>
      </c>
      <c r="AR450" s="81"/>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1"/>
      <c r="BS450" s="851" t="s">
        <v>5216</v>
      </c>
      <c r="BT450" s="81"/>
      <c r="BU450" s="3169">
        <f>IF(BU343="No",0,3.14*Offsite_Area_Bldg_Factor*IF(Offsite_PD2="",Offsite_PD/1000000,Offsite_PD2)*BU342^2*(0-EXP(-Offsite_Bldg_a*Zone_1^2/BU342^2))/(-Offsite_Bldg_a))</f>
        <v>0</v>
      </c>
      <c r="BV450" s="81"/>
      <c r="BW450" s="3169">
        <f>IF(BW343="No",0,3.14*Offsite_Area_Bldg_Factor*IF(Offsite_PD2="",Offsite_PD/1000000,Offsite_PD2)*BW342^2*(0-EXP(-Offsite_Bldg_a*Zone_1^2/BW342^2))/(-Offsite_Bldg_a))</f>
        <v>0</v>
      </c>
      <c r="BX450" s="81"/>
      <c r="BY450" s="3169">
        <f>IF(BY343="No",0,3.14*Offsite_Area_Bldg_Factor*IF(Offsite_PD2="",Offsite_PD/1000000,Offsite_PD2)*BY342^2*(0-EXP(-Offsite_Bldg_a*Zone_1^2/BY342^2))/(-Offsite_Bldg_a))</f>
        <v>0</v>
      </c>
      <c r="BZ450" s="81"/>
      <c r="CA450" s="3169">
        <f>IF(CA343="No",0,3.14*Offsite_Area_Bldg_Factor*IF(Offsite_PD2="",Offsite_PD/1000000,Offsite_PD2)*CA342^2*(0-EXP(-Offsite_Bldg_a*Zone_1^2/CA342^2))/(-Offsite_Bldg_a))</f>
        <v>0</v>
      </c>
      <c r="CB450" s="81"/>
      <c r="CC450" s="3169">
        <f>IF(CC343="No",0,3.14*Offsite_Area_Bldg_Factor*IF(Offsite_PD2="",Offsite_PD/1000000,Offsite_PD2)*CC342^2*(0-EXP(-Offsite_Bldg_a*Zone_1^2/CC342^2))/(-Offsite_Bldg_a))</f>
        <v>0</v>
      </c>
      <c r="CD450" s="81"/>
      <c r="CE450" s="23"/>
      <c r="CF450" s="81"/>
    </row>
    <row r="451" spans="1:84" ht="15" customHeight="1" thickBot="1" x14ac:dyDescent="0.3">
      <c r="A451" s="2"/>
      <c r="B451" s="512" t="str">
        <f>IF(B18="","","Vapor/Feed Mol Ratio "&amp;B18)</f>
        <v/>
      </c>
      <c r="C451" s="235"/>
      <c r="D451" s="1279">
        <v>1</v>
      </c>
      <c r="E451" s="235"/>
      <c r="F451" s="1279">
        <v>1</v>
      </c>
      <c r="G451" s="235"/>
      <c r="H451" s="1279">
        <v>1</v>
      </c>
      <c r="I451" s="235"/>
      <c r="J451" s="1279">
        <v>1</v>
      </c>
      <c r="K451" s="235"/>
      <c r="L451" s="1279">
        <v>1</v>
      </c>
      <c r="M451" s="235"/>
      <c r="N451" s="1279">
        <v>1</v>
      </c>
      <c r="O451" s="235"/>
      <c r="P451" s="1279">
        <v>1</v>
      </c>
      <c r="Q451" s="235"/>
      <c r="R451" s="1279">
        <v>1</v>
      </c>
      <c r="S451" s="235"/>
      <c r="T451" s="1279">
        <v>1</v>
      </c>
      <c r="U451" s="235"/>
      <c r="V451" s="1279">
        <v>1</v>
      </c>
      <c r="W451" s="235"/>
      <c r="X451" s="1279">
        <v>1</v>
      </c>
      <c r="Y451" s="235"/>
      <c r="Z451" s="473"/>
      <c r="AA451" s="83"/>
      <c r="AB451" s="81"/>
      <c r="AC451" s="3100" t="s">
        <v>2228</v>
      </c>
      <c r="AD451" s="81"/>
      <c r="AE451" s="467">
        <f>SUM(AE452:AE457)</f>
        <v>0</v>
      </c>
      <c r="AF451" s="81"/>
      <c r="AG451" s="467">
        <f>SUM(AG452:AG457)</f>
        <v>0</v>
      </c>
      <c r="AH451" s="81"/>
      <c r="AI451" s="467">
        <f>SUM(AI452:AI457)</f>
        <v>0</v>
      </c>
      <c r="AJ451" s="81"/>
      <c r="AK451" s="81"/>
      <c r="AL451" s="81"/>
      <c r="AM451" s="81"/>
      <c r="AN451" s="81"/>
      <c r="AO451" s="81"/>
      <c r="AP451" s="81"/>
      <c r="AQ451" s="473" t="s">
        <v>1497</v>
      </c>
      <c r="AR451" s="81"/>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81"/>
      <c r="BS451" s="846" t="s">
        <v>5217</v>
      </c>
      <c r="BT451" s="81"/>
      <c r="BU451" s="3169">
        <f>BU449+BU450+IF(BU439&gt;Public,(BU439-Public)*Offsite_PD/1000000,0)</f>
        <v>0</v>
      </c>
      <c r="BV451" s="81"/>
      <c r="BW451" s="3169">
        <f>BW449+BW450+IF(BW439&gt;Public,(BW439-Public)*Offsite_PD/1000000,0)</f>
        <v>0</v>
      </c>
      <c r="BX451" s="81"/>
      <c r="BY451" s="3169">
        <f>BY449+BY450+IF(BY439&gt;Public,(BY439-Public)*Offsite_PD/1000000,0)</f>
        <v>0</v>
      </c>
      <c r="BZ451" s="81"/>
      <c r="CA451" s="3169">
        <f>CA449+CA450+IF(CA439&gt;Public,(CA439-Public)*Offsite_PD/1000000,0)</f>
        <v>0</v>
      </c>
      <c r="CB451" s="81"/>
      <c r="CC451" s="3169">
        <f>CC449+CC450+IF(CC439&gt;Public,(CC439-Public)*Offsite_PD/1000000,0)</f>
        <v>0</v>
      </c>
      <c r="CD451" s="81"/>
      <c r="CE451" s="23"/>
      <c r="CF451" s="81"/>
    </row>
    <row r="452" spans="1:84" ht="15" customHeight="1" x14ac:dyDescent="0.25">
      <c r="A452" s="2"/>
      <c r="B452" s="512" t="str">
        <f>IF(B19="","","Vapor/Feed Mol Ratio "&amp;B19)</f>
        <v/>
      </c>
      <c r="C452" s="235"/>
      <c r="D452" s="1279">
        <v>1</v>
      </c>
      <c r="E452" s="235"/>
      <c r="F452" s="1279">
        <v>1</v>
      </c>
      <c r="G452" s="235"/>
      <c r="H452" s="1279">
        <v>1</v>
      </c>
      <c r="I452" s="235"/>
      <c r="J452" s="1279">
        <v>1</v>
      </c>
      <c r="K452" s="235"/>
      <c r="L452" s="1279">
        <v>1</v>
      </c>
      <c r="M452" s="235"/>
      <c r="N452" s="1279">
        <v>1</v>
      </c>
      <c r="O452" s="235"/>
      <c r="P452" s="1279">
        <v>1</v>
      </c>
      <c r="Q452" s="235"/>
      <c r="R452" s="1279">
        <v>1</v>
      </c>
      <c r="S452" s="235"/>
      <c r="T452" s="1279">
        <v>1</v>
      </c>
      <c r="U452" s="235"/>
      <c r="V452" s="1279">
        <v>1</v>
      </c>
      <c r="W452" s="235"/>
      <c r="X452" s="1279">
        <v>1</v>
      </c>
      <c r="Y452" s="235"/>
      <c r="Z452" s="473"/>
      <c r="AA452" s="83"/>
      <c r="AB452" s="81"/>
      <c r="AC452" s="614" t="str">
        <f>B438</f>
        <v/>
      </c>
      <c r="AD452" s="81"/>
      <c r="AE452" s="108">
        <f>AE442+GasPad_1_Sweep*ContainedMass*WFeed_1</f>
        <v>0</v>
      </c>
      <c r="AF452" s="236"/>
      <c r="AG452" s="108">
        <f t="shared" ref="AG452:AG457" si="71">AG442</f>
        <v>0</v>
      </c>
      <c r="AH452" s="81"/>
      <c r="AI452" s="108">
        <f>AI442+GasPad_1_Sweep*ContainedMass*WFeed_1</f>
        <v>0</v>
      </c>
      <c r="AJ452" s="81"/>
      <c r="AK452" s="81"/>
      <c r="AL452" s="81"/>
      <c r="AM452" s="81"/>
      <c r="AN452" s="81"/>
      <c r="AO452" s="81"/>
      <c r="AP452" s="81"/>
      <c r="AQ452" s="473" t="s">
        <v>1497</v>
      </c>
      <c r="AR452" s="81"/>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81"/>
      <c r="BS452" s="851" t="s">
        <v>2011</v>
      </c>
      <c r="BT452" s="81"/>
      <c r="BU452" s="3014">
        <f>BU446+BU441+BU448+BU451</f>
        <v>0</v>
      </c>
      <c r="BV452" s="81"/>
      <c r="BW452" s="3014">
        <f>BW446+BW441+BW448+BW451</f>
        <v>0</v>
      </c>
      <c r="BX452" s="81"/>
      <c r="BY452" s="3014">
        <f>BY446+BY441+BY448+BY451</f>
        <v>0</v>
      </c>
      <c r="BZ452" s="81"/>
      <c r="CA452" s="3014">
        <f>CA446+CA441+CA448+CA451</f>
        <v>0</v>
      </c>
      <c r="CB452" s="81"/>
      <c r="CC452" s="3014">
        <f>CC446+CC441+CC448+CC451</f>
        <v>0</v>
      </c>
      <c r="CD452" s="81"/>
      <c r="CE452" s="23"/>
      <c r="CF452" s="81"/>
    </row>
    <row r="453" spans="1:84" ht="15" customHeight="1" thickBot="1" x14ac:dyDescent="0.3">
      <c r="A453" s="2"/>
      <c r="B453" s="512" t="str">
        <f>IF(B20="","","Vapor/Feed Mol Ratio "&amp;B20)</f>
        <v/>
      </c>
      <c r="C453" s="235"/>
      <c r="D453" s="1279">
        <v>1</v>
      </c>
      <c r="E453" s="235"/>
      <c r="F453" s="1279">
        <v>1</v>
      </c>
      <c r="G453" s="235"/>
      <c r="H453" s="1279">
        <v>1</v>
      </c>
      <c r="I453" s="235"/>
      <c r="J453" s="1279">
        <v>1</v>
      </c>
      <c r="K453" s="235"/>
      <c r="L453" s="1279">
        <v>1</v>
      </c>
      <c r="M453" s="235"/>
      <c r="N453" s="1279">
        <v>1</v>
      </c>
      <c r="O453" s="235"/>
      <c r="P453" s="1279">
        <v>1</v>
      </c>
      <c r="Q453" s="235"/>
      <c r="R453" s="1279">
        <v>1</v>
      </c>
      <c r="S453" s="235"/>
      <c r="T453" s="1279">
        <v>1</v>
      </c>
      <c r="U453" s="235"/>
      <c r="V453" s="1279">
        <v>1</v>
      </c>
      <c r="W453" s="235"/>
      <c r="X453" s="1279">
        <v>1</v>
      </c>
      <c r="Y453" s="235"/>
      <c r="Z453" s="473"/>
      <c r="AA453" s="83"/>
      <c r="AB453" s="81"/>
      <c r="AC453" s="512" t="str">
        <f>B439</f>
        <v/>
      </c>
      <c r="AD453" s="81"/>
      <c r="AE453" s="1820">
        <f>AE443+GasPad_2_Sweep*ContainedMass*WFeed_2</f>
        <v>0</v>
      </c>
      <c r="AF453" s="81"/>
      <c r="AG453" s="1820">
        <f t="shared" si="71"/>
        <v>0</v>
      </c>
      <c r="AH453" s="81"/>
      <c r="AI453" s="1820">
        <f>AI443+GasPad_2_Sweep*ContainedMass*WFeed_2</f>
        <v>0</v>
      </c>
      <c r="AJ453" s="81"/>
      <c r="AK453" s="81"/>
      <c r="AL453" s="81"/>
      <c r="AM453" s="81"/>
      <c r="AN453" s="81"/>
      <c r="AO453" s="81"/>
      <c r="AP453" s="81"/>
      <c r="AQ453" s="473" t="s">
        <v>1497</v>
      </c>
      <c r="AR453" s="81"/>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81"/>
      <c r="BS453" s="849" t="s">
        <v>4805</v>
      </c>
      <c r="BT453" s="81"/>
      <c r="BU453" s="1286" t="str">
        <f>IF(BU342&lt;HD_Screening_Limit,"NA",IF(MAX(BU344/Bldg_Type_Correction,BU346/Bldg2_Type_Correction)&lt;HD_Low_Expl,Conseq_Low,IF(MAX(BU344/Bldg_Type_Correction,BU346/Bldg2_Type_Correction)&lt;HD_Moderate_Expl,Conseq_Moderate,IF(MAX(BU344/Bldg_Type_Correction,BU346/Bldg2_Type_Correction)&lt;HD_High_Expl,Conseq_High,IF(MAX(BU344/Bldg_Type_Correction,BU346/Bldg2_Type_Correction)&lt;HD_VeryHigh_Expl,Conseq_VeryHigh,Conseq_ExtremeHigh)))))</f>
        <v>NA</v>
      </c>
      <c r="BV453" s="81"/>
      <c r="BW453" s="1286" t="str">
        <f>IF(BW342&lt;HD_Screening_Limit,"NA",IF(MAX(BW344/Bldg_Type_Correction,BW346/Bldg2_Type_Correction)&lt;HD_Low_Expl,Conseq_Low,IF(MAX(BW344/Bldg_Type_Correction,BW346/Bldg2_Type_Correction)&lt;HD_Moderate_Expl,Conseq_Moderate,IF(MAX(BW344/Bldg_Type_Correction,BW346/Bldg2_Type_Correction)&lt;HD_High_Expl,Conseq_High,IF(MAX(BW344/Bldg_Type_Correction,BW346/Bldg2_Type_Correction)&lt;HD_VeryHigh_Expl,Conseq_VeryHigh,Conseq_ExtremeHigh)))))</f>
        <v>NA</v>
      </c>
      <c r="BX453" s="81"/>
      <c r="BY453" s="1286" t="str">
        <f>IF(BY342&lt;HD_Screening_Limit,"NA",IF(MAX(BY344/Bldg_Type_Correction,BY346/Bldg2_Type_Correction)&lt;HD_Low_Expl,Conseq_Low,IF(MAX(BY344/Bldg_Type_Correction,BY346/Bldg2_Type_Correction)&lt;HD_Moderate_Expl,Conseq_Moderate,IF(MAX(BY344/Bldg_Type_Correction,BY346/Bldg2_Type_Correction)&lt;HD_High_Expl,Conseq_High,IF(MAX(BY344/Bldg_Type_Correction,BY346/Bldg2_Type_Correction)&lt;HD_VeryHigh_Expl,Conseq_VeryHigh,Conseq_ExtremeHigh)))))</f>
        <v>NA</v>
      </c>
      <c r="BZ453" s="81"/>
      <c r="CA453" s="1286" t="str">
        <f>IF(CA342&lt;HD_Screening_Limit,"NA",IF(MAX(CA344/Bldg_Type_Correction,CA346/Bldg2_Type_Correction)&lt;HD_Low_Expl,Conseq_Low,IF(MAX(CA344/Bldg_Type_Correction,CA346/Bldg2_Type_Correction)&lt;HD_Moderate_Expl,Conseq_Moderate,IF(MAX(CA344/Bldg_Type_Correction,CA346/Bldg2_Type_Correction)&lt;HD_High_Expl,Conseq_High,IF(MAX(CA344/Bldg_Type_Correction,CA346/Bldg2_Type_Correction)&lt;HD_VeryHigh_Expl,Conseq_VeryHigh,Conseq_ExtremeHigh)))))</f>
        <v>NA</v>
      </c>
      <c r="CB453" s="81"/>
      <c r="CC453" s="1286" t="str">
        <f>IF(CC342&lt;HD_Screening_Limit,"NA",IF(MAX(CC344/Bldg_Type_Correction,CC346/Bldg2_Type_Correction)&lt;HD_Low_Expl,Conseq_Low,IF(MAX(CC344/Bldg_Type_Correction,CC346/Bldg2_Type_Correction)&lt;HD_Moderate_Expl,Conseq_Moderate,IF(MAX(CC344/Bldg_Type_Correction,CC346/Bldg2_Type_Correction)&lt;HD_High_Expl,Conseq_High,IF(MAX(CC344/Bldg_Type_Correction,CC346/Bldg2_Type_Correction)&lt;HD_VeryHigh_Expl,Conseq_VeryHigh,Conseq_ExtremeHigh)))))</f>
        <v>NA</v>
      </c>
      <c r="CD453" s="81"/>
      <c r="CE453" s="23"/>
      <c r="CF453" s="81"/>
    </row>
    <row r="454" spans="1:84" ht="15" customHeight="1" thickBot="1" x14ac:dyDescent="0.3">
      <c r="A454" s="2"/>
      <c r="B454" s="615" t="str">
        <f>IF(B21="","","Vapor/Feed Mol Ratio "&amp;B21)</f>
        <v/>
      </c>
      <c r="C454" s="235"/>
      <c r="D454" s="1280">
        <v>1</v>
      </c>
      <c r="E454" s="235"/>
      <c r="F454" s="1280">
        <v>1</v>
      </c>
      <c r="G454" s="235"/>
      <c r="H454" s="1280">
        <v>1</v>
      </c>
      <c r="I454" s="235"/>
      <c r="J454" s="1280">
        <v>1</v>
      </c>
      <c r="K454" s="235"/>
      <c r="L454" s="1280">
        <v>1</v>
      </c>
      <c r="M454" s="235"/>
      <c r="N454" s="1280">
        <v>1</v>
      </c>
      <c r="O454" s="235"/>
      <c r="P454" s="1280">
        <v>1</v>
      </c>
      <c r="Q454" s="235"/>
      <c r="R454" s="1280">
        <v>1</v>
      </c>
      <c r="S454" s="235"/>
      <c r="T454" s="1280">
        <v>1</v>
      </c>
      <c r="U454" s="235"/>
      <c r="V454" s="1280">
        <v>1</v>
      </c>
      <c r="W454" s="235"/>
      <c r="X454" s="1280">
        <v>1</v>
      </c>
      <c r="Y454" s="235"/>
      <c r="Z454" s="473"/>
      <c r="AA454" s="83"/>
      <c r="AB454" s="81"/>
      <c r="AC454" s="512" t="str">
        <f>B440</f>
        <v/>
      </c>
      <c r="AD454" s="81"/>
      <c r="AE454" s="1820">
        <f>AE444+GasPad_3_Sweep*ContainedMass*WFeed_3</f>
        <v>0</v>
      </c>
      <c r="AF454" s="81"/>
      <c r="AG454" s="1820">
        <f t="shared" si="71"/>
        <v>0</v>
      </c>
      <c r="AH454" s="81"/>
      <c r="AI454" s="1820">
        <f>AI444+GasPad_3_Sweep*ContainedMass*WFeed_3</f>
        <v>0</v>
      </c>
      <c r="AJ454" s="81"/>
      <c r="AK454" s="81"/>
      <c r="AL454" s="81"/>
      <c r="AM454" s="81"/>
      <c r="AN454" s="81"/>
      <c r="AO454" s="81"/>
      <c r="AP454" s="81"/>
      <c r="AQ454" s="473" t="s">
        <v>1497</v>
      </c>
      <c r="AR454" s="81"/>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81"/>
      <c r="BS454" s="849" t="s">
        <v>4798</v>
      </c>
      <c r="BT454" s="81"/>
      <c r="BU454" s="2135" t="str">
        <f>IF(Conseq_Criteria="Hazard Distance",BU453,IF(BU348&lt;&gt;"Yes","NA",IF(BU452&lt;N_VeryLow,Conseq_VeryLow,IF(BU452&lt;N_Low,Conseq_Low,IF(BU452&lt;N_Moderate,Conseq_Moderate,IF(BU452&lt;N_High,Conseq_High,IF(BU452&lt;N_VeryHigh,Conseq_VeryHigh,Conseq_ExtremeHigh)))))))</f>
        <v>NA</v>
      </c>
      <c r="BV454" s="81"/>
      <c r="BW454" s="2135" t="str">
        <f>IF(Conseq_Criteria="Hazard Distance",BW453,IF(BW348&lt;&gt;"Yes","NA",IF(BW452&lt;N_VeryLow,Conseq_VeryLow,IF(BW452&lt;N_Low,Conseq_Low,IF(BW452&lt;N_Moderate,Conseq_Moderate,IF(BW452&lt;N_High,Conseq_High,IF(BW452&lt;N_VeryHigh,Conseq_VeryHigh,Conseq_ExtremeHigh)))))))</f>
        <v>NA</v>
      </c>
      <c r="BX454" s="81"/>
      <c r="BY454" s="2135" t="str">
        <f>IF(Conseq_Criteria="Hazard Distance",BY453,IF(BY348&lt;&gt;"Yes","NA",IF(BY452&lt;N_VeryLow,Conseq_VeryLow,IF(BY452&lt;N_Low,Conseq_Low,IF(BY452&lt;N_Moderate,Conseq_Moderate,IF(BY452&lt;N_High,Conseq_High,IF(BY452&lt;N_VeryHigh,Conseq_VeryHigh,Conseq_ExtremeHigh)))))))</f>
        <v>NA</v>
      </c>
      <c r="BZ454" s="81"/>
      <c r="CA454" s="2135" t="str">
        <f>IF(Conseq_Criteria="Hazard Distance",CA453,IF(CA348&lt;&gt;"Yes","NA",IF(CA452&lt;N_VeryLow,Conseq_VeryLow,IF(CA452&lt;N_Low,Conseq_Low,IF(CA452&lt;N_Moderate,Conseq_Moderate,IF(CA452&lt;N_High,Conseq_High,IF(CA452&lt;N_VeryHigh,Conseq_VeryHigh,Conseq_ExtremeHigh)))))))</f>
        <v>NA</v>
      </c>
      <c r="CB454" s="81"/>
      <c r="CC454" s="2135" t="str">
        <f>IF(Conseq_Criteria="Hazard Distance",CC453,IF(CC348&lt;&gt;"Yes","NA",IF(CC452&lt;N_VeryLow,Conseq_VeryLow,IF(CC452&lt;N_Low,Conseq_Low,IF(CC452&lt;N_Moderate,Conseq_Moderate,IF(CC452&lt;N_High,Conseq_High,IF(CC452&lt;N_VeryHigh,Conseq_VeryHigh,Conseq_ExtremeHigh)))))))</f>
        <v>NA</v>
      </c>
      <c r="CD454" s="81"/>
      <c r="CE454" s="89"/>
      <c r="CF454" s="81"/>
    </row>
    <row r="455" spans="1:84" ht="15" customHeight="1" thickBot="1" x14ac:dyDescent="0.3">
      <c r="A455" s="2"/>
      <c r="B455" s="2407" t="s">
        <v>4630</v>
      </c>
      <c r="C455" s="235"/>
      <c r="D455" s="2411">
        <v>1</v>
      </c>
      <c r="E455" s="2412"/>
      <c r="F455" s="2411">
        <v>1</v>
      </c>
      <c r="G455" s="2412"/>
      <c r="H455" s="2411">
        <v>1</v>
      </c>
      <c r="I455" s="2412"/>
      <c r="J455" s="2411">
        <v>1</v>
      </c>
      <c r="K455" s="2412"/>
      <c r="L455" s="2411">
        <v>1</v>
      </c>
      <c r="M455" s="2412"/>
      <c r="N455" s="2411">
        <v>1</v>
      </c>
      <c r="O455" s="2412"/>
      <c r="P455" s="2411">
        <v>1</v>
      </c>
      <c r="Q455" s="2412"/>
      <c r="R455" s="2411">
        <v>1</v>
      </c>
      <c r="S455" s="2412"/>
      <c r="T455" s="2411">
        <v>1</v>
      </c>
      <c r="U455" s="2412"/>
      <c r="V455" s="2411">
        <v>1</v>
      </c>
      <c r="W455" s="2412"/>
      <c r="X455" s="2411">
        <v>1</v>
      </c>
      <c r="Y455" s="235"/>
      <c r="Z455" s="473"/>
      <c r="AA455" s="83"/>
      <c r="AB455" s="81"/>
      <c r="AC455" s="512" t="str">
        <f>B441</f>
        <v/>
      </c>
      <c r="AD455" s="81"/>
      <c r="AE455" s="1820">
        <f>AE445+GasPad_4_Sweep*ContainedMass*WFeed_4</f>
        <v>0</v>
      </c>
      <c r="AF455" s="81"/>
      <c r="AG455" s="1820">
        <f t="shared" si="71"/>
        <v>0</v>
      </c>
      <c r="AH455" s="81"/>
      <c r="AI455" s="1820">
        <f>AI445+GasPad_4_Sweep*ContainedMass*WFeed_4</f>
        <v>0</v>
      </c>
      <c r="AJ455" s="81"/>
      <c r="AK455" s="81"/>
      <c r="AL455" s="81"/>
      <c r="AM455" s="81"/>
      <c r="AN455" s="81"/>
      <c r="AO455" s="81"/>
      <c r="AP455" s="81"/>
      <c r="AQ455" s="473" t="s">
        <v>1497</v>
      </c>
      <c r="AR455" s="81"/>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81"/>
      <c r="BS455" s="828" t="s">
        <v>5299</v>
      </c>
      <c r="BT455" s="81"/>
      <c r="BU455" s="85"/>
      <c r="BV455" s="81"/>
      <c r="BW455" s="85"/>
      <c r="BX455" s="81"/>
      <c r="BY455" s="2402">
        <f>(Reaction_Energy/1120)^0.33*EXP((TNT_A/(LN(Blast_Direct/14.7)+TNT_B)-TNT_C))</f>
        <v>0</v>
      </c>
      <c r="BZ455" s="81"/>
      <c r="CA455" s="85"/>
      <c r="CB455" s="81"/>
      <c r="CC455" s="85"/>
      <c r="CD455" s="81"/>
      <c r="CE455" s="92" t="s">
        <v>1068</v>
      </c>
      <c r="CF455" s="81"/>
    </row>
    <row r="456" spans="1:84" ht="15" customHeight="1" thickBot="1" x14ac:dyDescent="0.3">
      <c r="A456" s="2"/>
      <c r="B456" s="23" t="s">
        <v>2785</v>
      </c>
      <c r="C456" s="83"/>
      <c r="D456" s="2348">
        <f>IF(Flam_1&gt;0,D438,0)+IF(Flam_2&gt;0,D439,0)+IF(Flam_3&gt;0,D440,0)+IF(Flam_4&gt;0,D441,0)+IF(Flam_5&gt;0,D442,0)</f>
        <v>0</v>
      </c>
      <c r="E456" s="235"/>
      <c r="F456" s="2348">
        <f>IF(Flam_1&gt;0,F438,0)+IF(Flam_2&gt;0,F439,0)+IF(Flam_3&gt;0,F440,0)+IF(Flam_4&gt;0,F441,0)+IF(Flam_5&gt;0,F442,0)</f>
        <v>0</v>
      </c>
      <c r="G456" s="235"/>
      <c r="H456" s="2348">
        <f>IF(Flam_1&gt;0,H438,0)+IF(Flam_2&gt;0,H439,0)+IF(Flam_3&gt;0,H440,0)+IF(Flam_4&gt;0,H441,0)+IF(Flam_5&gt;0,H442,0)</f>
        <v>0</v>
      </c>
      <c r="I456" s="235"/>
      <c r="J456" s="2348">
        <f>IF(Flam_1&gt;0,J438,0)+IF(Flam_2&gt;0,J439,0)+IF(Flam_3&gt;0,J440,0)+IF(Flam_4&gt;0,J441,0)+IF(Flam_5&gt;0,J442,0)</f>
        <v>0</v>
      </c>
      <c r="K456" s="235"/>
      <c r="L456" s="2348">
        <f>IF(Flam_1&gt;0,L438,0)+IF(Flam_2&gt;0,L439,0)+IF(Flam_3&gt;0,L440,0)+IF(Flam_4&gt;0,L441,0)+IF(Flam_5&gt;0,L442,0)</f>
        <v>0</v>
      </c>
      <c r="M456" s="235"/>
      <c r="N456" s="2348">
        <f>IF(Flam_1&gt;0,N438,0)+IF(Flam_2&gt;0,N439,0)+IF(Flam_3&gt;0,N440,0)+IF(Flam_4&gt;0,N441,0)+IF(Flam_5&gt;0,N442,0)</f>
        <v>0</v>
      </c>
      <c r="O456" s="235"/>
      <c r="P456" s="2348">
        <f>IF(Flam_1&gt;0,P438,0)+IF(Flam_2&gt;0,P439,0)+IF(Flam_3&gt;0,P440,0)+IF(Flam_4&gt;0,P441,0)+IF(Flam_5&gt;0,P442,0)</f>
        <v>0</v>
      </c>
      <c r="Q456" s="235"/>
      <c r="R456" s="2348">
        <f>IF(Flam_1&gt;0,R438,0)+IF(Flam_2&gt;0,R439,0)+IF(Flam_3&gt;0,R440,0)+IF(Flam_4&gt;0,R441,0)+IF(Flam_5&gt;0,R442,0)</f>
        <v>0</v>
      </c>
      <c r="S456" s="235"/>
      <c r="T456" s="2348">
        <f>IF(Flam_1&gt;0,T438,0)+IF(Flam_2&gt;0,T439,0)+IF(Flam_3&gt;0,T440,0)+IF(Flam_4&gt;0,T441,0)+IF(Flam_5&gt;0,T442,0)</f>
        <v>0</v>
      </c>
      <c r="U456" s="235"/>
      <c r="V456" s="2348">
        <f>IF(Flam_1&gt;0,V438,0)+IF(Flam_2&gt;0,V439,0)+IF(Flam_3&gt;0,V440,0)+IF(Flam_4&gt;0,V441,0)+IF(Flam_5&gt;0,V442,0)</f>
        <v>0</v>
      </c>
      <c r="W456" s="235"/>
      <c r="X456" s="2348">
        <f>IF(Flam_1&gt;0,X438,0)+IF(Flam_2&gt;0,X439,0)+IF(Flam_3&gt;0,X440,0)+IF(Flam_4&gt;0,X441,0)+IF(Flam_5&gt;0,X442,0)</f>
        <v>0</v>
      </c>
      <c r="Y456" s="235"/>
      <c r="Z456" s="473" t="s">
        <v>1497</v>
      </c>
      <c r="AA456" s="83"/>
      <c r="AB456" s="81"/>
      <c r="AC456" s="512" t="str">
        <f>B442</f>
        <v/>
      </c>
      <c r="AD456" s="81"/>
      <c r="AE456" s="1820">
        <f>AE446+GasPad_5_Sweep*ContainedMass*WFeed_5</f>
        <v>0</v>
      </c>
      <c r="AF456" s="81"/>
      <c r="AG456" s="1820">
        <f t="shared" si="71"/>
        <v>0</v>
      </c>
      <c r="AH456" s="81"/>
      <c r="AI456" s="1820">
        <f>AI446+GasPad_5_Sweep*ContainedMass*WFeed_5</f>
        <v>0</v>
      </c>
      <c r="AJ456" s="81"/>
      <c r="AK456" s="81"/>
      <c r="AL456" s="81"/>
      <c r="AM456" s="81"/>
      <c r="AN456" s="81"/>
      <c r="AO456" s="81"/>
      <c r="AP456" s="81"/>
      <c r="AQ456" s="473" t="s">
        <v>1497</v>
      </c>
      <c r="AR456" s="81"/>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81"/>
      <c r="BS456" s="848" t="s">
        <v>4004</v>
      </c>
      <c r="BT456" s="81"/>
      <c r="BU456" s="85"/>
      <c r="BV456" s="81"/>
      <c r="BW456" s="85"/>
      <c r="BX456" s="81"/>
      <c r="BY456" s="1209">
        <f>Blast_Fragments*(Reaction_Energy/1120)^0.33</f>
        <v>0</v>
      </c>
      <c r="BZ456" s="81"/>
      <c r="CA456" s="85"/>
      <c r="CB456" s="81"/>
      <c r="CC456" s="85"/>
      <c r="CD456" s="81"/>
      <c r="CE456" s="85" t="s">
        <v>1068</v>
      </c>
      <c r="CF456" s="81"/>
    </row>
    <row r="457" spans="1:84" ht="15" customHeight="1" thickBot="1" x14ac:dyDescent="0.3">
      <c r="A457" s="2"/>
      <c r="B457" s="119" t="s">
        <v>2215</v>
      </c>
      <c r="C457" s="83"/>
      <c r="D457" s="99">
        <f>SUM(D458:D463)</f>
        <v>0</v>
      </c>
      <c r="E457" s="235"/>
      <c r="F457" s="99">
        <f>SUM(F458:F463)</f>
        <v>0</v>
      </c>
      <c r="G457" s="235"/>
      <c r="H457" s="99">
        <f>SUM(H458:H463)</f>
        <v>0</v>
      </c>
      <c r="I457" s="235"/>
      <c r="J457" s="99">
        <f>SUM(J458:J463)</f>
        <v>0</v>
      </c>
      <c r="K457" s="235"/>
      <c r="L457" s="99">
        <f>SUM(L458:L463)</f>
        <v>0</v>
      </c>
      <c r="M457" s="235"/>
      <c r="N457" s="99">
        <f>SUM(N458:N463)</f>
        <v>0</v>
      </c>
      <c r="O457" s="235"/>
      <c r="P457" s="99">
        <f>SUM(P458:P463)</f>
        <v>0</v>
      </c>
      <c r="Q457" s="235"/>
      <c r="R457" s="99">
        <f>SUM(R458:R463)</f>
        <v>0</v>
      </c>
      <c r="S457" s="235"/>
      <c r="T457" s="99">
        <f>SUM(T458:T463)</f>
        <v>0</v>
      </c>
      <c r="U457" s="235"/>
      <c r="V457" s="99">
        <f>SUM(V458:V463)</f>
        <v>0</v>
      </c>
      <c r="W457" s="235"/>
      <c r="X457" s="99">
        <f>SUM(X458:X463)</f>
        <v>0</v>
      </c>
      <c r="Y457" s="235"/>
      <c r="Z457" s="473" t="s">
        <v>1497</v>
      </c>
      <c r="AA457" s="83"/>
      <c r="AB457" s="81"/>
      <c r="AC457" s="615" t="s">
        <v>5130</v>
      </c>
      <c r="AD457" s="81"/>
      <c r="AE457" s="1820">
        <f>AE447+Inert_FeedRate*Max_Duration</f>
        <v>0</v>
      </c>
      <c r="AF457" s="81"/>
      <c r="AG457" s="1820">
        <f t="shared" si="71"/>
        <v>0</v>
      </c>
      <c r="AH457" s="81"/>
      <c r="AI457" s="1820">
        <f>AI447+Inert_FeedRate*Max_Duration</f>
        <v>0</v>
      </c>
      <c r="AJ457" s="81"/>
      <c r="AK457" s="81"/>
      <c r="AL457" s="81"/>
      <c r="AM457" s="81"/>
      <c r="AN457" s="81"/>
      <c r="AO457" s="81"/>
      <c r="AP457" s="81"/>
      <c r="AQ457" s="473" t="s">
        <v>1497</v>
      </c>
      <c r="AR457" s="81"/>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81"/>
      <c r="BS457" s="851" t="s">
        <v>164</v>
      </c>
      <c r="BT457" s="81"/>
      <c r="BU457" s="85"/>
      <c r="BV457" s="81"/>
      <c r="BW457" s="85"/>
      <c r="BX457" s="81"/>
      <c r="BY457" s="1206">
        <f>3.142*BY455^2+BY456*IF(OR(Detonation_Potential="Yes",Brittle="Yes"),0.1*3.142*BY456,2)</f>
        <v>0</v>
      </c>
      <c r="BZ457" s="81"/>
      <c r="CA457" s="85"/>
      <c r="CB457" s="81"/>
      <c r="CC457" s="85"/>
      <c r="CD457" s="81"/>
      <c r="CE457" s="85" t="s">
        <v>3804</v>
      </c>
      <c r="CF457" s="81"/>
    </row>
    <row r="458" spans="1:84" ht="15" customHeight="1" x14ac:dyDescent="0.25">
      <c r="A458" s="2"/>
      <c r="B458" s="512" t="str">
        <f>B17</f>
        <v/>
      </c>
      <c r="C458" s="83"/>
      <c r="D458" s="1285">
        <f>D438*D450</f>
        <v>0</v>
      </c>
      <c r="E458" s="235"/>
      <c r="F458" s="1285">
        <f>F438*F450</f>
        <v>0</v>
      </c>
      <c r="G458" s="235"/>
      <c r="H458" s="1285">
        <f>H438*H450</f>
        <v>0</v>
      </c>
      <c r="I458" s="235"/>
      <c r="J458" s="1285">
        <f>J438*J450</f>
        <v>0</v>
      </c>
      <c r="K458" s="235"/>
      <c r="L458" s="1285">
        <f>L438*L450</f>
        <v>0</v>
      </c>
      <c r="M458" s="235"/>
      <c r="N458" s="1285">
        <f>N438*N450</f>
        <v>0</v>
      </c>
      <c r="O458" s="235"/>
      <c r="P458" s="1285">
        <f>P438*P450</f>
        <v>0</v>
      </c>
      <c r="Q458" s="235"/>
      <c r="R458" s="1285">
        <f>R438*R450</f>
        <v>0</v>
      </c>
      <c r="S458" s="235"/>
      <c r="T458" s="1285">
        <f>T438*T450</f>
        <v>0</v>
      </c>
      <c r="U458" s="235"/>
      <c r="V458" s="1285">
        <f>V438*V450</f>
        <v>0</v>
      </c>
      <c r="W458" s="235"/>
      <c r="X458" s="1285">
        <f>X438*X450</f>
        <v>0</v>
      </c>
      <c r="Y458" s="235"/>
      <c r="Z458" s="473" t="s">
        <v>1497</v>
      </c>
      <c r="AA458" s="83"/>
      <c r="AB458" s="81"/>
      <c r="AC458" s="512" t="str">
        <f>B444</f>
        <v/>
      </c>
      <c r="AD458" s="81"/>
      <c r="AE458" s="1289">
        <f>IF(SUM(AE452:AE456)&gt;0,AE452/MAX(Mw_1,1)/(AE452/MAX(Mw_1,1)+AE453/MAX(Mw_2,1)+AE454/MAX(Mw_3,1)+AE455/MAX(Mw_4,1)+AE456/MAX(Mw_5,1)),1)</f>
        <v>1</v>
      </c>
      <c r="AF458" s="81"/>
      <c r="AG458" s="1289">
        <f>IF(SUM(AG452:AG456)&gt;0,AG452/MAX(Mw_1,1)/(AG452/MAX(Mw_1,1)+AG453/MAX(Mw_2,1)+AG454/MAX(Mw_3,1)+AG455/MAX(Mw_4,1)+AG456/MAX(Mw_5,1)),1)</f>
        <v>1</v>
      </c>
      <c r="AH458" s="81"/>
      <c r="AI458" s="1289">
        <f>IF(SUM(AI452:AI456)&gt;0,AI452/MAX(Mw_1,1)/(AI452/MAX(Mw_1,1)+AI453/MAX(Mw_2,1)+AI454/MAX(Mw_3,1)+AI455/MAX(Mw_4,1)+AI456/MAX(Mw_5,1)),1)</f>
        <v>1</v>
      </c>
      <c r="AJ458" s="81"/>
      <c r="AK458" s="81"/>
      <c r="AL458" s="81"/>
      <c r="AM458" s="81"/>
      <c r="AN458" s="81"/>
      <c r="AO458" s="81"/>
      <c r="AP458" s="81"/>
      <c r="AQ458" s="85"/>
      <c r="AR458" s="81"/>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81"/>
      <c r="BS458" s="851" t="s">
        <v>2006</v>
      </c>
      <c r="BT458" s="81"/>
      <c r="BU458" s="85"/>
      <c r="BV458" s="81"/>
      <c r="BW458" s="85"/>
      <c r="BX458" s="81"/>
      <c r="BY458" s="2401">
        <f>BY457*0.5*Onsite_PD/1000000+IF(AND(BY$292="Yes",BY455&gt;HD_Severe_Impact),0.9,0)</f>
        <v>0</v>
      </c>
      <c r="BZ458" s="81"/>
      <c r="CA458" s="85"/>
      <c r="CB458" s="81"/>
      <c r="CC458" s="85"/>
      <c r="CD458" s="81"/>
      <c r="CE458" s="23"/>
      <c r="CF458" s="81"/>
    </row>
    <row r="459" spans="1:84" ht="15" customHeight="1" thickBot="1" x14ac:dyDescent="0.3">
      <c r="A459" s="2"/>
      <c r="B459" s="512" t="str">
        <f>B18</f>
        <v/>
      </c>
      <c r="C459" s="83"/>
      <c r="D459" s="1285">
        <f>D439*D451</f>
        <v>0</v>
      </c>
      <c r="E459" s="235"/>
      <c r="F459" s="1285">
        <f>F439*F451</f>
        <v>0</v>
      </c>
      <c r="G459" s="235"/>
      <c r="H459" s="1285">
        <f>H439*H451</f>
        <v>0</v>
      </c>
      <c r="I459" s="235"/>
      <c r="J459" s="1285">
        <f>J439*J451</f>
        <v>0</v>
      </c>
      <c r="K459" s="235"/>
      <c r="L459" s="1285">
        <f>L439*L451</f>
        <v>0</v>
      </c>
      <c r="M459" s="235"/>
      <c r="N459" s="1285">
        <f>N439*N451</f>
        <v>0</v>
      </c>
      <c r="O459" s="235"/>
      <c r="P459" s="1285">
        <f>P439*P451</f>
        <v>0</v>
      </c>
      <c r="Q459" s="235"/>
      <c r="R459" s="1285">
        <f>R439*R451</f>
        <v>0</v>
      </c>
      <c r="S459" s="235"/>
      <c r="T459" s="1285">
        <f>T439*T451</f>
        <v>0</v>
      </c>
      <c r="U459" s="235"/>
      <c r="V459" s="1285">
        <f>V439*V451</f>
        <v>0</v>
      </c>
      <c r="W459" s="235"/>
      <c r="X459" s="1285">
        <f>X439*X451</f>
        <v>0</v>
      </c>
      <c r="Y459" s="235"/>
      <c r="Z459" s="473" t="s">
        <v>1497</v>
      </c>
      <c r="AA459" s="83"/>
      <c r="AB459" s="81"/>
      <c r="AC459" s="512" t="str">
        <f>B445</f>
        <v/>
      </c>
      <c r="AD459" s="81"/>
      <c r="AE459" s="1289">
        <f>IF(SUM(AE452:AE456)&gt;0,AE453/MAX(Mw_2,1)/(AE452/MAX(Mw_1,1)+AE453/MAX(Mw_2,1)+AE454/MAX(Mw_3,1)+AE455/MAX(Mw_4,1)+AE456/MAX(Mw_5,1)),0)</f>
        <v>0</v>
      </c>
      <c r="AF459" s="81"/>
      <c r="AG459" s="1289">
        <f>IF(SUM(AG452:AG456)&gt;0,AG453/MAX(Mw_2,1)/(AG452/MAX(Mw_1,1)+AG453/MAX(Mw_2,1)+AG454/MAX(Mw_3,1)+AG455/MAX(Mw_4,1)+AG456/MAX(Mw_5,1)),0)</f>
        <v>0</v>
      </c>
      <c r="AH459" s="81"/>
      <c r="AI459" s="1289">
        <f>IF(SUM(AI452:AI456)&gt;0,AI453/MAX(Mw_2,1)/(AI452/MAX(Mw_1,1)+AI453/MAX(Mw_2,1)+AI454/MAX(Mw_3,1)+AI455/MAX(Mw_4,1)+AI456/MAX(Mw_5,1)),0)</f>
        <v>0</v>
      </c>
      <c r="AJ459" s="81"/>
      <c r="AK459" s="81"/>
      <c r="AL459" s="81"/>
      <c r="AM459" s="81"/>
      <c r="AN459" s="81"/>
      <c r="AO459" s="81"/>
      <c r="AP459" s="81"/>
      <c r="AQ459" s="85"/>
      <c r="AR459" s="81"/>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81"/>
      <c r="BS459" s="848" t="s">
        <v>4807</v>
      </c>
      <c r="BT459" s="81"/>
      <c r="BU459" s="85"/>
      <c r="BV459" s="81"/>
      <c r="BW459" s="85"/>
      <c r="BX459" s="81"/>
      <c r="BY459" s="2641" t="str">
        <f>IF(BY351&lt;HD_Screening_Limit,"NA",IF(AND(BY$292&lt;&gt;"Yes",BY456&lt;HD_VeryLow_Expl),Conseq_VeryLow,IF(BY456&lt;HD_Low_Expl,Conseq_Low,IF(BY456&lt;HD_Moderate_Expl,Conseq_Moderate,IF(BY456&lt;HD_High_Expl,Conseq_High,IF(BY456&lt;HD_VeryHigh_Expl,Conseq_VeryHigh,Conseq_ExtremeHigh))))))</f>
        <v>NA</v>
      </c>
      <c r="BZ459" s="81"/>
      <c r="CA459" s="85"/>
      <c r="CB459" s="81"/>
      <c r="CC459" s="85"/>
      <c r="CD459" s="81"/>
      <c r="CE459" s="23"/>
      <c r="CF459" s="81"/>
    </row>
    <row r="460" spans="1:84" ht="15" customHeight="1" thickBot="1" x14ac:dyDescent="0.3">
      <c r="A460" s="2"/>
      <c r="B460" s="512" t="str">
        <f>B19</f>
        <v/>
      </c>
      <c r="C460" s="83"/>
      <c r="D460" s="1285">
        <f>D440*D452</f>
        <v>0</v>
      </c>
      <c r="E460" s="235"/>
      <c r="F460" s="1285">
        <f>F440*F452</f>
        <v>0</v>
      </c>
      <c r="G460" s="235"/>
      <c r="H460" s="1285">
        <f>H440*H452</f>
        <v>0</v>
      </c>
      <c r="I460" s="235"/>
      <c r="J460" s="1285">
        <f>J440*J452</f>
        <v>0</v>
      </c>
      <c r="K460" s="235"/>
      <c r="L460" s="1285">
        <f>L440*L452</f>
        <v>0</v>
      </c>
      <c r="M460" s="235"/>
      <c r="N460" s="1285">
        <f>N440*N452</f>
        <v>0</v>
      </c>
      <c r="O460" s="235"/>
      <c r="P460" s="1285">
        <f>P440*P452</f>
        <v>0</v>
      </c>
      <c r="Q460" s="235"/>
      <c r="R460" s="1285">
        <f>R440*R452</f>
        <v>0</v>
      </c>
      <c r="S460" s="235"/>
      <c r="T460" s="1285">
        <f>T440*T452</f>
        <v>0</v>
      </c>
      <c r="U460" s="235"/>
      <c r="V460" s="1285">
        <f>V440*V452</f>
        <v>0</v>
      </c>
      <c r="W460" s="235"/>
      <c r="X460" s="1285">
        <f>X440*X452</f>
        <v>0</v>
      </c>
      <c r="Y460" s="235"/>
      <c r="Z460" s="473" t="s">
        <v>1497</v>
      </c>
      <c r="AA460" s="83"/>
      <c r="AB460" s="81"/>
      <c r="AC460" s="512" t="str">
        <f>B446</f>
        <v/>
      </c>
      <c r="AD460" s="81"/>
      <c r="AE460" s="1289">
        <f>IF(SUM(AE452:AE456)&gt;0,AE454/MAX(Mw_3,1)/(AE452/MAX(Mw_1,1)+AE453/MAX(Mw_2,1)+AE454/MAX(Mw_3,1)+AE455/MAX(Mw_4,1)+AE456/MAX(Mw_5,1)),0)</f>
        <v>0</v>
      </c>
      <c r="AF460" s="81"/>
      <c r="AG460" s="1289">
        <f>IF(SUM(AG452:AG456)&gt;0,AG454/MAX(Mw_3,1)/(AG452/MAX(Mw_1,1)+AG453/MAX(Mw_2,1)+AG454/MAX(Mw_3,1)+AG455/MAX(Mw_4,1)+AG456/MAX(Mw_5,1)),0)</f>
        <v>0</v>
      </c>
      <c r="AH460" s="81"/>
      <c r="AI460" s="1289">
        <f>IF(SUM(AI452:AI456)&gt;0,AI454/MAX(Mw_3,1)/(AI452/MAX(Mw_1,1)+AI453/MAX(Mw_2,1)+AI454/MAX(Mw_3,1)+AI455/MAX(Mw_4,1)+AI456/MAX(Mw_5,1)),0)</f>
        <v>0</v>
      </c>
      <c r="AJ460" s="81"/>
      <c r="AK460" s="81"/>
      <c r="AL460" s="81"/>
      <c r="AM460" s="81"/>
      <c r="AN460" s="81"/>
      <c r="AO460" s="81"/>
      <c r="AP460" s="81"/>
      <c r="AQ460" s="91"/>
      <c r="AR460" s="81"/>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81"/>
      <c r="BS460" s="1038" t="s">
        <v>4616</v>
      </c>
      <c r="BT460" s="81"/>
      <c r="BU460" s="85"/>
      <c r="BV460" s="81"/>
      <c r="BW460" s="85"/>
      <c r="BX460" s="81"/>
      <c r="BY460" s="2642" t="str">
        <f>IF(Conseq_Criteria="Hazard Distance",BY459,IF(BY455&lt;HD_Screening_Limit,"NA",IF(BY458&lt;N_VeryLow,Conseq_VeryLow,IF(BY458&lt;N_Low,Conseq_Low,IF(BY458&lt;N_Moderate,Conseq_Moderate,IF(BY458&lt;N_High,Conseq_High,IF(BY458&lt;N_VeryHigh,Conseq_VeryHigh,Conseq_ExtremeHigh)))))))</f>
        <v>NA</v>
      </c>
      <c r="BZ460" s="81"/>
      <c r="CA460" s="85"/>
      <c r="CB460" s="81"/>
      <c r="CC460" s="85"/>
      <c r="CD460" s="81"/>
      <c r="CE460" s="23"/>
      <c r="CF460" s="81"/>
    </row>
    <row r="461" spans="1:84" ht="15" customHeight="1" x14ac:dyDescent="0.25">
      <c r="A461" s="2"/>
      <c r="B461" s="512" t="str">
        <f>B20</f>
        <v/>
      </c>
      <c r="C461" s="83"/>
      <c r="D461" s="1285">
        <f>D441*D453</f>
        <v>0</v>
      </c>
      <c r="E461" s="235"/>
      <c r="F461" s="1285">
        <f>F441*F453</f>
        <v>0</v>
      </c>
      <c r="G461" s="235"/>
      <c r="H461" s="1285">
        <f>H441*H453</f>
        <v>0</v>
      </c>
      <c r="I461" s="235"/>
      <c r="J461" s="1285">
        <f>J441*J453</f>
        <v>0</v>
      </c>
      <c r="K461" s="235"/>
      <c r="L461" s="1285">
        <f>L441*L453</f>
        <v>0</v>
      </c>
      <c r="M461" s="235"/>
      <c r="N461" s="1285">
        <f>N441*N453</f>
        <v>0</v>
      </c>
      <c r="O461" s="235"/>
      <c r="P461" s="1285">
        <f>P441*P453</f>
        <v>0</v>
      </c>
      <c r="Q461" s="235"/>
      <c r="R461" s="1285">
        <f>R441*R453</f>
        <v>0</v>
      </c>
      <c r="S461" s="235"/>
      <c r="T461" s="1285">
        <f>T441*T453</f>
        <v>0</v>
      </c>
      <c r="U461" s="235"/>
      <c r="V461" s="1285">
        <f>V441*V453</f>
        <v>0</v>
      </c>
      <c r="W461" s="235"/>
      <c r="X461" s="1285">
        <f>X441*X453</f>
        <v>0</v>
      </c>
      <c r="Y461" s="235"/>
      <c r="Z461" s="473" t="s">
        <v>1497</v>
      </c>
      <c r="AA461" s="83"/>
      <c r="AB461" s="81"/>
      <c r="AC461" s="512" t="str">
        <f>B447</f>
        <v/>
      </c>
      <c r="AD461" s="81"/>
      <c r="AE461" s="1289">
        <f>IF(SUM(AE452:AE456)&gt;0,AE455/MAX(Mw_4,1)/(AE452/MAX(Mw_1,1)+AE453/MAX(Mw_2,1)+AE454/MAX(Mw_3,1)+AE455/MAX(Mw_4,1)+AE456/MAX(Mw_5,1)),0)</f>
        <v>0</v>
      </c>
      <c r="AF461" s="81"/>
      <c r="AG461" s="1289">
        <f>IF(SUM(AG452:AG456)&gt;0,AG455/MAX(Mw_4,1)/(AG452/MAX(Mw_1,1)+AG453/MAX(Mw_2,1)+AG454/MAX(Mw_3,1)+AG455/MAX(Mw_4,1)+AG456/MAX(Mw_5,1)),0)</f>
        <v>0</v>
      </c>
      <c r="AH461" s="81"/>
      <c r="AI461" s="1289">
        <f>IF(SUM(AI452:AI456)&gt;0,AI455/MAX(Mw_4,1)/(AI452/MAX(Mw_1,1)+AI453/MAX(Mw_2,1)+AI454/MAX(Mw_3,1)+AI455/MAX(Mw_4,1)+AI456/MAX(Mw_5,1)),0)</f>
        <v>0</v>
      </c>
      <c r="AJ461" s="81"/>
      <c r="AK461" s="81"/>
      <c r="AL461" s="81"/>
      <c r="AM461" s="81"/>
      <c r="AN461" s="81"/>
      <c r="AO461" s="81"/>
      <c r="AP461" s="81"/>
      <c r="AQ461" s="91"/>
      <c r="AR461" s="81"/>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81"/>
      <c r="BS461" s="851" t="s">
        <v>2008</v>
      </c>
      <c r="BT461" s="81"/>
      <c r="BU461" s="85"/>
      <c r="BV461" s="81"/>
      <c r="BW461" s="85"/>
      <c r="BX461" s="81"/>
      <c r="BY461" s="1861">
        <f>IF(BY357&lt;&gt;"Yes",0,EXP(-6.9*(Bldg_Type_Correction/BY353)^BldgType_Exp))</f>
        <v>0</v>
      </c>
      <c r="BZ461" s="81"/>
      <c r="CA461" s="85"/>
      <c r="CB461" s="81"/>
      <c r="CC461" s="85"/>
      <c r="CD461" s="81"/>
      <c r="CE461" s="23"/>
      <c r="CF461" s="81"/>
    </row>
    <row r="462" spans="1:84" ht="15" customHeight="1" thickBot="1" x14ac:dyDescent="0.3">
      <c r="A462" s="2"/>
      <c r="B462" s="512" t="str">
        <f>B21</f>
        <v/>
      </c>
      <c r="C462" s="83"/>
      <c r="D462" s="1285">
        <f>D442*D454</f>
        <v>0</v>
      </c>
      <c r="E462" s="235"/>
      <c r="F462" s="1285">
        <f>F442*F454</f>
        <v>0</v>
      </c>
      <c r="G462" s="235"/>
      <c r="H462" s="1285">
        <f>H442*H454</f>
        <v>0</v>
      </c>
      <c r="I462" s="235"/>
      <c r="J462" s="1285">
        <f>J442*J454</f>
        <v>0</v>
      </c>
      <c r="K462" s="235"/>
      <c r="L462" s="1285">
        <f>L442*L454</f>
        <v>0</v>
      </c>
      <c r="M462" s="235"/>
      <c r="N462" s="1285">
        <f>N442*N454</f>
        <v>0</v>
      </c>
      <c r="O462" s="235"/>
      <c r="P462" s="1285">
        <f>P442*P454</f>
        <v>0</v>
      </c>
      <c r="Q462" s="235"/>
      <c r="R462" s="1285">
        <f>R442*R454</f>
        <v>0</v>
      </c>
      <c r="S462" s="235"/>
      <c r="T462" s="1285">
        <f>T442*T454</f>
        <v>0</v>
      </c>
      <c r="U462" s="235"/>
      <c r="V462" s="1285">
        <f>V442*V454</f>
        <v>0</v>
      </c>
      <c r="W462" s="235"/>
      <c r="X462" s="1285">
        <f>X442*X454</f>
        <v>0</v>
      </c>
      <c r="Y462" s="235"/>
      <c r="Z462" s="473" t="s">
        <v>1497</v>
      </c>
      <c r="AA462" s="83"/>
      <c r="AB462" s="81"/>
      <c r="AC462" s="512" t="str">
        <f>B448</f>
        <v/>
      </c>
      <c r="AD462" s="81"/>
      <c r="AE462" s="1289">
        <f>IF(SUM(AE452:AE456)&gt;0,AE456/MAX(Mw_5,1)/(AE452/MAX(Mw_1,1)+AE453/MAX(Mw_2,1)+AE454/MAX(Mw_3,1)+AE455/MAX(Mw_4,1)+AE456/MAX(Mw_5,1)),0)</f>
        <v>0</v>
      </c>
      <c r="AF462" s="81"/>
      <c r="AG462" s="1289">
        <f>IF(SUM(AG452:AG456)&gt;0,AG456/MAX(Mw_5,1)/(AG452/MAX(Mw_1,1)+AG453/MAX(Mw_2,1)+AG454/MAX(Mw_3,1)+AG455/MAX(Mw_4,1)+AG456/MAX(Mw_5,1)),0)</f>
        <v>0</v>
      </c>
      <c r="AH462" s="81"/>
      <c r="AI462" s="1289">
        <f>IF(SUM(AI452:AI456)&gt;0,AI456/MAX(Mw_5,1)/(AI452/MAX(Mw_1,1)+AI453/MAX(Mw_2,1)+AI454/MAX(Mw_3,1)+AI455/MAX(Mw_4,1)+AI456/MAX(Mw_5,1)),0)</f>
        <v>0</v>
      </c>
      <c r="AJ462" s="81"/>
      <c r="AK462" s="81"/>
      <c r="AL462" s="81"/>
      <c r="AM462" s="81"/>
      <c r="AN462" s="81"/>
      <c r="AO462" s="81"/>
      <c r="AP462" s="81"/>
      <c r="AQ462" s="23"/>
      <c r="AR462" s="81"/>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81"/>
      <c r="BS462" s="851" t="s">
        <v>2009</v>
      </c>
      <c r="BT462" s="81"/>
      <c r="BU462" s="85"/>
      <c r="BV462" s="81"/>
      <c r="BW462" s="85"/>
      <c r="BX462" s="81"/>
      <c r="BY462" s="1820">
        <f>IF(AND(BY357="Yes",BY354&gt;1.3*Bldg_Type_Correction),1+BY461*(Occupants_atRisk-1),BY461*Occupants_atRisk)</f>
        <v>0</v>
      </c>
      <c r="BZ462" s="81"/>
      <c r="CA462" s="85"/>
      <c r="CB462" s="81"/>
      <c r="CC462" s="85"/>
      <c r="CD462" s="81"/>
      <c r="CE462" s="23"/>
      <c r="CF462" s="81"/>
    </row>
    <row r="463" spans="1:84" ht="15" customHeight="1" thickBot="1" x14ac:dyDescent="0.3">
      <c r="A463" s="2"/>
      <c r="B463" s="615" t="s">
        <v>5130</v>
      </c>
      <c r="C463" s="83"/>
      <c r="D463" s="1285">
        <f>D443</f>
        <v>0</v>
      </c>
      <c r="E463" s="235"/>
      <c r="F463" s="1285">
        <f>F443</f>
        <v>0</v>
      </c>
      <c r="G463" s="235"/>
      <c r="H463" s="1285">
        <f>H443</f>
        <v>0</v>
      </c>
      <c r="I463" s="235"/>
      <c r="J463" s="1285">
        <f>J443</f>
        <v>0</v>
      </c>
      <c r="K463" s="235"/>
      <c r="L463" s="1285">
        <f>L443</f>
        <v>0</v>
      </c>
      <c r="M463" s="235"/>
      <c r="N463" s="1285">
        <f>N443</f>
        <v>0</v>
      </c>
      <c r="O463" s="235"/>
      <c r="P463" s="1285">
        <f>P443</f>
        <v>0</v>
      </c>
      <c r="Q463" s="235"/>
      <c r="R463" s="1285">
        <f>R443</f>
        <v>0</v>
      </c>
      <c r="S463" s="235"/>
      <c r="T463" s="1285">
        <f>T443</f>
        <v>0</v>
      </c>
      <c r="U463" s="235"/>
      <c r="V463" s="1285">
        <f>V443</f>
        <v>0</v>
      </c>
      <c r="W463" s="235"/>
      <c r="X463" s="1285">
        <f>X443</f>
        <v>0</v>
      </c>
      <c r="Y463" s="235"/>
      <c r="Z463" s="473" t="s">
        <v>1497</v>
      </c>
      <c r="AA463" s="83"/>
      <c r="AB463" s="81"/>
      <c r="AC463" s="119" t="s">
        <v>2214</v>
      </c>
      <c r="AD463" s="81"/>
      <c r="AE463" s="2089">
        <f t="array" ref="AE463:AE469">IF(AE451-AE457&gt;0,MultiCompCndsOp(T,Number_Trials,1,Ambient_Temp,Act_rel,Molar_Vapor_Cs,Molar_HtVap,VP_A,VP_B,VP_C,AE458,AE459,AE460,AE461,AE462,Alpha_1,Alpha_2,Alpha_3,Alpha_4,Alpha_5,Act_1,Act_2,Act_3,Act_4,Act_5,Rel_1,Rel_2,Rel_3,Rel_4,Rel_5),1)</f>
        <v>1</v>
      </c>
      <c r="AF463" s="81"/>
      <c r="AG463" s="2089">
        <f t="array" ref="AG463:AG469">IF(AG451-AG457&gt;0,MultiCompCndsOp(T,Number_Trials,1,Ambient_Temp,Act_rel,Molar_Vapor_Cs,Molar_HtVap,VP_A,VP_B,VP_C,AG458,AG459,AG460,AG461,AG462,Alpha_1,Alpha_2,Alpha_3,Alpha_4,Alpha_5,Act_1,Act_2,Act_3,Act_4,Act_5,Rel_1,Rel_2,Rel_3,Rel_4,Rel_5),1)</f>
        <v>1</v>
      </c>
      <c r="AH463" s="81"/>
      <c r="AI463" s="2089">
        <f t="array" ref="AI463:AI469">IF(AI451-AI457&gt;0,MultiCompCndsOp(T,Number_Trials,1,Ambient_Temp,Act_rel,Molar_Vapor_Cs,Molar_HtVap,VP_A,VP_B,VP_C,AI458,AI459,AI460,AI461,AI462,Alpha_1,Alpha_2,Alpha_3,Alpha_4,Alpha_5,Act_1,Act_2,Act_3,Act_4,Act_5,Rel_1,Rel_2,Rel_3,Rel_4,Rel_5),1)</f>
        <v>1</v>
      </c>
      <c r="AJ463" s="81"/>
      <c r="AK463" s="81"/>
      <c r="AL463" s="81"/>
      <c r="AM463" s="81"/>
      <c r="AN463" s="81"/>
      <c r="AO463" s="81"/>
      <c r="AP463" s="81"/>
      <c r="AQ463" s="23"/>
      <c r="AR463" s="81"/>
      <c r="AT463" s="327"/>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81"/>
      <c r="BS463" s="851" t="s">
        <v>630</v>
      </c>
      <c r="BT463" s="81"/>
      <c r="BU463" s="85"/>
      <c r="BV463" s="81"/>
      <c r="BW463" s="85"/>
      <c r="BX463" s="81"/>
      <c r="BY463" s="321">
        <f>IF(OR(Occ_Bldg2=0,BY357&lt;&gt;"Yes"),0,EXP(-6.9*(Bldg2_Type_Correction/BY355)^BldgType_Exp))</f>
        <v>0</v>
      </c>
      <c r="BZ463" s="81"/>
      <c r="CA463" s="85"/>
      <c r="CB463" s="81"/>
      <c r="CC463" s="85"/>
      <c r="CD463" s="81"/>
      <c r="CE463" s="23"/>
      <c r="CF463" s="81"/>
    </row>
    <row r="464" spans="1:84" ht="15" customHeight="1" thickBot="1" x14ac:dyDescent="0.3">
      <c r="A464" s="2"/>
      <c r="B464" s="85" t="s">
        <v>2205</v>
      </c>
      <c r="C464" s="235"/>
      <c r="D464" s="3018">
        <f>D418*IF(D437&gt;0,D457/D437,1)</f>
        <v>7.7915692117653862E-4</v>
      </c>
      <c r="E464" s="235"/>
      <c r="F464" s="3018">
        <f>F418*IF(F437&gt;0,F457/F437,1)</f>
        <v>7.7915692117653862E-4</v>
      </c>
      <c r="G464" s="235"/>
      <c r="H464" s="3018">
        <f>H418*IF(H437&gt;0,H457/H437,1)</f>
        <v>0</v>
      </c>
      <c r="I464" s="235"/>
      <c r="J464" s="3018">
        <f>J418*IF(J437&gt;0,J457/J437,1)</f>
        <v>7.7915692117653862E-4</v>
      </c>
      <c r="K464" s="235"/>
      <c r="L464" s="3018">
        <f>L418*IF(L437&gt;0,L457/L437,1)</f>
        <v>0</v>
      </c>
      <c r="M464" s="235"/>
      <c r="N464" s="3018">
        <f>N418*IF(N437&gt;0,N457/N437,1)</f>
        <v>0</v>
      </c>
      <c r="O464" s="83"/>
      <c r="P464" s="3018">
        <f>P418*IF(P437&gt;0,P457/P437,1)</f>
        <v>7.0124122905888464E-5</v>
      </c>
      <c r="Q464" s="235"/>
      <c r="R464" s="3018">
        <f>R418*IF(R437&gt;0,R457/R437,1)</f>
        <v>7.7915692117653862E-4</v>
      </c>
      <c r="S464" s="235"/>
      <c r="T464" s="3018">
        <f>T418*IF(T437&gt;0,T457/T437,1)</f>
        <v>4.8697307573533659E-3</v>
      </c>
      <c r="U464" s="235"/>
      <c r="V464" s="3018">
        <f>V418*IF(V437&gt;0,V457/V437,1)</f>
        <v>1.9478923029413463E-2</v>
      </c>
      <c r="W464" s="235"/>
      <c r="X464" s="3018">
        <f>X418*IF(X437&gt;0,X457/X437,1)</f>
        <v>0.17531030726472116</v>
      </c>
      <c r="Y464" s="83"/>
      <c r="Z464" s="85" t="s">
        <v>1069</v>
      </c>
      <c r="AA464" s="83"/>
      <c r="AB464" s="81"/>
      <c r="AC464" s="512" t="str">
        <f>B450</f>
        <v/>
      </c>
      <c r="AD464" s="81"/>
      <c r="AE464" s="2092">
        <v>1</v>
      </c>
      <c r="AF464" s="81"/>
      <c r="AG464" s="2092">
        <v>1</v>
      </c>
      <c r="AH464" s="81"/>
      <c r="AI464" s="2092">
        <v>1</v>
      </c>
      <c r="AJ464" s="81"/>
      <c r="AK464" s="81"/>
      <c r="AL464" s="81"/>
      <c r="AM464" s="81"/>
      <c r="AN464" s="81"/>
      <c r="AO464" s="81"/>
      <c r="AP464" s="81"/>
      <c r="AQ464" s="85"/>
      <c r="AR464" s="81"/>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81"/>
      <c r="BS464" s="851" t="s">
        <v>629</v>
      </c>
      <c r="BT464" s="81"/>
      <c r="BU464" s="85"/>
      <c r="BV464" s="81"/>
      <c r="BW464" s="85"/>
      <c r="BX464" s="81"/>
      <c r="BY464" s="1820">
        <f>BY463*Occupants_atRisk2</f>
        <v>0</v>
      </c>
      <c r="BZ464" s="81"/>
      <c r="CA464" s="85"/>
      <c r="CB464" s="81"/>
      <c r="CC464" s="85"/>
      <c r="CD464" s="81"/>
      <c r="CE464" s="23"/>
      <c r="CF464" s="81"/>
    </row>
    <row r="465" spans="1:84" ht="15" customHeight="1" thickBot="1" x14ac:dyDescent="0.3">
      <c r="A465" s="2"/>
      <c r="B465" s="25" t="s">
        <v>3650</v>
      </c>
      <c r="C465" s="83"/>
      <c r="D465" s="2645">
        <f>IF(D457&gt;0,D464*D456/D457,0)</f>
        <v>0</v>
      </c>
      <c r="E465" s="235"/>
      <c r="F465" s="2645">
        <f>IF(F457&gt;0,F464*F456/F457,0)</f>
        <v>0</v>
      </c>
      <c r="G465" s="83"/>
      <c r="H465" s="2645">
        <f>IF(H457&gt;0,H464*H456/H457,0)</f>
        <v>0</v>
      </c>
      <c r="I465" s="83"/>
      <c r="J465" s="2645">
        <f>IF(J457&gt;0,J464*J456/J457,0)</f>
        <v>0</v>
      </c>
      <c r="K465" s="83"/>
      <c r="L465" s="2645">
        <f>IF(L457&gt;0,L464*L456/L457,0)</f>
        <v>0</v>
      </c>
      <c r="M465" s="83"/>
      <c r="N465" s="2645">
        <f>IF(N457&gt;0,N464*N456/N457,0)</f>
        <v>0</v>
      </c>
      <c r="O465" s="83"/>
      <c r="P465" s="2645">
        <f>IF(P457&gt;0,P464*P456/P457,0)</f>
        <v>0</v>
      </c>
      <c r="Q465" s="83"/>
      <c r="R465" s="2645">
        <f>IF(R457&gt;0,R464*R456/R457,0)</f>
        <v>0</v>
      </c>
      <c r="S465" s="83"/>
      <c r="T465" s="2645">
        <f>IF(T457&gt;0,T464*T456/T457,0)</f>
        <v>0</v>
      </c>
      <c r="U465" s="83"/>
      <c r="V465" s="2645">
        <f>IF(V457&gt;0,V464*V456/V457,0)</f>
        <v>0</v>
      </c>
      <c r="W465" s="83"/>
      <c r="X465" s="2645">
        <f>IF(X457&gt;0,X464*X456/X457,0)</f>
        <v>0</v>
      </c>
      <c r="Y465" s="83"/>
      <c r="Z465" s="85" t="s">
        <v>1069</v>
      </c>
      <c r="AA465" s="83"/>
      <c r="AB465" s="81"/>
      <c r="AC465" s="512" t="str">
        <f>B451</f>
        <v/>
      </c>
      <c r="AD465" s="81"/>
      <c r="AE465" s="2092">
        <v>1</v>
      </c>
      <c r="AF465" s="81"/>
      <c r="AG465" s="2092">
        <v>1</v>
      </c>
      <c r="AH465" s="81"/>
      <c r="AI465" s="2092">
        <v>1</v>
      </c>
      <c r="AJ465" s="81"/>
      <c r="AK465" s="81"/>
      <c r="AL465" s="81"/>
      <c r="AM465" s="81"/>
      <c r="AN465" s="81"/>
      <c r="AO465" s="81"/>
      <c r="AP465" s="81"/>
      <c r="AQ465" s="85"/>
      <c r="AR465" s="81"/>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81"/>
      <c r="BS465" s="851" t="s">
        <v>5215</v>
      </c>
      <c r="BT465" s="81"/>
      <c r="BU465" s="85"/>
      <c r="BV465" s="81"/>
      <c r="BW465" s="85"/>
      <c r="BX465" s="81"/>
      <c r="BY465" s="3169">
        <f>IF(BY352="No",0,3.14*Offsite_Area_Bldg_Factor*IF(Offsite_PD1="",Offsite_PD/1000000,Offsite_PD1)*BY351^2*(EXP(-Offsite_Bldg_a*Zone_1^2/BY351^2)-EXP(-Offsite_Bldg_a*Public^2/BY351^2))/(-Offsite_Bldg_a))</f>
        <v>0</v>
      </c>
      <c r="BZ465" s="81"/>
      <c r="CA465" s="85"/>
      <c r="CB465" s="81"/>
      <c r="CC465" s="85"/>
      <c r="CD465" s="81"/>
      <c r="CE465" s="23"/>
      <c r="CF465" s="81"/>
    </row>
    <row r="466" spans="1:84" ht="15" customHeight="1" thickBot="1" x14ac:dyDescent="0.3">
      <c r="A466" s="2"/>
      <c r="B466" s="2"/>
      <c r="C466" s="83"/>
      <c r="D466" s="2"/>
      <c r="E466" s="235"/>
      <c r="F466" s="2"/>
      <c r="G466" s="83"/>
      <c r="H466" s="2"/>
      <c r="I466" s="83"/>
      <c r="J466" s="2"/>
      <c r="K466" s="83"/>
      <c r="L466" s="2"/>
      <c r="M466" s="83"/>
      <c r="N466" s="2"/>
      <c r="O466" s="83"/>
      <c r="P466" s="2"/>
      <c r="Q466" s="83"/>
      <c r="R466" s="2"/>
      <c r="S466" s="83"/>
      <c r="T466" s="2"/>
      <c r="U466" s="83"/>
      <c r="V466" s="2"/>
      <c r="W466" s="83"/>
      <c r="X466" s="2"/>
      <c r="Y466" s="83"/>
      <c r="Z466" s="1827"/>
      <c r="AA466" s="83"/>
      <c r="AB466" s="81"/>
      <c r="AC466" s="512" t="str">
        <f>B452</f>
        <v/>
      </c>
      <c r="AD466" s="81"/>
      <c r="AE466" s="2092">
        <v>1</v>
      </c>
      <c r="AF466" s="81"/>
      <c r="AG466" s="2092">
        <v>1</v>
      </c>
      <c r="AH466" s="81"/>
      <c r="AI466" s="2092">
        <v>1</v>
      </c>
      <c r="AJ466" s="81"/>
      <c r="AK466" s="81"/>
      <c r="AL466" s="81"/>
      <c r="AM466" s="81"/>
      <c r="AN466" s="81"/>
      <c r="AO466" s="81"/>
      <c r="AP466" s="81"/>
      <c r="AQ466" s="85"/>
      <c r="AR466" s="81"/>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81"/>
      <c r="BS466" s="851" t="s">
        <v>5216</v>
      </c>
      <c r="BT466" s="81"/>
      <c r="BU466" s="85"/>
      <c r="BV466" s="81"/>
      <c r="BW466" s="85"/>
      <c r="BX466" s="81"/>
      <c r="BY466" s="3169">
        <f>IF(BY352="No",0,3.14*Offsite_Area_Bldg_Factor*IF(Offsite_PD2="",Offsite_PD/1000000,Offsite_PD2)*BY351^2*(0-EXP(-Offsite_Bldg_a*Zone_1^2/BY351^2))/(-Offsite_Bldg_a))</f>
        <v>0</v>
      </c>
      <c r="BZ466" s="81"/>
      <c r="CA466" s="85"/>
      <c r="CB466" s="81"/>
      <c r="CC466" s="85"/>
      <c r="CD466" s="81"/>
      <c r="CE466" s="23"/>
      <c r="CF466" s="81"/>
    </row>
    <row r="467" spans="1:84" ht="15" customHeight="1" thickBot="1" x14ac:dyDescent="0.3">
      <c r="A467" s="2"/>
      <c r="B467" s="139" t="s">
        <v>1870</v>
      </c>
      <c r="C467" s="83"/>
      <c r="D467" s="2"/>
      <c r="E467" s="235"/>
      <c r="F467" s="2"/>
      <c r="G467" s="83"/>
      <c r="H467" s="2"/>
      <c r="I467" s="83"/>
      <c r="J467" s="2"/>
      <c r="K467" s="83"/>
      <c r="L467" s="2"/>
      <c r="M467" s="83"/>
      <c r="N467" s="2"/>
      <c r="O467" s="83"/>
      <c r="P467" s="2"/>
      <c r="Q467" s="83"/>
      <c r="R467" s="2"/>
      <c r="S467" s="83"/>
      <c r="T467" s="2"/>
      <c r="U467" s="83"/>
      <c r="V467" s="2"/>
      <c r="W467" s="83"/>
      <c r="X467" s="2"/>
      <c r="Y467" s="83"/>
      <c r="Z467" s="1827"/>
      <c r="AA467" s="83"/>
      <c r="AB467" s="81"/>
      <c r="AC467" s="512" t="str">
        <f>B453</f>
        <v/>
      </c>
      <c r="AD467" s="81"/>
      <c r="AE467" s="2092">
        <v>1</v>
      </c>
      <c r="AF467" s="81"/>
      <c r="AG467" s="2092">
        <v>1</v>
      </c>
      <c r="AH467" s="81"/>
      <c r="AI467" s="2092">
        <v>1</v>
      </c>
      <c r="AJ467" s="81"/>
      <c r="AK467" s="81"/>
      <c r="AL467" s="81"/>
      <c r="AM467" s="81"/>
      <c r="AN467" s="81"/>
      <c r="AO467" s="81"/>
      <c r="AP467" s="81"/>
      <c r="AQ467" s="85"/>
      <c r="AR467" s="81"/>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81"/>
      <c r="BS467" s="846" t="s">
        <v>5217</v>
      </c>
      <c r="BT467" s="81"/>
      <c r="BU467" s="85"/>
      <c r="BV467" s="81"/>
      <c r="BW467" s="85"/>
      <c r="BX467" s="81"/>
      <c r="BY467" s="3169">
        <f>BY465+BY466</f>
        <v>0</v>
      </c>
      <c r="BZ467" s="81"/>
      <c r="CA467" s="85"/>
      <c r="CB467" s="81"/>
      <c r="CC467" s="85"/>
      <c r="CD467" s="81"/>
      <c r="CE467" s="23"/>
      <c r="CF467" s="81"/>
    </row>
    <row r="468" spans="1:84" ht="15" customHeight="1" thickBot="1" x14ac:dyDescent="0.3">
      <c r="A468" s="2"/>
      <c r="B468" s="614" t="str">
        <f>IF(B17="","","Vapor Moles "&amp;B17)</f>
        <v/>
      </c>
      <c r="C468" s="83"/>
      <c r="D468" s="878">
        <f>IF(Mw_1&lt;&gt;"",D458/Mw_1,0)</f>
        <v>0</v>
      </c>
      <c r="E468" s="235"/>
      <c r="F468" s="878">
        <f>IF(Mw_1&lt;&gt;"",F458/Mw_1,0)</f>
        <v>0</v>
      </c>
      <c r="G468" s="83"/>
      <c r="H468" s="878">
        <f>IF(Mw_1&lt;&gt;"",H458/Mw_1,0)</f>
        <v>0</v>
      </c>
      <c r="I468" s="83"/>
      <c r="J468" s="878">
        <f>IF(Mw_1&lt;&gt;"",J458/Mw_1,0)</f>
        <v>0</v>
      </c>
      <c r="K468" s="83"/>
      <c r="L468" s="878">
        <f>IF(Mw_1&lt;&gt;"",L458/Mw_1,0)</f>
        <v>0</v>
      </c>
      <c r="M468" s="83"/>
      <c r="N468" s="878">
        <f>IF(Mw_1&lt;&gt;"",N458/Mw_1,0)</f>
        <v>0</v>
      </c>
      <c r="O468" s="83"/>
      <c r="P468" s="878">
        <f>IF(Mw_1&lt;&gt;"",P458/Mw_1,0)</f>
        <v>0</v>
      </c>
      <c r="Q468" s="83"/>
      <c r="R468" s="878">
        <f>IF(Mw_1&lt;&gt;"",R458/Mw_1,0)</f>
        <v>0</v>
      </c>
      <c r="S468" s="83"/>
      <c r="T468" s="878">
        <f>IF(Mw_1&lt;&gt;"",T458/Mw_1,0)</f>
        <v>0</v>
      </c>
      <c r="U468" s="83"/>
      <c r="V468" s="878">
        <f>IF(Mw_1&lt;&gt;"",V458/Mw_1,0)</f>
        <v>0</v>
      </c>
      <c r="W468" s="83"/>
      <c r="X468" s="878">
        <f>IF(Mw_1&lt;&gt;"",X458/Mw_1,0)</f>
        <v>0</v>
      </c>
      <c r="Y468" s="83"/>
      <c r="Z468" s="92"/>
      <c r="AA468" s="83"/>
      <c r="AB468" s="81"/>
      <c r="AC468" s="512" t="str">
        <f>B454</f>
        <v/>
      </c>
      <c r="AD468" s="81"/>
      <c r="AE468" s="2093">
        <v>1</v>
      </c>
      <c r="AF468" s="81"/>
      <c r="AG468" s="2093">
        <v>1</v>
      </c>
      <c r="AH468" s="81"/>
      <c r="AI468" s="2093">
        <v>1</v>
      </c>
      <c r="AJ468" s="81"/>
      <c r="AK468" s="81"/>
      <c r="AL468" s="81"/>
      <c r="AM468" s="81"/>
      <c r="AN468" s="81"/>
      <c r="AO468" s="81"/>
      <c r="AP468" s="81"/>
      <c r="AQ468" s="85"/>
      <c r="AR468" s="81"/>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81"/>
      <c r="BS468" s="23" t="s">
        <v>2011</v>
      </c>
      <c r="BT468" s="81"/>
      <c r="BU468" s="85"/>
      <c r="BV468" s="81"/>
      <c r="BW468" s="85"/>
      <c r="BX468" s="81"/>
      <c r="BY468" s="3014">
        <f>BY462+BY457+BY464+BY467</f>
        <v>0</v>
      </c>
      <c r="BZ468" s="81"/>
      <c r="CA468" s="85"/>
      <c r="CB468" s="81"/>
      <c r="CC468" s="85"/>
      <c r="CD468" s="81"/>
      <c r="CE468" s="23"/>
      <c r="CF468" s="81"/>
    </row>
    <row r="469" spans="1:84" ht="15" customHeight="1" thickBot="1" x14ac:dyDescent="0.3">
      <c r="A469" s="2"/>
      <c r="B469" s="512" t="str">
        <f>IF(B18="","","Vapor Moles "&amp;B18)</f>
        <v/>
      </c>
      <c r="C469" s="238"/>
      <c r="D469" s="2996">
        <f>IF(Mw_2&lt;&gt;"",D459/Mw_2,0)</f>
        <v>0</v>
      </c>
      <c r="E469" s="235"/>
      <c r="F469" s="2996">
        <f>IF(Mw_2&lt;&gt;"",F459/Mw_2,0)</f>
        <v>0</v>
      </c>
      <c r="G469" s="238"/>
      <c r="H469" s="2996">
        <f>IF(Mw_2&lt;&gt;"",H459/Mw_2,0)</f>
        <v>0</v>
      </c>
      <c r="I469" s="238"/>
      <c r="J469" s="2996">
        <f>IF(Mw_2&lt;&gt;"",J459/Mw_2,0)</f>
        <v>0</v>
      </c>
      <c r="K469" s="238"/>
      <c r="L469" s="2996">
        <f>IF(Mw_2&lt;&gt;"",L459/Mw_2,0)</f>
        <v>0</v>
      </c>
      <c r="M469" s="238"/>
      <c r="N469" s="2996">
        <f>IF(Mw_2&lt;&gt;"",N459/Mw_2,0)</f>
        <v>0</v>
      </c>
      <c r="O469" s="83"/>
      <c r="P469" s="2996">
        <f>IF(Mw_2&lt;&gt;"",P459/Mw_2,0)</f>
        <v>0</v>
      </c>
      <c r="Q469" s="238"/>
      <c r="R469" s="2996">
        <f>IF(Mw_2&lt;&gt;"",R459/Mw_2,0)</f>
        <v>0</v>
      </c>
      <c r="S469" s="238"/>
      <c r="T469" s="2996">
        <f>IF(Mw_2&lt;&gt;"",T459/Mw_2,0)</f>
        <v>0</v>
      </c>
      <c r="U469" s="238"/>
      <c r="V469" s="2996">
        <f>IF(Mw_2&lt;&gt;"",V459/Mw_2,0)</f>
        <v>0</v>
      </c>
      <c r="W469" s="238"/>
      <c r="X469" s="2996">
        <f>IF(Mw_2&lt;&gt;"",X459/Mw_2,0)</f>
        <v>0</v>
      </c>
      <c r="Y469" s="83"/>
      <c r="Z469" s="85"/>
      <c r="AA469" s="83"/>
      <c r="AB469" s="81"/>
      <c r="AC469" s="2407" t="s">
        <v>4630</v>
      </c>
      <c r="AD469" s="81"/>
      <c r="AE469" s="2411">
        <v>1</v>
      </c>
      <c r="AF469" s="81"/>
      <c r="AG469" s="2411">
        <v>1</v>
      </c>
      <c r="AH469" s="81"/>
      <c r="AI469" s="2411">
        <v>1</v>
      </c>
      <c r="AJ469" s="81"/>
      <c r="AK469" s="81"/>
      <c r="AL469" s="81"/>
      <c r="AM469" s="81"/>
      <c r="AN469" s="81"/>
      <c r="AO469" s="81"/>
      <c r="AP469" s="81"/>
      <c r="AQ469" s="85"/>
      <c r="AR469" s="81"/>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81"/>
      <c r="BS469" s="25" t="s">
        <v>4808</v>
      </c>
      <c r="BT469" s="81"/>
      <c r="BU469" s="85"/>
      <c r="BV469" s="81"/>
      <c r="BW469" s="85"/>
      <c r="BX469" s="81"/>
      <c r="BY469" s="1286" t="str">
        <f>IF(BY351&lt;HD_Screening_Limit,"NA",IF(MAX(BY353/Bldg_Type_Correction,BY355/Bldg2_Type_Correction)&lt;HD_Low_Expl,Conseq_Low,IF(MAX(BY353/Bldg_Type_Correction,BY355/Bldg2_Type_Correction)&lt;HD_Moderate_Expl,Conseq_Moderate,IF(MAX(BY353/Bldg_Type_Correction,BY355/Bldg2_Type_Correction)&lt;HD_High_Expl,Conseq_High,IF(MAX(BY353/Bldg_Type_Correction,BY355/Bldg2_Type_Correction)&lt;HD_VeryHigh_Expl,Conseq_VeryHigh,Conseq_ExtremeHigh)))))</f>
        <v>NA</v>
      </c>
      <c r="BZ469" s="81"/>
      <c r="CA469" s="85"/>
      <c r="CB469" s="81"/>
      <c r="CC469" s="85"/>
      <c r="CD469" s="81"/>
      <c r="CE469" s="23"/>
      <c r="CF469" s="81"/>
    </row>
    <row r="470" spans="1:84" ht="15" customHeight="1" thickBot="1" x14ac:dyDescent="0.3">
      <c r="A470" s="2"/>
      <c r="B470" s="512" t="str">
        <f>IF(B19="","","Vapor Moles "&amp;B19)</f>
        <v/>
      </c>
      <c r="C470" s="238"/>
      <c r="D470" s="2996">
        <f>IF(Mw_3&lt;&gt;"",D460/Mw_3,0)</f>
        <v>0</v>
      </c>
      <c r="E470" s="235"/>
      <c r="F470" s="2996">
        <f>IF(Mw_3&lt;&gt;"",F460/Mw_3,0)</f>
        <v>0</v>
      </c>
      <c r="G470" s="238"/>
      <c r="H470" s="2996">
        <f>IF(Mw_3&lt;&gt;"",H460/Mw_3,0)</f>
        <v>0</v>
      </c>
      <c r="I470" s="238"/>
      <c r="J470" s="2996">
        <f>IF(Mw_3&lt;&gt;"",J460/Mw_3,0)</f>
        <v>0</v>
      </c>
      <c r="K470" s="238"/>
      <c r="L470" s="2996">
        <f>IF(Mw_3&lt;&gt;"",L460/Mw_3,0)</f>
        <v>0</v>
      </c>
      <c r="M470" s="238"/>
      <c r="N470" s="2996">
        <f>IF(Mw_3&lt;&gt;"",N460/Mw_3,0)</f>
        <v>0</v>
      </c>
      <c r="O470" s="83"/>
      <c r="P470" s="2996">
        <f>IF(Mw_3&lt;&gt;"",P460/Mw_3,0)</f>
        <v>0</v>
      </c>
      <c r="Q470" s="238"/>
      <c r="R470" s="2996">
        <f>IF(Mw_3&lt;&gt;"",R460/Mw_3,0)</f>
        <v>0</v>
      </c>
      <c r="S470" s="238"/>
      <c r="T470" s="2996">
        <f>IF(Mw_3&lt;&gt;"",T460/Mw_3,0)</f>
        <v>0</v>
      </c>
      <c r="U470" s="238"/>
      <c r="V470" s="2996">
        <f>IF(Mw_3&lt;&gt;"",V460/Mw_3,0)</f>
        <v>0</v>
      </c>
      <c r="W470" s="238"/>
      <c r="X470" s="2996">
        <f>IF(Mw_3&lt;&gt;"",X460/Mw_3,0)</f>
        <v>0</v>
      </c>
      <c r="Y470" s="83"/>
      <c r="Z470" s="85"/>
      <c r="AA470" s="83"/>
      <c r="AB470" s="81"/>
      <c r="AC470" s="1837" t="s">
        <v>2785</v>
      </c>
      <c r="AD470" s="81"/>
      <c r="AE470" s="2991">
        <f>IF(Flam_1&gt;0,AE452,0)+IF(Flam_2&gt;0,AE453,0)+IF(Flam_3&gt;0,AE454,0)+IF(Flam_4&gt;0,AE455,0)+IF(Flam_5&gt;0,AE456,0)+IF(NFPA_F_Pad&gt;1,AE457,0)</f>
        <v>0</v>
      </c>
      <c r="AF470" s="81"/>
      <c r="AG470" s="2991">
        <f>IF(Flam_1&gt;0,AG452,0)+IF(Flam_2&gt;0,AG453,0)+IF(Flam_3&gt;0,AG454,0)+IF(Flam_4&gt;0,AG455,0)+IF(Flam_5&gt;0,AG456,0)+IF(NFPA_F_Pad&gt;1,AG457,0)</f>
        <v>0</v>
      </c>
      <c r="AH470" s="81"/>
      <c r="AI470" s="2991">
        <f>IF(Flam_1&gt;0,AI452,0)+IF(Flam_2&gt;0,AI453,0)+IF(Flam_3&gt;0,AI454,0)+IF(Flam_4&gt;0,AI455,0)+IF(Flam_5&gt;0,AI456,0)+IF(NFPA_F_Pad&gt;1,AI457,0)</f>
        <v>0</v>
      </c>
      <c r="AJ470" s="81"/>
      <c r="AK470" s="81"/>
      <c r="AL470" s="81"/>
      <c r="AM470" s="81"/>
      <c r="AN470" s="81"/>
      <c r="AO470" s="81"/>
      <c r="AP470" s="81"/>
      <c r="AQ470" s="85" t="s">
        <v>1497</v>
      </c>
      <c r="AR470" s="81"/>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81"/>
      <c r="BS470" s="25" t="s">
        <v>4232</v>
      </c>
      <c r="BT470" s="81"/>
      <c r="BU470" s="85"/>
      <c r="BV470" s="81"/>
      <c r="BW470" s="85"/>
      <c r="BX470" s="81"/>
      <c r="BY470" s="2135" t="str">
        <f>IF(Conseq_Criteria="Hazard Distance",BY469,IF(BY351&lt;HD_Screening_Limit,"NA",IF(BY468&lt;N_VeryLow,Conseq_VeryLow,IF(BY468&lt;N_Low,Conseq_Low,IF(BY468&lt;N_Moderate,Conseq_Moderate,IF(BY468&lt;N_High,Conseq_High,IF(BY468&lt;N_VeryHigh,Conseq_VeryHigh,Conseq_ExtremeHigh)))))))</f>
        <v>NA</v>
      </c>
      <c r="BZ470" s="81"/>
      <c r="CA470" s="85"/>
      <c r="CB470" s="81"/>
      <c r="CC470" s="85"/>
      <c r="CD470" s="81"/>
      <c r="CE470" s="23"/>
      <c r="CF470" s="81"/>
    </row>
    <row r="471" spans="1:84" ht="15" customHeight="1" thickBot="1" x14ac:dyDescent="0.3">
      <c r="A471" s="2"/>
      <c r="B471" s="512" t="str">
        <f>IF(B20="","","Vapor Moles "&amp;B20)</f>
        <v/>
      </c>
      <c r="C471" s="238"/>
      <c r="D471" s="2996">
        <f>IF(Mw_4&lt;&gt;"",D461/Mw_4,0)</f>
        <v>0</v>
      </c>
      <c r="E471" s="235"/>
      <c r="F471" s="2996">
        <f>IF(Mw_4&lt;&gt;"",F461/Mw_4,0)</f>
        <v>0</v>
      </c>
      <c r="G471" s="238"/>
      <c r="H471" s="2996">
        <f>IF(Mw_4&lt;&gt;"",H461/Mw_4,0)</f>
        <v>0</v>
      </c>
      <c r="I471" s="238"/>
      <c r="J471" s="2996">
        <f>IF(Mw_4&lt;&gt;"",J461/Mw_4,0)</f>
        <v>0</v>
      </c>
      <c r="K471" s="238"/>
      <c r="L471" s="2996">
        <f>IF(Mw_4&lt;&gt;"",L461/Mw_4,0)</f>
        <v>0</v>
      </c>
      <c r="M471" s="238"/>
      <c r="N471" s="2996">
        <f>IF(Mw_4&lt;&gt;"",N461/Mw_4,0)</f>
        <v>0</v>
      </c>
      <c r="O471" s="83"/>
      <c r="P471" s="2996">
        <f>IF(Mw_4&lt;&gt;"",P461/Mw_4,0)</f>
        <v>0</v>
      </c>
      <c r="Q471" s="238"/>
      <c r="R471" s="2996">
        <f>IF(Mw_4&lt;&gt;"",R461/Mw_4,0)</f>
        <v>0</v>
      </c>
      <c r="S471" s="238"/>
      <c r="T471" s="2996">
        <f>IF(Mw_4&lt;&gt;"",T461/Mw_4,0)</f>
        <v>0</v>
      </c>
      <c r="U471" s="238"/>
      <c r="V471" s="2996">
        <f>IF(Mw_4&lt;&gt;"",V461/Mw_4,0)</f>
        <v>0</v>
      </c>
      <c r="W471" s="238"/>
      <c r="X471" s="2996">
        <f>IF(Mw_4&lt;&gt;"",X461/Mw_4,0)</f>
        <v>0</v>
      </c>
      <c r="Y471" s="83"/>
      <c r="Z471" s="85"/>
      <c r="AA471" s="83"/>
      <c r="AB471" s="81"/>
      <c r="AC471" s="119" t="s">
        <v>2215</v>
      </c>
      <c r="AD471" s="81"/>
      <c r="AE471" s="1765">
        <f>SUM(AE472:AE477)</f>
        <v>0</v>
      </c>
      <c r="AF471" s="81"/>
      <c r="AG471" s="1765">
        <f>SUM(AG472:AG477)</f>
        <v>0</v>
      </c>
      <c r="AH471" s="81"/>
      <c r="AI471" s="1765">
        <f>SUM(AI472:AI477)</f>
        <v>0</v>
      </c>
      <c r="AJ471" s="81"/>
      <c r="AK471" s="81"/>
      <c r="AL471" s="81"/>
      <c r="AM471" s="81"/>
      <c r="AN471" s="81"/>
      <c r="AO471" s="81"/>
      <c r="AP471" s="81"/>
      <c r="AQ471" s="85" t="s">
        <v>1497</v>
      </c>
      <c r="AR471" s="81"/>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81"/>
      <c r="BS471" s="84" t="s">
        <v>1478</v>
      </c>
      <c r="BT471" s="81"/>
      <c r="BU471" s="85"/>
      <c r="BV471" s="81"/>
      <c r="BW471" s="118">
        <f>IF(OR(Fraction_Flammable&gt;0.1,State="Solid"),IF(State="Solid",'Special Calcs'!C85,3.1*(Volume/1000)^0.402),0)</f>
        <v>0</v>
      </c>
      <c r="BX471" s="81"/>
      <c r="BY471" s="85"/>
      <c r="BZ471" s="81"/>
      <c r="CA471" s="85"/>
      <c r="CB471" s="81"/>
      <c r="CC471" s="118">
        <f>IF(State="Solid",'Special Calcs'!C85,IF(CC363&gt;30000,3.79*CC363^0.37,1.95*CC363^0.433))</f>
        <v>0</v>
      </c>
      <c r="CD471" s="81"/>
      <c r="CE471" s="92" t="s">
        <v>1068</v>
      </c>
      <c r="CF471" s="81"/>
    </row>
    <row r="472" spans="1:84" ht="15" customHeight="1" x14ac:dyDescent="0.25">
      <c r="A472" s="2"/>
      <c r="B472" s="512" t="str">
        <f>IF(B21="","","Vapor Moles "&amp;B21)</f>
        <v/>
      </c>
      <c r="C472" s="238"/>
      <c r="D472" s="2996">
        <f>IF(Mw_5&lt;&gt;"",D462/Mw_5,0)</f>
        <v>0</v>
      </c>
      <c r="E472" s="235"/>
      <c r="F472" s="2996">
        <f>IF(Mw_5&lt;&gt;"",F462/Mw_5,0)</f>
        <v>0</v>
      </c>
      <c r="G472" s="238"/>
      <c r="H472" s="2996">
        <f>IF(Mw_5&lt;&gt;"",H462/Mw_5,0)</f>
        <v>0</v>
      </c>
      <c r="I472" s="238"/>
      <c r="J472" s="2996">
        <f>IF(Mw_5&lt;&gt;"",J462/Mw_5,0)</f>
        <v>0</v>
      </c>
      <c r="K472" s="238"/>
      <c r="L472" s="2996">
        <f>IF(Mw_5&lt;&gt;"",L462/Mw_5,0)</f>
        <v>0</v>
      </c>
      <c r="M472" s="238"/>
      <c r="N472" s="2996">
        <f>IF(Mw_5&lt;&gt;"",N462/Mw_5,0)</f>
        <v>0</v>
      </c>
      <c r="O472" s="83"/>
      <c r="P472" s="2996">
        <f>IF(Mw_5&lt;&gt;"",P462/Mw_5,0)</f>
        <v>0</v>
      </c>
      <c r="Q472" s="238"/>
      <c r="R472" s="2996">
        <f>IF(Mw_5&lt;&gt;"",R462/Mw_5,0)</f>
        <v>0</v>
      </c>
      <c r="S472" s="238"/>
      <c r="T472" s="2996">
        <f>IF(Mw_5&lt;&gt;"",T462/Mw_5,0)</f>
        <v>0</v>
      </c>
      <c r="U472" s="238"/>
      <c r="V472" s="2996">
        <f>IF(Mw_5&lt;&gt;"",V462/Mw_5,0)</f>
        <v>0</v>
      </c>
      <c r="W472" s="238"/>
      <c r="X472" s="2996">
        <f>IF(Mw_5&lt;&gt;"",X462/Mw_5,0)</f>
        <v>0</v>
      </c>
      <c r="Y472" s="83"/>
      <c r="Z472" s="85"/>
      <c r="AA472" s="83"/>
      <c r="AB472" s="81"/>
      <c r="AC472" s="512" t="str">
        <f>B458</f>
        <v/>
      </c>
      <c r="AD472" s="81"/>
      <c r="AE472" s="1764">
        <f>AE452*AE464</f>
        <v>0</v>
      </c>
      <c r="AF472" s="81"/>
      <c r="AG472" s="1764">
        <f>AG452*AG464</f>
        <v>0</v>
      </c>
      <c r="AH472" s="81"/>
      <c r="AI472" s="1764">
        <f>AI452*AI464</f>
        <v>0</v>
      </c>
      <c r="AJ472" s="81"/>
      <c r="AK472" s="81"/>
      <c r="AL472" s="81"/>
      <c r="AM472" s="81"/>
      <c r="AN472" s="81"/>
      <c r="AO472" s="81"/>
      <c r="AP472" s="81"/>
      <c r="AQ472" s="85" t="s">
        <v>1497</v>
      </c>
      <c r="AR472" s="81"/>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81"/>
      <c r="BS472" s="23" t="s">
        <v>1535</v>
      </c>
      <c r="BT472" s="81"/>
      <c r="BU472" s="85"/>
      <c r="BV472" s="81"/>
      <c r="BW472" s="2846">
        <f>IF(BW471&lt;HD_Screening_Limit,0,3.142*BW471^2)</f>
        <v>0</v>
      </c>
      <c r="BX472" s="81"/>
      <c r="BY472" s="85"/>
      <c r="BZ472" s="81"/>
      <c r="CA472" s="85"/>
      <c r="CB472" s="81"/>
      <c r="CC472" s="2846">
        <f>IF(OR(CC471&lt;HD_Screening_Limit,CC249=""),0,3.142*CC471^2)</f>
        <v>0</v>
      </c>
      <c r="CD472" s="81"/>
      <c r="CE472" s="85" t="s">
        <v>3804</v>
      </c>
      <c r="CF472" s="81"/>
    </row>
    <row r="473" spans="1:84" ht="15" customHeight="1" thickBot="1" x14ac:dyDescent="0.3">
      <c r="A473" s="2"/>
      <c r="B473" s="615" t="s">
        <v>5131</v>
      </c>
      <c r="C473" s="238"/>
      <c r="D473" s="3019">
        <f>IF(Pad_MW&lt;&gt;"",D463/Pad_MW,0)</f>
        <v>0</v>
      </c>
      <c r="E473" s="235"/>
      <c r="F473" s="3019">
        <f>IF(Pad_MW&lt;&gt;"",F463/Pad_MW,0)</f>
        <v>0</v>
      </c>
      <c r="G473" s="238"/>
      <c r="H473" s="3019">
        <f>IF(Pad_MW&lt;&gt;"",H463/Pad_MW,0)</f>
        <v>0</v>
      </c>
      <c r="I473" s="238"/>
      <c r="J473" s="3019">
        <f>IF(Pad_MW&lt;&gt;"",J463/Pad_MW,0)</f>
        <v>0</v>
      </c>
      <c r="K473" s="238"/>
      <c r="L473" s="3019">
        <f>IF(Pad_MW&lt;&gt;"",L463/Pad_MW,0)</f>
        <v>0</v>
      </c>
      <c r="M473" s="238"/>
      <c r="N473" s="3019">
        <f>IF(Pad_MW&lt;&gt;"",N463/Pad_MW,0)</f>
        <v>0</v>
      </c>
      <c r="O473" s="83"/>
      <c r="P473" s="3019">
        <f>IF(Pad_MW&lt;&gt;"",P463/Pad_MW,0)</f>
        <v>0</v>
      </c>
      <c r="Q473" s="238"/>
      <c r="R473" s="3019">
        <f>IF(Pad_MW&lt;&gt;"",R463/Pad_MW,0)</f>
        <v>0</v>
      </c>
      <c r="S473" s="238"/>
      <c r="T473" s="3019">
        <f>IF(Pad_MW&lt;&gt;"",T463/Pad_MW,0)</f>
        <v>0</v>
      </c>
      <c r="U473" s="238"/>
      <c r="V473" s="3019">
        <f>IF(Pad_MW&lt;&gt;"",V463/Pad_MW,0)</f>
        <v>0</v>
      </c>
      <c r="W473" s="238"/>
      <c r="X473" s="3019">
        <f>IF(Pad_MW&lt;&gt;"",X463/Pad_MW,0)</f>
        <v>0</v>
      </c>
      <c r="Y473" s="83"/>
      <c r="Z473" s="85"/>
      <c r="AA473" s="83"/>
      <c r="AB473" s="81"/>
      <c r="AC473" s="512" t="str">
        <f>B459</f>
        <v/>
      </c>
      <c r="AD473" s="81"/>
      <c r="AE473" s="1285">
        <f>AE453*AE465</f>
        <v>0</v>
      </c>
      <c r="AF473" s="81"/>
      <c r="AG473" s="1285">
        <f>AG453*AG465</f>
        <v>0</v>
      </c>
      <c r="AH473" s="81"/>
      <c r="AI473" s="1285">
        <f>AI453*AI465</f>
        <v>0</v>
      </c>
      <c r="AJ473" s="81"/>
      <c r="AK473" s="81"/>
      <c r="AL473" s="81"/>
      <c r="AM473" s="81"/>
      <c r="AN473" s="81"/>
      <c r="AO473" s="81"/>
      <c r="AP473" s="81"/>
      <c r="AQ473" s="85" t="s">
        <v>1497</v>
      </c>
      <c r="AR473" s="81"/>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81"/>
      <c r="BS473" s="23" t="s">
        <v>2006</v>
      </c>
      <c r="BT473" s="81"/>
      <c r="BU473" s="85"/>
      <c r="BV473" s="81"/>
      <c r="BW473" s="1182">
        <f>BW472*0.5*Onsite_PD/1000000+IF(AND(BW$292="Yes",BW471&gt;HD_Severe_Impact),0.9,0)</f>
        <v>0</v>
      </c>
      <c r="BX473" s="81"/>
      <c r="BY473" s="85"/>
      <c r="BZ473" s="81"/>
      <c r="CA473" s="85"/>
      <c r="CB473" s="81"/>
      <c r="CC473" s="1182">
        <f>CC472*0.5*Onsite_PD/1000000+IF(AND(CC$292="Yes",CC249&lt;&gt;"",CC471&gt;HD_Severe_Impact),0.9,0)</f>
        <v>0</v>
      </c>
      <c r="CD473" s="81"/>
      <c r="CE473" s="85"/>
      <c r="CF473" s="81"/>
    </row>
    <row r="474" spans="1:84" ht="15" customHeight="1" thickBot="1" x14ac:dyDescent="0.3">
      <c r="A474" s="2"/>
      <c r="B474" s="85" t="s">
        <v>2207</v>
      </c>
      <c r="C474" s="83"/>
      <c r="D474" s="3020">
        <f>IF(SUM(D468:D473)&gt;0,D457/SUM(D468:D473),Pad_MW)</f>
        <v>29</v>
      </c>
      <c r="E474" s="235"/>
      <c r="F474" s="3020">
        <f>IF(SUM(F468:F473)&gt;0,F457/SUM(F468:F473),Pad_MW)</f>
        <v>29</v>
      </c>
      <c r="G474" s="238"/>
      <c r="H474" s="3020">
        <f>IF(SUM(H468:H473)&gt;0,H457/SUM(H468:H473),Pad_MW)</f>
        <v>29</v>
      </c>
      <c r="I474" s="238"/>
      <c r="J474" s="3020">
        <f>IF(SUM(J468:J473)&gt;0,J457/SUM(J468:J473),Pad_MW)</f>
        <v>29</v>
      </c>
      <c r="K474" s="238"/>
      <c r="L474" s="3020">
        <f>IF(SUM(L468:L473)&gt;0,L457/SUM(L468:L473),Pad_MW)</f>
        <v>29</v>
      </c>
      <c r="M474" s="238"/>
      <c r="N474" s="3020">
        <f>IF(SUM(N468:N473)&gt;0,N457/SUM(N468:N473),Pad_MW)</f>
        <v>29</v>
      </c>
      <c r="O474" s="238"/>
      <c r="P474" s="3020">
        <f>IF(SUM(P468:P473)&gt;0,P457/SUM(P468:P473),Pad_MW)</f>
        <v>29</v>
      </c>
      <c r="Q474" s="238"/>
      <c r="R474" s="3020">
        <f>IF(SUM(R468:R473)&gt;0,R457/SUM(R468:R473),Pad_MW)</f>
        <v>29</v>
      </c>
      <c r="S474" s="238"/>
      <c r="T474" s="3020">
        <f>IF(SUM(T468:T473)&gt;0,T457/SUM(T468:T473),Pad_MW)</f>
        <v>29</v>
      </c>
      <c r="U474" s="238"/>
      <c r="V474" s="3020">
        <f>IF(SUM(V468:V473)&gt;0,V457/SUM(V468:V473),Pad_MW)</f>
        <v>29</v>
      </c>
      <c r="W474" s="238"/>
      <c r="X474" s="3020">
        <f>IF(SUM(X468:X473)&gt;0,X457/SUM(X468:X473),Pad_MW)</f>
        <v>29</v>
      </c>
      <c r="Y474" s="83"/>
      <c r="Z474" s="85" t="s">
        <v>2206</v>
      </c>
      <c r="AA474" s="83"/>
      <c r="AB474" s="81"/>
      <c r="AC474" s="512" t="str">
        <f>B460</f>
        <v/>
      </c>
      <c r="AD474" s="81"/>
      <c r="AE474" s="1285">
        <f>AE454*AE466</f>
        <v>0</v>
      </c>
      <c r="AF474" s="81"/>
      <c r="AG474" s="1285">
        <f>AG454*AG466</f>
        <v>0</v>
      </c>
      <c r="AH474" s="81"/>
      <c r="AI474" s="1285">
        <f>AI454*AI466</f>
        <v>0</v>
      </c>
      <c r="AJ474" s="81"/>
      <c r="AK474" s="81"/>
      <c r="AL474" s="81"/>
      <c r="AM474" s="81"/>
      <c r="AN474" s="81"/>
      <c r="AO474" s="81"/>
      <c r="AP474" s="81"/>
      <c r="AQ474" s="85" t="s">
        <v>1497</v>
      </c>
      <c r="AR474" s="81"/>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81"/>
      <c r="BS474" s="85" t="s">
        <v>1794</v>
      </c>
      <c r="BT474" s="81"/>
      <c r="BU474" s="85"/>
      <c r="BV474" s="81"/>
      <c r="BW474" s="1208">
        <v>0</v>
      </c>
      <c r="BX474" s="81"/>
      <c r="BY474" s="85"/>
      <c r="BZ474" s="81"/>
      <c r="CA474" s="85"/>
      <c r="CB474" s="81"/>
      <c r="CC474" s="1208">
        <v>0</v>
      </c>
      <c r="CD474" s="81"/>
      <c r="CE474" s="85"/>
      <c r="CF474" s="81"/>
    </row>
    <row r="475" spans="1:84" ht="15" customHeight="1" thickBot="1" x14ac:dyDescent="0.3">
      <c r="A475" s="2"/>
      <c r="B475" s="92" t="s">
        <v>5046</v>
      </c>
      <c r="C475" s="83"/>
      <c r="D475" s="2997">
        <f>IF(Location="Indoors",D684/1000000,IF(D464&gt;0,Air_Dens*Wind*0.785*(0.01*D7)^2/(D464),1))</f>
        <v>0.35701986221754622</v>
      </c>
      <c r="E475" s="235"/>
      <c r="F475" s="2997">
        <f>IF(Location="Indoors",F684/1000000,IF(F464&gt;0,Air_Dens*Wind*0.785*(0.01*F7)^2/(F464),1))</f>
        <v>0.35701986221754622</v>
      </c>
      <c r="G475" s="238"/>
      <c r="H475" s="2997">
        <f>IF(Location="Indoors",H684/1000000,IF(H464&gt;0,Air_Dens*Wind*0.785*(0.01*H7)^2/(H464),1))</f>
        <v>1</v>
      </c>
      <c r="I475" s="238"/>
      <c r="J475" s="2997">
        <f>IF(Location="Indoors",J684/1000000,IF(J464&gt;0,Air_Dens*Wind*0.785*(0.01*J7)^2/(J464),1))</f>
        <v>0.35701986221754622</v>
      </c>
      <c r="K475" s="238"/>
      <c r="L475" s="2997">
        <f>IF(Location="Indoors",L684/1000000,IF(L464&gt;0,Air_Dens*Wind*0.785*(0.01*L7)^2/(L464),1))</f>
        <v>1</v>
      </c>
      <c r="M475" s="238"/>
      <c r="N475" s="2997">
        <f>IF(Location="Indoors",N684/1000000,IF(N464&gt;0,Air_Dens*Wind*0.785*(0.01*N7)^2/(N464),1))</f>
        <v>1</v>
      </c>
      <c r="O475" s="238"/>
      <c r="P475" s="2997">
        <f>IF(Location="Indoors",P684/1000000,IF(P464&gt;0,Air_Dens*Wind*0.785*(0.01*P7)^2/(P464),1))</f>
        <v>0.35701986221754634</v>
      </c>
      <c r="Q475" s="238"/>
      <c r="R475" s="2997">
        <f>IF(Location="Indoors",R684/1000000,IF(R464&gt;0,Air_Dens*Wind*0.785*(0.01*R7)^2/(R464),1))</f>
        <v>0.35701986221754622</v>
      </c>
      <c r="S475" s="238"/>
      <c r="T475" s="2997">
        <f>IF(Location="Indoors",T684/1000000,IF(T464&gt;0,Air_Dens*Wind*0.785*(0.01*T7)^2/(T464),1))</f>
        <v>0.35701986221754634</v>
      </c>
      <c r="U475" s="238"/>
      <c r="V475" s="2997">
        <f>IF(Location="Indoors",V684/1000000,IF(V464&gt;0,Air_Dens*Wind*0.785*(0.01*V7)^2/(V464),1))</f>
        <v>0.35701986221754634</v>
      </c>
      <c r="W475" s="238"/>
      <c r="X475" s="2997">
        <f>IF(Location="Indoors",X684/1000000,IF(X464&gt;0,Air_Dens*Wind*0.785*(0.01*X7)^2/(X464),1))</f>
        <v>0.35701986221754634</v>
      </c>
      <c r="Y475" s="83"/>
      <c r="Z475" s="85"/>
      <c r="AA475" s="83"/>
      <c r="AB475" s="81"/>
      <c r="AC475" s="512" t="str">
        <f>B461</f>
        <v/>
      </c>
      <c r="AD475" s="81"/>
      <c r="AE475" s="1285">
        <f>AE455*AE467</f>
        <v>0</v>
      </c>
      <c r="AF475" s="81"/>
      <c r="AG475" s="1285">
        <f>AG455*AG467</f>
        <v>0</v>
      </c>
      <c r="AH475" s="81"/>
      <c r="AI475" s="1285">
        <f>AI455*AI467</f>
        <v>0</v>
      </c>
      <c r="AJ475" s="81"/>
      <c r="AK475" s="81"/>
      <c r="AL475" s="81"/>
      <c r="AM475" s="81"/>
      <c r="AN475" s="81"/>
      <c r="AO475" s="81"/>
      <c r="AP475" s="81"/>
      <c r="AQ475" s="85" t="s">
        <v>1497</v>
      </c>
      <c r="AR475" s="81"/>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81"/>
      <c r="BS475" s="25" t="s">
        <v>4802</v>
      </c>
      <c r="BT475" s="81"/>
      <c r="BU475" s="85"/>
      <c r="BV475" s="81"/>
      <c r="BW475" s="1208" t="str">
        <f>IF(BW471&lt;HD_Screening_Limit,"NA",IF(AND(BW$292&lt;&gt;"Yes",BW471&lt;HD_VeryLow_BLEVE),Conseq_VeryLow,IF(BW471&lt;HD_Low_BLEVE,Conseq_Low,IF(BW471&lt;HD_Moderate_BLEVE,Conseq_Moderate,IF(BW471&lt;HD_High_BLEVE,Conseq_High,IF(BW471&lt;HD_VeryHigh_BLEVE,Conseq_VeryHigh,Conseq_ExtremeHigh))))))</f>
        <v>NA</v>
      </c>
      <c r="BX475" s="81"/>
      <c r="BY475" s="85"/>
      <c r="BZ475" s="81"/>
      <c r="CA475" s="85"/>
      <c r="CB475" s="81"/>
      <c r="CC475" s="1208" t="str">
        <f>IF(CC471&lt;HD_Screening_Limit,"NA",IF(AND(CC$292&lt;&gt;"Yes",CC471&lt;HD_VeryLow_BLEVE),Conseq_VeryLow,IF(CC471&lt;HD_Low_BLEVE,Conseq_Low,IF(CC471&lt;HD_Moderate_BLEVE,Conseq_Moderate,IF(CC471&lt;HD_High_BLEVE,Conseq_High,IF(CC471&lt;HD_VeryHigh_BLEVE,Conseq_VeryHigh,Conseq_ExtremeHigh))))))</f>
        <v>NA</v>
      </c>
      <c r="CD475" s="81"/>
      <c r="CE475" s="85"/>
      <c r="CF475" s="81"/>
    </row>
    <row r="476" spans="1:84" ht="15" customHeight="1" thickBot="1" x14ac:dyDescent="0.3">
      <c r="A476" s="2"/>
      <c r="B476" s="1691" t="s">
        <v>5291</v>
      </c>
      <c r="C476" s="83"/>
      <c r="D476" s="3108">
        <f>IF(Location="Indoors",D684/1000000,1)</f>
        <v>1</v>
      </c>
      <c r="E476" s="235"/>
      <c r="F476" s="3108">
        <f>IF(Location="Indoors",F684/1000000,1)</f>
        <v>1</v>
      </c>
      <c r="G476" s="238"/>
      <c r="H476" s="3108">
        <f>IF(Location="Indoors",H684/1000000,1)</f>
        <v>1</v>
      </c>
      <c r="I476" s="238"/>
      <c r="J476" s="3108">
        <f>IF(Location="Indoors",J684/1000000,1)</f>
        <v>1</v>
      </c>
      <c r="K476" s="238"/>
      <c r="L476" s="3108">
        <f>IF(Location="Indoors",L684/1000000,1)</f>
        <v>1</v>
      </c>
      <c r="M476" s="238"/>
      <c r="N476" s="3108">
        <f>IF(Location="Indoors",N684/1000000,1)</f>
        <v>1</v>
      </c>
      <c r="O476" s="238"/>
      <c r="P476" s="3108">
        <f>IF(Location="Indoors",P684/1000000,1)</f>
        <v>1</v>
      </c>
      <c r="Q476" s="238"/>
      <c r="R476" s="3108">
        <f>IF(Location="Indoors",R684/1000000,1)</f>
        <v>1</v>
      </c>
      <c r="S476" s="238"/>
      <c r="T476" s="3108">
        <f>IF(Location="Indoors",T684/1000000,1)</f>
        <v>1</v>
      </c>
      <c r="U476" s="238"/>
      <c r="V476" s="3108">
        <f>IF(Location="Indoors",V684/1000000,1)</f>
        <v>1</v>
      </c>
      <c r="W476" s="238"/>
      <c r="X476" s="3108">
        <f>IF(Location="Indoors",X684/1000000,1)</f>
        <v>1</v>
      </c>
      <c r="Y476" s="83"/>
      <c r="Z476" s="85"/>
      <c r="AA476" s="83"/>
      <c r="AB476" s="81"/>
      <c r="AC476" s="512" t="str">
        <f>B462</f>
        <v/>
      </c>
      <c r="AD476" s="81"/>
      <c r="AE476" s="1285">
        <f>AE456*AE468</f>
        <v>0</v>
      </c>
      <c r="AF476" s="81"/>
      <c r="AG476" s="1285">
        <f>AG456*AG468</f>
        <v>0</v>
      </c>
      <c r="AH476" s="81"/>
      <c r="AI476" s="1285">
        <f>AI456*AI468</f>
        <v>0</v>
      </c>
      <c r="AJ476" s="81"/>
      <c r="AK476" s="81"/>
      <c r="AL476" s="81"/>
      <c r="AM476" s="81"/>
      <c r="AN476" s="81"/>
      <c r="AO476" s="81"/>
      <c r="AP476" s="81"/>
      <c r="AQ476" s="85" t="s">
        <v>1497</v>
      </c>
      <c r="AR476" s="81"/>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81"/>
      <c r="BS476" s="25" t="s">
        <v>4233</v>
      </c>
      <c r="BT476" s="81"/>
      <c r="BU476" s="873"/>
      <c r="BV476" s="81"/>
      <c r="BW476" s="2640" t="str">
        <f>IF(Conseq_Criteria="Hazard Distance",BW475,IF(BW471&lt;HD_Screening_Limit,"NA",IF(BW473&lt;N_VeryLow,Conseq_VeryLow,IF(BW473&lt;N_Low,Conseq_Low,IF(BW473&lt;N_Moderate,Conseq_Moderate,IF(BW473&lt;N_High,Conseq_High,IF(BW473&lt;N_VeryHigh,Conseq_VeryHigh,Conseq_ExtremeHigh)))))))</f>
        <v>NA</v>
      </c>
      <c r="BX476" s="81"/>
      <c r="BY476" s="873"/>
      <c r="BZ476" s="81"/>
      <c r="CA476" s="873"/>
      <c r="CB476" s="81"/>
      <c r="CC476" s="2640" t="str">
        <f>IF(Conseq_Criteria="Hazard Distance",CC475,IF(CC471&lt;HD_Screening_Limit,"NA",IF(CC473&lt;N_VeryLow,Conseq_VeryLow,IF(CC473&lt;N_Low,Conseq_Low,IF(CC473&lt;N_Moderate,Conseq_Moderate,IF(CC473&lt;N_High,Conseq_High,IF(CC473&lt;N_VeryHigh,Conseq_VeryHigh,Conseq_ExtremeHigh)))))))</f>
        <v>NA</v>
      </c>
      <c r="CD476" s="3"/>
      <c r="CE476" s="25"/>
      <c r="CF476" s="81"/>
    </row>
    <row r="477" spans="1:84" ht="15" customHeight="1" thickBot="1" x14ac:dyDescent="0.3">
      <c r="A477" s="2"/>
      <c r="B477" s="1691" t="s">
        <v>5047</v>
      </c>
      <c r="C477" s="83"/>
      <c r="D477" s="2998">
        <f>12.2*D475*D474/(D416+273)+(1-D475)*Air_Dens</f>
        <v>1.2221805964255954</v>
      </c>
      <c r="E477" s="235"/>
      <c r="F477" s="2998">
        <f>12.2*F475*F474/(F416+273)+(1-F475)*Air_Dens</f>
        <v>1.2221805964255954</v>
      </c>
      <c r="G477" s="238"/>
      <c r="H477" s="2998">
        <f>12.2*H475*H474/(H416+273)+(1-H475)*Air_Dens</f>
        <v>1.2959706959706958</v>
      </c>
      <c r="I477" s="238"/>
      <c r="J477" s="2998">
        <f>12.2*J475*J474/(J416+273)+(1-J475)*Air_Dens</f>
        <v>1.2221805964255954</v>
      </c>
      <c r="K477" s="238"/>
      <c r="L477" s="2998">
        <f>12.2*L475*L474/(L416+273)+(1-L475)*Air_Dens</f>
        <v>1.2959706959706958</v>
      </c>
      <c r="M477" s="238"/>
      <c r="N477" s="2998">
        <f>12.2*N475*N474/(N416+273)+(1-N475)*Air_Dens</f>
        <v>1.2959706959706958</v>
      </c>
      <c r="O477" s="238"/>
      <c r="P477" s="2998">
        <f>12.2*P475*P474/(P416+273)+(1-P475)*Air_Dens</f>
        <v>1.2221805964255956</v>
      </c>
      <c r="Q477" s="238"/>
      <c r="R477" s="2998">
        <f>12.2*R475*R474/(R416+273)+(1-R475)*Air_Dens</f>
        <v>1.2221805964255954</v>
      </c>
      <c r="S477" s="238"/>
      <c r="T477" s="2998">
        <f>12.2*T475*T474/(T416+273)+(1-T475)*Air_Dens</f>
        <v>1.2221805964255956</v>
      </c>
      <c r="U477" s="238"/>
      <c r="V477" s="2998">
        <f>12.2*V475*V474/(V416+273)+(1-V475)*Air_Dens</f>
        <v>1.2221805964255956</v>
      </c>
      <c r="W477" s="238"/>
      <c r="X477" s="2998">
        <f>12.2*X475*X474/(X416+273)+(1-X475)*Air_Dens</f>
        <v>1.2221805964255956</v>
      </c>
      <c r="Y477" s="83"/>
      <c r="Z477" s="85"/>
      <c r="AA477" s="83"/>
      <c r="AB477" s="81"/>
      <c r="AC477" s="615" t="s">
        <v>5130</v>
      </c>
      <c r="AD477" s="81"/>
      <c r="AE477" s="1285">
        <f>AE457</f>
        <v>0</v>
      </c>
      <c r="AF477" s="81"/>
      <c r="AG477" s="1285">
        <f>AG457</f>
        <v>0</v>
      </c>
      <c r="AH477" s="81"/>
      <c r="AI477" s="1285">
        <f>AI457</f>
        <v>0</v>
      </c>
      <c r="AJ477" s="81"/>
      <c r="AK477" s="81"/>
      <c r="AL477" s="81"/>
      <c r="AM477" s="81"/>
      <c r="AN477" s="81"/>
      <c r="AO477" s="81"/>
      <c r="AP477" s="81"/>
      <c r="AQ477" s="85" t="s">
        <v>1497</v>
      </c>
      <c r="AR477" s="81"/>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81"/>
      <c r="BS477" s="81"/>
      <c r="BT477" s="81"/>
      <c r="BU477" s="3"/>
      <c r="BV477" s="81"/>
      <c r="BW477" s="81"/>
      <c r="BX477" s="81"/>
      <c r="BY477" s="81"/>
      <c r="BZ477" s="81"/>
      <c r="CA477" s="81"/>
      <c r="CB477" s="81"/>
      <c r="CC477" s="3"/>
      <c r="CD477" s="3"/>
      <c r="CE477" s="3"/>
      <c r="CF477" s="81"/>
    </row>
    <row r="478" spans="1:84" ht="15" customHeight="1" thickBot="1" x14ac:dyDescent="0.3">
      <c r="A478" s="2"/>
      <c r="B478" s="1691" t="s">
        <v>5178</v>
      </c>
      <c r="C478" s="83"/>
      <c r="D478" s="3133">
        <f>D464*(D416+273)/(12.2*D474*D475)</f>
        <v>1.683981721591095E-3</v>
      </c>
      <c r="E478" s="235"/>
      <c r="F478" s="3133">
        <f>F464*(F416+273)/(12.2*F474*F475)</f>
        <v>1.683981721591095E-3</v>
      </c>
      <c r="G478" s="238"/>
      <c r="H478" s="3133">
        <f>H464*(H416+273)/(12.2*H474*H475)</f>
        <v>0</v>
      </c>
      <c r="I478" s="238"/>
      <c r="J478" s="3133">
        <f>J464*(J416+273)/(12.2*J474*J475)</f>
        <v>1.683981721591095E-3</v>
      </c>
      <c r="K478" s="238"/>
      <c r="L478" s="3133">
        <f>L464*(L416+273)/(12.2*L474*L475)</f>
        <v>0</v>
      </c>
      <c r="M478" s="238"/>
      <c r="N478" s="3133">
        <f>N464*(N416+273)/(12.2*N474*N475)</f>
        <v>0</v>
      </c>
      <c r="O478" s="238"/>
      <c r="P478" s="3133">
        <f>P464*(P416+273)/(12.2*P474*P475)</f>
        <v>1.5155835494319849E-4</v>
      </c>
      <c r="Q478" s="238"/>
      <c r="R478" s="3133">
        <f>R464*(R416+273)/(12.2*R474*R475)</f>
        <v>1.683981721591095E-3</v>
      </c>
      <c r="S478" s="238"/>
      <c r="T478" s="3133">
        <f>T464*(T416+273)/(12.2*T474*T475)</f>
        <v>1.0524885759944338E-2</v>
      </c>
      <c r="U478" s="238"/>
      <c r="V478" s="3133">
        <f>V464*(V416+273)/(12.2*V474*V475)</f>
        <v>4.2099543039777351E-2</v>
      </c>
      <c r="W478" s="238"/>
      <c r="X478" s="3133">
        <f>X464*(X416+273)/(12.2*X474*X475)</f>
        <v>0.37889588735799618</v>
      </c>
      <c r="Y478" s="83"/>
      <c r="Z478" s="85" t="s">
        <v>5180</v>
      </c>
      <c r="AA478" s="83"/>
      <c r="AB478" s="81"/>
      <c r="AC478" s="3284" t="s">
        <v>2205</v>
      </c>
      <c r="AD478" s="81"/>
      <c r="AE478" s="3037">
        <f>MAX(IF(AE451=0,0,AE432*IF(AE451&gt;0,AE471/AE451,1)),1*EXP(-10))</f>
        <v>4.5399929762484854E-5</v>
      </c>
      <c r="AF478" s="81"/>
      <c r="AG478" s="3037">
        <f>MAX(IF(AG451=0,0,AG432*IF(AG451&gt;0,AG471/AG451,1)),1*EXP(-10))</f>
        <v>4.5399929762484854E-5</v>
      </c>
      <c r="AH478" s="81"/>
      <c r="AI478" s="3037">
        <f>MAX(IF(AI451=0,0,AI432*IF(AI451&gt;0,AI471/AI451,1)),1*EXP(-10))</f>
        <v>4.5399929762484854E-5</v>
      </c>
      <c r="AJ478" s="81"/>
      <c r="AK478" s="81"/>
      <c r="AL478" s="81"/>
      <c r="AM478" s="81"/>
      <c r="AN478" s="81"/>
      <c r="AO478" s="81"/>
      <c r="AP478" s="81"/>
      <c r="AQ478" s="85" t="s">
        <v>1069</v>
      </c>
      <c r="AR478" s="81"/>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26"/>
      <c r="BS478" s="26"/>
      <c r="BT478" s="26"/>
      <c r="BU478" s="26"/>
      <c r="BV478" s="26"/>
      <c r="BW478" s="26"/>
      <c r="BX478" s="26"/>
      <c r="BY478" s="26"/>
      <c r="BZ478" s="26"/>
      <c r="CA478" s="26"/>
      <c r="CB478" s="26"/>
      <c r="CC478" s="26"/>
      <c r="CD478" s="26"/>
      <c r="CE478" s="26"/>
      <c r="CF478" s="26"/>
    </row>
    <row r="479" spans="1:84" ht="15" customHeight="1" thickBot="1" x14ac:dyDescent="0.3">
      <c r="A479" s="2"/>
      <c r="B479" s="1691" t="s">
        <v>5179</v>
      </c>
      <c r="C479" s="83"/>
      <c r="D479" s="3133">
        <f>D457*(D416+273)/(12.2*D474*D475)</f>
        <v>0</v>
      </c>
      <c r="E479" s="235"/>
      <c r="F479" s="3133">
        <f>F457*(F416+273)/(12.2*F474*F475)</f>
        <v>0</v>
      </c>
      <c r="G479" s="238"/>
      <c r="H479" s="3133">
        <f>H457*(H416+273)/(12.2*H474*H475)</f>
        <v>0</v>
      </c>
      <c r="I479" s="238"/>
      <c r="J479" s="3133">
        <f>J457*(J416+273)/(12.2*J474*J475)</f>
        <v>0</v>
      </c>
      <c r="K479" s="238"/>
      <c r="L479" s="3133">
        <f>L457*(L416+273)/(12.2*L474*L475)</f>
        <v>0</v>
      </c>
      <c r="M479" s="238"/>
      <c r="N479" s="3133">
        <f>N457*(N416+273)/(12.2*N474*N475)</f>
        <v>0</v>
      </c>
      <c r="O479" s="238"/>
      <c r="P479" s="3133">
        <f>P457*(P416+273)/(12.2*P474*P475)</f>
        <v>0</v>
      </c>
      <c r="Q479" s="238"/>
      <c r="R479" s="3133">
        <f>R457*(R416+273)/(12.2*R474*R475)</f>
        <v>0</v>
      </c>
      <c r="S479" s="238"/>
      <c r="T479" s="3133">
        <f>T457*(T416+273)/(12.2*T474*T475)</f>
        <v>0</v>
      </c>
      <c r="U479" s="238"/>
      <c r="V479" s="3133">
        <f>V457*(V416+273)/(12.2*V474*V475)</f>
        <v>0</v>
      </c>
      <c r="W479" s="238"/>
      <c r="X479" s="3133">
        <f>X457*(X416+273)/(12.2*X474*X475)</f>
        <v>0</v>
      </c>
      <c r="Y479" s="83"/>
      <c r="Z479" s="85" t="s">
        <v>3803</v>
      </c>
      <c r="AA479" s="83"/>
      <c r="AB479" s="81"/>
      <c r="AC479" s="25" t="s">
        <v>3650</v>
      </c>
      <c r="AD479" s="81"/>
      <c r="AE479" s="2645">
        <f>IF(AE471&gt;0,AE478*AE470/AE471,0)</f>
        <v>0</v>
      </c>
      <c r="AF479" s="81"/>
      <c r="AG479" s="2645">
        <f>IF(AG471&gt;0,AG478*AG470/AG471,0)</f>
        <v>0</v>
      </c>
      <c r="AH479" s="81"/>
      <c r="AI479" s="2645">
        <f>IF(AI471&gt;0,AI478*AI470/AI471,0)</f>
        <v>0</v>
      </c>
      <c r="AJ479" s="81"/>
      <c r="AK479" s="81"/>
      <c r="AL479" s="81"/>
      <c r="AM479" s="81"/>
      <c r="AN479" s="81"/>
      <c r="AO479" s="81"/>
      <c r="AP479" s="81"/>
      <c r="AQ479" s="85" t="s">
        <v>1069</v>
      </c>
      <c r="AR479" s="81"/>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26"/>
      <c r="BS479" s="26"/>
      <c r="BT479" s="26"/>
      <c r="BU479" s="26"/>
      <c r="BV479" s="26"/>
      <c r="BW479" s="26"/>
      <c r="BX479" s="26"/>
      <c r="BY479" s="26"/>
      <c r="BZ479" s="26"/>
      <c r="CA479" s="26"/>
      <c r="CB479" s="26"/>
      <c r="CC479" s="26"/>
      <c r="CD479" s="26"/>
      <c r="CE479" s="26"/>
    </row>
    <row r="480" spans="1:84" ht="15" customHeight="1" thickBot="1" x14ac:dyDescent="0.3">
      <c r="A480" s="2"/>
      <c r="B480" s="2993" t="s">
        <v>5048</v>
      </c>
      <c r="C480" s="83"/>
      <c r="D480" s="2999">
        <f>9.8*(D477-Air_Dens)/Air_Dens</f>
        <v>0.33993242557189945</v>
      </c>
      <c r="E480" s="235"/>
      <c r="F480" s="2999">
        <f>9.8*(F477-Air_Dens)/Air_Dens</f>
        <v>0.33993242557189945</v>
      </c>
      <c r="G480" s="238"/>
      <c r="H480" s="2999">
        <f>9.8*(H477-Air_Dens)/Air_Dens</f>
        <v>0.95213869463869272</v>
      </c>
      <c r="I480" s="238"/>
      <c r="J480" s="2999">
        <f>9.8*(J477-Air_Dens)/Air_Dens</f>
        <v>0.33993242557189945</v>
      </c>
      <c r="K480" s="238"/>
      <c r="L480" s="2999">
        <f>9.8*(L477-Air_Dens)/Air_Dens</f>
        <v>0.95213869463869272</v>
      </c>
      <c r="M480" s="238"/>
      <c r="N480" s="2999">
        <f>9.8*(N477-Air_Dens)/Air_Dens</f>
        <v>0.95213869463869272</v>
      </c>
      <c r="O480" s="238"/>
      <c r="P480" s="2999">
        <f>9.8*(P477-Air_Dens)/Air_Dens</f>
        <v>0.33993242557190129</v>
      </c>
      <c r="Q480" s="238"/>
      <c r="R480" s="2999">
        <f>9.8*(R477-Air_Dens)/Air_Dens</f>
        <v>0.33993242557189945</v>
      </c>
      <c r="S480" s="238"/>
      <c r="T480" s="2999">
        <f>9.8*(T477-Air_Dens)/Air_Dens</f>
        <v>0.33993242557190129</v>
      </c>
      <c r="U480" s="238"/>
      <c r="V480" s="2999">
        <f>9.8*(V477-Air_Dens)/Air_Dens</f>
        <v>0.33993242557190129</v>
      </c>
      <c r="W480" s="238"/>
      <c r="X480" s="2999">
        <f>9.8*(X477-Air_Dens)/Air_Dens</f>
        <v>0.33993242557190129</v>
      </c>
      <c r="Y480" s="83"/>
      <c r="Z480" s="85"/>
      <c r="AA480" s="83"/>
      <c r="AB480" s="81"/>
      <c r="AC480" s="81"/>
      <c r="AD480" s="81"/>
      <c r="AE480" s="81"/>
      <c r="AF480" s="81"/>
      <c r="AG480" s="81"/>
      <c r="AH480" s="81"/>
      <c r="AI480" s="81"/>
      <c r="AJ480" s="81"/>
      <c r="AK480" s="81"/>
      <c r="AL480" s="81"/>
      <c r="AM480" s="81"/>
      <c r="AN480" s="81"/>
      <c r="AO480" s="81"/>
      <c r="AP480" s="81"/>
      <c r="AQ480" s="81"/>
      <c r="AR480" s="81"/>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26"/>
      <c r="BS480" s="26"/>
      <c r="BT480" s="26"/>
      <c r="BU480" s="26"/>
      <c r="BV480" s="26"/>
      <c r="BW480" s="26"/>
      <c r="BX480" s="26"/>
      <c r="BY480" s="26"/>
      <c r="BZ480" s="26"/>
      <c r="CA480" s="26"/>
      <c r="CB480" s="26"/>
      <c r="CC480" s="26"/>
      <c r="CD480" s="26"/>
      <c r="CE480" s="26"/>
    </row>
    <row r="481" spans="1:84" ht="15" customHeight="1" thickBot="1" x14ac:dyDescent="0.3">
      <c r="A481" s="2"/>
      <c r="B481" s="1689" t="s">
        <v>5058</v>
      </c>
      <c r="C481" s="83"/>
      <c r="D481" s="2426">
        <f>IF(D480&gt;0,(D480^2*D478/Wind^5)^0.2,0)</f>
        <v>6.0353610698642458E-2</v>
      </c>
      <c r="E481" s="235"/>
      <c r="F481" s="2426">
        <f>IF(F480&gt;0,(F480^2*F478/Wind^5)^0.2,0)</f>
        <v>6.0353610698642458E-2</v>
      </c>
      <c r="G481" s="238"/>
      <c r="H481" s="2426">
        <f>IF(H480&gt;0,(H480^2*H478/Wind^5)^0.2,0)</f>
        <v>0</v>
      </c>
      <c r="I481" s="238"/>
      <c r="J481" s="2426">
        <f>IF(J480&gt;0,(J480^2*J478/Wind^5)^0.2,0)</f>
        <v>6.0353610698642458E-2</v>
      </c>
      <c r="K481" s="238"/>
      <c r="L481" s="2426">
        <f>IF(L480&gt;0,(L480^2*L478/Wind^5)^0.2,0)</f>
        <v>0</v>
      </c>
      <c r="M481" s="238"/>
      <c r="N481" s="2426">
        <f>IF(N480&gt;0,(N480^2*N478/Wind^5)^0.2,0)</f>
        <v>0</v>
      </c>
      <c r="O481" s="238"/>
      <c r="P481" s="2426">
        <f>IF(P480&gt;0,(P480^2*P478/Wind^5)^0.2,0)</f>
        <v>3.7286512024435829E-2</v>
      </c>
      <c r="Q481" s="238"/>
      <c r="R481" s="2426">
        <f>IF(R480&gt;0,(R480^2*R478/Wind^5)^0.2,0)</f>
        <v>6.0353610698642458E-2</v>
      </c>
      <c r="S481" s="238"/>
      <c r="T481" s="2426">
        <f>IF(T480&gt;0,(T480^2*T478/Wind^5)^0.2,0)</f>
        <v>8.7072148476092265E-2</v>
      </c>
      <c r="U481" s="238"/>
      <c r="V481" s="2426">
        <f>IF(V480&gt;0,(V480^2*V478/Wind^5)^0.2,0)</f>
        <v>0.11489238872219576</v>
      </c>
      <c r="W481" s="238"/>
      <c r="X481" s="2426">
        <f>IF(X480&gt;0,(X480^2*X478/Wind^5)^0.2,0)</f>
        <v>0.17829524491510243</v>
      </c>
      <c r="Y481" s="83"/>
      <c r="Z481" s="85"/>
      <c r="AA481" s="83"/>
      <c r="AB481" s="81"/>
      <c r="AC481" s="475" t="s">
        <v>1870</v>
      </c>
      <c r="AD481" s="81"/>
      <c r="AE481" s="81"/>
      <c r="AF481" s="81"/>
      <c r="AG481" s="81"/>
      <c r="AH481" s="81"/>
      <c r="AI481" s="81"/>
      <c r="AJ481" s="81"/>
      <c r="AK481" s="81"/>
      <c r="AL481" s="81"/>
      <c r="AM481" s="81"/>
      <c r="AN481" s="81"/>
      <c r="AO481" s="81"/>
      <c r="AP481" s="81"/>
      <c r="AQ481" s="81"/>
      <c r="AR481" s="81"/>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26"/>
      <c r="BS481" s="26"/>
      <c r="BT481" s="26"/>
      <c r="BU481" s="26"/>
      <c r="BV481" s="26"/>
      <c r="BW481" s="26"/>
      <c r="BX481" s="26"/>
      <c r="BY481" s="26"/>
      <c r="BZ481" s="26"/>
      <c r="CA481" s="26"/>
      <c r="CB481" s="26"/>
      <c r="CC481" s="26"/>
      <c r="CD481" s="26"/>
      <c r="CE481" s="26"/>
    </row>
    <row r="482" spans="1:84" ht="15" customHeight="1" x14ac:dyDescent="0.25">
      <c r="A482" s="2"/>
      <c r="B482" s="1691" t="s">
        <v>5059</v>
      </c>
      <c r="C482" s="83"/>
      <c r="D482" s="3000">
        <f>IF(AND(D480&gt;0,D481&gt;0),D475*0.15^6/D481^5,1)</f>
        <v>5.0783618951694969</v>
      </c>
      <c r="E482" s="235"/>
      <c r="F482" s="3000">
        <f>IF(AND(F480&gt;0,F481&gt;0),F475*0.15^6/F481^5,1)</f>
        <v>5.0783618951694969</v>
      </c>
      <c r="G482" s="238"/>
      <c r="H482" s="3000">
        <f>IF(AND(H480&gt;0,H481&gt;0),H475*0.15^6/H481^5,1)</f>
        <v>1</v>
      </c>
      <c r="I482" s="238"/>
      <c r="J482" s="3000">
        <f>IF(AND(J480&gt;0,J481&gt;0),J475*0.15^6/J481^5,1)</f>
        <v>5.0783618951694969</v>
      </c>
      <c r="K482" s="238"/>
      <c r="L482" s="3000">
        <f>IF(AND(L480&gt;0,L481&gt;0),L475*0.15^6/L481^5,1)</f>
        <v>1</v>
      </c>
      <c r="M482" s="238"/>
      <c r="N482" s="3000">
        <f>IF(AND(N480&gt;0,N481&gt;0),N475*0.15^6/N481^5,1)</f>
        <v>1</v>
      </c>
      <c r="O482" s="238"/>
      <c r="P482" s="3000">
        <f>IF(AND(P480&gt;0,P481&gt;0),P475*0.15^6/P481^5,1)</f>
        <v>56.426243279660611</v>
      </c>
      <c r="Q482" s="238"/>
      <c r="R482" s="3000">
        <f>IF(AND(R480&gt;0,R481&gt;0),R475*0.15^6/R481^5,1)</f>
        <v>5.0783618951694969</v>
      </c>
      <c r="S482" s="238"/>
      <c r="T482" s="3000">
        <f>IF(AND(T480&gt;0,T481&gt;0),T475*0.15^6/T481^5,1)</f>
        <v>0.81253790322711095</v>
      </c>
      <c r="U482" s="238"/>
      <c r="V482" s="3000">
        <f>IF(AND(V480&gt;0,V481&gt;0),V475*0.15^6/V481^5,1)</f>
        <v>0.20313447580677768</v>
      </c>
      <c r="W482" s="238"/>
      <c r="X482" s="3000">
        <f>IF(AND(X480&gt;0,X481&gt;0),X475*0.15^6/X481^5,1)</f>
        <v>2.2570497311864213E-2</v>
      </c>
      <c r="Y482" s="83"/>
      <c r="Z482" s="85"/>
      <c r="AA482" s="83"/>
      <c r="AB482" s="81"/>
      <c r="AC482" s="845" t="str">
        <f>B468</f>
        <v/>
      </c>
      <c r="AD482" s="81"/>
      <c r="AE482" s="2996">
        <f>IF(Mw_1&lt;&gt;"",AE452/Mw_1,0)</f>
        <v>0</v>
      </c>
      <c r="AF482" s="81"/>
      <c r="AG482" s="2996">
        <f>IF(Mw_1&lt;&gt;"",AG452/Mw_1,0)</f>
        <v>0</v>
      </c>
      <c r="AH482" s="81"/>
      <c r="AI482" s="2996">
        <f>IF(Mw_1&lt;&gt;"",AI452/Mw_1,0)</f>
        <v>0</v>
      </c>
      <c r="AJ482" s="81"/>
      <c r="AK482" s="81"/>
      <c r="AL482" s="81"/>
      <c r="AM482" s="81"/>
      <c r="AN482" s="81"/>
      <c r="AO482" s="81"/>
      <c r="AP482" s="81"/>
      <c r="AQ482" s="92"/>
      <c r="AR482" s="81"/>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26"/>
      <c r="BS482" s="26"/>
      <c r="BT482" s="26"/>
      <c r="BU482" s="26"/>
      <c r="BV482" s="26"/>
      <c r="BW482" s="26"/>
      <c r="BX482" s="26"/>
      <c r="BY482" s="26"/>
      <c r="BZ482" s="26"/>
      <c r="CA482" s="26"/>
      <c r="CB482" s="26"/>
      <c r="CC482" s="26"/>
      <c r="CD482" s="26"/>
      <c r="CE482" s="26"/>
    </row>
    <row r="483" spans="1:84" ht="15" customHeight="1" x14ac:dyDescent="0.25">
      <c r="A483" s="2"/>
      <c r="B483" s="512" t="s">
        <v>5115</v>
      </c>
      <c r="C483" s="83"/>
      <c r="D483" s="3000">
        <f>LN(IF(D482&lt;D475,IF(LOG(D481)&lt;-0.55,56.2,IF(LOG(D481)&lt;-0.14,10^(1.88+0.24*LOG(D481)),10^(1.78-0.5*LOG(D481))))*(D478/Wind)^0.5,1))</f>
        <v>0</v>
      </c>
      <c r="E483" s="235"/>
      <c r="F483" s="3000">
        <f>LN(IF(F482&lt;F475,IF(LOG(F481)&lt;-0.55,56.2,IF(LOG(F481)&lt;-0.14,10^(1.88+0.24*LOG(F481)),10^(1.78-0.5*LOG(F481))))*(F478/Wind)^0.5,1))</f>
        <v>0</v>
      </c>
      <c r="G483" s="238"/>
      <c r="H483" s="3000">
        <f>LN(IF(H482&lt;H475,IF(LOG(H481)&lt;-0.55,56.2,IF(LOG(H481)&lt;-0.14,10^(1.88+0.24*LOG(H481)),10^(1.78-0.5*LOG(H481))))*(H478/Wind)^0.5,1))</f>
        <v>0</v>
      </c>
      <c r="I483" s="238"/>
      <c r="J483" s="3000">
        <f>LN(IF(J482&lt;J475,IF(LOG(J481)&lt;-0.55,56.2,IF(LOG(J481)&lt;-0.14,10^(1.88+0.24*LOG(J481)),10^(1.78-0.5*LOG(J481))))*(J478/Wind)^0.5,1))</f>
        <v>0</v>
      </c>
      <c r="K483" s="238"/>
      <c r="L483" s="3000">
        <f>LN(IF(L482&lt;L475,IF(LOG(L481)&lt;-0.55,56.2,IF(LOG(L481)&lt;-0.14,10^(1.88+0.24*LOG(L481)),10^(1.78-0.5*LOG(L481))))*(L478/Wind)^0.5,1))</f>
        <v>0</v>
      </c>
      <c r="M483" s="238"/>
      <c r="N483" s="3000">
        <f>LN(IF(N482&lt;N475,IF(LOG(N481)&lt;-0.55,56.2,IF(LOG(N481)&lt;-0.14,10^(1.88+0.24*LOG(N481)),10^(1.78-0.5*LOG(N481))))*(N478/Wind)^0.5,1))</f>
        <v>0</v>
      </c>
      <c r="O483" s="238"/>
      <c r="P483" s="3000">
        <f>LN(IF(P482&lt;P475,IF(LOG(P481)&lt;-0.55,56.2,IF(LOG(P481)&lt;-0.14,10^(1.88+0.24*LOG(P481)),10^(1.78-0.5*LOG(P481))))*(P478/Wind)^0.5,1))</f>
        <v>0</v>
      </c>
      <c r="Q483" s="238"/>
      <c r="R483" s="3000">
        <f>LN(IF(R482&lt;R475,IF(LOG(R481)&lt;-0.55,56.2,IF(LOG(R481)&lt;-0.14,10^(1.88+0.24*LOG(R481)),10^(1.78-0.5*LOG(R481))))*(R478/Wind)^0.5,1))</f>
        <v>0</v>
      </c>
      <c r="S483" s="238"/>
      <c r="T483" s="3000">
        <f>LN(IF(T482&lt;T475,IF(LOG(T481)&lt;-0.55,56.2,IF(LOG(T481)&lt;-0.14,10^(1.88+0.24*LOG(T481)),10^(1.78-0.5*LOG(T481))))*(T478/Wind)^0.5,1))</f>
        <v>0</v>
      </c>
      <c r="U483" s="238"/>
      <c r="V483" s="3000">
        <f>LN(IF(V482&lt;V475,IF(LOG(V481)&lt;-0.55,56.2,IF(LOG(V481)&lt;-0.14,10^(1.88+0.24*LOG(V481)),10^(1.78-0.5*LOG(V481))))*(V478/Wind)^0.5,1))</f>
        <v>1.8957514163082074</v>
      </c>
      <c r="W483" s="238"/>
      <c r="X483" s="3000">
        <f>LN(IF(X482&lt;X475,IF(LOG(X481)&lt;-0.55,56.2,IF(LOG(X481)&lt;-0.14,10^(1.88+0.24*LOG(X481)),10^(1.78-0.5*LOG(X481))))*(X478/Wind)^0.5,1))</f>
        <v>2.9943637049763172</v>
      </c>
      <c r="Y483" s="83"/>
      <c r="Z483" s="85"/>
      <c r="AA483" s="83"/>
      <c r="AB483" s="81"/>
      <c r="AC483" s="846" t="str">
        <f>B469</f>
        <v/>
      </c>
      <c r="AD483" s="81"/>
      <c r="AE483" s="2996">
        <f>IF(Mw_2&lt;&gt;"",AE453/Mw_2,0)</f>
        <v>0</v>
      </c>
      <c r="AF483" s="81"/>
      <c r="AG483" s="2996">
        <f>IF(Mw_2&lt;&gt;"",AG453/Mw_2,0)</f>
        <v>0</v>
      </c>
      <c r="AH483" s="81"/>
      <c r="AI483" s="2996">
        <f>IF(Mw_2&lt;&gt;"",AI453/Mw_2,0)</f>
        <v>0</v>
      </c>
      <c r="AJ483" s="81"/>
      <c r="AK483" s="81"/>
      <c r="AL483" s="81"/>
      <c r="AM483" s="81"/>
      <c r="AN483" s="81"/>
      <c r="AO483" s="81"/>
      <c r="AP483" s="81"/>
      <c r="AQ483" s="23"/>
      <c r="AR483" s="81"/>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26"/>
      <c r="BS483" s="26"/>
      <c r="BT483" s="26"/>
      <c r="BU483" s="26"/>
      <c r="BV483" s="26"/>
      <c r="BW483" s="26"/>
      <c r="BX483" s="26"/>
      <c r="BY483" s="26"/>
      <c r="BZ483" s="26"/>
      <c r="CA483" s="26"/>
      <c r="CB483" s="26"/>
      <c r="CC483" s="26"/>
      <c r="CD483" s="26"/>
      <c r="CE483" s="26"/>
      <c r="CF483" s="26"/>
    </row>
    <row r="484" spans="1:84" ht="15" customHeight="1" x14ac:dyDescent="0.25">
      <c r="A484" s="2"/>
      <c r="B484" s="512" t="s">
        <v>5116</v>
      </c>
      <c r="C484" s="83"/>
      <c r="D484" s="3000">
        <f>LN(IF(D482&lt;D475,IF(LOG(D481)&lt;-0.68,83.2,IF(LOG(D481)&lt;-0.29,10^(2.16+0.36*LOG(D481)),IF(LOG(D481)&lt;-0.18,114.8,10^(1.96-0.56*LOG(D481)))))*(D478/Wind)^0.5,1))</f>
        <v>0</v>
      </c>
      <c r="E484" s="235"/>
      <c r="F484" s="3000">
        <f>LN(IF(F482&lt;F475,IF(LOG(F481)&lt;-0.68,83.2,IF(LOG(F481)&lt;-0.29,10^(2.16+0.36*LOG(F481)),IF(LOG(F481)&lt;-0.18,114.8,10^(1.96-0.56*LOG(F481)))))*(F478/Wind)^0.5,1))</f>
        <v>0</v>
      </c>
      <c r="G484" s="238"/>
      <c r="H484" s="3000">
        <f>LN(IF(H482&lt;H475,IF(LOG(H481)&lt;-0.68,83.2,IF(LOG(H481)&lt;-0.29,10^(2.16+0.36*LOG(H481)),IF(LOG(H481)&lt;-0.18,114.8,10^(1.96-0.56*LOG(H481)))))*(H478/Wind)^0.5,1))</f>
        <v>0</v>
      </c>
      <c r="I484" s="238"/>
      <c r="J484" s="3000">
        <f>LN(IF(J482&lt;J475,IF(LOG(J481)&lt;-0.68,83.2,IF(LOG(J481)&lt;-0.29,10^(2.16+0.36*LOG(J481)),IF(LOG(J481)&lt;-0.18,114.8,10^(1.96-0.56*LOG(J481)))))*(J478/Wind)^0.5,1))</f>
        <v>0</v>
      </c>
      <c r="K484" s="238"/>
      <c r="L484" s="3000">
        <f>LN(IF(L482&lt;L475,IF(LOG(L481)&lt;-0.68,83.2,IF(LOG(L481)&lt;-0.29,10^(2.16+0.36*LOG(L481)),IF(LOG(L481)&lt;-0.18,114.8,10^(1.96-0.56*LOG(L481)))))*(L478/Wind)^0.5,1))</f>
        <v>0</v>
      </c>
      <c r="M484" s="238"/>
      <c r="N484" s="3000">
        <f>LN(IF(N482&lt;N475,IF(LOG(N481)&lt;-0.68,83.2,IF(LOG(N481)&lt;-0.29,10^(2.16+0.36*LOG(N481)),IF(LOG(N481)&lt;-0.18,114.8,10^(1.96-0.56*LOG(N481)))))*(N478/Wind)^0.5,1))</f>
        <v>0</v>
      </c>
      <c r="O484" s="238"/>
      <c r="P484" s="3000">
        <f>LN(IF(P482&lt;P475,IF(LOG(P481)&lt;-0.68,83.2,IF(LOG(P481)&lt;-0.29,10^(2.16+0.36*LOG(P481)),IF(LOG(P481)&lt;-0.18,114.8,10^(1.96-0.56*LOG(P481)))))*(P478/Wind)^0.5,1))</f>
        <v>0</v>
      </c>
      <c r="Q484" s="238"/>
      <c r="R484" s="3000">
        <f>LN(IF(R482&lt;R475,IF(LOG(R481)&lt;-0.68,83.2,IF(LOG(R481)&lt;-0.29,10^(2.16+0.36*LOG(R481)),IF(LOG(R481)&lt;-0.18,114.8,10^(1.96-0.56*LOG(R481)))))*(R478/Wind)^0.5,1))</f>
        <v>0</v>
      </c>
      <c r="S484" s="238"/>
      <c r="T484" s="3000">
        <f>LN(IF(T482&lt;T475,IF(LOG(T481)&lt;-0.68,83.2,IF(LOG(T481)&lt;-0.29,10^(2.16+0.36*LOG(T481)),IF(LOG(T481)&lt;-0.18,114.8,10^(1.96-0.56*LOG(T481)))))*(T478/Wind)^0.5,1))</f>
        <v>0</v>
      </c>
      <c r="U484" s="238"/>
      <c r="V484" s="3000">
        <f>LN(IF(V482&lt;V475,IF(LOG(V481)&lt;-0.68,83.2,IF(LOG(V481)&lt;-0.29,10^(2.16+0.36*LOG(V481)),IF(LOG(V481)&lt;-0.18,114.8,10^(1.96-0.56*LOG(V481)))))*(V478/Wind)^0.5,1))</f>
        <v>2.2880820072357251</v>
      </c>
      <c r="W484" s="238"/>
      <c r="X484" s="3000">
        <f>LN(IF(X482&lt;X475,IF(LOG(X481)&lt;-0.68,83.2,IF(LOG(X481)&lt;-0.29,10^(2.16+0.36*LOG(X481)),IF(LOG(X481)&lt;-0.18,114.8,10^(1.96-0.56*LOG(X481)))))*(X478/Wind)^0.5,1))</f>
        <v>3.3866942959038346</v>
      </c>
      <c r="Y484" s="83"/>
      <c r="Z484" s="85"/>
      <c r="AA484" s="83"/>
      <c r="AB484" s="81"/>
      <c r="AC484" s="846" t="str">
        <f>B470</f>
        <v/>
      </c>
      <c r="AD484" s="81"/>
      <c r="AE484" s="2996">
        <f>IF(Mw_3&lt;&gt;"",AE454/Mw_3,0)</f>
        <v>0</v>
      </c>
      <c r="AF484" s="81"/>
      <c r="AG484" s="2996">
        <f>IF(Mw_3&lt;&gt;"",AG454/Mw_3,0)</f>
        <v>0</v>
      </c>
      <c r="AH484" s="81"/>
      <c r="AI484" s="2996">
        <f>IF(Mw_3&lt;&gt;"",AI454/Mw_3,0)</f>
        <v>0</v>
      </c>
      <c r="AJ484" s="81"/>
      <c r="AK484" s="81"/>
      <c r="AL484" s="81"/>
      <c r="AM484" s="81"/>
      <c r="AN484" s="81"/>
      <c r="AO484" s="81"/>
      <c r="AP484" s="81"/>
      <c r="AQ484" s="23"/>
      <c r="AR484" s="81"/>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26"/>
      <c r="BS484" s="26"/>
      <c r="BT484" s="26"/>
      <c r="BU484" s="26"/>
      <c r="BV484" s="26"/>
      <c r="BW484" s="26"/>
      <c r="BX484" s="26"/>
      <c r="BY484" s="26"/>
      <c r="BZ484" s="26"/>
      <c r="CA484" s="26"/>
      <c r="CB484" s="26"/>
      <c r="CD484" s="26"/>
      <c r="CE484" s="26"/>
      <c r="CF484" s="26"/>
    </row>
    <row r="485" spans="1:84" ht="15" customHeight="1" x14ac:dyDescent="0.25">
      <c r="A485" s="2"/>
      <c r="B485" s="512" t="s">
        <v>5117</v>
      </c>
      <c r="C485" s="83"/>
      <c r="D485" s="3000">
        <f>LN(IF(D482&lt;D475,IF(LOG(D481)&lt;-0.69,120.2,IF(LOG(D481)&lt;-0.31,10^(2.39+0.45*LOG(D481)),IF(LOG(D481)&lt;-0.16,177.8,10^(2.16-0.54*LOG(D481)))))*(D478/Wind)^0.5,1))</f>
        <v>0</v>
      </c>
      <c r="E485" s="235"/>
      <c r="F485" s="3000">
        <f>LN(IF(F482&lt;F475,IF(LOG(F481)&lt;-0.69,120.2,IF(LOG(F481)&lt;-0.31,10^(2.39+0.45*LOG(F481)),IF(LOG(F481)&lt;-0.16,177.8,10^(2.16-0.54*LOG(F481)))))*(F478/Wind)^0.5,1))</f>
        <v>0</v>
      </c>
      <c r="G485" s="238"/>
      <c r="H485" s="3000">
        <f>LN(IF(H482&lt;H475,IF(LOG(H481)&lt;-0.69,120.2,IF(LOG(H481)&lt;-0.31,10^(2.39+0.45*LOG(H481)),IF(LOG(H481)&lt;-0.16,177.8,10^(2.16-0.54*LOG(H481)))))*(H478/Wind)^0.5,1))</f>
        <v>0</v>
      </c>
      <c r="I485" s="238"/>
      <c r="J485" s="3000">
        <f>LN(IF(J482&lt;J475,IF(LOG(J481)&lt;-0.69,120.2,IF(LOG(J481)&lt;-0.31,10^(2.39+0.45*LOG(J481)),IF(LOG(J481)&lt;-0.16,177.8,10^(2.16-0.54*LOG(J481)))))*(J478/Wind)^0.5,1))</f>
        <v>0</v>
      </c>
      <c r="K485" s="238"/>
      <c r="L485" s="3000">
        <f>LN(IF(L482&lt;L475,IF(LOG(L481)&lt;-0.69,120.2,IF(LOG(L481)&lt;-0.31,10^(2.39+0.45*LOG(L481)),IF(LOG(L481)&lt;-0.16,177.8,10^(2.16-0.54*LOG(L481)))))*(L478/Wind)^0.5,1))</f>
        <v>0</v>
      </c>
      <c r="M485" s="238"/>
      <c r="N485" s="3000">
        <f>LN(IF(N482&lt;N475,IF(LOG(N481)&lt;-0.69,120.2,IF(LOG(N481)&lt;-0.31,10^(2.39+0.45*LOG(N481)),IF(LOG(N481)&lt;-0.16,177.8,10^(2.16-0.54*LOG(N481)))))*(N478/Wind)^0.5,1))</f>
        <v>0</v>
      </c>
      <c r="O485" s="238"/>
      <c r="P485" s="3000">
        <f>LN(IF(P482&lt;P475,IF(LOG(P481)&lt;-0.69,120.2,IF(LOG(P481)&lt;-0.31,10^(2.39+0.45*LOG(P481)),IF(LOG(P481)&lt;-0.16,177.8,10^(2.16-0.54*LOG(P481)))))*(P478/Wind)^0.5,1))</f>
        <v>0</v>
      </c>
      <c r="Q485" s="238"/>
      <c r="R485" s="3000">
        <f>LN(IF(R482&lt;R475,IF(LOG(R481)&lt;-0.69,120.2,IF(LOG(R481)&lt;-0.31,10^(2.39+0.45*LOG(R481)),IF(LOG(R481)&lt;-0.16,177.8,10^(2.16-0.54*LOG(R481)))))*(R478/Wind)^0.5,1))</f>
        <v>0</v>
      </c>
      <c r="S485" s="238"/>
      <c r="T485" s="3000">
        <f>LN(IF(T482&lt;T475,IF(LOG(T481)&lt;-0.69,120.2,IF(LOG(T481)&lt;-0.31,10^(2.39+0.45*LOG(T481)),IF(LOG(T481)&lt;-0.16,177.8,10^(2.16-0.54*LOG(T481)))))*(T478/Wind)^0.5,1))</f>
        <v>0</v>
      </c>
      <c r="U485" s="238"/>
      <c r="V485" s="3000">
        <f>LN(IF(V482&lt;V475,IF(LOG(V481)&lt;-0.69,120.2,IF(LOG(V481)&lt;-0.31,10^(2.39+0.45*LOG(V481)),IF(LOG(V481)&lt;-0.16,177.8,10^(2.16-0.54*LOG(V481)))))*(V478/Wind)^0.5,1))</f>
        <v>2.6559916815096694</v>
      </c>
      <c r="W485" s="238"/>
      <c r="X485" s="3000">
        <f>LN(IF(X482&lt;X475,IF(LOG(X481)&lt;-0.69,120.2,IF(LOG(X481)&lt;-0.31,10^(2.39+0.45*LOG(X481)),IF(LOG(X481)&lt;-0.16,177.8,10^(2.16-0.54*LOG(X481)))))*(X478/Wind)^0.5,1))</f>
        <v>3.7546039701777789</v>
      </c>
      <c r="Y485" s="83"/>
      <c r="Z485" s="85"/>
      <c r="AA485" s="83"/>
      <c r="AB485" s="81"/>
      <c r="AC485" s="846" t="str">
        <f>B471</f>
        <v/>
      </c>
      <c r="AD485" s="81"/>
      <c r="AE485" s="2996">
        <f>IF(Mw_4&lt;&gt;"",AE455/Mw_4,0)</f>
        <v>0</v>
      </c>
      <c r="AF485" s="81"/>
      <c r="AG485" s="2996">
        <f>IF(Mw_4&lt;&gt;"",AG455/Mw_4,0)</f>
        <v>0</v>
      </c>
      <c r="AH485" s="81"/>
      <c r="AI485" s="2996">
        <f>IF(Mw_4&lt;&gt;"",AI455/Mw_4,0)</f>
        <v>0</v>
      </c>
      <c r="AJ485" s="81"/>
      <c r="AK485" s="81"/>
      <c r="AL485" s="81"/>
      <c r="AM485" s="81"/>
      <c r="AN485" s="81"/>
      <c r="AO485" s="81"/>
      <c r="AP485" s="81"/>
      <c r="AQ485" s="23"/>
      <c r="AR485" s="81"/>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26"/>
      <c r="BS485" s="26"/>
      <c r="BT485" s="26"/>
      <c r="BU485" s="26"/>
      <c r="BV485" s="26"/>
      <c r="BW485" s="26"/>
      <c r="BX485" s="26"/>
      <c r="BY485" s="26"/>
      <c r="BZ485" s="26"/>
      <c r="CA485" s="26"/>
      <c r="CB485" s="26"/>
      <c r="CD485" s="26"/>
      <c r="CE485" s="26"/>
      <c r="CF485" s="26"/>
    </row>
    <row r="486" spans="1:84" ht="15" customHeight="1" thickBot="1" x14ac:dyDescent="0.3">
      <c r="A486" s="2"/>
      <c r="B486" s="512" t="s">
        <v>5118</v>
      </c>
      <c r="C486" s="83"/>
      <c r="D486" s="3000">
        <f>LN(IF(D482&lt;D475,IF(LOG(D481)&lt;-0.7,177.8,IF(LOG(D481)&lt;-0.29,10^(2.59+0.49*LOG(D481)),IF(LOG(D481)&lt;-0.2,281.8,10^(2.35-0.52*LOG(D481)))))*(D478/Wind)^0.5,1))</f>
        <v>0</v>
      </c>
      <c r="E486" s="235"/>
      <c r="F486" s="3000">
        <f>LN(IF(F482&lt;F475,IF(LOG(F481)&lt;-0.7,177.8,IF(LOG(F481)&lt;-0.29,10^(2.59+0.49*LOG(F481)),IF(LOG(F481)&lt;-0.2,281.8,10^(2.35-0.52*LOG(F481)))))*(F478/Wind)^0.5,1))</f>
        <v>0</v>
      </c>
      <c r="G486" s="238"/>
      <c r="H486" s="3000">
        <f>LN(IF(H482&lt;H475,IF(LOG(H481)&lt;-0.7,177.8,IF(LOG(H481)&lt;-0.29,10^(2.59+0.49*LOG(H481)),IF(LOG(H481)&lt;-0.2,281.8,10^(2.35-0.52*LOG(H481)))))*(H478/Wind)^0.5,1))</f>
        <v>0</v>
      </c>
      <c r="I486" s="238"/>
      <c r="J486" s="3000">
        <f>LN(IF(J482&lt;J475,IF(LOG(J481)&lt;-0.7,177.8,IF(LOG(J481)&lt;-0.29,10^(2.59+0.49*LOG(J481)),IF(LOG(J481)&lt;-0.2,281.8,10^(2.35-0.52*LOG(J481)))))*(J478/Wind)^0.5,1))</f>
        <v>0</v>
      </c>
      <c r="K486" s="238"/>
      <c r="L486" s="3000">
        <f>LN(IF(L482&lt;L475,IF(LOG(L481)&lt;-0.7,177.8,IF(LOG(L481)&lt;-0.29,10^(2.59+0.49*LOG(L481)),IF(LOG(L481)&lt;-0.2,281.8,10^(2.35-0.52*LOG(L481)))))*(L478/Wind)^0.5,1))</f>
        <v>0</v>
      </c>
      <c r="M486" s="238"/>
      <c r="N486" s="3000">
        <f>LN(IF(N482&lt;N475,IF(LOG(N481)&lt;-0.7,177.8,IF(LOG(N481)&lt;-0.29,10^(2.59+0.49*LOG(N481)),IF(LOG(N481)&lt;-0.2,281.8,10^(2.35-0.52*LOG(N481)))))*(N478/Wind)^0.5,1))</f>
        <v>0</v>
      </c>
      <c r="O486" s="238"/>
      <c r="P486" s="3000">
        <f>LN(IF(P482&lt;P475,IF(LOG(P481)&lt;-0.7,177.8,IF(LOG(P481)&lt;-0.29,10^(2.59+0.49*LOG(P481)),IF(LOG(P481)&lt;-0.2,281.8,10^(2.35-0.52*LOG(P481)))))*(P478/Wind)^0.5,1))</f>
        <v>0</v>
      </c>
      <c r="Q486" s="238"/>
      <c r="R486" s="3000">
        <f>LN(IF(R482&lt;R475,IF(LOG(R481)&lt;-0.7,177.8,IF(LOG(R481)&lt;-0.29,10^(2.59+0.49*LOG(R481)),IF(LOG(R481)&lt;-0.2,281.8,10^(2.35-0.52*LOG(R481)))))*(R478/Wind)^0.5,1))</f>
        <v>0</v>
      </c>
      <c r="S486" s="238"/>
      <c r="T486" s="3000">
        <f>LN(IF(T482&lt;T475,IF(LOG(T481)&lt;-0.7,177.8,IF(LOG(T481)&lt;-0.29,10^(2.59+0.49*LOG(T481)),IF(LOG(T481)&lt;-0.2,281.8,10^(2.35-0.52*LOG(T481)))))*(T478/Wind)^0.5,1))</f>
        <v>0</v>
      </c>
      <c r="U486" s="238"/>
      <c r="V486" s="3000">
        <f>LN(IF(V482&lt;V475,IF(LOG(V481)&lt;-0.7,177.8,IF(LOG(V481)&lt;-0.29,10^(2.59+0.49*LOG(V481)),IF(LOG(V481)&lt;-0.2,281.8,10^(2.35-0.52*LOG(V481)))))*(V478/Wind)^0.5,1))</f>
        <v>3.047493982488366</v>
      </c>
      <c r="W486" s="238"/>
      <c r="X486" s="3000">
        <f>LN(IF(X482&lt;X475,IF(LOG(X481)&lt;-0.7,177.8,IF(LOG(X481)&lt;-0.29,10^(2.59+0.49*LOG(X481)),IF(LOG(X481)&lt;-0.2,281.8,10^(2.35-0.52*LOG(X481)))))*(X478/Wind)^0.5,1))</f>
        <v>4.1461062711564756</v>
      </c>
      <c r="Y486" s="83"/>
      <c r="Z486" s="85"/>
      <c r="AA486" s="83"/>
      <c r="AB486" s="81"/>
      <c r="AC486" s="1037" t="str">
        <f>B472</f>
        <v/>
      </c>
      <c r="AD486" s="81"/>
      <c r="AE486" s="2996">
        <f>IF(Mw_5&lt;&gt;"",AE456/Mw_5,0)</f>
        <v>0</v>
      </c>
      <c r="AF486" s="81"/>
      <c r="AG486" s="2996">
        <f>IF(Mw_5&lt;&gt;"",AG456/Mw_5,0)</f>
        <v>0</v>
      </c>
      <c r="AH486" s="81"/>
      <c r="AI486" s="2996">
        <f>IF(Mw_5&lt;&gt;"",AI456/Mw_5,0)</f>
        <v>0</v>
      </c>
      <c r="AJ486" s="81"/>
      <c r="AK486" s="81"/>
      <c r="AL486" s="81"/>
      <c r="AM486" s="81"/>
      <c r="AN486" s="81"/>
      <c r="AO486" s="81"/>
      <c r="AP486" s="81"/>
      <c r="AQ486" s="23"/>
      <c r="AR486" s="81"/>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26"/>
      <c r="BS486" s="26"/>
      <c r="BT486" s="26"/>
      <c r="BU486" s="26"/>
      <c r="BV486" s="26"/>
      <c r="BW486" s="26"/>
      <c r="BX486" s="26"/>
      <c r="BY486" s="26"/>
      <c r="BZ486" s="26"/>
      <c r="CA486" s="26"/>
      <c r="CB486" s="26"/>
      <c r="CD486" s="26"/>
      <c r="CE486" s="26"/>
      <c r="CF486" s="26"/>
    </row>
    <row r="487" spans="1:84" ht="15" customHeight="1" thickBot="1" x14ac:dyDescent="0.3">
      <c r="A487" s="2"/>
      <c r="B487" s="512" t="s">
        <v>5119</v>
      </c>
      <c r="C487" s="83"/>
      <c r="D487" s="3000">
        <f>LN(IF(D482&lt;D475,IF(LOG(D481)&lt;-0.67,251.2,IF(LOG(D481)&lt;-0.28,10^(2.8+0.59*LOG(D481)),IF(LOG(D481)&lt;-0.15,426.6,10^(2.56-0.49*LOG(D481)))))*(D478/Wind)^0.5,1))</f>
        <v>0</v>
      </c>
      <c r="E487" s="235"/>
      <c r="F487" s="3000">
        <f>LN(IF(F482&lt;F475,IF(LOG(F481)&lt;-0.67,251.2,IF(LOG(F481)&lt;-0.28,10^(2.8+0.59*LOG(F481)),IF(LOG(F481)&lt;-0.15,426.6,10^(2.56-0.49*LOG(F481)))))*(F478/Wind)^0.5,1))</f>
        <v>0</v>
      </c>
      <c r="G487" s="238"/>
      <c r="H487" s="3000">
        <f>LN(IF(H482&lt;H475,IF(LOG(H481)&lt;-0.67,251.2,IF(LOG(H481)&lt;-0.28,10^(2.8+0.59*LOG(H481)),IF(LOG(H481)&lt;-0.15,426.6,10^(2.56-0.49*LOG(H481)))))*(H478/Wind)^0.5,1))</f>
        <v>0</v>
      </c>
      <c r="I487" s="238"/>
      <c r="J487" s="3000">
        <f>LN(IF(J482&lt;J475,IF(LOG(J481)&lt;-0.67,251.2,IF(LOG(J481)&lt;-0.28,10^(2.8+0.59*LOG(J481)),IF(LOG(J481)&lt;-0.15,426.6,10^(2.56-0.49*LOG(J481)))))*(J478/Wind)^0.5,1))</f>
        <v>0</v>
      </c>
      <c r="K487" s="238"/>
      <c r="L487" s="3000">
        <f>LN(IF(L482&lt;L475,IF(LOG(L481)&lt;-0.67,251.2,IF(LOG(L481)&lt;-0.28,10^(2.8+0.59*LOG(L481)),IF(LOG(L481)&lt;-0.15,426.6,10^(2.56-0.49*LOG(L481)))))*(L478/Wind)^0.5,1))</f>
        <v>0</v>
      </c>
      <c r="M487" s="238"/>
      <c r="N487" s="3000">
        <f>LN(IF(N482&lt;N475,IF(LOG(N481)&lt;-0.67,251.2,IF(LOG(N481)&lt;-0.28,10^(2.8+0.59*LOG(N481)),IF(LOG(N481)&lt;-0.15,426.6,10^(2.56-0.49*LOG(N481)))))*(N478/Wind)^0.5,1))</f>
        <v>0</v>
      </c>
      <c r="O487" s="238"/>
      <c r="P487" s="3000">
        <f>LN(IF(P482&lt;P475,IF(LOG(P481)&lt;-0.67,251.2,IF(LOG(P481)&lt;-0.28,10^(2.8+0.59*LOG(P481)),IF(LOG(P481)&lt;-0.15,426.6,10^(2.56-0.49*LOG(P481)))))*(P478/Wind)^0.5,1))</f>
        <v>0</v>
      </c>
      <c r="Q487" s="238"/>
      <c r="R487" s="3000">
        <f>LN(IF(R482&lt;R475,IF(LOG(R481)&lt;-0.67,251.2,IF(LOG(R481)&lt;-0.28,10^(2.8+0.59*LOG(R481)),IF(LOG(R481)&lt;-0.15,426.6,10^(2.56-0.49*LOG(R481)))))*(R478/Wind)^0.5,1))</f>
        <v>0</v>
      </c>
      <c r="S487" s="238"/>
      <c r="T487" s="3000">
        <f>LN(IF(T482&lt;T475,IF(LOG(T481)&lt;-0.67,251.2,IF(LOG(T481)&lt;-0.28,10^(2.8+0.59*LOG(T481)),IF(LOG(T481)&lt;-0.15,426.6,10^(2.56-0.49*LOG(T481)))))*(T478/Wind)^0.5,1))</f>
        <v>0</v>
      </c>
      <c r="U487" s="238"/>
      <c r="V487" s="3000">
        <f>LN(IF(V482&lt;V475,IF(LOG(V481)&lt;-0.67,251.2,IF(LOG(V481)&lt;-0.28,10^(2.8+0.59*LOG(V481)),IF(LOG(V481)&lt;-0.15,426.6,10^(2.56-0.49*LOG(V481)))))*(V478/Wind)^0.5,1))</f>
        <v>3.3930840940026057</v>
      </c>
      <c r="W487" s="238"/>
      <c r="X487" s="3000">
        <f>LN(IF(X482&lt;X475,IF(LOG(X481)&lt;-0.67,251.2,IF(LOG(X481)&lt;-0.28,10^(2.8+0.59*LOG(X481)),IF(LOG(X481)&lt;-0.15,426.6,10^(2.56-0.49*LOG(X481)))))*(X478/Wind)^0.5,1))</f>
        <v>4.4916963826707157</v>
      </c>
      <c r="Y487" s="83"/>
      <c r="Z487" s="85"/>
      <c r="AA487" s="83"/>
      <c r="AB487" s="81"/>
      <c r="AC487" s="615" t="s">
        <v>5131</v>
      </c>
      <c r="AD487" s="81"/>
      <c r="AE487" s="2996">
        <f>IF(Pad_MW&lt;&gt;"",AE457/Pad_MW,0)</f>
        <v>0</v>
      </c>
      <c r="AF487" s="81"/>
      <c r="AG487" s="2996">
        <f>IF(Pad_MW&lt;&gt;"",AG457/Pad_MW,0)</f>
        <v>0</v>
      </c>
      <c r="AH487" s="81"/>
      <c r="AI487" s="2996">
        <f>IF(Pad_MW&lt;&gt;"",AI457/Pad_MW,0)</f>
        <v>0</v>
      </c>
      <c r="AJ487" s="81"/>
      <c r="AK487" s="81"/>
      <c r="AL487" s="81"/>
      <c r="AM487" s="81"/>
      <c r="AN487" s="81"/>
      <c r="AO487" s="81"/>
      <c r="AP487" s="81"/>
      <c r="AQ487" s="23"/>
      <c r="AR487" s="81"/>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26"/>
      <c r="BS487" s="26"/>
      <c r="BT487" s="26"/>
      <c r="BU487" s="26"/>
      <c r="BV487" s="26"/>
      <c r="BW487" s="26"/>
      <c r="BX487" s="26"/>
      <c r="BY487" s="26"/>
      <c r="BZ487" s="26"/>
      <c r="CA487" s="26"/>
      <c r="CB487" s="26"/>
      <c r="CD487" s="26"/>
      <c r="CE487" s="26"/>
      <c r="CF487" s="26"/>
    </row>
    <row r="488" spans="1:84" ht="15" customHeight="1" thickBot="1" x14ac:dyDescent="0.3">
      <c r="A488" s="2"/>
      <c r="B488" s="512" t="s">
        <v>5120</v>
      </c>
      <c r="C488" s="83"/>
      <c r="D488" s="3000">
        <f>LN(IF(D482&lt;D475,IF(LOG(D481)&lt;-0.69,398.1,IF(LOG(D481)&lt;-0.25,10^(2.87+0.39*LOG(D481)),IF(LOG(D481)&lt;-0.13,588.8,10^(2.71-0.5*LOG(D481)))))*(D478/Wind)^0.5,1))</f>
        <v>0</v>
      </c>
      <c r="E488" s="235"/>
      <c r="F488" s="3000">
        <f>LN(IF(F482&lt;F475,IF(LOG(F481)&lt;-0.69,398.1,IF(LOG(F481)&lt;-0.25,10^(2.87+0.39*LOG(F481)),IF(LOG(F481)&lt;-0.13,588.8,10^(2.71-0.5*LOG(F481)))))*(F478/Wind)^0.5,1))</f>
        <v>0</v>
      </c>
      <c r="G488" s="238"/>
      <c r="H488" s="3000">
        <f>LN(IF(H482&lt;H475,IF(LOG(H481)&lt;-0.69,398.1,IF(LOG(H481)&lt;-0.25,10^(2.87+0.39*LOG(H481)),IF(LOG(H481)&lt;-0.13,588.8,10^(2.71-0.5*LOG(H481)))))*(H478/Wind)^0.5,1))</f>
        <v>0</v>
      </c>
      <c r="I488" s="238"/>
      <c r="J488" s="3000">
        <f>LN(IF(J482&lt;J475,IF(LOG(J481)&lt;-0.69,398.1,IF(LOG(J481)&lt;-0.25,10^(2.87+0.39*LOG(J481)),IF(LOG(J481)&lt;-0.13,588.8,10^(2.71-0.5*LOG(J481)))))*(J478/Wind)^0.5,1))</f>
        <v>0</v>
      </c>
      <c r="K488" s="238"/>
      <c r="L488" s="3000">
        <f>LN(IF(L482&lt;L475,IF(LOG(L481)&lt;-0.69,398.1,IF(LOG(L481)&lt;-0.25,10^(2.87+0.39*LOG(L481)),IF(LOG(L481)&lt;-0.13,588.8,10^(2.71-0.5*LOG(L481)))))*(L478/Wind)^0.5,1))</f>
        <v>0</v>
      </c>
      <c r="M488" s="238"/>
      <c r="N488" s="3000">
        <f>LN(IF(N482&lt;N475,IF(LOG(N481)&lt;-0.69,398.1,IF(LOG(N481)&lt;-0.25,10^(2.87+0.39*LOG(N481)),IF(LOG(N481)&lt;-0.13,588.8,10^(2.71-0.5*LOG(N481)))))*(N478/Wind)^0.5,1))</f>
        <v>0</v>
      </c>
      <c r="O488" s="238"/>
      <c r="P488" s="3000">
        <f>LN(IF(P482&lt;P475,IF(LOG(P481)&lt;-0.69,398.1,IF(LOG(P481)&lt;-0.25,10^(2.87+0.39*LOG(P481)),IF(LOG(P481)&lt;-0.13,588.8,10^(2.71-0.5*LOG(P481)))))*(P478/Wind)^0.5,1))</f>
        <v>0</v>
      </c>
      <c r="Q488" s="238"/>
      <c r="R488" s="3000">
        <f>LN(IF(R482&lt;R475,IF(LOG(R481)&lt;-0.69,398.1,IF(LOG(R481)&lt;-0.25,10^(2.87+0.39*LOG(R481)),IF(LOG(R481)&lt;-0.13,588.8,10^(2.71-0.5*LOG(R481)))))*(R478/Wind)^0.5,1))</f>
        <v>0</v>
      </c>
      <c r="S488" s="238"/>
      <c r="T488" s="3000">
        <f>LN(IF(T482&lt;T475,IF(LOG(T481)&lt;-0.69,398.1,IF(LOG(T481)&lt;-0.25,10^(2.87+0.39*LOG(T481)),IF(LOG(T481)&lt;-0.13,588.8,10^(2.71-0.5*LOG(T481)))))*(T478/Wind)^0.5,1))</f>
        <v>0</v>
      </c>
      <c r="U488" s="238"/>
      <c r="V488" s="3000">
        <f>LN(IF(V482&lt;V475,IF(LOG(V481)&lt;-0.69,398.1,IF(LOG(V481)&lt;-0.25,10^(2.87+0.39*LOG(V481)),IF(LOG(V481)&lt;-0.13,588.8,10^(2.71-0.5*LOG(V481)))))*(V478/Wind)^0.5,1))</f>
        <v>3.8535378894148336</v>
      </c>
      <c r="W488" s="238"/>
      <c r="X488" s="3000">
        <f>LN(IF(X482&lt;X475,IF(LOG(X481)&lt;-0.69,398.1,IF(LOG(X481)&lt;-0.25,10^(2.87+0.39*LOG(X481)),IF(LOG(X481)&lt;-0.13,588.8,10^(2.71-0.5*LOG(X481)))))*(X478/Wind)^0.5,1))</f>
        <v>4.9521501780829436</v>
      </c>
      <c r="Y488" s="83"/>
      <c r="Z488" s="85"/>
      <c r="AA488" s="83"/>
      <c r="AB488" s="81"/>
      <c r="AC488" s="85" t="s">
        <v>2207</v>
      </c>
      <c r="AD488" s="81"/>
      <c r="AE488" s="2101">
        <f>IF(SUM(AE482:AE487)&gt;0,AE471/SUM(AE482:AE487),Pad_MW)</f>
        <v>29</v>
      </c>
      <c r="AF488" s="81"/>
      <c r="AG488" s="2101">
        <f>IF(SUM(AG482:AG487)&gt;0,AG471/SUM(AG482:AG487),Pad_MW)</f>
        <v>29</v>
      </c>
      <c r="AH488" s="81"/>
      <c r="AI488" s="2101">
        <f>IF(SUM(AI482:AI487)&gt;0,AI471/SUM(AI482:AI487),Pad_MW)</f>
        <v>29</v>
      </c>
      <c r="AJ488" s="81"/>
      <c r="AK488" s="81"/>
      <c r="AL488" s="81"/>
      <c r="AM488" s="81"/>
      <c r="AN488" s="81"/>
      <c r="AO488" s="81"/>
      <c r="AP488" s="81"/>
      <c r="AQ488" s="25" t="s">
        <v>3806</v>
      </c>
      <c r="AR488" s="81"/>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26"/>
      <c r="BS488" s="26"/>
      <c r="BT488" s="26"/>
      <c r="BU488" s="26"/>
      <c r="BV488" s="26"/>
      <c r="BW488" s="26"/>
      <c r="BX488" s="26"/>
      <c r="BY488" s="26"/>
      <c r="BZ488" s="26"/>
      <c r="CA488" s="26"/>
      <c r="CB488" s="26"/>
      <c r="CD488" s="26"/>
      <c r="CE488" s="26"/>
      <c r="CF488" s="26"/>
    </row>
    <row r="489" spans="1:84" ht="15" customHeight="1" x14ac:dyDescent="0.25">
      <c r="A489" s="2"/>
      <c r="B489" s="2977" t="s">
        <v>5050</v>
      </c>
      <c r="C489" s="83"/>
      <c r="D489" s="1230">
        <f>EXP(INDEX(LINEST($CJ$277:$CJ$282,D483:D488),2))*((Ambient_Temp+273)/(D416+273))*Roughness_A</f>
        <v>8.0110655998420644E-3</v>
      </c>
      <c r="E489" s="235"/>
      <c r="F489" s="1230">
        <f>EXP(INDEX(LINEST($CJ$277:$CJ$282,F483:F488),2))*((Ambient_Temp+273)/(F416+273))*Roughness_A</f>
        <v>8.0110655998420644E-3</v>
      </c>
      <c r="G489" s="238"/>
      <c r="H489" s="1230">
        <f>EXP(INDEX(LINEST($CJ$277:$CJ$282,H483:H488),2))*((Ambient_Temp+273)/(H416+273))*Roughness_A</f>
        <v>8.0110655998420644E-3</v>
      </c>
      <c r="I489" s="238"/>
      <c r="J489" s="1230">
        <f>EXP(INDEX(LINEST($CJ$277:$CJ$282,J483:J488),2))*((Ambient_Temp+273)/(J416+273))*Roughness_A</f>
        <v>8.0110655998420644E-3</v>
      </c>
      <c r="K489" s="238"/>
      <c r="L489" s="1230">
        <f>EXP(INDEX(LINEST($CJ$277:$CJ$282,L483:L488),2))*((Ambient_Temp+273)/(L416+273))*Roughness_A</f>
        <v>8.0110655998420644E-3</v>
      </c>
      <c r="M489" s="238"/>
      <c r="N489" s="1230">
        <f>EXP(INDEX(LINEST($CJ$277:$CJ$282,N483:N488),2))*((Ambient_Temp+273)/(N416+273))*Roughness_A</f>
        <v>8.0110655998420644E-3</v>
      </c>
      <c r="O489" s="238"/>
      <c r="P489" s="1230">
        <f>EXP(INDEX(LINEST($CJ$277:$CJ$282,P483:P488),2))*((Ambient_Temp+273)/(P416+273))*Roughness_A</f>
        <v>8.0110655998420644E-3</v>
      </c>
      <c r="Q489" s="238"/>
      <c r="R489" s="1230">
        <f>EXP(INDEX(LINEST($CJ$277:$CJ$282,R483:R488),2))*((Ambient_Temp+273)/(R416+273))*Roughness_A</f>
        <v>8.0110655998420644E-3</v>
      </c>
      <c r="S489" s="238"/>
      <c r="T489" s="1230">
        <f>EXP(INDEX(LINEST($CJ$277:$CJ$282,T483:T488),2))*((Ambient_Temp+273)/(T416+273))*Roughness_A</f>
        <v>8.0110655998420644E-3</v>
      </c>
      <c r="U489" s="238"/>
      <c r="V489" s="1230">
        <f>EXP(INDEX(LINEST($CJ$277:$CJ$282,V483:V488),2))*((Ambient_Temp+273)/(V416+273))*Roughness_A</f>
        <v>2.5053004755086037</v>
      </c>
      <c r="W489" s="238"/>
      <c r="X489" s="1230">
        <f>EXP(INDEX(LINEST($CJ$277:$CJ$282,X483:X488),2))*((Ambient_Temp+273)/(X416+273))*Roughness_A</f>
        <v>22.844804829195322</v>
      </c>
      <c r="Y489" s="83"/>
      <c r="Z489" s="85"/>
      <c r="AA489" s="83"/>
      <c r="AB489" s="81"/>
      <c r="AC489" s="92" t="s">
        <v>5046</v>
      </c>
      <c r="AD489" s="81"/>
      <c r="AE489" s="2997">
        <f>IF(AE294="Indoors",AE712/1000000,AE497)</f>
        <v>0.999</v>
      </c>
      <c r="AF489" s="81"/>
      <c r="AG489" s="2997">
        <f>IF(AG294="Indoors",AG712/1000000,AG497)</f>
        <v>0.999</v>
      </c>
      <c r="AH489" s="81"/>
      <c r="AI489" s="2997">
        <f>IF(AI294="Indoors",AI712/1000000,AI497)</f>
        <v>0.999</v>
      </c>
      <c r="AJ489" s="81"/>
      <c r="AK489" s="81"/>
      <c r="AL489" s="81"/>
      <c r="AM489" s="81"/>
      <c r="AN489" s="81"/>
      <c r="AO489" s="81"/>
      <c r="AP489" s="81"/>
      <c r="AQ489" s="85"/>
      <c r="AR489" s="81"/>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26"/>
      <c r="BS489" s="26"/>
      <c r="BT489" s="26"/>
      <c r="BU489" s="26"/>
      <c r="BV489" s="26"/>
      <c r="BW489" s="26"/>
      <c r="BX489" s="26"/>
      <c r="BY489" s="26"/>
      <c r="BZ489" s="26"/>
      <c r="CA489" s="26"/>
      <c r="CB489" s="26"/>
      <c r="CD489" s="26"/>
      <c r="CE489" s="26"/>
      <c r="CF489" s="26"/>
    </row>
    <row r="490" spans="1:84" ht="15" customHeight="1" x14ac:dyDescent="0.25">
      <c r="A490" s="2"/>
      <c r="B490" s="2977" t="s">
        <v>5053</v>
      </c>
      <c r="C490" s="83"/>
      <c r="D490" s="1230">
        <f>INDEX(LINEST($CJ$277:$CJ$282,D483:D488),1)+Roughness_B</f>
        <v>0</v>
      </c>
      <c r="E490" s="235"/>
      <c r="F490" s="1230">
        <f>INDEX(LINEST($CJ$277:$CJ$282,F483:F488),1)+Roughness_B</f>
        <v>0</v>
      </c>
      <c r="G490" s="238"/>
      <c r="H490" s="1230">
        <f>INDEX(LINEST($CJ$277:$CJ$282,H483:H488),1)+Roughness_B</f>
        <v>0</v>
      </c>
      <c r="I490" s="238"/>
      <c r="J490" s="1230">
        <f>INDEX(LINEST($CJ$277:$CJ$282,J483:J488),1)+Roughness_B</f>
        <v>0</v>
      </c>
      <c r="K490" s="238"/>
      <c r="L490" s="1230">
        <f>INDEX(LINEST($CJ$277:$CJ$282,L483:L488),1)+Roughness_B</f>
        <v>0</v>
      </c>
      <c r="M490" s="238"/>
      <c r="N490" s="1230">
        <f>INDEX(LINEST($CJ$277:$CJ$282,N483:N488),1)+Roughness_B</f>
        <v>0</v>
      </c>
      <c r="O490" s="238"/>
      <c r="P490" s="1230">
        <f>INDEX(LINEST($CJ$277:$CJ$282,P483:P488),1)+Roughness_B</f>
        <v>0</v>
      </c>
      <c r="Q490" s="238"/>
      <c r="R490" s="1230">
        <f>INDEX(LINEST($CJ$277:$CJ$282,R483:R488),1)+Roughness_B</f>
        <v>0</v>
      </c>
      <c r="S490" s="238"/>
      <c r="T490" s="1230">
        <f>INDEX(LINEST($CJ$277:$CJ$282,T483:T488),1)+Roughness_B</f>
        <v>0</v>
      </c>
      <c r="U490" s="238"/>
      <c r="V490" s="1230">
        <f>INDEX(LINEST($CJ$277:$CJ$282,V483:V488),1)+Roughness_B</f>
        <v>-2.0119154654194493</v>
      </c>
      <c r="W490" s="238"/>
      <c r="X490" s="1230">
        <f>INDEX(LINEST($CJ$277:$CJ$282,X483:X488),1)+Roughness_B</f>
        <v>-2.0119154654194493</v>
      </c>
      <c r="Y490" s="83"/>
      <c r="Z490" s="85"/>
      <c r="AA490" s="83"/>
      <c r="AB490" s="81"/>
      <c r="AC490" s="1691" t="s">
        <v>5291</v>
      </c>
      <c r="AD490" s="81"/>
      <c r="AE490" s="3108">
        <f>IF(AE294="Indoors",AE712/1000000,IF(Relief_Discharge_Location="Outdoors-Upwards",AE497,1))</f>
        <v>1</v>
      </c>
      <c r="AF490" s="81"/>
      <c r="AG490" s="3108">
        <f>IF(AG294="Indoors",AG712/1000000,IF(Relief_Discharge_Location="Outdoors-Upwards",AG497,1))</f>
        <v>1</v>
      </c>
      <c r="AH490" s="81"/>
      <c r="AI490" s="3108">
        <f>IF(AI294="Indoors",AI712/1000000,IF(Relief_Discharge_Location="Outdoors-Upwards",AI497,1))</f>
        <v>1</v>
      </c>
      <c r="AJ490" s="81"/>
      <c r="AK490" s="81"/>
      <c r="AL490" s="81"/>
      <c r="AM490" s="81"/>
      <c r="AN490" s="81"/>
      <c r="AO490" s="81"/>
      <c r="AP490" s="81"/>
      <c r="AQ490" s="85"/>
      <c r="AR490" s="81"/>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26"/>
      <c r="BS490" s="26"/>
      <c r="BT490" s="26"/>
      <c r="BU490" s="26"/>
      <c r="BV490" s="26"/>
      <c r="BW490" s="26"/>
      <c r="BX490" s="26"/>
      <c r="BY490" s="26"/>
      <c r="BZ490" s="26"/>
      <c r="CA490" s="26"/>
      <c r="CB490" s="26"/>
      <c r="CD490" s="26"/>
      <c r="CE490" s="26"/>
      <c r="CF490" s="26"/>
    </row>
    <row r="491" spans="1:84" ht="15" customHeight="1" x14ac:dyDescent="0.25">
      <c r="A491" s="2"/>
      <c r="B491" s="1691" t="s">
        <v>5066</v>
      </c>
      <c r="C491" s="83"/>
      <c r="D491" s="2401">
        <f>IF(D482&lt;D475,(D489/(D482/D475))^(-1/D490),0)</f>
        <v>0</v>
      </c>
      <c r="E491" s="235"/>
      <c r="F491" s="2401">
        <f>IF(F482&lt;F475,(F489/(F482/F475))^(-1/F490),0)</f>
        <v>0</v>
      </c>
      <c r="G491" s="238"/>
      <c r="H491" s="2401">
        <f>IF(H482&lt;H475,(H489/(H482/H475))^(-1/H490),0)</f>
        <v>0</v>
      </c>
      <c r="I491" s="238"/>
      <c r="J491" s="2401">
        <f>IF(J482&lt;J475,(J489/(J482/J475))^(-1/J490),0)</f>
        <v>0</v>
      </c>
      <c r="K491" s="238"/>
      <c r="L491" s="2401">
        <f>IF(L482&lt;L475,(L489/(L482/L475))^(-1/L490),0)</f>
        <v>0</v>
      </c>
      <c r="M491" s="238"/>
      <c r="N491" s="2401">
        <f>IF(N482&lt;N475,(N489/(N482/N475))^(-1/N490),0)</f>
        <v>0</v>
      </c>
      <c r="O491" s="238"/>
      <c r="P491" s="2401">
        <f>IF(P482&lt;P475,(P489/(P482/P475))^(-1/P490),0)</f>
        <v>0</v>
      </c>
      <c r="Q491" s="238"/>
      <c r="R491" s="2401">
        <f>IF(R482&lt;R475,(R489/(R482/R475))^(-1/R490),0)</f>
        <v>0</v>
      </c>
      <c r="S491" s="238"/>
      <c r="T491" s="2401">
        <f>IF(T482&lt;T475,(T489/(T482/T475))^(-1/T490),0)</f>
        <v>0</v>
      </c>
      <c r="U491" s="238"/>
      <c r="V491" s="2401">
        <f>IF(V482&lt;V475,(V489/(V482/V475))^(-1/V490),0)</f>
        <v>2.0891899958873958</v>
      </c>
      <c r="W491" s="238"/>
      <c r="X491" s="2401">
        <f>IF(X482&lt;X475,(X489/(X482/X475))^(-1/X490),0)</f>
        <v>18.680767746647895</v>
      </c>
      <c r="Y491" s="83"/>
      <c r="Z491" s="85"/>
      <c r="AA491" s="83"/>
      <c r="AB491" s="81"/>
      <c r="AC491" s="1691" t="s">
        <v>5047</v>
      </c>
      <c r="AD491" s="81"/>
      <c r="AE491" s="2998">
        <f>12.2*AE489*AE488/(AE430+273)+(1-AE489)*Air_Dens</f>
        <v>1.2958559333284165</v>
      </c>
      <c r="AF491" s="81"/>
      <c r="AG491" s="2998">
        <f>12.2*AG489*AG488/(AG430+273)+(1-AG489)*Air_Dens</f>
        <v>1.2958559333284165</v>
      </c>
      <c r="AH491" s="81"/>
      <c r="AI491" s="2998">
        <f>12.2*AI489*AI488/(AI430+273)+(1-AI489)*Air_Dens</f>
        <v>1.2958559333284165</v>
      </c>
      <c r="AJ491" s="81"/>
      <c r="AK491" s="81"/>
      <c r="AL491" s="81"/>
      <c r="AM491" s="81"/>
      <c r="AN491" s="81"/>
      <c r="AO491" s="81"/>
      <c r="AP491" s="81"/>
      <c r="AQ491" s="85" t="s">
        <v>3814</v>
      </c>
      <c r="AR491" s="81"/>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26"/>
      <c r="BS491" s="26"/>
      <c r="BT491" s="26"/>
      <c r="BU491" s="26"/>
      <c r="BV491" s="26"/>
      <c r="BW491" s="26"/>
      <c r="BX491" s="26"/>
      <c r="BY491" s="26"/>
      <c r="BZ491" s="26"/>
      <c r="CA491" s="26"/>
      <c r="CB491" s="26"/>
      <c r="CD491" s="26"/>
      <c r="CE491" s="26"/>
      <c r="CF491" s="26"/>
    </row>
    <row r="492" spans="1:84" ht="15" customHeight="1" x14ac:dyDescent="0.25">
      <c r="A492" s="2"/>
      <c r="B492" s="1691" t="s">
        <v>5070</v>
      </c>
      <c r="C492" s="83"/>
      <c r="D492" s="2985">
        <f>IF(D491&gt;0,NBPlume_A*D464/(D474*Wind*D482),0)^NBPlume_B</f>
        <v>0</v>
      </c>
      <c r="E492" s="235"/>
      <c r="F492" s="2985">
        <f>IF(F491&gt;0,NBPlume_A*F464/(F474*Wind*F482),0)^NBPlume_B</f>
        <v>0</v>
      </c>
      <c r="G492" s="238"/>
      <c r="H492" s="2985">
        <f>IF(H491&gt;0,NBPlume_A*H464/(H474*Wind*H482),0)^NBPlume_B</f>
        <v>0</v>
      </c>
      <c r="I492" s="238"/>
      <c r="J492" s="2985">
        <f>IF(J491&gt;0,NBPlume_A*J464/(J474*Wind*J482),0)^NBPlume_B</f>
        <v>0</v>
      </c>
      <c r="K492" s="238"/>
      <c r="L492" s="2985">
        <f>IF(L491&gt;0,NBPlume_A*L464/(L474*Wind*L482),0)^NBPlume_B</f>
        <v>0</v>
      </c>
      <c r="M492" s="238"/>
      <c r="N492" s="2985">
        <f>IF(N491&gt;0,NBPlume_A*N464/(N474*Wind*N482),0)^NBPlume_B</f>
        <v>0</v>
      </c>
      <c r="O492" s="238"/>
      <c r="P492" s="2985">
        <f>IF(P491&gt;0,NBPlume_A*P464/(P474*Wind*P482),0)^NBPlume_B</f>
        <v>0</v>
      </c>
      <c r="Q492" s="238"/>
      <c r="R492" s="2985">
        <f>IF(R491&gt;0,NBPlume_A*R464/(R474*Wind*R482),0)^NBPlume_B</f>
        <v>0</v>
      </c>
      <c r="S492" s="238"/>
      <c r="T492" s="2985">
        <f>IF(T491&gt;0,NBPlume_A*T464/(T474*Wind*T482),0)^NBPlume_B</f>
        <v>0</v>
      </c>
      <c r="U492" s="238"/>
      <c r="V492" s="2985">
        <f>IF(V491&gt;0,NBPlume_A*V464/(V474*Wind*V482),0)^NBPlume_B</f>
        <v>0.19362324634348232</v>
      </c>
      <c r="W492" s="238"/>
      <c r="X492" s="2985">
        <f>IF(X491&gt;0,NBPlume_A*X464/(X474*Wind*X482),0)^NBPlume_B</f>
        <v>3.1250675410076232</v>
      </c>
      <c r="Y492" s="83"/>
      <c r="Z492" s="85"/>
      <c r="AA492" s="83"/>
      <c r="AB492" s="81"/>
      <c r="AC492" s="1691" t="s">
        <v>5178</v>
      </c>
      <c r="AD492" s="81"/>
      <c r="AE492" s="3133">
        <f>AE478*(AE430+273)/(12.2*AE488*AE489)</f>
        <v>3.5066668774931985E-5</v>
      </c>
      <c r="AF492" s="81"/>
      <c r="AG492" s="3133">
        <f>AG478*(AG430+273)/(12.2*AG488*AG489)</f>
        <v>3.5066668774931985E-5</v>
      </c>
      <c r="AH492" s="81"/>
      <c r="AI492" s="3133">
        <f>AI478*(AI430+273)/(12.2*AI488*AI489)</f>
        <v>3.5066668774931985E-5</v>
      </c>
      <c r="AJ492" s="81"/>
      <c r="AK492" s="81"/>
      <c r="AL492" s="81"/>
      <c r="AM492" s="81"/>
      <c r="AN492" s="81"/>
      <c r="AO492" s="81"/>
      <c r="AP492" s="81"/>
      <c r="AQ492" s="85"/>
      <c r="AR492" s="81"/>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26"/>
      <c r="BS492" s="26"/>
      <c r="BT492" s="26"/>
      <c r="BU492" s="26"/>
      <c r="BV492" s="26"/>
      <c r="BW492" s="26"/>
      <c r="BX492" s="26"/>
      <c r="BY492" s="26"/>
      <c r="BZ492" s="26"/>
      <c r="CA492" s="26"/>
      <c r="CB492" s="26"/>
      <c r="CD492" s="26"/>
      <c r="CE492" s="26"/>
      <c r="CF492" s="26"/>
    </row>
    <row r="493" spans="1:84" ht="15" customHeight="1" x14ac:dyDescent="0.25">
      <c r="A493" s="2"/>
      <c r="B493" s="512" t="s">
        <v>5099</v>
      </c>
      <c r="C493" s="83"/>
      <c r="D493" s="2981">
        <f>IF(D464&gt;0,LN(IF(D491&gt;=10,D475*D489*10^D490,NBPlume_A*D464/(D474*Wind)/(10-D491+D492)^(1/NBPlume_B))),0)</f>
        <v>-11.04495618752973</v>
      </c>
      <c r="E493" s="235"/>
      <c r="F493" s="2981">
        <f>IF(F464&gt;0,LN(IF(F491&gt;=10,F475*F489*10^F490,NBPlume_A*F464/(F474*Wind)/(10-F491+F492)^(1/NBPlume_B))),0)</f>
        <v>-11.04495618752973</v>
      </c>
      <c r="G493" s="238"/>
      <c r="H493" s="2981">
        <f>IF(H464&gt;0,LN(IF(H491&gt;=10,H475*H489*10^H490,NBPlume_A*H464/(H474*Wind)/(10-H491+H492)^(1/NBPlume_B))),0)</f>
        <v>0</v>
      </c>
      <c r="I493" s="238"/>
      <c r="J493" s="2981">
        <f>IF(J464&gt;0,LN(IF(J491&gt;=10,J475*J489*10^J490,NBPlume_A*J464/(J474*Wind)/(10-J491+J492)^(1/NBPlume_B))),0)</f>
        <v>-11.04495618752973</v>
      </c>
      <c r="K493" s="238"/>
      <c r="L493" s="2981">
        <f>IF(L464&gt;0,LN(IF(L491&gt;=10,L475*L489*10^L490,NBPlume_A*L464/(L474*Wind)/(10-L491+L492)^(1/NBPlume_B))),0)</f>
        <v>0</v>
      </c>
      <c r="M493" s="238"/>
      <c r="N493" s="2981">
        <f>IF(N464&gt;0,LN(IF(N491&gt;=10,N475*N489*10^N490,NBPlume_A*N464/(N474*Wind)/(10-N491+N492)^(1/NBPlume_B))),0)</f>
        <v>0</v>
      </c>
      <c r="O493" s="238"/>
      <c r="P493" s="2981">
        <f>IF(P464&gt;0,LN(IF(P491&gt;=10,P475*P489*10^P490,NBPlume_A*P464/(P474*Wind)/(10-P491+P492)^(1/NBPlume_B))),0)</f>
        <v>-13.452901796181601</v>
      </c>
      <c r="Q493" s="238"/>
      <c r="R493" s="2981">
        <f>IF(R464&gt;0,LN(IF(R491&gt;=10,R475*R489*10^R490,NBPlume_A*R464/(R474*Wind)/(10-R491+R492)^(1/NBPlume_B))),0)</f>
        <v>-11.04495618752973</v>
      </c>
      <c r="S493" s="238"/>
      <c r="T493" s="2981">
        <f>IF(T464&gt;0,LN(IF(T491&gt;=10,T475*T489*10^T490,NBPlume_A*T464/(T474*Wind)/(10-T491+T492)^(1/NBPlume_B))),0)</f>
        <v>-9.2123747237814193</v>
      </c>
      <c r="U493" s="238"/>
      <c r="V493" s="2981">
        <f>IF(V464&gt;0,LN(IF(V491&gt;=10,V475*V489*10^V490,NBPlume_A*V464/(V474*Wind)/(10-V491+V492)^(1/NBPlume_B))),0)</f>
        <v>-7.4940056541181619</v>
      </c>
      <c r="W493" s="238"/>
      <c r="X493" s="2981">
        <f>IF(X464&gt;0,LN(IF(X491&gt;=10,X475*X489*10^X490,NBPlume_A*X464/(X474*Wind)/(10-X491+X492)^(1/NBPlume_B))),0)</f>
        <v>-2.5338466896080063</v>
      </c>
      <c r="Y493" s="83"/>
      <c r="Z493" s="85"/>
      <c r="AA493" s="83"/>
      <c r="AB493" s="81"/>
      <c r="AC493" s="1691" t="s">
        <v>5179</v>
      </c>
      <c r="AD493" s="81"/>
      <c r="AE493" s="3133">
        <f>AE471*(AE430+273)/(12.2*AE488*AE489)</f>
        <v>0</v>
      </c>
      <c r="AF493" s="81"/>
      <c r="AG493" s="3133">
        <f>AG471*(AG430+273)/(12.2*AG488*AG489)</f>
        <v>0</v>
      </c>
      <c r="AH493" s="81"/>
      <c r="AI493" s="3133">
        <f>AI471*(AI430+273)/(12.2*AI488*AI489)</f>
        <v>0</v>
      </c>
      <c r="AJ493" s="81"/>
      <c r="AK493" s="81"/>
      <c r="AL493" s="81"/>
      <c r="AM493" s="81"/>
      <c r="AN493" s="81"/>
      <c r="AO493" s="81"/>
      <c r="AP493" s="81"/>
      <c r="AQ493" s="85"/>
      <c r="AR493" s="81"/>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26"/>
      <c r="BS493" s="26"/>
      <c r="BT493" s="26"/>
      <c r="BU493" s="26"/>
      <c r="BV493" s="26"/>
      <c r="BW493" s="26"/>
      <c r="BX493" s="26"/>
      <c r="BY493" s="26"/>
      <c r="BZ493" s="26"/>
      <c r="CA493" s="26"/>
      <c r="CB493" s="26"/>
      <c r="CD493" s="26"/>
      <c r="CE493" s="26"/>
      <c r="CF493" s="26"/>
    </row>
    <row r="494" spans="1:84" ht="15" customHeight="1" thickBot="1" x14ac:dyDescent="0.3">
      <c r="A494" s="2"/>
      <c r="B494" s="512" t="s">
        <v>5100</v>
      </c>
      <c r="C494" s="83"/>
      <c r="D494" s="2981">
        <f>IF(D464&gt;0,LN(IF(D491&gt;=50,D475*D489*50^D490,NBPlume_A*D464/(D474*Wind)/(50-D491+D492)^(1/NBPlume_B))),0)</f>
        <v>-13.587868089175608</v>
      </c>
      <c r="E494" s="235"/>
      <c r="F494" s="2981">
        <f>IF(F464&gt;0,LN(IF(F491&gt;=50,F475*F489*50^F490,NBPlume_A*F464/(F474*Wind)/(50-F491+F492)^(1/NBPlume_B))),0)</f>
        <v>-13.587868089175608</v>
      </c>
      <c r="G494" s="238"/>
      <c r="H494" s="2981">
        <f>IF(H464&gt;0,LN(IF(H491&gt;=50,H475*H489*50^H490,NBPlume_A*H464/(H474*Wind)/(50-H491+H492)^(1/NBPlume_B))),0)</f>
        <v>0</v>
      </c>
      <c r="I494" s="238"/>
      <c r="J494" s="2981">
        <f>IF(J464&gt;0,LN(IF(J491&gt;=50,J475*J489*50^J490,NBPlume_A*J464/(J474*Wind)/(50-J491+J492)^(1/NBPlume_B))),0)</f>
        <v>-13.587868089175608</v>
      </c>
      <c r="K494" s="238"/>
      <c r="L494" s="2981">
        <f>IF(L464&gt;0,LN(IF(L491&gt;=50,L475*L489*50^L490,NBPlume_A*L464/(L474*Wind)/(50-L491+L492)^(1/NBPlume_B))),0)</f>
        <v>0</v>
      </c>
      <c r="M494" s="238"/>
      <c r="N494" s="2981">
        <f>IF(N464&gt;0,LN(IF(N491&gt;=50,N475*N489*50^N490,NBPlume_A*N464/(N474*Wind)/(50-N491+N492)^(1/NBPlume_B))),0)</f>
        <v>0</v>
      </c>
      <c r="O494" s="238"/>
      <c r="P494" s="2981">
        <f>IF(P464&gt;0,LN(IF(P491&gt;=50,P475*P489*50^P490,NBPlume_A*P464/(P474*Wind)/(50-P491+P492)^(1/NBPlume_B))),0)</f>
        <v>-15.995813697827479</v>
      </c>
      <c r="Q494" s="238"/>
      <c r="R494" s="2981">
        <f>IF(R464&gt;0,LN(IF(R491&gt;=50,R475*R489*50^R490,NBPlume_A*R464/(R474*Wind)/(50-R491+R492)^(1/NBPlume_B))),0)</f>
        <v>-13.587868089175608</v>
      </c>
      <c r="S494" s="238"/>
      <c r="T494" s="2981">
        <f>IF(T464&gt;0,LN(IF(T491&gt;=50,T475*T489*50^T490,NBPlume_A*T464/(T474*Wind)/(50-T491+T492)^(1/NBPlume_B))),0)</f>
        <v>-11.755286625427297</v>
      </c>
      <c r="U494" s="238"/>
      <c r="V494" s="2981">
        <f>IF(V464&gt;0,LN(IF(V491&gt;=50,V475*V489*50^V490,NBPlume_A*V464/(V474*Wind)/(50-V491+V492)^(1/NBPlume_B))),0)</f>
        <v>-10.307927373300204</v>
      </c>
      <c r="W494" s="238"/>
      <c r="X494" s="2981">
        <f>IF(X464&gt;0,LN(IF(X491&gt;=50,X475*X489*50^X490,NBPlume_A*X464/(X474*Wind)/(50-X491+X492)^(1/NBPlume_B))),0)</f>
        <v>-7.5829341009673108</v>
      </c>
      <c r="Y494" s="83"/>
      <c r="Z494" s="85"/>
      <c r="AA494" s="83"/>
      <c r="AB494" s="81"/>
      <c r="AC494" s="2993" t="s">
        <v>5048</v>
      </c>
      <c r="AD494" s="81"/>
      <c r="AE494" s="2999">
        <f>9.8*(AE491-Air_Dens)/Air_Dens</f>
        <v>0.95118655594405521</v>
      </c>
      <c r="AF494" s="81"/>
      <c r="AG494" s="2999">
        <f>9.8*(AG491-Air_Dens)/Air_Dens</f>
        <v>0.95118655594405521</v>
      </c>
      <c r="AH494" s="81"/>
      <c r="AI494" s="2999">
        <f>9.8*(AI491-Air_Dens)/Air_Dens</f>
        <v>0.95118655594405521</v>
      </c>
      <c r="AJ494" s="81"/>
      <c r="AK494" s="81"/>
      <c r="AL494" s="81"/>
      <c r="AM494" s="81"/>
      <c r="AN494" s="81"/>
      <c r="AO494" s="81"/>
      <c r="AP494" s="81"/>
      <c r="AQ494" s="85"/>
      <c r="AR494" s="81"/>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26"/>
      <c r="BS494" s="26"/>
      <c r="BT494" s="26"/>
      <c r="BU494" s="26"/>
      <c r="BV494" s="26"/>
      <c r="BW494" s="26"/>
      <c r="BX494" s="26"/>
      <c r="BY494" s="26"/>
      <c r="BZ494" s="26"/>
      <c r="CA494" s="26"/>
      <c r="CB494" s="26"/>
      <c r="CD494" s="26"/>
      <c r="CE494" s="26"/>
      <c r="CF494" s="26"/>
    </row>
    <row r="495" spans="1:84" ht="15" customHeight="1" x14ac:dyDescent="0.25">
      <c r="A495" s="2"/>
      <c r="B495" s="512" t="s">
        <v>5101</v>
      </c>
      <c r="C495" s="83"/>
      <c r="D495" s="2981">
        <f>IF(D464&gt;0,LN(IF(D491&gt;=100,D475*D489*100^D490,NBPlume_A*D464/(D474*Wind)/(100-D491+D492)^(1/NBPlume_B))),0)</f>
        <v>-14.683040634460321</v>
      </c>
      <c r="E495" s="235"/>
      <c r="F495" s="2981">
        <f>IF(F464&gt;0,LN(IF(F491&gt;=100,F475*F489*100^F490,NBPlume_A*F464/(F474*Wind)/(100-F491+F492)^(1/NBPlume_B))),0)</f>
        <v>-14.683040634460321</v>
      </c>
      <c r="G495" s="238"/>
      <c r="H495" s="2981">
        <f>IF(H464&gt;0,LN(IF(H491&gt;=100,H475*H489*100^H490,NBPlume_A*H464/(H474*Wind)/(100-H491+H492)^(1/NBPlume_B))),0)</f>
        <v>0</v>
      </c>
      <c r="I495" s="238"/>
      <c r="J495" s="2981">
        <f>IF(J464&gt;0,LN(IF(J491&gt;=100,J475*J489*100^J490,NBPlume_A*J464/(J474*Wind)/(100-J491+J492)^(1/NBPlume_B))),0)</f>
        <v>-14.683040634460321</v>
      </c>
      <c r="K495" s="238"/>
      <c r="L495" s="2981">
        <f>IF(L464&gt;0,LN(IF(L491&gt;=100,L475*L489*100^L490,NBPlume_A*L464/(L474*Wind)/(100-L491+L492)^(1/NBPlume_B))),0)</f>
        <v>0</v>
      </c>
      <c r="M495" s="238"/>
      <c r="N495" s="2981">
        <f>IF(N464&gt;0,LN(IF(N491&gt;=100,N475*N489*100^N490,NBPlume_A*N464/(N474*Wind)/(100-N491+N492)^(1/NBPlume_B))),0)</f>
        <v>0</v>
      </c>
      <c r="O495" s="238"/>
      <c r="P495" s="2981">
        <f>IF(P464&gt;0,LN(IF(P491&gt;=100,P475*P489*100^P490,NBPlume_A*P464/(P474*Wind)/(100-P491+P492)^(1/NBPlume_B))),0)</f>
        <v>-17.090986243112194</v>
      </c>
      <c r="Q495" s="238"/>
      <c r="R495" s="2981">
        <f>IF(R464&gt;0,LN(IF(R491&gt;=100,R475*R489*100^R490,NBPlume_A*R464/(R474*Wind)/(100-R491+R492)^(1/NBPlume_B))),0)</f>
        <v>-14.683040634460321</v>
      </c>
      <c r="S495" s="238"/>
      <c r="T495" s="2981">
        <f>IF(T464&gt;0,LN(IF(T491&gt;=100,T475*T489*100^T490,NBPlume_A*T464/(T474*Wind)/(100-T491+T492)^(1/NBPlume_B))),0)</f>
        <v>-12.850459170712012</v>
      </c>
      <c r="U495" s="238"/>
      <c r="V495" s="2981">
        <f>IF(V464&gt;0,LN(IF(V491&gt;=100,V475*V489*100^V490,NBPlume_A*V464/(V474*Wind)/(100-V491+V492)^(1/NBPlume_B))),0)</f>
        <v>-11.433927355295411</v>
      </c>
      <c r="W495" s="238"/>
      <c r="X495" s="2981">
        <f>IF(X464&gt;0,LN(IF(X491&gt;=100,X475*X489*100^X490,NBPlume_A*X464/(X474*Wind)/(100-X491+X492)^(1/NBPlume_B))),0)</f>
        <v>-8.9997969243049507</v>
      </c>
      <c r="Y495" s="83"/>
      <c r="Z495" s="85"/>
      <c r="AA495" s="83"/>
      <c r="AB495" s="81"/>
      <c r="AC495" s="512" t="s">
        <v>2264</v>
      </c>
      <c r="AD495" s="81"/>
      <c r="AE495" s="1183">
        <f>IF(OR(Relief_Discharge_Size=0,AE478=0),0,12730*AE478/(12.2*AE488/(AE430+273)*Relief_Discharge_Size^2))</f>
        <v>0</v>
      </c>
      <c r="AF495" s="81"/>
      <c r="AG495" s="1183">
        <f>IF(OR(Relief_Discharge_Size=0,AG478=0),0,12730*AG478/(12.2*AG488/(AG430+273)*Relief_Discharge_Size^2))</f>
        <v>0</v>
      </c>
      <c r="AH495" s="81"/>
      <c r="AI495" s="1183">
        <f>IF(OR(Relief_Discharge_Size=0,AI478=0),0,12730*AI478/(12.2*AI488/(AI430+273)*Relief_Discharge_Size^2))</f>
        <v>0</v>
      </c>
      <c r="AJ495" s="81"/>
      <c r="AK495" s="81"/>
      <c r="AL495" s="81"/>
      <c r="AM495" s="81"/>
      <c r="AN495" s="81"/>
      <c r="AO495" s="81"/>
      <c r="AP495" s="81"/>
      <c r="AQ495" s="85" t="s">
        <v>1714</v>
      </c>
      <c r="AR495" s="81"/>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26"/>
      <c r="BS495" s="26"/>
      <c r="BT495" s="26"/>
      <c r="BU495" s="26"/>
      <c r="BV495" s="26"/>
      <c r="BW495" s="26"/>
      <c r="BX495" s="26"/>
      <c r="BY495" s="26"/>
      <c r="BZ495" s="26"/>
      <c r="CA495" s="26"/>
      <c r="CB495" s="26"/>
      <c r="CD495" s="26"/>
      <c r="CE495" s="26"/>
      <c r="CF495" s="26"/>
    </row>
    <row r="496" spans="1:84" ht="15" customHeight="1" x14ac:dyDescent="0.25">
      <c r="A496" s="2"/>
      <c r="B496" s="512" t="s">
        <v>5102</v>
      </c>
      <c r="C496" s="83"/>
      <c r="D496" s="2981">
        <f>IF(D464&gt;0,LN(IF(D491&gt;=200,D475*D489*200^D490,NBPlume_A*D464/(D474*Wind)/(200-D491+D492)^(1/NBPlume_B))),0)</f>
        <v>-15.778213179745034</v>
      </c>
      <c r="E496" s="235"/>
      <c r="F496" s="2981">
        <f>IF(F464&gt;0,LN(IF(F491&gt;=200,F475*F489*200^F490,NBPlume_A*F464/(F474*Wind)/(200-F491+F492)^(1/NBPlume_B))),0)</f>
        <v>-15.778213179745034</v>
      </c>
      <c r="G496" s="238"/>
      <c r="H496" s="2981">
        <f>IF(H464&gt;0,LN(IF(H491&gt;=200,H475*H489*200^H490,NBPlume_A*H464/(H474*Wind)/(200-H491+H492)^(1/NBPlume_B))),0)</f>
        <v>0</v>
      </c>
      <c r="I496" s="238"/>
      <c r="J496" s="2981">
        <f>IF(J464&gt;0,LN(IF(J491&gt;=200,J475*J489*200^J490,NBPlume_A*J464/(J474*Wind)/(200-J491+J492)^(1/NBPlume_B))),0)</f>
        <v>-15.778213179745034</v>
      </c>
      <c r="K496" s="238"/>
      <c r="L496" s="2981">
        <f>IF(L464&gt;0,LN(IF(L491&gt;=200,L475*L489*200^L490,NBPlume_A*L464/(L474*Wind)/(200-L491+L492)^(1/NBPlume_B))),0)</f>
        <v>0</v>
      </c>
      <c r="M496" s="238"/>
      <c r="N496" s="2981">
        <f>IF(N464&gt;0,LN(IF(N491&gt;=200,N475*N489*200^N490,NBPlume_A*N464/(N474*Wind)/(200-N491+N492)^(1/NBPlume_B))),0)</f>
        <v>0</v>
      </c>
      <c r="O496" s="238"/>
      <c r="P496" s="2981">
        <f>IF(P464&gt;0,LN(IF(P491&gt;=200,P475*P489*200^P490,NBPlume_A*P464/(P474*Wind)/(200-P491+P492)^(1/NBPlume_B))),0)</f>
        <v>-18.186158788396906</v>
      </c>
      <c r="Q496" s="238"/>
      <c r="R496" s="2981">
        <f>IF(R464&gt;0,LN(IF(R491&gt;=200,R475*R489*200^R490,NBPlume_A*R464/(R474*Wind)/(200-R491+R492)^(1/NBPlume_B))),0)</f>
        <v>-15.778213179745034</v>
      </c>
      <c r="S496" s="238"/>
      <c r="T496" s="2981">
        <f>IF(T464&gt;0,LN(IF(T491&gt;=200,T475*T489*200^T490,NBPlume_A*T464/(T474*Wind)/(200-T491+T492)^(1/NBPlume_B))),0)</f>
        <v>-13.945631715996724</v>
      </c>
      <c r="U496" s="238"/>
      <c r="V496" s="2981">
        <f>IF(V464&gt;0,LN(IF(V491&gt;=200,V475*V489*200^V490,NBPlume_A*V464/(V474*Wind)/(200-V491+V492)^(1/NBPlume_B))),0)</f>
        <v>-12.54429096077358</v>
      </c>
      <c r="W496" s="238"/>
      <c r="X496" s="2981">
        <f>IF(X464&gt;0,LN(IF(X491&gt;=200,X475*X489*200^X490,NBPlume_A*X464/(X474*Wind)/(200-X491+X492)^(1/NBPlume_B))),0)</f>
        <v>-10.23418041962597</v>
      </c>
      <c r="Y496" s="83"/>
      <c r="Z496" s="85"/>
      <c r="AA496" s="83"/>
      <c r="AB496" s="81"/>
      <c r="AC496" s="2127" t="s">
        <v>2680</v>
      </c>
      <c r="AD496" s="81"/>
      <c r="AE496" s="2991">
        <f>IF(AE495&gt;0,IF(400/(12.2*AE488/(AE430+273))^0.5&lt;AE495,400/(12.2*AE488/(AE430+273))^0.5,AE495),0)</f>
        <v>0</v>
      </c>
      <c r="AF496" s="81"/>
      <c r="AG496" s="2991">
        <f>IF(AG495&gt;0,IF(400/(12.2*AG488/(AG430+273))^0.5&lt;AG495,400/(12.2*AG488/(AG430+273))^0.5,AG495),0)</f>
        <v>0</v>
      </c>
      <c r="AH496" s="81"/>
      <c r="AI496" s="2991">
        <f>IF(AI495&gt;0,IF(400/(12.2*AI488/(AI430+273))^0.5&lt;AI495,400/(12.2*AI488/(AI430+273))^0.5,AI495),0)</f>
        <v>0</v>
      </c>
      <c r="AJ496" s="81"/>
      <c r="AK496" s="81"/>
      <c r="AL496" s="81"/>
      <c r="AM496" s="81"/>
      <c r="AN496" s="81"/>
      <c r="AO496" s="81"/>
      <c r="AP496" s="81"/>
      <c r="AQ496" s="85" t="s">
        <v>1714</v>
      </c>
      <c r="AR496" s="81"/>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26"/>
      <c r="BS496" s="26"/>
      <c r="BT496" s="26"/>
      <c r="BU496" s="26"/>
      <c r="BV496" s="26"/>
      <c r="BW496" s="26"/>
      <c r="BX496" s="26"/>
      <c r="BY496" s="26"/>
      <c r="BZ496" s="26"/>
      <c r="CA496" s="26"/>
      <c r="CB496" s="26"/>
      <c r="CD496" s="26"/>
      <c r="CE496" s="26"/>
      <c r="CF496" s="26"/>
    </row>
    <row r="497" spans="1:84" ht="15" customHeight="1" x14ac:dyDescent="0.25">
      <c r="A497" s="2"/>
      <c r="B497" s="512" t="s">
        <v>5103</v>
      </c>
      <c r="C497" s="83"/>
      <c r="D497" s="2981">
        <f>IF(D464&gt;0,LN(IF(D$115&gt;=500,D475*D489*500^D490,NBPlume_A*D464/(D474*Wind)/(500-D491+D492)^(1/NBPlume_B))),0)</f>
        <v>-17.225952536106199</v>
      </c>
      <c r="E497" s="235"/>
      <c r="F497" s="2981">
        <f>IF(F464&gt;0,LN(IF(F$115&gt;=500,F475*F489*500^F490,NBPlume_A*F464/(F474*Wind)/(500-F491+F492)^(1/NBPlume_B))),0)</f>
        <v>-17.225952536106199</v>
      </c>
      <c r="G497" s="238"/>
      <c r="H497" s="2981">
        <f>IF(H464&gt;0,LN(IF(H$115&gt;=500,H475*H489*500^H490,NBPlume_A*H464/(H474*Wind)/(500-H491+H492)^(1/NBPlume_B))),0)</f>
        <v>0</v>
      </c>
      <c r="I497" s="238"/>
      <c r="J497" s="2981">
        <f>IF(J464&gt;0,LN(IF(J$115&gt;=500,J475*J489*500^J490,NBPlume_A*J464/(J474*Wind)/(500-J491+J492)^(1/NBPlume_B))),0)</f>
        <v>-17.225952536106199</v>
      </c>
      <c r="K497" s="238"/>
      <c r="L497" s="2981">
        <f>IF(L464&gt;0,LN(IF(L$115&gt;=500,L475*L489*500^L490,NBPlume_A*L464/(L474*Wind)/(500-L491+L492)^(1/NBPlume_B))),0)</f>
        <v>0</v>
      </c>
      <c r="M497" s="238"/>
      <c r="N497" s="2981">
        <f>IF(N464&gt;0,LN(IF(N$115&gt;=500,N475*N489*500^N490,NBPlume_A*N464/(N474*Wind)/(500-N491+N492)^(1/NBPlume_B))),0)</f>
        <v>0</v>
      </c>
      <c r="O497" s="238"/>
      <c r="P497" s="2981">
        <f>IF(P464&gt;0,LN(IF(P$115&gt;=500,P475*P489*500^P490,NBPlume_A*P464/(P474*Wind)/(500-P491+P492)^(1/NBPlume_B))),0)</f>
        <v>-19.633898144758071</v>
      </c>
      <c r="Q497" s="238"/>
      <c r="R497" s="2981">
        <f>IF(R464&gt;0,LN(IF(R$115&gt;=500,R475*R489*500^R490,NBPlume_A*R464/(R474*Wind)/(500-R491+R492)^(1/NBPlume_B))),0)</f>
        <v>-17.225952536106199</v>
      </c>
      <c r="S497" s="238"/>
      <c r="T497" s="2981">
        <f>IF(T464&gt;0,LN(IF(T$115&gt;=500,T475*T489*500^T490,NBPlume_A*T464/(T474*Wind)/(500-T491+T492)^(1/NBPlume_B))),0)</f>
        <v>-15.393371072357889</v>
      </c>
      <c r="U497" s="238"/>
      <c r="V497" s="2981">
        <f>IF(V464&gt;0,LN(IF(V$115&gt;=500,V475*V489*500^V490,NBPlume_A*V464/(V474*Wind)/(500-V491+V492)^(1/NBPlume_B))),0)</f>
        <v>-14.001075337102527</v>
      </c>
      <c r="W497" s="238"/>
      <c r="X497" s="2981">
        <f>IF(X464&gt;0,LN(IF(X$115&gt;=500,X475*X489*500^X490,NBPlume_A*X464/(X474*Wind)/(500-X491+X492)^(1/NBPlume_B))),0)</f>
        <v>-11.759915225853881</v>
      </c>
      <c r="Y497" s="83"/>
      <c r="Z497" s="85"/>
      <c r="AA497" s="83"/>
      <c r="AB497" s="81"/>
      <c r="AC497" s="3297" t="s">
        <v>3812</v>
      </c>
      <c r="AD497" s="81"/>
      <c r="AE497" s="3077">
        <f>MIN(IF(MIN(AE495,AE496)&gt;Wind,Air_Dens*(Wind/MIN(AE495,AE496))/(12.2*AE488/(AE430+273)),1),0.999)</f>
        <v>0.999</v>
      </c>
      <c r="AF497" s="81"/>
      <c r="AG497" s="3077">
        <f>MIN(IF(MIN(AG495,AG496)&gt;Wind,Air_Dens*(Wind/MIN(AG495,AG496))/(12.2*AG488/(AG430+273)),1),0.999)</f>
        <v>0.999</v>
      </c>
      <c r="AH497" s="81"/>
      <c r="AI497" s="3077">
        <f>MIN(IF(MIN(AI495,AI496)&gt;Wind,Air_Dens*(Wind/MIN(AI495,AI496))/(12.2*AI488/(AI430+273)),1),0.999)</f>
        <v>0.999</v>
      </c>
      <c r="AJ497" s="81"/>
      <c r="AK497" s="81"/>
      <c r="AL497" s="81"/>
      <c r="AM497" s="81"/>
      <c r="AN497" s="81"/>
      <c r="AO497" s="81"/>
      <c r="AP497" s="81"/>
      <c r="AQ497" s="85" t="s">
        <v>3813</v>
      </c>
      <c r="AR497" s="81"/>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26"/>
      <c r="BS497" s="26"/>
      <c r="BT497" s="26"/>
      <c r="BU497" s="26"/>
      <c r="BV497" s="26"/>
      <c r="BW497" s="26"/>
      <c r="BX497" s="26"/>
      <c r="BY497" s="26"/>
      <c r="BZ497" s="26"/>
      <c r="CA497" s="26"/>
      <c r="CB497" s="26"/>
      <c r="CD497" s="26"/>
      <c r="CE497" s="26"/>
      <c r="CF497" s="26"/>
    </row>
    <row r="498" spans="1:84" ht="15" customHeight="1" x14ac:dyDescent="0.25">
      <c r="A498" s="2"/>
      <c r="B498" s="512" t="s">
        <v>5104</v>
      </c>
      <c r="C498" s="83"/>
      <c r="D498" s="2981">
        <f>IF(D464&gt;0,LN(IF(D491&gt;=1000,D475*D489*1000^D490,NBPlume_A*D464/(D474*Wind)/(1000-D491+D492)^(1/NBPlume_B))),0)</f>
        <v>-18.321125081390914</v>
      </c>
      <c r="E498" s="235"/>
      <c r="F498" s="2981">
        <f>IF(F464&gt;0,LN(IF(F491&gt;=1000,F475*F489*1000^F490,NBPlume_A*F464/(F474*Wind)/(1000-F491+F492)^(1/NBPlume_B))),0)</f>
        <v>-18.321125081390914</v>
      </c>
      <c r="G498" s="238"/>
      <c r="H498" s="2981">
        <f>IF(H464&gt;0,LN(IF(H491&gt;=1000,H475*H489*1000^H490,NBPlume_A*H464/(H474*Wind)/(1000-H491+H492)^(1/NBPlume_B))),0)</f>
        <v>0</v>
      </c>
      <c r="I498" s="238"/>
      <c r="J498" s="2981">
        <f>IF(J464&gt;0,LN(IF(J491&gt;=1000,J475*J489*1000^J490,NBPlume_A*J464/(J474*Wind)/(1000-J491+J492)^(1/NBPlume_B))),0)</f>
        <v>-18.321125081390914</v>
      </c>
      <c r="K498" s="238"/>
      <c r="L498" s="2981">
        <f>IF(L464&gt;0,LN(IF(L491&gt;=1000,L475*L489*1000^L490,NBPlume_A*L464/(L474*Wind)/(1000-L491+L492)^(1/NBPlume_B))),0)</f>
        <v>0</v>
      </c>
      <c r="M498" s="238"/>
      <c r="N498" s="2981">
        <f>IF(N464&gt;0,LN(IF(N491&gt;=1000,N475*N489*1000^N490,NBPlume_A*N464/(N474*Wind)/(1000-N491+N492)^(1/NBPlume_B))),0)</f>
        <v>0</v>
      </c>
      <c r="O498" s="238"/>
      <c r="P498" s="2981">
        <f>IF(P464&gt;0,LN(IF(P491&gt;=1000,P475*P489*1000^P490,NBPlume_A*P464/(P474*Wind)/(1000-P491+P492)^(1/NBPlume_B))),0)</f>
        <v>-20.729070690042786</v>
      </c>
      <c r="Q498" s="238"/>
      <c r="R498" s="2981">
        <f>IF(R464&gt;0,LN(IF(R491&gt;=1000,R475*R489*1000^R490,NBPlume_A*R464/(R474*Wind)/(1000-R491+R492)^(1/NBPlume_B))),0)</f>
        <v>-18.321125081390914</v>
      </c>
      <c r="S498" s="238"/>
      <c r="T498" s="2981">
        <f>IF(T464&gt;0,LN(IF(T491&gt;=1000,T475*T489*1000^T490,NBPlume_A*T464/(T474*Wind)/(1000-T491+T492)^(1/NBPlume_B))),0)</f>
        <v>-16.488543617642605</v>
      </c>
      <c r="U498" s="238"/>
      <c r="V498" s="2981">
        <f>IF(V464&gt;0,LN(IF(V491&gt;=1000,V475*V489*1000^V490,NBPlume_A*V464/(V474*Wind)/(1000-V491+V492)^(1/NBPlume_B))),0)</f>
        <v>-15.099251418859238</v>
      </c>
      <c r="W498" s="238"/>
      <c r="X498" s="2981">
        <f>IF(X464&gt;0,LN(IF(X491&gt;=1000,X475*X489*1000^X490,NBPlume_A*X464/(X474*Wind)/(1000-X491+X492)^(1/NBPlume_B))),0)</f>
        <v>-12.880253502931605</v>
      </c>
      <c r="Y498" s="83"/>
      <c r="Z498" s="85"/>
      <c r="AA498" s="83"/>
      <c r="AB498" s="81"/>
      <c r="AC498" s="512" t="s">
        <v>5230</v>
      </c>
      <c r="AD498" s="81"/>
      <c r="AE498" s="3029">
        <f>IF(AE496&lt;Wind,0,IF(OR(Relief_Discharge_Location="Vent Header to Blow-down Tank",Relief_Discharge_Location="Scrubber or Containment",Relief_Discharge_Location="Flare or Incinerator"),1,0.03125*Relief_Discharge_Size*IF(AND(AE495&gt;AE496,AE496&gt;0),(AE495/AE496)^0.5,1)*(AE496/Wind)*(12.2*AE488/(AE430+273)/Air_Dens)^0.5))</f>
        <v>0</v>
      </c>
      <c r="AF498" s="81"/>
      <c r="AG498" s="3029">
        <f>IF(AG496&lt;Wind,0,IF(OR(Relief_Discharge_Location="Vent Header to Blow-down Tank",Relief_Discharge_Location="Scrubber or Containment",Relief_Discharge_Location="Flare or Incinerator"),1,0.03125*Relief_Discharge_Size*IF(AND(AG495&gt;AG496,AG496&gt;0),(AG495/AG496)^0.5,1)*(AG496/Wind)*(12.2*AG488/(AG430+273)/Air_Dens)^0.5))</f>
        <v>0</v>
      </c>
      <c r="AH498" s="81"/>
      <c r="AI498" s="3029">
        <f>IF(AI496&lt;Wind,0,IF(OR(Relief_Discharge_Location="Vent Header to Blow-down Tank",Relief_Discharge_Location="Scrubber or Containment",Relief_Discharge_Location="Flare or Incinerator"),1,0.03125*Relief_Discharge_Size*IF(AND(AI495&gt;AI496,AI496&gt;0),(AI495/AI496)^0.5,1)*(AI496/Wind)*(12.2*AI488/(AI430+273)/Air_Dens)^0.5))</f>
        <v>0</v>
      </c>
      <c r="AJ498" s="81"/>
      <c r="AK498" s="81"/>
      <c r="AL498" s="81"/>
      <c r="AM498" s="81"/>
      <c r="AN498" s="81"/>
      <c r="AO498" s="81"/>
      <c r="AP498" s="81"/>
      <c r="AQ498" s="85"/>
      <c r="AR498" s="81"/>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26"/>
      <c r="BS498" s="26"/>
      <c r="BT498" s="26"/>
      <c r="BU498" s="26"/>
      <c r="BV498" s="26"/>
      <c r="BW498" s="26"/>
      <c r="BX498" s="26"/>
      <c r="BY498" s="26"/>
      <c r="BZ498" s="26"/>
      <c r="CA498" s="26"/>
      <c r="CB498" s="26"/>
      <c r="CD498" s="26"/>
      <c r="CE498" s="26"/>
      <c r="CF498" s="26"/>
    </row>
    <row r="499" spans="1:84" ht="15" customHeight="1" x14ac:dyDescent="0.25">
      <c r="A499" s="2"/>
      <c r="B499" s="512" t="s">
        <v>5105</v>
      </c>
      <c r="C499" s="83"/>
      <c r="D499" s="2981">
        <f>IF(D464&gt;0,LN(IF(D491&gt;=2000,D475*D489*2000^D490,NBPlume_A*D464/(D474*Wind)/(2000-D491+D492)^(1/NBPlume_B))),0)</f>
        <v>-19.416297626675625</v>
      </c>
      <c r="E499" s="235"/>
      <c r="F499" s="2981">
        <f>IF(F464&gt;0,LN(IF(F491&gt;=2000,F475*F489*2000^F490,NBPlume_A*F464/(F474*Wind)/(2000-F491+F492)^(1/NBPlume_B))),0)</f>
        <v>-19.416297626675625</v>
      </c>
      <c r="G499" s="238"/>
      <c r="H499" s="2981">
        <f>IF(H464&gt;0,LN(IF(H491&gt;=2000,H475*H489*2000^H490,NBPlume_A*H464/(H474*Wind)/(2000-H491+H492)^(1/NBPlume_B))),0)</f>
        <v>0</v>
      </c>
      <c r="I499" s="238"/>
      <c r="J499" s="2981">
        <f>IF(J464&gt;0,LN(IF(J491&gt;=2000,J475*J489*2000^J490,NBPlume_A*J464/(J474*Wind)/(2000-J491+J492)^(1/NBPlume_B))),0)</f>
        <v>-19.416297626675625</v>
      </c>
      <c r="K499" s="238"/>
      <c r="L499" s="2981">
        <f>IF(L464&gt;0,LN(IF(L491&gt;=2000,L475*L489*2000^L490,NBPlume_A*L464/(L474*Wind)/(2000-L491+L492)^(1/NBPlume_B))),0)</f>
        <v>0</v>
      </c>
      <c r="M499" s="238"/>
      <c r="N499" s="2981">
        <f>IF(N464&gt;0,LN(IF(N491&gt;=2000,N475*N489*2000^N490,NBPlume_A*N464/(N474*Wind)/(2000-N491+N492)^(1/NBPlume_B))),0)</f>
        <v>0</v>
      </c>
      <c r="O499" s="238"/>
      <c r="P499" s="2981">
        <f>IF(P464&gt;0,LN(IF(P491&gt;=2000,P475*P489*2000^P490,NBPlume_A*P464/(P474*Wind)/(2000-P491+P492)^(1/NBPlume_B))),0)</f>
        <v>-21.824243235327501</v>
      </c>
      <c r="Q499" s="238"/>
      <c r="R499" s="2981">
        <f>IF(R464&gt;0,LN(IF(R491&gt;=2000,R475*R489*2000^R490,NBPlume_A*R464/(R474*Wind)/(2000-R491+R492)^(1/NBPlume_B))),0)</f>
        <v>-19.416297626675625</v>
      </c>
      <c r="S499" s="238"/>
      <c r="T499" s="2981">
        <f>IF(T464&gt;0,LN(IF(T491&gt;=2000,T475*T489*2000^T490,NBPlume_A*T464/(T474*Wind)/(2000-T491+T492)^(1/NBPlume_B))),0)</f>
        <v>-17.583716162927317</v>
      </c>
      <c r="U499" s="238"/>
      <c r="V499" s="2981">
        <f>IF(V464&gt;0,LN(IF(V491&gt;=2000,V475*V489*2000^V490,NBPlume_A*V464/(V474*Wind)/(2000-V491+V492)^(1/NBPlume_B))),0)</f>
        <v>-16.195923593974843</v>
      </c>
      <c r="W499" s="238"/>
      <c r="X499" s="2981">
        <f>IF(X464&gt;0,LN(IF(X491&gt;=2000,X475*X489*2000^X490,NBPlume_A*X464/(X474*Wind)/(2000-X491+X492)^(1/NBPlume_B))),0)</f>
        <v>-13.98786018103433</v>
      </c>
      <c r="Y499" s="83"/>
      <c r="Z499" s="85"/>
      <c r="AA499" s="83"/>
      <c r="AB499" s="81"/>
      <c r="AC499" s="1840" t="s">
        <v>2683</v>
      </c>
      <c r="AD499" s="81"/>
      <c r="AE499" s="3038">
        <f>IF(Relief_Discharge_Location="Outdoors to Ground",0,Relief_Elevation+0.015*(Relief_Discharge_Size/Wind)*IF(AE495&lt;AE496,AE495,AE496)*(IF(OR(Relief_Discharge_Location="Outdoors-Upwards",Relief_Discharge_Location="Vent Header to Blow-down Tank",Relief_Discharge_Location="Scrubber or Containment",Relief_Discharge_Location="Flare or Incinerator"),1,0)+0.018*Relief_Discharge_Size*(1-12.2*AE488/(AE430+273)/Air_Dens)))</f>
        <v>1.2</v>
      </c>
      <c r="AF499" s="81"/>
      <c r="AG499" s="3038">
        <f>IF(Relief_Discharge_Location="Outdoors to Ground",0,Relief_Elevation+0.015*(Relief_Discharge_Size/Wind)*IF(AG495&lt;AG496,AG495,AG496)*(IF(OR(Relief_Discharge_Location="Outdoors-Upwards",Relief_Discharge_Location="Vent Header to Blow-down Tank",Relief_Discharge_Location="Scrubber or Containment",Relief_Discharge_Location="Flare or Incinerator"),1,0)+0.018*Relief_Discharge_Size*(1-12.2*AG488/(AG430+273)/Air_Dens)))</f>
        <v>1.2</v>
      </c>
      <c r="AH499" s="81"/>
      <c r="AI499" s="3038">
        <f>IF(Relief_Discharge_Location="Outdoors to Ground",0,Relief_Elevation+0.015*(Relief_Discharge_Size/Wind)*IF(AI495&lt;AI496,AI495,AI496)*(IF(OR(Relief_Discharge_Location="Outdoors-Upwards",Relief_Discharge_Location="Vent Header to Blow-down Tank",Relief_Discharge_Location="Scrubber or Containment",Relief_Discharge_Location="Flare or Incinerator"),1,0)+0.018*Relief_Discharge_Size*(1-12.2*AI488/(AI430+273)/Air_Dens)))</f>
        <v>1.2</v>
      </c>
      <c r="AJ499" s="81"/>
      <c r="AK499" s="81"/>
      <c r="AL499" s="81"/>
      <c r="AM499" s="81"/>
      <c r="AN499" s="81"/>
      <c r="AO499" s="81"/>
      <c r="AP499" s="81"/>
      <c r="AQ499" s="85" t="s">
        <v>1068</v>
      </c>
      <c r="AR499" s="81"/>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26"/>
      <c r="BS499" s="26"/>
      <c r="BT499" s="26"/>
      <c r="BU499" s="26"/>
      <c r="BV499" s="26"/>
      <c r="BW499" s="26"/>
      <c r="BX499" s="26"/>
      <c r="BY499" s="26"/>
      <c r="BZ499" s="26"/>
      <c r="CA499" s="26"/>
      <c r="CB499" s="26"/>
      <c r="CD499" s="26"/>
      <c r="CE499" s="26"/>
      <c r="CF499" s="26"/>
    </row>
    <row r="500" spans="1:84" ht="15" customHeight="1" x14ac:dyDescent="0.25">
      <c r="A500" s="2"/>
      <c r="B500" s="512" t="s">
        <v>5106</v>
      </c>
      <c r="C500" s="83"/>
      <c r="D500" s="2981">
        <f>IF(D464&gt;0,LN(IF(D491&gt;=5000,D475*D489*5000^D490,NBPlume_A*D464/(D474*Wind)/(5000-D491+D492)^(1/NBPlume_B))),0)</f>
        <v>-20.864036983036794</v>
      </c>
      <c r="E500" s="235"/>
      <c r="F500" s="2981">
        <f>IF(F464&gt;0,LN(IF(F491&gt;=5000,F475*F489*5000^F490,NBPlume_A*F464/(F474*Wind)/(5000-F491+F492)^(1/NBPlume_B))),0)</f>
        <v>-20.864036983036794</v>
      </c>
      <c r="G500" s="238"/>
      <c r="H500" s="2981">
        <f>IF(H464&gt;0,LN(IF(H491&gt;=5000,H475*H489*5000^H490,NBPlume_A*H464/(H474*Wind)/(5000-H491+H492)^(1/NBPlume_B))),0)</f>
        <v>0</v>
      </c>
      <c r="I500" s="238"/>
      <c r="J500" s="2981">
        <f>IF(J464&gt;0,LN(IF(J491&gt;=5000,J475*J489*5000^J490,NBPlume_A*J464/(J474*Wind)/(5000-J491+J492)^(1/NBPlume_B))),0)</f>
        <v>-20.864036983036794</v>
      </c>
      <c r="K500" s="238"/>
      <c r="L500" s="2981">
        <f>IF(L464&gt;0,LN(IF(L491&gt;=5000,L475*L489*5000^L490,NBPlume_A*L464/(L474*Wind)/(5000-L491+L492)^(1/NBPlume_B))),0)</f>
        <v>0</v>
      </c>
      <c r="M500" s="238"/>
      <c r="N500" s="2981">
        <f>IF(N464&gt;0,LN(IF(N491&gt;=5000,N475*N489*5000^N490,NBPlume_A*N464/(N474*Wind)/(5000-N491+N492)^(1/NBPlume_B))),0)</f>
        <v>0</v>
      </c>
      <c r="O500" s="238"/>
      <c r="P500" s="2981">
        <f>IF(P464&gt;0,LN(IF(P491&gt;=5000,P475*P489*5000^P490,NBPlume_A*P464/(P474*Wind)/(5000-P491+P492)^(1/NBPlume_B))),0)</f>
        <v>-23.271982591688666</v>
      </c>
      <c r="Q500" s="238"/>
      <c r="R500" s="2981">
        <f>IF(R464&gt;0,LN(IF(R491&gt;=5000,R475*R489*5000^R490,NBPlume_A*R464/(R474*Wind)/(5000-R491+R492)^(1/NBPlume_B))),0)</f>
        <v>-20.864036983036794</v>
      </c>
      <c r="S500" s="238"/>
      <c r="T500" s="2981">
        <f>IF(T464&gt;0,LN(IF(T491&gt;=5000,T475*T489*5000^T490,NBPlume_A*T464/(T474*Wind)/(5000-T491+T492)^(1/NBPlume_B))),0)</f>
        <v>-19.031455519288485</v>
      </c>
      <c r="U500" s="238"/>
      <c r="V500" s="2981">
        <f>IF(V464&gt;0,LN(IF(V491&gt;=5000,V475*V489*5000^V490,NBPlume_A*V464/(V474*Wind)/(5000-V491+V492)^(1/NBPlume_B))),0)</f>
        <v>-17.644562045502752</v>
      </c>
      <c r="W500" s="238"/>
      <c r="X500" s="2981">
        <f>IF(X464&gt;0,LN(IF(X491&gt;=5000,X475*X489*5000^X490,NBPlume_A*X464/(X474*Wind)/(5000-X491+X492)^(1/NBPlume_B))),0)</f>
        <v>-15.443013317108647</v>
      </c>
      <c r="Y500" s="83"/>
      <c r="Z500" s="85"/>
      <c r="AA500" s="83"/>
      <c r="AB500" s="81"/>
      <c r="AC500" s="3059" t="s">
        <v>5153</v>
      </c>
      <c r="AD500" s="81"/>
      <c r="AE500" s="3058">
        <f>IF(AE499&gt;1.2,((AE499-1.2)/(2^0.5*Plume_sZ_A))^(1/Plume_sZ_B),0)</f>
        <v>0</v>
      </c>
      <c r="AF500" s="81"/>
      <c r="AG500" s="3058">
        <f>IF(AG499&gt;1.2,((AG499-1.2)/(2^0.5*Plume_sZ_A))^(1/Plume_sZ_B),0)</f>
        <v>0</v>
      </c>
      <c r="AH500" s="81"/>
      <c r="AI500" s="3058">
        <f>IF(AI499&gt;1.2,((AI499-1.2)/(2^0.5*Plume_sZ_A))^(1/Plume_sZ_B),0)</f>
        <v>0</v>
      </c>
      <c r="AJ500" s="81"/>
      <c r="AK500" s="81"/>
      <c r="AL500" s="81"/>
      <c r="AM500" s="81"/>
      <c r="AN500" s="81"/>
      <c r="AO500" s="81"/>
      <c r="AP500" s="81"/>
      <c r="AQ500" s="85"/>
      <c r="AR500" s="81"/>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26"/>
      <c r="BS500" s="26"/>
      <c r="BT500" s="26"/>
      <c r="BU500" s="26"/>
      <c r="BV500" s="26"/>
      <c r="BW500" s="26"/>
      <c r="BX500" s="26"/>
      <c r="BY500" s="26"/>
      <c r="BZ500" s="26"/>
      <c r="CA500" s="26"/>
      <c r="CB500" s="26"/>
      <c r="CD500" s="26"/>
      <c r="CE500" s="26"/>
      <c r="CF500" s="26"/>
    </row>
    <row r="501" spans="1:84" ht="15" customHeight="1" x14ac:dyDescent="0.25">
      <c r="A501" s="2"/>
      <c r="B501" s="512" t="s">
        <v>5107</v>
      </c>
      <c r="C501" s="83"/>
      <c r="D501" s="2981">
        <f>IF(D464&gt;0,LN(IF(D491&gt;=5000,D475*D489*5000^D490,NBPlume_A*D464/(D474*Wind)/(5000-D491+D492)^(1/NBPlume_B))),0)</f>
        <v>-20.864036983036794</v>
      </c>
      <c r="E501" s="235"/>
      <c r="F501" s="2981">
        <f>IF(F464&gt;0,LN(IF(F491&gt;=5000,F475*F489*5000^F490,NBPlume_A*F464/(F474*Wind)/(5000-F491+F492)^(1/NBPlume_B))),0)</f>
        <v>-20.864036983036794</v>
      </c>
      <c r="G501" s="238"/>
      <c r="H501" s="2981">
        <f>IF(H464&gt;0,LN(IF(H491&gt;=5000,H475*H489*5000^H490,NBPlume_A*H464/(H474*Wind)/(5000-H491+H492)^(1/NBPlume_B))),0)</f>
        <v>0</v>
      </c>
      <c r="I501" s="238"/>
      <c r="J501" s="2981">
        <f>IF(J464&gt;0,LN(IF(J491&gt;=5000,J475*J489*5000^J490,NBPlume_A*J464/(J474*Wind)/(5000-J491+J492)^(1/NBPlume_B))),0)</f>
        <v>-20.864036983036794</v>
      </c>
      <c r="K501" s="238"/>
      <c r="L501" s="2981">
        <f>IF(L464&gt;0,LN(IF(L491&gt;=5000,L475*L489*5000^L490,NBPlume_A*L464/(L474*Wind)/(5000-L491+L492)^(1/NBPlume_B))),0)</f>
        <v>0</v>
      </c>
      <c r="M501" s="238"/>
      <c r="N501" s="2981">
        <f>IF(N464&gt;0,LN(IF(N491&gt;=5000,N475*N489*5000^N490,NBPlume_A*N464/(N474*Wind)/(5000-N491+N492)^(1/NBPlume_B))),0)</f>
        <v>0</v>
      </c>
      <c r="O501" s="238"/>
      <c r="P501" s="2981">
        <f>IF(P464&gt;0,LN(IF(P491&gt;=5000,P475*P489*5000^P490,NBPlume_A*P464/(P474*Wind)/(5000-P491+P492)^(1/NBPlume_B))),0)</f>
        <v>-23.271982591688666</v>
      </c>
      <c r="Q501" s="238"/>
      <c r="R501" s="2981">
        <f>IF(R464&gt;0,LN(IF(R491&gt;=5000,R475*R489*5000^R490,NBPlume_A*R464/(R474*Wind)/(5000-R491+R492)^(1/NBPlume_B))),0)</f>
        <v>-20.864036983036794</v>
      </c>
      <c r="S501" s="238"/>
      <c r="T501" s="2981">
        <f>IF(T464&gt;0,LN(IF(T491&gt;=5000,T475*T489*5000^T490,NBPlume_A*T464/(T474*Wind)/(5000-T491+T492)^(1/NBPlume_B))),0)</f>
        <v>-19.031455519288485</v>
      </c>
      <c r="U501" s="238"/>
      <c r="V501" s="2981">
        <f>IF(V464&gt;0,LN(IF(V491&gt;=5000,V475*V489*5000^V490,NBPlume_A*V464/(V474*Wind)/(5000-V491+V492)^(1/NBPlume_B))),0)</f>
        <v>-17.644562045502752</v>
      </c>
      <c r="W501" s="238"/>
      <c r="X501" s="2981">
        <f>IF(X464&gt;0,LN(IF(X491&gt;=5000,X475*X489*5000^X490,NBPlume_A*X464/(X474*Wind)/(5000-X491+X492)^(1/NBPlume_B))),0)</f>
        <v>-15.443013317108647</v>
      </c>
      <c r="Y501" s="83"/>
      <c r="Z501" s="85"/>
      <c r="AA501" s="83"/>
      <c r="AB501" s="81"/>
      <c r="AC501" s="23" t="s">
        <v>2267</v>
      </c>
      <c r="AD501" s="81"/>
      <c r="AE501" s="1194">
        <f>IF(AND(AE478&gt;0,AE499-1.2&gt;0),AvgTime_Correction*MIN(5.73*1000000*AE478*(Plume_sZ_A*AE500^Plume_sZ_B/(Plume_sY_A*AE500^Plume_sY_B))/(Wind*AE488*(AE499-1.2)^2),AE489*1000000),AE489*1000000)</f>
        <v>999000</v>
      </c>
      <c r="AF501" s="81"/>
      <c r="AG501" s="1194">
        <f>IF(AND(AG478&gt;0,AG499-1.2&gt;0),AvgTime_Correction*MIN(5.73*1000000*AG478*(Plume_sZ_A*AG500^Plume_sZ_B/(Plume_sY_A*AG500^Plume_sY_B))/(Wind*AG488*(AG499-1.2)^2),AG489*1000000),AG489*1000000)</f>
        <v>999000</v>
      </c>
      <c r="AH501" s="81"/>
      <c r="AI501" s="1194">
        <f>IF(AND(AI478&gt;0,AI499-1.2&gt;0),AvgTime_Correction*MIN(5.73*1000000*AI478*(Plume_sZ_A*AI500^Plume_sZ_B/(Plume_sY_A*AI500^Plume_sY_B))/(Wind*AI488*(AI499-1.2)^2),AI489*1000000),AI489*1000000)</f>
        <v>999000</v>
      </c>
      <c r="AJ501" s="81"/>
      <c r="AK501" s="81"/>
      <c r="AL501" s="81"/>
      <c r="AM501" s="81"/>
      <c r="AN501" s="81"/>
      <c r="AO501" s="81"/>
      <c r="AP501" s="81"/>
      <c r="AQ501" s="85" t="s">
        <v>1506</v>
      </c>
      <c r="AR501" s="81"/>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26"/>
      <c r="BS501" s="26"/>
      <c r="BT501" s="26"/>
      <c r="BU501" s="26"/>
      <c r="BV501" s="26"/>
      <c r="BW501" s="26"/>
      <c r="BX501" s="26"/>
      <c r="BY501" s="26"/>
      <c r="BZ501" s="26"/>
      <c r="CA501" s="26"/>
      <c r="CB501" s="26"/>
      <c r="CD501" s="26"/>
      <c r="CE501" s="26"/>
      <c r="CF501" s="26"/>
    </row>
    <row r="502" spans="1:84" ht="15" customHeight="1" thickBot="1" x14ac:dyDescent="0.3">
      <c r="A502" s="2"/>
      <c r="B502" s="615" t="s">
        <v>5108</v>
      </c>
      <c r="C502" s="83"/>
      <c r="D502" s="3001">
        <f>IF(D464&gt;0,LN(IF(D491&gt;=10000,D475*D489*10000^D490,NBPlume_A*D464/(D474*Wind)/(10000-D491+D492)^(1/NBPlume_B))),0)</f>
        <v>-21.959209528321505</v>
      </c>
      <c r="E502" s="235"/>
      <c r="F502" s="3001">
        <f>IF(F464&gt;0,LN(IF(F491&gt;=10000,F475*F489*10000^F490,NBPlume_A*F464/(F474*Wind)/(10000-F491+F492)^(1/NBPlume_B))),0)</f>
        <v>-21.959209528321505</v>
      </c>
      <c r="G502" s="238"/>
      <c r="H502" s="3001">
        <f>IF(H464&gt;0,LN(IF(H491&gt;=10000,H475*H489*10000^H490,NBPlume_A*H464/(H474*Wind)/(10000-H491+H492)^(1/NBPlume_B))),0)</f>
        <v>0</v>
      </c>
      <c r="I502" s="238"/>
      <c r="J502" s="3001">
        <f>IF(J464&gt;0,LN(IF(J491&gt;=10000,J475*J489*10000^J490,NBPlume_A*J464/(J474*Wind)/(10000-J491+J492)^(1/NBPlume_B))),0)</f>
        <v>-21.959209528321505</v>
      </c>
      <c r="K502" s="238"/>
      <c r="L502" s="3001">
        <f>IF(L464&gt;0,LN(IF(L491&gt;=10000,L475*L489*10000^L490,NBPlume_A*L464/(L474*Wind)/(10000-L491+L492)^(1/NBPlume_B))),0)</f>
        <v>0</v>
      </c>
      <c r="M502" s="238"/>
      <c r="N502" s="3001">
        <f>IF(N464&gt;0,LN(IF(N491&gt;=10000,N475*N489*10000^N490,NBPlume_A*N464/(N474*Wind)/(10000-N491+N492)^(1/NBPlume_B))),0)</f>
        <v>0</v>
      </c>
      <c r="O502" s="238"/>
      <c r="P502" s="3001">
        <f>IF(P464&gt;0,LN(IF(P491&gt;=10000,P475*P489*10000^P490,NBPlume_A*P464/(P474*Wind)/(10000-P491+P492)^(1/NBPlume_B))),0)</f>
        <v>-24.367155136973381</v>
      </c>
      <c r="Q502" s="238"/>
      <c r="R502" s="3001">
        <f>IF(R464&gt;0,LN(IF(R491&gt;=10000,R475*R489*10000^R490,NBPlume_A*R464/(R474*Wind)/(10000-R491+R492)^(1/NBPlume_B))),0)</f>
        <v>-21.959209528321505</v>
      </c>
      <c r="S502" s="238"/>
      <c r="T502" s="3001">
        <f>IF(T464&gt;0,LN(IF(T491&gt;=10000,T475*T489*10000^T490,NBPlume_A*T464/(T474*Wind)/(10000-T491+T492)^(1/NBPlume_B))),0)</f>
        <v>-20.126628064573197</v>
      </c>
      <c r="U502" s="238"/>
      <c r="V502" s="3001">
        <f>IF(V464&gt;0,LN(IF(V491&gt;=10000,V475*V489*10000^V490,NBPlume_A*V464/(V474*Wind)/(10000-V491+V492)^(1/NBPlume_B))),0)</f>
        <v>-18.74003417551722</v>
      </c>
      <c r="W502" s="238"/>
      <c r="X502" s="3001">
        <f>IF(X464&gt;0,LN(IF(X491&gt;=10000,X475*X489*10000^X490,NBPlume_A*X464/(X474*Wind)/(10000-X491+X492)^(1/NBPlume_B))),0)</f>
        <v>-16.540649411859327</v>
      </c>
      <c r="Y502" s="83"/>
      <c r="Z502" s="85"/>
      <c r="AA502" s="83"/>
      <c r="AB502" s="81"/>
      <c r="AC502" s="23" t="s">
        <v>3092</v>
      </c>
      <c r="AD502" s="81"/>
      <c r="AE502" s="1194">
        <f>IF(AND(AE478&gt;0,AE499-WorkArea_Elevation&gt;0),AvgTime_Correction*MIN(5.73*1000000*AE478*(Plume_sZ_A*AE500^Plume_sZ_B/(Plume_sY_A*AE500^Plume_sY_B))/(Wind*AE488*(AE499-WorkArea_Elevation)^2),AE489*1000000),AE489*1000000)</f>
        <v>999000</v>
      </c>
      <c r="AF502" s="81"/>
      <c r="AG502" s="1194">
        <f>IF(AND(AG478&gt;0,AG499-WorkArea_Elevation&gt;0),AvgTime_Correction*MIN(5.73*1000000*AG478*(Plume_sZ_A*AG500^Plume_sZ_B/(Plume_sY_A*AG500^Plume_sY_B))/(Wind*AG488*(AG499-WorkArea_Elevation)^2),AG489*1000000),AG489*1000000)</f>
        <v>999000</v>
      </c>
      <c r="AH502" s="81"/>
      <c r="AI502" s="1194">
        <f>IF(AND(AI478&gt;0,AI499-WorkArea_Elevation&gt;0),AvgTime_Correction*MIN(5.73*1000000*AI478*(Plume_sZ_A*AI500^Plume_sZ_B/(Plume_sY_A*AI500^Plume_sY_B))/(Wind*AI488*(AI499-WorkArea_Elevation)^2),AI489*1000000),AI489*1000000)</f>
        <v>999000</v>
      </c>
      <c r="AJ502" s="81"/>
      <c r="AK502" s="81"/>
      <c r="AL502" s="81"/>
      <c r="AM502" s="81"/>
      <c r="AN502" s="81"/>
      <c r="AO502" s="81"/>
      <c r="AP502" s="81"/>
      <c r="AQ502" s="85" t="s">
        <v>1506</v>
      </c>
      <c r="AR502" s="81"/>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26"/>
      <c r="BS502" s="26"/>
      <c r="BT502" s="26"/>
      <c r="BU502" s="26"/>
      <c r="BV502" s="26"/>
      <c r="BW502" s="26"/>
      <c r="BX502" s="26"/>
      <c r="BY502" s="26"/>
      <c r="BZ502" s="26"/>
      <c r="CA502" s="26"/>
      <c r="CB502" s="26"/>
      <c r="CD502" s="26"/>
      <c r="CE502" s="26"/>
      <c r="CF502" s="26"/>
    </row>
    <row r="503" spans="1:84" ht="15" customHeight="1" x14ac:dyDescent="0.25">
      <c r="A503" s="2"/>
      <c r="B503" s="2975" t="s">
        <v>5075</v>
      </c>
      <c r="C503" s="83"/>
      <c r="D503" s="2980">
        <f>IF(D464&gt;0,(EXP(INDEX(LINEST(D493:D502,$CJ$286:$CJ$295),2))*(D474*Wind/D464))^D504,0)</f>
        <v>6.983617118586527</v>
      </c>
      <c r="E503" s="235"/>
      <c r="F503" s="2980">
        <f>IF(F464&gt;0,(EXP(INDEX(LINEST(F493:F502,$CJ$286:$CJ$295),2))*(F474*Wind/F464))^F504,0)</f>
        <v>6.983617118586527</v>
      </c>
      <c r="G503" s="238"/>
      <c r="H503" s="2980">
        <f>IF(H464&gt;0,(EXP(INDEX(LINEST(H493:H502,$CJ$286:$CJ$295),2))*(H474*Wind/H464))^H504,0)</f>
        <v>0</v>
      </c>
      <c r="I503" s="238"/>
      <c r="J503" s="2980">
        <f>IF(J464&gt;0,(EXP(INDEX(LINEST(J493:J502,$CJ$286:$CJ$295),2))*(J474*Wind/J464))^J504,0)</f>
        <v>6.983617118586527</v>
      </c>
      <c r="K503" s="238"/>
      <c r="L503" s="2980">
        <f>IF(L464&gt;0,(EXP(INDEX(LINEST(L493:L502,$CJ$286:$CJ$295),2))*(L474*Wind/L464))^L504,0)</f>
        <v>0</v>
      </c>
      <c r="M503" s="238"/>
      <c r="N503" s="2980">
        <f>IF(N464&gt;0,(EXP(INDEX(LINEST(N493:N502,$CJ$286:$CJ$295),2))*(N474*Wind/N464))^N504,0)</f>
        <v>0</v>
      </c>
      <c r="O503" s="238"/>
      <c r="P503" s="2980">
        <f>IF(P464&gt;0,(EXP(INDEX(LINEST(P493:P502,$CJ$286:$CJ$295),2))*(P474*Wind/P464))^P504,0)</f>
        <v>6.983617118586527</v>
      </c>
      <c r="Q503" s="238"/>
      <c r="R503" s="2980">
        <f>IF(R464&gt;0,(EXP(INDEX(LINEST(R493:R502,$CJ$286:$CJ$295),2))*(R474*Wind/R464))^R504,0)</f>
        <v>6.983617118586527</v>
      </c>
      <c r="S503" s="238"/>
      <c r="T503" s="2980">
        <f>IF(T464&gt;0,(EXP(INDEX(LINEST(T493:T502,$CJ$286:$CJ$295),2))*(T474*Wind/T464))^T504,0)</f>
        <v>6.983617118586519</v>
      </c>
      <c r="U503" s="238"/>
      <c r="V503" s="2980">
        <f>IF(V464&gt;0,(EXP(INDEX(LINEST(V493:V502,$CJ$286:$CJ$295),2))*(V474*Wind/V464))^V504,0)</f>
        <v>7.7138816478517862</v>
      </c>
      <c r="W503" s="238"/>
      <c r="X503" s="2980">
        <f>IF(X464&gt;0,(EXP(INDEX(LINEST(X493:X502,$CJ$286:$CJ$295),2))*(X474*Wind/X464))^X504,0)</f>
        <v>15.595279861581048</v>
      </c>
      <c r="Y503" s="83"/>
      <c r="Z503" s="85"/>
      <c r="AA503" s="83"/>
      <c r="AB503" s="81"/>
      <c r="AC503" s="23" t="s">
        <v>2684</v>
      </c>
      <c r="AD503" s="81"/>
      <c r="AE503" s="23">
        <f>IF(AND(AE499&gt;1.2,IF(Public_Relief&gt;0,Public_Relief,Public)&gt;0),EXP(-0.5*((AE499-1.2)/(Plume_sZ_A*(IF(Public_Relief&gt;0,Public_Relief,Public))^Plume_sZ_B))^2),1)</f>
        <v>1</v>
      </c>
      <c r="AF503" s="81"/>
      <c r="AG503" s="23">
        <f>IF(AND(AG499&gt;1.2,IF(Public_Relief&gt;0,Public_Relief,Public)+AG498&gt;0),EXP(-0.5*((AG499-1.2)/(Plume_sZ_A*(IF(Public_Relief&gt;0,Public_Relief,Public)+AG498)^Plume_sZ_B))^2),1)</f>
        <v>1</v>
      </c>
      <c r="AH503" s="81"/>
      <c r="AI503" s="23">
        <f>IF(AND(AI499&gt;1.2,IF(Public_Relief&gt;0,Public_Relief,Public)+AI498&gt;0),EXP(-0.5*((AI499-1.2)/(Plume_sZ_A*(IF(Public_Relief&gt;0,Public_Relief,Public)+AI498)^Plume_sZ_B))^2),1)</f>
        <v>1</v>
      </c>
      <c r="AJ503" s="81"/>
      <c r="AK503" s="81"/>
      <c r="AL503" s="81"/>
      <c r="AM503" s="81"/>
      <c r="AN503" s="81"/>
      <c r="AO503" s="81"/>
      <c r="AP503" s="81"/>
      <c r="AQ503" s="85"/>
      <c r="AR503" s="81"/>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26"/>
      <c r="BS503" s="26"/>
      <c r="BT503" s="26"/>
      <c r="BU503" s="26"/>
      <c r="BV503" s="26"/>
      <c r="BW503" s="26"/>
      <c r="BX503" s="26"/>
      <c r="BY503" s="26"/>
      <c r="BZ503" s="26"/>
      <c r="CA503" s="26"/>
      <c r="CB503" s="26"/>
      <c r="CD503" s="26"/>
      <c r="CE503" s="26"/>
      <c r="CF503" s="26"/>
    </row>
    <row r="504" spans="1:84" ht="15" customHeight="1" x14ac:dyDescent="0.25">
      <c r="A504" s="2"/>
      <c r="B504" s="2977" t="s">
        <v>5076</v>
      </c>
      <c r="C504" s="83"/>
      <c r="D504" s="2089">
        <f>IF(D464&gt;0,-1/INDEX(LINEST(D493:D502,$CJ$286:$CJ$295),1),0)</f>
        <v>0.66296616480127812</v>
      </c>
      <c r="E504" s="235"/>
      <c r="F504" s="2089">
        <f>IF(F464&gt;0,-1/INDEX(LINEST(F493:F502,$CJ$286:$CJ$295),1),0)</f>
        <v>0.66296616480127812</v>
      </c>
      <c r="G504" s="238"/>
      <c r="H504" s="2089">
        <f>IF(H464&gt;0,-1/INDEX(LINEST(H493:H502,$CJ$286:$CJ$295),1),0)</f>
        <v>0</v>
      </c>
      <c r="I504" s="238"/>
      <c r="J504" s="2089">
        <f>IF(J464&gt;0,-1/INDEX(LINEST(J493:J502,$CJ$286:$CJ$295),1),0)</f>
        <v>0.66296616480127812</v>
      </c>
      <c r="K504" s="238"/>
      <c r="L504" s="2089">
        <f>IF(L464&gt;0,-1/INDEX(LINEST(L493:L502,$CJ$286:$CJ$295),1),0)</f>
        <v>0</v>
      </c>
      <c r="M504" s="238"/>
      <c r="N504" s="2089">
        <f>IF(N464&gt;0,-1/INDEX(LINEST(N493:N502,$CJ$286:$CJ$295),1),0)</f>
        <v>0</v>
      </c>
      <c r="O504" s="238"/>
      <c r="P504" s="2089">
        <f>IF(P464&gt;0,-1/INDEX(LINEST(P493:P502,$CJ$286:$CJ$295),1),0)</f>
        <v>0.66296616480127812</v>
      </c>
      <c r="Q504" s="238"/>
      <c r="R504" s="2089">
        <f>IF(R464&gt;0,-1/INDEX(LINEST(R493:R502,$CJ$286:$CJ$295),1),0)</f>
        <v>0.66296616480127812</v>
      </c>
      <c r="S504" s="238"/>
      <c r="T504" s="2089">
        <f>IF(T464&gt;0,-1/INDEX(LINEST(T493:T502,$CJ$286:$CJ$295),1),0)</f>
        <v>0.66296616480127812</v>
      </c>
      <c r="U504" s="238"/>
      <c r="V504" s="2089">
        <f>IF(V464&gt;0,-1/INDEX(LINEST(V493:V502,$CJ$286:$CJ$295),1),0)</f>
        <v>0.65077013594089528</v>
      </c>
      <c r="W504" s="238"/>
      <c r="X504" s="2089">
        <f>IF(X464&gt;0,-1/INDEX(LINEST(X493:X502,$CJ$286:$CJ$295),1),0)</f>
        <v>0.56426886871495674</v>
      </c>
      <c r="Y504" s="83"/>
      <c r="Z504" s="85"/>
      <c r="AA504" s="83"/>
      <c r="AB504" s="81"/>
      <c r="AC504" s="23" t="s">
        <v>2685</v>
      </c>
      <c r="AD504" s="81"/>
      <c r="AE504" s="2122">
        <f>IF(AND(AE499&gt;WorkArea_Elevation+1.2,WorkArea_Distance&gt;0,WorkArea_Distance+AG498&gt;0),EXP(-0.5*((AE499-WorkArea_Elevation-1.2)/(Plume_sZ_A*(WorkArea_Distance+AG498)^Plume_sZ_B))^2),1)</f>
        <v>1</v>
      </c>
      <c r="AF504" s="81"/>
      <c r="AG504" s="2122">
        <f>IF(AND(AG499&gt;WorkArea_Elevation+1.2,WorkArea_Distance&gt;0,WorkArea_Distance+AI498&gt;0),EXP(-0.5*((AG499-WorkArea_Elevation-1.2)/(Plume_sZ_A*(WorkArea_Distance+AI498)^Plume_sZ_B))^2),1)</f>
        <v>1</v>
      </c>
      <c r="AH504" s="81"/>
      <c r="AI504" s="2122">
        <f>IF(AND(AI499&gt;WorkArea_Elevation+1.2,WorkArea_Distance&gt;0,WorkArea_Distance+AK498&gt;0),EXP(-0.5*((AI499-WorkArea_Elevation-1.2)/(Plume_sZ_A*(WorkArea_Distance+AK498)^Plume_sZ_B))^2),1)</f>
        <v>1</v>
      </c>
      <c r="AJ504" s="81"/>
      <c r="AK504" s="81"/>
      <c r="AL504" s="81"/>
      <c r="AM504" s="81"/>
      <c r="AN504" s="81"/>
      <c r="AO504" s="81"/>
      <c r="AP504" s="81"/>
      <c r="AQ504" s="85"/>
      <c r="AR504" s="81"/>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26"/>
      <c r="BS504" s="26"/>
      <c r="BT504" s="26"/>
      <c r="BU504" s="26"/>
      <c r="BV504" s="26"/>
      <c r="BW504" s="26"/>
      <c r="BX504" s="26"/>
      <c r="BY504" s="26"/>
      <c r="BZ504" s="26"/>
      <c r="CA504" s="26"/>
      <c r="CB504" s="26"/>
      <c r="CD504" s="26"/>
      <c r="CE504" s="26"/>
      <c r="CF504" s="26"/>
    </row>
    <row r="505" spans="1:84" ht="15" customHeight="1" thickBot="1" x14ac:dyDescent="0.3">
      <c r="A505" s="2"/>
      <c r="B505" s="2976" t="s">
        <v>5121</v>
      </c>
      <c r="C505" s="83"/>
      <c r="D505" s="2105">
        <f>IF(AND(D464&gt;0,D476&gt;0),D503*(D464/(Wind*D474*D476))^D504,0)</f>
        <v>3.1441067527972666E-3</v>
      </c>
      <c r="E505" s="235"/>
      <c r="F505" s="2105">
        <f>IF(AND(F464&gt;0,F476&gt;0),F503*(F464/(Wind*F474*F476))^F504,0)</f>
        <v>3.1441067527972666E-3</v>
      </c>
      <c r="G505" s="238"/>
      <c r="H505" s="2105">
        <f>IF(AND(H464&gt;0,H476&gt;0),H503*(H464/(Wind*H474*H476))^H504,0)</f>
        <v>0</v>
      </c>
      <c r="I505" s="238"/>
      <c r="J505" s="2105">
        <f>IF(AND(J464&gt;0,J476&gt;0),J503*(J464/(Wind*J474*J476))^J504,0)</f>
        <v>3.1441067527972666E-3</v>
      </c>
      <c r="K505" s="238"/>
      <c r="L505" s="2105">
        <f>IF(AND(L464&gt;0,L476&gt;0),L503*(L464/(Wind*L474*L476))^L504,0)</f>
        <v>0</v>
      </c>
      <c r="M505" s="238"/>
      <c r="N505" s="2105">
        <f>IF(AND(N464&gt;0,N476&gt;0),N503*(N464/(Wind*N474*N476))^N504,0)</f>
        <v>0</v>
      </c>
      <c r="O505" s="238"/>
      <c r="P505" s="2105">
        <f>IF(AND(P464&gt;0,P476&gt;0),P503*(P464/(Wind*P474*P476))^P504,0)</f>
        <v>6.3708216978549054E-4</v>
      </c>
      <c r="Q505" s="238"/>
      <c r="R505" s="2105">
        <f>IF(AND(R464&gt;0,R476&gt;0),R503*(R464/(Wind*R474*R476))^R504,0)</f>
        <v>3.1441067527972666E-3</v>
      </c>
      <c r="S505" s="238"/>
      <c r="T505" s="2105">
        <f>IF(AND(T464&gt;0,T476&gt;0),T503*(T464/(Wind*T474*T476))^T504,0)</f>
        <v>1.0595923303673371E-2</v>
      </c>
      <c r="U505" s="238"/>
      <c r="V505" s="2105">
        <f>IF(AND(V464&gt;0,V476&gt;0),V503*(V464/(Wind*V474*V476))^V504,0)</f>
        <v>3.2508109060011718E-2</v>
      </c>
      <c r="W505" s="238"/>
      <c r="X505" s="2105">
        <f>IF(AND(X464&gt;0,X476&gt;0),X503*(X464/(Wind*X474*X476))^X504,0)</f>
        <v>0.46977177953303234</v>
      </c>
      <c r="Y505" s="83"/>
      <c r="Z505" s="85"/>
      <c r="AA505" s="83"/>
      <c r="AB505" s="81"/>
      <c r="AC505" s="23" t="s">
        <v>3089</v>
      </c>
      <c r="AD505" s="81"/>
      <c r="AE505" s="2122">
        <f>IF(AND(AE499&gt;WorkArea_Elevation+1.2,WorkArea_Distance2&gt;0,WorkArea_Distance2+AG498&gt;0),EXP(-0.5*((AE499-WorkArea_Elevation-1.2)/(Plume_sZ_A*(WorkArea_Distance2+AG498)^Plume_sZ_B))^2),1)</f>
        <v>1</v>
      </c>
      <c r="AF505" s="81"/>
      <c r="AG505" s="2122">
        <f>IF(AND(AG499&gt;WorkArea_Elevation+1.2,WorkArea_Distance2&gt;0,WorkArea_Distance2+AI498&gt;0),EXP(-0.5*((AG499-WorkArea_Elevation-1.2)/(Plume_sZ_A*(WorkArea_Distance2+AI498)^Plume_sZ_B))^2),1)</f>
        <v>1</v>
      </c>
      <c r="AH505" s="81"/>
      <c r="AI505" s="2122">
        <f>IF(AND(AI499&gt;WorkArea_Elevation+1.2,WorkArea_Distance2&gt;0,WorkArea_Distance2+AK498&gt;0),EXP(-0.5*((AI499-WorkArea_Elevation-1.2)/(Plume_sZ_A*(WorkArea_Distance2+AK498)^Plume_sZ_B))^2),1)</f>
        <v>1</v>
      </c>
      <c r="AJ505" s="81"/>
      <c r="AK505" s="81"/>
      <c r="AL505" s="81"/>
      <c r="AM505" s="81"/>
      <c r="AN505" s="81"/>
      <c r="AO505" s="81"/>
      <c r="AP505" s="81"/>
      <c r="AQ505" s="85"/>
      <c r="AR505" s="81"/>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26"/>
      <c r="BS505" s="26"/>
      <c r="BT505" s="26"/>
      <c r="BU505" s="26"/>
      <c r="BV505" s="26"/>
      <c r="BW505" s="26"/>
      <c r="BX505" s="26"/>
      <c r="BY505" s="26"/>
      <c r="BZ505" s="26"/>
      <c r="CA505" s="26"/>
      <c r="CB505" s="26"/>
      <c r="CD505" s="26"/>
      <c r="CE505" s="26"/>
      <c r="CF505" s="26"/>
    </row>
    <row r="506" spans="1:84" ht="15" customHeight="1" x14ac:dyDescent="0.25">
      <c r="A506" s="2"/>
      <c r="B506" s="1691" t="s">
        <v>5060</v>
      </c>
      <c r="C506" s="83"/>
      <c r="D506" s="1288">
        <f>IF(D480&gt;0,(D480*D479^0.333/Wind^2)^0.5,0)</f>
        <v>0</v>
      </c>
      <c r="E506" s="235"/>
      <c r="F506" s="1288">
        <f>IF(F480&gt;0,(F480*F479^0.333/Wind^2)^0.5,0)</f>
        <v>0</v>
      </c>
      <c r="G506" s="238"/>
      <c r="H506" s="1288">
        <f>IF(H480&gt;0,(H480*H479^0.333/Wind^2)^0.5,0)</f>
        <v>0</v>
      </c>
      <c r="I506" s="238"/>
      <c r="J506" s="1288">
        <f>IF(J480&gt;0,(J480*J479^0.333/Wind^2)^0.5,0)</f>
        <v>0</v>
      </c>
      <c r="K506" s="238"/>
      <c r="L506" s="1288">
        <f>IF(L480&gt;0,(L480*L479^0.333/Wind^2)^0.5,0)</f>
        <v>0</v>
      </c>
      <c r="M506" s="238"/>
      <c r="N506" s="1288">
        <f>IF(N480&gt;0,(N480*N479^0.333/Wind^2)^0.5,0)</f>
        <v>0</v>
      </c>
      <c r="O506" s="238"/>
      <c r="P506" s="1288">
        <f>IF(P480&gt;0,(P480*P479^0.333/Wind^2)^0.5,0)</f>
        <v>0</v>
      </c>
      <c r="Q506" s="238"/>
      <c r="R506" s="1288">
        <f>IF(R480&gt;0,(R480*R479^0.333/Wind^2)^0.5,0)</f>
        <v>0</v>
      </c>
      <c r="S506" s="238"/>
      <c r="T506" s="1288">
        <f>IF(T480&gt;0,(T480*T479^0.333/Wind^2)^0.5,0)</f>
        <v>0</v>
      </c>
      <c r="U506" s="238"/>
      <c r="V506" s="1288">
        <f>IF(V480&gt;0,(V480*V479^0.333/Wind^2)^0.5,0)</f>
        <v>0</v>
      </c>
      <c r="W506" s="238"/>
      <c r="X506" s="1288">
        <f>IF(X480&gt;0,(X480*X479^0.333/Wind^2)^0.5,0)</f>
        <v>0</v>
      </c>
      <c r="Y506" s="83"/>
      <c r="Z506" s="85"/>
      <c r="AA506" s="83"/>
      <c r="AB506" s="81"/>
      <c r="AC506" s="23" t="s">
        <v>2686</v>
      </c>
      <c r="AD506" s="81"/>
      <c r="AE506" s="3031">
        <f>IF(AND(OccBldg_Elevation&gt;0,AE499&gt;OccBldg_Elevation,IF(Occ_Bldg_Relief&gt;0,Occ_Bldg_Relief,Occ_Bldg)&gt;0),EXP(-0.5*((AE499-OccBldg_Elevation)/(Plume_sZ_A*(IF(Occ_Bldg_Relief&gt;0,Occ_Bldg_Relief,Occ_Bldg))^Plume_sZ_B))^2),1)</f>
        <v>1</v>
      </c>
      <c r="AF506" s="81"/>
      <c r="AG506" s="3031">
        <f>IF(AND(OccBldg_Elevation&gt;0,AG499&gt;OccBldg_Elevation,IF(Occ_Bldg_Relief&gt;0,Occ_Bldg_Relief,Occ_Bldg)+AG498&gt;0),EXP(-0.5*((AG499-OccBldg_Elevation)/(Plume_sZ_A*(IF(Occ_Bldg_Relief&gt;0,Occ_Bldg_Relief,Occ_Bldg)+AG498)^Plume_sZ_B))^2),1)</f>
        <v>1</v>
      </c>
      <c r="AH506" s="81"/>
      <c r="AI506" s="3031">
        <f>IF(AND(OccBldg_Elevation&gt;0,AI499&gt;OccBldg_Elevation,IF(Occ_Bldg_Relief&gt;0,Occ_Bldg_Relief,Occ_Bldg)+AI498&gt;0),EXP(-0.5*((AI499-OccBldg_Elevation)/(Plume_sZ_A*(IF(Occ_Bldg_Relief&gt;0,Occ_Bldg_Relief,Occ_Bldg)+AI498)^Plume_sZ_B))^2),1)</f>
        <v>1</v>
      </c>
      <c r="AJ506" s="81"/>
      <c r="AK506" s="81"/>
      <c r="AL506" s="81"/>
      <c r="AM506" s="81"/>
      <c r="AN506" s="81"/>
      <c r="AO506" s="81"/>
      <c r="AP506" s="81"/>
      <c r="AQ506" s="85"/>
      <c r="AR506" s="81"/>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26"/>
      <c r="BS506" s="26"/>
      <c r="BT506" s="26"/>
      <c r="BU506" s="26"/>
      <c r="BV506" s="26"/>
      <c r="BW506" s="26"/>
      <c r="BX506" s="26"/>
      <c r="BY506" s="26"/>
      <c r="BZ506" s="26"/>
      <c r="CA506" s="26"/>
      <c r="CB506" s="26"/>
      <c r="CD506" s="26"/>
      <c r="CE506" s="26"/>
      <c r="CF506" s="26"/>
    </row>
    <row r="507" spans="1:84" ht="15" customHeight="1" thickBot="1" x14ac:dyDescent="0.3">
      <c r="A507" s="2"/>
      <c r="B507" s="1691" t="s">
        <v>5061</v>
      </c>
      <c r="C507" s="83"/>
      <c r="D507" s="3000">
        <f>IF(AND(D480&gt;0,D506&gt;0),D475*(0.2/D506)^3,1)</f>
        <v>1</v>
      </c>
      <c r="E507" s="235"/>
      <c r="F507" s="3000">
        <f>IF(AND(F480&gt;0,F506&gt;0),F475*(0.2/F506)^3,1)</f>
        <v>1</v>
      </c>
      <c r="G507" s="238"/>
      <c r="H507" s="3000">
        <f>IF(AND(H480&gt;0,H506&gt;0),H475*(0.2/H506)^3,1)</f>
        <v>1</v>
      </c>
      <c r="I507" s="238"/>
      <c r="J507" s="3000">
        <f>IF(AND(J480&gt;0,J506&gt;0),J475*(0.2/J506)^3,1)</f>
        <v>1</v>
      </c>
      <c r="K507" s="238"/>
      <c r="L507" s="3000">
        <f>IF(AND(L480&gt;0,L506&gt;0),L475*(0.2/L506)^3,1)</f>
        <v>1</v>
      </c>
      <c r="M507" s="238"/>
      <c r="N507" s="3000">
        <f>IF(AND(N480&gt;0,N506&gt;0),N475*(0.2/N506)^3,1)</f>
        <v>1</v>
      </c>
      <c r="O507" s="238"/>
      <c r="P507" s="3000">
        <f>IF(AND(P480&gt;0,P506&gt;0),P475*(0.2/P506)^3,1)</f>
        <v>1</v>
      </c>
      <c r="Q507" s="238"/>
      <c r="R507" s="3000">
        <f>IF(AND(R480&gt;0,R506&gt;0),R475*(0.2/R506)^3,1)</f>
        <v>1</v>
      </c>
      <c r="S507" s="238"/>
      <c r="T507" s="3000">
        <f>IF(AND(T480&gt;0,T506&gt;0),T475*(0.2/T506)^3,1)</f>
        <v>1</v>
      </c>
      <c r="U507" s="238"/>
      <c r="V507" s="3000">
        <f>IF(AND(V480&gt;0,V506&gt;0),V475*(0.2/V506)^3,1)</f>
        <v>1</v>
      </c>
      <c r="W507" s="238"/>
      <c r="X507" s="3000">
        <f>IF(AND(X480&gt;0,X506&gt;0),X475*(0.2/X506)^3,1)</f>
        <v>1</v>
      </c>
      <c r="Y507" s="83"/>
      <c r="Z507" s="85"/>
      <c r="AA507" s="83"/>
      <c r="AB507" s="81"/>
      <c r="AC507" s="23" t="s">
        <v>2932</v>
      </c>
      <c r="AD507" s="81"/>
      <c r="AE507" s="3031">
        <f>IF(AND(OccBldg2_Elevation&gt;0,AE499&gt;OccBldg2_Elevation,IF(Occ_Bldg2_Relief&gt;0,Occ_Bldg2_Relief,Occ_Bldg2)&gt;0),EXP(-0.5*((AE499-OccBldg2_Elevation)/(Plume_sZ_A*(IF(Occ_Bldg2_Relief&gt;0,Occ_Bldg2_Relief,Occ_Bldg2))^Plume_sZ_B))^2),1)</f>
        <v>1</v>
      </c>
      <c r="AF507" s="81"/>
      <c r="AG507" s="3031">
        <f>IF(AND(OccBldg2_Elevation&gt;0,AG499&gt;OccBldg2_Elevation,IF(Occ_Bldg2_Relief&gt;0,Occ_Bldg2_Relief,Occ_Bldg2)+AG498&gt;0),EXP(-0.5*((AG499-OccBldg2_Elevation)/(Plume_sZ_A*(IF(Occ_Bldg2_Relief&gt;0,Occ_Bldg2_Relief,Occ_Bldg2)+AG498)^Plume_sZ_B))^2),1)</f>
        <v>1</v>
      </c>
      <c r="AH507" s="81"/>
      <c r="AI507" s="3031">
        <f>IF(AND(OccBldg2_Elevation&gt;0,AI499&gt;OccBldg2_Elevation,IF(Occ_Bldg2_Relief&gt;0,Occ_Bldg2_Relief,Occ_Bldg2)+AI498&gt;0),EXP(-0.5*((AI499-OccBldg2_Elevation)/(Plume_sZ_A*(IF(Occ_Bldg2_Relief&gt;0,Occ_Bldg2_Relief,Occ_Bldg2)+AI498)^Plume_sZ_B))^2),1)</f>
        <v>1</v>
      </c>
      <c r="AJ507" s="81"/>
      <c r="AK507" s="81"/>
      <c r="AL507" s="81"/>
      <c r="AM507" s="81"/>
      <c r="AN507" s="81"/>
      <c r="AO507" s="81"/>
      <c r="AP507" s="81"/>
      <c r="AQ507" s="89"/>
      <c r="AR507" s="81"/>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26"/>
      <c r="BS507" s="26"/>
      <c r="BT507" s="26"/>
      <c r="BU507" s="26"/>
      <c r="BV507" s="26"/>
      <c r="BW507" s="26"/>
      <c r="BX507" s="26"/>
      <c r="BY507" s="26"/>
      <c r="BZ507" s="26"/>
      <c r="CA507" s="26"/>
      <c r="CB507" s="26"/>
      <c r="CD507" s="26"/>
      <c r="CE507" s="26"/>
      <c r="CF507" s="26"/>
    </row>
    <row r="508" spans="1:84" ht="15" customHeight="1" x14ac:dyDescent="0.25">
      <c r="A508" s="2"/>
      <c r="B508" s="512" t="s">
        <v>5115</v>
      </c>
      <c r="C508" s="83"/>
      <c r="D508" s="3000">
        <f>LN(IF(D507&lt;D475,IF(LOG(D506)&lt;-0.44,5.01,IF(LOG(D506)&lt;0.43,10^(0.81+0.26*LOG(D506)),8.51))*D479^0.333,1))</f>
        <v>0</v>
      </c>
      <c r="E508" s="235"/>
      <c r="F508" s="3000">
        <f>LN(IF(F507&lt;F475,IF(LOG(F506)&lt;-0.44,5.01,IF(LOG(F506)&lt;0.43,10^(0.81+0.26*LOG(F506)),8.51))*F479^0.333,1))</f>
        <v>0</v>
      </c>
      <c r="G508" s="238"/>
      <c r="H508" s="3000">
        <f>LN(IF(H507&lt;H475,IF(LOG(H506)&lt;-0.44,5.01,IF(LOG(H506)&lt;0.43,10^(0.81+0.26*LOG(H506)),8.51))*H479^0.333,1))</f>
        <v>0</v>
      </c>
      <c r="I508" s="238"/>
      <c r="J508" s="3000">
        <f>LN(IF(J507&lt;J475,IF(LOG(J506)&lt;-0.44,5.01,IF(LOG(J506)&lt;0.43,10^(0.81+0.26*LOG(J506)),8.51))*J479^0.333,1))</f>
        <v>0</v>
      </c>
      <c r="K508" s="238"/>
      <c r="L508" s="3000">
        <f>LN(IF(L507&lt;L475,IF(LOG(L506)&lt;-0.44,5.01,IF(LOG(L506)&lt;0.43,10^(0.81+0.26*LOG(L506)),8.51))*L479^0.333,1))</f>
        <v>0</v>
      </c>
      <c r="M508" s="238"/>
      <c r="N508" s="3000">
        <f>LN(IF(N507&lt;N475,IF(LOG(N506)&lt;-0.44,5.01,IF(LOG(N506)&lt;0.43,10^(0.81+0.26*LOG(N506)),8.51))*N479^0.333,1))</f>
        <v>0</v>
      </c>
      <c r="O508" s="238"/>
      <c r="P508" s="3000">
        <f>LN(IF(P507&lt;P475,IF(LOG(P506)&lt;-0.44,5.01,IF(LOG(P506)&lt;0.43,10^(0.81+0.26*LOG(P506)),8.51))*P479^0.333,1))</f>
        <v>0</v>
      </c>
      <c r="Q508" s="238"/>
      <c r="R508" s="3000">
        <f>LN(IF(R507&lt;R475,IF(LOG(R506)&lt;-0.44,5.01,IF(LOG(R506)&lt;0.43,10^(0.81+0.26*LOG(R506)),8.51))*R479^0.333,1))</f>
        <v>0</v>
      </c>
      <c r="S508" s="238"/>
      <c r="T508" s="3000">
        <f>LN(IF(T507&lt;T475,IF(LOG(T506)&lt;-0.44,5.01,IF(LOG(T506)&lt;0.43,10^(0.81+0.26*LOG(T506)),8.51))*T479^0.333,1))</f>
        <v>0</v>
      </c>
      <c r="U508" s="238"/>
      <c r="V508" s="3000">
        <f>LN(IF(V507&lt;V475,IF(LOG(V506)&lt;-0.44,5.01,IF(LOG(V506)&lt;0.43,10^(0.81+0.26*LOG(V506)),8.51))*V479^0.333,1))</f>
        <v>0</v>
      </c>
      <c r="W508" s="238"/>
      <c r="X508" s="3000">
        <f>LN(IF(X507&lt;X475,IF(LOG(X506)&lt;-0.44,5.01,IF(LOG(X506)&lt;0.43,10^(0.81+0.26*LOG(X506)),8.51))*X479^0.333,1))</f>
        <v>0</v>
      </c>
      <c r="Y508" s="83"/>
      <c r="Z508" s="85"/>
      <c r="AA508" s="83"/>
      <c r="AB508" s="81"/>
      <c r="AC508" s="1689" t="s">
        <v>5058</v>
      </c>
      <c r="AD508" s="81"/>
      <c r="AE508" s="2426">
        <f>IF(AE494&gt;0,(AE494^2*AE492/Wind^5)^0.2,0)</f>
        <v>4.1991745618549313E-2</v>
      </c>
      <c r="AF508" s="81"/>
      <c r="AG508" s="2426">
        <f>IF(AG494&gt;0,(AG494^2*AG492/Wind^5)^0.2,0)</f>
        <v>4.1991745618549313E-2</v>
      </c>
      <c r="AH508" s="81"/>
      <c r="AI508" s="2426">
        <f>IF(AI494&gt;0,(AI494^2*AI492/Wind^5)^0.2,0)</f>
        <v>4.1991745618549313E-2</v>
      </c>
      <c r="AJ508" s="81"/>
      <c r="AK508" s="81"/>
      <c r="AL508" s="81"/>
      <c r="AM508" s="81"/>
      <c r="AN508" s="81"/>
      <c r="AO508" s="81"/>
      <c r="AP508" s="81"/>
      <c r="AQ508" s="85"/>
      <c r="AR508" s="81"/>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26"/>
      <c r="BS508" s="26"/>
      <c r="BT508" s="26"/>
      <c r="BU508" s="26"/>
      <c r="BV508" s="26"/>
      <c r="BW508" s="26"/>
      <c r="BX508" s="26"/>
      <c r="BY508" s="26"/>
      <c r="BZ508" s="26"/>
      <c r="CA508" s="26"/>
      <c r="CB508" s="26"/>
      <c r="CD508" s="26"/>
      <c r="CE508" s="26"/>
      <c r="CF508" s="26"/>
    </row>
    <row r="509" spans="1:84" ht="15" customHeight="1" x14ac:dyDescent="0.25">
      <c r="A509" s="2"/>
      <c r="B509" s="512" t="s">
        <v>5116</v>
      </c>
      <c r="C509" s="83"/>
      <c r="D509" s="3000">
        <f>LN(IF(D507&lt;D475,IF(LOG(D506)&lt;-0.56,7.08,IF(LOG(D506)&lt;0.31,10^(1+0.26*LOG(D506)),10^(1.12-0.12*LOG(D506))))*D479^0.333,1))</f>
        <v>0</v>
      </c>
      <c r="E509" s="235"/>
      <c r="F509" s="3000">
        <f>LN(IF(F507&lt;F475,IF(LOG(F506)&lt;-0.56,7.08,IF(LOG(F506)&lt;0.31,10^(1+0.26*LOG(F506)),10^(1.12-0.12*LOG(F506))))*F479^0.333,1))</f>
        <v>0</v>
      </c>
      <c r="G509" s="238"/>
      <c r="H509" s="3000">
        <f>LN(IF(H507&lt;H475,IF(LOG(H506)&lt;-0.56,7.08,IF(LOG(H506)&lt;0.31,10^(1+0.26*LOG(H506)),10^(1.12-0.12*LOG(H506))))*H479^0.333,1))</f>
        <v>0</v>
      </c>
      <c r="I509" s="238"/>
      <c r="J509" s="3000">
        <f>LN(IF(J507&lt;J475,IF(LOG(J506)&lt;-0.56,7.08,IF(LOG(J506)&lt;0.31,10^(1+0.26*LOG(J506)),10^(1.12-0.12*LOG(J506))))*J479^0.333,1))</f>
        <v>0</v>
      </c>
      <c r="K509" s="238"/>
      <c r="L509" s="3000">
        <f>LN(IF(L507&lt;L475,IF(LOG(L506)&lt;-0.56,7.08,IF(LOG(L506)&lt;0.31,10^(1+0.26*LOG(L506)),10^(1.12-0.12*LOG(L506))))*L479^0.333,1))</f>
        <v>0</v>
      </c>
      <c r="M509" s="238"/>
      <c r="N509" s="3000">
        <f>LN(IF(N507&lt;N475,IF(LOG(N506)&lt;-0.56,7.08,IF(LOG(N506)&lt;0.31,10^(1+0.26*LOG(N506)),10^(1.12-0.12*LOG(N506))))*N479^0.333,1))</f>
        <v>0</v>
      </c>
      <c r="O509" s="238"/>
      <c r="P509" s="3000">
        <f>LN(IF(P507&lt;P475,IF(LOG(P506)&lt;-0.56,7.08,IF(LOG(P506)&lt;0.31,10^(1+0.26*LOG(P506)),10^(1.12-0.12*LOG(P506))))*P479^0.333,1))</f>
        <v>0</v>
      </c>
      <c r="Q509" s="238"/>
      <c r="R509" s="3000">
        <f>LN(IF(R507&lt;R475,IF(LOG(R506)&lt;-0.56,7.08,IF(LOG(R506)&lt;0.31,10^(1+0.26*LOG(R506)),10^(1.12-0.12*LOG(R506))))*R479^0.333,1))</f>
        <v>0</v>
      </c>
      <c r="S509" s="238"/>
      <c r="T509" s="3000">
        <f>LN(IF(T507&lt;T475,IF(LOG(T506)&lt;-0.56,7.08,IF(LOG(T506)&lt;0.31,10^(1+0.26*LOG(T506)),10^(1.12-0.12*LOG(T506))))*T479^0.333,1))</f>
        <v>0</v>
      </c>
      <c r="U509" s="238"/>
      <c r="V509" s="3000">
        <f>LN(IF(V507&lt;V475,IF(LOG(V506)&lt;-0.56,7.08,IF(LOG(V506)&lt;0.31,10^(1+0.26*LOG(V506)),10^(1.12-0.12*LOG(V506))))*V479^0.333,1))</f>
        <v>0</v>
      </c>
      <c r="W509" s="238"/>
      <c r="X509" s="3000">
        <f>LN(IF(X507&lt;X475,IF(LOG(X506)&lt;-0.56,7.08,IF(LOG(X506)&lt;0.31,10^(1+0.26*LOG(X506)),10^(1.12-0.12*LOG(X506))))*X479^0.333,1))</f>
        <v>0</v>
      </c>
      <c r="Y509" s="83"/>
      <c r="Z509" s="85"/>
      <c r="AA509" s="83"/>
      <c r="AB509" s="81"/>
      <c r="AC509" s="1691" t="s">
        <v>5059</v>
      </c>
      <c r="AD509" s="81"/>
      <c r="AE509" s="3000">
        <f>IF(AND(AE494&gt;0,AE508&gt;0),AE489*0.15^6/AE508^5,1)</f>
        <v>87.155218952125495</v>
      </c>
      <c r="AF509" s="81"/>
      <c r="AG509" s="3000">
        <f>IF(AND(AG494&gt;0,AG508&gt;0),AG489*0.15^6/AG508^5,1)</f>
        <v>87.155218952125495</v>
      </c>
      <c r="AH509" s="81"/>
      <c r="AI509" s="3000">
        <f>IF(AND(AI494&gt;0,AI508&gt;0),AI489*0.15^6/AI508^5,1)</f>
        <v>87.155218952125495</v>
      </c>
      <c r="AJ509" s="81"/>
      <c r="AK509" s="81"/>
      <c r="AL509" s="81"/>
      <c r="AM509" s="81"/>
      <c r="AN509" s="81"/>
      <c r="AO509" s="81"/>
      <c r="AP509" s="81"/>
      <c r="AQ509" s="85"/>
      <c r="AR509" s="81"/>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26"/>
      <c r="BS509" s="26"/>
      <c r="BT509" s="26"/>
      <c r="BU509" s="26"/>
      <c r="BV509" s="26"/>
      <c r="BW509" s="26"/>
      <c r="BX509" s="26"/>
      <c r="BY509" s="26"/>
      <c r="BZ509" s="26"/>
      <c r="CA509" s="26"/>
      <c r="CB509" s="26"/>
      <c r="CD509" s="26"/>
      <c r="CE509" s="26"/>
      <c r="CF509" s="26"/>
    </row>
    <row r="510" spans="1:84" ht="15" customHeight="1" x14ac:dyDescent="0.25">
      <c r="A510" s="2"/>
      <c r="B510" s="512" t="s">
        <v>5117</v>
      </c>
      <c r="C510" s="83"/>
      <c r="D510" s="3000">
        <f>LN(IF(D507&lt;D475,IF(LOG(D506)&lt;-0.66,8.91,IF(LOG(D506)&lt;0.32,10^(1.19+0.36*LOG(D506)),10^(1.38-0.26*LOG(D506))))*D479^0.333,1))</f>
        <v>0</v>
      </c>
      <c r="E510" s="235"/>
      <c r="F510" s="3000">
        <f>LN(IF(F507&lt;F475,IF(LOG(F506)&lt;-0.66,8.91,IF(LOG(F506)&lt;0.32,10^(1.19+0.36*LOG(F506)),10^(1.38-0.26*LOG(F506))))*F479^0.333,1))</f>
        <v>0</v>
      </c>
      <c r="G510" s="238"/>
      <c r="H510" s="3000">
        <f>LN(IF(H507&lt;H475,IF(LOG(H506)&lt;-0.66,8.91,IF(LOG(H506)&lt;0.32,10^(1.19+0.36*LOG(H506)),10^(1.38-0.26*LOG(H506))))*H479^0.333,1))</f>
        <v>0</v>
      </c>
      <c r="I510" s="238"/>
      <c r="J510" s="3000">
        <f>LN(IF(J507&lt;J475,IF(LOG(J506)&lt;-0.66,8.91,IF(LOG(J506)&lt;0.32,10^(1.19+0.36*LOG(J506)),10^(1.38-0.26*LOG(J506))))*J479^0.333,1))</f>
        <v>0</v>
      </c>
      <c r="K510" s="238"/>
      <c r="L510" s="3000">
        <f>LN(IF(L507&lt;L475,IF(LOG(L506)&lt;-0.66,8.91,IF(LOG(L506)&lt;0.32,10^(1.19+0.36*LOG(L506)),10^(1.38-0.26*LOG(L506))))*L479^0.333,1))</f>
        <v>0</v>
      </c>
      <c r="M510" s="238"/>
      <c r="N510" s="3000">
        <f>LN(IF(N507&lt;N475,IF(LOG(N506)&lt;-0.66,8.91,IF(LOG(N506)&lt;0.32,10^(1.19+0.36*LOG(N506)),10^(1.38-0.26*LOG(N506))))*N479^0.333,1))</f>
        <v>0</v>
      </c>
      <c r="O510" s="238"/>
      <c r="P510" s="3000">
        <f>LN(IF(P507&lt;P475,IF(LOG(P506)&lt;-0.66,8.91,IF(LOG(P506)&lt;0.32,10^(1.19+0.36*LOG(P506)),10^(1.38-0.26*LOG(P506))))*P479^0.333,1))</f>
        <v>0</v>
      </c>
      <c r="Q510" s="238"/>
      <c r="R510" s="3000">
        <f>LN(IF(R507&lt;R475,IF(LOG(R506)&lt;-0.66,8.91,IF(LOG(R506)&lt;0.32,10^(1.19+0.36*LOG(R506)),10^(1.38-0.26*LOG(R506))))*R479^0.333,1))</f>
        <v>0</v>
      </c>
      <c r="S510" s="238"/>
      <c r="T510" s="3000">
        <f>LN(IF(T507&lt;T475,IF(LOG(T506)&lt;-0.66,8.91,IF(LOG(T506)&lt;0.32,10^(1.19+0.36*LOG(T506)),10^(1.38-0.26*LOG(T506))))*T479^0.333,1))</f>
        <v>0</v>
      </c>
      <c r="U510" s="238"/>
      <c r="V510" s="3000">
        <f>LN(IF(V507&lt;V475,IF(LOG(V506)&lt;-0.66,8.91,IF(LOG(V506)&lt;0.32,10^(1.19+0.36*LOG(V506)),10^(1.38-0.26*LOG(V506))))*V479^0.333,1))</f>
        <v>0</v>
      </c>
      <c r="W510" s="238"/>
      <c r="X510" s="3000">
        <f>LN(IF(X507&lt;X475,IF(LOG(X506)&lt;-0.66,8.91,IF(LOG(X506)&lt;0.32,10^(1.19+0.36*LOG(X506)),10^(1.38-0.26*LOG(X506))))*X479^0.333,1))</f>
        <v>0</v>
      </c>
      <c r="Y510" s="83"/>
      <c r="Z510" s="85"/>
      <c r="AA510" s="83"/>
      <c r="AB510" s="81"/>
      <c r="AC510" s="512" t="s">
        <v>5115</v>
      </c>
      <c r="AD510" s="81"/>
      <c r="AE510" s="3000">
        <f>LN(IF(AE509&lt;AE489,IF(LOG(AE508)&lt;-0.55,56.2,IF(LOG(AE508)&lt;-0.14,10^(1.88+0.24*LOG(AE508)),10^(1.78-0.5*LOG(AE508))))*(AE492/Wind)^0.5,1))</f>
        <v>0</v>
      </c>
      <c r="AF510" s="81"/>
      <c r="AG510" s="3000">
        <f>LN(IF(AG509&lt;AG489,IF(LOG(AG508)&lt;-0.55,56.2,IF(LOG(AG508)&lt;-0.14,10^(1.88+0.24*LOG(AG508)),10^(1.78-0.5*LOG(AG508))))*(AG492/Wind)^0.5,1))</f>
        <v>0</v>
      </c>
      <c r="AH510" s="81"/>
      <c r="AI510" s="3000">
        <f>LN(IF(AI509&lt;AI489,IF(LOG(AI508)&lt;-0.55,56.2,IF(LOG(AI508)&lt;-0.14,10^(1.88+0.24*LOG(AI508)),10^(1.78-0.5*LOG(AI508))))*(AI492/Wind)^0.5,1))</f>
        <v>0</v>
      </c>
      <c r="AJ510" s="81"/>
      <c r="AK510" s="81"/>
      <c r="AL510" s="81"/>
      <c r="AM510" s="81"/>
      <c r="AN510" s="81"/>
      <c r="AO510" s="81"/>
      <c r="AP510" s="81"/>
      <c r="AQ510" s="85"/>
      <c r="AR510" s="81"/>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26"/>
      <c r="BS510" s="26"/>
      <c r="BT510" s="26"/>
      <c r="BU510" s="26"/>
      <c r="BV510" s="26"/>
      <c r="BW510" s="26"/>
      <c r="BX510" s="26"/>
      <c r="BY510" s="26"/>
      <c r="BZ510" s="26"/>
      <c r="CA510" s="26"/>
      <c r="CB510" s="26"/>
      <c r="CD510" s="26"/>
      <c r="CE510" s="26"/>
      <c r="CF510" s="26"/>
    </row>
    <row r="511" spans="1:84" ht="15" customHeight="1" x14ac:dyDescent="0.25">
      <c r="A511" s="2"/>
      <c r="B511" s="512" t="s">
        <v>5118</v>
      </c>
      <c r="C511" s="83"/>
      <c r="D511" s="3000">
        <f>LN(IF(D507&lt;D475,IF(LOG(D506)&lt;-0.71,14.1,IF(LOG(D506)&lt;0.37,10^(1.39+0.34*LOG(D506)),10^(1.66-0.38*LOG(D506))))*D479^0.333,1))</f>
        <v>0</v>
      </c>
      <c r="E511" s="235"/>
      <c r="F511" s="3000">
        <f>LN(IF(F507&lt;F475,IF(LOG(F506)&lt;-0.71,14.1,IF(LOG(F506)&lt;0.37,10^(1.39+0.34*LOG(F506)),10^(1.66-0.38*LOG(F506))))*F479^0.333,1))</f>
        <v>0</v>
      </c>
      <c r="G511" s="238"/>
      <c r="H511" s="3000">
        <f>LN(IF(H507&lt;H475,IF(LOG(H506)&lt;-0.71,14.1,IF(LOG(H506)&lt;0.37,10^(1.39+0.34*LOG(H506)),10^(1.66-0.38*LOG(H506))))*H479^0.333,1))</f>
        <v>0</v>
      </c>
      <c r="I511" s="238"/>
      <c r="J511" s="3000">
        <f>LN(IF(J507&lt;J475,IF(LOG(J506)&lt;-0.71,14.1,IF(LOG(J506)&lt;0.37,10^(1.39+0.34*LOG(J506)),10^(1.66-0.38*LOG(J506))))*J479^0.333,1))</f>
        <v>0</v>
      </c>
      <c r="K511" s="238"/>
      <c r="L511" s="3000">
        <f>LN(IF(L507&lt;L475,IF(LOG(L506)&lt;-0.71,14.1,IF(LOG(L506)&lt;0.37,10^(1.39+0.34*LOG(L506)),10^(1.66-0.38*LOG(L506))))*L479^0.333,1))</f>
        <v>0</v>
      </c>
      <c r="M511" s="238"/>
      <c r="N511" s="3000">
        <f>LN(IF(N507&lt;N475,IF(LOG(N506)&lt;-0.71,14.1,IF(LOG(N506)&lt;0.37,10^(1.39+0.34*LOG(N506)),10^(1.66-0.38*LOG(N506))))*N479^0.333,1))</f>
        <v>0</v>
      </c>
      <c r="O511" s="238"/>
      <c r="P511" s="3000">
        <f>LN(IF(P507&lt;P475,IF(LOG(P506)&lt;-0.71,14.1,IF(LOG(P506)&lt;0.37,10^(1.39+0.34*LOG(P506)),10^(1.66-0.38*LOG(P506))))*P479^0.333,1))</f>
        <v>0</v>
      </c>
      <c r="Q511" s="238"/>
      <c r="R511" s="3000">
        <f>LN(IF(R507&lt;R475,IF(LOG(R506)&lt;-0.71,14.1,IF(LOG(R506)&lt;0.37,10^(1.39+0.34*LOG(R506)),10^(1.66-0.38*LOG(R506))))*R479^0.333,1))</f>
        <v>0</v>
      </c>
      <c r="S511" s="238"/>
      <c r="T511" s="3000">
        <f>LN(IF(T507&lt;T475,IF(LOG(T506)&lt;-0.71,14.1,IF(LOG(T506)&lt;0.37,10^(1.39+0.34*LOG(T506)),10^(1.66-0.38*LOG(T506))))*T479^0.333,1))</f>
        <v>0</v>
      </c>
      <c r="U511" s="238"/>
      <c r="V511" s="3000">
        <f>LN(IF(V507&lt;V475,IF(LOG(V506)&lt;-0.71,14.1,IF(LOG(V506)&lt;0.37,10^(1.39+0.34*LOG(V506)),10^(1.66-0.38*LOG(V506))))*V479^0.333,1))</f>
        <v>0</v>
      </c>
      <c r="W511" s="238"/>
      <c r="X511" s="3000">
        <f>LN(IF(X507&lt;X475,IF(LOG(X506)&lt;-0.71,14.1,IF(LOG(X506)&lt;0.37,10^(1.39+0.34*LOG(X506)),10^(1.66-0.38*LOG(X506))))*X479^0.333,1))</f>
        <v>0</v>
      </c>
      <c r="Y511" s="83"/>
      <c r="Z511" s="85"/>
      <c r="AA511" s="83"/>
      <c r="AB511" s="81"/>
      <c r="AC511" s="512" t="s">
        <v>5116</v>
      </c>
      <c r="AD511" s="81"/>
      <c r="AE511" s="3000">
        <f>LN(IF(AE509&lt;AE489,IF(LOG(AE508)&lt;-0.68,83.2,IF(LOG(AE508)&lt;-0.29,10^(2.16+0.36*LOG(AE508)),IF(LOG(AE508)&lt;-0.18,114.8,10^(1.96-0.56*LOG(AE508)))))*(AE492/Wind)^0.5,1))</f>
        <v>0</v>
      </c>
      <c r="AF511" s="81"/>
      <c r="AG511" s="3000">
        <f>LN(IF(AG509&lt;AG489,IF(LOG(AG508)&lt;-0.68,83.2,IF(LOG(AG508)&lt;-0.29,10^(2.16+0.36*LOG(AG508)),IF(LOG(AG508)&lt;-0.18,114.8,10^(1.96-0.56*LOG(AG508)))))*(AG492/Wind)^0.5,1))</f>
        <v>0</v>
      </c>
      <c r="AH511" s="81"/>
      <c r="AI511" s="3000">
        <f>LN(IF(AI509&lt;AI489,IF(LOG(AI508)&lt;-0.68,83.2,IF(LOG(AI508)&lt;-0.29,10^(2.16+0.36*LOG(AI508)),IF(LOG(AI508)&lt;-0.18,114.8,10^(1.96-0.56*LOG(AI508)))))*(AI492/Wind)^0.5,1))</f>
        <v>0</v>
      </c>
      <c r="AJ511" s="81"/>
      <c r="AK511" s="81"/>
      <c r="AL511" s="81"/>
      <c r="AM511" s="81"/>
      <c r="AN511" s="81"/>
      <c r="AO511" s="81"/>
      <c r="AP511" s="81"/>
      <c r="AQ511" s="85"/>
      <c r="AR511" s="81"/>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26"/>
      <c r="BR511" s="26"/>
      <c r="BS511" s="26"/>
      <c r="BT511" s="26"/>
      <c r="BU511" s="26"/>
      <c r="BV511" s="26"/>
      <c r="BW511" s="26"/>
      <c r="BX511" s="26"/>
      <c r="BY511" s="26"/>
      <c r="BZ511" s="26"/>
      <c r="CA511" s="26"/>
      <c r="CB511" s="26"/>
      <c r="CD511" s="26"/>
      <c r="CE511" s="26"/>
      <c r="CF511" s="26"/>
    </row>
    <row r="512" spans="1:84" ht="15" customHeight="1" x14ac:dyDescent="0.25">
      <c r="A512" s="2"/>
      <c r="B512" s="512" t="s">
        <v>5119</v>
      </c>
      <c r="C512" s="83"/>
      <c r="D512" s="3000">
        <f>LN(IF(D507&lt;D475,IF(LOG(D506)&lt;-0.52,30.2,IF(LOG(D506)&lt;0.24,10^(1.62+0.26*LOG(D506)),10^(1.75-0.3*LOG(D506))))*D479^0.333,1))</f>
        <v>0</v>
      </c>
      <c r="E512" s="235"/>
      <c r="F512" s="3000">
        <f>LN(IF(F507&lt;F475,IF(LOG(F506)&lt;-0.52,30.2,IF(LOG(F506)&lt;0.24,10^(1.62+0.26*LOG(F506)),10^(1.75-0.3*LOG(F506))))*F479^0.333,1))</f>
        <v>0</v>
      </c>
      <c r="G512" s="238"/>
      <c r="H512" s="3000">
        <f>LN(IF(H507&lt;H475,IF(LOG(H506)&lt;-0.52,30.2,IF(LOG(H506)&lt;0.24,10^(1.62+0.26*LOG(H506)),10^(1.75-0.3*LOG(H506))))*H479^0.333,1))</f>
        <v>0</v>
      </c>
      <c r="I512" s="238"/>
      <c r="J512" s="3000">
        <f>LN(IF(J507&lt;J475,IF(LOG(J506)&lt;-0.52,30.2,IF(LOG(J506)&lt;0.24,10^(1.62+0.26*LOG(J506)),10^(1.75-0.3*LOG(J506))))*J479^0.333,1))</f>
        <v>0</v>
      </c>
      <c r="K512" s="238"/>
      <c r="L512" s="3000">
        <f>LN(IF(L507&lt;L475,IF(LOG(L506)&lt;-0.52,30.2,IF(LOG(L506)&lt;0.24,10^(1.62+0.26*LOG(L506)),10^(1.75-0.3*LOG(L506))))*L479^0.333,1))</f>
        <v>0</v>
      </c>
      <c r="M512" s="238"/>
      <c r="N512" s="3000">
        <f>LN(IF(N507&lt;N475,IF(LOG(N506)&lt;-0.52,30.2,IF(LOG(N506)&lt;0.24,10^(1.62+0.26*LOG(N506)),10^(1.75-0.3*LOG(N506))))*N479^0.333,1))</f>
        <v>0</v>
      </c>
      <c r="O512" s="238"/>
      <c r="P512" s="3000">
        <f>LN(IF(P507&lt;P475,IF(LOG(P506)&lt;-0.52,30.2,IF(LOG(P506)&lt;0.24,10^(1.62+0.26*LOG(P506)),10^(1.75-0.3*LOG(P506))))*P479^0.333,1))</f>
        <v>0</v>
      </c>
      <c r="Q512" s="238"/>
      <c r="R512" s="3000">
        <f>LN(IF(R507&lt;R475,IF(LOG(R506)&lt;-0.52,30.2,IF(LOG(R506)&lt;0.24,10^(1.62+0.26*LOG(R506)),10^(1.75-0.3*LOG(R506))))*R479^0.333,1))</f>
        <v>0</v>
      </c>
      <c r="S512" s="238"/>
      <c r="T512" s="3000">
        <f>LN(IF(T507&lt;T475,IF(LOG(T506)&lt;-0.52,30.2,IF(LOG(T506)&lt;0.24,10^(1.62+0.26*LOG(T506)),10^(1.75-0.3*LOG(T506))))*T479^0.333,1))</f>
        <v>0</v>
      </c>
      <c r="U512" s="238"/>
      <c r="V512" s="3000">
        <f>LN(IF(V507&lt;V475,IF(LOG(V506)&lt;-0.52,30.2,IF(LOG(V506)&lt;0.24,10^(1.62+0.26*LOG(V506)),10^(1.75-0.3*LOG(V506))))*V479^0.333,1))</f>
        <v>0</v>
      </c>
      <c r="W512" s="238"/>
      <c r="X512" s="3000">
        <f>LN(IF(X507&lt;X475,IF(LOG(X506)&lt;-0.52,30.2,IF(LOG(X506)&lt;0.24,10^(1.62+0.26*LOG(X506)),10^(1.75-0.3*LOG(X506))))*X479^0.333,1))</f>
        <v>0</v>
      </c>
      <c r="Y512" s="83"/>
      <c r="Z512" s="85"/>
      <c r="AA512" s="83"/>
      <c r="AB512" s="81"/>
      <c r="AC512" s="512" t="s">
        <v>5117</v>
      </c>
      <c r="AD512" s="81"/>
      <c r="AE512" s="3000">
        <f>LN(IF(AE509&lt;AE489,IF(LOG(AE508)&lt;-0.69,120.2,IF(LOG(AE508)&lt;-0.31,10^(2.39+0.45*LOG(AE508)),IF(LOG(AE508)&lt;-0.16,177.8,10^(2.16-0.54*LOG(AE508)))))*(AE492/Wind)^0.5,1))</f>
        <v>0</v>
      </c>
      <c r="AF512" s="81"/>
      <c r="AG512" s="3000">
        <f>LN(IF(AG509&lt;AG489,IF(LOG(AG508)&lt;-0.69,120.2,IF(LOG(AG508)&lt;-0.31,10^(2.39+0.45*LOG(AG508)),IF(LOG(AG508)&lt;-0.16,177.8,10^(2.16-0.54*LOG(AG508)))))*(AG492/Wind)^0.5,1))</f>
        <v>0</v>
      </c>
      <c r="AH512" s="81"/>
      <c r="AI512" s="3000">
        <f>LN(IF(AI509&lt;AI489,IF(LOG(AI508)&lt;-0.69,120.2,IF(LOG(AI508)&lt;-0.31,10^(2.39+0.45*LOG(AI508)),IF(LOG(AI508)&lt;-0.16,177.8,10^(2.16-0.54*LOG(AI508)))))*(AI492/Wind)^0.5,1))</f>
        <v>0</v>
      </c>
      <c r="AJ512" s="81"/>
      <c r="AK512" s="81"/>
      <c r="AL512" s="81"/>
      <c r="AM512" s="81"/>
      <c r="AN512" s="81"/>
      <c r="AO512" s="81"/>
      <c r="AP512" s="81"/>
      <c r="AQ512" s="85"/>
      <c r="AR512" s="81"/>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26"/>
      <c r="BR512" s="26"/>
      <c r="BS512" s="26"/>
      <c r="BT512" s="26"/>
      <c r="BU512" s="26"/>
      <c r="BV512" s="26"/>
      <c r="BW512" s="26"/>
      <c r="BX512" s="26"/>
      <c r="BY512" s="26"/>
      <c r="BZ512" s="26"/>
      <c r="CA512" s="26"/>
      <c r="CB512" s="26"/>
      <c r="CD512" s="26"/>
      <c r="CE512" s="26"/>
      <c r="CF512" s="26"/>
    </row>
    <row r="513" spans="1:84" ht="15" customHeight="1" x14ac:dyDescent="0.25">
      <c r="A513" s="2"/>
      <c r="B513" s="512" t="s">
        <v>5120</v>
      </c>
      <c r="C513" s="83"/>
      <c r="D513" s="3000">
        <f>LN(IF(D507&lt;D475,IF(LOG(D506)&lt;0.27,67.6,10^(1.92-0.32*LOG(D506)))*D479^0.333,1))</f>
        <v>0</v>
      </c>
      <c r="E513" s="235"/>
      <c r="F513" s="3000">
        <f>LN(IF(F507&lt;F475,IF(LOG(F506)&lt;0.27,67.6,10^(1.92-0.32*LOG(F506)))*F479^0.333,1))</f>
        <v>0</v>
      </c>
      <c r="G513" s="238"/>
      <c r="H513" s="3000">
        <f>LN(IF(H507&lt;H475,IF(LOG(H506)&lt;0.27,67.6,10^(1.92-0.32*LOG(H506)))*H479^0.333,1))</f>
        <v>0</v>
      </c>
      <c r="I513" s="238"/>
      <c r="J513" s="3000">
        <f>LN(IF(J507&lt;J475,IF(LOG(J506)&lt;0.27,67.6,10^(1.92-0.32*LOG(J506)))*J479^0.333,1))</f>
        <v>0</v>
      </c>
      <c r="K513" s="238"/>
      <c r="L513" s="3000">
        <f>LN(IF(L507&lt;L475,IF(LOG(L506)&lt;0.27,67.6,10^(1.92-0.32*LOG(L506)))*L479^0.333,1))</f>
        <v>0</v>
      </c>
      <c r="M513" s="238"/>
      <c r="N513" s="3000">
        <f>LN(IF(N507&lt;N475,IF(LOG(N506)&lt;0.27,67.6,10^(1.92-0.32*LOG(N506)))*N479^0.333,1))</f>
        <v>0</v>
      </c>
      <c r="O513" s="238"/>
      <c r="P513" s="3000">
        <f>LN(IF(P507&lt;P475,IF(LOG(P506)&lt;0.27,67.6,10^(1.92-0.32*LOG(P506)))*P479^0.333,1))</f>
        <v>0</v>
      </c>
      <c r="Q513" s="238"/>
      <c r="R513" s="3000">
        <f>LN(IF(R507&lt;R475,IF(LOG(R506)&lt;0.27,67.6,10^(1.92-0.32*LOG(R506)))*R479^0.333,1))</f>
        <v>0</v>
      </c>
      <c r="S513" s="238"/>
      <c r="T513" s="3000">
        <f>LN(IF(T507&lt;T475,IF(LOG(T506)&lt;0.27,67.6,10^(1.92-0.32*LOG(T506)))*T479^0.333,1))</f>
        <v>0</v>
      </c>
      <c r="U513" s="238"/>
      <c r="V513" s="3000">
        <f>LN(IF(V507&lt;V475,IF(LOG(V506)&lt;0.27,67.6,10^(1.92-0.32*LOG(V506)))*V479^0.333,1))</f>
        <v>0</v>
      </c>
      <c r="W513" s="238"/>
      <c r="X513" s="3000">
        <f>LN(IF(X507&lt;X475,IF(LOG(X506)&lt;0.27,67.6,10^(1.92-0.32*LOG(X506)))*X479^0.333,1))</f>
        <v>0</v>
      </c>
      <c r="Y513" s="83"/>
      <c r="Z513" s="85"/>
      <c r="AA513" s="83"/>
      <c r="AB513" s="81"/>
      <c r="AC513" s="512" t="s">
        <v>5118</v>
      </c>
      <c r="AD513" s="81"/>
      <c r="AE513" s="3000">
        <f>LN(IF(AE509&lt;AE489,IF(LOG(AE508)&lt;-0.7,177.8,IF(LOG(AE508)&lt;-0.29,10^(2.59+0.49*LOG(AE508)),IF(LOG(AE508)&lt;-0.2,281.8,10^(2.35-0.52*LOG(AE508)))))*(AE492/Wind)^0.5,1))</f>
        <v>0</v>
      </c>
      <c r="AF513" s="81"/>
      <c r="AG513" s="3000">
        <f>LN(IF(AG509&lt;AG489,IF(LOG(AG508)&lt;-0.7,177.8,IF(LOG(AG508)&lt;-0.29,10^(2.59+0.49*LOG(AG508)),IF(LOG(AG508)&lt;-0.2,281.8,10^(2.35-0.52*LOG(AG508)))))*(AG492/Wind)^0.5,1))</f>
        <v>0</v>
      </c>
      <c r="AH513" s="81"/>
      <c r="AI513" s="3000">
        <f>LN(IF(AI509&lt;AI489,IF(LOG(AI508)&lt;-0.7,177.8,IF(LOG(AI508)&lt;-0.29,10^(2.59+0.49*LOG(AI508)),IF(LOG(AI508)&lt;-0.2,281.8,10^(2.35-0.52*LOG(AI508)))))*(AI492/Wind)^0.5,1))</f>
        <v>0</v>
      </c>
      <c r="AJ513" s="81"/>
      <c r="AK513" s="81"/>
      <c r="AL513" s="81"/>
      <c r="AM513" s="81"/>
      <c r="AN513" s="81"/>
      <c r="AO513" s="81"/>
      <c r="AP513" s="81"/>
      <c r="AQ513" s="85"/>
      <c r="AR513" s="81"/>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26"/>
      <c r="BR513" s="26"/>
      <c r="BS513" s="26"/>
      <c r="BT513" s="26"/>
      <c r="BU513" s="26"/>
      <c r="BV513" s="26"/>
      <c r="BW513" s="26"/>
      <c r="BX513" s="26"/>
      <c r="BY513" s="26"/>
      <c r="BZ513" s="26"/>
      <c r="CA513" s="26"/>
      <c r="CB513" s="26"/>
      <c r="CD513" s="26"/>
      <c r="CE513" s="26"/>
      <c r="CF513" s="26"/>
    </row>
    <row r="514" spans="1:84" ht="15" customHeight="1" x14ac:dyDescent="0.25">
      <c r="A514" s="2"/>
      <c r="B514" s="512" t="s">
        <v>5122</v>
      </c>
      <c r="C514" s="83"/>
      <c r="D514" s="3000">
        <f>LN(IF(D507&lt;D475,IF(LOG(D506)&lt;-0.1,118.9,10^(2.05-0.27*LOG(D506)))*D479^0.333,1))</f>
        <v>0</v>
      </c>
      <c r="E514" s="235"/>
      <c r="F514" s="3000">
        <f>LN(IF(F507&lt;F475,IF(LOG(F506)&lt;-0.1,118.9,10^(2.05-0.27*LOG(F506)))*F479^0.333,1))</f>
        <v>0</v>
      </c>
      <c r="G514" s="238"/>
      <c r="H514" s="3000">
        <f>LN(IF(H507&lt;H475,IF(LOG(H506)&lt;-0.1,118.9,10^(2.05-0.27*LOG(H506)))*H479^0.333,1))</f>
        <v>0</v>
      </c>
      <c r="I514" s="238"/>
      <c r="J514" s="3000">
        <f>LN(IF(J507&lt;J475,IF(LOG(J506)&lt;-0.1,118.9,10^(2.05-0.27*LOG(J506)))*J479^0.333,1))</f>
        <v>0</v>
      </c>
      <c r="K514" s="238"/>
      <c r="L514" s="3000">
        <f>LN(IF(L507&lt;L475,IF(LOG(L506)&lt;-0.1,118.9,10^(2.05-0.27*LOG(L506)))*L479^0.333,1))</f>
        <v>0</v>
      </c>
      <c r="M514" s="238"/>
      <c r="N514" s="3000">
        <f>LN(IF(N507&lt;N475,IF(LOG(N506)&lt;-0.1,118.9,10^(2.05-0.27*LOG(N506)))*N479^0.333,1))</f>
        <v>0</v>
      </c>
      <c r="O514" s="238"/>
      <c r="P514" s="3000">
        <f>LN(IF(P507&lt;P475,IF(LOG(P506)&lt;-0.1,118.9,10^(2.05-0.27*LOG(P506)))*P479^0.333,1))</f>
        <v>0</v>
      </c>
      <c r="Q514" s="238"/>
      <c r="R514" s="3000">
        <f>LN(IF(R507&lt;R475,IF(LOG(R506)&lt;-0.1,118.9,10^(2.05-0.27*LOG(R506)))*R479^0.333,1))</f>
        <v>0</v>
      </c>
      <c r="S514" s="238"/>
      <c r="T514" s="3000">
        <f>LN(IF(T507&lt;T475,IF(LOG(T506)&lt;-0.1,118.9,10^(2.05-0.27*LOG(T506)))*T479^0.333,1))</f>
        <v>0</v>
      </c>
      <c r="U514" s="238"/>
      <c r="V514" s="3000">
        <f>LN(IF(V507&lt;V475,IF(LOG(V506)&lt;-0.1,118.9,10^(2.05-0.27*LOG(V506)))*V479^0.333,1))</f>
        <v>0</v>
      </c>
      <c r="W514" s="238"/>
      <c r="X514" s="3000">
        <f>LN(IF(X507&lt;X475,IF(LOG(X506)&lt;-0.1,118.9,10^(2.05-0.27*LOG(X506)))*X479^0.333,1))</f>
        <v>0</v>
      </c>
      <c r="Y514" s="83"/>
      <c r="Z514" s="85"/>
      <c r="AA514" s="83"/>
      <c r="AB514" s="81"/>
      <c r="AC514" s="512" t="s">
        <v>5119</v>
      </c>
      <c r="AD514" s="81"/>
      <c r="AE514" s="3000">
        <f>LN(IF(AE509&lt;AE489,IF(LOG(AE508)&lt;-0.67,251.2,IF(LOG(AE508)&lt;-0.28,10^(2.8+0.59*LOG(AE508)),IF(LOG(AE508)&lt;-0.15,426.6,10^(2.56-0.49*LOG(AE508)))))*(AE492/Wind)^0.5,1))</f>
        <v>0</v>
      </c>
      <c r="AF514" s="81"/>
      <c r="AG514" s="3000">
        <f>LN(IF(AG509&lt;AG489,IF(LOG(AG508)&lt;-0.67,251.2,IF(LOG(AG508)&lt;-0.28,10^(2.8+0.59*LOG(AG508)),IF(LOG(AG508)&lt;-0.15,426.6,10^(2.56-0.49*LOG(AG508)))))*(AG492/Wind)^0.5,1))</f>
        <v>0</v>
      </c>
      <c r="AH514" s="81"/>
      <c r="AI514" s="3000">
        <f>LN(IF(AI509&lt;AI489,IF(LOG(AI508)&lt;-0.67,251.2,IF(LOG(AI508)&lt;-0.28,10^(2.8+0.59*LOG(AI508)),IF(LOG(AI508)&lt;-0.15,426.6,10^(2.56-0.49*LOG(AI508)))))*(AI492/Wind)^0.5,1))</f>
        <v>0</v>
      </c>
      <c r="AJ514" s="81"/>
      <c r="AK514" s="81"/>
      <c r="AL514" s="81"/>
      <c r="AM514" s="81"/>
      <c r="AN514" s="81"/>
      <c r="AO514" s="81"/>
      <c r="AP514" s="81"/>
      <c r="AQ514" s="85"/>
      <c r="AR514" s="81"/>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26"/>
      <c r="BR514" s="26"/>
      <c r="BS514" s="26"/>
      <c r="BT514" s="26"/>
      <c r="BU514" s="26"/>
      <c r="BV514" s="26"/>
      <c r="BW514" s="26"/>
      <c r="BX514" s="26"/>
      <c r="BY514" s="26"/>
      <c r="BZ514" s="26"/>
      <c r="CA514" s="26"/>
      <c r="CB514" s="26"/>
      <c r="CD514" s="26"/>
      <c r="CE514" s="26"/>
      <c r="CF514" s="26"/>
    </row>
    <row r="515" spans="1:84" ht="15" customHeight="1" x14ac:dyDescent="0.25">
      <c r="A515" s="2"/>
      <c r="B515" s="2977" t="s">
        <v>5051</v>
      </c>
      <c r="C515" s="83"/>
      <c r="D515" s="1230">
        <f>EXP(INDEX(LINEST($CJ$277:$CJ$283,D508:D514),2))*((Ambient_Temp+273)/(D416+273))*Roughness_A</f>
        <v>5.4578754578754546E-3</v>
      </c>
      <c r="E515" s="235"/>
      <c r="F515" s="1230">
        <f>EXP(INDEX(LINEST($CJ$277:$CJ$283,F508:F514),2))*((Ambient_Temp+273)/(F416+273))*Roughness_A</f>
        <v>5.4578754578754546E-3</v>
      </c>
      <c r="G515" s="238"/>
      <c r="H515" s="1230">
        <f>EXP(INDEX(LINEST($CJ$277:$CJ$283,H508:H514),2))*((Ambient_Temp+273)/(H416+273))*Roughness_A</f>
        <v>5.4578754578754546E-3</v>
      </c>
      <c r="I515" s="238"/>
      <c r="J515" s="1230">
        <f>EXP(INDEX(LINEST($CJ$277:$CJ$283,J508:J514),2))*((Ambient_Temp+273)/(J416+273))*Roughness_A</f>
        <v>5.4578754578754546E-3</v>
      </c>
      <c r="K515" s="238"/>
      <c r="L515" s="1230">
        <f>EXP(INDEX(LINEST($CJ$277:$CJ$283,L508:L514),2))*((Ambient_Temp+273)/(L416+273))*Roughness_A</f>
        <v>5.4578754578754546E-3</v>
      </c>
      <c r="M515" s="238"/>
      <c r="N515" s="1230">
        <f>EXP(INDEX(LINEST($CJ$277:$CJ$283,N508:N514),2))*((Ambient_Temp+273)/(N416+273))*Roughness_A</f>
        <v>5.4578754578754546E-3</v>
      </c>
      <c r="O515" s="238"/>
      <c r="P515" s="1230">
        <f>EXP(INDEX(LINEST($CJ$277:$CJ$283,P508:P514),2))*((Ambient_Temp+273)/(P416+273))*Roughness_A</f>
        <v>5.4578754578754546E-3</v>
      </c>
      <c r="Q515" s="238"/>
      <c r="R515" s="1230">
        <f>EXP(INDEX(LINEST($CJ$277:$CJ$283,R508:R514),2))*((Ambient_Temp+273)/(R416+273))*Roughness_A</f>
        <v>5.4578754578754546E-3</v>
      </c>
      <c r="S515" s="238"/>
      <c r="T515" s="1230">
        <f>EXP(INDEX(LINEST($CJ$277:$CJ$283,T508:T514),2))*((Ambient_Temp+273)/(T416+273))*Roughness_A</f>
        <v>5.4578754578754546E-3</v>
      </c>
      <c r="U515" s="238"/>
      <c r="V515" s="1230">
        <f>EXP(INDEX(LINEST($CJ$277:$CJ$283,V508:V514),2))*((Ambient_Temp+273)/(V416+273))*Roughness_A</f>
        <v>5.4578754578754546E-3</v>
      </c>
      <c r="W515" s="238"/>
      <c r="X515" s="1230">
        <f>EXP(INDEX(LINEST($CJ$277:$CJ$283,X508:X514),2))*((Ambient_Temp+273)/(X416+273))*Roughness_A</f>
        <v>5.4578754578754546E-3</v>
      </c>
      <c r="Y515" s="83"/>
      <c r="Z515" s="85"/>
      <c r="AA515" s="83"/>
      <c r="AB515" s="81"/>
      <c r="AC515" s="512" t="s">
        <v>5120</v>
      </c>
      <c r="AD515" s="81"/>
      <c r="AE515" s="3000">
        <f>LN(IF(AE509&lt;AE489,IF(LOG(AE508)&lt;-0.69,398.1,IF(LOG(AE508)&lt;-0.25,10^(2.87+0.39*LOG(AE508)),IF(LOG(AE508)&lt;-0.13,588.8,10^(2.71-0.5*LOG(AE508)))))*(AE492/Wind)^0.5,1))</f>
        <v>0</v>
      </c>
      <c r="AF515" s="81"/>
      <c r="AG515" s="3000">
        <f>LN(IF(AG509&lt;AG489,IF(LOG(AG508)&lt;-0.69,398.1,IF(LOG(AG508)&lt;-0.25,10^(2.87+0.39*LOG(AG508)),IF(LOG(AG508)&lt;-0.13,588.8,10^(2.71-0.5*LOG(AG508)))))*(AG492/Wind)^0.5,1))</f>
        <v>0</v>
      </c>
      <c r="AH515" s="81"/>
      <c r="AI515" s="3000">
        <f>LN(IF(AI509&lt;AI489,IF(LOG(AI508)&lt;-0.69,398.1,IF(LOG(AI508)&lt;-0.25,10^(2.87+0.39*LOG(AI508)),IF(LOG(AI508)&lt;-0.13,588.8,10^(2.71-0.5*LOG(AI508)))))*(AI492/Wind)^0.5,1))</f>
        <v>0</v>
      </c>
      <c r="AJ515" s="81"/>
      <c r="AK515" s="81"/>
      <c r="AL515" s="81"/>
      <c r="AM515" s="81"/>
      <c r="AN515" s="81"/>
      <c r="AO515" s="81"/>
      <c r="AP515" s="81"/>
      <c r="AQ515" s="85"/>
      <c r="AR515" s="81"/>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26"/>
      <c r="BR515" s="26"/>
      <c r="BS515" s="26"/>
      <c r="BT515" s="26"/>
      <c r="BU515" s="26"/>
      <c r="BV515" s="26"/>
      <c r="BW515" s="26"/>
      <c r="BX515" s="26"/>
      <c r="BY515" s="26"/>
      <c r="BZ515" s="26"/>
      <c r="CA515" s="26"/>
      <c r="CB515" s="26"/>
      <c r="CD515" s="26"/>
      <c r="CE515" s="26"/>
      <c r="CF515" s="26"/>
    </row>
    <row r="516" spans="1:84" ht="15" customHeight="1" x14ac:dyDescent="0.25">
      <c r="A516" s="2"/>
      <c r="B516" s="2977" t="s">
        <v>5052</v>
      </c>
      <c r="C516" s="83"/>
      <c r="D516" s="1230">
        <f>INDEX(LINEST($CJ$277:$CJ$283,D508:D514),1)+Roughness_B</f>
        <v>0</v>
      </c>
      <c r="E516" s="235"/>
      <c r="F516" s="1230">
        <f>INDEX(LINEST($CJ$277:$CJ$283,F508:F514),1)+Roughness_B</f>
        <v>0</v>
      </c>
      <c r="G516" s="238"/>
      <c r="H516" s="1230">
        <f>INDEX(LINEST($CJ$277:$CJ$283,H508:H514),1)+Roughness_B</f>
        <v>0</v>
      </c>
      <c r="I516" s="238"/>
      <c r="J516" s="1230">
        <f>INDEX(LINEST($CJ$277:$CJ$283,J508:J514),1)+Roughness_B</f>
        <v>0</v>
      </c>
      <c r="K516" s="238"/>
      <c r="L516" s="1230">
        <f>INDEX(LINEST($CJ$277:$CJ$283,L508:L514),1)+Roughness_B</f>
        <v>0</v>
      </c>
      <c r="M516" s="238"/>
      <c r="N516" s="1230">
        <f>INDEX(LINEST($CJ$277:$CJ$283,N508:N514),1)+Roughness_B</f>
        <v>0</v>
      </c>
      <c r="O516" s="238"/>
      <c r="P516" s="1230">
        <f>INDEX(LINEST($CJ$277:$CJ$283,P508:P514),1)+Roughness_B</f>
        <v>0</v>
      </c>
      <c r="Q516" s="238"/>
      <c r="R516" s="1230">
        <f>INDEX(LINEST($CJ$277:$CJ$283,R508:R514),1)+Roughness_B</f>
        <v>0</v>
      </c>
      <c r="S516" s="238"/>
      <c r="T516" s="1230">
        <f>INDEX(LINEST($CJ$277:$CJ$283,T508:T514),1)+Roughness_B</f>
        <v>0</v>
      </c>
      <c r="U516" s="238"/>
      <c r="V516" s="1230">
        <f>INDEX(LINEST($CJ$277:$CJ$283,V508:V514),1)+Roughness_B</f>
        <v>0</v>
      </c>
      <c r="W516" s="238"/>
      <c r="X516" s="1230">
        <f>INDEX(LINEST($CJ$277:$CJ$283,X508:X514),1)+Roughness_B</f>
        <v>0</v>
      </c>
      <c r="Y516" s="83"/>
      <c r="Z516" s="85"/>
      <c r="AA516" s="83"/>
      <c r="AB516" s="81"/>
      <c r="AC516" s="2977" t="s">
        <v>5050</v>
      </c>
      <c r="AD516" s="81"/>
      <c r="AE516" s="1230">
        <f>EXP(INDEX(LINEST($CJ$277:$CJ$282,AE510:AE515),2))*((Ambient_Temp+273)/(AE430+273))*Roughness_A</f>
        <v>8.0110655998420644E-3</v>
      </c>
      <c r="AF516" s="81"/>
      <c r="AG516" s="1230">
        <f>EXP(INDEX(LINEST($CJ$277:$CJ$282,AG510:AG515),2))*((Ambient_Temp+273)/(AG430+273))*Roughness_A</f>
        <v>8.0110655998420644E-3</v>
      </c>
      <c r="AH516" s="81"/>
      <c r="AI516" s="1230">
        <f>EXP(INDEX(LINEST($CJ$277:$CJ$282,AI510:AI515),2))*((Ambient_Temp+273)/(AI430+273))*Roughness_A</f>
        <v>8.0110655998420644E-3</v>
      </c>
      <c r="AJ516" s="81"/>
      <c r="AK516" s="81"/>
      <c r="AL516" s="81"/>
      <c r="AM516" s="81"/>
      <c r="AN516" s="81"/>
      <c r="AO516" s="81"/>
      <c r="AP516" s="81"/>
      <c r="AQ516" s="85"/>
      <c r="AR516" s="81"/>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26"/>
      <c r="BR516" s="26"/>
      <c r="BS516" s="26"/>
      <c r="BT516" s="26"/>
      <c r="BU516" s="26"/>
      <c r="BV516" s="26"/>
      <c r="BW516" s="26"/>
      <c r="BX516" s="26"/>
      <c r="BY516" s="26"/>
      <c r="BZ516" s="26"/>
      <c r="CA516" s="26"/>
      <c r="CB516" s="26"/>
      <c r="CD516" s="26"/>
      <c r="CE516" s="26"/>
      <c r="CF516" s="26"/>
    </row>
    <row r="517" spans="1:84" ht="15" customHeight="1" x14ac:dyDescent="0.25">
      <c r="A517" s="2"/>
      <c r="B517" s="1691" t="s">
        <v>5067</v>
      </c>
      <c r="C517" s="83"/>
      <c r="D517" s="2401">
        <f>IF(D507&lt;D475,(D515/(D507/D475))^(-1/D516),0)</f>
        <v>0</v>
      </c>
      <c r="E517" s="235"/>
      <c r="F517" s="2401">
        <f>IF(F507&lt;F475,(F515/(F507/F475))^(-1/F516),0)</f>
        <v>0</v>
      </c>
      <c r="G517" s="238"/>
      <c r="H517" s="2401">
        <f>IF(H507&lt;H475,(H515/(H507/H475))^(-1/H516),0)</f>
        <v>0</v>
      </c>
      <c r="I517" s="238"/>
      <c r="J517" s="2401">
        <f>IF(J507&lt;J475,(J515/(J507/J475))^(-1/J516),0)</f>
        <v>0</v>
      </c>
      <c r="K517" s="238"/>
      <c r="L517" s="2401">
        <f>IF(L507&lt;L475,(L515/(L507/L475))^(-1/L516),0)</f>
        <v>0</v>
      </c>
      <c r="M517" s="238"/>
      <c r="N517" s="2401">
        <f>IF(N507&lt;N475,(N515/(N507/N475))^(-1/N516),0)</f>
        <v>0</v>
      </c>
      <c r="O517" s="238"/>
      <c r="P517" s="2401">
        <f>IF(P507&lt;P475,(P515/(P507/P475))^(-1/P516),0)</f>
        <v>0</v>
      </c>
      <c r="Q517" s="238"/>
      <c r="R517" s="2401">
        <f>IF(R507&lt;R475,(R515/(R507/R475))^(-1/R516),0)</f>
        <v>0</v>
      </c>
      <c r="S517" s="238"/>
      <c r="T517" s="2401">
        <f>IF(T507&lt;T475,(T515/(T507/T475))^(-1/T516),0)</f>
        <v>0</v>
      </c>
      <c r="U517" s="238"/>
      <c r="V517" s="2401">
        <f>IF(V507&lt;V475,(V515/(V507/V475))^(-1/V516),0)</f>
        <v>0</v>
      </c>
      <c r="W517" s="238"/>
      <c r="X517" s="2401">
        <f>IF(X507&lt;X475,(X515/(X507/X475))^(-1/X516),0)</f>
        <v>0</v>
      </c>
      <c r="Y517" s="83"/>
      <c r="Z517" s="85"/>
      <c r="AA517" s="83"/>
      <c r="AB517" s="81"/>
      <c r="AC517" s="2977" t="s">
        <v>5053</v>
      </c>
      <c r="AD517" s="81"/>
      <c r="AE517" s="1230">
        <f>INDEX(LINEST($CJ$277:$CJ$282,AE510:AE515),1)+Roughness_B</f>
        <v>0</v>
      </c>
      <c r="AF517" s="81"/>
      <c r="AG517" s="1230">
        <f>INDEX(LINEST($CJ$277:$CJ$282,AG510:AG515),1)+Roughness_B</f>
        <v>0</v>
      </c>
      <c r="AH517" s="81"/>
      <c r="AI517" s="1230">
        <f>INDEX(LINEST($CJ$277:$CJ$282,AI510:AI515),1)+Roughness_B</f>
        <v>0</v>
      </c>
      <c r="AJ517" s="81"/>
      <c r="AK517" s="81"/>
      <c r="AL517" s="81"/>
      <c r="AM517" s="81"/>
      <c r="AN517" s="81"/>
      <c r="AO517" s="81"/>
      <c r="AP517" s="81"/>
      <c r="AQ517" s="85"/>
      <c r="AR517" s="81"/>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26"/>
      <c r="BR517" s="26"/>
      <c r="BS517" s="26"/>
      <c r="BT517" s="26"/>
      <c r="BU517" s="26"/>
      <c r="BV517" s="26"/>
      <c r="BW517" s="26"/>
      <c r="BX517" s="26"/>
      <c r="BY517" s="26"/>
      <c r="BZ517" s="26"/>
      <c r="CA517" s="26"/>
      <c r="CB517" s="26"/>
      <c r="CD517" s="26"/>
      <c r="CE517" s="26"/>
      <c r="CF517" s="26"/>
    </row>
    <row r="518" spans="1:84" ht="15" customHeight="1" x14ac:dyDescent="0.25">
      <c r="A518" s="2"/>
      <c r="B518" s="1691" t="s">
        <v>5071</v>
      </c>
      <c r="C518" s="83"/>
      <c r="D518" s="2985">
        <f>IF(D517&gt;0,NBPuff_A*D457/(D474*D507),0)^NBPuff_B</f>
        <v>0</v>
      </c>
      <c r="E518" s="235"/>
      <c r="F518" s="2985">
        <f>IF(F517&gt;0,NBPuff_A*F457/(F474*F507),0)^NBPuff_B</f>
        <v>0</v>
      </c>
      <c r="G518" s="238"/>
      <c r="H518" s="2985">
        <f>IF(H517&gt;0,NBPuff_A*H457/(H474*H507),0)^NBPuff_B</f>
        <v>0</v>
      </c>
      <c r="I518" s="238"/>
      <c r="J518" s="2985">
        <f>IF(J517&gt;0,NBPuff_A*J457/(J474*J507),0)^NBPuff_B</f>
        <v>0</v>
      </c>
      <c r="K518" s="238"/>
      <c r="L518" s="2985">
        <f>IF(L517&gt;0,NBPuff_A*L457/(L474*L507),0)^NBPuff_B</f>
        <v>0</v>
      </c>
      <c r="M518" s="238"/>
      <c r="N518" s="2985">
        <f>IF(N517&gt;0,NBPuff_A*N457/(N474*N507),0)^NBPuff_B</f>
        <v>0</v>
      </c>
      <c r="O518" s="238"/>
      <c r="P518" s="2985">
        <f>IF(P517&gt;0,NBPuff_A*P457/(P474*P507),0)^NBPuff_B</f>
        <v>0</v>
      </c>
      <c r="Q518" s="238"/>
      <c r="R518" s="2985">
        <f>IF(R517&gt;0,NBPuff_A*R457/(R474*R507),0)^NBPuff_B</f>
        <v>0</v>
      </c>
      <c r="S518" s="238"/>
      <c r="T518" s="2985">
        <f>IF(T517&gt;0,NBPuff_A*T457/(T474*T507),0)^NBPuff_B</f>
        <v>0</v>
      </c>
      <c r="U518" s="238"/>
      <c r="V518" s="2985">
        <f>IF(V517&gt;0,NBPuff_A*V457/(V474*V507),0)^NBPuff_B</f>
        <v>0</v>
      </c>
      <c r="W518" s="238"/>
      <c r="X518" s="2985">
        <f>IF(X517&gt;0,NBPuff_A*X457/(X474*X507),0)^NBPuff_B</f>
        <v>0</v>
      </c>
      <c r="Y518" s="83"/>
      <c r="Z518" s="85"/>
      <c r="AA518" s="83"/>
      <c r="AB518" s="81"/>
      <c r="AC518" s="1691" t="s">
        <v>5066</v>
      </c>
      <c r="AD518" s="81"/>
      <c r="AE518" s="2401">
        <f>IF(AE509&lt;AE489,(AE516/(AE509/AE489))^(-1/AE517),0)</f>
        <v>0</v>
      </c>
      <c r="AF518" s="81"/>
      <c r="AG518" s="2401">
        <f>IF(AG509&lt;AG489,(AG516/(AG509/AG489))^(-1/AG517),0)</f>
        <v>0</v>
      </c>
      <c r="AH518" s="81"/>
      <c r="AI518" s="2401">
        <f>IF(AI509&lt;AI489,(AI516/(AI509/AI489))^(-1/AI517),0)</f>
        <v>0</v>
      </c>
      <c r="AJ518" s="81"/>
      <c r="AK518" s="81"/>
      <c r="AL518" s="81"/>
      <c r="AM518" s="81"/>
      <c r="AN518" s="81"/>
      <c r="AO518" s="81"/>
      <c r="AP518" s="81"/>
      <c r="AQ518" s="85"/>
      <c r="AR518" s="81"/>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26"/>
      <c r="BR518" s="26"/>
      <c r="BS518" s="26"/>
      <c r="BT518" s="26"/>
      <c r="BU518" s="26"/>
      <c r="BV518" s="26"/>
      <c r="BW518" s="26"/>
      <c r="BX518" s="26"/>
      <c r="BY518" s="26"/>
      <c r="BZ518" s="26"/>
      <c r="CA518" s="26"/>
      <c r="CB518" s="26"/>
      <c r="CD518" s="26"/>
      <c r="CE518" s="26"/>
      <c r="CF518" s="26"/>
    </row>
    <row r="519" spans="1:84" ht="15" customHeight="1" x14ac:dyDescent="0.25">
      <c r="A519" s="2"/>
      <c r="B519" s="512" t="s">
        <v>5099</v>
      </c>
      <c r="C519" s="83"/>
      <c r="D519" s="1289">
        <f>IF(D457&gt;0,LN(IF(D517&gt;=10,D475*D515*10^D516,NBPuff_A*D457/D474/(10-D517+D518)^(1/NBPuff_B))),0)</f>
        <v>0</v>
      </c>
      <c r="E519" s="235"/>
      <c r="F519" s="1289">
        <f>IF(F457&gt;0,LN(IF(F517&gt;=10,F475*F515*10^F516,NBPuff_A*F457/F474/(10-F517+F518)^(1/NBPuff_B))),0)</f>
        <v>0</v>
      </c>
      <c r="G519" s="238"/>
      <c r="H519" s="1289">
        <f>IF(H457&gt;0,LN(IF(H517&gt;=10,H475*H515*10^H516,NBPuff_A*H457/H474/(10-H517+H518)^(1/NBPuff_B))),0)</f>
        <v>0</v>
      </c>
      <c r="I519" s="238"/>
      <c r="J519" s="1289">
        <f>IF(J457&gt;0,LN(IF(J517&gt;=10,J475*J515*10^J516,NBPuff_A*J457/J474/(10-J517+J518)^(1/NBPuff_B))),0)</f>
        <v>0</v>
      </c>
      <c r="K519" s="238"/>
      <c r="L519" s="1289">
        <f>IF(L457&gt;0,LN(IF(L517&gt;=10,L475*L515*10^L516,NBPuff_A*L457/L474/(10-L517+L518)^(1/NBPuff_B))),0)</f>
        <v>0</v>
      </c>
      <c r="M519" s="238"/>
      <c r="N519" s="1289">
        <f>IF(N457&gt;0,LN(IF(N517&gt;=10,N475*N515*10^N516,NBPuff_A*N457/N474/(10-N517+N518)^(1/NBPuff_B))),0)</f>
        <v>0</v>
      </c>
      <c r="O519" s="238"/>
      <c r="P519" s="1289">
        <f>IF(P457&gt;0,LN(IF(P517&gt;=10,P475*P515*10^P516,NBPuff_A*P457/P474/(10-P517+P518)^(1/NBPuff_B))),0)</f>
        <v>0</v>
      </c>
      <c r="Q519" s="238"/>
      <c r="R519" s="1289">
        <f>IF(R457&gt;0,LN(IF(R517&gt;=10,R475*R515*10^R516,NBPuff_A*R457/R474/(10-R517+R518)^(1/NBPuff_B))),0)</f>
        <v>0</v>
      </c>
      <c r="S519" s="238"/>
      <c r="T519" s="1289">
        <f>IF(T457&gt;0,LN(IF(T517&gt;=10,T475*T515*10^T516,NBPuff_A*T457/T474/(10-T517+T518)^(1/NBPuff_B))),0)</f>
        <v>0</v>
      </c>
      <c r="U519" s="238"/>
      <c r="V519" s="1289">
        <f>IF(V457&gt;0,LN(IF(V517&gt;=10,V475*V515*10^V516,NBPuff_A*V457/V474/(10-V517+V518)^(1/NBPuff_B))),0)</f>
        <v>0</v>
      </c>
      <c r="W519" s="238"/>
      <c r="X519" s="1289">
        <f>IF(X457&gt;0,LN(IF(X517&gt;=10,X475*X515*10^X516,NBPuff_A*X457/X474/(10-X517+X518)^(1/NBPuff_B))),0)</f>
        <v>0</v>
      </c>
      <c r="Y519" s="83"/>
      <c r="Z519" s="85"/>
      <c r="AA519" s="83"/>
      <c r="AB519" s="81"/>
      <c r="AC519" s="1691" t="s">
        <v>5070</v>
      </c>
      <c r="AD519" s="81"/>
      <c r="AE519" s="2985">
        <f>IF(AE518&gt;0,NBPlume_A*AE478/(AE488*Wind*AE509),0)^NBPlume_B</f>
        <v>0</v>
      </c>
      <c r="AF519" s="81"/>
      <c r="AG519" s="2985">
        <f>IF(AG518&gt;0,NBPlume_A*AG478/(AG488*Wind*AG509),0)^NBPlume_B</f>
        <v>0</v>
      </c>
      <c r="AH519" s="81"/>
      <c r="AI519" s="2985">
        <f>IF(AI518&gt;0,NBPlume_A*AI478/(AI488*Wind*AI509),0)^NBPlume_B</f>
        <v>0</v>
      </c>
      <c r="AJ519" s="81"/>
      <c r="AK519" s="81"/>
      <c r="AL519" s="81"/>
      <c r="AM519" s="81"/>
      <c r="AN519" s="81"/>
      <c r="AO519" s="81"/>
      <c r="AP519" s="81"/>
      <c r="AQ519" s="85"/>
      <c r="AR519" s="81"/>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26"/>
      <c r="BR519" s="26"/>
      <c r="BS519" s="26"/>
      <c r="BT519" s="26"/>
      <c r="BU519" s="26"/>
      <c r="BV519" s="26"/>
      <c r="BW519" s="26"/>
      <c r="BX519" s="26"/>
      <c r="BY519" s="26"/>
      <c r="BZ519" s="26"/>
      <c r="CA519" s="26"/>
      <c r="CB519" s="26"/>
      <c r="CD519" s="26"/>
      <c r="CE519" s="26"/>
      <c r="CF519" s="26"/>
    </row>
    <row r="520" spans="1:84" ht="15" customHeight="1" x14ac:dyDescent="0.25">
      <c r="A520" s="2"/>
      <c r="B520" s="512" t="s">
        <v>5100</v>
      </c>
      <c r="C520" s="83"/>
      <c r="D520" s="1289">
        <f>IF(D457&gt;0,LN(IF(D517&gt;=20,D475*D515*20^D516,NBPuff_A*D457/D474/(20-D517+D518)^(1/NBPuff_B))),0)</f>
        <v>0</v>
      </c>
      <c r="E520" s="235"/>
      <c r="F520" s="1289">
        <f>IF(F457&gt;0,LN(IF(F517&gt;=20,F475*F515*20^F516,NBPuff_A*F457/F474/(20-F517+F518)^(1/NBPuff_B))),0)</f>
        <v>0</v>
      </c>
      <c r="G520" s="238"/>
      <c r="H520" s="1289">
        <f>IF(H457&gt;0,LN(IF(H517&gt;=20,H475*H515*20^H516,NBPuff_A*H457/H474/(20-H517+H518)^(1/NBPuff_B))),0)</f>
        <v>0</v>
      </c>
      <c r="I520" s="238"/>
      <c r="J520" s="1289">
        <f>IF(J457&gt;0,LN(IF(J517&gt;=20,J475*J515*20^J516,NBPuff_A*J457/J474/(20-J517+J518)^(1/NBPuff_B))),0)</f>
        <v>0</v>
      </c>
      <c r="K520" s="238"/>
      <c r="L520" s="1289">
        <f>IF(L457&gt;0,LN(IF(L517&gt;=20,L475*L515*20^L516,NBPuff_A*L457/L474/(20-L517+L518)^(1/NBPuff_B))),0)</f>
        <v>0</v>
      </c>
      <c r="M520" s="238"/>
      <c r="N520" s="1289">
        <f>IF(N457&gt;0,LN(IF(N517&gt;=20,N475*N515*20^N516,NBPuff_A*N457/N474/(20-N517+N518)^(1/NBPuff_B))),0)</f>
        <v>0</v>
      </c>
      <c r="O520" s="238"/>
      <c r="P520" s="1289">
        <f>IF(P457&gt;0,LN(IF(P517&gt;=20,P475*P515*20^P516,NBPuff_A*P457/P474/(20-P517+P518)^(1/NBPuff_B))),0)</f>
        <v>0</v>
      </c>
      <c r="Q520" s="238"/>
      <c r="R520" s="1289">
        <f>IF(R457&gt;0,LN(IF(R517&gt;=20,R475*R515*20^R516,NBPuff_A*R457/R474/(20-R517+R518)^(1/NBPuff_B))),0)</f>
        <v>0</v>
      </c>
      <c r="S520" s="238"/>
      <c r="T520" s="1289">
        <f>IF(T457&gt;0,LN(IF(T517&gt;=20,T475*T515*20^T516,NBPuff_A*T457/T474/(20-T517+T518)^(1/NBPuff_B))),0)</f>
        <v>0</v>
      </c>
      <c r="U520" s="238"/>
      <c r="V520" s="1289">
        <f>IF(V457&gt;0,LN(IF(V517&gt;=20,V475*V515*20^V516,NBPuff_A*V457/V474/(20-V517+V518)^(1/NBPuff_B))),0)</f>
        <v>0</v>
      </c>
      <c r="W520" s="238"/>
      <c r="X520" s="1289">
        <f>IF(X457&gt;0,LN(IF(X517&gt;=20,X475*X515*20^X516,NBPuff_A*X457/X474/(20-X517+X518)^(1/NBPuff_B))),0)</f>
        <v>0</v>
      </c>
      <c r="Y520" s="83"/>
      <c r="Z520" s="85"/>
      <c r="AA520" s="83"/>
      <c r="AB520" s="81"/>
      <c r="AC520" s="512" t="s">
        <v>5099</v>
      </c>
      <c r="AD520" s="81"/>
      <c r="AE520" s="2981">
        <f>IF(AE478&gt;0,LN(IF(AE518&gt;=10,AE489*AE516*10^AE517,NBPlume_A*AE478/(AE488*Wind)/(10-AE518+AE519)^(1/NBPlume_B))),0)</f>
        <v>-13.887658094401054</v>
      </c>
      <c r="AF520" s="81"/>
      <c r="AG520" s="2981">
        <f>IF(AG478&gt;0,LN(IF(AG518&gt;=10,AG489*AG516*10^AG517,NBPlume_A*AG478/(AG488*Wind)/(10-AG518+AG519)^(1/NBPlume_B))),0)</f>
        <v>-13.887658094401054</v>
      </c>
      <c r="AH520" s="81"/>
      <c r="AI520" s="2981">
        <f>IF(AI478&gt;0,LN(IF(AI518&gt;=10,AI489*AI516*10^AI517,NBPlume_A*AI478/(AI488*Wind)/(10-AI518+AI519)^(1/NBPlume_B))),0)</f>
        <v>-13.887658094401054</v>
      </c>
      <c r="AJ520" s="81"/>
      <c r="AK520" s="81"/>
      <c r="AL520" s="81"/>
      <c r="AM520" s="81"/>
      <c r="AN520" s="81"/>
      <c r="AO520" s="81"/>
      <c r="AP520" s="81"/>
      <c r="AQ520" s="85"/>
      <c r="AR520" s="81"/>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26"/>
      <c r="BR520" s="26"/>
      <c r="BS520" s="26"/>
      <c r="BT520" s="26"/>
      <c r="BU520" s="26"/>
      <c r="BV520" s="26"/>
      <c r="BW520" s="26"/>
      <c r="BX520" s="26"/>
      <c r="BY520" s="26"/>
      <c r="BZ520" s="26"/>
      <c r="CA520" s="26"/>
      <c r="CB520" s="26"/>
      <c r="CD520" s="26"/>
      <c r="CE520" s="26"/>
      <c r="CF520" s="26"/>
    </row>
    <row r="521" spans="1:84" ht="15" customHeight="1" x14ac:dyDescent="0.25">
      <c r="A521" s="2"/>
      <c r="B521" s="512" t="s">
        <v>5101</v>
      </c>
      <c r="C521" s="83"/>
      <c r="D521" s="1289">
        <f>IF(D457&gt;0,LN(IF(D517&gt;=50,D475*D515*50^D516,NBPuff_A*D457/D474/(50-D517+D518)^(1/NBPuff_B))),0)</f>
        <v>0</v>
      </c>
      <c r="E521" s="235"/>
      <c r="F521" s="1289">
        <f>IF(F457&gt;0,LN(IF(F517&gt;=50,F475*F515*50^F516,NBPuff_A*F457/F474/(50-F517+F518)^(1/NBPuff_B))),0)</f>
        <v>0</v>
      </c>
      <c r="G521" s="238"/>
      <c r="H521" s="1289">
        <f>IF(H457&gt;0,LN(IF(H517&gt;=50,H475*H515*50^H516,NBPuff_A*H457/H474/(50-H517+H518)^(1/NBPuff_B))),0)</f>
        <v>0</v>
      </c>
      <c r="I521" s="238"/>
      <c r="J521" s="1289">
        <f>IF(J457&gt;0,LN(IF(J517&gt;=50,J475*J515*50^J516,NBPuff_A*J457/J474/(50-J517+J518)^(1/NBPuff_B))),0)</f>
        <v>0</v>
      </c>
      <c r="K521" s="238"/>
      <c r="L521" s="1289">
        <f>IF(L457&gt;0,LN(IF(L517&gt;=50,L475*L515*50^L516,NBPuff_A*L457/L474/(50-L517+L518)^(1/NBPuff_B))),0)</f>
        <v>0</v>
      </c>
      <c r="M521" s="238"/>
      <c r="N521" s="1289">
        <f>IF(N457&gt;0,LN(IF(N517&gt;=50,N475*N515*50^N516,NBPuff_A*N457/N474/(50-N517+N518)^(1/NBPuff_B))),0)</f>
        <v>0</v>
      </c>
      <c r="O521" s="238"/>
      <c r="P521" s="1289">
        <f>IF(P457&gt;0,LN(IF(P517&gt;=50,P475*P515*50^P516,NBPuff_A*P457/P474/(50-P517+P518)^(1/NBPuff_B))),0)</f>
        <v>0</v>
      </c>
      <c r="Q521" s="238"/>
      <c r="R521" s="1289">
        <f>IF(R457&gt;0,LN(IF(R517&gt;=50,R475*R515*50^R516,NBPuff_A*R457/R474/(50-R517+R518)^(1/NBPuff_B))),0)</f>
        <v>0</v>
      </c>
      <c r="S521" s="238"/>
      <c r="T521" s="1289">
        <f>IF(T457&gt;0,LN(IF(T517&gt;=50,T475*T515*50^T516,NBPuff_A*T457/T474/(50-T517+T518)^(1/NBPuff_B))),0)</f>
        <v>0</v>
      </c>
      <c r="U521" s="238"/>
      <c r="V521" s="1289">
        <f>IF(V457&gt;0,LN(IF(V517&gt;=50,V475*V515*50^V516,NBPuff_A*V457/V474/(50-V517+V518)^(1/NBPuff_B))),0)</f>
        <v>0</v>
      </c>
      <c r="W521" s="238"/>
      <c r="X521" s="1289">
        <f>IF(X457&gt;0,LN(IF(X517&gt;=50,X475*X515*50^X516,NBPuff_A*X457/X474/(50-X517+X518)^(1/NBPuff_B))),0)</f>
        <v>0</v>
      </c>
      <c r="Y521" s="83"/>
      <c r="Z521" s="85"/>
      <c r="AA521" s="83"/>
      <c r="AB521" s="81"/>
      <c r="AC521" s="512" t="s">
        <v>5100</v>
      </c>
      <c r="AD521" s="81"/>
      <c r="AE521" s="2981">
        <f>IF(AE478&gt;0,LN(IF(AE518&gt;=50,AE489*AE516*50^AE517,NBPlume_A*AE478/(AE488*Wind)/(50-AE518+AE519)^(1/NBPlume_B))),0)</f>
        <v>-16.430569996046934</v>
      </c>
      <c r="AF521" s="81"/>
      <c r="AG521" s="2981">
        <f>IF(AG478&gt;0,LN(IF(AG518&gt;=50,AG489*AG516*50^AG517,NBPlume_A*AG478/(AG488*Wind)/(50-AG518+AG519)^(1/NBPlume_B))),0)</f>
        <v>-16.430569996046934</v>
      </c>
      <c r="AH521" s="81"/>
      <c r="AI521" s="2981">
        <f>IF(AI478&gt;0,LN(IF(AI518&gt;=50,AI489*AI516*50^AI517,NBPlume_A*AI478/(AI488*Wind)/(50-AI518+AI519)^(1/NBPlume_B))),0)</f>
        <v>-16.430569996046934</v>
      </c>
      <c r="AJ521" s="81"/>
      <c r="AK521" s="81"/>
      <c r="AL521" s="81"/>
      <c r="AM521" s="81"/>
      <c r="AN521" s="81"/>
      <c r="AO521" s="81"/>
      <c r="AP521" s="81"/>
      <c r="AQ521" s="85"/>
      <c r="AR521" s="81"/>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26"/>
      <c r="BR521" s="26"/>
      <c r="BS521" s="26"/>
      <c r="BT521" s="26"/>
      <c r="BU521" s="26"/>
      <c r="BV521" s="26"/>
      <c r="BW521" s="26"/>
      <c r="BX521" s="26"/>
      <c r="BY521" s="26"/>
      <c r="BZ521" s="26"/>
      <c r="CA521" s="26"/>
      <c r="CB521" s="26"/>
      <c r="CD521" s="26"/>
      <c r="CE521" s="26"/>
      <c r="CF521" s="26"/>
    </row>
    <row r="522" spans="1:84" ht="15" customHeight="1" x14ac:dyDescent="0.25">
      <c r="A522" s="2"/>
      <c r="B522" s="512" t="s">
        <v>5102</v>
      </c>
      <c r="C522" s="83"/>
      <c r="D522" s="1289">
        <f>IF(D457&gt;0,LN(IF(D517&gt;=100,D475*D515*100^D516,NBPuff_A*D457/D474/(100-D517+D518)^(1/NBPuff_B))),0)</f>
        <v>0</v>
      </c>
      <c r="E522" s="235"/>
      <c r="F522" s="1289">
        <f>IF(F457&gt;0,LN(IF(F517&gt;=100,F475*F515*100^F516,NBPuff_A*F457/F474/(100-F517+F518)^(1/NBPuff_B))),0)</f>
        <v>0</v>
      </c>
      <c r="G522" s="238"/>
      <c r="H522" s="1289">
        <f>IF(H457&gt;0,LN(IF(H517&gt;=100,H475*H515*100^H516,NBPuff_A*H457/H474/(100-H517+H518)^(1/NBPuff_B))),0)</f>
        <v>0</v>
      </c>
      <c r="I522" s="238"/>
      <c r="J522" s="1289">
        <f>IF(J457&gt;0,LN(IF(J517&gt;=100,J475*J515*100^J516,NBPuff_A*J457/J474/(100-J517+J518)^(1/NBPuff_B))),0)</f>
        <v>0</v>
      </c>
      <c r="K522" s="238"/>
      <c r="L522" s="1289">
        <f>IF(L457&gt;0,LN(IF(L517&gt;=100,L475*L515*100^L516,NBPuff_A*L457/L474/(100-L517+L518)^(1/NBPuff_B))),0)</f>
        <v>0</v>
      </c>
      <c r="M522" s="238"/>
      <c r="N522" s="1289">
        <f>IF(N457&gt;0,LN(IF(N517&gt;=100,N475*N515*100^N516,NBPuff_A*N457/N474/(100-N517+N518)^(1/NBPuff_B))),0)</f>
        <v>0</v>
      </c>
      <c r="O522" s="238"/>
      <c r="P522" s="1289">
        <f>IF(P457&gt;0,LN(IF(P517&gt;=100,P475*P515*100^P516,NBPuff_A*P457/P474/(100-P517+P518)^(1/NBPuff_B))),0)</f>
        <v>0</v>
      </c>
      <c r="Q522" s="238"/>
      <c r="R522" s="1289">
        <f>IF(R457&gt;0,LN(IF(R517&gt;=100,R475*R515*100^R516,NBPuff_A*R457/R474/(100-R517+R518)^(1/NBPuff_B))),0)</f>
        <v>0</v>
      </c>
      <c r="S522" s="238"/>
      <c r="T522" s="1289">
        <f>IF(T457&gt;0,LN(IF(T517&gt;=100,T475*T515*100^T516,NBPuff_A*T457/T474/(100-T517+T518)^(1/NBPuff_B))),0)</f>
        <v>0</v>
      </c>
      <c r="U522" s="238"/>
      <c r="V522" s="1289">
        <f>IF(V457&gt;0,LN(IF(V517&gt;=100,V475*V515*100^V516,NBPuff_A*V457/V474/(100-V517+V518)^(1/NBPuff_B))),0)</f>
        <v>0</v>
      </c>
      <c r="W522" s="238"/>
      <c r="X522" s="1289">
        <f>IF(X457&gt;0,LN(IF(X517&gt;=100,X475*X515*100^X516,NBPuff_A*X457/X474/(100-X517+X518)^(1/NBPuff_B))),0)</f>
        <v>0</v>
      </c>
      <c r="Y522" s="83"/>
      <c r="Z522" s="85"/>
      <c r="AA522" s="83"/>
      <c r="AB522" s="81"/>
      <c r="AC522" s="512" t="s">
        <v>5101</v>
      </c>
      <c r="AD522" s="81"/>
      <c r="AE522" s="2981">
        <f>IF(AE478&gt;0,LN(IF(AE518&gt;=100,AE489*AE516*100^AE517,NBPlume_A*AE478/(AE488*Wind)/(100-AE518+AE519)^(1/NBPlume_B))),0)</f>
        <v>-17.525742541331645</v>
      </c>
      <c r="AF522" s="81"/>
      <c r="AG522" s="2981">
        <f>IF(AG478&gt;0,LN(IF(AG518&gt;=100,AG489*AG516*100^AG517,NBPlume_A*AG478/(AG488*Wind)/(100-AG518+AG519)^(1/NBPlume_B))),0)</f>
        <v>-17.525742541331645</v>
      </c>
      <c r="AH522" s="81"/>
      <c r="AI522" s="2981">
        <f>IF(AI478&gt;0,LN(IF(AI518&gt;=100,AI489*AI516*100^AI517,NBPlume_A*AI478/(AI488*Wind)/(100-AI518+AI519)^(1/NBPlume_B))),0)</f>
        <v>-17.525742541331645</v>
      </c>
      <c r="AJ522" s="81"/>
      <c r="AK522" s="81"/>
      <c r="AL522" s="81"/>
      <c r="AM522" s="81"/>
      <c r="AN522" s="81"/>
      <c r="AO522" s="81"/>
      <c r="AP522" s="81"/>
      <c r="AQ522" s="85"/>
      <c r="AR522" s="81"/>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26"/>
      <c r="BR522" s="26"/>
      <c r="BS522" s="26"/>
      <c r="BT522" s="26"/>
      <c r="BU522" s="26"/>
      <c r="BV522" s="26"/>
      <c r="BW522" s="26"/>
      <c r="BX522" s="26"/>
      <c r="BY522" s="26"/>
      <c r="BZ522" s="26"/>
      <c r="CA522" s="26"/>
      <c r="CB522" s="26"/>
      <c r="CD522" s="26"/>
      <c r="CE522" s="26"/>
      <c r="CF522" s="26"/>
    </row>
    <row r="523" spans="1:84" ht="15" customHeight="1" x14ac:dyDescent="0.25">
      <c r="A523" s="2"/>
      <c r="B523" s="512" t="s">
        <v>5103</v>
      </c>
      <c r="C523" s="83"/>
      <c r="D523" s="1289">
        <f>IF(D457&gt;0,LN(IF(D517&gt;=200,D475*D515*200^D516,NBPuff_A*D457/D474/(200-D517+D518)^(1/NBPuff_B))),0)</f>
        <v>0</v>
      </c>
      <c r="E523" s="235"/>
      <c r="F523" s="1289">
        <f>IF(F457&gt;0,LN(IF(F517&gt;=200,F475*F515*200^F516,NBPuff_A*F457/F474/(200-F517+F518)^(1/NBPuff_B))),0)</f>
        <v>0</v>
      </c>
      <c r="G523" s="238"/>
      <c r="H523" s="1289">
        <f>IF(H457&gt;0,LN(IF(H517&gt;=200,H475*H515*200^H516,NBPuff_A*H457/H474/(200-H517+H518)^(1/NBPuff_B))),0)</f>
        <v>0</v>
      </c>
      <c r="I523" s="238"/>
      <c r="J523" s="1289">
        <f>IF(J457&gt;0,LN(IF(J517&gt;=200,J475*J515*200^J516,NBPuff_A*J457/J474/(200-J517+J518)^(1/NBPuff_B))),0)</f>
        <v>0</v>
      </c>
      <c r="K523" s="238"/>
      <c r="L523" s="1289">
        <f>IF(L457&gt;0,LN(IF(L517&gt;=200,L475*L515*200^L516,NBPuff_A*L457/L474/(200-L517+L518)^(1/NBPuff_B))),0)</f>
        <v>0</v>
      </c>
      <c r="M523" s="238"/>
      <c r="N523" s="1289">
        <f>IF(N457&gt;0,LN(IF(N517&gt;=200,N475*N515*200^N516,NBPuff_A*N457/N474/(200-N517+N518)^(1/NBPuff_B))),0)</f>
        <v>0</v>
      </c>
      <c r="O523" s="238"/>
      <c r="P523" s="1289">
        <f>IF(P457&gt;0,LN(IF(P517&gt;=200,P475*P515*200^P516,NBPuff_A*P457/P474/(200-P517+P518)^(1/NBPuff_B))),0)</f>
        <v>0</v>
      </c>
      <c r="Q523" s="238"/>
      <c r="R523" s="1289">
        <f>IF(R457&gt;0,LN(IF(R517&gt;=200,R475*R515*200^R516,NBPuff_A*R457/R474/(200-R517+R518)^(1/NBPuff_B))),0)</f>
        <v>0</v>
      </c>
      <c r="S523" s="238"/>
      <c r="T523" s="1289">
        <f>IF(T457&gt;0,LN(IF(T517&gt;=200,T475*T515*200^T516,NBPuff_A*T457/T474/(200-T517+T518)^(1/NBPuff_B))),0)</f>
        <v>0</v>
      </c>
      <c r="U523" s="238"/>
      <c r="V523" s="1289">
        <f>IF(V457&gt;0,LN(IF(V517&gt;=200,V475*V515*200^V516,NBPuff_A*V457/V474/(200-V517+V518)^(1/NBPuff_B))),0)</f>
        <v>0</v>
      </c>
      <c r="W523" s="238"/>
      <c r="X523" s="1289">
        <f>IF(X457&gt;0,LN(IF(X517&gt;=200,X475*X515*200^X516,NBPuff_A*X457/X474/(200-X517+X518)^(1/NBPuff_B))),0)</f>
        <v>0</v>
      </c>
      <c r="Y523" s="83"/>
      <c r="Z523" s="85"/>
      <c r="AA523" s="83"/>
      <c r="AB523" s="81"/>
      <c r="AC523" s="512" t="s">
        <v>5102</v>
      </c>
      <c r="AD523" s="81"/>
      <c r="AE523" s="2981">
        <f>IF(AE478&gt;0,LN(IF(AE518&gt;=200,AE489*AE516*200^AE517,NBPlume_A*AE478/(AE488*Wind)/(200-AE518+AE519)^(1/NBPlume_B))),0)</f>
        <v>-18.62091508661636</v>
      </c>
      <c r="AF523" s="81"/>
      <c r="AG523" s="2981">
        <f>IF(AG478&gt;0,LN(IF(AG518&gt;=200,AG489*AG516*200^AG517,NBPlume_A*AG478/(AG488*Wind)/(200-AG518+AG519)^(1/NBPlume_B))),0)</f>
        <v>-18.62091508661636</v>
      </c>
      <c r="AH523" s="81"/>
      <c r="AI523" s="2981">
        <f>IF(AI478&gt;0,LN(IF(AI518&gt;=200,AI489*AI516*200^AI517,NBPlume_A*AI478/(AI488*Wind)/(200-AI518+AI519)^(1/NBPlume_B))),0)</f>
        <v>-18.62091508661636</v>
      </c>
      <c r="AJ523" s="81"/>
      <c r="AK523" s="81"/>
      <c r="AL523" s="81"/>
      <c r="AM523" s="81"/>
      <c r="AN523" s="81"/>
      <c r="AO523" s="81"/>
      <c r="AP523" s="81"/>
      <c r="AQ523" s="85"/>
      <c r="AR523" s="81"/>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26"/>
      <c r="BR523" s="26"/>
      <c r="BS523" s="26"/>
      <c r="BT523" s="26"/>
      <c r="BU523" s="26"/>
      <c r="BV523" s="26"/>
      <c r="BW523" s="26"/>
      <c r="BX523" s="26"/>
      <c r="BY523" s="26"/>
      <c r="BZ523" s="26"/>
      <c r="CA523" s="26"/>
      <c r="CB523" s="26"/>
      <c r="CD523" s="26"/>
      <c r="CE523" s="26"/>
      <c r="CF523" s="26"/>
    </row>
    <row r="524" spans="1:84" ht="15" customHeight="1" x14ac:dyDescent="0.25">
      <c r="A524" s="2"/>
      <c r="B524" s="512" t="s">
        <v>5104</v>
      </c>
      <c r="C524" s="83"/>
      <c r="D524" s="1289">
        <f>IF(D457&gt;0,LN(IF(D517&gt;=500,D475*D515*500^D516,NBPuff_A*D457/D474/(500-D517+D518)^(1/NBPuff_B))),0)</f>
        <v>0</v>
      </c>
      <c r="E524" s="235"/>
      <c r="F524" s="1289">
        <f>IF(F457&gt;0,LN(IF(F517&gt;=500,F475*F515*500^F516,NBPuff_A*F457/F474/(500-F517+F518)^(1/NBPuff_B))),0)</f>
        <v>0</v>
      </c>
      <c r="G524" s="238"/>
      <c r="H524" s="1289">
        <f>IF(H457&gt;0,LN(IF(H517&gt;=500,H475*H515*500^H516,NBPuff_A*H457/H474/(500-H517+H518)^(1/NBPuff_B))),0)</f>
        <v>0</v>
      </c>
      <c r="I524" s="238"/>
      <c r="J524" s="1289">
        <f>IF(J457&gt;0,LN(IF(J517&gt;=500,J475*J515*500^J516,NBPuff_A*J457/J474/(500-J517+J518)^(1/NBPuff_B))),0)</f>
        <v>0</v>
      </c>
      <c r="K524" s="238"/>
      <c r="L524" s="1289">
        <f>IF(L457&gt;0,LN(IF(L517&gt;=500,L475*L515*500^L516,NBPuff_A*L457/L474/(500-L517+L518)^(1/NBPuff_B))),0)</f>
        <v>0</v>
      </c>
      <c r="M524" s="238"/>
      <c r="N524" s="1289">
        <f>IF(N457&gt;0,LN(IF(N517&gt;=500,N475*N515*500^N516,NBPuff_A*N457/N474/(500-N517+N518)^(1/NBPuff_B))),0)</f>
        <v>0</v>
      </c>
      <c r="O524" s="238"/>
      <c r="P524" s="1289">
        <f>IF(P457&gt;0,LN(IF(P517&gt;=500,P475*P515*500^P516,NBPuff_A*P457/P474/(500-P517+P518)^(1/NBPuff_B))),0)</f>
        <v>0</v>
      </c>
      <c r="Q524" s="238"/>
      <c r="R524" s="1289">
        <f>IF(R457&gt;0,LN(IF(R517&gt;=500,R475*R515*500^R516,NBPuff_A*R457/R474/(500-R517+R518)^(1/NBPuff_B))),0)</f>
        <v>0</v>
      </c>
      <c r="S524" s="238"/>
      <c r="T524" s="1289">
        <f>IF(T457&gt;0,LN(IF(T517&gt;=500,T475*T515*500^T516,NBPuff_A*T457/T474/(500-T517+T518)^(1/NBPuff_B))),0)</f>
        <v>0</v>
      </c>
      <c r="U524" s="238"/>
      <c r="V524" s="1289">
        <f>IF(V457&gt;0,LN(IF(V517&gt;=500,V475*V515*500^V516,NBPuff_A*V457/V474/(500-V517+V518)^(1/NBPuff_B))),0)</f>
        <v>0</v>
      </c>
      <c r="W524" s="238"/>
      <c r="X524" s="1289">
        <f>IF(X457&gt;0,LN(IF(X517&gt;=500,X475*X515*500^X516,NBPuff_A*X457/X474/(500-X517+X518)^(1/NBPuff_B))),0)</f>
        <v>0</v>
      </c>
      <c r="Y524" s="83"/>
      <c r="Z524" s="85"/>
      <c r="AA524" s="83"/>
      <c r="AB524" s="81"/>
      <c r="AC524" s="512" t="s">
        <v>5103</v>
      </c>
      <c r="AD524" s="81"/>
      <c r="AE524" s="2981">
        <f>IF(AE478&gt;0,LN(IF(AE518&gt;=500,AE489*AE516*500^AE517,NBPlume_A*AE478/(AE488*Wind)/(500-AE518+AE519)^(1/NBPlume_B))),0)</f>
        <v>-20.068654442977525</v>
      </c>
      <c r="AF524" s="81"/>
      <c r="AG524" s="2981">
        <f>IF(AG478&gt;0,LN(IF(AG518&gt;=500,AG489*AG516*500^AG517,NBPlume_A*AG478/(AG488*Wind)/(500-AG518+AG519)^(1/NBPlume_B))),0)</f>
        <v>-20.068654442977525</v>
      </c>
      <c r="AH524" s="81"/>
      <c r="AI524" s="2981">
        <f>IF(AI478&gt;0,LN(IF(AI518&gt;=500,AI489*AI516*500^AI517,NBPlume_A*AI478/(AI488*Wind)/(500-AI518+AI519)^(1/NBPlume_B))),0)</f>
        <v>-20.068654442977525</v>
      </c>
      <c r="AJ524" s="81"/>
      <c r="AK524" s="81"/>
      <c r="AL524" s="81"/>
      <c r="AM524" s="81"/>
      <c r="AN524" s="81"/>
      <c r="AO524" s="81"/>
      <c r="AP524" s="81"/>
      <c r="AQ524" s="85"/>
      <c r="AR524" s="81"/>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26"/>
      <c r="BR524" s="26"/>
      <c r="BS524" s="26"/>
      <c r="BT524" s="26"/>
      <c r="BU524" s="26"/>
      <c r="BV524" s="26"/>
      <c r="BW524" s="26"/>
      <c r="BX524" s="26"/>
      <c r="BY524" s="26"/>
      <c r="BZ524" s="26"/>
      <c r="CA524" s="26"/>
      <c r="CB524" s="26"/>
      <c r="CE524" s="26"/>
      <c r="CF524" s="26"/>
    </row>
    <row r="525" spans="1:84" ht="15" customHeight="1" x14ac:dyDescent="0.25">
      <c r="A525" s="2"/>
      <c r="B525" s="512" t="s">
        <v>5105</v>
      </c>
      <c r="C525" s="83"/>
      <c r="D525" s="1289">
        <f>IF(D457&gt;0,LN(IF(D517&gt;=1000,D475*D515*1000^D516,NBPuff_A*D457/D474/(1000-D517+D518)^(1/NBPuff_B))),0)</f>
        <v>0</v>
      </c>
      <c r="E525" s="235"/>
      <c r="F525" s="1289">
        <f>IF(F457&gt;0,LN(IF(F517&gt;=1000,F475*F515*1000^F516,NBPuff_A*F457/F474/(1000-F517+F518)^(1/NBPuff_B))),0)</f>
        <v>0</v>
      </c>
      <c r="G525" s="238"/>
      <c r="H525" s="1289">
        <f>IF(H457&gt;0,LN(IF(H517&gt;=1000,H475*H515*1000^H516,NBPuff_A*H457/H474/(1000-H517+H518)^(1/NBPuff_B))),0)</f>
        <v>0</v>
      </c>
      <c r="I525" s="238"/>
      <c r="J525" s="1289">
        <f>IF(J457&gt;0,LN(IF(J517&gt;=1000,J475*J515*1000^J516,NBPuff_A*J457/J474/(1000-J517+J518)^(1/NBPuff_B))),0)</f>
        <v>0</v>
      </c>
      <c r="K525" s="238"/>
      <c r="L525" s="1289">
        <f>IF(L457&gt;0,LN(IF(L517&gt;=1000,L475*L515*1000^L516,NBPuff_A*L457/L474/(1000-L517+L518)^(1/NBPuff_B))),0)</f>
        <v>0</v>
      </c>
      <c r="M525" s="238"/>
      <c r="N525" s="1289">
        <f>IF(N457&gt;0,LN(IF(N517&gt;=1000,N475*N515*1000^N516,NBPuff_A*N457/N474/(1000-N517+N518)^(1/NBPuff_B))),0)</f>
        <v>0</v>
      </c>
      <c r="O525" s="238"/>
      <c r="P525" s="1289">
        <f>IF(P457&gt;0,LN(IF(P517&gt;=1000,P475*P515*1000^P516,NBPuff_A*P457/P474/(1000-P517+P518)^(1/NBPuff_B))),0)</f>
        <v>0</v>
      </c>
      <c r="Q525" s="238"/>
      <c r="R525" s="1289">
        <f>IF(R457&gt;0,LN(IF(R517&gt;=1000,R475*R515*1000^R516,NBPuff_A*R457/R474/(1000-R517+R518)^(1/NBPuff_B))),0)</f>
        <v>0</v>
      </c>
      <c r="S525" s="238"/>
      <c r="T525" s="1289">
        <f>IF(T457&gt;0,LN(IF(T517&gt;=1000,T475*T515*1000^T516,NBPuff_A*T457/T474/(1000-T517+T518)^(1/NBPuff_B))),0)</f>
        <v>0</v>
      </c>
      <c r="U525" s="238"/>
      <c r="V525" s="1289">
        <f>IF(V457&gt;0,LN(IF(V517&gt;=1000,V475*V515*1000^V516,NBPuff_A*V457/V474/(1000-V517+V518)^(1/NBPuff_B))),0)</f>
        <v>0</v>
      </c>
      <c r="W525" s="238"/>
      <c r="X525" s="1289">
        <f>IF(X457&gt;0,LN(IF(X517&gt;=1000,X475*X515*1000^X516,NBPuff_A*X457/X474/(1000-X517+X518)^(1/NBPuff_B))),0)</f>
        <v>0</v>
      </c>
      <c r="Y525" s="83"/>
      <c r="Z525" s="85"/>
      <c r="AA525" s="83"/>
      <c r="AB525" s="81"/>
      <c r="AC525" s="512" t="s">
        <v>5104</v>
      </c>
      <c r="AD525" s="81"/>
      <c r="AE525" s="2981">
        <f>IF(AE478&gt;0,LN(IF(AE518&gt;=1000,AE489*AE516*1000^AE517,NBPlume_A*AE478/(AE488*Wind)/(1000-AE518+AE519)^(1/NBPlume_B))),0)</f>
        <v>-21.16382698826224</v>
      </c>
      <c r="AF525" s="81"/>
      <c r="AG525" s="2981">
        <f>IF(AG478&gt;0,LN(IF(AG518&gt;=1000,AG489*AG516*1000^AG517,NBPlume_A*AG478/(AG488*Wind)/(1000-AG518+AG519)^(1/NBPlume_B))),0)</f>
        <v>-21.16382698826224</v>
      </c>
      <c r="AH525" s="81"/>
      <c r="AI525" s="2981">
        <f>IF(AI478&gt;0,LN(IF(AI518&gt;=1000,AI489*AI516*1000^AI517,NBPlume_A*AI478/(AI488*Wind)/(1000-AI518+AI519)^(1/NBPlume_B))),0)</f>
        <v>-21.16382698826224</v>
      </c>
      <c r="AJ525" s="81"/>
      <c r="AK525" s="81"/>
      <c r="AL525" s="81"/>
      <c r="AM525" s="81"/>
      <c r="AN525" s="81"/>
      <c r="AO525" s="81"/>
      <c r="AP525" s="81"/>
      <c r="AQ525" s="85"/>
      <c r="AR525" s="81"/>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26"/>
      <c r="BR525" s="26"/>
      <c r="BS525" s="26"/>
      <c r="BT525" s="26"/>
      <c r="BU525" s="26"/>
      <c r="BV525" s="26"/>
      <c r="BW525" s="26"/>
      <c r="BX525" s="26"/>
      <c r="BY525" s="26"/>
      <c r="BZ525" s="26"/>
      <c r="CA525" s="26"/>
      <c r="CB525" s="26"/>
    </row>
    <row r="526" spans="1:84" ht="15" customHeight="1" x14ac:dyDescent="0.25">
      <c r="A526" s="2"/>
      <c r="B526" s="512" t="s">
        <v>5106</v>
      </c>
      <c r="C526" s="83"/>
      <c r="D526" s="1289">
        <f>IF(D457&gt;0,LN(IF(D517&gt;=2000,D475*D515*2000^D516,NBPuff_A*D457/D474/(2000-D517+D518)^(1/NBPuff_B))),0)</f>
        <v>0</v>
      </c>
      <c r="E526" s="235"/>
      <c r="F526" s="1289">
        <f>IF(F457&gt;0,LN(IF(F517&gt;=2000,F475*F515*2000^F516,NBPuff_A*F457/F474/(2000-F517+F518)^(1/NBPuff_B))),0)</f>
        <v>0</v>
      </c>
      <c r="G526" s="238"/>
      <c r="H526" s="1289">
        <f>IF(H457&gt;0,LN(IF(H517&gt;=2000,H475*H515*2000^H516,NBPuff_A*H457/H474/(2000-H517+H518)^(1/NBPuff_B))),0)</f>
        <v>0</v>
      </c>
      <c r="I526" s="238"/>
      <c r="J526" s="1289">
        <f>IF(J457&gt;0,LN(IF(J517&gt;=2000,J475*J515*2000^J516,NBPuff_A*J457/J474/(2000-J517+J518)^(1/NBPuff_B))),0)</f>
        <v>0</v>
      </c>
      <c r="K526" s="238"/>
      <c r="L526" s="1289">
        <f>IF(L457&gt;0,LN(IF(L517&gt;=2000,L475*L515*2000^L516,NBPuff_A*L457/L474/(2000-L517+L518)^(1/NBPuff_B))),0)</f>
        <v>0</v>
      </c>
      <c r="M526" s="238"/>
      <c r="N526" s="1289">
        <f>IF(N457&gt;0,LN(IF(N517&gt;=2000,N475*N515*2000^N516,NBPuff_A*N457/N474/(2000-N517+N518)^(1/NBPuff_B))),0)</f>
        <v>0</v>
      </c>
      <c r="O526" s="238"/>
      <c r="P526" s="1289">
        <f>IF(P457&gt;0,LN(IF(P517&gt;=2000,P475*P515*2000^P516,NBPuff_A*P457/P474/(2000-P517+P518)^(1/NBPuff_B))),0)</f>
        <v>0</v>
      </c>
      <c r="Q526" s="238"/>
      <c r="R526" s="1289">
        <f>IF(R457&gt;0,LN(IF(R517&gt;=2000,R475*R515*2000^R516,NBPuff_A*R457/R474/(2000-R517+R518)^(1/NBPuff_B))),0)</f>
        <v>0</v>
      </c>
      <c r="S526" s="238"/>
      <c r="T526" s="1289">
        <f>IF(T457&gt;0,LN(IF(T517&gt;=2000,T475*T515*2000^T516,NBPuff_A*T457/T474/(2000-T517+T518)^(1/NBPuff_B))),0)</f>
        <v>0</v>
      </c>
      <c r="U526" s="238"/>
      <c r="V526" s="1289">
        <f>IF(V457&gt;0,LN(IF(V517&gt;=2000,V475*V515*2000^V516,NBPuff_A*V457/V474/(2000-V517+V518)^(1/NBPuff_B))),0)</f>
        <v>0</v>
      </c>
      <c r="W526" s="238"/>
      <c r="X526" s="1289">
        <f>IF(X457&gt;0,LN(IF(X517&gt;=2000,X475*X515*2000^X516,NBPuff_A*X457/X474/(2000-X517+X518)^(1/NBPuff_B))),0)</f>
        <v>0</v>
      </c>
      <c r="Y526" s="83"/>
      <c r="Z526" s="85"/>
      <c r="AA526" s="83"/>
      <c r="AB526" s="81"/>
      <c r="AC526" s="512" t="s">
        <v>5105</v>
      </c>
      <c r="AD526" s="81"/>
      <c r="AE526" s="2981">
        <f>IF(AE478&gt;0,LN(IF(AE518&gt;=2000,AE489*AE516*2000^AE517,NBPlume_A*AE478/(AE488*Wind)/(2000-AE518+AE519)^(1/NBPlume_B))),0)</f>
        <v>-22.258999533546952</v>
      </c>
      <c r="AF526" s="81"/>
      <c r="AG526" s="2981">
        <f>IF(AG478&gt;0,LN(IF(AG518&gt;=2000,AG489*AG516*2000^AG517,NBPlume_A*AG478/(AG488*Wind)/(2000-AG518+AG519)^(1/NBPlume_B))),0)</f>
        <v>-22.258999533546952</v>
      </c>
      <c r="AH526" s="81"/>
      <c r="AI526" s="2981">
        <f>IF(AI478&gt;0,LN(IF(AI518&gt;=2000,AI489*AI516*2000^AI517,NBPlume_A*AI478/(AI488*Wind)/(2000-AI518+AI519)^(1/NBPlume_B))),0)</f>
        <v>-22.258999533546952</v>
      </c>
      <c r="AJ526" s="81"/>
      <c r="AK526" s="81"/>
      <c r="AL526" s="81"/>
      <c r="AM526" s="81"/>
      <c r="AN526" s="81"/>
      <c r="AO526" s="81"/>
      <c r="AP526" s="81"/>
      <c r="AQ526" s="85"/>
      <c r="AR526" s="81"/>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26"/>
      <c r="BR526" s="26"/>
      <c r="BS526" s="26"/>
      <c r="BT526" s="26"/>
      <c r="BU526" s="26"/>
      <c r="BV526" s="26"/>
      <c r="BW526" s="26"/>
      <c r="BX526" s="26"/>
      <c r="BY526" s="26"/>
      <c r="BZ526" s="26"/>
      <c r="CA526" s="26"/>
      <c r="CB526" s="26"/>
    </row>
    <row r="527" spans="1:84" ht="15" customHeight="1" x14ac:dyDescent="0.25">
      <c r="A527" s="2"/>
      <c r="B527" s="512" t="s">
        <v>5107</v>
      </c>
      <c r="C527" s="83"/>
      <c r="D527" s="1289">
        <f>IF(D457&gt;0,LN(IF(D517&gt;=5000,D475*D515*5000^D516,NBPuff_A*D457/D474/(5000-D517+D518)^(1/NBPuff_B))),0)</f>
        <v>0</v>
      </c>
      <c r="E527" s="235"/>
      <c r="F527" s="1289">
        <f>IF(F457&gt;0,LN(IF(F517&gt;=5000,F475*F515*5000^F516,NBPuff_A*F457/F474/(5000-F517+F518)^(1/NBPuff_B))),0)</f>
        <v>0</v>
      </c>
      <c r="G527" s="238"/>
      <c r="H527" s="1289">
        <f>IF(H457&gt;0,LN(IF(H517&gt;=5000,H475*H515*5000^H516,NBPuff_A*H457/H474/(5000-H517+H518)^(1/NBPuff_B))),0)</f>
        <v>0</v>
      </c>
      <c r="I527" s="238"/>
      <c r="J527" s="1289">
        <f>IF(J457&gt;0,LN(IF(J517&gt;=5000,J475*J515*5000^J516,NBPuff_A*J457/J474/(5000-J517+J518)^(1/NBPuff_B))),0)</f>
        <v>0</v>
      </c>
      <c r="K527" s="238"/>
      <c r="L527" s="1289">
        <f>IF(L457&gt;0,LN(IF(L517&gt;=5000,L475*L515*5000^L516,NBPuff_A*L457/L474/(5000-L517+L518)^(1/NBPuff_B))),0)</f>
        <v>0</v>
      </c>
      <c r="M527" s="238"/>
      <c r="N527" s="1289">
        <f>IF(N457&gt;0,LN(IF(N517&gt;=5000,N475*N515*5000^N516,NBPuff_A*N457/N474/(5000-N517+N518)^(1/NBPuff_B))),0)</f>
        <v>0</v>
      </c>
      <c r="O527" s="238"/>
      <c r="P527" s="1289">
        <f>IF(P457&gt;0,LN(IF(P517&gt;=5000,P475*P515*5000^P516,NBPuff_A*P457/P474/(5000-P517+P518)^(1/NBPuff_B))),0)</f>
        <v>0</v>
      </c>
      <c r="Q527" s="238"/>
      <c r="R527" s="1289">
        <f>IF(R457&gt;0,LN(IF(R517&gt;=5000,R475*R515*5000^R516,NBPuff_A*R457/R474/(5000-R517+R518)^(1/NBPuff_B))),0)</f>
        <v>0</v>
      </c>
      <c r="S527" s="238"/>
      <c r="T527" s="1289">
        <f>IF(T457&gt;0,LN(IF(T517&gt;=5000,T475*T515*5000^T516,NBPuff_A*T457/T474/(5000-T517+T518)^(1/NBPuff_B))),0)</f>
        <v>0</v>
      </c>
      <c r="U527" s="238"/>
      <c r="V527" s="1289">
        <f>IF(V457&gt;0,LN(IF(V517&gt;=5000,V475*V515*5000^V516,NBPuff_A*V457/V474/(5000-V517+V518)^(1/NBPuff_B))),0)</f>
        <v>0</v>
      </c>
      <c r="W527" s="238"/>
      <c r="X527" s="1289">
        <f>IF(X457&gt;0,LN(IF(X517&gt;=5000,X475*X515*5000^X516,NBPuff_A*X457/X474/(5000-X517+X518)^(1/NBPuff_B))),0)</f>
        <v>0</v>
      </c>
      <c r="Y527" s="83"/>
      <c r="Z527" s="85"/>
      <c r="AA527" s="83"/>
      <c r="AB527" s="81"/>
      <c r="AC527" s="512" t="s">
        <v>5106</v>
      </c>
      <c r="AD527" s="81"/>
      <c r="AE527" s="2981">
        <f>IF(AE478&gt;0,LN(IF(AE518&gt;=5000,AE489*AE516*5000^AE517,NBPlume_A*AE478/(AE488*Wind)/(5000-AE518+AE519)^(1/NBPlume_B))),0)</f>
        <v>-23.70673888990812</v>
      </c>
      <c r="AF527" s="81"/>
      <c r="AG527" s="2981">
        <f>IF(AG478&gt;0,LN(IF(AG518&gt;=5000,AG489*AG516*5000^AG517,NBPlume_A*AG478/(AG488*Wind)/(5000-AG518+AG519)^(1/NBPlume_B))),0)</f>
        <v>-23.70673888990812</v>
      </c>
      <c r="AH527" s="81"/>
      <c r="AI527" s="2981">
        <f>IF(AI478&gt;0,LN(IF(AI518&gt;=5000,AI489*AI516*5000^AI517,NBPlume_A*AI478/(AI488*Wind)/(5000-AI518+AI519)^(1/NBPlume_B))),0)</f>
        <v>-23.70673888990812</v>
      </c>
      <c r="AJ527" s="81"/>
      <c r="AK527" s="81"/>
      <c r="AL527" s="81"/>
      <c r="AM527" s="81"/>
      <c r="AN527" s="81"/>
      <c r="AO527" s="81"/>
      <c r="AP527" s="81"/>
      <c r="AQ527" s="85"/>
      <c r="AR527" s="81"/>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26"/>
      <c r="BR527" s="26"/>
      <c r="BS527" s="26"/>
      <c r="BT527" s="26"/>
      <c r="BU527" s="26"/>
      <c r="BV527" s="26"/>
      <c r="BW527" s="26"/>
      <c r="BX527" s="26"/>
      <c r="BY527" s="26"/>
      <c r="BZ527" s="26"/>
      <c r="CA527" s="26"/>
      <c r="CB527" s="26"/>
    </row>
    <row r="528" spans="1:84" ht="15" customHeight="1" thickBot="1" x14ac:dyDescent="0.3">
      <c r="A528" s="2"/>
      <c r="B528" s="512" t="s">
        <v>5108</v>
      </c>
      <c r="C528" s="83"/>
      <c r="D528" s="3002">
        <f>IF(D457&gt;0,LN(IF(D517&gt;=10000,D475*D515*10000^D516,NBPuff_A*D457/D474/(10000-D517+D518)^(1/NBPuff_B))),0)</f>
        <v>0</v>
      </c>
      <c r="E528" s="235"/>
      <c r="F528" s="3002">
        <f>IF(F457&gt;0,LN(IF(F517&gt;=10000,F475*F515*10000^F516,NBPuff_A*F457/F474/(10000-F517+F518)^(1/NBPuff_B))),0)</f>
        <v>0</v>
      </c>
      <c r="G528" s="238"/>
      <c r="H528" s="3002">
        <f>IF(H457&gt;0,LN(IF(H517&gt;=10000,H475*H515*10000^H516,NBPuff_A*H457/H474/(10000-H517+H518)^(1/NBPuff_B))),0)</f>
        <v>0</v>
      </c>
      <c r="I528" s="238"/>
      <c r="J528" s="3002">
        <f>IF(J457&gt;0,LN(IF(J517&gt;=10000,J475*J515*10000^J516,NBPuff_A*J457/J474/(10000-J517+J518)^(1/NBPuff_B))),0)</f>
        <v>0</v>
      </c>
      <c r="K528" s="238"/>
      <c r="L528" s="3002">
        <f>IF(L457&gt;0,LN(IF(L517&gt;=10000,L475*L515*10000^L516,NBPuff_A*L457/L474/(10000-L517+L518)^(1/NBPuff_B))),0)</f>
        <v>0</v>
      </c>
      <c r="M528" s="238"/>
      <c r="N528" s="3002">
        <f>IF(N457&gt;0,LN(IF(N517&gt;=10000,N475*N515*10000^N516,NBPuff_A*N457/N474/(10000-N517+N518)^(1/NBPuff_B))),0)</f>
        <v>0</v>
      </c>
      <c r="O528" s="238"/>
      <c r="P528" s="3002">
        <f>IF(P457&gt;0,LN(IF(P517&gt;=10000,P475*P515*10000^P516,NBPuff_A*P457/P474/(10000-P517+P518)^(1/NBPuff_B))),0)</f>
        <v>0</v>
      </c>
      <c r="Q528" s="238"/>
      <c r="R528" s="3002">
        <f>IF(R457&gt;0,LN(IF(R517&gt;=10000,R475*R515*10000^R516,NBPuff_A*R457/R474/(10000-R517+R518)^(1/NBPuff_B))),0)</f>
        <v>0</v>
      </c>
      <c r="S528" s="238"/>
      <c r="T528" s="3002">
        <f>IF(T457&gt;0,LN(IF(T517&gt;=10000,T475*T515*10000^T516,NBPuff_A*T457/T474/(10000-T517+T518)^(1/NBPuff_B))),0)</f>
        <v>0</v>
      </c>
      <c r="U528" s="238"/>
      <c r="V528" s="3002">
        <f>IF(V457&gt;0,LN(IF(V517&gt;=10000,V475*V515*10000^V516,NBPuff_A*V457/V474/(10000-V517+V518)^(1/NBPuff_B))),0)</f>
        <v>0</v>
      </c>
      <c r="W528" s="238"/>
      <c r="X528" s="3002">
        <f>IF(X457&gt;0,LN(IF(X517&gt;=10000,X475*X515*10000^X516,NBPuff_A*X457/X474/(10000-X517+X518)^(1/NBPuff_B))),0)</f>
        <v>0</v>
      </c>
      <c r="Y528" s="83"/>
      <c r="Z528" s="85"/>
      <c r="AA528" s="83"/>
      <c r="AB528" s="81"/>
      <c r="AC528" s="512" t="s">
        <v>5107</v>
      </c>
      <c r="AD528" s="81"/>
      <c r="AE528" s="2981">
        <f>IF(AE478&gt;0,LN(IF(AE518&gt;=5000,AE489*AE516*5000^AE517,NBPlume_A*AE478/(AE488*Wind)/(5000-AE518+AE519)^(1/NBPlume_B))),0)</f>
        <v>-23.70673888990812</v>
      </c>
      <c r="AF528" s="81"/>
      <c r="AG528" s="2981">
        <f>IF(AG478&gt;0,LN(IF(AG518&gt;=5000,AG489*AG516*5000^AG517,NBPlume_A*AG478/(AG488*Wind)/(5000-AG518+AG519)^(1/NBPlume_B))),0)</f>
        <v>-23.70673888990812</v>
      </c>
      <c r="AH528" s="81"/>
      <c r="AI528" s="2981">
        <f>IF(AI478&gt;0,LN(IF(AI518&gt;=5000,AI489*AI516*5000^AI517,NBPlume_A*AI478/(AI488*Wind)/(5000-AI518+AI519)^(1/NBPlume_B))),0)</f>
        <v>-23.70673888990812</v>
      </c>
      <c r="AJ528" s="81"/>
      <c r="AK528" s="81"/>
      <c r="AL528" s="81"/>
      <c r="AM528" s="81"/>
      <c r="AN528" s="81"/>
      <c r="AO528" s="81"/>
      <c r="AP528" s="81"/>
      <c r="AQ528" s="85"/>
      <c r="AR528" s="81"/>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26"/>
      <c r="BR528" s="26"/>
      <c r="BS528" s="26"/>
      <c r="BT528" s="26"/>
      <c r="BU528" s="26"/>
      <c r="BV528" s="26"/>
      <c r="BW528" s="26"/>
      <c r="BX528" s="26"/>
      <c r="BY528" s="26"/>
      <c r="BZ528" s="26"/>
      <c r="CA528" s="26"/>
      <c r="CB528" s="26"/>
    </row>
    <row r="529" spans="1:80" ht="15" customHeight="1" thickBot="1" x14ac:dyDescent="0.3">
      <c r="A529" s="2"/>
      <c r="B529" s="2975" t="s">
        <v>5077</v>
      </c>
      <c r="C529" s="83"/>
      <c r="D529" s="2980">
        <f>IF(D457&gt;0,(EXP(INDEX(LINEST(D519:D528,$CJ$286:$CJ$295),2))*D474/D457)^D530,0)</f>
        <v>0</v>
      </c>
      <c r="E529" s="235"/>
      <c r="F529" s="2980">
        <f>IF(F457&gt;0,(EXP(INDEX(LINEST(F519:F528,$CJ$286:$CJ$295),2))*F474/F457)^F530,0)</f>
        <v>0</v>
      </c>
      <c r="G529" s="238"/>
      <c r="H529" s="2980">
        <f>IF(H457&gt;0,(EXP(INDEX(LINEST(H519:H528,$CJ$286:$CJ$295),2))*H474/H457)^H530,0)</f>
        <v>0</v>
      </c>
      <c r="I529" s="238"/>
      <c r="J529" s="2980">
        <f>IF(J457&gt;0,(EXP(INDEX(LINEST(J519:J528,$CJ$286:$CJ$295),2))*J474/J457)^J530,0)</f>
        <v>0</v>
      </c>
      <c r="K529" s="238"/>
      <c r="L529" s="2980">
        <f>IF(L457&gt;0,(EXP(INDEX(LINEST(L519:L528,$CJ$286:$CJ$295),2))*L474/L457)^L530,0)</f>
        <v>0</v>
      </c>
      <c r="M529" s="238"/>
      <c r="N529" s="2980">
        <f>IF(N457&gt;0,(EXP(INDEX(LINEST(N519:N528,$CJ$286:$CJ$295),2))*N474/N457)^N530,0)</f>
        <v>0</v>
      </c>
      <c r="O529" s="238"/>
      <c r="P529" s="2980">
        <f>IF(P457&gt;0,(EXP(INDEX(LINEST(P519:P528,$CJ$286:$CJ$295),2))*P474/P457)^P530,0)</f>
        <v>0</v>
      </c>
      <c r="Q529" s="238"/>
      <c r="R529" s="2980">
        <f>IF(R457&gt;0,(EXP(INDEX(LINEST(R519:R528,$CJ$286:$CJ$295),2))*R474/R457)^R530,0)</f>
        <v>0</v>
      </c>
      <c r="S529" s="238"/>
      <c r="T529" s="2980">
        <f>IF(T457&gt;0,(EXP(INDEX(LINEST(T519:T528,$CJ$286:$CJ$295),2))*T474/T457)^T530,0)</f>
        <v>0</v>
      </c>
      <c r="U529" s="238"/>
      <c r="V529" s="2980">
        <f>IF(V457&gt;0,(EXP(INDEX(LINEST(V519:V528,$CJ$286:$CJ$295),2))*V474/V457)^V530,0)</f>
        <v>0</v>
      </c>
      <c r="W529" s="238"/>
      <c r="X529" s="2980">
        <f>IF(X457&gt;0,(EXP(INDEX(LINEST(X519:X528,$CJ$286:$CJ$295),2))*X474/X457)^X530,0)</f>
        <v>0</v>
      </c>
      <c r="Y529" s="83"/>
      <c r="Z529" s="85"/>
      <c r="AA529" s="83"/>
      <c r="AB529" s="81"/>
      <c r="AC529" s="615" t="s">
        <v>5108</v>
      </c>
      <c r="AD529" s="81"/>
      <c r="AE529" s="3001">
        <f>IF(AE478&gt;0,LN(IF(AE518&gt;=10000,AE489*AE516*10000^AE517,NBPlume_A*AE478/(AE488*Wind)/(10000-AE518+AE519)^(1/NBPlume_B))),0)</f>
        <v>-24.801911435192832</v>
      </c>
      <c r="AF529" s="81"/>
      <c r="AG529" s="3001">
        <f>IF(AG478&gt;0,LN(IF(AG518&gt;=10000,AG489*AG516*10000^AG517,NBPlume_A*AG478/(AG488*Wind)/(10000-AG518+AG519)^(1/NBPlume_B))),0)</f>
        <v>-24.801911435192832</v>
      </c>
      <c r="AH529" s="81"/>
      <c r="AI529" s="3001">
        <f>IF(AI478&gt;0,LN(IF(AI518&gt;=10000,AI489*AI516*10000^AI517,NBPlume_A*AI478/(AI488*Wind)/(10000-AI518+AI519)^(1/NBPlume_B))),0)</f>
        <v>-24.801911435192832</v>
      </c>
      <c r="AJ529" s="81"/>
      <c r="AK529" s="81"/>
      <c r="AL529" s="81"/>
      <c r="AM529" s="81"/>
      <c r="AN529" s="81"/>
      <c r="AO529" s="81"/>
      <c r="AP529" s="81"/>
      <c r="AQ529" s="85"/>
      <c r="AR529" s="81"/>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26"/>
      <c r="BR529" s="26"/>
      <c r="BS529" s="26"/>
      <c r="BT529" s="26"/>
      <c r="BU529" s="26"/>
      <c r="BV529" s="26"/>
      <c r="BW529" s="26"/>
      <c r="BX529" s="26"/>
      <c r="BY529" s="26"/>
      <c r="BZ529" s="26"/>
      <c r="CA529" s="26"/>
      <c r="CB529" s="26"/>
    </row>
    <row r="530" spans="1:80" ht="15" customHeight="1" x14ac:dyDescent="0.25">
      <c r="A530" s="2"/>
      <c r="B530" s="2977" t="s">
        <v>5078</v>
      </c>
      <c r="C530" s="83"/>
      <c r="D530" s="3003">
        <f>IF(D457&gt;0,-1/INDEX(LINEST(D519:D528,$CJ$286:$CJ$295),1),0)</f>
        <v>0</v>
      </c>
      <c r="E530" s="235"/>
      <c r="F530" s="3003">
        <f>IF(F457&gt;0,-1/INDEX(LINEST(F519:F528,$CJ$286:$CJ$295),1),0)</f>
        <v>0</v>
      </c>
      <c r="G530" s="238"/>
      <c r="H530" s="3003">
        <f>IF(H457&gt;0,-1/INDEX(LINEST(H519:H528,$CJ$286:$CJ$295),1),0)</f>
        <v>0</v>
      </c>
      <c r="I530" s="238"/>
      <c r="J530" s="3003">
        <f>IF(J457&gt;0,-1/INDEX(LINEST(J519:J528,$CJ$286:$CJ$295),1),0)</f>
        <v>0</v>
      </c>
      <c r="K530" s="238"/>
      <c r="L530" s="3003">
        <f>IF(L457&gt;0,-1/INDEX(LINEST(L519:L528,$CJ$286:$CJ$295),1),0)</f>
        <v>0</v>
      </c>
      <c r="M530" s="238"/>
      <c r="N530" s="3003">
        <f>IF(N457&gt;0,-1/INDEX(LINEST(N519:N528,$CJ$286:$CJ$295),1),0)</f>
        <v>0</v>
      </c>
      <c r="O530" s="238"/>
      <c r="P530" s="3003">
        <f>IF(P457&gt;0,-1/INDEX(LINEST(P519:P528,$CJ$286:$CJ$295),1),0)</f>
        <v>0</v>
      </c>
      <c r="Q530" s="238"/>
      <c r="R530" s="3003">
        <f>IF(R457&gt;0,-1/INDEX(LINEST(R519:R528,$CJ$286:$CJ$295),1),0)</f>
        <v>0</v>
      </c>
      <c r="S530" s="238"/>
      <c r="T530" s="3003">
        <f>IF(T457&gt;0,-1/INDEX(LINEST(T519:T528,$CJ$286:$CJ$295),1),0)</f>
        <v>0</v>
      </c>
      <c r="U530" s="238"/>
      <c r="V530" s="3003">
        <f>IF(V457&gt;0,-1/INDEX(LINEST(V519:V528,$CJ$286:$CJ$295),1),0)</f>
        <v>0</v>
      </c>
      <c r="W530" s="238"/>
      <c r="X530" s="3003">
        <f>IF(X457&gt;0,-1/INDEX(LINEST(X519:X528,$CJ$286:$CJ$295),1),0)</f>
        <v>0</v>
      </c>
      <c r="Y530" s="83"/>
      <c r="Z530" s="85"/>
      <c r="AA530" s="83"/>
      <c r="AB530" s="81"/>
      <c r="AC530" s="2975" t="s">
        <v>5075</v>
      </c>
      <c r="AD530" s="81"/>
      <c r="AE530" s="2980">
        <f>IF(AE478&gt;0,(EXP(INDEX(LINEST(AE520:AE529,$CJ$286:$CJ$295),2))*(AE488*Wind/AE478))^AE531,0)</f>
        <v>6.9836171185865359</v>
      </c>
      <c r="AF530" s="81"/>
      <c r="AG530" s="2980">
        <f>IF(AG478&gt;0,(EXP(INDEX(LINEST(AG520:AG529,$CJ$286:$CJ$295),2))*(AG488*Wind/AG478))^AG531,0)</f>
        <v>6.9836171185865359</v>
      </c>
      <c r="AH530" s="81"/>
      <c r="AI530" s="2980">
        <f>IF(AI478&gt;0,(EXP(INDEX(LINEST(AI520:AI529,$CJ$286:$CJ$295),2))*(AI488*Wind/AI478))^AI531,0)</f>
        <v>6.9836171185865359</v>
      </c>
      <c r="AJ530" s="81"/>
      <c r="AK530" s="81"/>
      <c r="AL530" s="81"/>
      <c r="AM530" s="81"/>
      <c r="AN530" s="81"/>
      <c r="AO530" s="81"/>
      <c r="AP530" s="81"/>
      <c r="AQ530" s="85"/>
      <c r="AR530" s="81"/>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26"/>
      <c r="BR530" s="26"/>
      <c r="BS530" s="26"/>
      <c r="BT530" s="26"/>
      <c r="BU530" s="26"/>
      <c r="BV530" s="26"/>
      <c r="BW530" s="26"/>
      <c r="BX530" s="26"/>
      <c r="BY530" s="26"/>
      <c r="BZ530" s="26"/>
      <c r="CA530" s="26"/>
      <c r="CB530" s="26"/>
    </row>
    <row r="531" spans="1:80" ht="15" customHeight="1" thickBot="1" x14ac:dyDescent="0.3">
      <c r="A531" s="2"/>
      <c r="B531" s="2976" t="s">
        <v>5123</v>
      </c>
      <c r="C531" s="83"/>
      <c r="D531" s="2105">
        <f>IF(AND(D457&gt;0,D476&gt;0),D529*(D457/(D474*D476))^D530,0)</f>
        <v>0</v>
      </c>
      <c r="E531" s="235"/>
      <c r="F531" s="2105">
        <f>IF(AND(F457&gt;0,F476&gt;0),F529*(F457/(F474*F476))^F530,0)</f>
        <v>0</v>
      </c>
      <c r="G531" s="238"/>
      <c r="H531" s="2105">
        <f>IF(AND(H457&gt;0,H476&gt;0),H529*(H457/(H474*H476))^H530,0)</f>
        <v>0</v>
      </c>
      <c r="I531" s="238"/>
      <c r="J531" s="2105">
        <f>IF(AND(J457&gt;0,J476&gt;0),J529*(J457/(J474*J476))^J530,0)</f>
        <v>0</v>
      </c>
      <c r="K531" s="238"/>
      <c r="L531" s="2105">
        <f>IF(AND(L457&gt;0,L476&gt;0),L529*(L457/(L474*L476))^L530,0)</f>
        <v>0</v>
      </c>
      <c r="M531" s="238"/>
      <c r="N531" s="2105">
        <f>IF(AND(N457&gt;0,N476&gt;0),N529*(N457/(N474*N476))^N530,0)</f>
        <v>0</v>
      </c>
      <c r="O531" s="238"/>
      <c r="P531" s="2105">
        <f>IF(AND(P457&gt;0,P476&gt;0),P529*(P457/(P474*P476))^P530,0)</f>
        <v>0</v>
      </c>
      <c r="Q531" s="238"/>
      <c r="R531" s="2105">
        <f>IF(AND(R457&gt;0,R476&gt;0),R529*(R457/(R474*R476))^R530,0)</f>
        <v>0</v>
      </c>
      <c r="S531" s="238"/>
      <c r="T531" s="2105">
        <f>IF(AND(T457&gt;0,T476&gt;0),T529*(T457/(T474*T476))^T530,0)</f>
        <v>0</v>
      </c>
      <c r="U531" s="238"/>
      <c r="V531" s="2105">
        <f>IF(AND(V457&gt;0,V476&gt;0),V529*(V457/(V474*V476))^V530,0)</f>
        <v>0</v>
      </c>
      <c r="W531" s="238"/>
      <c r="X531" s="2105">
        <f>IF(AND(X457&gt;0,X476&gt;0),X529*(X457/(X474*X476))^X530,0)</f>
        <v>0</v>
      </c>
      <c r="Y531" s="83"/>
      <c r="Z531" s="85"/>
      <c r="AA531" s="83"/>
      <c r="AB531" s="81"/>
      <c r="AC531" s="2977" t="s">
        <v>5076</v>
      </c>
      <c r="AD531" s="81"/>
      <c r="AE531" s="2089">
        <f>IF(AE478&gt;0,-1/INDEX(LINEST(AE520:AE529,$CJ$286:$CJ$295),1),0)</f>
        <v>0.66296616480127812</v>
      </c>
      <c r="AF531" s="81"/>
      <c r="AG531" s="2089">
        <f>IF(AG478&gt;0,-1/INDEX(LINEST(AG520:AG529,$CJ$286:$CJ$295),1),0)</f>
        <v>0.66296616480127812</v>
      </c>
      <c r="AH531" s="81"/>
      <c r="AI531" s="2089">
        <f>IF(AI478&gt;0,-1/INDEX(LINEST(AI520:AI529,$CJ$286:$CJ$295),1),0)</f>
        <v>0.66296616480127812</v>
      </c>
      <c r="AJ531" s="81"/>
      <c r="AK531" s="81"/>
      <c r="AL531" s="81"/>
      <c r="AM531" s="81"/>
      <c r="AN531" s="81"/>
      <c r="AO531" s="81"/>
      <c r="AP531" s="81"/>
      <c r="AQ531" s="85"/>
      <c r="AR531" s="81"/>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26"/>
      <c r="BR531" s="26"/>
      <c r="BS531" s="26"/>
      <c r="BT531" s="26"/>
      <c r="BU531" s="26"/>
      <c r="BV531" s="26"/>
      <c r="BW531" s="26"/>
      <c r="BX531" s="26"/>
      <c r="BY531" s="26"/>
      <c r="BZ531" s="26"/>
      <c r="CA531" s="26"/>
      <c r="CB531" s="26"/>
    </row>
    <row r="532" spans="1:80" ht="15" customHeight="1" thickBot="1" x14ac:dyDescent="0.3">
      <c r="A532" s="2"/>
      <c r="B532" s="85" t="s">
        <v>5079</v>
      </c>
      <c r="C532" s="83"/>
      <c r="D532" s="3004" t="str">
        <f>IF(D$457&gt;D$464,IF(D$464&gt;D$457*(D529^(1/D530)/D503^(1/D504))*Wind*(1*Wind*D$457/D$464)^(1/D504-1/D530),"Instantaneous","Continuous"),"Continuous")</f>
        <v>Continuous</v>
      </c>
      <c r="E532" s="235"/>
      <c r="F532" s="3004" t="str">
        <f>IF(F$457&gt;F$464,IF(F$464&gt;F$457*(F529^(1/F530)/F503^(1/F504))*Wind*(1*Wind*F$457/F$464)^(1/F504-1/F530),"Instantaneous","Continuous"),"Continuous")</f>
        <v>Continuous</v>
      </c>
      <c r="G532" s="238"/>
      <c r="H532" s="3004" t="str">
        <f>IF(H$457&gt;H$464,IF(H$464&gt;H$457*(H529^(1/H530)/H503^(1/H504))*Wind*(1*Wind*H$457/H$464)^(1/H504-1/H530),"Instantaneous","Continuous"),"Continuous")</f>
        <v>Continuous</v>
      </c>
      <c r="I532" s="238"/>
      <c r="J532" s="3004" t="str">
        <f>IF(J$457&gt;J$464,IF(J$464&gt;J$457*(J529^(1/J530)/J503^(1/J504))*Wind*(1*Wind*J$457/J$464)^(1/J504-1/J530),"Instantaneous","Continuous"),"Continuous")</f>
        <v>Continuous</v>
      </c>
      <c r="K532" s="238"/>
      <c r="L532" s="3004" t="str">
        <f>IF(L$457&gt;L$464,IF(L$464&gt;L$457*(L529^(1/L530)/L503^(1/L504))*Wind*(1*Wind*L$457/L$464)^(1/L504-1/L530),"Instantaneous","Continuous"),"Continuous")</f>
        <v>Continuous</v>
      </c>
      <c r="M532" s="238"/>
      <c r="N532" s="3004" t="str">
        <f>IF(N$457&gt;N$464,IF(N$464&gt;N$457*(N529^(1/N530)/N503^(1/N504))*Wind*(1*Wind*N$457/N$464)^(1/N504-1/N530),"Instantaneous","Continuous"),"Continuous")</f>
        <v>Continuous</v>
      </c>
      <c r="O532" s="238"/>
      <c r="P532" s="3004" t="str">
        <f>IF(P$457&gt;P$464,IF(P$464&gt;P$457*(P529^(1/P530)/P503^(1/P504))*Wind*(1*Wind*P$457/P$464)^(1/P504-1/P530),"Instantaneous","Continuous"),"Continuous")</f>
        <v>Continuous</v>
      </c>
      <c r="Q532" s="238"/>
      <c r="R532" s="3004" t="str">
        <f>IF(R$457&gt;R$464,IF(R$464&gt;R$457*(R529^(1/R530)/R503^(1/R504))*Wind*(1*Wind*R$457/R$464)^(1/R504-1/R530),"Instantaneous","Continuous"),"Continuous")</f>
        <v>Continuous</v>
      </c>
      <c r="S532" s="238"/>
      <c r="T532" s="3004" t="str">
        <f>IF(T$457&gt;T$464,IF(T$464&gt;T$457*(T529^(1/T530)/T503^(1/T504))*Wind*(1*Wind*T$457/T$464)^(1/T504-1/T530),"Instantaneous","Continuous"),"Continuous")</f>
        <v>Continuous</v>
      </c>
      <c r="U532" s="238"/>
      <c r="V532" s="3004" t="str">
        <f>IF(V$457&gt;V$464,IF(V$464&gt;V$457*(V529^(1/V530)/V503^(1/V504))*Wind*(1*Wind*V$457/V$464)^(1/V504-1/V530),"Instantaneous","Continuous"),"Continuous")</f>
        <v>Continuous</v>
      </c>
      <c r="W532" s="238"/>
      <c r="X532" s="3004" t="str">
        <f>IF(X$457&gt;X$464,IF(X$464&gt;X$457*(X529^(1/X530)/X503^(1/X504))*Wind*(1*Wind*X$457/X$464)^(1/X504-1/X530),"Instantaneous","Continuous"),"Continuous")</f>
        <v>Continuous</v>
      </c>
      <c r="Y532" s="83"/>
      <c r="Z532" s="85"/>
      <c r="AA532" s="83"/>
      <c r="AB532" s="81"/>
      <c r="AC532" s="2976" t="s">
        <v>5121</v>
      </c>
      <c r="AD532" s="81"/>
      <c r="AE532" s="2105">
        <f>IF(AND(AE478&gt;0,AE490&gt;0),AE530*(AE478/(Wind*AE488*AE490))^AE531,0)</f>
        <v>4.7755050623775086E-4</v>
      </c>
      <c r="AF532" s="81"/>
      <c r="AG532" s="2105">
        <f>IF(AND(AG478&gt;0,AG490&gt;0),AG530*(AG478/(Wind*AG488*AG490))^AG531,0)</f>
        <v>4.7755050623775086E-4</v>
      </c>
      <c r="AH532" s="81"/>
      <c r="AI532" s="2105">
        <f>IF(AND(AI478&gt;0,AI490&gt;0),AI530*(AI478/(Wind*AI488*AI490))^AI531,0)</f>
        <v>4.7755050623775086E-4</v>
      </c>
      <c r="AJ532" s="81"/>
      <c r="AK532" s="81"/>
      <c r="AL532" s="81"/>
      <c r="AM532" s="81"/>
      <c r="AN532" s="81"/>
      <c r="AO532" s="81"/>
      <c r="AP532" s="81"/>
      <c r="AQ532" s="85"/>
      <c r="AR532" s="81"/>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26"/>
      <c r="BR532" s="26"/>
      <c r="BS532" s="26"/>
      <c r="BT532" s="26"/>
      <c r="BU532" s="26"/>
      <c r="BV532" s="26"/>
      <c r="BW532" s="26"/>
      <c r="BX532" s="26"/>
      <c r="BY532" s="26"/>
      <c r="BZ532" s="26"/>
      <c r="CA532" s="26"/>
      <c r="CB532" s="26"/>
    </row>
    <row r="533" spans="1:80" ht="15" customHeight="1" x14ac:dyDescent="0.25">
      <c r="A533" s="2"/>
      <c r="B533" s="1689" t="s">
        <v>5062</v>
      </c>
      <c r="C533" s="83"/>
      <c r="D533" s="2426">
        <f>IF(D480&gt;0,(D480^2*D478/Wind_Night^5)^0.2,0)</f>
        <v>0.12070722139728492</v>
      </c>
      <c r="E533" s="235"/>
      <c r="F533" s="2426">
        <f>IF(F480&gt;0,(F480^2*F478/Wind_Night^5)^0.2,0)</f>
        <v>0.12070722139728492</v>
      </c>
      <c r="G533" s="238"/>
      <c r="H533" s="2426">
        <f>IF(H480&gt;0,(H480^2*H478/Wind_Night^5)^0.2,0)</f>
        <v>0</v>
      </c>
      <c r="I533" s="238"/>
      <c r="J533" s="2426">
        <f>IF(J480&gt;0,(J480^2*J478/Wind_Night^5)^0.2,0)</f>
        <v>0.12070722139728492</v>
      </c>
      <c r="K533" s="238"/>
      <c r="L533" s="2426">
        <f>IF(L480&gt;0,(L480^2*L478/Wind_Night^5)^0.2,0)</f>
        <v>0</v>
      </c>
      <c r="M533" s="238"/>
      <c r="N533" s="2426">
        <f>IF(N480&gt;0,(N480^2*N478/Wind_Night^5)^0.2,0)</f>
        <v>0</v>
      </c>
      <c r="O533" s="238"/>
      <c r="P533" s="2426">
        <f>IF(P480&gt;0,(P480^2*P478/Wind_Night^5)^0.2,0)</f>
        <v>7.4573024048871672E-2</v>
      </c>
      <c r="Q533" s="238"/>
      <c r="R533" s="2426">
        <f>IF(R480&gt;0,(R480^2*R478/Wind_Night^5)^0.2,0)</f>
        <v>0.12070722139728492</v>
      </c>
      <c r="S533" s="238"/>
      <c r="T533" s="2426">
        <f>IF(T480&gt;0,(T480^2*T478/Wind_Night^5)^0.2,0)</f>
        <v>0.17414429695218447</v>
      </c>
      <c r="U533" s="238"/>
      <c r="V533" s="2426">
        <f>IF(V480&gt;0,(V480^2*V478/Wind_Night^5)^0.2,0)</f>
        <v>0.22978477744439149</v>
      </c>
      <c r="W533" s="238"/>
      <c r="X533" s="2426">
        <f>IF(X480&gt;0,(X480^2*X478/Wind_Night^5)^0.2,0)</f>
        <v>0.35659048983020486</v>
      </c>
      <c r="Y533" s="83"/>
      <c r="Z533" s="85"/>
      <c r="AA533" s="83"/>
      <c r="AB533" s="81"/>
      <c r="AC533" s="1691" t="s">
        <v>5060</v>
      </c>
      <c r="AD533" s="81"/>
      <c r="AE533" s="1288">
        <f>IF(AE494&gt;0,(AE494*AE493^0.333/Wind^2)^0.5,0)</f>
        <v>0</v>
      </c>
      <c r="AF533" s="81"/>
      <c r="AG533" s="1288">
        <f>IF(AG494&gt;0,(AG494*AG493^0.333/Wind^2)^0.5,0)</f>
        <v>0</v>
      </c>
      <c r="AH533" s="81"/>
      <c r="AI533" s="1288">
        <f>IF(AI494&gt;0,(AI494*AI493^0.333/Wind^2)^0.5,0)</f>
        <v>0</v>
      </c>
      <c r="AJ533" s="81"/>
      <c r="AK533" s="81"/>
      <c r="AL533" s="81"/>
      <c r="AM533" s="81"/>
      <c r="AN533" s="81"/>
      <c r="AO533" s="81"/>
      <c r="AP533" s="81"/>
      <c r="AQ533" s="85"/>
      <c r="AR533" s="81"/>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26"/>
      <c r="BR533" s="26"/>
      <c r="BS533" s="26"/>
      <c r="BT533" s="26"/>
      <c r="BU533" s="26"/>
      <c r="BV533" s="26"/>
      <c r="BW533" s="26"/>
      <c r="BX533" s="26"/>
      <c r="BY533" s="26"/>
      <c r="BZ533" s="26"/>
      <c r="CA533" s="26"/>
      <c r="CB533" s="26"/>
    </row>
    <row r="534" spans="1:80" ht="15" customHeight="1" x14ac:dyDescent="0.25">
      <c r="A534" s="2"/>
      <c r="B534" s="1691" t="s">
        <v>5063</v>
      </c>
      <c r="C534" s="83"/>
      <c r="D534" s="3000">
        <f>IF(AND(D480&gt;0,D533&gt;0),D475*0.15^6/D533^5,1)</f>
        <v>0.15869880922404678</v>
      </c>
      <c r="E534" s="235"/>
      <c r="F534" s="3000">
        <f>IF(AND(F480&gt;0,F533&gt;0),F475*0.15^6/F533^5,1)</f>
        <v>0.15869880922404678</v>
      </c>
      <c r="G534" s="238"/>
      <c r="H534" s="3000">
        <f>IF(AND(H480&gt;0,H533&gt;0),H475*0.15^6/H533^5,1)</f>
        <v>1</v>
      </c>
      <c r="I534" s="238"/>
      <c r="J534" s="3000">
        <f>IF(AND(J480&gt;0,J533&gt;0),J475*0.15^6/J533^5,1)</f>
        <v>0.15869880922404678</v>
      </c>
      <c r="K534" s="238"/>
      <c r="L534" s="3000">
        <f>IF(AND(L480&gt;0,L533&gt;0),L475*0.15^6/L533^5,1)</f>
        <v>1</v>
      </c>
      <c r="M534" s="238"/>
      <c r="N534" s="3000">
        <f>IF(AND(N480&gt;0,N533&gt;0),N475*0.15^6/N533^5,1)</f>
        <v>1</v>
      </c>
      <c r="O534" s="238"/>
      <c r="P534" s="3000">
        <f>IF(AND(P480&gt;0,P533&gt;0),P475*0.15^6/P533^5,1)</f>
        <v>1.7633201024893923</v>
      </c>
      <c r="Q534" s="238"/>
      <c r="R534" s="3000">
        <f>IF(AND(R480&gt;0,R533&gt;0),R475*0.15^6/R533^5,1)</f>
        <v>0.15869880922404678</v>
      </c>
      <c r="S534" s="238"/>
      <c r="T534" s="3000">
        <f>IF(AND(T480&gt;0,T533&gt;0),T475*0.15^6/T533^5,1)</f>
        <v>2.5391809475847252E-2</v>
      </c>
      <c r="U534" s="238"/>
      <c r="V534" s="3000">
        <f>IF(AND(V480&gt;0,V533&gt;0),V475*0.15^6/V533^5,1)</f>
        <v>6.3479523689618069E-3</v>
      </c>
      <c r="W534" s="238"/>
      <c r="X534" s="3000">
        <f>IF(AND(X480&gt;0,X533&gt;0),X475*0.15^6/X533^5,1)</f>
        <v>7.0532804099575667E-4</v>
      </c>
      <c r="Y534" s="83"/>
      <c r="Z534" s="85"/>
      <c r="AA534" s="83"/>
      <c r="AB534" s="81"/>
      <c r="AC534" s="1691" t="s">
        <v>5061</v>
      </c>
      <c r="AD534" s="81"/>
      <c r="AE534" s="3000">
        <f>IF(AND(AE494&gt;0,AE533&gt;0),AE489*(0.2/AE533)^3,1)</f>
        <v>1</v>
      </c>
      <c r="AF534" s="81"/>
      <c r="AG534" s="3000">
        <f>IF(AND(AG494&gt;0,AG533&gt;0),AG489*(0.2/AG533)^3,1)</f>
        <v>1</v>
      </c>
      <c r="AH534" s="81"/>
      <c r="AI534" s="3000">
        <f>IF(AND(AI494&gt;0,AI533&gt;0),AI489*(0.2/AI533)^3,1)</f>
        <v>1</v>
      </c>
      <c r="AJ534" s="81"/>
      <c r="AK534" s="81"/>
      <c r="AL534" s="81"/>
      <c r="AM534" s="81"/>
      <c r="AN534" s="81"/>
      <c r="AO534" s="81"/>
      <c r="AP534" s="81"/>
      <c r="AQ534" s="85"/>
      <c r="AR534" s="81"/>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26"/>
      <c r="BR534" s="26"/>
      <c r="BS534" s="26"/>
      <c r="BT534" s="26"/>
      <c r="BU534" s="26"/>
      <c r="BV534" s="26"/>
      <c r="BW534" s="26"/>
      <c r="BX534" s="26"/>
      <c r="BY534" s="26"/>
      <c r="BZ534" s="26"/>
      <c r="CA534" s="26"/>
      <c r="CB534" s="26"/>
    </row>
    <row r="535" spans="1:80" ht="15" customHeight="1" x14ac:dyDescent="0.25">
      <c r="A535" s="2"/>
      <c r="B535" s="512" t="s">
        <v>5115</v>
      </c>
      <c r="C535" s="83"/>
      <c r="D535" s="3000">
        <f>LN(IF(D534&lt;D475,IF(LOG(D533)&lt;-0.55,56.2,IF(LOG(D533)&lt;-0.14,10^(1.88+0.24*LOG(D533)),10^(1.78-0.5*LOG(D533))))*(D478/Wind_Night)^0.5,1))</f>
        <v>0.63288709415407995</v>
      </c>
      <c r="E535" s="235"/>
      <c r="F535" s="3000">
        <f>LN(IF(F534&lt;F475,IF(LOG(F533)&lt;-0.55,56.2,IF(LOG(F533)&lt;-0.14,10^(1.88+0.24*LOG(F533)),10^(1.78-0.5*LOG(F533))))*(F478/Wind_Night)^0.5,1))</f>
        <v>0.63288709415407995</v>
      </c>
      <c r="G535" s="238"/>
      <c r="H535" s="3000">
        <f>LN(IF(H534&lt;H475,IF(LOG(H533)&lt;-0.55,56.2,IF(LOG(H533)&lt;-0.14,10^(1.88+0.24*LOG(H533)),10^(1.78-0.5*LOG(H533))))*(H478/Wind_Night)^0.5,1))</f>
        <v>0</v>
      </c>
      <c r="I535" s="238"/>
      <c r="J535" s="3000">
        <f>LN(IF(J534&lt;J475,IF(LOG(J533)&lt;-0.55,56.2,IF(LOG(J533)&lt;-0.14,10^(1.88+0.24*LOG(J533)),10^(1.78-0.5*LOG(J533))))*(J478/Wind_Night)^0.5,1))</f>
        <v>0.63288709415407995</v>
      </c>
      <c r="K535" s="238"/>
      <c r="L535" s="3000">
        <f>LN(IF(L534&lt;L475,IF(LOG(L533)&lt;-0.55,56.2,IF(LOG(L533)&lt;-0.14,10^(1.88+0.24*LOG(L533)),10^(1.78-0.5*LOG(L533))))*(L478/Wind_Night)^0.5,1))</f>
        <v>0</v>
      </c>
      <c r="M535" s="238"/>
      <c r="N535" s="3000">
        <f>LN(IF(N534&lt;N475,IF(LOG(N533)&lt;-0.55,56.2,IF(LOG(N533)&lt;-0.14,10^(1.88+0.24*LOG(N533)),10^(1.78-0.5*LOG(N533))))*(N478/Wind_Night)^0.5,1))</f>
        <v>0</v>
      </c>
      <c r="O535" s="238"/>
      <c r="P535" s="3000">
        <f>LN(IF(P534&lt;P475,IF(LOG(P533)&lt;-0.55,56.2,IF(LOG(P533)&lt;-0.14,10^(1.88+0.24*LOG(P533)),10^(1.78-0.5*LOG(P533))))*(P478/Wind_Night)^0.5,1))</f>
        <v>0</v>
      </c>
      <c r="Q535" s="238"/>
      <c r="R535" s="3000">
        <f>LN(IF(R534&lt;R475,IF(LOG(R533)&lt;-0.55,56.2,IF(LOG(R533)&lt;-0.14,10^(1.88+0.24*LOG(R533)),10^(1.78-0.5*LOG(R533))))*(R478/Wind_Night)^0.5,1))</f>
        <v>0.63288709415407995</v>
      </c>
      <c r="S535" s="238"/>
      <c r="T535" s="3000">
        <f>LN(IF(T534&lt;T475,IF(LOG(T533)&lt;-0.55,56.2,IF(LOG(T533)&lt;-0.14,10^(1.88+0.24*LOG(T533)),10^(1.78-0.5*LOG(T533))))*(T478/Wind_Night)^0.5,1))</f>
        <v>1.5491778260282347</v>
      </c>
      <c r="U535" s="238"/>
      <c r="V535" s="3000">
        <f>LN(IF(V534&lt;V475,IF(LOG(V533)&lt;-0.55,56.2,IF(LOG(V533)&lt;-0.14,10^(1.88+0.24*LOG(V533)),10^(1.78-0.5*LOG(V533))))*(V478/Wind_Night)^0.5,1))</f>
        <v>2.2423250065881799</v>
      </c>
      <c r="W535" s="238"/>
      <c r="X535" s="3000">
        <f>LN(IF(X534&lt;X475,IF(LOG(X533)&lt;-0.55,56.2,IF(LOG(X533)&lt;-0.14,10^(1.88+0.24*LOG(X533)),10^(1.78-0.5*LOG(X533))))*(X478/Wind_Night)^0.5,1))</f>
        <v>3.3934003748843988</v>
      </c>
      <c r="Y535" s="83"/>
      <c r="Z535" s="85"/>
      <c r="AA535" s="83"/>
      <c r="AB535" s="81"/>
      <c r="AC535" s="512" t="s">
        <v>5115</v>
      </c>
      <c r="AD535" s="81"/>
      <c r="AE535" s="3000">
        <f>LN(IF(AE534&lt;AE489,IF(LOG(AE533)&lt;-0.44,5.01,IF(LOG(AE533)&lt;0.43,10^(0.81+0.26*LOG(AE533)),8.51))*AE493^0.333,1))</f>
        <v>0</v>
      </c>
      <c r="AF535" s="81"/>
      <c r="AG535" s="3000">
        <f>LN(IF(AG534&lt;AG489,IF(LOG(AG533)&lt;-0.44,5.01,IF(LOG(AG533)&lt;0.43,10^(0.81+0.26*LOG(AG533)),8.51))*AG493^0.333,1))</f>
        <v>0</v>
      </c>
      <c r="AH535" s="81"/>
      <c r="AI535" s="3000">
        <f>LN(IF(AI534&lt;AI489,IF(LOG(AI533)&lt;-0.44,5.01,IF(LOG(AI533)&lt;0.43,10^(0.81+0.26*LOG(AI533)),8.51))*AI493^0.333,1))</f>
        <v>0</v>
      </c>
      <c r="AJ535" s="81"/>
      <c r="AK535" s="81"/>
      <c r="AL535" s="81"/>
      <c r="AM535" s="81"/>
      <c r="AN535" s="81"/>
      <c r="AO535" s="81"/>
      <c r="AP535" s="81"/>
      <c r="AQ535" s="85"/>
      <c r="AR535" s="81"/>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26"/>
      <c r="BR535" s="26"/>
      <c r="BS535" s="26"/>
      <c r="BT535" s="26"/>
      <c r="BU535" s="26"/>
      <c r="BV535" s="26"/>
      <c r="BW535" s="26"/>
      <c r="BX535" s="26"/>
      <c r="BY535" s="26"/>
      <c r="BZ535" s="26"/>
      <c r="CA535" s="26"/>
      <c r="CB535" s="26"/>
    </row>
    <row r="536" spans="1:80" ht="15" customHeight="1" x14ac:dyDescent="0.25">
      <c r="A536" s="2"/>
      <c r="B536" s="512" t="s">
        <v>5116</v>
      </c>
      <c r="C536" s="83"/>
      <c r="D536" s="3000">
        <f>LN(IF(D534&lt;D475,IF(LOG(D533)&lt;-0.68,83.2,IF(LOG(D533)&lt;-0.29,10^(2.16+0.36*LOG(D533)),IF(LOG(D533)&lt;-0.18,114.8,10^(1.96-0.56*LOG(D533)))))*(D478/Wind_Night)^0.5,1))</f>
        <v>1.0252176850815975</v>
      </c>
      <c r="E536" s="235"/>
      <c r="F536" s="3000">
        <f>LN(IF(F534&lt;F475,IF(LOG(F533)&lt;-0.68,83.2,IF(LOG(F533)&lt;-0.29,10^(2.16+0.36*LOG(F533)),IF(LOG(F533)&lt;-0.18,114.8,10^(1.96-0.56*LOG(F533)))))*(F478/Wind_Night)^0.5,1))</f>
        <v>1.0252176850815975</v>
      </c>
      <c r="G536" s="238"/>
      <c r="H536" s="3000">
        <f>LN(IF(H534&lt;H475,IF(LOG(H533)&lt;-0.68,83.2,IF(LOG(H533)&lt;-0.29,10^(2.16+0.36*LOG(H533)),IF(LOG(H533)&lt;-0.18,114.8,10^(1.96-0.56*LOG(H533)))))*(H478/Wind_Night)^0.5,1))</f>
        <v>0</v>
      </c>
      <c r="I536" s="238"/>
      <c r="J536" s="3000">
        <f>LN(IF(J534&lt;J475,IF(LOG(J533)&lt;-0.68,83.2,IF(LOG(J533)&lt;-0.29,10^(2.16+0.36*LOG(J533)),IF(LOG(J533)&lt;-0.18,114.8,10^(1.96-0.56*LOG(J533)))))*(J478/Wind_Night)^0.5,1))</f>
        <v>1.0252176850815975</v>
      </c>
      <c r="K536" s="238"/>
      <c r="L536" s="3000">
        <f>LN(IF(L534&lt;L475,IF(LOG(L533)&lt;-0.68,83.2,IF(LOG(L533)&lt;-0.29,10^(2.16+0.36*LOG(L533)),IF(LOG(L533)&lt;-0.18,114.8,10^(1.96-0.56*LOG(L533)))))*(L478/Wind_Night)^0.5,1))</f>
        <v>0</v>
      </c>
      <c r="M536" s="238"/>
      <c r="N536" s="3000">
        <f>LN(IF(N534&lt;N475,IF(LOG(N533)&lt;-0.68,83.2,IF(LOG(N533)&lt;-0.29,10^(2.16+0.36*LOG(N533)),IF(LOG(N533)&lt;-0.18,114.8,10^(1.96-0.56*LOG(N533)))))*(N478/Wind_Night)^0.5,1))</f>
        <v>0</v>
      </c>
      <c r="O536" s="238"/>
      <c r="P536" s="3000">
        <f>LN(IF(P534&lt;P475,IF(LOG(P533)&lt;-0.68,83.2,IF(LOG(P533)&lt;-0.29,10^(2.16+0.36*LOG(P533)),IF(LOG(P533)&lt;-0.18,114.8,10^(1.96-0.56*LOG(P533)))))*(P478/Wind_Night)^0.5,1))</f>
        <v>0</v>
      </c>
      <c r="Q536" s="238"/>
      <c r="R536" s="3000">
        <f>LN(IF(R534&lt;R475,IF(LOG(R533)&lt;-0.68,83.2,IF(LOG(R533)&lt;-0.29,10^(2.16+0.36*LOG(R533)),IF(LOG(R533)&lt;-0.18,114.8,10^(1.96-0.56*LOG(R533)))))*(R478/Wind_Night)^0.5,1))</f>
        <v>1.0252176850815975</v>
      </c>
      <c r="S536" s="238"/>
      <c r="T536" s="3000">
        <f>LN(IF(T534&lt;T475,IF(LOG(T533)&lt;-0.68,83.2,IF(LOG(T533)&lt;-0.29,10^(2.16+0.36*LOG(T533)),IF(LOG(T533)&lt;-0.18,114.8,10^(1.96-0.56*LOG(T533)))))*(T478/Wind_Night)^0.5,1))</f>
        <v>1.9415084169557524</v>
      </c>
      <c r="U536" s="238"/>
      <c r="V536" s="3000">
        <f>LN(IF(V534&lt;V475,IF(LOG(V533)&lt;-0.68,83.2,IF(LOG(V533)&lt;-0.29,10^(2.16+0.36*LOG(V533)),IF(LOG(V533)&lt;-0.18,114.8,10^(1.96-0.56*LOG(V533)))))*(V478/Wind_Night)^0.5,1))</f>
        <v>2.6575716735358896</v>
      </c>
      <c r="W536" s="238"/>
      <c r="X536" s="3000">
        <f>LN(IF(X534&lt;X475,IF(LOG(X533)&lt;-0.68,83.2,IF(LOG(X533)&lt;-0.29,10^(2.16+0.36*LOG(X533)),IF(LOG(X533)&lt;-0.18,114.8,10^(1.96-0.56*LOG(X533)))))*(X478/Wind_Night)^0.5,1))</f>
        <v>3.914384131772207</v>
      </c>
      <c r="Y536" s="83"/>
      <c r="Z536" s="85"/>
      <c r="AA536" s="83"/>
      <c r="AB536" s="81"/>
      <c r="AC536" s="512" t="s">
        <v>5116</v>
      </c>
      <c r="AD536" s="81"/>
      <c r="AE536" s="3000">
        <f>LN(IF(AE534&lt;AE489,IF(LOG(AE533)&lt;-0.56,7.08,IF(LOG(AE533)&lt;0.31,10^(1+0.26*LOG(AE533)),10^(1.12-0.12*LOG(AE533))))*AE493^0.333,1))</f>
        <v>0</v>
      </c>
      <c r="AF536" s="81"/>
      <c r="AG536" s="3000">
        <f>LN(IF(AG534&lt;AG489,IF(LOG(AG533)&lt;-0.56,7.08,IF(LOG(AG533)&lt;0.31,10^(1+0.26*LOG(AG533)),10^(1.12-0.12*LOG(AG533))))*AG493^0.333,1))</f>
        <v>0</v>
      </c>
      <c r="AH536" s="81"/>
      <c r="AI536" s="3000">
        <f>LN(IF(AI534&lt;AI489,IF(LOG(AI533)&lt;-0.56,7.08,IF(LOG(AI533)&lt;0.31,10^(1+0.26*LOG(AI533)),10^(1.12-0.12*LOG(AI533))))*AI493^0.333,1))</f>
        <v>0</v>
      </c>
      <c r="AJ536" s="81"/>
      <c r="AK536" s="81"/>
      <c r="AL536" s="81"/>
      <c r="AM536" s="81"/>
      <c r="AN536" s="81"/>
      <c r="AO536" s="81"/>
      <c r="AP536" s="81"/>
      <c r="AQ536" s="85"/>
      <c r="AR536" s="81"/>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26"/>
      <c r="BR536" s="26"/>
      <c r="BS536" s="26"/>
      <c r="BT536" s="26"/>
      <c r="BU536" s="26"/>
      <c r="BV536" s="26"/>
      <c r="BW536" s="26"/>
      <c r="BX536" s="26"/>
      <c r="BY536" s="26"/>
      <c r="BZ536" s="26"/>
      <c r="CA536" s="26"/>
      <c r="CB536" s="26"/>
    </row>
    <row r="537" spans="1:80" ht="15" customHeight="1" x14ac:dyDescent="0.25">
      <c r="A537" s="2"/>
      <c r="B537" s="512" t="s">
        <v>5117</v>
      </c>
      <c r="C537" s="83"/>
      <c r="D537" s="3000">
        <f>LN(IF(D534&lt;D475,IF(LOG(D533)&lt;-0.69,120.2,IF(LOG(D533)&lt;-0.31,10^(2.39+0.45*LOG(D533)),IF(LOG(D533)&lt;-0.16,177.8,10^(2.16-0.54*LOG(D533)))))*(D478/Wind_Night)^0.5,1))</f>
        <v>1.3931273593555418</v>
      </c>
      <c r="E537" s="235"/>
      <c r="F537" s="3000">
        <f>LN(IF(F534&lt;F475,IF(LOG(F533)&lt;-0.69,120.2,IF(LOG(F533)&lt;-0.31,10^(2.39+0.45*LOG(F533)),IF(LOG(F533)&lt;-0.16,177.8,10^(2.16-0.54*LOG(F533)))))*(F478/Wind_Night)^0.5,1))</f>
        <v>1.3931273593555418</v>
      </c>
      <c r="G537" s="238"/>
      <c r="H537" s="3000">
        <f>LN(IF(H534&lt;H475,IF(LOG(H533)&lt;-0.69,120.2,IF(LOG(H533)&lt;-0.31,10^(2.39+0.45*LOG(H533)),IF(LOG(H533)&lt;-0.16,177.8,10^(2.16-0.54*LOG(H533)))))*(H478/Wind_Night)^0.5,1))</f>
        <v>0</v>
      </c>
      <c r="I537" s="238"/>
      <c r="J537" s="3000">
        <f>LN(IF(J534&lt;J475,IF(LOG(J533)&lt;-0.69,120.2,IF(LOG(J533)&lt;-0.31,10^(2.39+0.45*LOG(J533)),IF(LOG(J533)&lt;-0.16,177.8,10^(2.16-0.54*LOG(J533)))))*(J478/Wind_Night)^0.5,1))</f>
        <v>1.3931273593555418</v>
      </c>
      <c r="K537" s="238"/>
      <c r="L537" s="3000">
        <f>LN(IF(L534&lt;L475,IF(LOG(L533)&lt;-0.69,120.2,IF(LOG(L533)&lt;-0.31,10^(2.39+0.45*LOG(L533)),IF(LOG(L533)&lt;-0.16,177.8,10^(2.16-0.54*LOG(L533)))))*(L478/Wind_Night)^0.5,1))</f>
        <v>0</v>
      </c>
      <c r="M537" s="238"/>
      <c r="N537" s="3000">
        <f>LN(IF(N534&lt;N475,IF(LOG(N533)&lt;-0.69,120.2,IF(LOG(N533)&lt;-0.31,10^(2.39+0.45*LOG(N533)),IF(LOG(N533)&lt;-0.16,177.8,10^(2.16-0.54*LOG(N533)))))*(N478/Wind_Night)^0.5,1))</f>
        <v>0</v>
      </c>
      <c r="O537" s="238"/>
      <c r="P537" s="3000">
        <f>LN(IF(P534&lt;P475,IF(LOG(P533)&lt;-0.69,120.2,IF(LOG(P533)&lt;-0.31,10^(2.39+0.45*LOG(P533)),IF(LOG(P533)&lt;-0.16,177.8,10^(2.16-0.54*LOG(P533)))))*(P478/Wind_Night)^0.5,1))</f>
        <v>0</v>
      </c>
      <c r="Q537" s="238"/>
      <c r="R537" s="3000">
        <f>LN(IF(R534&lt;R475,IF(LOG(R533)&lt;-0.69,120.2,IF(LOG(R533)&lt;-0.31,10^(2.39+0.45*LOG(R533)),IF(LOG(R533)&lt;-0.16,177.8,10^(2.16-0.54*LOG(R533)))))*(R478/Wind_Night)^0.5,1))</f>
        <v>1.3931273593555418</v>
      </c>
      <c r="S537" s="238"/>
      <c r="T537" s="3000">
        <f>LN(IF(T534&lt;T475,IF(LOG(T533)&lt;-0.69,120.2,IF(LOG(T533)&lt;-0.31,10^(2.39+0.45*LOG(T533)),IF(LOG(T533)&lt;-0.16,177.8,10^(2.16-0.54*LOG(T533)))))*(T478/Wind_Night)^0.5,1))</f>
        <v>2.3094180912296967</v>
      </c>
      <c r="U537" s="238"/>
      <c r="V537" s="3000">
        <f>LN(IF(V534&lt;V475,IF(LOG(V533)&lt;-0.69,120.2,IF(LOG(V533)&lt;-0.31,10^(2.39+0.45*LOG(V533)),IF(LOG(V533)&lt;-0.16,177.8,10^(2.16-0.54*LOG(V533)))))*(V478/Wind_Night)^0.5,1))</f>
        <v>3.0548111506695732</v>
      </c>
      <c r="W537" s="238"/>
      <c r="X537" s="3000">
        <f>LN(IF(X534&lt;X475,IF(LOG(X533)&lt;-0.69,120.2,IF(LOG(X533)&lt;-0.31,10^(2.39+0.45*LOG(X533)),IF(LOG(X533)&lt;-0.16,177.8,10^(2.16-0.54*LOG(X533)))))*(X478/Wind_Night)^0.5,1))</f>
        <v>4.3511736512979438</v>
      </c>
      <c r="Y537" s="83"/>
      <c r="Z537" s="85"/>
      <c r="AA537" s="83"/>
      <c r="AB537" s="81"/>
      <c r="AC537" s="512" t="s">
        <v>5117</v>
      </c>
      <c r="AD537" s="81"/>
      <c r="AE537" s="3000">
        <f>LN(IF(AE534&lt;AE489,IF(LOG(AE533)&lt;-0.66,8.91,IF(LOG(AE533)&lt;0.32,10^(1.19+0.36*LOG(AE533)),10^(1.38-0.26*LOG(AE533))))*AE493^0.333,1))</f>
        <v>0</v>
      </c>
      <c r="AF537" s="81"/>
      <c r="AG537" s="3000">
        <f>LN(IF(AG534&lt;AG489,IF(LOG(AG533)&lt;-0.66,8.91,IF(LOG(AG533)&lt;0.32,10^(1.19+0.36*LOG(AG533)),10^(1.38-0.26*LOG(AG533))))*AG493^0.333,1))</f>
        <v>0</v>
      </c>
      <c r="AH537" s="81"/>
      <c r="AI537" s="3000">
        <f>LN(IF(AI534&lt;AI489,IF(LOG(AI533)&lt;-0.66,8.91,IF(LOG(AI533)&lt;0.32,10^(1.19+0.36*LOG(AI533)),10^(1.38-0.26*LOG(AI533))))*AI493^0.333,1))</f>
        <v>0</v>
      </c>
      <c r="AJ537" s="81"/>
      <c r="AK537" s="81"/>
      <c r="AL537" s="81"/>
      <c r="AM537" s="81"/>
      <c r="AN537" s="81"/>
      <c r="AO537" s="81"/>
      <c r="AP537" s="81"/>
      <c r="AQ537" s="85"/>
      <c r="AR537" s="81"/>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26"/>
      <c r="BR537" s="26"/>
      <c r="BS537" s="26"/>
      <c r="BT537" s="26"/>
      <c r="BU537" s="26"/>
      <c r="BV537" s="26"/>
      <c r="BW537" s="26"/>
      <c r="BX537" s="26"/>
      <c r="BY537" s="26"/>
      <c r="BZ537" s="26"/>
      <c r="CA537" s="26"/>
      <c r="CB537" s="26"/>
    </row>
    <row r="538" spans="1:80" ht="15" customHeight="1" x14ac:dyDescent="0.25">
      <c r="A538" s="2"/>
      <c r="B538" s="512" t="s">
        <v>5118</v>
      </c>
      <c r="C538" s="83"/>
      <c r="D538" s="3000">
        <f>LN(IF(D534&lt;D475,IF(LOG(D533)&lt;-0.7,177.8,IF(LOG(D533)&lt;-0.29,10^(2.59+0.49*LOG(D533)),IF(LOG(D533)&lt;-0.2,281.8,10^(2.35-0.52*LOG(D533)))))*(D478/Wind_Night)^0.5,1))</f>
        <v>1.7846296603342386</v>
      </c>
      <c r="E538" s="235"/>
      <c r="F538" s="3000">
        <f>LN(IF(F534&lt;F475,IF(LOG(F533)&lt;-0.7,177.8,IF(LOG(F533)&lt;-0.29,10^(2.59+0.49*LOG(F533)),IF(LOG(F533)&lt;-0.2,281.8,10^(2.35-0.52*LOG(F533)))))*(F478/Wind_Night)^0.5,1))</f>
        <v>1.7846296603342386</v>
      </c>
      <c r="G538" s="238"/>
      <c r="H538" s="3000">
        <f>LN(IF(H534&lt;H475,IF(LOG(H533)&lt;-0.7,177.8,IF(LOG(H533)&lt;-0.29,10^(2.59+0.49*LOG(H533)),IF(LOG(H533)&lt;-0.2,281.8,10^(2.35-0.52*LOG(H533)))))*(H478/Wind_Night)^0.5,1))</f>
        <v>0</v>
      </c>
      <c r="I538" s="238"/>
      <c r="J538" s="3000">
        <f>LN(IF(J534&lt;J475,IF(LOG(J533)&lt;-0.7,177.8,IF(LOG(J533)&lt;-0.29,10^(2.59+0.49*LOG(J533)),IF(LOG(J533)&lt;-0.2,281.8,10^(2.35-0.52*LOG(J533)))))*(J478/Wind_Night)^0.5,1))</f>
        <v>1.7846296603342386</v>
      </c>
      <c r="K538" s="238"/>
      <c r="L538" s="3000">
        <f>LN(IF(L534&lt;L475,IF(LOG(L533)&lt;-0.7,177.8,IF(LOG(L533)&lt;-0.29,10^(2.59+0.49*LOG(L533)),IF(LOG(L533)&lt;-0.2,281.8,10^(2.35-0.52*LOG(L533)))))*(L478/Wind_Night)^0.5,1))</f>
        <v>0</v>
      </c>
      <c r="M538" s="238"/>
      <c r="N538" s="3000">
        <f>LN(IF(N534&lt;N475,IF(LOG(N533)&lt;-0.7,177.8,IF(LOG(N533)&lt;-0.29,10^(2.59+0.49*LOG(N533)),IF(LOG(N533)&lt;-0.2,281.8,10^(2.35-0.52*LOG(N533)))))*(N478/Wind_Night)^0.5,1))</f>
        <v>0</v>
      </c>
      <c r="O538" s="238"/>
      <c r="P538" s="3000">
        <f>LN(IF(P534&lt;P475,IF(LOG(P533)&lt;-0.7,177.8,IF(LOG(P533)&lt;-0.29,10^(2.59+0.49*LOG(P533)),IF(LOG(P533)&lt;-0.2,281.8,10^(2.35-0.52*LOG(P533)))))*(P478/Wind_Night)^0.5,1))</f>
        <v>0</v>
      </c>
      <c r="Q538" s="238"/>
      <c r="R538" s="3000">
        <f>LN(IF(R534&lt;R475,IF(LOG(R533)&lt;-0.7,177.8,IF(LOG(R533)&lt;-0.29,10^(2.59+0.49*LOG(R533)),IF(LOG(R533)&lt;-0.2,281.8,10^(2.35-0.52*LOG(R533)))))*(R478/Wind_Night)^0.5,1))</f>
        <v>1.7846296603342386</v>
      </c>
      <c r="S538" s="238"/>
      <c r="T538" s="3000">
        <f>LN(IF(T534&lt;T475,IF(LOG(T533)&lt;-0.7,177.8,IF(LOG(T533)&lt;-0.29,10^(2.59+0.49*LOG(T533)),IF(LOG(T533)&lt;-0.2,281.8,10^(2.35-0.52*LOG(T533)))))*(T478/Wind_Night)^0.5,1))</f>
        <v>2.7009203922083937</v>
      </c>
      <c r="U538" s="238"/>
      <c r="V538" s="3000">
        <f>LN(IF(V534&lt;V475,IF(LOG(V533)&lt;-0.7,177.8,IF(LOG(V533)&lt;-0.29,10^(2.59+0.49*LOG(V533)),IF(LOG(V533)&lt;-0.2,281.8,10^(2.35-0.52*LOG(V533)))))*(V478/Wind_Night)^0.5,1))</f>
        <v>3.4565036829328508</v>
      </c>
      <c r="W538" s="238"/>
      <c r="X538" s="3000">
        <f>LN(IF(X534&lt;X475,IF(LOG(X533)&lt;-0.7,177.8,IF(LOG(X533)&lt;-0.29,10^(2.59+0.49*LOG(X533)),IF(LOG(X533)&lt;-0.2,281.8,10^(2.35-0.52*LOG(X533)))))*(X478/Wind_Night)^0.5,1))</f>
        <v>4.7704439801799099</v>
      </c>
      <c r="Y538" s="83"/>
      <c r="Z538" s="85"/>
      <c r="AA538" s="83"/>
      <c r="AB538" s="81"/>
      <c r="AC538" s="512" t="s">
        <v>5118</v>
      </c>
      <c r="AD538" s="81"/>
      <c r="AE538" s="3000">
        <f>LN(IF(AE534&lt;AE489,IF(LOG(AE533)&lt;-0.71,14.1,IF(LOG(AE533)&lt;0.37,10^(1.39+0.34*LOG(AE533)),10^(1.66-0.38*LOG(AE533))))*AE493^0.333,1))</f>
        <v>0</v>
      </c>
      <c r="AF538" s="81"/>
      <c r="AG538" s="3000">
        <f>LN(IF(AG534&lt;AG489,IF(LOG(AG533)&lt;-0.71,14.1,IF(LOG(AG533)&lt;0.37,10^(1.39+0.34*LOG(AG533)),10^(1.66-0.38*LOG(AG533))))*AG493^0.333,1))</f>
        <v>0</v>
      </c>
      <c r="AH538" s="81"/>
      <c r="AI538" s="3000">
        <f>LN(IF(AI534&lt;AI489,IF(LOG(AI533)&lt;-0.71,14.1,IF(LOG(AI533)&lt;0.37,10^(1.39+0.34*LOG(AI533)),10^(1.66-0.38*LOG(AI533))))*AI493^0.333,1))</f>
        <v>0</v>
      </c>
      <c r="AJ538" s="81"/>
      <c r="AK538" s="81"/>
      <c r="AL538" s="81"/>
      <c r="AM538" s="81"/>
      <c r="AN538" s="81"/>
      <c r="AO538" s="81"/>
      <c r="AP538" s="81"/>
      <c r="AQ538" s="85"/>
      <c r="AR538" s="81"/>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26"/>
      <c r="BR538" s="26"/>
      <c r="BS538" s="26"/>
      <c r="BT538" s="26"/>
      <c r="BU538" s="26"/>
      <c r="BV538" s="26"/>
      <c r="BW538" s="26"/>
      <c r="BX538" s="26"/>
      <c r="BY538" s="26"/>
      <c r="BZ538" s="26"/>
      <c r="CA538" s="26"/>
      <c r="CB538" s="26"/>
    </row>
    <row r="539" spans="1:80" ht="15" customHeight="1" x14ac:dyDescent="0.25">
      <c r="A539" s="2"/>
      <c r="B539" s="512" t="s">
        <v>5119</v>
      </c>
      <c r="C539" s="83"/>
      <c r="D539" s="3000">
        <f>LN(IF(D534&lt;D475,IF(LOG(D533)&lt;-0.67,251.2,IF(LOG(D533)&lt;-0.28,10^(2.8+0.59*LOG(D533)),IF(LOG(D533)&lt;-0.15,426.6,10^(2.56-0.49*LOG(D533)))))*(D478/Wind_Night)^0.5,1))</f>
        <v>2.1302197718484779</v>
      </c>
      <c r="E539" s="235"/>
      <c r="F539" s="3000">
        <f>LN(IF(F534&lt;F475,IF(LOG(F533)&lt;-0.67,251.2,IF(LOG(F533)&lt;-0.28,10^(2.8+0.59*LOG(F533)),IF(LOG(F533)&lt;-0.15,426.6,10^(2.56-0.49*LOG(F533)))))*(F478/Wind_Night)^0.5,1))</f>
        <v>2.1302197718484779</v>
      </c>
      <c r="G539" s="238"/>
      <c r="H539" s="3000">
        <f>LN(IF(H534&lt;H475,IF(LOG(H533)&lt;-0.67,251.2,IF(LOG(H533)&lt;-0.28,10^(2.8+0.59*LOG(H533)),IF(LOG(H533)&lt;-0.15,426.6,10^(2.56-0.49*LOG(H533)))))*(H478/Wind_Night)^0.5,1))</f>
        <v>0</v>
      </c>
      <c r="I539" s="238"/>
      <c r="J539" s="3000">
        <f>LN(IF(J534&lt;J475,IF(LOG(J533)&lt;-0.67,251.2,IF(LOG(J533)&lt;-0.28,10^(2.8+0.59*LOG(J533)),IF(LOG(J533)&lt;-0.15,426.6,10^(2.56-0.49*LOG(J533)))))*(J478/Wind_Night)^0.5,1))</f>
        <v>2.1302197718484779</v>
      </c>
      <c r="K539" s="238"/>
      <c r="L539" s="3000">
        <f>LN(IF(L534&lt;L475,IF(LOG(L533)&lt;-0.67,251.2,IF(LOG(L533)&lt;-0.28,10^(2.8+0.59*LOG(L533)),IF(LOG(L533)&lt;-0.15,426.6,10^(2.56-0.49*LOG(L533)))))*(L478/Wind_Night)^0.5,1))</f>
        <v>0</v>
      </c>
      <c r="M539" s="238"/>
      <c r="N539" s="3000">
        <f>LN(IF(N534&lt;N475,IF(LOG(N533)&lt;-0.67,251.2,IF(LOG(N533)&lt;-0.28,10^(2.8+0.59*LOG(N533)),IF(LOG(N533)&lt;-0.15,426.6,10^(2.56-0.49*LOG(N533)))))*(N478/Wind_Night)^0.5,1))</f>
        <v>0</v>
      </c>
      <c r="O539" s="238"/>
      <c r="P539" s="3000">
        <f>LN(IF(P534&lt;P475,IF(LOG(P533)&lt;-0.67,251.2,IF(LOG(P533)&lt;-0.28,10^(2.8+0.59*LOG(P533)),IF(LOG(P533)&lt;-0.15,426.6,10^(2.56-0.49*LOG(P533)))))*(P478/Wind_Night)^0.5,1))</f>
        <v>0</v>
      </c>
      <c r="Q539" s="238"/>
      <c r="R539" s="3000">
        <f>LN(IF(R534&lt;R475,IF(LOG(R533)&lt;-0.67,251.2,IF(LOG(R533)&lt;-0.28,10^(2.8+0.59*LOG(R533)),IF(LOG(R533)&lt;-0.15,426.6,10^(2.56-0.49*LOG(R533)))))*(R478/Wind_Night)^0.5,1))</f>
        <v>2.1302197718484779</v>
      </c>
      <c r="S539" s="238"/>
      <c r="T539" s="3000">
        <f>LN(IF(T534&lt;T475,IF(LOG(T533)&lt;-0.67,251.2,IF(LOG(T533)&lt;-0.28,10^(2.8+0.59*LOG(T533)),IF(LOG(T533)&lt;-0.15,426.6,10^(2.56-0.49*LOG(T533)))))*(T478/Wind_Night)^0.5,1))</f>
        <v>3.046510503722633</v>
      </c>
      <c r="U539" s="238"/>
      <c r="V539" s="3000">
        <f>LN(IF(V534&lt;V475,IF(LOG(V533)&lt;-0.67,251.2,IF(LOG(V533)&lt;-0.28,10^(2.8+0.59*LOG(V533)),IF(LOG(V533)&lt;-0.15,426.6,10^(2.56-0.49*LOG(V533)))))*(V478/Wind_Night)^0.5,1))</f>
        <v>3.7929853366227717</v>
      </c>
      <c r="W539" s="238"/>
      <c r="X539" s="3000">
        <f>LN(IF(X534&lt;X475,IF(LOG(X533)&lt;-0.67,251.2,IF(LOG(X533)&lt;-0.28,10^(2.8+0.59*LOG(X533)),IF(LOG(X533)&lt;-0.15,426.6,10^(2.56-0.49*LOG(X533)))))*(X478/Wind_Night)^0.5,1))</f>
        <v>5.1508701254165548</v>
      </c>
      <c r="Y539" s="83"/>
      <c r="Z539" s="85"/>
      <c r="AA539" s="83"/>
      <c r="AB539" s="81"/>
      <c r="AC539" s="512" t="s">
        <v>5119</v>
      </c>
      <c r="AD539" s="81"/>
      <c r="AE539" s="3000">
        <f>LN(IF(AE534&lt;AE489,IF(LOG(AE533)&lt;-0.52,30.2,IF(LOG(AE533)&lt;0.24,10^(1.62+0.26*LOG(AE533)),10^(1.75-0.3*LOG(AE533))))*AE493^0.333,1))</f>
        <v>0</v>
      </c>
      <c r="AF539" s="81"/>
      <c r="AG539" s="3000">
        <f>LN(IF(AG534&lt;AG489,IF(LOG(AG533)&lt;-0.52,30.2,IF(LOG(AG533)&lt;0.24,10^(1.62+0.26*LOG(AG533)),10^(1.75-0.3*LOG(AG533))))*AG493^0.333,1))</f>
        <v>0</v>
      </c>
      <c r="AH539" s="81"/>
      <c r="AI539" s="3000">
        <f>LN(IF(AI534&lt;AI489,IF(LOG(AI533)&lt;-0.52,30.2,IF(LOG(AI533)&lt;0.24,10^(1.62+0.26*LOG(AI533)),10^(1.75-0.3*LOG(AI533))))*AI493^0.333,1))</f>
        <v>0</v>
      </c>
      <c r="AJ539" s="81"/>
      <c r="AK539" s="81"/>
      <c r="AL539" s="81"/>
      <c r="AM539" s="81"/>
      <c r="AN539" s="81"/>
      <c r="AO539" s="81"/>
      <c r="AP539" s="81"/>
      <c r="AQ539" s="85"/>
      <c r="AR539" s="81"/>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26"/>
      <c r="BR539" s="26"/>
      <c r="BS539" s="26"/>
      <c r="BT539" s="26"/>
      <c r="BU539" s="26"/>
      <c r="BV539" s="26"/>
      <c r="BW539" s="26"/>
      <c r="BX539" s="26"/>
      <c r="BY539" s="26"/>
      <c r="BZ539" s="26"/>
      <c r="CA539" s="26"/>
      <c r="CB539" s="26"/>
    </row>
    <row r="540" spans="1:80" ht="15" customHeight="1" x14ac:dyDescent="0.25">
      <c r="A540" s="2"/>
      <c r="B540" s="512" t="s">
        <v>5120</v>
      </c>
      <c r="C540" s="83"/>
      <c r="D540" s="3000">
        <f>LN(IF(D534&lt;D475,IF(LOG(D533)&lt;-0.69,398.1,IF(LOG(D533)&lt;-0.25,10^(2.87+0.39*LOG(D533)),IF(LOG(D533)&lt;-0.13,588.8,10^(2.71-0.5*LOG(D533)))))*(D478/Wind_Night)^0.5,1))</f>
        <v>2.5906735672607062</v>
      </c>
      <c r="E540" s="235"/>
      <c r="F540" s="3000">
        <f>LN(IF(F534&lt;F475,IF(LOG(F533)&lt;-0.69,398.1,IF(LOG(F533)&lt;-0.25,10^(2.87+0.39*LOG(F533)),IF(LOG(F533)&lt;-0.13,588.8,10^(2.71-0.5*LOG(F533)))))*(F478/Wind_Night)^0.5,1))</f>
        <v>2.5906735672607062</v>
      </c>
      <c r="G540" s="238"/>
      <c r="H540" s="3000">
        <f>LN(IF(H534&lt;H475,IF(LOG(H533)&lt;-0.69,398.1,IF(LOG(H533)&lt;-0.25,10^(2.87+0.39*LOG(H533)),IF(LOG(H533)&lt;-0.13,588.8,10^(2.71-0.5*LOG(H533)))))*(H478/Wind_Night)^0.5,1))</f>
        <v>0</v>
      </c>
      <c r="I540" s="238"/>
      <c r="J540" s="3000">
        <f>LN(IF(J534&lt;J475,IF(LOG(J533)&lt;-0.69,398.1,IF(LOG(J533)&lt;-0.25,10^(2.87+0.39*LOG(J533)),IF(LOG(J533)&lt;-0.13,588.8,10^(2.71-0.5*LOG(J533)))))*(J478/Wind_Night)^0.5,1))</f>
        <v>2.5906735672607062</v>
      </c>
      <c r="K540" s="238"/>
      <c r="L540" s="3000">
        <f>LN(IF(L534&lt;L475,IF(LOG(L533)&lt;-0.69,398.1,IF(LOG(L533)&lt;-0.25,10^(2.87+0.39*LOG(L533)),IF(LOG(L533)&lt;-0.13,588.8,10^(2.71-0.5*LOG(L533)))))*(L478/Wind_Night)^0.5,1))</f>
        <v>0</v>
      </c>
      <c r="M540" s="238"/>
      <c r="N540" s="3000">
        <f>LN(IF(N534&lt;N475,IF(LOG(N533)&lt;-0.69,398.1,IF(LOG(N533)&lt;-0.25,10^(2.87+0.39*LOG(N533)),IF(LOG(N533)&lt;-0.13,588.8,10^(2.71-0.5*LOG(N533)))))*(N478/Wind_Night)^0.5,1))</f>
        <v>0</v>
      </c>
      <c r="O540" s="238"/>
      <c r="P540" s="3000">
        <f>LN(IF(P534&lt;P475,IF(LOG(P533)&lt;-0.69,398.1,IF(LOG(P533)&lt;-0.25,10^(2.87+0.39*LOG(P533)),IF(LOG(P533)&lt;-0.13,588.8,10^(2.71-0.5*LOG(P533)))))*(P478/Wind_Night)^0.5,1))</f>
        <v>0</v>
      </c>
      <c r="Q540" s="238"/>
      <c r="R540" s="3000">
        <f>LN(IF(R534&lt;R475,IF(LOG(R533)&lt;-0.69,398.1,IF(LOG(R533)&lt;-0.25,10^(2.87+0.39*LOG(R533)),IF(LOG(R533)&lt;-0.13,588.8,10^(2.71-0.5*LOG(R533)))))*(R478/Wind_Night)^0.5,1))</f>
        <v>2.5906735672607062</v>
      </c>
      <c r="S540" s="238"/>
      <c r="T540" s="3000">
        <f>LN(IF(T534&lt;T475,IF(LOG(T533)&lt;-0.69,398.1,IF(LOG(T533)&lt;-0.25,10^(2.87+0.39*LOG(T533)),IF(LOG(T533)&lt;-0.13,588.8,10^(2.71-0.5*LOG(T533)))))*(T478/Wind_Night)^0.5,1))</f>
        <v>3.5069642991348609</v>
      </c>
      <c r="U540" s="238"/>
      <c r="V540" s="3000">
        <f>LN(IF(V534&lt;V475,IF(LOG(V533)&lt;-0.69,398.1,IF(LOG(V533)&lt;-0.25,10^(2.87+0.39*LOG(V533)),IF(LOG(V533)&lt;-0.13,588.8,10^(2.71-0.5*LOG(V533)))))*(V478/Wind_Night)^0.5,1))</f>
        <v>4.2482887248100143</v>
      </c>
      <c r="W540" s="238"/>
      <c r="X540" s="3000">
        <f>LN(IF(X534&lt;X475,IF(LOG(X533)&lt;-0.69,398.1,IF(LOG(X533)&lt;-0.25,10^(2.87+0.39*LOG(X533)),IF(LOG(X533)&lt;-0.13,588.8,10^(2.71-0.5*LOG(X533)))))*(X478/Wind_Night)^0.5,1))</f>
        <v>5.5182845305103481</v>
      </c>
      <c r="Y540" s="83"/>
      <c r="Z540" s="85"/>
      <c r="AA540" s="83"/>
      <c r="AB540" s="81"/>
      <c r="AC540" s="512" t="s">
        <v>5120</v>
      </c>
      <c r="AD540" s="81"/>
      <c r="AE540" s="3000">
        <f>LN(IF(AE534&lt;AE489,IF(LOG(AE533)&lt;0.27,67.6,10^(1.92-0.32*LOG(AE533)))*AE493^0.333,1))</f>
        <v>0</v>
      </c>
      <c r="AF540" s="81"/>
      <c r="AG540" s="3000">
        <f>LN(IF(AG534&lt;AG489,IF(LOG(AG533)&lt;0.27,67.6,10^(1.92-0.32*LOG(AG533)))*AG493^0.333,1))</f>
        <v>0</v>
      </c>
      <c r="AH540" s="81"/>
      <c r="AI540" s="3000">
        <f>LN(IF(AI534&lt;AI489,IF(LOG(AI533)&lt;0.27,67.6,10^(1.92-0.32*LOG(AI533)))*AI493^0.333,1))</f>
        <v>0</v>
      </c>
      <c r="AJ540" s="81"/>
      <c r="AK540" s="81"/>
      <c r="AL540" s="81"/>
      <c r="AM540" s="81"/>
      <c r="AN540" s="81"/>
      <c r="AO540" s="81"/>
      <c r="AP540" s="81"/>
      <c r="AQ540" s="85"/>
      <c r="AR540" s="81"/>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26"/>
      <c r="BR540" s="26"/>
      <c r="BS540" s="26"/>
      <c r="BT540" s="26"/>
      <c r="BU540" s="26"/>
      <c r="BV540" s="26"/>
      <c r="BW540" s="26"/>
      <c r="BX540" s="26"/>
      <c r="BY540" s="26"/>
      <c r="BZ540" s="26"/>
      <c r="CA540" s="26"/>
      <c r="CB540" s="26"/>
    </row>
    <row r="541" spans="1:80" ht="15" customHeight="1" x14ac:dyDescent="0.25">
      <c r="A541" s="2"/>
      <c r="B541" s="2977" t="s">
        <v>5056</v>
      </c>
      <c r="C541" s="83"/>
      <c r="D541" s="1230">
        <f>EXP(INDEX(LINEST($CJ$277:$CJ$282,D535:D540),2))*((Ambient_Temp+273)/(D416+273))*Roughness_A</f>
        <v>0.19743071174114421</v>
      </c>
      <c r="E541" s="235"/>
      <c r="F541" s="1230">
        <f>EXP(INDEX(LINEST($CJ$277:$CJ$282,F535:F540),2))*((Ambient_Temp+273)/(F416+273))*Roughness_A</f>
        <v>0.19743071174114421</v>
      </c>
      <c r="G541" s="238"/>
      <c r="H541" s="1230">
        <f>EXP(INDEX(LINEST($CJ$277:$CJ$282,H535:H540),2))*((Ambient_Temp+273)/(H416+273))*Roughness_A</f>
        <v>8.0110655998420644E-3</v>
      </c>
      <c r="I541" s="238"/>
      <c r="J541" s="1230">
        <f>EXP(INDEX(LINEST($CJ$277:$CJ$282,J535:J540),2))*((Ambient_Temp+273)/(J416+273))*Roughness_A</f>
        <v>0.19743071174114421</v>
      </c>
      <c r="K541" s="238"/>
      <c r="L541" s="1230">
        <f>EXP(INDEX(LINEST($CJ$277:$CJ$282,L535:L540),2))*((Ambient_Temp+273)/(L416+273))*Roughness_A</f>
        <v>8.0110655998420644E-3</v>
      </c>
      <c r="M541" s="238"/>
      <c r="N541" s="1230">
        <f>EXP(INDEX(LINEST($CJ$277:$CJ$282,N535:N540),2))*((Ambient_Temp+273)/(N416+273))*Roughness_A</f>
        <v>8.0110655998420644E-3</v>
      </c>
      <c r="O541" s="238"/>
      <c r="P541" s="1230">
        <f>EXP(INDEX(LINEST($CJ$277:$CJ$282,P535:P540),2))*((Ambient_Temp+273)/(P416+273))*Roughness_A</f>
        <v>8.0110655998420644E-3</v>
      </c>
      <c r="Q541" s="238"/>
      <c r="R541" s="1230">
        <f>EXP(INDEX(LINEST($CJ$277:$CJ$282,R535:R540),2))*((Ambient_Temp+273)/(R416+273))*Roughness_A</f>
        <v>0.19743071174114421</v>
      </c>
      <c r="S541" s="238"/>
      <c r="T541" s="1230">
        <f>EXP(INDEX(LINEST($CJ$277:$CJ$282,T535:T540),2))*((Ambient_Temp+273)/(T416+273))*Roughness_A</f>
        <v>1.2474879776664578</v>
      </c>
      <c r="U541" s="238"/>
      <c r="V541" s="1230">
        <f>EXP(INDEX(LINEST($CJ$277:$CJ$282,V535:V540),2))*((Ambient_Temp+273)/(V416+273))*Roughness_A</f>
        <v>4.6454984348925032</v>
      </c>
      <c r="W541" s="238"/>
      <c r="X541" s="1230">
        <f>EXP(INDEX(LINEST($CJ$277:$CJ$282,X535:X540),2))*((Ambient_Temp+273)/(X416+273))*Roughness_A</f>
        <v>31.527979684345894</v>
      </c>
      <c r="Y541" s="83"/>
      <c r="Z541" s="85"/>
      <c r="AA541" s="83"/>
      <c r="AB541" s="81"/>
      <c r="AC541" s="512" t="s">
        <v>5122</v>
      </c>
      <c r="AD541" s="81"/>
      <c r="AE541" s="3000">
        <f>LN(IF(AE534&lt;AE489,IF(LOG(AE533)&lt;-0.1,118.9,10^(2.05-0.27*LOG(AE533)))*AE493^0.333,1))</f>
        <v>0</v>
      </c>
      <c r="AF541" s="81"/>
      <c r="AG541" s="3000">
        <f>LN(IF(AG534&lt;AG489,IF(LOG(AG533)&lt;-0.1,118.9,10^(2.05-0.27*LOG(AG533)))*AG493^0.333,1))</f>
        <v>0</v>
      </c>
      <c r="AH541" s="81"/>
      <c r="AI541" s="3000">
        <f>LN(IF(AI534&lt;AI489,IF(LOG(AI533)&lt;-0.1,118.9,10^(2.05-0.27*LOG(AI533)))*AI493^0.333,1))</f>
        <v>0</v>
      </c>
      <c r="AJ541" s="81"/>
      <c r="AK541" s="81"/>
      <c r="AL541" s="81"/>
      <c r="AM541" s="81"/>
      <c r="AN541" s="81"/>
      <c r="AO541" s="81"/>
      <c r="AP541" s="81"/>
      <c r="AQ541" s="85"/>
      <c r="AR541" s="81"/>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26"/>
      <c r="BR541" s="26"/>
      <c r="BS541" s="26"/>
      <c r="BT541" s="26"/>
      <c r="BU541" s="26"/>
      <c r="BV541" s="26"/>
      <c r="BW541" s="26"/>
      <c r="BX541" s="26"/>
      <c r="BY541" s="26"/>
      <c r="BZ541" s="26"/>
      <c r="CA541" s="26"/>
      <c r="CB541" s="26"/>
    </row>
    <row r="542" spans="1:80" ht="15" customHeight="1" x14ac:dyDescent="0.25">
      <c r="A542" s="2"/>
      <c r="B542" s="2977" t="s">
        <v>5057</v>
      </c>
      <c r="C542" s="83"/>
      <c r="D542" s="1230">
        <f>INDEX(LINEST($CJ$277:$CJ$282,D535:D540),1)+Roughness_B</f>
        <v>-2.0119154654194498</v>
      </c>
      <c r="E542" s="235"/>
      <c r="F542" s="1230">
        <f>INDEX(LINEST($CJ$277:$CJ$282,F535:F540),1)+Roughness_B</f>
        <v>-2.0119154654194498</v>
      </c>
      <c r="G542" s="238"/>
      <c r="H542" s="1230">
        <f>INDEX(LINEST($CJ$277:$CJ$282,H535:H540),1)+Roughness_B</f>
        <v>0</v>
      </c>
      <c r="I542" s="238"/>
      <c r="J542" s="1230">
        <f>INDEX(LINEST($CJ$277:$CJ$282,J535:J540),1)+Roughness_B</f>
        <v>-2.0119154654194498</v>
      </c>
      <c r="K542" s="238"/>
      <c r="L542" s="1230">
        <f>INDEX(LINEST($CJ$277:$CJ$282,L535:L540),1)+Roughness_B</f>
        <v>0</v>
      </c>
      <c r="M542" s="238"/>
      <c r="N542" s="1230">
        <f>INDEX(LINEST($CJ$277:$CJ$282,N535:N540),1)+Roughness_B</f>
        <v>0</v>
      </c>
      <c r="O542" s="238"/>
      <c r="P542" s="1230">
        <f>INDEX(LINEST($CJ$277:$CJ$282,P535:P540),1)+Roughness_B</f>
        <v>0</v>
      </c>
      <c r="Q542" s="238"/>
      <c r="R542" s="1230">
        <f>INDEX(LINEST($CJ$277:$CJ$282,R535:R540),1)+Roughness_B</f>
        <v>-2.0119154654194498</v>
      </c>
      <c r="S542" s="238"/>
      <c r="T542" s="1230">
        <f>INDEX(LINEST($CJ$277:$CJ$282,T535:T540),1)+Roughness_B</f>
        <v>-2.0119154654194502</v>
      </c>
      <c r="U542" s="238"/>
      <c r="V542" s="1230">
        <f>INDEX(LINEST($CJ$277:$CJ$282,V535:V540),1)+Roughness_B</f>
        <v>-1.9625759825915801</v>
      </c>
      <c r="W542" s="238"/>
      <c r="X542" s="1230">
        <f>INDEX(LINEST($CJ$277:$CJ$282,X535:X540),1)+Roughness_B</f>
        <v>-1.8328223790279181</v>
      </c>
      <c r="Y542" s="83"/>
      <c r="Z542" s="85"/>
      <c r="AA542" s="83"/>
      <c r="AB542" s="81"/>
      <c r="AC542" s="2977" t="s">
        <v>5051</v>
      </c>
      <c r="AD542" s="81"/>
      <c r="AE542" s="1230">
        <f>EXP(INDEX(LINEST($CJ$277:$CJ$283,AE535:AE541),2))*((Ambient_Temp+273)/(AE430+273))*Roughness_A</f>
        <v>5.4578754578754546E-3</v>
      </c>
      <c r="AF542" s="81"/>
      <c r="AG542" s="1230">
        <f>EXP(INDEX(LINEST($CJ$277:$CJ$283,AG535:AG541),2))*((Ambient_Temp+273)/(AG430+273))*Roughness_A</f>
        <v>5.4578754578754546E-3</v>
      </c>
      <c r="AH542" s="81"/>
      <c r="AI542" s="1230">
        <f>EXP(INDEX(LINEST($CJ$277:$CJ$283,AI535:AI541),2))*((Ambient_Temp+273)/(AI430+273))*Roughness_A</f>
        <v>5.4578754578754546E-3</v>
      </c>
      <c r="AJ542" s="81"/>
      <c r="AK542" s="81"/>
      <c r="AL542" s="81"/>
      <c r="AM542" s="81"/>
      <c r="AN542" s="81"/>
      <c r="AO542" s="81"/>
      <c r="AP542" s="81"/>
      <c r="AQ542" s="85"/>
      <c r="AR542" s="81"/>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26"/>
      <c r="BR542" s="26"/>
      <c r="BS542" s="26"/>
      <c r="BT542" s="26"/>
      <c r="BU542" s="26"/>
      <c r="BV542" s="26"/>
      <c r="BW542" s="26"/>
      <c r="BX542" s="26"/>
      <c r="BY542" s="26"/>
      <c r="BZ542" s="26"/>
      <c r="CA542" s="26"/>
      <c r="CB542" s="26"/>
    </row>
    <row r="543" spans="1:80" ht="15" customHeight="1" x14ac:dyDescent="0.25">
      <c r="A543" s="2"/>
      <c r="B543" s="1691" t="s">
        <v>5068</v>
      </c>
      <c r="C543" s="83"/>
      <c r="D543" s="2401">
        <f>IF(D534&lt;D475,(D541/(D534/D475))^(-1/D542),0)</f>
        <v>0.66805226857317623</v>
      </c>
      <c r="E543" s="235"/>
      <c r="F543" s="2401">
        <f>IF(F534&lt;F475,(F541/(F534/F475))^(-1/F542),0)</f>
        <v>0.66805226857317623</v>
      </c>
      <c r="G543" s="238"/>
      <c r="H543" s="2401">
        <f>IF(H534&lt;H475,(H541/(H534/H475))^(-1/H542),0)</f>
        <v>0</v>
      </c>
      <c r="I543" s="238"/>
      <c r="J543" s="2401">
        <f>IF(J534&lt;J475,(J541/(J534/J475))^(-1/J542),0)</f>
        <v>0.66805226857317623</v>
      </c>
      <c r="K543" s="238"/>
      <c r="L543" s="2401">
        <f>IF(L534&lt;L475,(L541/(L534/L475))^(-1/L542),0)</f>
        <v>0</v>
      </c>
      <c r="M543" s="238"/>
      <c r="N543" s="2401">
        <f>IF(N534&lt;N475,(N541/(N534/N475))^(-1/N542),0)</f>
        <v>0</v>
      </c>
      <c r="O543" s="238"/>
      <c r="P543" s="2401">
        <f>IF(P534&lt;P475,(P541/(P534/P475))^(-1/P542),0)</f>
        <v>0</v>
      </c>
      <c r="Q543" s="238"/>
      <c r="R543" s="2401">
        <f>IF(R534&lt;R475,(R541/(R534/R475))^(-1/R542),0)</f>
        <v>0.66805226857317623</v>
      </c>
      <c r="S543" s="238"/>
      <c r="T543" s="2401">
        <f>IF(T534&lt;T475,(T541/(T534/T475))^(-1/T542),0)</f>
        <v>4.1527298662325141</v>
      </c>
      <c r="U543" s="238"/>
      <c r="V543" s="2401">
        <f>IF(V534&lt;V475,(V541/(V534/V475))^(-1/V542),0)</f>
        <v>17.044766692482053</v>
      </c>
      <c r="W543" s="238"/>
      <c r="X543" s="2401">
        <f>IF(X534&lt;X475,(X541/(X534/X475))^(-1/X542),0)</f>
        <v>196.4188371447095</v>
      </c>
      <c r="Y543" s="83"/>
      <c r="Z543" s="85"/>
      <c r="AA543" s="83"/>
      <c r="AB543" s="81"/>
      <c r="AC543" s="2977" t="s">
        <v>5052</v>
      </c>
      <c r="AD543" s="81"/>
      <c r="AE543" s="1230">
        <f>INDEX(LINEST($CJ$277:$CJ$283,AE535:AE541),1)+Roughness_B</f>
        <v>0</v>
      </c>
      <c r="AF543" s="81"/>
      <c r="AG543" s="1230">
        <f>INDEX(LINEST($CJ$277:$CJ$283,AG535:AG541),1)+Roughness_B</f>
        <v>0</v>
      </c>
      <c r="AH543" s="81"/>
      <c r="AI543" s="1230">
        <f>INDEX(LINEST($CJ$277:$CJ$283,AI535:AI541),1)+Roughness_B</f>
        <v>0</v>
      </c>
      <c r="AJ543" s="81"/>
      <c r="AK543" s="81"/>
      <c r="AL543" s="81"/>
      <c r="AM543" s="81"/>
      <c r="AN543" s="81"/>
      <c r="AO543" s="81"/>
      <c r="AP543" s="81"/>
      <c r="AQ543" s="85"/>
      <c r="AR543" s="81"/>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26"/>
      <c r="BR543" s="26"/>
      <c r="BS543" s="26"/>
      <c r="BT543" s="26"/>
      <c r="BU543" s="26"/>
      <c r="BV543" s="26"/>
      <c r="BW543" s="26"/>
      <c r="BX543" s="26"/>
      <c r="BY543" s="26"/>
      <c r="BZ543" s="26"/>
      <c r="CA543" s="26"/>
      <c r="CB543" s="26"/>
    </row>
    <row r="544" spans="1:80" ht="15" customHeight="1" x14ac:dyDescent="0.25">
      <c r="A544" s="2"/>
      <c r="B544" s="1691" t="s">
        <v>5072</v>
      </c>
      <c r="C544" s="83"/>
      <c r="D544" s="2985">
        <f>IF(D543&gt;0,NBPlume_A_Night*D464/(D474*Wind_Night*D534),0)^NBPlume_B_Night</f>
        <v>7.9511398035868305E-2</v>
      </c>
      <c r="E544" s="235"/>
      <c r="F544" s="2985">
        <f>IF(F543&gt;0,NBPlume_A_Night*F464/(F474*Wind_Night*F534),0)^NBPlume_B_Night</f>
        <v>7.9511398035868305E-2</v>
      </c>
      <c r="G544" s="238"/>
      <c r="H544" s="2985">
        <f>IF(H543&gt;0,NBPlume_A_Night*H464/(H474*Wind_Night*H534),0)^NBPlume_B_Night</f>
        <v>0</v>
      </c>
      <c r="I544" s="238"/>
      <c r="J544" s="2985">
        <f>IF(J543&gt;0,NBPlume_A_Night*J464/(J474*Wind_Night*J534),0)^NBPlume_B_Night</f>
        <v>7.9511398035868305E-2</v>
      </c>
      <c r="K544" s="238"/>
      <c r="L544" s="2985">
        <f>IF(L543&gt;0,NBPlume_A_Night*L464/(L474*Wind_Night*L534),0)^NBPlume_B_Night</f>
        <v>0</v>
      </c>
      <c r="M544" s="238"/>
      <c r="N544" s="2985">
        <f>IF(N543&gt;0,NBPlume_A_Night*N464/(N474*Wind_Night*N534),0)^NBPlume_B_Night</f>
        <v>0</v>
      </c>
      <c r="O544" s="238"/>
      <c r="P544" s="2985">
        <f>IF(P543&gt;0,NBPlume_A_Night*P464/(P474*Wind_Night*P534),0)^NBPlume_B_Night</f>
        <v>0</v>
      </c>
      <c r="Q544" s="238"/>
      <c r="R544" s="2985">
        <f>IF(R543&gt;0,NBPlume_A_Night*R464/(R474*Wind_Night*R534),0)^NBPlume_B_Night</f>
        <v>7.9511398035868305E-2</v>
      </c>
      <c r="S544" s="238"/>
      <c r="T544" s="2985">
        <f>IF(T543&gt;0,NBPlume_A_Night*T464/(T474*Wind_Night*T534),0)^NBPlume_B_Night</f>
        <v>0.83327506518527383</v>
      </c>
      <c r="U544" s="238"/>
      <c r="V544" s="2985">
        <f>IF(V543&gt;0,NBPlume_A_Night*V464/(V474*Wind_Night*V534),0)^NBPlume_B_Night</f>
        <v>4.9278805256696296</v>
      </c>
      <c r="W544" s="238"/>
      <c r="X544" s="2985">
        <f>IF(X543&gt;0,NBPlume_A_Night*X464/(X474*Wind_Night*X534),0)^NBPlume_B_Night</f>
        <v>82.422921212377716</v>
      </c>
      <c r="Y544" s="83"/>
      <c r="Z544" s="85"/>
      <c r="AA544" s="83"/>
      <c r="AB544" s="81"/>
      <c r="AC544" s="1691" t="s">
        <v>5067</v>
      </c>
      <c r="AD544" s="81"/>
      <c r="AE544" s="2401">
        <f>IF(AE534&lt;AE489,(AE542/(AE534/AE489))^(-1/AE543),0)</f>
        <v>0</v>
      </c>
      <c r="AF544" s="81"/>
      <c r="AG544" s="2401">
        <f>IF(AG534&lt;AG489,(AG542/(AG534/AG489))^(-1/AG543),0)</f>
        <v>0</v>
      </c>
      <c r="AH544" s="81"/>
      <c r="AI544" s="2401">
        <f>IF(AI534&lt;AI489,(AI542/(AI534/AI489))^(-1/AI543),0)</f>
        <v>0</v>
      </c>
      <c r="AJ544" s="81"/>
      <c r="AK544" s="81"/>
      <c r="AL544" s="81"/>
      <c r="AM544" s="81"/>
      <c r="AN544" s="81"/>
      <c r="AO544" s="81"/>
      <c r="AP544" s="81"/>
      <c r="AQ544" s="85"/>
      <c r="AR544" s="81"/>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26"/>
      <c r="BR544" s="26"/>
      <c r="BS544" s="26"/>
      <c r="BT544" s="26"/>
      <c r="BU544" s="26"/>
      <c r="BV544" s="26"/>
      <c r="BX544" s="26"/>
    </row>
    <row r="545" spans="1:76" ht="15" customHeight="1" x14ac:dyDescent="0.25">
      <c r="A545" s="2"/>
      <c r="B545" s="512" t="s">
        <v>5099</v>
      </c>
      <c r="C545" s="83"/>
      <c r="D545" s="2981">
        <f>IF(D464&gt;0,LN(IF(D543&gt;=10,D475*D541*10^D542,NBPlume_A_Night*D464/(D474*Wind_Night)/(10-D543+D544)^(1/NBPlume_B_Night))),0)</f>
        <v>-9.2878484775973345</v>
      </c>
      <c r="E545" s="235"/>
      <c r="F545" s="2981">
        <f>IF(F464&gt;0,LN(IF(F543&gt;=10,F475*F541*10^F542,NBPlume_A_Night*F464/(F474*Wind_Night)/(10-F543+F544)^(1/NBPlume_B_Night))),0)</f>
        <v>-9.2878484775973345</v>
      </c>
      <c r="G545" s="238"/>
      <c r="H545" s="2981">
        <f>IF(H464&gt;0,LN(IF(H543&gt;=10,H475*H541*10^H542,NBPlume_A_Night*H464/(H474*Wind_Night)/(10-H543+H544)^(1/NBPlume_B_Night))),0)</f>
        <v>0</v>
      </c>
      <c r="I545" s="238"/>
      <c r="J545" s="2981">
        <f>IF(J464&gt;0,LN(IF(J543&gt;=10,J475*J541*10^J542,NBPlume_A_Night*J464/(J474*Wind_Night)/(10-J543+J544)^(1/NBPlume_B_Night))),0)</f>
        <v>-9.2878484775973345</v>
      </c>
      <c r="K545" s="238"/>
      <c r="L545" s="2981">
        <f>IF(L464&gt;0,LN(IF(L543&gt;=10,L475*L541*10^L542,NBPlume_A_Night*L464/(L474*Wind_Night)/(10-L543+L544)^(1/NBPlume_B_Night))),0)</f>
        <v>0</v>
      </c>
      <c r="M545" s="238"/>
      <c r="N545" s="2981">
        <f>IF(N464&gt;0,LN(IF(N543&gt;=10,N475*N541*10^N542,NBPlume_A_Night*N464/(N474*Wind_Night)/(10-N543+N544)^(1/NBPlume_B_Night))),0)</f>
        <v>0</v>
      </c>
      <c r="O545" s="238"/>
      <c r="P545" s="2981">
        <f>IF(P464&gt;0,LN(IF(P543&gt;=10,P475*P541*10^P542,NBPlume_A_Night*P464/(P474*Wind_Night)/(10-P543+P544)^(1/NBPlume_B_Night))),0)</f>
        <v>-11.790419146396649</v>
      </c>
      <c r="Q545" s="238"/>
      <c r="R545" s="2981">
        <f>IF(R464&gt;0,LN(IF(R543&gt;=10,R475*R541*10^R542,NBPlume_A_Night*R464/(R474*Wind_Night)/(10-R543+R544)^(1/NBPlume_B_Night))),0)</f>
        <v>-9.2878484775973345</v>
      </c>
      <c r="S545" s="238"/>
      <c r="T545" s="2981">
        <f>IF(T464&gt;0,LN(IF(T543&gt;=10,T475*T541*10^T542,NBPlume_A_Night*T464/(T474*Wind_Night)/(10-T543+T544)^(1/NBPlume_B_Night))),0)</f>
        <v>-6.9206107062171149</v>
      </c>
      <c r="U545" s="238"/>
      <c r="V545" s="2981">
        <f>IF(V464&gt;0,LN(IF(V543&gt;=10,V475*V541*10^V542,NBPlume_A_Night*V464/(V474*Wind_Night)/(10-V543+V544)^(1/NBPlume_B_Night))),0)</f>
        <v>-4.0130633914790721</v>
      </c>
      <c r="W545" s="238"/>
      <c r="X545" s="2981">
        <f>IF(X464&gt;0,LN(IF(X543&gt;=10,X475*X541*10^X542,NBPlume_A_Night*X464/(X474*Wind_Night)/(10-X543+X544)^(1/NBPlume_B_Night))),0)</f>
        <v>-1.7993179548181337</v>
      </c>
      <c r="Y545" s="83"/>
      <c r="Z545" s="85"/>
      <c r="AA545" s="83"/>
      <c r="AB545" s="81"/>
      <c r="AC545" s="1691" t="s">
        <v>5071</v>
      </c>
      <c r="AD545" s="81"/>
      <c r="AE545" s="2985">
        <f>IF(AE544&gt;0,NBPuff_A*AE471/(AE488*AE534),0)^NBPuff_B</f>
        <v>0</v>
      </c>
      <c r="AF545" s="81"/>
      <c r="AG545" s="2985">
        <f>IF(AG544&gt;0,NBPuff_A*AG471/(AG488*AG534),0)^NBPuff_B</f>
        <v>0</v>
      </c>
      <c r="AH545" s="81"/>
      <c r="AI545" s="2985">
        <f>IF(AI544&gt;0,NBPuff_A*AI471/(AI488*AI534),0)^NBPuff_B</f>
        <v>0</v>
      </c>
      <c r="AJ545" s="81"/>
      <c r="AK545" s="81"/>
      <c r="AL545" s="81"/>
      <c r="AM545" s="81"/>
      <c r="AN545" s="81"/>
      <c r="AO545" s="81"/>
      <c r="AP545" s="81"/>
      <c r="AQ545" s="85"/>
      <c r="AR545" s="81"/>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26"/>
      <c r="BR545" s="26"/>
      <c r="BS545" s="26"/>
      <c r="BT545" s="26"/>
      <c r="BU545" s="26"/>
      <c r="BV545" s="26"/>
      <c r="BX545" s="26"/>
    </row>
    <row r="546" spans="1:76" ht="15" customHeight="1" x14ac:dyDescent="0.25">
      <c r="A546" s="2"/>
      <c r="B546" s="512" t="s">
        <v>5100</v>
      </c>
      <c r="C546" s="83"/>
      <c r="D546" s="2981">
        <f>IF(D464&gt;0,LN(IF(D543&gt;=20,D475*D541*20^D542,NBPlume_A_Night*D464/(D474*Wind_Night)/(20-D543+D544)^(1/NBPlume_B_Night))),0)</f>
        <v>-10.417187959479227</v>
      </c>
      <c r="E546" s="235"/>
      <c r="F546" s="2981">
        <f>IF(F464&gt;0,LN(IF(F543&gt;=20,F475*F541*20^F542,NBPlume_A_Night*F464/(F474*Wind_Night)/(20-F543+F544)^(1/NBPlume_B_Night))),0)</f>
        <v>-10.417187959479227</v>
      </c>
      <c r="G546" s="238"/>
      <c r="H546" s="2981">
        <f>IF(H464&gt;0,LN(IF(H543&gt;=20,H475*H541*20^H542,NBPlume_A_Night*H464/(H474*Wind_Night)/(20-H543+H544)^(1/NBPlume_B_Night))),0)</f>
        <v>0</v>
      </c>
      <c r="I546" s="238"/>
      <c r="J546" s="2981">
        <f>IF(J464&gt;0,LN(IF(J543&gt;=20,J475*J541*20^J542,NBPlume_A_Night*J464/(J474*Wind_Night)/(20-J543+J544)^(1/NBPlume_B_Night))),0)</f>
        <v>-10.417187959479227</v>
      </c>
      <c r="K546" s="238"/>
      <c r="L546" s="2981">
        <f>IF(L464&gt;0,LN(IF(L543&gt;=20,L475*L541*20^L542,NBPlume_A_Night*L464/(L474*Wind_Night)/(20-L543+L544)^(1/NBPlume_B_Night))),0)</f>
        <v>0</v>
      </c>
      <c r="M546" s="238"/>
      <c r="N546" s="2981">
        <f>IF(N464&gt;0,LN(IF(N543&gt;=20,N475*N541*20^N542,NBPlume_A_Night*N464/(N474*Wind_Night)/(20-N543+N544)^(1/NBPlume_B_Night))),0)</f>
        <v>0</v>
      </c>
      <c r="O546" s="238"/>
      <c r="P546" s="2981">
        <f>IF(P464&gt;0,LN(IF(P543&gt;=20,P475*P541*20^P542,NBPlume_A_Night*P464/(P474*Wind_Night)/(20-P543+P544)^(1/NBPlume_B_Night))),0)</f>
        <v>-12.871728748070163</v>
      </c>
      <c r="Q546" s="238"/>
      <c r="R546" s="2981">
        <f>IF(R464&gt;0,LN(IF(R543&gt;=20,R475*R541*20^R542,NBPlume_A_Night*R464/(R474*Wind_Night)/(20-R543+R544)^(1/NBPlume_B_Night))),0)</f>
        <v>-10.417187959479227</v>
      </c>
      <c r="S546" s="238"/>
      <c r="T546" s="2981">
        <f>IF(T464&gt;0,LN(IF(T543&gt;=20,T475*T541*20^T542,NBPlume_A_Night*T464/(T474*Wind_Night)/(20-T543+T544)^(1/NBPlume_B_Night))),0)</f>
        <v>-8.3480785371343025</v>
      </c>
      <c r="U546" s="238"/>
      <c r="V546" s="2981">
        <f>IF(V464&gt;0,LN(IF(V543&gt;=20,V475*V541*20^V542,NBPlume_A_Night*V464/(V474*Wind_Night)/(20-V543+V544)^(1/NBPlume_B_Night))),0)</f>
        <v>-5.7925328202124389</v>
      </c>
      <c r="W546" s="238"/>
      <c r="X546" s="2981">
        <f>IF(X464&gt;0,LN(IF(X543&gt;=20,X475*X541*20^X542,NBPlume_A_Night*X464/(X474*Wind_Night)/(20-X543+X544)^(1/NBPlume_B_Night))),0)</f>
        <v>-3.0697336193085056</v>
      </c>
      <c r="Y546" s="83"/>
      <c r="Z546" s="85"/>
      <c r="AA546" s="83"/>
      <c r="AB546" s="81"/>
      <c r="AC546" s="512" t="s">
        <v>5099</v>
      </c>
      <c r="AD546" s="81"/>
      <c r="AE546" s="1289">
        <f>IF(AE471&gt;0,LN(IF(AE544&gt;=10,AE489*AE542*10^AE543,NBPuff_A*AE471/AE488/(10-AE544+AE545)^(1/NBPuff_B))),0)</f>
        <v>0</v>
      </c>
      <c r="AF546" s="81"/>
      <c r="AG546" s="1289">
        <f>IF(AG471&gt;0,LN(IF(AG544&gt;=10,AG489*AG542*10^AG543,NBPuff_A*AG471/AG488/(10-AG544+AG545)^(1/NBPuff_B))),0)</f>
        <v>0</v>
      </c>
      <c r="AH546" s="81"/>
      <c r="AI546" s="1289">
        <f>IF(AI471&gt;0,LN(IF(AI544&gt;=10,AI489*AI542*10^AI543,NBPuff_A*AI471/AI488/(10-AI544+AI545)^(1/NBPuff_B))),0)</f>
        <v>0</v>
      </c>
      <c r="AJ546" s="81"/>
      <c r="AK546" s="81"/>
      <c r="AL546" s="81"/>
      <c r="AM546" s="81"/>
      <c r="AN546" s="81"/>
      <c r="AO546" s="81"/>
      <c r="AP546" s="81"/>
      <c r="AQ546" s="85"/>
      <c r="AR546" s="81"/>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26"/>
      <c r="BR546" s="26"/>
      <c r="BS546" s="26"/>
      <c r="BT546" s="26"/>
      <c r="BU546" s="26"/>
      <c r="BV546" s="26"/>
      <c r="BW546" s="26"/>
      <c r="BX546" s="26"/>
    </row>
    <row r="547" spans="1:76" ht="15" customHeight="1" x14ac:dyDescent="0.25">
      <c r="A547" s="2"/>
      <c r="B547" s="512" t="s">
        <v>5101</v>
      </c>
      <c r="C547" s="83"/>
      <c r="D547" s="2981">
        <f>IF(D464&gt;0,LN(IF(D543&gt;=50,D475*D541*50^D542,NBPlume_A_Night*D464/(D474*Wind_Night)/(50-D543+D544)^(1/NBPlume_B_Night))),0)</f>
        <v>-11.87472527969871</v>
      </c>
      <c r="E547" s="235"/>
      <c r="F547" s="2981">
        <f>IF(F464&gt;0,LN(IF(F543&gt;=50,F475*F541*50^F542,NBPlume_A_Night*F464/(F474*Wind_Night)/(50-F543+F544)^(1/NBPlume_B_Night))),0)</f>
        <v>-11.87472527969871</v>
      </c>
      <c r="G547" s="238"/>
      <c r="H547" s="2981">
        <f>IF(H464&gt;0,LN(IF(H543&gt;=50,H475*H541*50^H542,NBPlume_A_Night*H464/(H474*Wind_Night)/(50-H543+H544)^(1/NBPlume_B_Night))),0)</f>
        <v>0</v>
      </c>
      <c r="I547" s="238"/>
      <c r="J547" s="2981">
        <f>IF(J464&gt;0,LN(IF(J543&gt;=50,J475*J541*50^J542,NBPlume_A_Night*J464/(J474*Wind_Night)/(50-J543+J544)^(1/NBPlume_B_Night))),0)</f>
        <v>-11.87472527969871</v>
      </c>
      <c r="K547" s="238"/>
      <c r="L547" s="2981">
        <f>IF(L464&gt;0,LN(IF(L543&gt;=50,L475*L541*50^L542,NBPlume_A_Night*L464/(L474*Wind_Night)/(50-L543+L544)^(1/NBPlume_B_Night))),0)</f>
        <v>0</v>
      </c>
      <c r="M547" s="238"/>
      <c r="N547" s="2981">
        <f>IF(N464&gt;0,LN(IF(N543&gt;=50,N475*N541*50^N542,NBPlume_A_Night*N464/(N474*Wind_Night)/(50-N543+N544)^(1/NBPlume_B_Night))),0)</f>
        <v>0</v>
      </c>
      <c r="O547" s="238"/>
      <c r="P547" s="2981">
        <f>IF(P464&gt;0,LN(IF(P543&gt;=50,P475*P541*50^P542,NBPlume_A_Night*P464/(P474*Wind_Night)/(50-P543+P544)^(1/NBPlume_B_Night))),0)</f>
        <v>-14.301142289793846</v>
      </c>
      <c r="Q547" s="238"/>
      <c r="R547" s="2981">
        <f>IF(R464&gt;0,LN(IF(R543&gt;=50,R475*R541*50^R542,NBPlume_A_Night*R464/(R474*Wind_Night)/(50-R543+R544)^(1/NBPlume_B_Night))),0)</f>
        <v>-11.87472527969871</v>
      </c>
      <c r="S547" s="238"/>
      <c r="T547" s="2981">
        <f>IF(T464&gt;0,LN(IF(T543&gt;=50,T475*T541*50^T542,NBPlume_A_Night*T464/(T474*Wind_Night)/(50-T543+T544)^(1/NBPlume_B_Night))),0)</f>
        <v>-9.9534502084084071</v>
      </c>
      <c r="U547" s="238"/>
      <c r="V547" s="2981">
        <f>IF(V464&gt;0,LN(IF(V543&gt;=50,V475*V541*50^V542,NBPlume_A_Night*V464/(V474*Wind_Night)/(50-V543+V544)^(1/NBPlume_B_Night))),0)</f>
        <v>-8.2413934971138243</v>
      </c>
      <c r="W547" s="238"/>
      <c r="X547" s="2981">
        <f>IF(X464&gt;0,LN(IF(X543&gt;=50,X475*X541*50^X542,NBPlume_A_Night*X464/(X474*Wind_Night)/(50-X543+X544)^(1/NBPlume_B_Night))),0)</f>
        <v>-4.7491317783833269</v>
      </c>
      <c r="Y547" s="83"/>
      <c r="Z547" s="85"/>
      <c r="AA547" s="83"/>
      <c r="AB547" s="81"/>
      <c r="AC547" s="512" t="s">
        <v>5100</v>
      </c>
      <c r="AD547" s="81"/>
      <c r="AE547" s="1289">
        <f>IF(AE471&gt;0,LN(IF(AE544&gt;=20,AE489*AE542*20^AE543,NBPuff_A*AE471/AE488/(20-AE544+AE545)^(1/NBPuff_B))),0)</f>
        <v>0</v>
      </c>
      <c r="AF547" s="81"/>
      <c r="AG547" s="1289">
        <f>IF(AG471&gt;0,LN(IF(AG544&gt;=20,AG489*AG542*20^AG543,NBPuff_A*AG471/AG488/(20-AG544+AG545)^(1/NBPuff_B))),0)</f>
        <v>0</v>
      </c>
      <c r="AH547" s="81"/>
      <c r="AI547" s="1289">
        <f>IF(AI471&gt;0,LN(IF(AI544&gt;=20,AI489*AI542*20^AI543,NBPuff_A*AI471/AI488/(20-AI544+AI545)^(1/NBPuff_B))),0)</f>
        <v>0</v>
      </c>
      <c r="AJ547" s="81"/>
      <c r="AK547" s="81"/>
      <c r="AL547" s="81"/>
      <c r="AM547" s="81"/>
      <c r="AN547" s="81"/>
      <c r="AO547" s="81"/>
      <c r="AP547" s="81"/>
      <c r="AQ547" s="85"/>
      <c r="AR547" s="81"/>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26"/>
      <c r="BR547" s="26"/>
      <c r="BS547" s="26"/>
      <c r="BT547" s="26"/>
      <c r="BU547" s="26"/>
      <c r="BV547" s="26"/>
      <c r="BW547" s="26"/>
      <c r="BX547" s="26"/>
    </row>
    <row r="548" spans="1:76" ht="15" customHeight="1" x14ac:dyDescent="0.25">
      <c r="A548" s="2"/>
      <c r="B548" s="512" t="s">
        <v>5102</v>
      </c>
      <c r="C548" s="83"/>
      <c r="D548" s="2981">
        <f>IF(D464&gt;0,LN(IF(D543&gt;=100,D475*D541*100^D542,NBPlume_A_Night*D464/(D474*Wind_Night)/(100-D543+D544)^(1/NBPlume_B_Night))),0)</f>
        <v>-12.965297921090503</v>
      </c>
      <c r="E548" s="235"/>
      <c r="F548" s="2981">
        <f>IF(F464&gt;0,LN(IF(F543&gt;=100,F475*F541*100^F542,NBPlume_A_Night*F464/(F474*Wind_Night)/(100-F543+F544)^(1/NBPlume_B_Night))),0)</f>
        <v>-12.965297921090503</v>
      </c>
      <c r="G548" s="238"/>
      <c r="H548" s="2981">
        <f>IF(H464&gt;0,LN(IF(H543&gt;=100,H475*H541*100^H542,NBPlume_A_Night*H464/(H474*Wind_Night)/(100-H543+H544)^(1/NBPlume_B_Night))),0)</f>
        <v>0</v>
      </c>
      <c r="I548" s="238"/>
      <c r="J548" s="2981">
        <f>IF(J464&gt;0,LN(IF(J543&gt;=100,J475*J541*100^J542,NBPlume_A_Night*J464/(J474*Wind_Night)/(100-J543+J544)^(1/NBPlume_B_Night))),0)</f>
        <v>-12.965297921090503</v>
      </c>
      <c r="K548" s="238"/>
      <c r="L548" s="2981">
        <f>IF(L464&gt;0,LN(IF(L543&gt;=100,L475*L541*100^L542,NBPlume_A_Night*L464/(L474*Wind_Night)/(100-L543+L544)^(1/NBPlume_B_Night))),0)</f>
        <v>0</v>
      </c>
      <c r="M548" s="238"/>
      <c r="N548" s="2981">
        <f>IF(N464&gt;0,LN(IF(N543&gt;=100,N475*N541*100^N542,NBPlume_A_Night*N464/(N474*Wind_Night)/(100-N543+N544)^(1/NBPlume_B_Night))),0)</f>
        <v>0</v>
      </c>
      <c r="O548" s="238"/>
      <c r="P548" s="2981">
        <f>IF(P464&gt;0,LN(IF(P543&gt;=100,P475*P541*100^P542,NBPlume_A_Night*P464/(P474*Wind_Night)/(100-P543+P544)^(1/NBPlume_B_Night))),0)</f>
        <v>-15.382451891467362</v>
      </c>
      <c r="Q548" s="238"/>
      <c r="R548" s="2981">
        <f>IF(R464&gt;0,LN(IF(R543&gt;=100,R475*R541*100^R542,NBPlume_A_Night*R464/(R474*Wind_Night)/(100-R543+R544)^(1/NBPlume_B_Night))),0)</f>
        <v>-12.965297921090503</v>
      </c>
      <c r="S548" s="238"/>
      <c r="T548" s="2981">
        <f>IF(T464&gt;0,LN(IF(T543&gt;=100,T475*T541*100^T542,NBPlume_A_Night*T464/(T474*Wind_Night)/(100-T543+T544)^(1/NBPlume_B_Night))),0)</f>
        <v>-11.089262353173687</v>
      </c>
      <c r="U548" s="238"/>
      <c r="V548" s="2981">
        <f>IF(V464&gt;0,LN(IF(V543&gt;=100,V475*V541*100^V542,NBPlume_A_Night*V464/(V474*Wind_Night)/(100-V543+V544)^(1/NBPlume_B_Night))),0)</f>
        <v>-9.5541369480975522</v>
      </c>
      <c r="W548" s="238"/>
      <c r="X548" s="2981">
        <f>IF(X464&gt;0,LN(IF(X543&gt;=100,X475*X541*100^X542,NBPlume_A_Night*X464/(X474*Wind_Night)/(100-X543+X544)^(1/NBPlume_B_Night))),0)</f>
        <v>-6.0195474428737015</v>
      </c>
      <c r="Y548" s="83"/>
      <c r="Z548" s="85"/>
      <c r="AA548" s="83"/>
      <c r="AB548" s="81"/>
      <c r="AC548" s="512" t="s">
        <v>5101</v>
      </c>
      <c r="AD548" s="81"/>
      <c r="AE548" s="1289">
        <f>IF(AE471&gt;0,LN(IF(AE544&gt;=50,AE489*AE542*50^AE543,NBPuff_A*AE471/AE488/(50-AE544+AE545)^(1/NBPuff_B))),0)</f>
        <v>0</v>
      </c>
      <c r="AF548" s="81"/>
      <c r="AG548" s="1289">
        <f>IF(AG471&gt;0,LN(IF(AG544&gt;=50,AG489*AG542*50^AG543,NBPuff_A*AG471/AG488/(50-AG544+AG545)^(1/NBPuff_B))),0)</f>
        <v>0</v>
      </c>
      <c r="AH548" s="81"/>
      <c r="AI548" s="1289">
        <f>IF(AI471&gt;0,LN(IF(AI544&gt;=50,AI489*AI542*50^AI543,NBPuff_A*AI471/AI488/(50-AI544+AI545)^(1/NBPuff_B))),0)</f>
        <v>0</v>
      </c>
      <c r="AJ548" s="81"/>
      <c r="AK548" s="81"/>
      <c r="AL548" s="81"/>
      <c r="AM548" s="81"/>
      <c r="AN548" s="81"/>
      <c r="AO548" s="81"/>
      <c r="AP548" s="81"/>
      <c r="AQ548" s="85"/>
      <c r="AR548" s="81"/>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26"/>
      <c r="BR548" s="26"/>
      <c r="BS548" s="26"/>
      <c r="BT548" s="26"/>
      <c r="BU548" s="26"/>
      <c r="BV548" s="26"/>
      <c r="BW548" s="26"/>
      <c r="BX548" s="26"/>
    </row>
    <row r="549" spans="1:76" ht="15" customHeight="1" x14ac:dyDescent="0.25">
      <c r="A549" s="2"/>
      <c r="B549" s="512" t="s">
        <v>5103</v>
      </c>
      <c r="C549" s="83"/>
      <c r="D549" s="2981">
        <f>IF(D464&gt;0,LN(IF(D543&gt;=200,D475*D541*200^D542,NBPlume_A_Night*D464/(D474*Wind_Night)/(200-D543+D544)^(1/NBPlume_B_Night))),0)</f>
        <v>-14.051218498001715</v>
      </c>
      <c r="E549" s="235"/>
      <c r="F549" s="2981">
        <f>IF(F464&gt;0,LN(IF(F543&gt;=200,F475*F541*200^F542,NBPlume_A_Night*F464/(F474*Wind_Night)/(200-F543+F544)^(1/NBPlume_B_Night))),0)</f>
        <v>-14.051218498001715</v>
      </c>
      <c r="G549" s="238"/>
      <c r="H549" s="2981">
        <f>IF(H464&gt;0,LN(IF(H543&gt;=200,H475*H541*200^H542,NBPlume_A_Night*H464/(H474*Wind_Night)/(200-H543+H544)^(1/NBPlume_B_Night))),0)</f>
        <v>0</v>
      </c>
      <c r="I549" s="238"/>
      <c r="J549" s="2981">
        <f>IF(J464&gt;0,LN(IF(J543&gt;=200,J475*J541*200^J542,NBPlume_A_Night*J464/(J474*Wind_Night)/(200-J543+J544)^(1/NBPlume_B_Night))),0)</f>
        <v>-14.051218498001715</v>
      </c>
      <c r="K549" s="238"/>
      <c r="L549" s="2981">
        <f>IF(L464&gt;0,LN(IF(L543&gt;=200,L475*L541*200^L542,NBPlume_A_Night*L464/(L474*Wind_Night)/(200-L543+L544)^(1/NBPlume_B_Night))),0)</f>
        <v>0</v>
      </c>
      <c r="M549" s="238"/>
      <c r="N549" s="2981">
        <f>IF(N464&gt;0,LN(IF(N543&gt;=200,N475*N541*200^N542,NBPlume_A_Night*N464/(N474*Wind_Night)/(200-N543+N544)^(1/NBPlume_B_Night))),0)</f>
        <v>0</v>
      </c>
      <c r="O549" s="238"/>
      <c r="P549" s="2981">
        <f>IF(P464&gt;0,LN(IF(P543&gt;=200,P475*P541*200^P542,NBPlume_A_Night*P464/(P474*Wind_Night)/(200-P543+P544)^(1/NBPlume_B_Night))),0)</f>
        <v>-16.463761493140876</v>
      </c>
      <c r="Q549" s="238"/>
      <c r="R549" s="2981">
        <f>IF(R464&gt;0,LN(IF(R543&gt;=200,R475*R541*200^R542,NBPlume_A_Night*R464/(R474*Wind_Night)/(200-R543+R544)^(1/NBPlume_B_Night))),0)</f>
        <v>-14.051218498001715</v>
      </c>
      <c r="S549" s="238"/>
      <c r="T549" s="2981">
        <f>IF(T464&gt;0,LN(IF(T543&gt;=200,T475*T541*200^T542,NBPlume_A_Night*T464/(T474*Wind_Night)/(200-T543+T544)^(1/NBPlume_B_Night))),0)</f>
        <v>-12.197125399623799</v>
      </c>
      <c r="U549" s="238"/>
      <c r="V549" s="2981">
        <f>IF(V464&gt;0,LN(IF(V543&gt;=200,V475*V541*200^V542,NBPlume_A_Night*V464/(V474*Wind_Night)/(200-V543+V544)^(1/NBPlume_B_Night))),0)</f>
        <v>-10.73944422169261</v>
      </c>
      <c r="W549" s="238"/>
      <c r="X549" s="2981">
        <f>IF(X464&gt;0,LN(IF(X543&gt;=200,X475*X541*200^X542,NBPlume_A_Night*X464/(X474*Wind_Night)/(200-X543+X544)^(1/NBPlume_B_Night))),0)</f>
        <v>-7.3231962539540367</v>
      </c>
      <c r="Y549" s="83"/>
      <c r="Z549" s="85"/>
      <c r="AA549" s="83"/>
      <c r="AB549" s="81"/>
      <c r="AC549" s="512" t="s">
        <v>5102</v>
      </c>
      <c r="AD549" s="81"/>
      <c r="AE549" s="1289">
        <f>IF(AE471&gt;0,LN(IF(AE544&gt;=100,AE489*AE542*100^AE543,NBPuff_A*AE471/AE488/(100-AE544+AE545)^(1/NBPuff_B))),0)</f>
        <v>0</v>
      </c>
      <c r="AF549" s="81"/>
      <c r="AG549" s="1289">
        <f>IF(AG471&gt;0,LN(IF(AG544&gt;=100,AG489*AG542*100^AG543,NBPuff_A*AG471/AG488/(100-AG544+AG545)^(1/NBPuff_B))),0)</f>
        <v>0</v>
      </c>
      <c r="AH549" s="81"/>
      <c r="AI549" s="1289">
        <f>IF(AI471&gt;0,LN(IF(AI544&gt;=100,AI489*AI542*100^AI543,NBPuff_A*AI471/AI488/(100-AI544+AI545)^(1/NBPuff_B))),0)</f>
        <v>0</v>
      </c>
      <c r="AJ549" s="81"/>
      <c r="AK549" s="81"/>
      <c r="AL549" s="81"/>
      <c r="AM549" s="81"/>
      <c r="AN549" s="81"/>
      <c r="AO549" s="81"/>
      <c r="AP549" s="81"/>
      <c r="AQ549" s="85"/>
      <c r="AR549" s="81"/>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26"/>
      <c r="BR549" s="26"/>
      <c r="BS549" s="26"/>
      <c r="BT549" s="26"/>
      <c r="BU549" s="26"/>
      <c r="BV549" s="26"/>
      <c r="BW549" s="26"/>
      <c r="BX549" s="26"/>
    </row>
    <row r="550" spans="1:76" ht="15" customHeight="1" x14ac:dyDescent="0.25">
      <c r="A550" s="2"/>
      <c r="B550" s="512" t="s">
        <v>5104</v>
      </c>
      <c r="C550" s="83"/>
      <c r="D550" s="2981">
        <f>IF(D464&gt;0,LN(IF(D543&gt;=500,D475*D541*500^D542,NBPlume_A_Night*D464/(D474*Wind_Night)/(500-D543+D544)^(1/NBPlume_B_Night))),0)</f>
        <v>-15.483392097141095</v>
      </c>
      <c r="E550" s="235"/>
      <c r="F550" s="2981">
        <f>IF(F464&gt;0,LN(IF(F543&gt;=500,F475*F541*500^F542,NBPlume_A_Night*F464/(F474*Wind_Night)/(500-F543+F544)^(1/NBPlume_B_Night))),0)</f>
        <v>-15.483392097141095</v>
      </c>
      <c r="G550" s="238"/>
      <c r="H550" s="2981">
        <f>IF(H464&gt;0,LN(IF(H543&gt;=500,H475*H541*500^H542,NBPlume_A_Night*H464/(H474*Wind_Night)/(500-H543+H544)^(1/NBPlume_B_Night))),0)</f>
        <v>0</v>
      </c>
      <c r="I550" s="238"/>
      <c r="J550" s="2981">
        <f>IF(J464&gt;0,LN(IF(J543&gt;=500,J475*J541*500^J542,NBPlume_A_Night*J464/(J474*Wind_Night)/(500-J543+J544)^(1/NBPlume_B_Night))),0)</f>
        <v>-15.483392097141095</v>
      </c>
      <c r="K550" s="238"/>
      <c r="L550" s="2981">
        <f>IF(L464&gt;0,LN(IF(L543&gt;=500,L475*L541*500^L542,NBPlume_A_Night*L464/(L474*Wind_Night)/(500-L543+L544)^(1/NBPlume_B_Night))),0)</f>
        <v>0</v>
      </c>
      <c r="M550" s="238"/>
      <c r="N550" s="2981">
        <f>IF(N464&gt;0,LN(IF(N543&gt;=500,N475*N541*500^N542,NBPlume_A_Night*N464/(N474*Wind_Night)/(500-N543+N544)^(1/NBPlume_B_Night))),0)</f>
        <v>0</v>
      </c>
      <c r="O550" s="238"/>
      <c r="P550" s="2981">
        <f>IF(P464&gt;0,LN(IF(P543&gt;=500,P475*P541*500^P542,NBPlume_A_Night*P464/(P474*Wind_Night)/(500-P543+P544)^(1/NBPlume_B_Night))),0)</f>
        <v>-17.893175034864559</v>
      </c>
      <c r="Q550" s="238"/>
      <c r="R550" s="2981">
        <f>IF(R464&gt;0,LN(IF(R543&gt;=500,R475*R541*500^R542,NBPlume_A_Night*R464/(R474*Wind_Night)/(500-R543+R544)^(1/NBPlume_B_Night))),0)</f>
        <v>-15.483392097141095</v>
      </c>
      <c r="S550" s="238"/>
      <c r="T550" s="2981">
        <f>IF(T464&gt;0,LN(IF(T543&gt;=500,T475*T541*500^T542,NBPlume_A_Night*T464/(T474*Wind_Night)/(500-T543+T544)^(1/NBPlume_B_Night))),0)</f>
        <v>-13.642256731971704</v>
      </c>
      <c r="U550" s="238"/>
      <c r="V550" s="2981">
        <f>IF(V464&gt;0,LN(IF(V543&gt;=500,V475*V541*500^V542,NBPlume_A_Night*V464/(V474*Wind_Night)/(500-V543+V544)^(1/NBPlume_B_Night))),0)</f>
        <v>-12.228083303680382</v>
      </c>
      <c r="W550" s="238"/>
      <c r="X550" s="2981">
        <f>IF(X464&gt;0,LN(IF(X543&gt;=500,X475*X541*500^X542,NBPlume_A_Night*X464/(X474*Wind_Night)/(500-X543+X544)^(1/NBPlume_B_Night))),0)</f>
        <v>-9.665463192305916</v>
      </c>
      <c r="Y550" s="83"/>
      <c r="Z550" s="85"/>
      <c r="AA550" s="83"/>
      <c r="AB550" s="81"/>
      <c r="AC550" s="512" t="s">
        <v>5103</v>
      </c>
      <c r="AD550" s="81"/>
      <c r="AE550" s="1289">
        <f>IF(AE471&gt;0,LN(IF(AE544&gt;=200,AE489*AE542*200^AE543,NBPuff_A*AE471/AE488/(200-AE544+AE545)^(1/NBPuff_B))),0)</f>
        <v>0</v>
      </c>
      <c r="AF550" s="81"/>
      <c r="AG550" s="1289">
        <f>IF(AG471&gt;0,LN(IF(AG544&gt;=200,AG489*AG542*200^AG543,NBPuff_A*AG471/AG488/(200-AG544+AG545)^(1/NBPuff_B))),0)</f>
        <v>0</v>
      </c>
      <c r="AH550" s="81"/>
      <c r="AI550" s="1289">
        <f>IF(AI471&gt;0,LN(IF(AI544&gt;=200,AI489*AI542*200^AI543,NBPuff_A*AI471/AI488/(200-AI544+AI545)^(1/NBPuff_B))),0)</f>
        <v>0</v>
      </c>
      <c r="AJ550" s="81"/>
      <c r="AK550" s="81"/>
      <c r="AL550" s="81"/>
      <c r="AM550" s="81"/>
      <c r="AN550" s="81"/>
      <c r="AO550" s="81"/>
      <c r="AP550" s="81"/>
      <c r="AQ550" s="85"/>
      <c r="AR550" s="81"/>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26"/>
      <c r="BR550" s="26"/>
    </row>
    <row r="551" spans="1:76" ht="15" customHeight="1" x14ac:dyDescent="0.25">
      <c r="A551" s="2"/>
      <c r="B551" s="512" t="s">
        <v>5105</v>
      </c>
      <c r="C551" s="83"/>
      <c r="D551" s="2981">
        <f>IF(D464&gt;0,LN(IF(D543&gt;=1000,D475*D541*1000^D542,NBPlume_A_Night*D464/(D474*Wind_Night)/(1000-D543+D544)^(1/NBPlume_B_Night))),0)</f>
        <v>-16.56562063384543</v>
      </c>
      <c r="E551" s="235"/>
      <c r="F551" s="2981">
        <f>IF(F464&gt;0,LN(IF(F543&gt;=1000,F475*F541*1000^F542,NBPlume_A_Night*F464/(F474*Wind_Night)/(1000-F543+F544)^(1/NBPlume_B_Night))),0)</f>
        <v>-16.56562063384543</v>
      </c>
      <c r="G551" s="238"/>
      <c r="H551" s="2981">
        <f>IF(H464&gt;0,LN(IF(H543&gt;=1000,H475*H541*1000^H542,NBPlume_A_Night*H464/(H474*Wind_Night)/(1000-H543+H544)^(1/NBPlume_B_Night))),0)</f>
        <v>0</v>
      </c>
      <c r="I551" s="238"/>
      <c r="J551" s="2981">
        <f>IF(J464&gt;0,LN(IF(J543&gt;=1000,J475*J541*1000^J542,NBPlume_A_Night*J464/(J474*Wind_Night)/(1000-J543+J544)^(1/NBPlume_B_Night))),0)</f>
        <v>-16.56562063384543</v>
      </c>
      <c r="K551" s="238"/>
      <c r="L551" s="2981">
        <f>IF(L464&gt;0,LN(IF(L543&gt;=1000,L475*L541*1000^L542,NBPlume_A_Night*L464/(L474*Wind_Night)/(1000-L543+L544)^(1/NBPlume_B_Night))),0)</f>
        <v>0</v>
      </c>
      <c r="M551" s="238"/>
      <c r="N551" s="2981">
        <f>IF(N464&gt;0,LN(IF(N543&gt;=1000,N475*N541*1000^N542,NBPlume_A_Night*N464/(N474*Wind_Night)/(1000-N543+N544)^(1/NBPlume_B_Night))),0)</f>
        <v>0</v>
      </c>
      <c r="O551" s="238"/>
      <c r="P551" s="2981">
        <f>IF(P464&gt;0,LN(IF(P543&gt;=1000,P475*P541*1000^P542,NBPlume_A_Night*P464/(P474*Wind_Night)/(1000-P543+P544)^(1/NBPlume_B_Night))),0)</f>
        <v>-18.974484636538072</v>
      </c>
      <c r="Q551" s="238"/>
      <c r="R551" s="2981">
        <f>IF(R464&gt;0,LN(IF(R543&gt;=1000,R475*R541*1000^R542,NBPlume_A_Night*R464/(R474*Wind_Night)/(1000-R543+R544)^(1/NBPlume_B_Night))),0)</f>
        <v>-16.56562063384543</v>
      </c>
      <c r="S551" s="238"/>
      <c r="T551" s="2981">
        <f>IF(T464&gt;0,LN(IF(T543&gt;=1000,T475*T541*1000^T542,NBPlume_A_Night*T464/(T474*Wind_Night)/(1000-T543+T544)^(1/NBPlume_B_Night))),0)</f>
        <v>-14.728770600932544</v>
      </c>
      <c r="U551" s="238"/>
      <c r="V551" s="2981">
        <f>IF(V464&gt;0,LN(IF(V543&gt;=1000,V475*V541*1000^V542,NBPlume_A_Night*V464/(V474*Wind_Night)/(1000-V543+V544)^(1/NBPlume_B_Night))),0)</f>
        <v>-13.328645408269093</v>
      </c>
      <c r="W551" s="238"/>
      <c r="X551" s="2981">
        <f>IF(X464&gt;0,LN(IF(X543&gt;=1000,X475*X541*1000^X542,NBPlume_A_Night*X464/(X474*Wind_Night)/(1000-X543+X544)^(1/NBPlume_B_Night))),0)</f>
        <v>-10.961626024306211</v>
      </c>
      <c r="Y551" s="83"/>
      <c r="Z551" s="85"/>
      <c r="AA551" s="83"/>
      <c r="AB551" s="81"/>
      <c r="AC551" s="512" t="s">
        <v>5104</v>
      </c>
      <c r="AD551" s="81"/>
      <c r="AE551" s="1289">
        <f>IF(AE471&gt;0,LN(IF(AE544&gt;=500,AE489*AE542*500^AE543,NBPuff_A*AE471/AE488/(500-AE544+AE545)^(1/NBPuff_B))),0)</f>
        <v>0</v>
      </c>
      <c r="AF551" s="81"/>
      <c r="AG551" s="1289">
        <f>IF(AG471&gt;0,LN(IF(AG544&gt;=500,AG489*AG542*500^AG543,NBPuff_A*AG471/AG488/(500-AG544+AG545)^(1/NBPuff_B))),0)</f>
        <v>0</v>
      </c>
      <c r="AH551" s="81"/>
      <c r="AI551" s="1289">
        <f>IF(AI471&gt;0,LN(IF(AI544&gt;=500,AI489*AI542*500^AI543,NBPuff_A*AI471/AI488/(500-AI544+AI545)^(1/NBPuff_B))),0)</f>
        <v>0</v>
      </c>
      <c r="AJ551" s="81"/>
      <c r="AK551" s="81"/>
      <c r="AL551" s="81"/>
      <c r="AM551" s="81"/>
      <c r="AN551" s="81"/>
      <c r="AO551" s="81"/>
      <c r="AP551" s="81"/>
      <c r="AQ551" s="85"/>
      <c r="AR551" s="81"/>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26"/>
      <c r="BR551" s="26"/>
    </row>
    <row r="552" spans="1:76" ht="15" customHeight="1" x14ac:dyDescent="0.25">
      <c r="A552" s="2"/>
      <c r="B552" s="512" t="s">
        <v>5106</v>
      </c>
      <c r="C552" s="83"/>
      <c r="D552" s="2981">
        <f>IF(D464&gt;0,LN(IF(D543&gt;=2000,D475*D541*2000^D542,NBPlume_A_Night*D464/(D474*Wind_Night)/(2000-D543+D544)^(1/NBPlume_B_Night))),0)</f>
        <v>-17.647389500123271</v>
      </c>
      <c r="E552" s="235"/>
      <c r="F552" s="2981">
        <f>IF(F464&gt;0,LN(IF(F543&gt;=2000,F475*F541*2000^F542,NBPlume_A_Night*F464/(F474*Wind_Night)/(2000-F543+F544)^(1/NBPlume_B_Night))),0)</f>
        <v>-17.647389500123271</v>
      </c>
      <c r="G552" s="238"/>
      <c r="H552" s="2981">
        <f>IF(H464&gt;0,LN(IF(H543&gt;=2000,H475*H541*2000^H542,NBPlume_A_Night*H464/(H474*Wind_Night)/(2000-H543+H544)^(1/NBPlume_B_Night))),0)</f>
        <v>0</v>
      </c>
      <c r="I552" s="238"/>
      <c r="J552" s="2981">
        <f>IF(J464&gt;0,LN(IF(J543&gt;=2000,J475*J541*2000^J542,NBPlume_A_Night*J464/(J474*Wind_Night)/(2000-J543+J544)^(1/NBPlume_B_Night))),0)</f>
        <v>-17.647389500123271</v>
      </c>
      <c r="K552" s="238"/>
      <c r="L552" s="2981">
        <f>IF(L464&gt;0,LN(IF(L543&gt;=2000,L475*L541*2000^L542,NBPlume_A_Night*L464/(L474*Wind_Night)/(2000-L543+L544)^(1/NBPlume_B_Night))),0)</f>
        <v>0</v>
      </c>
      <c r="M552" s="238"/>
      <c r="N552" s="2981">
        <f>IF(N464&gt;0,LN(IF(N543&gt;=2000,N475*N541*2000^N542,NBPlume_A_Night*N464/(N474*Wind_Night)/(2000-N543+N544)^(1/NBPlume_B_Night))),0)</f>
        <v>0</v>
      </c>
      <c r="O552" s="238"/>
      <c r="P552" s="2981">
        <f>IF(P464&gt;0,LN(IF(P543&gt;=2000,P475*P541*2000^P542,NBPlume_A_Night*P464/(P474*Wind_Night)/(2000-P543+P544)^(1/NBPlume_B_Night))),0)</f>
        <v>-20.055794238211586</v>
      </c>
      <c r="Q552" s="238"/>
      <c r="R552" s="2981">
        <f>IF(R464&gt;0,LN(IF(R543&gt;=2000,R475*R541*2000^R542,NBPlume_A_Night*R464/(R474*Wind_Night)/(2000-R543+R544)^(1/NBPlume_B_Night))),0)</f>
        <v>-17.647389500123271</v>
      </c>
      <c r="S552" s="238"/>
      <c r="T552" s="2981">
        <f>IF(T464&gt;0,LN(IF(T543&gt;=2000,T475*T541*2000^T542,NBPlume_A_Night*T464/(T474*Wind_Night)/(2000-T543+T544)^(1/NBPlume_B_Night))),0)</f>
        <v>-15.812675840024026</v>
      </c>
      <c r="U552" s="238"/>
      <c r="V552" s="2981">
        <f>IF(V464&gt;0,LN(IF(V543&gt;=2000,V475*V541*2000^V542,NBPlume_A_Night*V464/(V474*Wind_Night)/(2000-V543+V544)^(1/NBPlume_B_Night))),0)</f>
        <v>-14.419492887627756</v>
      </c>
      <c r="W552" s="238"/>
      <c r="X552" s="2981">
        <f>IF(X464&gt;0,LN(IF(X543&gt;=2000,X475*X541*2000^X542,NBPlume_A_Night*X464/(X474*Wind_Night)/(2000-X543+X544)^(1/NBPlume_B_Night))),0)</f>
        <v>-12.14019677117366</v>
      </c>
      <c r="Y552" s="83"/>
      <c r="Z552" s="85"/>
      <c r="AA552" s="83"/>
      <c r="AB552" s="81"/>
      <c r="AC552" s="512" t="s">
        <v>5105</v>
      </c>
      <c r="AD552" s="81"/>
      <c r="AE552" s="1289">
        <f>IF(AE471&gt;0,LN(IF(AE544&gt;=1000,AE489*AE542*1000^AE543,NBPuff_A*AE471/AE488/(1000-AE544+AE545)^(1/NBPuff_B))),0)</f>
        <v>0</v>
      </c>
      <c r="AF552" s="81"/>
      <c r="AG552" s="1289">
        <f>IF(AG471&gt;0,LN(IF(AG544&gt;=1000,AG489*AG542*1000^AG543,NBPuff_A*AG471/AG488/(1000-AG544+AG545)^(1/NBPuff_B))),0)</f>
        <v>0</v>
      </c>
      <c r="AH552" s="81"/>
      <c r="AI552" s="1289">
        <f>IF(AI471&gt;0,LN(IF(AI544&gt;=1000,AI489*AI542*1000^AI543,NBPuff_A*AI471/AI488/(1000-AI544+AI545)^(1/NBPuff_B))),0)</f>
        <v>0</v>
      </c>
      <c r="AJ552" s="81"/>
      <c r="AK552" s="81"/>
      <c r="AL552" s="81"/>
      <c r="AM552" s="81"/>
      <c r="AN552" s="81"/>
      <c r="AO552" s="81"/>
      <c r="AP552" s="81"/>
      <c r="AQ552" s="85"/>
      <c r="AR552" s="81"/>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26"/>
      <c r="BR552" s="26"/>
    </row>
    <row r="553" spans="1:76" ht="15" customHeight="1" x14ac:dyDescent="0.25">
      <c r="A553" s="2"/>
      <c r="B553" s="512" t="s">
        <v>5107</v>
      </c>
      <c r="C553" s="83"/>
      <c r="D553" s="2981">
        <f>IF(D464&gt;0,LN(IF(D543&gt;=5000,D475*D541*5000^D542,NBPlume_A_Night*D464/(D474*Wind_Night)/(5000-D543+D544)^(1/NBPlume_B_Night))),0)</f>
        <v>-19.077078535723871</v>
      </c>
      <c r="E553" s="235"/>
      <c r="F553" s="2981">
        <f>IF(F464&gt;0,LN(IF(F543&gt;=5000,F475*F541*5000^F542,NBPlume_A_Night*F464/(F474*Wind_Night)/(5000-F543+F544)^(1/NBPlume_B_Night))),0)</f>
        <v>-19.077078535723871</v>
      </c>
      <c r="G553" s="238"/>
      <c r="H553" s="2981">
        <f>IF(H464&gt;0,LN(IF(H543&gt;=5000,H475*H541*5000^H542,NBPlume_A_Night*H464/(H474*Wind_Night)/(5000-H543+H544)^(1/NBPlume_B_Night))),0)</f>
        <v>0</v>
      </c>
      <c r="I553" s="238"/>
      <c r="J553" s="2981">
        <f>IF(J464&gt;0,LN(IF(J543&gt;=5000,J475*J541*5000^J542,NBPlume_A_Night*J464/(J474*Wind_Night)/(5000-J543+J544)^(1/NBPlume_B_Night))),0)</f>
        <v>-19.077078535723871</v>
      </c>
      <c r="K553" s="238"/>
      <c r="L553" s="2981">
        <f>IF(L464&gt;0,LN(IF(L543&gt;=5000,L475*L541*5000^L542,NBPlume_A_Night*L464/(L474*Wind_Night)/(5000-L543+L544)^(1/NBPlume_B_Night))),0)</f>
        <v>0</v>
      </c>
      <c r="M553" s="238"/>
      <c r="N553" s="2981">
        <f>IF(N464&gt;0,LN(IF(N543&gt;=5000,N475*N541*5000^N542,NBPlume_A_Night*N464/(N474*Wind_Night)/(5000-N543+N544)^(1/NBPlume_B_Night))),0)</f>
        <v>0</v>
      </c>
      <c r="O553" s="238"/>
      <c r="P553" s="2981">
        <f>IF(P464&gt;0,LN(IF(P543&gt;=5000,P475*P541*5000^P542,NBPlume_A_Night*P464/(P474*Wind_Night)/(5000-P543+P544)^(1/NBPlume_B_Night))),0)</f>
        <v>-21.485207779935269</v>
      </c>
      <c r="Q553" s="238"/>
      <c r="R553" s="2981">
        <f>IF(R464&gt;0,LN(IF(R543&gt;=5000,R475*R541*5000^R542,NBPlume_A_Night*R464/(R474*Wind_Night)/(5000-R543+R544)^(1/NBPlume_B_Night))),0)</f>
        <v>-19.077078535723871</v>
      </c>
      <c r="S553" s="238"/>
      <c r="T553" s="2981">
        <f>IF(T464&gt;0,LN(IF(T543&gt;=5000,T475*T541*5000^T542,NBPlume_A_Night*T464/(T474*Wind_Night)/(5000-T543+T544)^(1/NBPlume_B_Night))),0)</f>
        <v>-17.243644693698982</v>
      </c>
      <c r="U553" s="238"/>
      <c r="V553" s="2981">
        <f>IF(V464&gt;0,LN(IF(V543&gt;=5000,V475*V541*5000^V542,NBPlume_A_Night*V464/(V474*Wind_Night)/(5000-V543+V544)^(1/NBPlume_B_Night))),0)</f>
        <v>-15.854601289766453</v>
      </c>
      <c r="W553" s="238"/>
      <c r="X553" s="2981">
        <f>IF(X464&gt;0,LN(IF(X543&gt;=5000,X475*X541*5000^X542,NBPlume_A_Night*X464/(X474*Wind_Night)/(5000-X543+X544)^(1/NBPlume_B_Night))),0)</f>
        <v>-13.625183327264079</v>
      </c>
      <c r="Y553" s="83"/>
      <c r="Z553" s="85"/>
      <c r="AA553" s="83"/>
      <c r="AB553" s="81"/>
      <c r="AC553" s="512" t="s">
        <v>5106</v>
      </c>
      <c r="AD553" s="81"/>
      <c r="AE553" s="1289">
        <f>IF(AE471&gt;0,LN(IF(AE544&gt;=2000,AE489*AE542*2000^AE543,NBPuff_A*AE471/AE488/(2000-AE544+AE545)^(1/NBPuff_B))),0)</f>
        <v>0</v>
      </c>
      <c r="AF553" s="81"/>
      <c r="AG553" s="1289">
        <f>IF(AG471&gt;0,LN(IF(AG544&gt;=2000,AG489*AG542*2000^AG543,NBPuff_A*AG471/AG488/(2000-AG544+AG545)^(1/NBPuff_B))),0)</f>
        <v>0</v>
      </c>
      <c r="AH553" s="81"/>
      <c r="AI553" s="1289">
        <f>IF(AI471&gt;0,LN(IF(AI544&gt;=2000,AI489*AI542*2000^AI543,NBPuff_A*AI471/AI488/(2000-AI544+AI545)^(1/NBPuff_B))),0)</f>
        <v>0</v>
      </c>
      <c r="AJ553" s="81"/>
      <c r="AK553" s="81"/>
      <c r="AL553" s="81"/>
      <c r="AM553" s="81"/>
      <c r="AN553" s="81"/>
      <c r="AO553" s="81"/>
      <c r="AP553" s="81"/>
      <c r="AQ553" s="85"/>
      <c r="AR553" s="81"/>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26"/>
      <c r="BR553" s="26"/>
    </row>
    <row r="554" spans="1:76" ht="15" customHeight="1" thickBot="1" x14ac:dyDescent="0.3">
      <c r="A554" s="2"/>
      <c r="B554" s="512" t="s">
        <v>5108</v>
      </c>
      <c r="C554" s="83"/>
      <c r="D554" s="3001">
        <f>IF(D464&gt;0,LN(IF(D543&gt;=10000,D475*D541*10000^D542,NBPlume_A_Night*D464/(D474*Wind_Night)/(10000-D543+D544)^(1/NBPlume_B_Night))),0)</f>
        <v>-20.158479957879234</v>
      </c>
      <c r="E554" s="235"/>
      <c r="F554" s="3001">
        <f>IF(F464&gt;0,LN(IF(F543&gt;=10000,F475*F541*10000^F542,NBPlume_A_Night*F464/(F474*Wind_Night)/(10000-F543+F544)^(1/NBPlume_B_Night))),0)</f>
        <v>-20.158479957879234</v>
      </c>
      <c r="G554" s="238"/>
      <c r="H554" s="3001">
        <f>IF(H464&gt;0,LN(IF(H543&gt;=10000,H475*H541*10000^H542,NBPlume_A_Night*H464/(H474*Wind_Night)/(10000-H543+H544)^(1/NBPlume_B_Night))),0)</f>
        <v>0</v>
      </c>
      <c r="I554" s="238"/>
      <c r="J554" s="3001">
        <f>IF(J464&gt;0,LN(IF(J543&gt;=10000,J475*J541*10000^J542,NBPlume_A_Night*J464/(J474*Wind_Night)/(10000-J543+J544)^(1/NBPlume_B_Night))),0)</f>
        <v>-20.158479957879234</v>
      </c>
      <c r="K554" s="238"/>
      <c r="L554" s="3001">
        <f>IF(L464&gt;0,LN(IF(L543&gt;=10000,L475*L541*10000^L542,NBPlume_A_Night*L464/(L474*Wind_Night)/(10000-L543+L544)^(1/NBPlume_B_Night))),0)</f>
        <v>0</v>
      </c>
      <c r="M554" s="238"/>
      <c r="N554" s="3001">
        <f>IF(N464&gt;0,LN(IF(N543&gt;=10000,N475*N541*10000^N542,NBPlume_A_Night*N464/(N474*Wind_Night)/(10000-N543+N544)^(1/NBPlume_B_Night))),0)</f>
        <v>0</v>
      </c>
      <c r="O554" s="238"/>
      <c r="P554" s="3001">
        <f>IF(P464&gt;0,LN(IF(P543&gt;=10000,P475*P541*10000^P542,NBPlume_A_Night*P464/(P474*Wind_Night)/(10000-P543+P544)^(1/NBPlume_B_Night))),0)</f>
        <v>-22.566517381608787</v>
      </c>
      <c r="Q554" s="238"/>
      <c r="R554" s="3001">
        <f>IF(R464&gt;0,LN(IF(R543&gt;=10000,R475*R541*10000^R542,NBPlume_A_Night*R464/(R474*Wind_Night)/(10000-R543+R544)^(1/NBPlume_B_Night))),0)</f>
        <v>-20.158479957879234</v>
      </c>
      <c r="S554" s="238"/>
      <c r="T554" s="3001">
        <f>IF(T464&gt;0,LN(IF(T543&gt;=10000,T475*T541*10000^T542,NBPlume_A_Night*T464/(T474*Wind_Night)/(10000-T543+T544)^(1/NBPlume_B_Night))),0)</f>
        <v>-18.325472388294127</v>
      </c>
      <c r="U554" s="238"/>
      <c r="V554" s="3001">
        <f>IF(V464&gt;0,LN(IF(V543&gt;=10000,V475*V541*10000^V542,NBPlume_A_Night*V464/(V474*Wind_Night)/(10000-V543+V544)^(1/NBPlume_B_Night))),0)</f>
        <v>-16.937804567733117</v>
      </c>
      <c r="W554" s="238"/>
      <c r="X554" s="3001">
        <f>IF(X464&gt;0,LN(IF(X543&gt;=10000,X475*X541*10000^X542,NBPlume_A_Night*X464/(X474*Wind_Night)/(10000-X543+X544)^(1/NBPlume_B_Night))),0)</f>
        <v>-14.724585869363301</v>
      </c>
      <c r="Y554" s="83"/>
      <c r="Z554" s="85"/>
      <c r="AA554" s="83"/>
      <c r="AB554" s="81"/>
      <c r="AC554" s="512" t="s">
        <v>5107</v>
      </c>
      <c r="AD554" s="81"/>
      <c r="AE554" s="1289">
        <f>IF(AE471&gt;0,LN(IF(AE544&gt;=5000,AE489*AE542*5000^AE543,NBPuff_A*AE471/AE488/(5000-AE544+AE545)^(1/NBPuff_B))),0)</f>
        <v>0</v>
      </c>
      <c r="AF554" s="81"/>
      <c r="AG554" s="1289">
        <f>IF(AG471&gt;0,LN(IF(AG544&gt;=5000,AG489*AG542*5000^AG543,NBPuff_A*AG471/AG488/(5000-AG544+AG545)^(1/NBPuff_B))),0)</f>
        <v>0</v>
      </c>
      <c r="AH554" s="81"/>
      <c r="AI554" s="1289">
        <f>IF(AI471&gt;0,LN(IF(AI544&gt;=5000,AI489*AI542*5000^AI543,NBPuff_A*AI471/AI488/(5000-AI544+AI545)^(1/NBPuff_B))),0)</f>
        <v>0</v>
      </c>
      <c r="AJ554" s="81"/>
      <c r="AK554" s="81"/>
      <c r="AL554" s="81"/>
      <c r="AM554" s="81"/>
      <c r="AN554" s="81"/>
      <c r="AO554" s="81"/>
      <c r="AP554" s="81"/>
      <c r="AQ554" s="85"/>
      <c r="AR554" s="81"/>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26"/>
      <c r="BR554" s="26"/>
    </row>
    <row r="555" spans="1:76" ht="15" customHeight="1" thickBot="1" x14ac:dyDescent="0.3">
      <c r="A555" s="2"/>
      <c r="B555" s="2975" t="s">
        <v>5111</v>
      </c>
      <c r="C555" s="83"/>
      <c r="D555" s="3005">
        <f>IF(D464&gt;0,(EXP(INDEX(LINEST(D545:D554,$CJ$286:$CJ$295),2))*(D474*Wind_Night/D464))^D556,0)</f>
        <v>27.71191693444452</v>
      </c>
      <c r="E555" s="235"/>
      <c r="F555" s="3005">
        <f>IF(F464&gt;0,(EXP(INDEX(LINEST(F545:F554,$CJ$286:$CJ$295),2))*(F474*Wind_Night/F464))^F556,0)</f>
        <v>27.71191693444452</v>
      </c>
      <c r="G555" s="238"/>
      <c r="H555" s="3005">
        <f>IF(H464&gt;0,(EXP(INDEX(LINEST(H545:H554,$CJ$286:$CJ$295),2))*(H474*Wind_Night/H464))^H556,0)</f>
        <v>0</v>
      </c>
      <c r="I555" s="238"/>
      <c r="J555" s="3005">
        <f>IF(J464&gt;0,(EXP(INDEX(LINEST(J545:J554,$CJ$286:$CJ$295),2))*(J474*Wind_Night/J464))^J556,0)</f>
        <v>27.71191693444452</v>
      </c>
      <c r="K555" s="238"/>
      <c r="L555" s="3005">
        <f>IF(L464&gt;0,(EXP(INDEX(LINEST(L545:L554,$CJ$286:$CJ$295),2))*(L474*Wind_Night/L464))^L556,0)</f>
        <v>0</v>
      </c>
      <c r="M555" s="238"/>
      <c r="N555" s="3005">
        <f>IF(N464&gt;0,(EXP(INDEX(LINEST(N545:N554,$CJ$286:$CJ$295),2))*(N474*Wind_Night/N464))^N556,0)</f>
        <v>0</v>
      </c>
      <c r="O555" s="238"/>
      <c r="P555" s="3005">
        <f>IF(P464&gt;0,(EXP(INDEX(LINEST(P545:P554,$CJ$286:$CJ$295),2))*(P474*Wind_Night/P464))^P556,0)</f>
        <v>26.967355420221864</v>
      </c>
      <c r="Q555" s="238"/>
      <c r="R555" s="3005">
        <f>IF(R464&gt;0,(EXP(INDEX(LINEST(R545:R554,$CJ$286:$CJ$295),2))*(R474*Wind_Night/R464))^R556,0)</f>
        <v>27.71191693444452</v>
      </c>
      <c r="S555" s="238"/>
      <c r="T555" s="3005">
        <f>IF(T464&gt;0,(EXP(INDEX(LINEST(T545:T554,$CJ$286:$CJ$295),2))*(T474*Wind_Night/T464))^T556,0)</f>
        <v>31.897579835478556</v>
      </c>
      <c r="U555" s="238"/>
      <c r="V555" s="3005">
        <f>IF(V464&gt;0,(EXP(INDEX(LINEST(V545:V554,$CJ$286:$CJ$295),2))*(V474*Wind_Night/V464))^V556,0)</f>
        <v>48.534071159594944</v>
      </c>
      <c r="W555" s="238"/>
      <c r="X555" s="3005">
        <f>IF(X464&gt;0,(EXP(INDEX(LINEST(X545:X554,$CJ$286:$CJ$295),2))*(X474*Wind_Night/X464))^X556,0)</f>
        <v>70.21421998214079</v>
      </c>
      <c r="Y555" s="83"/>
      <c r="Z555" s="85"/>
      <c r="AA555" s="83"/>
      <c r="AB555" s="81"/>
      <c r="AC555" s="512" t="s">
        <v>5108</v>
      </c>
      <c r="AD555" s="81"/>
      <c r="AE555" s="3002">
        <f>IF(AE471&gt;0,LN(IF(AE544&gt;=10000,AE489*AE542*10000^AE543,NBPuff_A*AE471/AE488/(10000-AE544+AE545)^(1/NBPuff_B))),0)</f>
        <v>0</v>
      </c>
      <c r="AF555" s="81"/>
      <c r="AG555" s="3002">
        <f>IF(AG471&gt;0,LN(IF(AG544&gt;=10000,AG489*AG542*10000^AG543,NBPuff_A*AG471/AG488/(10000-AG544+AG545)^(1/NBPuff_B))),0)</f>
        <v>0</v>
      </c>
      <c r="AH555" s="81"/>
      <c r="AI555" s="3002">
        <f>IF(AI471&gt;0,LN(IF(AI544&gt;=10000,AI489*AI542*10000^AI543,NBPuff_A*AI471/AI488/(10000-AI544+AI545)^(1/NBPuff_B))),0)</f>
        <v>0</v>
      </c>
      <c r="AJ555" s="81"/>
      <c r="AK555" s="81"/>
      <c r="AL555" s="81"/>
      <c r="AM555" s="81"/>
      <c r="AN555" s="81"/>
      <c r="AO555" s="81"/>
      <c r="AP555" s="81"/>
      <c r="AQ555" s="85"/>
      <c r="AR555" s="81"/>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26"/>
      <c r="BR555" s="26"/>
    </row>
    <row r="556" spans="1:76" ht="15" customHeight="1" x14ac:dyDescent="0.25">
      <c r="A556" s="2"/>
      <c r="B556" s="2977" t="s">
        <v>5112</v>
      </c>
      <c r="C556" s="83"/>
      <c r="D556" s="2089">
        <f>IF(D464&gt;0,-1/INDEX(LINEST(D545:D554,$CJ$286:$CJ$295),1),0)</f>
        <v>0.63686893911051679</v>
      </c>
      <c r="E556" s="235"/>
      <c r="F556" s="2089">
        <f>IF(F464&gt;0,-1/INDEX(LINEST(F545:F554,$CJ$286:$CJ$295),1),0)</f>
        <v>0.63686893911051679</v>
      </c>
      <c r="G556" s="238"/>
      <c r="H556" s="2089">
        <f>IF(H464&gt;0,-1/INDEX(LINEST(H545:H554,$CJ$286:$CJ$295),1),0)</f>
        <v>0</v>
      </c>
      <c r="I556" s="238"/>
      <c r="J556" s="2089">
        <f>IF(J464&gt;0,-1/INDEX(LINEST(J545:J554,$CJ$286:$CJ$295),1),0)</f>
        <v>0.63686893911051679</v>
      </c>
      <c r="K556" s="238"/>
      <c r="L556" s="2089">
        <f>IF(L464&gt;0,-1/INDEX(LINEST(L545:L554,$CJ$286:$CJ$295),1),0)</f>
        <v>0</v>
      </c>
      <c r="M556" s="238"/>
      <c r="N556" s="2089">
        <f>IF(N464&gt;0,-1/INDEX(LINEST(N545:N554,$CJ$286:$CJ$295),1),0)</f>
        <v>0</v>
      </c>
      <c r="O556" s="238"/>
      <c r="P556" s="2089">
        <f>IF(P464&gt;0,-1/INDEX(LINEST(P545:P554,$CJ$286:$CJ$295),1),0)</f>
        <v>0.64102564102564086</v>
      </c>
      <c r="Q556" s="238"/>
      <c r="R556" s="2089">
        <f>IF(R464&gt;0,-1/INDEX(LINEST(R545:R554,$CJ$286:$CJ$295),1),0)</f>
        <v>0.63686893911051679</v>
      </c>
      <c r="S556" s="238"/>
      <c r="T556" s="2089">
        <f>IF(T464&gt;0,-1/INDEX(LINEST(T545:T554,$CJ$286:$CJ$295),1),0)</f>
        <v>0.61521681479397239</v>
      </c>
      <c r="U556" s="238"/>
      <c r="V556" s="2089">
        <f>IF(V464&gt;0,-1/INDEX(LINEST(V545:V554,$CJ$286:$CJ$295),1),0)</f>
        <v>0.5512770218847538</v>
      </c>
      <c r="W556" s="238"/>
      <c r="X556" s="2089">
        <f>IF(X464&gt;0,-1/INDEX(LINEST(X545:X554,$CJ$286:$CJ$295),1),0)</f>
        <v>0.52003983947606525</v>
      </c>
      <c r="Y556" s="83"/>
      <c r="Z556" s="85"/>
      <c r="AA556" s="83"/>
      <c r="AB556" s="81"/>
      <c r="AC556" s="2975" t="s">
        <v>5077</v>
      </c>
      <c r="AD556" s="81"/>
      <c r="AE556" s="2980">
        <f>IF(AE471&gt;0,(EXP(INDEX(LINEST(AE546:AE555,$CJ$286:$CJ$295),2))*AE488/AE471)^AE557,0)</f>
        <v>0</v>
      </c>
      <c r="AF556" s="81"/>
      <c r="AG556" s="2980">
        <f>IF(AG471&gt;0,(EXP(INDEX(LINEST(AG546:AG555,$CJ$286:$CJ$295),2))*AG488/AG471)^AG557,0)</f>
        <v>0</v>
      </c>
      <c r="AH556" s="81"/>
      <c r="AI556" s="2980">
        <f>IF(AI471&gt;0,(EXP(INDEX(LINEST(AI546:AI555,$CJ$286:$CJ$295),2))*AI488/AI471)^AI557,0)</f>
        <v>0</v>
      </c>
      <c r="AJ556" s="81"/>
      <c r="AK556" s="81"/>
      <c r="AL556" s="81"/>
      <c r="AM556" s="81"/>
      <c r="AN556" s="81"/>
      <c r="AO556" s="81"/>
      <c r="AP556" s="81"/>
      <c r="AQ556" s="85"/>
      <c r="AR556" s="81"/>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26"/>
      <c r="BR556" s="26"/>
    </row>
    <row r="557" spans="1:76" ht="15" customHeight="1" thickBot="1" x14ac:dyDescent="0.3">
      <c r="A557" s="2"/>
      <c r="B557" s="2976" t="s">
        <v>5124</v>
      </c>
      <c r="C557" s="83"/>
      <c r="D557" s="2105">
        <f>IF(AND(D464&gt;0,D476&gt;0),D555*(D464/(Wind_Night*D474*D476))^D556,0)</f>
        <v>2.6274600557510689E-2</v>
      </c>
      <c r="E557" s="235"/>
      <c r="F557" s="2105">
        <f>IF(AND(F464&gt;0,F476&gt;0),F555*(F464/(Wind_Night*F474*F476))^F556,0)</f>
        <v>2.6274600557510689E-2</v>
      </c>
      <c r="G557" s="238"/>
      <c r="H557" s="2105">
        <f>IF(AND(H464&gt;0,H476&gt;0),H555*(H464/(Wind_Night*H474*H476))^H556,0)</f>
        <v>0</v>
      </c>
      <c r="I557" s="238"/>
      <c r="J557" s="2105">
        <f>IF(AND(J464&gt;0,J476&gt;0),J555*(J464/(Wind_Night*J474*J476))^J556,0)</f>
        <v>2.6274600557510689E-2</v>
      </c>
      <c r="K557" s="238"/>
      <c r="L557" s="2105">
        <f>IF(AND(L464&gt;0,L476&gt;0),L555*(L464/(Wind_Night*L474*L476))^L556,0)</f>
        <v>0</v>
      </c>
      <c r="M557" s="238"/>
      <c r="N557" s="2105">
        <f>IF(AND(N464&gt;0,N476&gt;0),N555*(N464/(Wind_Night*N474*N476))^N556,0)</f>
        <v>0</v>
      </c>
      <c r="O557" s="238"/>
      <c r="P557" s="2105">
        <f>IF(AND(P464&gt;0,P476&gt;0),P555*(P464/(Wind_Night*P474*P476))^P556,0)</f>
        <v>5.2193839656983331E-3</v>
      </c>
      <c r="Q557" s="238"/>
      <c r="R557" s="2105">
        <f>IF(AND(R464&gt;0,R476&gt;0),R555*(R464/(Wind_Night*R474*R476))^R556,0)</f>
        <v>2.6274600557510689E-2</v>
      </c>
      <c r="S557" s="238"/>
      <c r="T557" s="2105">
        <f>IF(AND(T464&gt;0,T476&gt;0),T555*(T464/(Wind_Night*T474*T476))^T556,0)</f>
        <v>0.11831661947366247</v>
      </c>
      <c r="U557" s="238"/>
      <c r="V557" s="2105">
        <f>IF(AND(V464&gt;0,V476&gt;0),V555*(V464/(Wind_Night*V474*V476))^V556,0)</f>
        <v>0.69161069319308122</v>
      </c>
      <c r="W557" s="238"/>
      <c r="X557" s="2105">
        <f>IF(AND(X464&gt;0,X476&gt;0),X555*(X464/(Wind_Night*X474*X476))^X556,0)</f>
        <v>3.9911231960390783</v>
      </c>
      <c r="Y557" s="83"/>
      <c r="Z557" s="85"/>
      <c r="AA557" s="83"/>
      <c r="AB557" s="81"/>
      <c r="AC557" s="2977" t="s">
        <v>5078</v>
      </c>
      <c r="AD557" s="81"/>
      <c r="AE557" s="3003">
        <f>IF(AE471&gt;0,-1/INDEX(LINEST(AE546:AE555,$CJ$286:$CJ$295),1),0)</f>
        <v>0</v>
      </c>
      <c r="AF557" s="81"/>
      <c r="AG557" s="3003">
        <f>IF(AG471&gt;0,-1/INDEX(LINEST(AG546:AG555,$CJ$286:$CJ$295),1),0)</f>
        <v>0</v>
      </c>
      <c r="AH557" s="81"/>
      <c r="AI557" s="3003">
        <f>IF(AI471&gt;0,-1/INDEX(LINEST(AI546:AI555,$CJ$286:$CJ$295),1),0)</f>
        <v>0</v>
      </c>
      <c r="AJ557" s="81"/>
      <c r="AK557" s="81"/>
      <c r="AL557" s="81"/>
      <c r="AM557" s="81"/>
      <c r="AN557" s="81"/>
      <c r="AO557" s="81"/>
      <c r="AP557" s="81"/>
      <c r="AQ557" s="85"/>
      <c r="AR557" s="81"/>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26"/>
      <c r="BR557" s="26"/>
    </row>
    <row r="558" spans="1:76" ht="15" customHeight="1" thickBot="1" x14ac:dyDescent="0.3">
      <c r="A558" s="2"/>
      <c r="B558" s="1691" t="s">
        <v>5064</v>
      </c>
      <c r="C558" s="83"/>
      <c r="D558" s="1288">
        <f>IF(D480&gt;0,(D480*D479^0.333/Wind_Night^2)^0.5,0)</f>
        <v>0</v>
      </c>
      <c r="E558" s="235"/>
      <c r="F558" s="1288">
        <f>IF(F480&gt;0,(F480*F479^0.333/Wind_Night^2)^0.5,0)</f>
        <v>0</v>
      </c>
      <c r="G558" s="238"/>
      <c r="H558" s="1288">
        <f>IF(H480&gt;0,(H480*H479^0.333/Wind_Night^2)^0.5,0)</f>
        <v>0</v>
      </c>
      <c r="I558" s="238"/>
      <c r="J558" s="1288">
        <f>IF(J480&gt;0,(J480*J479^0.333/Wind_Night^2)^0.5,0)</f>
        <v>0</v>
      </c>
      <c r="K558" s="238"/>
      <c r="L558" s="1288">
        <f>IF(L480&gt;0,(L480*L479^0.333/Wind_Night^2)^0.5,0)</f>
        <v>0</v>
      </c>
      <c r="M558" s="238"/>
      <c r="N558" s="1288">
        <f>IF(N480&gt;0,(N480*N479^0.333/Wind_Night^2)^0.5,0)</f>
        <v>0</v>
      </c>
      <c r="O558" s="238"/>
      <c r="P558" s="1288">
        <f>IF(P480&gt;0,(P480*P479^0.333/Wind_Night^2)^0.5,0)</f>
        <v>0</v>
      </c>
      <c r="Q558" s="238"/>
      <c r="R558" s="1288">
        <f>IF(R480&gt;0,(R480*R479^0.333/Wind_Night^2)^0.5,0)</f>
        <v>0</v>
      </c>
      <c r="S558" s="238"/>
      <c r="T558" s="1288">
        <f>IF(T480&gt;0,(T480*T479^0.333/Wind_Night^2)^0.5,0)</f>
        <v>0</v>
      </c>
      <c r="U558" s="238"/>
      <c r="V558" s="1288">
        <f>IF(V480&gt;0,(V480*V479^0.333/Wind_Night^2)^0.5,0)</f>
        <v>0</v>
      </c>
      <c r="W558" s="238"/>
      <c r="X558" s="1288">
        <f>IF(X480&gt;0,(X480*X479^0.333/Wind_Night^2)^0.5,0)</f>
        <v>0</v>
      </c>
      <c r="Y558" s="83"/>
      <c r="Z558" s="85"/>
      <c r="AA558" s="83"/>
      <c r="AB558" s="81"/>
      <c r="AC558" s="2976" t="s">
        <v>5123</v>
      </c>
      <c r="AD558" s="81"/>
      <c r="AE558" s="2105">
        <f>IF(AND(AE471&gt;0,AE490&gt;0),AE556*(AE471/(AE488*AE490))^AE557,0)</f>
        <v>0</v>
      </c>
      <c r="AF558" s="81"/>
      <c r="AG558" s="2105">
        <f>IF(AND(AG471&gt;0,AG490&gt;0),AG556*(AG471/(AG488*AG490))^AG557,0)</f>
        <v>0</v>
      </c>
      <c r="AH558" s="81"/>
      <c r="AI558" s="2105">
        <f>IF(AND(AI471&gt;0,AI490&gt;0),AI556*(AI471/(AI488*AI490))^AI557,0)</f>
        <v>0</v>
      </c>
      <c r="AJ558" s="81"/>
      <c r="AK558" s="81"/>
      <c r="AL558" s="81"/>
      <c r="AM558" s="81"/>
      <c r="AN558" s="81"/>
      <c r="AO558" s="81"/>
      <c r="AP558" s="81"/>
      <c r="AQ558" s="85"/>
      <c r="AR558" s="81"/>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26"/>
      <c r="BR558" s="26"/>
    </row>
    <row r="559" spans="1:76" ht="15" customHeight="1" thickBot="1" x14ac:dyDescent="0.3">
      <c r="A559" s="2"/>
      <c r="B559" s="1691" t="s">
        <v>5065</v>
      </c>
      <c r="C559" s="83"/>
      <c r="D559" s="3000">
        <f>IF(AND(D480&gt;0,D558&gt;0),D475*(0.2/D558)^3,1)</f>
        <v>1</v>
      </c>
      <c r="E559" s="235"/>
      <c r="F559" s="3000">
        <f>IF(AND(F480&gt;0,F558&gt;0),F475*(0.2/F558)^3,1)</f>
        <v>1</v>
      </c>
      <c r="G559" s="238"/>
      <c r="H559" s="3000">
        <f>IF(AND(H480&gt;0,H558&gt;0),H475*(0.2/H558)^3,1)</f>
        <v>1</v>
      </c>
      <c r="I559" s="238"/>
      <c r="J559" s="3000">
        <f>IF(AND(J480&gt;0,J558&gt;0),J475*(0.2/J558)^3,1)</f>
        <v>1</v>
      </c>
      <c r="K559" s="238"/>
      <c r="L559" s="3000">
        <f>IF(AND(L480&gt;0,L558&gt;0),L475*(0.2/L558)^3,1)</f>
        <v>1</v>
      </c>
      <c r="M559" s="238"/>
      <c r="N559" s="3000">
        <f>IF(AND(N480&gt;0,N558&gt;0),N475*(0.2/N558)^3,1)</f>
        <v>1</v>
      </c>
      <c r="O559" s="238"/>
      <c r="P559" s="3000">
        <f>IF(AND(P480&gt;0,P558&gt;0),P475*(0.2/P558)^3,1)</f>
        <v>1</v>
      </c>
      <c r="Q559" s="238"/>
      <c r="R559" s="3000">
        <f>IF(AND(R480&gt;0,R558&gt;0),R475*(0.2/R558)^3,1)</f>
        <v>1</v>
      </c>
      <c r="S559" s="238"/>
      <c r="T559" s="3000">
        <f>IF(AND(T480&gt;0,T558&gt;0),T475*(0.2/T558)^3,1)</f>
        <v>1</v>
      </c>
      <c r="U559" s="238"/>
      <c r="V559" s="3000">
        <f>IF(AND(V480&gt;0,V558&gt;0),V475*(0.2/V558)^3,1)</f>
        <v>1</v>
      </c>
      <c r="W559" s="238"/>
      <c r="X559" s="3000">
        <f>IF(AND(X480&gt;0,X558&gt;0),X475*(0.2/X558)^3,1)</f>
        <v>1</v>
      </c>
      <c r="Y559" s="83"/>
      <c r="Z559" s="85"/>
      <c r="AA559" s="83"/>
      <c r="AB559" s="81"/>
      <c r="AC559" s="85" t="s">
        <v>5079</v>
      </c>
      <c r="AD559" s="81"/>
      <c r="AE559" s="2568" t="str">
        <f>IF(AE$471&gt;AE$478,IF(AE$478&gt;AE$471*(AE556^(1/AE557)/AE530^(1/AE531))*Wind*(1*Wind*AE$471/AE$478)^(1/AE531-1/AE557),"Instantaneous","Continuous"),"Continuous")</f>
        <v>Continuous</v>
      </c>
      <c r="AF559" s="81"/>
      <c r="AG559" s="2568" t="str">
        <f>IF(AND(AG$478&gt;0,AG$471&gt;AG$478),IF(AG$478&gt;AG$471*(AG556^(1/AG557)/AG530^(1/AG531))*Wind*(1*Wind*AG$471/AG$478)^(1/AG531-1/AG557),"Instantaneous","Continuous"),"Continuous")</f>
        <v>Continuous</v>
      </c>
      <c r="AH559" s="81"/>
      <c r="AI559" s="2568" t="str">
        <f>IF(AI$471&gt;AI$478,IF(AI$478&gt;AI$471*(AI556^(1/AI557)/AI530^(1/AI531))*Wind*(1*Wind*AI$471/AI$478)^(1/AI531-1/AI557),"Instantaneous","Continuous"),"Continuous")</f>
        <v>Continuous</v>
      </c>
      <c r="AJ559" s="81"/>
      <c r="AK559" s="81"/>
      <c r="AL559" s="81"/>
      <c r="AM559" s="81"/>
      <c r="AN559" s="81"/>
      <c r="AO559" s="81"/>
      <c r="AP559" s="81"/>
      <c r="AQ559" s="85"/>
      <c r="AR559" s="81"/>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26"/>
      <c r="BR559" s="26"/>
    </row>
    <row r="560" spans="1:76" ht="15" customHeight="1" x14ac:dyDescent="0.25">
      <c r="A560" s="2"/>
      <c r="B560" s="512" t="s">
        <v>5115</v>
      </c>
      <c r="C560" s="83"/>
      <c r="D560" s="3000">
        <f>LN(IF(D559&lt;D475,IF(LOG(D558)&lt;-0.44,5.01,IF(LOG(D558)&lt;0.43,10^(0.81+0.26*LOG(D558)),8.51))*D479^0.333,1))</f>
        <v>0</v>
      </c>
      <c r="E560" s="235"/>
      <c r="F560" s="3000">
        <f>LN(IF(F559&lt;F475,IF(LOG(F558)&lt;-0.44,5.01,IF(LOG(F558)&lt;0.43,10^(0.81+0.26*LOG(F558)),8.51))*F479^0.333,1))</f>
        <v>0</v>
      </c>
      <c r="G560" s="238"/>
      <c r="H560" s="3000">
        <f>LN(IF(H559&lt;H475,IF(LOG(H558)&lt;-0.44,5.01,IF(LOG(H558)&lt;0.43,10^(0.81+0.26*LOG(H558)),8.51))*H479^0.333,1))</f>
        <v>0</v>
      </c>
      <c r="I560" s="238"/>
      <c r="J560" s="3000">
        <f>LN(IF(J559&lt;J475,IF(LOG(J558)&lt;-0.44,5.01,IF(LOG(J558)&lt;0.43,10^(0.81+0.26*LOG(J558)),8.51))*J479^0.333,1))</f>
        <v>0</v>
      </c>
      <c r="K560" s="238"/>
      <c r="L560" s="3000">
        <f>LN(IF(L559&lt;L475,IF(LOG(L558)&lt;-0.44,5.01,IF(LOG(L558)&lt;0.43,10^(0.81+0.26*LOG(L558)),8.51))*L479^0.333,1))</f>
        <v>0</v>
      </c>
      <c r="M560" s="238"/>
      <c r="N560" s="3000">
        <f>LN(IF(N559&lt;N475,IF(LOG(N558)&lt;-0.44,5.01,IF(LOG(N558)&lt;0.43,10^(0.81+0.26*LOG(N558)),8.51))*N479^0.333,1))</f>
        <v>0</v>
      </c>
      <c r="O560" s="238"/>
      <c r="P560" s="3000">
        <f>LN(IF(P559&lt;P475,IF(LOG(P558)&lt;-0.44,5.01,IF(LOG(P558)&lt;0.43,10^(0.81+0.26*LOG(P558)),8.51))*P479^0.333,1))</f>
        <v>0</v>
      </c>
      <c r="Q560" s="238"/>
      <c r="R560" s="3000">
        <f>LN(IF(R559&lt;R475,IF(LOG(R558)&lt;-0.44,5.01,IF(LOG(R558)&lt;0.43,10^(0.81+0.26*LOG(R558)),8.51))*R479^0.333,1))</f>
        <v>0</v>
      </c>
      <c r="S560" s="238"/>
      <c r="T560" s="3000">
        <f>LN(IF(T559&lt;T475,IF(LOG(T558)&lt;-0.44,5.01,IF(LOG(T558)&lt;0.43,10^(0.81+0.26*LOG(T558)),8.51))*T479^0.333,1))</f>
        <v>0</v>
      </c>
      <c r="U560" s="238"/>
      <c r="V560" s="3000">
        <f>LN(IF(V559&lt;V475,IF(LOG(V558)&lt;-0.44,5.01,IF(LOG(V558)&lt;0.43,10^(0.81+0.26*LOG(V558)),8.51))*V479^0.333,1))</f>
        <v>0</v>
      </c>
      <c r="W560" s="238"/>
      <c r="X560" s="3000">
        <f>LN(IF(X559&lt;X475,IF(LOG(X558)&lt;-0.44,5.01,IF(LOG(X558)&lt;0.43,10^(0.81+0.26*LOG(X558)),8.51))*X479^0.333,1))</f>
        <v>0</v>
      </c>
      <c r="Y560" s="83"/>
      <c r="Z560" s="85"/>
      <c r="AA560" s="83"/>
      <c r="AB560" s="81"/>
      <c r="AC560" s="1689" t="s">
        <v>5062</v>
      </c>
      <c r="AD560" s="81"/>
      <c r="AE560" s="2426">
        <f>IF(AE494&gt;0,(AE494^2*AE492/Wind_Night^5)^0.2,0)</f>
        <v>8.398349123709864E-2</v>
      </c>
      <c r="AF560" s="81"/>
      <c r="AG560" s="2426">
        <f>IF(AG494&gt;0,(AG494^2*AG492/Wind_Night^5)^0.2,0)</f>
        <v>8.398349123709864E-2</v>
      </c>
      <c r="AH560" s="81"/>
      <c r="AI560" s="2426">
        <f>IF(AI494&gt;0,(AI494^2*AI492/Wind_Night^5)^0.2,0)</f>
        <v>8.398349123709864E-2</v>
      </c>
      <c r="AJ560" s="81"/>
      <c r="AK560" s="81"/>
      <c r="AL560" s="81"/>
      <c r="AM560" s="81"/>
      <c r="AN560" s="81"/>
      <c r="AO560" s="81"/>
      <c r="AP560" s="81"/>
      <c r="AQ560" s="85"/>
      <c r="AR560" s="81"/>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26"/>
      <c r="BR560" s="26"/>
    </row>
    <row r="561" spans="1:70" ht="15" customHeight="1" x14ac:dyDescent="0.25">
      <c r="A561" s="2"/>
      <c r="B561" s="512" t="s">
        <v>5116</v>
      </c>
      <c r="C561" s="83"/>
      <c r="D561" s="3000">
        <f>LN(IF(D559&lt;D475,IF(LOG(D558)&lt;-0.56,7.08,IF(LOG(D558)&lt;0.31,10^(1+0.26*LOG(D558)),10^(1.12-0.12*LOG(D558))))*D479^0.333,1))</f>
        <v>0</v>
      </c>
      <c r="E561" s="235"/>
      <c r="F561" s="3000">
        <f>LN(IF(F559&lt;F475,IF(LOG(F558)&lt;-0.56,7.08,IF(LOG(F558)&lt;0.31,10^(1+0.26*LOG(F558)),10^(1.12-0.12*LOG(F558))))*F479^0.333,1))</f>
        <v>0</v>
      </c>
      <c r="G561" s="238"/>
      <c r="H561" s="3000">
        <f>LN(IF(H559&lt;H475,IF(LOG(H558)&lt;-0.56,7.08,IF(LOG(H558)&lt;0.31,10^(1+0.26*LOG(H558)),10^(1.12-0.12*LOG(H558))))*H479^0.333,1))</f>
        <v>0</v>
      </c>
      <c r="I561" s="238"/>
      <c r="J561" s="3000">
        <f>LN(IF(J559&lt;J475,IF(LOG(J558)&lt;-0.56,7.08,IF(LOG(J558)&lt;0.31,10^(1+0.26*LOG(J558)),10^(1.12-0.12*LOG(J558))))*J479^0.333,1))</f>
        <v>0</v>
      </c>
      <c r="K561" s="238"/>
      <c r="L561" s="3000">
        <f>LN(IF(L559&lt;L475,IF(LOG(L558)&lt;-0.56,7.08,IF(LOG(L558)&lt;0.31,10^(1+0.26*LOG(L558)),10^(1.12-0.12*LOG(L558))))*L479^0.333,1))</f>
        <v>0</v>
      </c>
      <c r="M561" s="238"/>
      <c r="N561" s="3000">
        <f>LN(IF(N559&lt;N475,IF(LOG(N558)&lt;-0.56,7.08,IF(LOG(N558)&lt;0.31,10^(1+0.26*LOG(N558)),10^(1.12-0.12*LOG(N558))))*N479^0.333,1))</f>
        <v>0</v>
      </c>
      <c r="O561" s="238"/>
      <c r="P561" s="3000">
        <f>LN(IF(P559&lt;P475,IF(LOG(P558)&lt;-0.56,7.08,IF(LOG(P558)&lt;0.31,10^(1+0.26*LOG(P558)),10^(1.12-0.12*LOG(P558))))*P479^0.333,1))</f>
        <v>0</v>
      </c>
      <c r="Q561" s="238"/>
      <c r="R561" s="3000">
        <f>LN(IF(R559&lt;R475,IF(LOG(R558)&lt;-0.56,7.08,IF(LOG(R558)&lt;0.31,10^(1+0.26*LOG(R558)),10^(1.12-0.12*LOG(R558))))*R479^0.333,1))</f>
        <v>0</v>
      </c>
      <c r="S561" s="238"/>
      <c r="T561" s="3000">
        <f>LN(IF(T559&lt;T475,IF(LOG(T558)&lt;-0.56,7.08,IF(LOG(T558)&lt;0.31,10^(1+0.26*LOG(T558)),10^(1.12-0.12*LOG(T558))))*T479^0.333,1))</f>
        <v>0</v>
      </c>
      <c r="U561" s="238"/>
      <c r="V561" s="3000">
        <f>LN(IF(V559&lt;V475,IF(LOG(V558)&lt;-0.56,7.08,IF(LOG(V558)&lt;0.31,10^(1+0.26*LOG(V558)),10^(1.12-0.12*LOG(V558))))*V479^0.333,1))</f>
        <v>0</v>
      </c>
      <c r="W561" s="238"/>
      <c r="X561" s="3000">
        <f>LN(IF(X559&lt;X475,IF(LOG(X558)&lt;-0.56,7.08,IF(LOG(X558)&lt;0.31,10^(1+0.26*LOG(X558)),10^(1.12-0.12*LOG(X558))))*X479^0.333,1))</f>
        <v>0</v>
      </c>
      <c r="Y561" s="83"/>
      <c r="Z561" s="85"/>
      <c r="AA561" s="83"/>
      <c r="AB561" s="81"/>
      <c r="AC561" s="1691" t="s">
        <v>5063</v>
      </c>
      <c r="AD561" s="81"/>
      <c r="AE561" s="3000">
        <f>IF(AND(AE494&gt;0,AE560&gt;0),AE489*0.15^6/AE560^5,1)</f>
        <v>2.7236005922539199</v>
      </c>
      <c r="AF561" s="81"/>
      <c r="AG561" s="3000">
        <f>IF(AND(AG494&gt;0,AG560&gt;0),AG489*0.15^6/AG560^5,1)</f>
        <v>2.7236005922539199</v>
      </c>
      <c r="AH561" s="81"/>
      <c r="AI561" s="3000">
        <f>IF(AND(AI494&gt;0,AI560&gt;0),AI489*0.15^6/AI560^5,1)</f>
        <v>2.7236005922539199</v>
      </c>
      <c r="AJ561" s="81"/>
      <c r="AK561" s="81"/>
      <c r="AL561" s="81"/>
      <c r="AM561" s="81"/>
      <c r="AN561" s="81"/>
      <c r="AO561" s="81"/>
      <c r="AP561" s="81"/>
      <c r="AQ561" s="85"/>
      <c r="AR561" s="81"/>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26"/>
      <c r="BR561" s="26"/>
    </row>
    <row r="562" spans="1:70" ht="15" customHeight="1" x14ac:dyDescent="0.25">
      <c r="A562" s="2"/>
      <c r="B562" s="512" t="s">
        <v>5117</v>
      </c>
      <c r="C562" s="83"/>
      <c r="D562" s="3000">
        <f>LN(IF(D559&lt;D475,IF(LOG(D558)&lt;-0.66,8.91,IF(LOG(D558)&lt;0.32,10^(1.19+0.36*LOG(D558)),10^(1.38-0.26*LOG(D558))))*D479^0.333,1))</f>
        <v>0</v>
      </c>
      <c r="E562" s="235"/>
      <c r="F562" s="3000">
        <f>LN(IF(F559&lt;F475,IF(LOG(F558)&lt;-0.66,8.91,IF(LOG(F558)&lt;0.32,10^(1.19+0.36*LOG(F558)),10^(1.38-0.26*LOG(F558))))*F479^0.333,1))</f>
        <v>0</v>
      </c>
      <c r="G562" s="238"/>
      <c r="H562" s="3000">
        <f>LN(IF(H559&lt;H475,IF(LOG(H558)&lt;-0.66,8.91,IF(LOG(H558)&lt;0.32,10^(1.19+0.36*LOG(H558)),10^(1.38-0.26*LOG(H558))))*H479^0.333,1))</f>
        <v>0</v>
      </c>
      <c r="I562" s="238"/>
      <c r="J562" s="3000">
        <f>LN(IF(J559&lt;J475,IF(LOG(J558)&lt;-0.66,8.91,IF(LOG(J558)&lt;0.32,10^(1.19+0.36*LOG(J558)),10^(1.38-0.26*LOG(J558))))*J479^0.333,1))</f>
        <v>0</v>
      </c>
      <c r="K562" s="238"/>
      <c r="L562" s="3000">
        <f>LN(IF(L559&lt;L475,IF(LOG(L558)&lt;-0.66,8.91,IF(LOG(L558)&lt;0.32,10^(1.19+0.36*LOG(L558)),10^(1.38-0.26*LOG(L558))))*L479^0.333,1))</f>
        <v>0</v>
      </c>
      <c r="M562" s="238"/>
      <c r="N562" s="3000">
        <f>LN(IF(N559&lt;N475,IF(LOG(N558)&lt;-0.66,8.91,IF(LOG(N558)&lt;0.32,10^(1.19+0.36*LOG(N558)),10^(1.38-0.26*LOG(N558))))*N479^0.333,1))</f>
        <v>0</v>
      </c>
      <c r="O562" s="238"/>
      <c r="P562" s="3000">
        <f>LN(IF(P559&lt;P475,IF(LOG(P558)&lt;-0.66,8.91,IF(LOG(P558)&lt;0.32,10^(1.19+0.36*LOG(P558)),10^(1.38-0.26*LOG(P558))))*P479^0.333,1))</f>
        <v>0</v>
      </c>
      <c r="Q562" s="238"/>
      <c r="R562" s="3000">
        <f>LN(IF(R559&lt;R475,IF(LOG(R558)&lt;-0.66,8.91,IF(LOG(R558)&lt;0.32,10^(1.19+0.36*LOG(R558)),10^(1.38-0.26*LOG(R558))))*R479^0.333,1))</f>
        <v>0</v>
      </c>
      <c r="S562" s="238"/>
      <c r="T562" s="3000">
        <f>LN(IF(T559&lt;T475,IF(LOG(T558)&lt;-0.66,8.91,IF(LOG(T558)&lt;0.32,10^(1.19+0.36*LOG(T558)),10^(1.38-0.26*LOG(T558))))*T479^0.333,1))</f>
        <v>0</v>
      </c>
      <c r="U562" s="238"/>
      <c r="V562" s="3000">
        <f>LN(IF(V559&lt;V475,IF(LOG(V558)&lt;-0.66,8.91,IF(LOG(V558)&lt;0.32,10^(1.19+0.36*LOG(V558)),10^(1.38-0.26*LOG(V558))))*V479^0.333,1))</f>
        <v>0</v>
      </c>
      <c r="W562" s="238"/>
      <c r="X562" s="3000">
        <f>LN(IF(X559&lt;X475,IF(LOG(X558)&lt;-0.66,8.91,IF(LOG(X558)&lt;0.32,10^(1.19+0.36*LOG(X558)),10^(1.38-0.26*LOG(X558))))*X479^0.333,1))</f>
        <v>0</v>
      </c>
      <c r="Y562" s="83"/>
      <c r="Z562" s="85"/>
      <c r="AA562" s="83"/>
      <c r="AB562" s="81"/>
      <c r="AC562" s="512" t="s">
        <v>5115</v>
      </c>
      <c r="AD562" s="81"/>
      <c r="AE562" s="3000">
        <f>LN(IF(AE561&lt;AE489,IF(LOG(AE560)&lt;-0.55,56.2,IF(LOG(AE560)&lt;-0.14,10^(1.88+0.24*LOG(AE560)),10^(1.78-0.5*LOG(AE560))))*(AE492/Wind_Night)^0.5,1))</f>
        <v>0</v>
      </c>
      <c r="AF562" s="81"/>
      <c r="AG562" s="3000">
        <f>LN(IF(AG561&lt;AG489,IF(LOG(AG560)&lt;-0.55,56.2,IF(LOG(AG560)&lt;-0.14,10^(1.88+0.24*LOG(AG560)),10^(1.78-0.5*LOG(AG560))))*(AG492/Wind_Night)^0.5,1))</f>
        <v>0</v>
      </c>
      <c r="AH562" s="81"/>
      <c r="AI562" s="3000">
        <f>LN(IF(AI561&lt;AI489,IF(LOG(AI560)&lt;-0.55,56.2,IF(LOG(AI560)&lt;-0.14,10^(1.88+0.24*LOG(AI560)),10^(1.78-0.5*LOG(AI560))))*(AI492/Wind_Night)^0.5,1))</f>
        <v>0</v>
      </c>
      <c r="AJ562" s="81"/>
      <c r="AK562" s="81"/>
      <c r="AL562" s="81"/>
      <c r="AM562" s="81"/>
      <c r="AN562" s="81"/>
      <c r="AO562" s="81"/>
      <c r="AP562" s="81"/>
      <c r="AQ562" s="85"/>
      <c r="AR562" s="81"/>
      <c r="AT562" s="19"/>
      <c r="AU562" s="19"/>
      <c r="AV562" s="19"/>
      <c r="AW562" s="19"/>
      <c r="AX562" s="19"/>
      <c r="AY562" s="19"/>
      <c r="AZ562" s="19"/>
      <c r="BA562" s="19"/>
      <c r="BB562" s="19"/>
      <c r="BC562" s="19"/>
      <c r="BD562" s="19"/>
      <c r="BE562" s="19"/>
      <c r="BF562" s="19"/>
      <c r="BG562" s="19"/>
      <c r="BH562" s="19"/>
      <c r="BI562" s="19"/>
      <c r="BJ562" s="19"/>
      <c r="BK562" s="26"/>
      <c r="BL562" s="26"/>
      <c r="BM562" s="26"/>
      <c r="BN562" s="26"/>
      <c r="BO562" s="26"/>
      <c r="BP562" s="26"/>
      <c r="BQ562" s="26"/>
      <c r="BR562" s="26"/>
    </row>
    <row r="563" spans="1:70" ht="15" customHeight="1" x14ac:dyDescent="0.25">
      <c r="A563" s="2"/>
      <c r="B563" s="512" t="s">
        <v>5118</v>
      </c>
      <c r="C563" s="83"/>
      <c r="D563" s="3000">
        <f>LN(IF(D559&lt;D475,IF(LOG(D558)&lt;-0.71,14.1,IF(LOG(D558)&lt;0.37,10^(1.39+0.34*LOG(D558)),10^(1.66-0.38*LOG(D558))))*D479^0.333,1))</f>
        <v>0</v>
      </c>
      <c r="E563" s="235"/>
      <c r="F563" s="3000">
        <f>LN(IF(F559&lt;F475,IF(LOG(F558)&lt;-0.71,14.1,IF(LOG(F558)&lt;0.37,10^(1.39+0.34*LOG(F558)),10^(1.66-0.38*LOG(F558))))*F479^0.333,1))</f>
        <v>0</v>
      </c>
      <c r="G563" s="238"/>
      <c r="H563" s="3000">
        <f>LN(IF(H559&lt;H475,IF(LOG(H558)&lt;-0.71,14.1,IF(LOG(H558)&lt;0.37,10^(1.39+0.34*LOG(H558)),10^(1.66-0.38*LOG(H558))))*H479^0.333,1))</f>
        <v>0</v>
      </c>
      <c r="I563" s="238"/>
      <c r="J563" s="3000">
        <f>LN(IF(J559&lt;J475,IF(LOG(J558)&lt;-0.71,14.1,IF(LOG(J558)&lt;0.37,10^(1.39+0.34*LOG(J558)),10^(1.66-0.38*LOG(J558))))*J479^0.333,1))</f>
        <v>0</v>
      </c>
      <c r="K563" s="238"/>
      <c r="L563" s="3000">
        <f>LN(IF(L559&lt;L475,IF(LOG(L558)&lt;-0.71,14.1,IF(LOG(L558)&lt;0.37,10^(1.39+0.34*LOG(L558)),10^(1.66-0.38*LOG(L558))))*L479^0.333,1))</f>
        <v>0</v>
      </c>
      <c r="M563" s="238"/>
      <c r="N563" s="3000">
        <f>LN(IF(N559&lt;N475,IF(LOG(N558)&lt;-0.71,14.1,IF(LOG(N558)&lt;0.37,10^(1.39+0.34*LOG(N558)),10^(1.66-0.38*LOG(N558))))*N479^0.333,1))</f>
        <v>0</v>
      </c>
      <c r="O563" s="238"/>
      <c r="P563" s="3000">
        <f>LN(IF(P559&lt;P475,IF(LOG(P558)&lt;-0.71,14.1,IF(LOG(P558)&lt;0.37,10^(1.39+0.34*LOG(P558)),10^(1.66-0.38*LOG(P558))))*P479^0.333,1))</f>
        <v>0</v>
      </c>
      <c r="Q563" s="238"/>
      <c r="R563" s="3000">
        <f>LN(IF(R559&lt;R475,IF(LOG(R558)&lt;-0.71,14.1,IF(LOG(R558)&lt;0.37,10^(1.39+0.34*LOG(R558)),10^(1.66-0.38*LOG(R558))))*R479^0.333,1))</f>
        <v>0</v>
      </c>
      <c r="S563" s="238"/>
      <c r="T563" s="3000">
        <f>LN(IF(T559&lt;T475,IF(LOG(T558)&lt;-0.71,14.1,IF(LOG(T558)&lt;0.37,10^(1.39+0.34*LOG(T558)),10^(1.66-0.38*LOG(T558))))*T479^0.333,1))</f>
        <v>0</v>
      </c>
      <c r="U563" s="238"/>
      <c r="V563" s="3000">
        <f>LN(IF(V559&lt;V475,IF(LOG(V558)&lt;-0.71,14.1,IF(LOG(V558)&lt;0.37,10^(1.39+0.34*LOG(V558)),10^(1.66-0.38*LOG(V558))))*V479^0.333,1))</f>
        <v>0</v>
      </c>
      <c r="W563" s="238"/>
      <c r="X563" s="3000">
        <f>LN(IF(X559&lt;X475,IF(LOG(X558)&lt;-0.71,14.1,IF(LOG(X558)&lt;0.37,10^(1.39+0.34*LOG(X558)),10^(1.66-0.38*LOG(X558))))*X479^0.333,1))</f>
        <v>0</v>
      </c>
      <c r="Y563" s="83"/>
      <c r="Z563" s="85"/>
      <c r="AA563" s="83"/>
      <c r="AB563" s="81"/>
      <c r="AC563" s="512" t="s">
        <v>5116</v>
      </c>
      <c r="AD563" s="81"/>
      <c r="AE563" s="3000">
        <f>LN(IF(AE561&lt;AE489,IF(LOG(AE560)&lt;-0.68,83.2,IF(LOG(AE560)&lt;-0.29,10^(2.16+0.36*LOG(AE560)),IF(LOG(AE560)&lt;-0.18,114.8,10^(1.96-0.56*LOG(AE560)))))*(AE492/Wind_Night)^0.5,1))</f>
        <v>0</v>
      </c>
      <c r="AF563" s="81"/>
      <c r="AG563" s="3000">
        <f>LN(IF(AG561&lt;AG489,IF(LOG(AG560)&lt;-0.68,83.2,IF(LOG(AG560)&lt;-0.29,10^(2.16+0.36*LOG(AG560)),IF(LOG(AG560)&lt;-0.18,114.8,10^(1.96-0.56*LOG(AG560)))))*(AG492/Wind_Night)^0.5,1))</f>
        <v>0</v>
      </c>
      <c r="AH563" s="81"/>
      <c r="AI563" s="3000">
        <f>LN(IF(AI561&lt;AI489,IF(LOG(AI560)&lt;-0.68,83.2,IF(LOG(AI560)&lt;-0.29,10^(2.16+0.36*LOG(AI560)),IF(LOG(AI560)&lt;-0.18,114.8,10^(1.96-0.56*LOG(AI560)))))*(AI492/Wind_Night)^0.5,1))</f>
        <v>0</v>
      </c>
      <c r="AJ563" s="81"/>
      <c r="AK563" s="81"/>
      <c r="AL563" s="81"/>
      <c r="AM563" s="81"/>
      <c r="AN563" s="81"/>
      <c r="AO563" s="81"/>
      <c r="AP563" s="81"/>
      <c r="AQ563" s="85"/>
      <c r="AR563" s="81"/>
      <c r="AT563" s="19"/>
      <c r="AU563" s="19"/>
      <c r="AV563" s="19"/>
      <c r="AW563" s="19"/>
      <c r="AX563" s="19"/>
      <c r="AY563" s="19"/>
      <c r="AZ563" s="19"/>
      <c r="BA563" s="19"/>
      <c r="BB563" s="19"/>
      <c r="BC563" s="19"/>
      <c r="BD563" s="19"/>
      <c r="BE563" s="19"/>
      <c r="BF563" s="19"/>
      <c r="BG563" s="19"/>
      <c r="BH563" s="19"/>
      <c r="BI563" s="19"/>
      <c r="BJ563" s="19"/>
      <c r="BK563" s="26"/>
      <c r="BL563" s="26"/>
      <c r="BM563" s="26"/>
      <c r="BN563" s="26"/>
      <c r="BO563" s="26"/>
      <c r="BP563" s="26"/>
      <c r="BQ563" s="26"/>
      <c r="BR563" s="26"/>
    </row>
    <row r="564" spans="1:70" ht="15" customHeight="1" x14ac:dyDescent="0.25">
      <c r="A564" s="2"/>
      <c r="B564" s="512" t="s">
        <v>5119</v>
      </c>
      <c r="C564" s="83"/>
      <c r="D564" s="3000">
        <f>LN(IF(D559&lt;D475,IF(LOG(D558)&lt;-0.52,30.2,IF(LOG(D558)&lt;0.24,10^(1.62+0.26*LOG(D558)),10^(1.75-0.3*LOG(D558))))*D479^0.333,1))</f>
        <v>0</v>
      </c>
      <c r="E564" s="235"/>
      <c r="F564" s="3000">
        <f>LN(IF(F559&lt;F475,IF(LOG(F558)&lt;-0.52,30.2,IF(LOG(F558)&lt;0.24,10^(1.62+0.26*LOG(F558)),10^(1.75-0.3*LOG(F558))))*F479^0.333,1))</f>
        <v>0</v>
      </c>
      <c r="G564" s="238"/>
      <c r="H564" s="3000">
        <f>LN(IF(H559&lt;H475,IF(LOG(H558)&lt;-0.52,30.2,IF(LOG(H558)&lt;0.24,10^(1.62+0.26*LOG(H558)),10^(1.75-0.3*LOG(H558))))*H479^0.333,1))</f>
        <v>0</v>
      </c>
      <c r="I564" s="238"/>
      <c r="J564" s="3000">
        <f>LN(IF(J559&lt;J475,IF(LOG(J558)&lt;-0.52,30.2,IF(LOG(J558)&lt;0.24,10^(1.62+0.26*LOG(J558)),10^(1.75-0.3*LOG(J558))))*J479^0.333,1))</f>
        <v>0</v>
      </c>
      <c r="K564" s="238"/>
      <c r="L564" s="3000">
        <f>LN(IF(L559&lt;L475,IF(LOG(L558)&lt;-0.52,30.2,IF(LOG(L558)&lt;0.24,10^(1.62+0.26*LOG(L558)),10^(1.75-0.3*LOG(L558))))*L479^0.333,1))</f>
        <v>0</v>
      </c>
      <c r="M564" s="238"/>
      <c r="N564" s="3000">
        <f>LN(IF(N559&lt;N475,IF(LOG(N558)&lt;-0.52,30.2,IF(LOG(N558)&lt;0.24,10^(1.62+0.26*LOG(N558)),10^(1.75-0.3*LOG(N558))))*N479^0.333,1))</f>
        <v>0</v>
      </c>
      <c r="O564" s="238"/>
      <c r="P564" s="3000">
        <f>LN(IF(P559&lt;P475,IF(LOG(P558)&lt;-0.52,30.2,IF(LOG(P558)&lt;0.24,10^(1.62+0.26*LOG(P558)),10^(1.75-0.3*LOG(P558))))*P479^0.333,1))</f>
        <v>0</v>
      </c>
      <c r="Q564" s="238"/>
      <c r="R564" s="3000">
        <f>LN(IF(R559&lt;R475,IF(LOG(R558)&lt;-0.52,30.2,IF(LOG(R558)&lt;0.24,10^(1.62+0.26*LOG(R558)),10^(1.75-0.3*LOG(R558))))*R479^0.333,1))</f>
        <v>0</v>
      </c>
      <c r="S564" s="238"/>
      <c r="T564" s="3000">
        <f>LN(IF(T559&lt;T475,IF(LOG(T558)&lt;-0.52,30.2,IF(LOG(T558)&lt;0.24,10^(1.62+0.26*LOG(T558)),10^(1.75-0.3*LOG(T558))))*T479^0.333,1))</f>
        <v>0</v>
      </c>
      <c r="U564" s="238"/>
      <c r="V564" s="3000">
        <f>LN(IF(V559&lt;V475,IF(LOG(V558)&lt;-0.52,30.2,IF(LOG(V558)&lt;0.24,10^(1.62+0.26*LOG(V558)),10^(1.75-0.3*LOG(V558))))*V479^0.333,1))</f>
        <v>0</v>
      </c>
      <c r="W564" s="238"/>
      <c r="X564" s="3000">
        <f>LN(IF(X559&lt;X475,IF(LOG(X558)&lt;-0.52,30.2,IF(LOG(X558)&lt;0.24,10^(1.62+0.26*LOG(X558)),10^(1.75-0.3*LOG(X558))))*X479^0.333,1))</f>
        <v>0</v>
      </c>
      <c r="Y564" s="83"/>
      <c r="Z564" s="85"/>
      <c r="AA564" s="83"/>
      <c r="AB564" s="81"/>
      <c r="AC564" s="512" t="s">
        <v>5117</v>
      </c>
      <c r="AD564" s="81"/>
      <c r="AE564" s="3000">
        <f>LN(IF(AE561&lt;AE489,IF(LOG(AE560)&lt;-0.69,120.2,IF(LOG(AE560)&lt;-0.31,10^(2.39+0.45*LOG(AE560)),IF(LOG(AE560)&lt;-0.16,177.8,10^(2.16-0.54*LOG(AE560)))))*(AE492/Wind_Night)^0.5,1))</f>
        <v>0</v>
      </c>
      <c r="AF564" s="81"/>
      <c r="AG564" s="3000">
        <f>LN(IF(AG561&lt;AG489,IF(LOG(AG560)&lt;-0.69,120.2,IF(LOG(AG560)&lt;-0.31,10^(2.39+0.45*LOG(AG560)),IF(LOG(AG560)&lt;-0.16,177.8,10^(2.16-0.54*LOG(AG560)))))*(AG492/Wind_Night)^0.5,1))</f>
        <v>0</v>
      </c>
      <c r="AH564" s="81"/>
      <c r="AI564" s="3000">
        <f>LN(IF(AI561&lt;AI489,IF(LOG(AI560)&lt;-0.69,120.2,IF(LOG(AI560)&lt;-0.31,10^(2.39+0.45*LOG(AI560)),IF(LOG(AI560)&lt;-0.16,177.8,10^(2.16-0.54*LOG(AI560)))))*(AI492/Wind_Night)^0.5,1))</f>
        <v>0</v>
      </c>
      <c r="AJ564" s="81"/>
      <c r="AK564" s="81"/>
      <c r="AL564" s="81"/>
      <c r="AM564" s="81"/>
      <c r="AN564" s="81"/>
      <c r="AO564" s="81"/>
      <c r="AP564" s="81"/>
      <c r="AQ564" s="85"/>
      <c r="AR564" s="81"/>
      <c r="AT564" s="19"/>
      <c r="AU564" s="19"/>
      <c r="AV564" s="19"/>
      <c r="AW564" s="19"/>
      <c r="AX564" s="19"/>
      <c r="AY564" s="19"/>
      <c r="AZ564" s="19"/>
      <c r="BA564" s="19"/>
      <c r="BB564" s="19"/>
      <c r="BC564" s="19"/>
      <c r="BD564" s="19"/>
      <c r="BE564" s="19"/>
      <c r="BF564" s="19"/>
      <c r="BG564" s="19"/>
      <c r="BH564" s="19"/>
      <c r="BI564" s="19"/>
      <c r="BJ564" s="19"/>
      <c r="BK564" s="26"/>
      <c r="BL564" s="26"/>
      <c r="BM564" s="26"/>
      <c r="BN564" s="26"/>
      <c r="BO564" s="26"/>
      <c r="BP564" s="26"/>
      <c r="BQ564" s="26"/>
      <c r="BR564" s="26"/>
    </row>
    <row r="565" spans="1:70" ht="15" customHeight="1" x14ac:dyDescent="0.25">
      <c r="A565" s="2"/>
      <c r="B565" s="512" t="s">
        <v>5120</v>
      </c>
      <c r="C565" s="83"/>
      <c r="D565" s="3000">
        <f>LN(IF(D559&lt;D475,IF(LOG(D558)&lt;0.27,67.6,10^(1.92-0.32*LOG(D558)))*D479^0.333,1))</f>
        <v>0</v>
      </c>
      <c r="E565" s="235"/>
      <c r="F565" s="3000">
        <f>LN(IF(F559&lt;F475,IF(LOG(F558)&lt;0.27,67.6,10^(1.92-0.32*LOG(F558)))*F479^0.333,1))</f>
        <v>0</v>
      </c>
      <c r="G565" s="238"/>
      <c r="H565" s="3000">
        <f>LN(IF(H559&lt;H475,IF(LOG(H558)&lt;0.27,67.6,10^(1.92-0.32*LOG(H558)))*H479^0.333,1))</f>
        <v>0</v>
      </c>
      <c r="I565" s="238"/>
      <c r="J565" s="3000">
        <f>LN(IF(J559&lt;J475,IF(LOG(J558)&lt;0.27,67.6,10^(1.92-0.32*LOG(J558)))*J479^0.333,1))</f>
        <v>0</v>
      </c>
      <c r="K565" s="238"/>
      <c r="L565" s="3000">
        <f>LN(IF(L559&lt;L475,IF(LOG(L558)&lt;0.27,67.6,10^(1.92-0.32*LOG(L558)))*L479^0.333,1))</f>
        <v>0</v>
      </c>
      <c r="M565" s="238"/>
      <c r="N565" s="3000">
        <f>LN(IF(N559&lt;N475,IF(LOG(N558)&lt;0.27,67.6,10^(1.92-0.32*LOG(N558)))*N479^0.333,1))</f>
        <v>0</v>
      </c>
      <c r="O565" s="238"/>
      <c r="P565" s="3000">
        <f>LN(IF(P559&lt;P475,IF(LOG(P558)&lt;0.27,67.6,10^(1.92-0.32*LOG(P558)))*P479^0.333,1))</f>
        <v>0</v>
      </c>
      <c r="Q565" s="238"/>
      <c r="R565" s="3000">
        <f>LN(IF(R559&lt;R475,IF(LOG(R558)&lt;0.27,67.6,10^(1.92-0.32*LOG(R558)))*R479^0.333,1))</f>
        <v>0</v>
      </c>
      <c r="S565" s="238"/>
      <c r="T565" s="3000">
        <f>LN(IF(T559&lt;T475,IF(LOG(T558)&lt;0.27,67.6,10^(1.92-0.32*LOG(T558)))*T479^0.333,1))</f>
        <v>0</v>
      </c>
      <c r="U565" s="238"/>
      <c r="V565" s="3000">
        <f>LN(IF(V559&lt;V475,IF(LOG(V558)&lt;0.27,67.6,10^(1.92-0.32*LOG(V558)))*V479^0.333,1))</f>
        <v>0</v>
      </c>
      <c r="W565" s="238"/>
      <c r="X565" s="3000">
        <f>LN(IF(X559&lt;X475,IF(LOG(X558)&lt;0.27,67.6,10^(1.92-0.32*LOG(X558)))*X479^0.333,1))</f>
        <v>0</v>
      </c>
      <c r="Y565" s="83"/>
      <c r="Z565" s="85"/>
      <c r="AA565" s="83"/>
      <c r="AB565" s="81"/>
      <c r="AC565" s="512" t="s">
        <v>5118</v>
      </c>
      <c r="AD565" s="81"/>
      <c r="AE565" s="3000">
        <f>LN(IF(AE561&lt;AE489,IF(LOG(AE560)&lt;-0.7,177.8,IF(LOG(AE560)&lt;-0.29,10^(2.59+0.49*LOG(AE560)),IF(LOG(AE560)&lt;-0.2,281.8,10^(2.35-0.52*LOG(AE560)))))*(AE492/Wind_Night)^0.5,1))</f>
        <v>0</v>
      </c>
      <c r="AF565" s="81"/>
      <c r="AG565" s="3000">
        <f>LN(IF(AG561&lt;AG489,IF(LOG(AG560)&lt;-0.7,177.8,IF(LOG(AG560)&lt;-0.29,10^(2.59+0.49*LOG(AG560)),IF(LOG(AG560)&lt;-0.2,281.8,10^(2.35-0.52*LOG(AG560)))))*(AG492/Wind_Night)^0.5,1))</f>
        <v>0</v>
      </c>
      <c r="AH565" s="81"/>
      <c r="AI565" s="3000">
        <f>LN(IF(AI561&lt;AI489,IF(LOG(AI560)&lt;-0.7,177.8,IF(LOG(AI560)&lt;-0.29,10^(2.59+0.49*LOG(AI560)),IF(LOG(AI560)&lt;-0.2,281.8,10^(2.35-0.52*LOG(AI560)))))*(AI492/Wind_Night)^0.5,1))</f>
        <v>0</v>
      </c>
      <c r="AJ565" s="81"/>
      <c r="AK565" s="81"/>
      <c r="AL565" s="81"/>
      <c r="AM565" s="81"/>
      <c r="AN565" s="81"/>
      <c r="AO565" s="81"/>
      <c r="AP565" s="81"/>
      <c r="AQ565" s="85"/>
      <c r="AR565" s="81"/>
      <c r="AT565" s="19"/>
      <c r="AU565" s="19"/>
      <c r="AV565" s="19"/>
      <c r="AW565" s="19"/>
      <c r="AX565" s="19"/>
      <c r="AY565" s="19"/>
      <c r="AZ565" s="19"/>
      <c r="BA565" s="19"/>
      <c r="BB565" s="19"/>
      <c r="BC565" s="19"/>
      <c r="BD565" s="19"/>
      <c r="BE565" s="19"/>
      <c r="BF565" s="19"/>
      <c r="BG565" s="19"/>
      <c r="BH565" s="19"/>
      <c r="BI565" s="19"/>
      <c r="BJ565" s="19"/>
      <c r="BK565" s="26"/>
      <c r="BL565" s="26"/>
      <c r="BM565" s="26"/>
      <c r="BN565" s="26"/>
      <c r="BO565" s="26"/>
      <c r="BP565" s="26"/>
      <c r="BQ565" s="26"/>
      <c r="BR565" s="26"/>
    </row>
    <row r="566" spans="1:70" ht="15" customHeight="1" x14ac:dyDescent="0.25">
      <c r="A566" s="2"/>
      <c r="B566" s="512" t="s">
        <v>5122</v>
      </c>
      <c r="C566" s="83"/>
      <c r="D566" s="3000">
        <f>LN(IF(D559&lt;D475,IF(LOG(D558)&lt;-0.1,118.9,10^(2.05-0.27*LOG(D558)))*D479^0.333,1))</f>
        <v>0</v>
      </c>
      <c r="E566" s="235"/>
      <c r="F566" s="3000">
        <f>LN(IF(F559&lt;F475,IF(LOG(F558)&lt;-0.1,118.9,10^(2.05-0.27*LOG(F558)))*F479^0.333,1))</f>
        <v>0</v>
      </c>
      <c r="G566" s="238"/>
      <c r="H566" s="3000">
        <f>LN(IF(H559&lt;H475,IF(LOG(H558)&lt;-0.1,118.9,10^(2.05-0.27*LOG(H558)))*H479^0.333,1))</f>
        <v>0</v>
      </c>
      <c r="I566" s="238"/>
      <c r="J566" s="3000">
        <f>LN(IF(J559&lt;J475,IF(LOG(J558)&lt;-0.1,118.9,10^(2.05-0.27*LOG(J558)))*J479^0.333,1))</f>
        <v>0</v>
      </c>
      <c r="K566" s="238"/>
      <c r="L566" s="3000">
        <f>LN(IF(L559&lt;L475,IF(LOG(L558)&lt;-0.1,118.9,10^(2.05-0.27*LOG(L558)))*L479^0.333,1))</f>
        <v>0</v>
      </c>
      <c r="M566" s="238"/>
      <c r="N566" s="3000">
        <f>LN(IF(N559&lt;N475,IF(LOG(N558)&lt;-0.1,118.9,10^(2.05-0.27*LOG(N558)))*N479^0.333,1))</f>
        <v>0</v>
      </c>
      <c r="O566" s="238"/>
      <c r="P566" s="3000">
        <f>LN(IF(P559&lt;P475,IF(LOG(P558)&lt;-0.1,118.9,10^(2.05-0.27*LOG(P558)))*P479^0.333,1))</f>
        <v>0</v>
      </c>
      <c r="Q566" s="238"/>
      <c r="R566" s="3000">
        <f>LN(IF(R559&lt;R475,IF(LOG(R558)&lt;-0.1,118.9,10^(2.05-0.27*LOG(R558)))*R479^0.333,1))</f>
        <v>0</v>
      </c>
      <c r="S566" s="238"/>
      <c r="T566" s="3000">
        <f>LN(IF(T559&lt;T475,IF(LOG(T558)&lt;-0.1,118.9,10^(2.05-0.27*LOG(T558)))*T479^0.333,1))</f>
        <v>0</v>
      </c>
      <c r="U566" s="238"/>
      <c r="V566" s="3000">
        <f>LN(IF(V559&lt;V475,IF(LOG(V558)&lt;-0.1,118.9,10^(2.05-0.27*LOG(V558)))*V479^0.333,1))</f>
        <v>0</v>
      </c>
      <c r="W566" s="238"/>
      <c r="X566" s="3000">
        <f>LN(IF(X559&lt;X475,IF(LOG(X558)&lt;-0.1,118.9,10^(2.05-0.27*LOG(X558)))*X479^0.333,1))</f>
        <v>0</v>
      </c>
      <c r="Y566" s="83"/>
      <c r="Z566" s="85"/>
      <c r="AA566" s="83"/>
      <c r="AB566" s="81"/>
      <c r="AC566" s="512" t="s">
        <v>5119</v>
      </c>
      <c r="AD566" s="81"/>
      <c r="AE566" s="3000">
        <f>LN(IF(AE561&lt;AE489,IF(LOG(AE560)&lt;-0.67,251.2,IF(LOG(AE560)&lt;-0.28,10^(2.8+0.59*LOG(AE560)),IF(LOG(AE560)&lt;-0.15,426.6,10^(2.56-0.49*LOG(AE560)))))*(AE492/Wind_Night)^0.5,1))</f>
        <v>0</v>
      </c>
      <c r="AF566" s="81"/>
      <c r="AG566" s="3000">
        <f>LN(IF(AG561&lt;AG489,IF(LOG(AG560)&lt;-0.67,251.2,IF(LOG(AG560)&lt;-0.28,10^(2.8+0.59*LOG(AG560)),IF(LOG(AG560)&lt;-0.15,426.6,10^(2.56-0.49*LOG(AG560)))))*(AG492/Wind_Night)^0.5,1))</f>
        <v>0</v>
      </c>
      <c r="AH566" s="81"/>
      <c r="AI566" s="3000">
        <f>LN(IF(AI561&lt;AI489,IF(LOG(AI560)&lt;-0.67,251.2,IF(LOG(AI560)&lt;-0.28,10^(2.8+0.59*LOG(AI560)),IF(LOG(AI560)&lt;-0.15,426.6,10^(2.56-0.49*LOG(AI560)))))*(AI492/Wind_Night)^0.5,1))</f>
        <v>0</v>
      </c>
      <c r="AJ566" s="81"/>
      <c r="AK566" s="81"/>
      <c r="AL566" s="81"/>
      <c r="AM566" s="81"/>
      <c r="AN566" s="81"/>
      <c r="AO566" s="81"/>
      <c r="AP566" s="81"/>
      <c r="AQ566" s="85"/>
      <c r="AR566" s="81"/>
      <c r="AT566" s="19"/>
      <c r="AU566" s="19"/>
      <c r="AV566" s="19"/>
      <c r="AW566" s="19"/>
      <c r="AX566" s="19"/>
      <c r="AY566" s="19"/>
      <c r="AZ566" s="19"/>
      <c r="BA566" s="19"/>
      <c r="BB566" s="19"/>
      <c r="BC566" s="19"/>
      <c r="BD566" s="19"/>
      <c r="BE566" s="19"/>
      <c r="BF566" s="19"/>
      <c r="BG566" s="19"/>
      <c r="BH566" s="19"/>
      <c r="BI566" s="19"/>
      <c r="BJ566" s="19"/>
      <c r="BK566" s="26"/>
      <c r="BL566" s="26"/>
      <c r="BM566" s="26"/>
      <c r="BN566" s="26"/>
      <c r="BO566" s="26"/>
      <c r="BP566" s="26"/>
      <c r="BQ566" s="26"/>
      <c r="BR566" s="26"/>
    </row>
    <row r="567" spans="1:70" ht="15" customHeight="1" x14ac:dyDescent="0.25">
      <c r="A567" s="2"/>
      <c r="B567" s="2977" t="s">
        <v>5054</v>
      </c>
      <c r="C567" s="83"/>
      <c r="D567" s="1230">
        <f>EXP(INDEX(LINEST($CJ$277:$CJ$283,D560:D566),2))*((Ambient_Temp+273)/(D416+273))*Roughness_A</f>
        <v>5.4578754578754546E-3</v>
      </c>
      <c r="E567" s="235"/>
      <c r="F567" s="1230">
        <f>EXP(INDEX(LINEST($CJ$277:$CJ$283,F560:F566),2))*((Ambient_Temp+273)/(F416+273))*Roughness_A</f>
        <v>5.4578754578754546E-3</v>
      </c>
      <c r="G567" s="238"/>
      <c r="H567" s="1230">
        <f>EXP(INDEX(LINEST($CJ$277:$CJ$283,H560:H566),2))*((Ambient_Temp+273)/(H416+273))*Roughness_A</f>
        <v>5.4578754578754546E-3</v>
      </c>
      <c r="I567" s="238"/>
      <c r="J567" s="1230">
        <f>EXP(INDEX(LINEST($CJ$277:$CJ$283,J560:J566),2))*((Ambient_Temp+273)/(J416+273))*Roughness_A</f>
        <v>5.4578754578754546E-3</v>
      </c>
      <c r="K567" s="238"/>
      <c r="L567" s="1230">
        <f>EXP(INDEX(LINEST($CJ$277:$CJ$283,L560:L566),2))*((Ambient_Temp+273)/(L416+273))*Roughness_A</f>
        <v>5.4578754578754546E-3</v>
      </c>
      <c r="M567" s="238"/>
      <c r="N567" s="1230">
        <f>EXP(INDEX(LINEST($CJ$277:$CJ$283,N560:N566),2))*((Ambient_Temp+273)/(N416+273))*Roughness_A</f>
        <v>5.4578754578754546E-3</v>
      </c>
      <c r="O567" s="238"/>
      <c r="P567" s="1230">
        <f>EXP(INDEX(LINEST($CJ$277:$CJ$283,P560:P566),2))*((Ambient_Temp+273)/(P416+273))*Roughness_A</f>
        <v>5.4578754578754546E-3</v>
      </c>
      <c r="Q567" s="238"/>
      <c r="R567" s="1230">
        <f>EXP(INDEX(LINEST($CJ$277:$CJ$283,R560:R566),2))*((Ambient_Temp+273)/(R416+273))*Roughness_A</f>
        <v>5.4578754578754546E-3</v>
      </c>
      <c r="S567" s="238"/>
      <c r="T567" s="1230">
        <f>EXP(INDEX(LINEST($CJ$277:$CJ$283,T560:T566),2))*((Ambient_Temp+273)/(T416+273))*Roughness_A</f>
        <v>5.4578754578754546E-3</v>
      </c>
      <c r="U567" s="238"/>
      <c r="V567" s="1230">
        <f>EXP(INDEX(LINEST($CJ$277:$CJ$283,V560:V566),2))*((Ambient_Temp+273)/(V416+273))*Roughness_A</f>
        <v>5.4578754578754546E-3</v>
      </c>
      <c r="W567" s="238"/>
      <c r="X567" s="1230">
        <f>EXP(INDEX(LINEST($CJ$277:$CJ$283,X560:X566),2))*((Ambient_Temp+273)/(X416+273))*Roughness_A</f>
        <v>5.4578754578754546E-3</v>
      </c>
      <c r="Y567" s="83"/>
      <c r="Z567" s="85"/>
      <c r="AA567" s="83"/>
      <c r="AB567" s="81"/>
      <c r="AC567" s="512" t="s">
        <v>5120</v>
      </c>
      <c r="AD567" s="81"/>
      <c r="AE567" s="3000">
        <f>LN(IF(AE561&lt;AE489,IF(LOG(AE560)&lt;-0.69,398.1,IF(LOG(AE560)&lt;-0.25,10^(2.87+0.39*LOG(AE560)),IF(LOG(AE560)&lt;-0.13,588.8,10^(2.71-0.5*LOG(AE560)))))*(AE492/Wind_Night)^0.5,1))</f>
        <v>0</v>
      </c>
      <c r="AF567" s="81"/>
      <c r="AG567" s="3000">
        <f>LN(IF(AG561&lt;AG489,IF(LOG(AG560)&lt;-0.69,398.1,IF(LOG(AG560)&lt;-0.25,10^(2.87+0.39*LOG(AG560)),IF(LOG(AG560)&lt;-0.13,588.8,10^(2.71-0.5*LOG(AG560)))))*(AG492/Wind_Night)^0.5,1))</f>
        <v>0</v>
      </c>
      <c r="AH567" s="81"/>
      <c r="AI567" s="3000">
        <f>LN(IF(AI561&lt;AI489,IF(LOG(AI560)&lt;-0.69,398.1,IF(LOG(AI560)&lt;-0.25,10^(2.87+0.39*LOG(AI560)),IF(LOG(AI560)&lt;-0.13,588.8,10^(2.71-0.5*LOG(AI560)))))*(AI492/Wind_Night)^0.5,1))</f>
        <v>0</v>
      </c>
      <c r="AJ567" s="81"/>
      <c r="AK567" s="81"/>
      <c r="AL567" s="81"/>
      <c r="AM567" s="81"/>
      <c r="AN567" s="81"/>
      <c r="AO567" s="81"/>
      <c r="AP567" s="81"/>
      <c r="AQ567" s="85"/>
      <c r="AR567" s="81"/>
      <c r="AT567" s="19"/>
      <c r="AU567" s="19"/>
      <c r="AV567" s="19"/>
      <c r="AW567" s="19"/>
      <c r="AX567" s="19"/>
      <c r="AY567" s="19"/>
      <c r="AZ567" s="19"/>
      <c r="BA567" s="19"/>
      <c r="BB567" s="19"/>
      <c r="BC567" s="19"/>
      <c r="BD567" s="19"/>
      <c r="BE567" s="19"/>
      <c r="BF567" s="19"/>
      <c r="BG567" s="19"/>
      <c r="BH567" s="19"/>
      <c r="BI567" s="19"/>
      <c r="BJ567" s="19"/>
      <c r="BK567" s="26"/>
      <c r="BL567" s="26"/>
      <c r="BM567" s="26"/>
      <c r="BN567" s="26"/>
      <c r="BO567" s="26"/>
      <c r="BP567" s="26"/>
      <c r="BQ567" s="26"/>
      <c r="BR567" s="26"/>
    </row>
    <row r="568" spans="1:70" ht="15" customHeight="1" x14ac:dyDescent="0.25">
      <c r="A568" s="2"/>
      <c r="B568" s="2977" t="s">
        <v>5055</v>
      </c>
      <c r="C568" s="83"/>
      <c r="D568" s="1230">
        <f>INDEX(LINEST($CJ$277:$CJ$283,D560:D566),1)+Roughness_B</f>
        <v>0</v>
      </c>
      <c r="E568" s="235"/>
      <c r="F568" s="1230">
        <f>INDEX(LINEST($CJ$277:$CJ$283,F560:F566),1)+Roughness_B</f>
        <v>0</v>
      </c>
      <c r="G568" s="238"/>
      <c r="H568" s="1230">
        <f>INDEX(LINEST($CJ$277:$CJ$283,H560:H566),1)+Roughness_B</f>
        <v>0</v>
      </c>
      <c r="I568" s="238"/>
      <c r="J568" s="1230">
        <f>INDEX(LINEST($CJ$277:$CJ$283,J560:J566),1)+Roughness_B</f>
        <v>0</v>
      </c>
      <c r="K568" s="238"/>
      <c r="L568" s="1230">
        <f>INDEX(LINEST($CJ$277:$CJ$283,L560:L566),1)+Roughness_B</f>
        <v>0</v>
      </c>
      <c r="M568" s="238"/>
      <c r="N568" s="1230">
        <f>INDEX(LINEST($CJ$277:$CJ$283,N560:N566),1)+Roughness_B</f>
        <v>0</v>
      </c>
      <c r="O568" s="238"/>
      <c r="P568" s="1230">
        <f>INDEX(LINEST($CJ$277:$CJ$283,P560:P566),1)+Roughness_B</f>
        <v>0</v>
      </c>
      <c r="Q568" s="238"/>
      <c r="R568" s="1230">
        <f>INDEX(LINEST($CJ$277:$CJ$283,R560:R566),1)+Roughness_B</f>
        <v>0</v>
      </c>
      <c r="S568" s="238"/>
      <c r="T568" s="1230">
        <f>INDEX(LINEST($CJ$277:$CJ$283,T560:T566),1)+Roughness_B</f>
        <v>0</v>
      </c>
      <c r="U568" s="238"/>
      <c r="V568" s="1230">
        <f>INDEX(LINEST($CJ$277:$CJ$283,V560:V566),1)+Roughness_B</f>
        <v>0</v>
      </c>
      <c r="W568" s="238"/>
      <c r="X568" s="1230">
        <f>INDEX(LINEST($CJ$277:$CJ$283,X560:X566),1)+Roughness_B</f>
        <v>0</v>
      </c>
      <c r="Y568" s="83"/>
      <c r="Z568" s="85"/>
      <c r="AA568" s="83"/>
      <c r="AB568" s="81"/>
      <c r="AC568" s="2977" t="s">
        <v>5056</v>
      </c>
      <c r="AD568" s="81"/>
      <c r="AE568" s="1230">
        <f>EXP(INDEX(LINEST($CJ$277:$CJ$282,AE562:AE567),2))*((Ambient_Temp+273)/(AE430+273))*Roughness_A</f>
        <v>8.0110655998420644E-3</v>
      </c>
      <c r="AF568" s="81"/>
      <c r="AG568" s="1230">
        <f>EXP(INDEX(LINEST($CJ$277:$CJ$282,AG562:AG567),2))*((Ambient_Temp+273)/(AG430+273))*Roughness_A</f>
        <v>8.0110655998420644E-3</v>
      </c>
      <c r="AH568" s="81"/>
      <c r="AI568" s="1230">
        <f>EXP(INDEX(LINEST($CJ$277:$CJ$282,AI562:AI567),2))*((Ambient_Temp+273)/(AI430+273))*Roughness_A</f>
        <v>8.0110655998420644E-3</v>
      </c>
      <c r="AJ568" s="81"/>
      <c r="AK568" s="81"/>
      <c r="AL568" s="81"/>
      <c r="AM568" s="81"/>
      <c r="AN568" s="81"/>
      <c r="AO568" s="81"/>
      <c r="AP568" s="81"/>
      <c r="AQ568" s="85"/>
      <c r="AR568" s="81"/>
      <c r="AT568" s="19"/>
      <c r="AU568" s="19"/>
      <c r="AV568" s="19"/>
      <c r="AW568" s="19"/>
      <c r="AX568" s="19"/>
      <c r="AY568" s="19"/>
      <c r="AZ568" s="19"/>
      <c r="BA568" s="19"/>
      <c r="BB568" s="19"/>
      <c r="BC568" s="19"/>
      <c r="BD568" s="19"/>
      <c r="BE568" s="19"/>
      <c r="BF568" s="19"/>
      <c r="BG568" s="19"/>
      <c r="BH568" s="19"/>
      <c r="BI568" s="26"/>
      <c r="BJ568" s="26"/>
      <c r="BK568" s="26"/>
      <c r="BL568" s="26"/>
      <c r="BM568" s="26"/>
      <c r="BN568" s="26"/>
      <c r="BO568" s="26"/>
      <c r="BP568" s="26"/>
      <c r="BQ568" s="26"/>
      <c r="BR568" s="26"/>
    </row>
    <row r="569" spans="1:70" ht="15" customHeight="1" x14ac:dyDescent="0.25">
      <c r="A569" s="2"/>
      <c r="B569" s="1691" t="s">
        <v>5069</v>
      </c>
      <c r="C569" s="83"/>
      <c r="D569" s="2401">
        <f>IF(D559&lt;D475,(D567/(D559/D475))^(-1/D568),0)</f>
        <v>0</v>
      </c>
      <c r="E569" s="235"/>
      <c r="F569" s="2401">
        <f>IF(F559&lt;F475,(F567/(F559/F475))^(-1/F568),0)</f>
        <v>0</v>
      </c>
      <c r="G569" s="238"/>
      <c r="H569" s="2401">
        <f>IF(H559&lt;H475,(H567/(H559/H475))^(-1/H568),0)</f>
        <v>0</v>
      </c>
      <c r="I569" s="238"/>
      <c r="J569" s="2401">
        <f>IF(J559&lt;J475,(J567/(J559/J475))^(-1/J568),0)</f>
        <v>0</v>
      </c>
      <c r="K569" s="238"/>
      <c r="L569" s="2401">
        <f>IF(L559&lt;L475,(L567/(L559/L475))^(-1/L568),0)</f>
        <v>0</v>
      </c>
      <c r="M569" s="238"/>
      <c r="N569" s="2401">
        <f>IF(N559&lt;N475,(N567/(N559/N475))^(-1/N568),0)</f>
        <v>0</v>
      </c>
      <c r="O569" s="238"/>
      <c r="P569" s="2401">
        <f>IF(P559&lt;P475,(P567/(P559/P475))^(-1/P568),0)</f>
        <v>0</v>
      </c>
      <c r="Q569" s="238"/>
      <c r="R569" s="2401">
        <f>IF(R559&lt;R475,(R567/(R559/R475))^(-1/R568),0)</f>
        <v>0</v>
      </c>
      <c r="S569" s="238"/>
      <c r="T569" s="2401">
        <f>IF(T559&lt;T475,(T567/(T559/T475))^(-1/T568),0)</f>
        <v>0</v>
      </c>
      <c r="U569" s="238"/>
      <c r="V569" s="2401">
        <f>IF(V559&lt;V475,(V567/(V559/V475))^(-1/V568),0)</f>
        <v>0</v>
      </c>
      <c r="W569" s="238"/>
      <c r="X569" s="2401">
        <f>IF(X559&lt;X475,(X567/(X559/X475))^(-1/X568),0)</f>
        <v>0</v>
      </c>
      <c r="Y569" s="83"/>
      <c r="Z569" s="85"/>
      <c r="AA569" s="83"/>
      <c r="AB569" s="81"/>
      <c r="AC569" s="2977" t="s">
        <v>5057</v>
      </c>
      <c r="AD569" s="81"/>
      <c r="AE569" s="1230">
        <f>INDEX(LINEST($CJ$277:$CJ$282,AE562:AE567),1)+Roughness_B</f>
        <v>0</v>
      </c>
      <c r="AF569" s="81"/>
      <c r="AG569" s="1230">
        <f>INDEX(LINEST($CJ$277:$CJ$282,AG562:AG567),1)+Roughness_B</f>
        <v>0</v>
      </c>
      <c r="AH569" s="81"/>
      <c r="AI569" s="1230">
        <f>INDEX(LINEST($CJ$277:$CJ$282,AI562:AI567),1)+Roughness_B</f>
        <v>0</v>
      </c>
      <c r="AJ569" s="81"/>
      <c r="AK569" s="81"/>
      <c r="AL569" s="81"/>
      <c r="AM569" s="81"/>
      <c r="AN569" s="81"/>
      <c r="AO569" s="81"/>
      <c r="AP569" s="81"/>
      <c r="AQ569" s="85"/>
      <c r="AR569" s="81"/>
      <c r="AT569" s="19"/>
      <c r="AU569" s="19"/>
      <c r="AV569" s="19"/>
      <c r="AW569" s="19"/>
      <c r="AX569" s="19"/>
      <c r="AY569" s="19"/>
      <c r="AZ569" s="19"/>
      <c r="BA569" s="19"/>
      <c r="BB569" s="19"/>
      <c r="BC569" s="19"/>
      <c r="BD569" s="19"/>
      <c r="BE569" s="19"/>
      <c r="BF569" s="19"/>
      <c r="BG569" s="19"/>
      <c r="BH569" s="19"/>
      <c r="BI569" s="26"/>
      <c r="BJ569" s="26"/>
      <c r="BK569" s="26"/>
      <c r="BL569" s="26"/>
      <c r="BM569" s="26"/>
      <c r="BN569" s="26"/>
      <c r="BO569" s="26"/>
      <c r="BP569" s="26"/>
      <c r="BQ569" s="26"/>
      <c r="BR569" s="26"/>
    </row>
    <row r="570" spans="1:70" ht="15" customHeight="1" x14ac:dyDescent="0.25">
      <c r="A570" s="2"/>
      <c r="B570" s="1691" t="s">
        <v>5073</v>
      </c>
      <c r="C570" s="83"/>
      <c r="D570" s="2985">
        <f>IF(D569&gt;0,NBPuff_A_Night*D457/(D474*D559),0)^NBPuff_B_Night</f>
        <v>0</v>
      </c>
      <c r="E570" s="235"/>
      <c r="F570" s="2985">
        <f>IF(F569&gt;0,NBPuff_A_Night*F457/(F474*F559),0)^NBPuff_B_Night</f>
        <v>0</v>
      </c>
      <c r="G570" s="238"/>
      <c r="H570" s="2985">
        <f>IF(H569&gt;0,NBPuff_A_Night*H457/(H474*H559),0)^NBPuff_B_Night</f>
        <v>0</v>
      </c>
      <c r="I570" s="238"/>
      <c r="J570" s="2985">
        <f>IF(J569&gt;0,NBPuff_A_Night*J457/(J474*J559),0)^NBPuff_B_Night</f>
        <v>0</v>
      </c>
      <c r="K570" s="238"/>
      <c r="L570" s="2985">
        <f>IF(L569&gt;0,NBPuff_A_Night*L457/(L474*L559),0)^NBPuff_B_Night</f>
        <v>0</v>
      </c>
      <c r="M570" s="238"/>
      <c r="N570" s="2985">
        <f>IF(N569&gt;0,NBPuff_A_Night*N457/(N474*N559),0)^NBPuff_B_Night</f>
        <v>0</v>
      </c>
      <c r="O570" s="238"/>
      <c r="P570" s="2985">
        <f>IF(P569&gt;0,NBPuff_A_Night*P457/(P474*P559),0)^NBPuff_B_Night</f>
        <v>0</v>
      </c>
      <c r="Q570" s="238"/>
      <c r="R570" s="2985">
        <f>IF(R569&gt;0,NBPuff_A_Night*R457/(R474*R559),0)^NBPuff_B_Night</f>
        <v>0</v>
      </c>
      <c r="S570" s="238"/>
      <c r="T570" s="2985">
        <f>IF(T569&gt;0,NBPuff_A_Night*T457/(T474*T559),0)^NBPuff_B_Night</f>
        <v>0</v>
      </c>
      <c r="U570" s="238"/>
      <c r="V570" s="2985">
        <f>IF(V569&gt;0,NBPuff_A_Night*V457/(V474*V559),0)^NBPuff_B_Night</f>
        <v>0</v>
      </c>
      <c r="W570" s="238"/>
      <c r="X570" s="2985">
        <f>IF(X569&gt;0,NBPuff_A_Night*X457/(X474*X559),0)^NBPuff_B_Night</f>
        <v>0</v>
      </c>
      <c r="Y570" s="83"/>
      <c r="Z570" s="85"/>
      <c r="AA570" s="83"/>
      <c r="AB570" s="81"/>
      <c r="AC570" s="1691" t="s">
        <v>5068</v>
      </c>
      <c r="AD570" s="81"/>
      <c r="AE570" s="2401">
        <f>IF(AE561&lt;AE489,(AE568/(AE561/AE489))^(-1/AE569),0)</f>
        <v>0</v>
      </c>
      <c r="AF570" s="81"/>
      <c r="AG570" s="2401">
        <f>IF(AG561&lt;AG489,(AG568/(AG561/AG489))^(-1/AG569),0)</f>
        <v>0</v>
      </c>
      <c r="AH570" s="81"/>
      <c r="AI570" s="2401">
        <f>IF(AI561&lt;AI489,(AI568/(AI561/AI489))^(-1/AI569),0)</f>
        <v>0</v>
      </c>
      <c r="AJ570" s="81"/>
      <c r="AK570" s="81"/>
      <c r="AL570" s="81"/>
      <c r="AM570" s="81"/>
      <c r="AN570" s="81"/>
      <c r="AO570" s="81"/>
      <c r="AP570" s="81"/>
      <c r="AQ570" s="85"/>
      <c r="AR570" s="81"/>
      <c r="AT570" s="26"/>
      <c r="AU570" s="26"/>
      <c r="AV570" s="26"/>
      <c r="AW570" s="26"/>
      <c r="AX570" s="26"/>
      <c r="AY570" s="26"/>
      <c r="AZ570" s="26"/>
      <c r="BA570" s="26"/>
      <c r="BB570" s="26"/>
      <c r="BC570" s="26"/>
      <c r="BD570" s="26"/>
      <c r="BE570" s="26"/>
      <c r="BF570" s="26"/>
      <c r="BG570" s="26"/>
      <c r="BH570" s="26"/>
      <c r="BI570" s="26"/>
      <c r="BJ570" s="26"/>
      <c r="BK570" s="26"/>
      <c r="BL570" s="26"/>
      <c r="BM570" s="26"/>
      <c r="BN570" s="26"/>
      <c r="BO570" s="26"/>
      <c r="BP570" s="26"/>
      <c r="BQ570" s="26"/>
      <c r="BR570" s="26"/>
    </row>
    <row r="571" spans="1:70" ht="15" customHeight="1" x14ac:dyDescent="0.25">
      <c r="A571" s="2"/>
      <c r="B571" s="512" t="s">
        <v>5099</v>
      </c>
      <c r="C571" s="83"/>
      <c r="D571" s="2981">
        <f>IF(D457&gt;0,LN(IF(D569&gt;=10,D475*D567*10^D568,NBPuff_A_Night*D457/D474/(10-D569+D570)^(1/NBPuff_B_Night))),0)</f>
        <v>0</v>
      </c>
      <c r="E571" s="235"/>
      <c r="F571" s="2981">
        <f>IF(F457&gt;0,LN(IF(F569&gt;=10,F475*F567*10^F568,NBPuff_A_Night*F457/F474/(10-F569+F570)^(1/NBPuff_B_Night))),0)</f>
        <v>0</v>
      </c>
      <c r="G571" s="238"/>
      <c r="H571" s="2981">
        <f>IF(H457&gt;0,LN(IF(H569&gt;=10,H475*H567*10^H568,NBPuff_A_Night*H457/H474/(10-H569+H570)^(1/NBPuff_B_Night))),0)</f>
        <v>0</v>
      </c>
      <c r="I571" s="238"/>
      <c r="J571" s="2981">
        <f>IF(J457&gt;0,LN(IF(J569&gt;=10,J475*J567*10^J568,NBPuff_A_Night*J457/J474/(10-J569+J570)^(1/NBPuff_B_Night))),0)</f>
        <v>0</v>
      </c>
      <c r="K571" s="238"/>
      <c r="L571" s="2981">
        <f>IF(L457&gt;0,LN(IF(L569&gt;=10,L475*L567*10^L568,NBPuff_A_Night*L457/L474/(10-L569+L570)^(1/NBPuff_B_Night))),0)</f>
        <v>0</v>
      </c>
      <c r="M571" s="238"/>
      <c r="N571" s="2981">
        <f>IF(N457&gt;0,LN(IF(N569&gt;=10,N475*N567*10^N568,NBPuff_A_Night*N457/N474/(10-N569+N570)^(1/NBPuff_B_Night))),0)</f>
        <v>0</v>
      </c>
      <c r="O571" s="238"/>
      <c r="P571" s="2981">
        <f>IF(P457&gt;0,LN(IF(P569&gt;=10,P475*P567*10^P568,NBPuff_A_Night*P457/P474/(10-P569+P570)^(1/NBPuff_B_Night))),0)</f>
        <v>0</v>
      </c>
      <c r="Q571" s="238"/>
      <c r="R571" s="2981">
        <f>IF(R457&gt;0,LN(IF(R569&gt;=10,R475*R567*10^R568,NBPuff_A_Night*R457/R474/(10-R569+R570)^(1/NBPuff_B_Night))),0)</f>
        <v>0</v>
      </c>
      <c r="S571" s="238"/>
      <c r="T571" s="2981">
        <f>IF(T457&gt;0,LN(IF(T569&gt;=10,T475*T567*10^T568,NBPuff_A_Night*T457/T474/(10-T569+T570)^(1/NBPuff_B_Night))),0)</f>
        <v>0</v>
      </c>
      <c r="U571" s="238"/>
      <c r="V571" s="2981">
        <f>IF(V457&gt;0,LN(IF(V569&gt;=10,V475*V567*10^V568,NBPuff_A_Night*V457/V474/(10-V569+V570)^(1/NBPuff_B_Night))),0)</f>
        <v>0</v>
      </c>
      <c r="W571" s="238"/>
      <c r="X571" s="2981">
        <f>IF(X457&gt;0,LN(IF(X569&gt;=10,X475*X567*10^X568,NBPuff_A_Night*X457/X474/(10-X569+X570)^(1/NBPuff_B_Night))),0)</f>
        <v>0</v>
      </c>
      <c r="Y571" s="83"/>
      <c r="Z571" s="85"/>
      <c r="AA571" s="83"/>
      <c r="AB571" s="81"/>
      <c r="AC571" s="1691" t="s">
        <v>5072</v>
      </c>
      <c r="AD571" s="81"/>
      <c r="AE571" s="2985">
        <f>IF(AE570&gt;0,NBPlume_A_Night*AE478/(AE488*Wind_Night*AE561),0)^NBPlume_B_Night</f>
        <v>0</v>
      </c>
      <c r="AF571" s="81"/>
      <c r="AG571" s="2985">
        <f>IF(AG570&gt;0,NBPlume_A_Night*AG478/(AG488*Wind_Night*AG561),0)^NBPlume_B_Night</f>
        <v>0</v>
      </c>
      <c r="AH571" s="81"/>
      <c r="AI571" s="2985">
        <f>IF(AI570&gt;0,NBPlume_A_Night*AI478/(AI488*Wind_Night*AI561),0)^NBPlume_B_Night</f>
        <v>0</v>
      </c>
      <c r="AJ571" s="81"/>
      <c r="AK571" s="81"/>
      <c r="AL571" s="81"/>
      <c r="AM571" s="81"/>
      <c r="AN571" s="81"/>
      <c r="AO571" s="81"/>
      <c r="AP571" s="81"/>
      <c r="AQ571" s="85"/>
      <c r="AR571" s="81"/>
      <c r="AT571" s="26"/>
      <c r="AU571" s="26"/>
      <c r="AV571" s="26"/>
      <c r="AW571" s="26"/>
      <c r="AX571" s="26"/>
      <c r="AY571" s="26"/>
      <c r="AZ571" s="26"/>
      <c r="BA571" s="26"/>
      <c r="BB571" s="26"/>
      <c r="BC571" s="26"/>
      <c r="BD571" s="26"/>
      <c r="BE571" s="26"/>
      <c r="BF571" s="26"/>
      <c r="BG571" s="26"/>
      <c r="BH571" s="26"/>
      <c r="BI571" s="26"/>
      <c r="BJ571" s="26"/>
      <c r="BK571" s="26"/>
      <c r="BL571" s="26"/>
      <c r="BM571" s="26"/>
      <c r="BN571" s="26"/>
      <c r="BO571" s="26"/>
      <c r="BP571" s="26"/>
      <c r="BQ571" s="26"/>
      <c r="BR571" s="26"/>
    </row>
    <row r="572" spans="1:70" ht="15" customHeight="1" x14ac:dyDescent="0.25">
      <c r="A572" s="2"/>
      <c r="B572" s="512" t="s">
        <v>5100</v>
      </c>
      <c r="C572" s="83"/>
      <c r="D572" s="2981">
        <f>IF(D457&gt;0,LN(IF(D569&gt;=20,D475*D567*20^D568,NBPuff_A_Night*D457/D474/(20-D569+D570)^(1/NBPuff_B_Night))),0)</f>
        <v>0</v>
      </c>
      <c r="E572" s="235"/>
      <c r="F572" s="2981">
        <f>IF(F457&gt;0,LN(IF(F569&gt;=20,F475*F567*20^F568,NBPuff_A_Night*F457/F474/(20-F569+F570)^(1/NBPuff_B_Night))),0)</f>
        <v>0</v>
      </c>
      <c r="G572" s="238"/>
      <c r="H572" s="2981">
        <f>IF(H457&gt;0,LN(IF(H569&gt;=20,H475*H567*20^H568,NBPuff_A_Night*H457/H474/(20-H569+H570)^(1/NBPuff_B_Night))),0)</f>
        <v>0</v>
      </c>
      <c r="I572" s="238"/>
      <c r="J572" s="2981">
        <f>IF(J457&gt;0,LN(IF(J569&gt;=20,J475*J567*20^J568,NBPuff_A_Night*J457/J474/(20-J569+J570)^(1/NBPuff_B_Night))),0)</f>
        <v>0</v>
      </c>
      <c r="K572" s="238"/>
      <c r="L572" s="2981">
        <f>IF(L457&gt;0,LN(IF(L569&gt;=20,L475*L567*20^L568,NBPuff_A_Night*L457/L474/(20-L569+L570)^(1/NBPuff_B_Night))),0)</f>
        <v>0</v>
      </c>
      <c r="M572" s="238"/>
      <c r="N572" s="2981">
        <f>IF(N457&gt;0,LN(IF(N569&gt;=20,N475*N567*20^N568,NBPuff_A_Night*N457/N474/(20-N569+N570)^(1/NBPuff_B_Night))),0)</f>
        <v>0</v>
      </c>
      <c r="O572" s="238"/>
      <c r="P572" s="2981">
        <f>IF(P457&gt;0,LN(IF(P569&gt;=20,P475*P567*20^P568,NBPuff_A_Night*P457/P474/(20-P569+P570)^(1/NBPuff_B_Night))),0)</f>
        <v>0</v>
      </c>
      <c r="Q572" s="238"/>
      <c r="R572" s="2981">
        <f>IF(R457&gt;0,LN(IF(R569&gt;=20,R475*R567*20^R568,NBPuff_A_Night*R457/R474/(20-R569+R570)^(1/NBPuff_B_Night))),0)</f>
        <v>0</v>
      </c>
      <c r="S572" s="238"/>
      <c r="T572" s="2981">
        <f>IF(T457&gt;0,LN(IF(T569&gt;=20,T475*T567*20^T568,NBPuff_A_Night*T457/T474/(20-T569+T570)^(1/NBPuff_B_Night))),0)</f>
        <v>0</v>
      </c>
      <c r="U572" s="238"/>
      <c r="V572" s="2981">
        <f>IF(V457&gt;0,LN(IF(V569&gt;=20,V475*V567*20^V568,NBPuff_A_Night*V457/V474/(20-V569+V570)^(1/NBPuff_B_Night))),0)</f>
        <v>0</v>
      </c>
      <c r="W572" s="238"/>
      <c r="X572" s="2981">
        <f>IF(X457&gt;0,LN(IF(X569&gt;=20,X475*X567*20^X568,NBPuff_A_Night*X457/X474/(20-X569+X570)^(1/NBPuff_B_Night))),0)</f>
        <v>0</v>
      </c>
      <c r="Y572" s="83"/>
      <c r="Z572" s="85"/>
      <c r="AA572" s="83"/>
      <c r="AB572" s="81"/>
      <c r="AC572" s="512" t="s">
        <v>5099</v>
      </c>
      <c r="AD572" s="81"/>
      <c r="AE572" s="2981">
        <f>IF(AE478&gt;0,LN(IF(AE570&gt;=10,AE489*AE568*10^AE569,NBPlume_A_Night*AE478/(AE488*Wind_Night)/(10-AE570+AE571)^(1/NBPlume_B_Night))),0)</f>
        <v>-12.225175444616102</v>
      </c>
      <c r="AF572" s="81"/>
      <c r="AG572" s="2981">
        <f>IF(AG478&gt;0,LN(IF(AG570&gt;=10,AG489*AG568*10^AG569,NBPlume_A_Night*AG478/(AG488*Wind_Night)/(10-AG570+AG571)^(1/NBPlume_B_Night))),0)</f>
        <v>-12.225175444616102</v>
      </c>
      <c r="AH572" s="81"/>
      <c r="AI572" s="2981">
        <f>IF(AI478&gt;0,LN(IF(AI570&gt;=10,AI489*AI568*10^AI569,NBPlume_A_Night*AI478/(AI488*Wind_Night)/(10-AI570+AI571)^(1/NBPlume_B_Night))),0)</f>
        <v>-12.225175444616102</v>
      </c>
      <c r="AJ572" s="81"/>
      <c r="AK572" s="81"/>
      <c r="AL572" s="81"/>
      <c r="AM572" s="81"/>
      <c r="AN572" s="81"/>
      <c r="AO572" s="81"/>
      <c r="AP572" s="81"/>
      <c r="AQ572" s="85"/>
      <c r="AR572" s="81"/>
      <c r="AT572" s="26"/>
      <c r="AU572" s="26"/>
      <c r="AV572" s="26"/>
      <c r="AW572" s="26"/>
      <c r="AX572" s="26"/>
      <c r="AY572" s="26"/>
      <c r="AZ572" s="26"/>
      <c r="BA572" s="26"/>
      <c r="BB572" s="26"/>
      <c r="BC572" s="26"/>
      <c r="BD572" s="26"/>
      <c r="BE572" s="26"/>
      <c r="BF572" s="26"/>
      <c r="BG572" s="26"/>
      <c r="BH572" s="26"/>
      <c r="BI572" s="26"/>
      <c r="BJ572" s="26"/>
      <c r="BK572" s="26"/>
      <c r="BL572" s="26"/>
      <c r="BM572" s="26"/>
      <c r="BN572" s="26"/>
      <c r="BO572" s="26"/>
      <c r="BP572" s="26"/>
      <c r="BQ572" s="26"/>
      <c r="BR572" s="26"/>
    </row>
    <row r="573" spans="1:70" ht="15" customHeight="1" x14ac:dyDescent="0.25">
      <c r="A573" s="2"/>
      <c r="B573" s="512" t="s">
        <v>5101</v>
      </c>
      <c r="C573" s="83"/>
      <c r="D573" s="2981">
        <f>IF(D457&gt;0,LN(IF(D569&gt;=50,D475*D567*50^D568,NBPuff_A_Night*D457/D474/(50-D569+D570)^(1/NBPuff_B_Night))),0)</f>
        <v>0</v>
      </c>
      <c r="E573" s="235"/>
      <c r="F573" s="2981">
        <f>IF(F457&gt;0,LN(IF(F569&gt;=50,F475*F567*50^F568,NBPuff_A_Night*F457/F474/(50-F569+F570)^(1/NBPuff_B_Night))),0)</f>
        <v>0</v>
      </c>
      <c r="G573" s="238"/>
      <c r="H573" s="2981">
        <f>IF(H457&gt;0,LN(IF(H569&gt;=50,H475*H567*50^H568,NBPuff_A_Night*H457/H474/(50-H569+H570)^(1/NBPuff_B_Night))),0)</f>
        <v>0</v>
      </c>
      <c r="I573" s="238"/>
      <c r="J573" s="2981">
        <f>IF(J457&gt;0,LN(IF(J569&gt;=50,J475*J567*50^J568,NBPuff_A_Night*J457/J474/(50-J569+J570)^(1/NBPuff_B_Night))),0)</f>
        <v>0</v>
      </c>
      <c r="K573" s="238"/>
      <c r="L573" s="2981">
        <f>IF(L457&gt;0,LN(IF(L569&gt;=50,L475*L567*50^L568,NBPuff_A_Night*L457/L474/(50-L569+L570)^(1/NBPuff_B_Night))),0)</f>
        <v>0</v>
      </c>
      <c r="M573" s="238"/>
      <c r="N573" s="2981">
        <f>IF(N457&gt;0,LN(IF(N569&gt;=50,N475*N567*50^N568,NBPuff_A_Night*N457/N474/(50-N569+N570)^(1/NBPuff_B_Night))),0)</f>
        <v>0</v>
      </c>
      <c r="O573" s="238"/>
      <c r="P573" s="2981">
        <f>IF(P457&gt;0,LN(IF(P569&gt;=50,P475*P567*50^P568,NBPuff_A_Night*P457/P474/(50-P569+P570)^(1/NBPuff_B_Night))),0)</f>
        <v>0</v>
      </c>
      <c r="Q573" s="238"/>
      <c r="R573" s="2981">
        <f>IF(R457&gt;0,LN(IF(R569&gt;=50,R475*R567*50^R568,NBPuff_A_Night*R457/R474/(50-R569+R570)^(1/NBPuff_B_Night))),0)</f>
        <v>0</v>
      </c>
      <c r="S573" s="238"/>
      <c r="T573" s="2981">
        <f>IF(T457&gt;0,LN(IF(T569&gt;=50,T475*T567*50^T568,NBPuff_A_Night*T457/T474/(50-T569+T570)^(1/NBPuff_B_Night))),0)</f>
        <v>0</v>
      </c>
      <c r="U573" s="238"/>
      <c r="V573" s="2981">
        <f>IF(V457&gt;0,LN(IF(V569&gt;=50,V475*V567*50^V568,NBPuff_A_Night*V457/V474/(50-V569+V570)^(1/NBPuff_B_Night))),0)</f>
        <v>0</v>
      </c>
      <c r="W573" s="238"/>
      <c r="X573" s="2981">
        <f>IF(X457&gt;0,LN(IF(X569&gt;=50,X475*X567*50^X568,NBPuff_A_Night*X457/X474/(50-X569+X570)^(1/NBPuff_B_Night))),0)</f>
        <v>0</v>
      </c>
      <c r="Y573" s="83"/>
      <c r="Z573" s="85"/>
      <c r="AA573" s="83"/>
      <c r="AB573" s="81"/>
      <c r="AC573" s="512" t="s">
        <v>5100</v>
      </c>
      <c r="AD573" s="81"/>
      <c r="AE573" s="2981">
        <f>IF(AE478&gt;0,LN(IF(AE570&gt;=20,AE489*AE568*20^AE569,NBPlume_A_Night*AE478/(AE488*Wind_Night)/(20-AE570+AE571)^(1/NBPlume_B_Night))),0)</f>
        <v>-13.306485046289616</v>
      </c>
      <c r="AF573" s="81"/>
      <c r="AG573" s="2981">
        <f>IF(AG478&gt;0,LN(IF(AG570&gt;=20,AG489*AG568*20^AG569,NBPlume_A_Night*AG478/(AG488*Wind_Night)/(20-AG570+AG571)^(1/NBPlume_B_Night))),0)</f>
        <v>-13.306485046289616</v>
      </c>
      <c r="AH573" s="81"/>
      <c r="AI573" s="2981">
        <f>IF(AI478&gt;0,LN(IF(AI570&gt;=20,AI489*AI568*20^AI569,NBPlume_A_Night*AI478/(AI488*Wind_Night)/(20-AI570+AI571)^(1/NBPlume_B_Night))),0)</f>
        <v>-13.306485046289616</v>
      </c>
      <c r="AJ573" s="81"/>
      <c r="AK573" s="81"/>
      <c r="AL573" s="81"/>
      <c r="AM573" s="81"/>
      <c r="AN573" s="81"/>
      <c r="AO573" s="81"/>
      <c r="AP573" s="81"/>
      <c r="AQ573" s="85"/>
      <c r="AR573" s="81"/>
      <c r="AT573" s="26"/>
      <c r="AU573" s="26"/>
      <c r="AV573" s="26"/>
      <c r="AW573" s="26"/>
      <c r="AX573" s="26"/>
      <c r="AY573" s="26"/>
      <c r="AZ573" s="26"/>
      <c r="BA573" s="26"/>
      <c r="BB573" s="26"/>
      <c r="BC573" s="26"/>
      <c r="BD573" s="26"/>
      <c r="BE573" s="26"/>
      <c r="BF573" s="26"/>
      <c r="BG573" s="26"/>
      <c r="BH573" s="26"/>
      <c r="BI573" s="26"/>
      <c r="BJ573" s="26"/>
      <c r="BK573" s="26"/>
      <c r="BL573" s="26"/>
      <c r="BM573" s="26"/>
      <c r="BN573" s="26"/>
      <c r="BO573" s="26"/>
      <c r="BP573" s="26"/>
      <c r="BQ573" s="26"/>
      <c r="BR573" s="26"/>
    </row>
    <row r="574" spans="1:70" ht="15" customHeight="1" x14ac:dyDescent="0.25">
      <c r="A574" s="2"/>
      <c r="B574" s="512" t="s">
        <v>5102</v>
      </c>
      <c r="C574" s="83"/>
      <c r="D574" s="2981">
        <f>IF(D457&gt;0,LN(IF(D569&gt;=100,D475*D567*100^D568,NBPuff_A_Night*D457/D474/(100-D569+D570)^(1/NBPuff_B_Night))),0)</f>
        <v>0</v>
      </c>
      <c r="E574" s="235"/>
      <c r="F574" s="2981">
        <f>IF(F457&gt;0,LN(IF(F569&gt;=100,F475*F567*100^F568,NBPuff_A_Night*F457/F474/(100-F569+F570)^(1/NBPuff_B_Night))),0)</f>
        <v>0</v>
      </c>
      <c r="G574" s="238"/>
      <c r="H574" s="2981">
        <f>IF(H457&gt;0,LN(IF(H569&gt;=100,H475*H567*100^H568,NBPuff_A_Night*H457/H474/(100-H569+H570)^(1/NBPuff_B_Night))),0)</f>
        <v>0</v>
      </c>
      <c r="I574" s="238"/>
      <c r="J574" s="2981">
        <f>IF(J457&gt;0,LN(IF(J569&gt;=100,J475*J567*100^J568,NBPuff_A_Night*J457/J474/(100-J569+J570)^(1/NBPuff_B_Night))),0)</f>
        <v>0</v>
      </c>
      <c r="K574" s="238"/>
      <c r="L574" s="2981">
        <f>IF(L457&gt;0,LN(IF(L569&gt;=100,L475*L567*100^L568,NBPuff_A_Night*L457/L474/(100-L569+L570)^(1/NBPuff_B_Night))),0)</f>
        <v>0</v>
      </c>
      <c r="M574" s="238"/>
      <c r="N574" s="2981">
        <f>IF(N457&gt;0,LN(IF(N569&gt;=100,N475*N567*100^N568,NBPuff_A_Night*N457/N474/(100-N569+N570)^(1/NBPuff_B_Night))),0)</f>
        <v>0</v>
      </c>
      <c r="O574" s="238"/>
      <c r="P574" s="2981">
        <f>IF(P457&gt;0,LN(IF(P569&gt;=100,P475*P567*100^P568,NBPuff_A_Night*P457/P474/(100-P569+P570)^(1/NBPuff_B_Night))),0)</f>
        <v>0</v>
      </c>
      <c r="Q574" s="238"/>
      <c r="R574" s="2981">
        <f>IF(R457&gt;0,LN(IF(R569&gt;=100,R475*R567*100^R568,NBPuff_A_Night*R457/R474/(100-R569+R570)^(1/NBPuff_B_Night))),0)</f>
        <v>0</v>
      </c>
      <c r="S574" s="238"/>
      <c r="T574" s="2981">
        <f>IF(T457&gt;0,LN(IF(T569&gt;=100,T475*T567*100^T568,NBPuff_A_Night*T457/T474/(100-T569+T570)^(1/NBPuff_B_Night))),0)</f>
        <v>0</v>
      </c>
      <c r="U574" s="238"/>
      <c r="V574" s="2981">
        <f>IF(V457&gt;0,LN(IF(V569&gt;=100,V475*V567*100^V568,NBPuff_A_Night*V457/V474/(100-V569+V570)^(1/NBPuff_B_Night))),0)</f>
        <v>0</v>
      </c>
      <c r="W574" s="238"/>
      <c r="X574" s="2981">
        <f>IF(X457&gt;0,LN(IF(X569&gt;=100,X475*X567*100^X568,NBPuff_A_Night*X457/X474/(100-X569+X570)^(1/NBPuff_B_Night))),0)</f>
        <v>0</v>
      </c>
      <c r="Y574" s="83"/>
      <c r="Z574" s="85"/>
      <c r="AA574" s="83"/>
      <c r="AB574" s="81"/>
      <c r="AC574" s="512" t="s">
        <v>5101</v>
      </c>
      <c r="AD574" s="81"/>
      <c r="AE574" s="2981">
        <f>IF(AE478&gt;0,LN(IF(AE570&gt;=50,AE489*AE568*50^AE569,NBPlume_A_Night*AE478/(AE488*Wind_Night)/(50-AE570+AE571)^(1/NBPlume_B_Night))),0)</f>
        <v>-14.735898588013299</v>
      </c>
      <c r="AF574" s="81"/>
      <c r="AG574" s="2981">
        <f>IF(AG478&gt;0,LN(IF(AG570&gt;=50,AG489*AG568*50^AG569,NBPlume_A_Night*AG478/(AG488*Wind_Night)/(50-AG570+AG571)^(1/NBPlume_B_Night))),0)</f>
        <v>-14.735898588013299</v>
      </c>
      <c r="AH574" s="81"/>
      <c r="AI574" s="2981">
        <f>IF(AI478&gt;0,LN(IF(AI570&gt;=50,AI489*AI568*50^AI569,NBPlume_A_Night*AI478/(AI488*Wind_Night)/(50-AI570+AI571)^(1/NBPlume_B_Night))),0)</f>
        <v>-14.735898588013299</v>
      </c>
      <c r="AJ574" s="81"/>
      <c r="AK574" s="81"/>
      <c r="AL574" s="81"/>
      <c r="AM574" s="81"/>
      <c r="AN574" s="81"/>
      <c r="AO574" s="81"/>
      <c r="AP574" s="81"/>
      <c r="AQ574" s="85"/>
      <c r="AR574" s="81"/>
      <c r="AT574" s="26"/>
      <c r="AU574" s="26"/>
      <c r="AV574" s="26"/>
      <c r="AW574" s="26"/>
      <c r="AX574" s="26"/>
      <c r="AY574" s="26"/>
      <c r="AZ574" s="26"/>
      <c r="BA574" s="26"/>
      <c r="BB574" s="26"/>
      <c r="BC574" s="26"/>
      <c r="BD574" s="26"/>
      <c r="BE574" s="26"/>
      <c r="BF574" s="26"/>
      <c r="BG574" s="26"/>
      <c r="BH574" s="26"/>
      <c r="BI574" s="26"/>
      <c r="BJ574" s="26"/>
      <c r="BK574" s="26"/>
      <c r="BL574" s="26"/>
      <c r="BM574" s="26"/>
      <c r="BN574" s="26"/>
      <c r="BO574" s="26"/>
      <c r="BP574" s="26"/>
      <c r="BQ574" s="26"/>
      <c r="BR574" s="26"/>
    </row>
    <row r="575" spans="1:70" ht="15" customHeight="1" x14ac:dyDescent="0.25">
      <c r="A575" s="2"/>
      <c r="B575" s="512" t="s">
        <v>5103</v>
      </c>
      <c r="C575" s="83"/>
      <c r="D575" s="2981">
        <f>IF(D457&gt;0,LN(IF(D569&gt;=200,D475*D567*200^D568,NBPuff_A_Night*D457/D474/(200-D569+D570)^(1/NBPuff_B_Night))),0)</f>
        <v>0</v>
      </c>
      <c r="E575" s="235"/>
      <c r="F575" s="2981">
        <f>IF(F457&gt;0,LN(IF(F569&gt;=200,F475*F567*200^F568,NBPuff_A_Night*F457/F474/(200-F569+F570)^(1/NBPuff_B_Night))),0)</f>
        <v>0</v>
      </c>
      <c r="G575" s="238"/>
      <c r="H575" s="2981">
        <f>IF(H457&gt;0,LN(IF(H569&gt;=200,H475*H567*200^H568,NBPuff_A_Night*H457/H474/(200-H569+H570)^(1/NBPuff_B_Night))),0)</f>
        <v>0</v>
      </c>
      <c r="I575" s="238"/>
      <c r="J575" s="2981">
        <f>IF(J457&gt;0,LN(IF(J569&gt;=200,J475*J567*200^J568,NBPuff_A_Night*J457/J474/(200-J569+J570)^(1/NBPuff_B_Night))),0)</f>
        <v>0</v>
      </c>
      <c r="K575" s="238"/>
      <c r="L575" s="2981">
        <f>IF(L457&gt;0,LN(IF(L569&gt;=200,L475*L567*200^L568,NBPuff_A_Night*L457/L474/(200-L569+L570)^(1/NBPuff_B_Night))),0)</f>
        <v>0</v>
      </c>
      <c r="M575" s="238"/>
      <c r="N575" s="2981">
        <f>IF(N457&gt;0,LN(IF(N569&gt;=200,N475*N567*200^N568,NBPuff_A_Night*N457/N474/(200-N569+N570)^(1/NBPuff_B_Night))),0)</f>
        <v>0</v>
      </c>
      <c r="O575" s="238"/>
      <c r="P575" s="2981">
        <f>IF(P457&gt;0,LN(IF(P569&gt;=200,P475*P567*200^P568,NBPuff_A_Night*P457/P474/(200-P569+P570)^(1/NBPuff_B_Night))),0)</f>
        <v>0</v>
      </c>
      <c r="Q575" s="238"/>
      <c r="R575" s="2981">
        <f>IF(R457&gt;0,LN(IF(R569&gt;=200,R475*R567*200^R568,NBPuff_A_Night*R457/R474/(200-R569+R570)^(1/NBPuff_B_Night))),0)</f>
        <v>0</v>
      </c>
      <c r="S575" s="238"/>
      <c r="T575" s="2981">
        <f>IF(T457&gt;0,LN(IF(T569&gt;=200,T475*T567*200^T568,NBPuff_A_Night*T457/T474/(200-T569+T570)^(1/NBPuff_B_Night))),0)</f>
        <v>0</v>
      </c>
      <c r="U575" s="238"/>
      <c r="V575" s="2981">
        <f>IF(V457&gt;0,LN(IF(V569&gt;=200,V475*V567*200^V568,NBPuff_A_Night*V457/V474/(200-V569+V570)^(1/NBPuff_B_Night))),0)</f>
        <v>0</v>
      </c>
      <c r="W575" s="238"/>
      <c r="X575" s="2981">
        <f>IF(X457&gt;0,LN(IF(X569&gt;=200,X475*X567*200^X568,NBPuff_A_Night*X457/X474/(200-X569+X570)^(1/NBPuff_B_Night))),0)</f>
        <v>0</v>
      </c>
      <c r="Y575" s="83"/>
      <c r="Z575" s="85"/>
      <c r="AA575" s="83"/>
      <c r="AB575" s="81"/>
      <c r="AC575" s="512" t="s">
        <v>5102</v>
      </c>
      <c r="AD575" s="81"/>
      <c r="AE575" s="2981">
        <f>IF(AE478&gt;0,LN(IF(AE570&gt;=100,AE489*AE568*100^AE569,NBPlume_A_Night*AE478/(AE488*Wind_Night)/(100-AE570+AE571)^(1/NBPlume_B_Night))),0)</f>
        <v>-15.817208189686815</v>
      </c>
      <c r="AF575" s="81"/>
      <c r="AG575" s="2981">
        <f>IF(AG478&gt;0,LN(IF(AG570&gt;=100,AG489*AG568*100^AG569,NBPlume_A_Night*AG478/(AG488*Wind_Night)/(100-AG570+AG571)^(1/NBPlume_B_Night))),0)</f>
        <v>-15.817208189686815</v>
      </c>
      <c r="AH575" s="81"/>
      <c r="AI575" s="2981">
        <f>IF(AI478&gt;0,LN(IF(AI570&gt;=100,AI489*AI568*100^AI569,NBPlume_A_Night*AI478/(AI488*Wind_Night)/(100-AI570+AI571)^(1/NBPlume_B_Night))),0)</f>
        <v>-15.817208189686815</v>
      </c>
      <c r="AJ575" s="81"/>
      <c r="AK575" s="81"/>
      <c r="AL575" s="81"/>
      <c r="AM575" s="81"/>
      <c r="AN575" s="81"/>
      <c r="AO575" s="81"/>
      <c r="AP575" s="81"/>
      <c r="AQ575" s="85"/>
      <c r="AR575" s="81"/>
      <c r="AT575" s="26"/>
      <c r="AU575" s="26"/>
      <c r="AV575" s="26"/>
      <c r="AW575" s="26"/>
      <c r="AX575" s="26"/>
      <c r="AY575" s="26"/>
      <c r="AZ575" s="26"/>
      <c r="BA575" s="26"/>
      <c r="BB575" s="26"/>
      <c r="BC575" s="26"/>
      <c r="BD575" s="26"/>
      <c r="BE575" s="26"/>
      <c r="BF575" s="26"/>
      <c r="BG575" s="26"/>
      <c r="BH575" s="26"/>
      <c r="BI575" s="26"/>
      <c r="BJ575" s="26"/>
      <c r="BK575" s="26"/>
      <c r="BL575" s="26"/>
      <c r="BM575" s="26"/>
      <c r="BN575" s="26"/>
      <c r="BO575" s="26"/>
      <c r="BP575" s="26"/>
      <c r="BQ575" s="26"/>
      <c r="BR575" s="26"/>
    </row>
    <row r="576" spans="1:70" ht="15" customHeight="1" x14ac:dyDescent="0.25">
      <c r="A576" s="2"/>
      <c r="B576" s="512" t="s">
        <v>5104</v>
      </c>
      <c r="C576" s="83"/>
      <c r="D576" s="2981">
        <f>IF(D457&gt;0,LN(IF(D569&gt;=500,D475*D567*500^D568,NBPuff_A_Night*D457/D474/(500-D569+D570)^(1/NBPuff_B_Night))),0)</f>
        <v>0</v>
      </c>
      <c r="E576" s="235"/>
      <c r="F576" s="2981">
        <f>IF(F457&gt;0,LN(IF(F569&gt;=500,F475*F567*500^F568,NBPuff_A_Night*F457/F474/(500-F569+F570)^(1/NBPuff_B_Night))),0)</f>
        <v>0</v>
      </c>
      <c r="G576" s="238"/>
      <c r="H576" s="2981">
        <f>IF(H457&gt;0,LN(IF(H569&gt;=500,H475*H567*500^H568,NBPuff_A_Night*H457/H474/(500-H569+H570)^(1/NBPuff_B_Night))),0)</f>
        <v>0</v>
      </c>
      <c r="I576" s="238"/>
      <c r="J576" s="2981">
        <f>IF(J457&gt;0,LN(IF(J569&gt;=500,J475*J567*500^J568,NBPuff_A_Night*J457/J474/(500-J569+J570)^(1/NBPuff_B_Night))),0)</f>
        <v>0</v>
      </c>
      <c r="K576" s="238"/>
      <c r="L576" s="2981">
        <f>IF(L457&gt;0,LN(IF(L569&gt;=500,L475*L567*500^L568,NBPuff_A_Night*L457/L474/(500-L569+L570)^(1/NBPuff_B_Night))),0)</f>
        <v>0</v>
      </c>
      <c r="M576" s="238"/>
      <c r="N576" s="2981">
        <f>IF(N457&gt;0,LN(IF(N569&gt;=500,N475*N567*500^N568,NBPuff_A_Night*N457/N474/(500-N569+N570)^(1/NBPuff_B_Night))),0)</f>
        <v>0</v>
      </c>
      <c r="O576" s="238"/>
      <c r="P576" s="2981">
        <f>IF(P457&gt;0,LN(IF(P569&gt;=500,P475*P567*500^P568,NBPuff_A_Night*P457/P474/(500-P569+P570)^(1/NBPuff_B_Night))),0)</f>
        <v>0</v>
      </c>
      <c r="Q576" s="238"/>
      <c r="R576" s="2981">
        <f>IF(R457&gt;0,LN(IF(R569&gt;=500,R475*R567*500^R568,NBPuff_A_Night*R457/R474/(500-R569+R570)^(1/NBPuff_B_Night))),0)</f>
        <v>0</v>
      </c>
      <c r="S576" s="238"/>
      <c r="T576" s="2981">
        <f>IF(T457&gt;0,LN(IF(T569&gt;=500,T475*T567*500^T568,NBPuff_A_Night*T457/T474/(500-T569+T570)^(1/NBPuff_B_Night))),0)</f>
        <v>0</v>
      </c>
      <c r="U576" s="238"/>
      <c r="V576" s="2981">
        <f>IF(V457&gt;0,LN(IF(V569&gt;=500,V475*V567*500^V568,NBPuff_A_Night*V457/V474/(500-V569+V570)^(1/NBPuff_B_Night))),0)</f>
        <v>0</v>
      </c>
      <c r="W576" s="238"/>
      <c r="X576" s="2981">
        <f>IF(X457&gt;0,LN(IF(X569&gt;=500,X475*X567*500^X568,NBPuff_A_Night*X457/X474/(500-X569+X570)^(1/NBPuff_B_Night))),0)</f>
        <v>0</v>
      </c>
      <c r="Y576" s="83"/>
      <c r="Z576" s="85"/>
      <c r="AA576" s="83"/>
      <c r="AB576" s="81"/>
      <c r="AC576" s="512" t="s">
        <v>5103</v>
      </c>
      <c r="AD576" s="81"/>
      <c r="AE576" s="2981">
        <f>IF(AE478&gt;0,LN(IF(AE570&gt;=200,AE489*AE568*200^AE569,NBPlume_A_Night*AE478/(AE488*Wind_Night)/(200-AE570+AE571)^(1/NBPlume_B_Night))),0)</f>
        <v>-16.898517791360327</v>
      </c>
      <c r="AF576" s="81"/>
      <c r="AG576" s="2981">
        <f>IF(AG478&gt;0,LN(IF(AG570&gt;=200,AG489*AG568*200^AG569,NBPlume_A_Night*AG478/(AG488*Wind_Night)/(200-AG570+AG571)^(1/NBPlume_B_Night))),0)</f>
        <v>-16.898517791360327</v>
      </c>
      <c r="AH576" s="81"/>
      <c r="AI576" s="2981">
        <f>IF(AI478&gt;0,LN(IF(AI570&gt;=200,AI489*AI568*200^AI569,NBPlume_A_Night*AI478/(AI488*Wind_Night)/(200-AI570+AI571)^(1/NBPlume_B_Night))),0)</f>
        <v>-16.898517791360327</v>
      </c>
      <c r="AJ576" s="81"/>
      <c r="AK576" s="81"/>
      <c r="AL576" s="81"/>
      <c r="AM576" s="81"/>
      <c r="AN576" s="81"/>
      <c r="AO576" s="81"/>
      <c r="AP576" s="81"/>
      <c r="AQ576" s="85"/>
      <c r="AR576" s="81"/>
      <c r="AT576" s="26"/>
      <c r="AU576" s="26"/>
      <c r="AV576" s="26"/>
      <c r="AW576" s="26"/>
      <c r="AX576" s="26"/>
      <c r="AY576" s="26"/>
      <c r="AZ576" s="26"/>
      <c r="BA576" s="26"/>
      <c r="BB576" s="26"/>
      <c r="BC576" s="26"/>
      <c r="BD576" s="26"/>
      <c r="BE576" s="26"/>
      <c r="BF576" s="26"/>
      <c r="BG576" s="26"/>
      <c r="BH576" s="26"/>
      <c r="BI576" s="26"/>
      <c r="BJ576" s="26"/>
      <c r="BK576" s="26"/>
      <c r="BL576" s="26"/>
      <c r="BM576" s="26"/>
      <c r="BN576" s="26"/>
      <c r="BO576" s="26"/>
      <c r="BP576" s="26"/>
      <c r="BQ576" s="26"/>
      <c r="BR576" s="26"/>
    </row>
    <row r="577" spans="1:70" ht="15" customHeight="1" x14ac:dyDescent="0.25">
      <c r="A577" s="2"/>
      <c r="B577" s="512" t="s">
        <v>5105</v>
      </c>
      <c r="C577" s="83"/>
      <c r="D577" s="2981">
        <f>IF(D457&gt;0,LN(IF(D569&gt;=1000,D475*D567*1000^D568,NBPuff_A_Night*D457/D474/(1000-D569+D570)^(1/NBPuff_B_Night))),0)</f>
        <v>0</v>
      </c>
      <c r="E577" s="235"/>
      <c r="F577" s="2981">
        <f>IF(F457&gt;0,LN(IF(F569&gt;=1000,F475*F567*1000^F568,NBPuff_A_Night*F457/F474/(1000-F569+F570)^(1/NBPuff_B_Night))),0)</f>
        <v>0</v>
      </c>
      <c r="G577" s="238"/>
      <c r="H577" s="2981">
        <f>IF(H457&gt;0,LN(IF(H569&gt;=1000,H475*H567*1000^H568,NBPuff_A_Night*H457/H474/(1000-H569+H570)^(1/NBPuff_B_Night))),0)</f>
        <v>0</v>
      </c>
      <c r="I577" s="238"/>
      <c r="J577" s="2981">
        <f>IF(J457&gt;0,LN(IF(J569&gt;=1000,J475*J567*1000^J568,NBPuff_A_Night*J457/J474/(1000-J569+J570)^(1/NBPuff_B_Night))),0)</f>
        <v>0</v>
      </c>
      <c r="K577" s="238"/>
      <c r="L577" s="2981">
        <f>IF(L457&gt;0,LN(IF(L569&gt;=1000,L475*L567*1000^L568,NBPuff_A_Night*L457/L474/(1000-L569+L570)^(1/NBPuff_B_Night))),0)</f>
        <v>0</v>
      </c>
      <c r="M577" s="238"/>
      <c r="N577" s="2981">
        <f>IF(N457&gt;0,LN(IF(N569&gt;=1000,N475*N567*1000^N568,NBPuff_A_Night*N457/N474/(1000-N569+N570)^(1/NBPuff_B_Night))),0)</f>
        <v>0</v>
      </c>
      <c r="O577" s="238"/>
      <c r="P577" s="2981">
        <f>IF(P457&gt;0,LN(IF(P569&gt;=1000,P475*P567*1000^P568,NBPuff_A_Night*P457/P474/(1000-P569+P570)^(1/NBPuff_B_Night))),0)</f>
        <v>0</v>
      </c>
      <c r="Q577" s="238"/>
      <c r="R577" s="2981">
        <f>IF(R457&gt;0,LN(IF(R569&gt;=1000,R475*R567*1000^R568,NBPuff_A_Night*R457/R474/(1000-R569+R570)^(1/NBPuff_B_Night))),0)</f>
        <v>0</v>
      </c>
      <c r="S577" s="238"/>
      <c r="T577" s="2981">
        <f>IF(T457&gt;0,LN(IF(T569&gt;=1000,T475*T567*1000^T568,NBPuff_A_Night*T457/T474/(1000-T569+T570)^(1/NBPuff_B_Night))),0)</f>
        <v>0</v>
      </c>
      <c r="U577" s="238"/>
      <c r="V577" s="2981">
        <f>IF(V457&gt;0,LN(IF(V569&gt;=1000,V475*V567*1000^V568,NBPuff_A_Night*V457/V474/(1000-V569+V570)^(1/NBPuff_B_Night))),0)</f>
        <v>0</v>
      </c>
      <c r="W577" s="238"/>
      <c r="X577" s="2981">
        <f>IF(X457&gt;0,LN(IF(X569&gt;=1000,X475*X567*1000^X568,NBPuff_A_Night*X457/X474/(1000-X569+X570)^(1/NBPuff_B_Night))),0)</f>
        <v>0</v>
      </c>
      <c r="Y577" s="83"/>
      <c r="Z577" s="85"/>
      <c r="AA577" s="83"/>
      <c r="AB577" s="81"/>
      <c r="AC577" s="512" t="s">
        <v>5104</v>
      </c>
      <c r="AD577" s="81"/>
      <c r="AE577" s="2981">
        <f>IF(AE478&gt;0,LN(IF(AE570&gt;=500,AE489*AE568*500^AE569,NBPlume_A_Night*AE478/(AE488*Wind_Night)/(500-AE570+AE571)^(1/NBPlume_B_Night))),0)</f>
        <v>-18.32793133308401</v>
      </c>
      <c r="AF577" s="81"/>
      <c r="AG577" s="2981">
        <f>IF(AG478&gt;0,LN(IF(AG570&gt;=500,AG489*AG568*500^AG569,NBPlume_A_Night*AG478/(AG488*Wind_Night)/(500-AG570+AG571)^(1/NBPlume_B_Night))),0)</f>
        <v>-18.32793133308401</v>
      </c>
      <c r="AH577" s="81"/>
      <c r="AI577" s="2981">
        <f>IF(AI478&gt;0,LN(IF(AI570&gt;=500,AI489*AI568*500^AI569,NBPlume_A_Night*AI478/(AI488*Wind_Night)/(500-AI570+AI571)^(1/NBPlume_B_Night))),0)</f>
        <v>-18.32793133308401</v>
      </c>
      <c r="AJ577" s="81"/>
      <c r="AK577" s="81"/>
      <c r="AL577" s="81"/>
      <c r="AM577" s="81"/>
      <c r="AN577" s="81"/>
      <c r="AO577" s="81"/>
      <c r="AP577" s="81"/>
      <c r="AQ577" s="85"/>
      <c r="AR577" s="81"/>
      <c r="AT577" s="26"/>
      <c r="AU577" s="26"/>
      <c r="AV577" s="26"/>
      <c r="AW577" s="26"/>
      <c r="AX577" s="26"/>
      <c r="AY577" s="26"/>
      <c r="AZ577" s="26"/>
      <c r="BA577" s="26"/>
      <c r="BB577" s="26"/>
      <c r="BC577" s="26"/>
      <c r="BD577" s="26"/>
      <c r="BE577" s="26"/>
      <c r="BF577" s="26"/>
      <c r="BG577" s="26"/>
      <c r="BH577" s="26"/>
      <c r="BI577" s="26"/>
      <c r="BJ577" s="26"/>
      <c r="BK577" s="26"/>
      <c r="BL577" s="26"/>
      <c r="BM577" s="26"/>
      <c r="BN577" s="26"/>
      <c r="BO577" s="26"/>
      <c r="BP577" s="26"/>
      <c r="BQ577" s="26"/>
      <c r="BR577" s="26"/>
    </row>
    <row r="578" spans="1:70" ht="15" customHeight="1" x14ac:dyDescent="0.25">
      <c r="A578" s="2"/>
      <c r="B578" s="512" t="s">
        <v>5106</v>
      </c>
      <c r="C578" s="83"/>
      <c r="D578" s="2981">
        <f>IF(D457&gt;0,LN(IF(D569&gt;=2000,D475*D567*2000^D568,NBPuff_A_Night*D457/D474/(2000-D569+D570)^(1/NBPuff_B_Night))),0)</f>
        <v>0</v>
      </c>
      <c r="E578" s="235"/>
      <c r="F578" s="2981">
        <f>IF(F457&gt;0,LN(IF(F569&gt;=2000,F475*F567*2000^F568,NBPuff_A_Night*F457/F474/(2000-F569+F570)^(1/NBPuff_B_Night))),0)</f>
        <v>0</v>
      </c>
      <c r="G578" s="238"/>
      <c r="H578" s="2981">
        <f>IF(H457&gt;0,LN(IF(H569&gt;=2000,H475*H567*2000^H568,NBPuff_A_Night*H457/H474/(2000-H569+H570)^(1/NBPuff_B_Night))),0)</f>
        <v>0</v>
      </c>
      <c r="I578" s="238"/>
      <c r="J578" s="2981">
        <f>IF(J457&gt;0,LN(IF(J569&gt;=2000,J475*J567*2000^J568,NBPuff_A_Night*J457/J474/(2000-J569+J570)^(1/NBPuff_B_Night))),0)</f>
        <v>0</v>
      </c>
      <c r="K578" s="238"/>
      <c r="L578" s="2981">
        <f>IF(L457&gt;0,LN(IF(L569&gt;=2000,L475*L567*2000^L568,NBPuff_A_Night*L457/L474/(2000-L569+L570)^(1/NBPuff_B_Night))),0)</f>
        <v>0</v>
      </c>
      <c r="M578" s="238"/>
      <c r="N578" s="2981">
        <f>IF(N457&gt;0,LN(IF(N569&gt;=2000,N475*N567*2000^N568,NBPuff_A_Night*N457/N474/(2000-N569+N570)^(1/NBPuff_B_Night))),0)</f>
        <v>0</v>
      </c>
      <c r="O578" s="238"/>
      <c r="P578" s="2981">
        <f>IF(P457&gt;0,LN(IF(P569&gt;=2000,P475*P567*2000^P568,NBPuff_A_Night*P457/P474/(2000-P569+P570)^(1/NBPuff_B_Night))),0)</f>
        <v>0</v>
      </c>
      <c r="Q578" s="238"/>
      <c r="R578" s="2981">
        <f>IF(R457&gt;0,LN(IF(R569&gt;=2000,R475*R567*2000^R568,NBPuff_A_Night*R457/R474/(2000-R569+R570)^(1/NBPuff_B_Night))),0)</f>
        <v>0</v>
      </c>
      <c r="S578" s="238"/>
      <c r="T578" s="2981">
        <f>IF(T457&gt;0,LN(IF(T569&gt;=2000,T475*T567*2000^T568,NBPuff_A_Night*T457/T474/(2000-T569+T570)^(1/NBPuff_B_Night))),0)</f>
        <v>0</v>
      </c>
      <c r="U578" s="238"/>
      <c r="V578" s="2981">
        <f>IF(V457&gt;0,LN(IF(V569&gt;=2000,V475*V567*2000^V568,NBPuff_A_Night*V457/V474/(2000-V569+V570)^(1/NBPuff_B_Night))),0)</f>
        <v>0</v>
      </c>
      <c r="W578" s="238"/>
      <c r="X578" s="2981">
        <f>IF(X457&gt;0,LN(IF(X569&gt;=2000,X475*X567*2000^X568,NBPuff_A_Night*X457/X474/(2000-X569+X570)^(1/NBPuff_B_Night))),0)</f>
        <v>0</v>
      </c>
      <c r="Y578" s="83"/>
      <c r="Z578" s="85"/>
      <c r="AA578" s="83"/>
      <c r="AB578" s="81"/>
      <c r="AC578" s="512" t="s">
        <v>5105</v>
      </c>
      <c r="AD578" s="81"/>
      <c r="AE578" s="2981">
        <f>IF(AE478&gt;0,LN(IF(AE570&gt;=1000,AE489*AE568*1000^AE569,NBPlume_A_Night*AE478/(AE488*Wind_Night)/(1000-AE570+AE571)^(1/NBPlume_B_Night))),0)</f>
        <v>-19.409240934757523</v>
      </c>
      <c r="AF578" s="81"/>
      <c r="AG578" s="2981">
        <f>IF(AG478&gt;0,LN(IF(AG570&gt;=1000,AG489*AG568*1000^AG569,NBPlume_A_Night*AG478/(AG488*Wind_Night)/(1000-AG570+AG571)^(1/NBPlume_B_Night))),0)</f>
        <v>-19.409240934757523</v>
      </c>
      <c r="AH578" s="81"/>
      <c r="AI578" s="2981">
        <f>IF(AI478&gt;0,LN(IF(AI570&gt;=1000,AI489*AI568*1000^AI569,NBPlume_A_Night*AI478/(AI488*Wind_Night)/(1000-AI570+AI571)^(1/NBPlume_B_Night))),0)</f>
        <v>-19.409240934757523</v>
      </c>
      <c r="AJ578" s="81"/>
      <c r="AK578" s="81"/>
      <c r="AL578" s="81"/>
      <c r="AM578" s="81"/>
      <c r="AN578" s="81"/>
      <c r="AO578" s="81"/>
      <c r="AP578" s="81"/>
      <c r="AQ578" s="85"/>
      <c r="AR578" s="81"/>
      <c r="AT578" s="26"/>
      <c r="AU578" s="26"/>
      <c r="AV578" s="26"/>
      <c r="AW578" s="26"/>
      <c r="AX578" s="26"/>
      <c r="AY578" s="26"/>
      <c r="AZ578" s="26"/>
      <c r="BA578" s="26"/>
      <c r="BB578" s="26"/>
      <c r="BC578" s="26"/>
      <c r="BD578" s="26"/>
      <c r="BE578" s="26"/>
      <c r="BF578" s="26"/>
      <c r="BG578" s="26"/>
      <c r="BH578" s="26"/>
      <c r="BI578" s="26"/>
      <c r="BJ578" s="26"/>
      <c r="BK578" s="26"/>
      <c r="BL578" s="26"/>
      <c r="BM578" s="26"/>
      <c r="BN578" s="26"/>
      <c r="BO578" s="26"/>
      <c r="BP578" s="26"/>
      <c r="BQ578" s="26"/>
      <c r="BR578" s="26"/>
    </row>
    <row r="579" spans="1:70" ht="15" customHeight="1" x14ac:dyDescent="0.25">
      <c r="A579" s="2"/>
      <c r="B579" s="512" t="s">
        <v>5107</v>
      </c>
      <c r="C579" s="83"/>
      <c r="D579" s="2981">
        <f>IF(D457&gt;0,LN(IF(D569&gt;=5000,D475*D567*5000^D568,NBPuff_A_Night*D457/D474/(5000-D569+D570)^(1/NBPuff_B_Night))),0)</f>
        <v>0</v>
      </c>
      <c r="E579" s="235"/>
      <c r="F579" s="2981">
        <f>IF(F457&gt;0,LN(IF(F569&gt;=5000,F475*F567*5000^F568,NBPuff_A_Night*F457/F474/(5000-F569+F570)^(1/NBPuff_B_Night))),0)</f>
        <v>0</v>
      </c>
      <c r="G579" s="238"/>
      <c r="H579" s="2981">
        <f>IF(H457&gt;0,LN(IF(H569&gt;=5000,H475*H567*5000^H568,NBPuff_A_Night*H457/H474/(5000-H569+H570)^(1/NBPuff_B_Night))),0)</f>
        <v>0</v>
      </c>
      <c r="I579" s="238"/>
      <c r="J579" s="2981">
        <f>IF(J457&gt;0,LN(IF(J569&gt;=5000,J475*J567*5000^J568,NBPuff_A_Night*J457/J474/(5000-J569+J570)^(1/NBPuff_B_Night))),0)</f>
        <v>0</v>
      </c>
      <c r="K579" s="238"/>
      <c r="L579" s="2981">
        <f>IF(L457&gt;0,LN(IF(L569&gt;=5000,L475*L567*5000^L568,NBPuff_A_Night*L457/L474/(5000-L569+L570)^(1/NBPuff_B_Night))),0)</f>
        <v>0</v>
      </c>
      <c r="M579" s="238"/>
      <c r="N579" s="2981">
        <f>IF(N457&gt;0,LN(IF(N569&gt;=5000,N475*N567*5000^N568,NBPuff_A_Night*N457/N474/(5000-N569+N570)^(1/NBPuff_B_Night))),0)</f>
        <v>0</v>
      </c>
      <c r="O579" s="238"/>
      <c r="P579" s="2981">
        <f>IF(P457&gt;0,LN(IF(P569&gt;=5000,P475*P567*5000^P568,NBPuff_A_Night*P457/P474/(5000-P569+P570)^(1/NBPuff_B_Night))),0)</f>
        <v>0</v>
      </c>
      <c r="Q579" s="238"/>
      <c r="R579" s="2981">
        <f>IF(R457&gt;0,LN(IF(R569&gt;=5000,R475*R567*5000^R568,NBPuff_A_Night*R457/R474/(5000-R569+R570)^(1/NBPuff_B_Night))),0)</f>
        <v>0</v>
      </c>
      <c r="S579" s="238"/>
      <c r="T579" s="2981">
        <f>IF(T457&gt;0,LN(IF(T569&gt;=5000,T475*T567*5000^T568,NBPuff_A_Night*T457/T474/(5000-T569+T570)^(1/NBPuff_B_Night))),0)</f>
        <v>0</v>
      </c>
      <c r="U579" s="238"/>
      <c r="V579" s="2981">
        <f>IF(V457&gt;0,LN(IF(V569&gt;=5000,V475*V567*5000^V568,NBPuff_A_Night*V457/V474/(5000-V569+V570)^(1/NBPuff_B_Night))),0)</f>
        <v>0</v>
      </c>
      <c r="W579" s="238"/>
      <c r="X579" s="2981">
        <f>IF(X457&gt;0,LN(IF(X569&gt;=5000,X475*X567*5000^X568,NBPuff_A_Night*X457/X474/(5000-X569+X570)^(1/NBPuff_B_Night))),0)</f>
        <v>0</v>
      </c>
      <c r="Y579" s="83"/>
      <c r="Z579" s="85"/>
      <c r="AA579" s="83"/>
      <c r="AB579" s="81"/>
      <c r="AC579" s="512" t="s">
        <v>5106</v>
      </c>
      <c r="AD579" s="81"/>
      <c r="AE579" s="2981">
        <f>IF(AE478&gt;0,LN(IF(AE570&gt;=2000,AE489*AE568*2000^AE569,NBPlume_A_Night*AE478/(AE488*Wind_Night)/(2000-AE570+AE571)^(1/NBPlume_B_Night))),0)</f>
        <v>-20.490550536431041</v>
      </c>
      <c r="AF579" s="81"/>
      <c r="AG579" s="2981">
        <f>IF(AG478&gt;0,LN(IF(AG570&gt;=2000,AG489*AG568*2000^AG569,NBPlume_A_Night*AG478/(AG488*Wind_Night)/(2000-AG570+AG571)^(1/NBPlume_B_Night))),0)</f>
        <v>-20.490550536431041</v>
      </c>
      <c r="AH579" s="81"/>
      <c r="AI579" s="2981">
        <f>IF(AI478&gt;0,LN(IF(AI570&gt;=2000,AI489*AI568*2000^AI569,NBPlume_A_Night*AI478/(AI488*Wind_Night)/(2000-AI570+AI571)^(1/NBPlume_B_Night))),0)</f>
        <v>-20.490550536431041</v>
      </c>
      <c r="AJ579" s="81"/>
      <c r="AK579" s="81"/>
      <c r="AL579" s="81"/>
      <c r="AM579" s="81"/>
      <c r="AN579" s="81"/>
      <c r="AO579" s="81"/>
      <c r="AP579" s="81"/>
      <c r="AQ579" s="85"/>
      <c r="AR579" s="81"/>
      <c r="AT579" s="26"/>
      <c r="AU579" s="26"/>
      <c r="AV579" s="26"/>
      <c r="AW579" s="26"/>
      <c r="AX579" s="26"/>
      <c r="AY579" s="26"/>
      <c r="AZ579" s="26"/>
      <c r="BA579" s="26"/>
      <c r="BB579" s="26"/>
      <c r="BC579" s="26"/>
      <c r="BD579" s="26"/>
      <c r="BE579" s="26"/>
      <c r="BF579" s="26"/>
      <c r="BG579" s="26"/>
      <c r="BH579" s="26"/>
      <c r="BI579" s="26"/>
      <c r="BJ579" s="26"/>
      <c r="BK579" s="26"/>
      <c r="BL579" s="26"/>
      <c r="BM579" s="26"/>
      <c r="BN579" s="26"/>
      <c r="BO579" s="26"/>
      <c r="BP579" s="26"/>
      <c r="BQ579" s="26"/>
      <c r="BR579" s="26"/>
    </row>
    <row r="580" spans="1:70" ht="15" customHeight="1" thickBot="1" x14ac:dyDescent="0.3">
      <c r="A580" s="2"/>
      <c r="B580" s="512" t="s">
        <v>5108</v>
      </c>
      <c r="C580" s="83"/>
      <c r="D580" s="3001">
        <f>IF(D457&gt;0,LN(IF(D569&gt;=10000,D475*D567*10000^D568,NBPuff_A_Night*D457/D474/(10000-D569+D570)^(1/NBPuff_B_Night))),0)</f>
        <v>0</v>
      </c>
      <c r="E580" s="235"/>
      <c r="F580" s="3001">
        <f>IF(F457&gt;0,LN(IF(F569&gt;=10000,F475*F567*10000^F568,NBPuff_A_Night*F457/F474/(10000-F569+F570)^(1/NBPuff_B_Night))),0)</f>
        <v>0</v>
      </c>
      <c r="G580" s="238"/>
      <c r="H580" s="3001">
        <f>IF(H457&gt;0,LN(IF(H569&gt;=10000,H475*H567*10000^H568,NBPuff_A_Night*H457/H474/(10000-H569+H570)^(1/NBPuff_B_Night))),0)</f>
        <v>0</v>
      </c>
      <c r="I580" s="238"/>
      <c r="J580" s="3001">
        <f>IF(J457&gt;0,LN(IF(J569&gt;=10000,J475*J567*10000^J568,NBPuff_A_Night*J457/J474/(10000-J569+J570)^(1/NBPuff_B_Night))),0)</f>
        <v>0</v>
      </c>
      <c r="K580" s="238"/>
      <c r="L580" s="3001">
        <f>IF(L457&gt;0,LN(IF(L569&gt;=10000,L475*L567*10000^L568,NBPuff_A_Night*L457/L474/(10000-L569+L570)^(1/NBPuff_B_Night))),0)</f>
        <v>0</v>
      </c>
      <c r="M580" s="238"/>
      <c r="N580" s="3001">
        <f>IF(N457&gt;0,LN(IF(N569&gt;=10000,N475*N567*10000^N568,NBPuff_A_Night*N457/N474/(10000-N569+N570)^(1/NBPuff_B_Night))),0)</f>
        <v>0</v>
      </c>
      <c r="O580" s="238"/>
      <c r="P580" s="3001">
        <f>IF(P457&gt;0,LN(IF(P569&gt;=10000,P475*P567*10000^P568,NBPuff_A_Night*P457/P474/(10000-P569+P570)^(1/NBPuff_B_Night))),0)</f>
        <v>0</v>
      </c>
      <c r="Q580" s="238"/>
      <c r="R580" s="3001">
        <f>IF(R457&gt;0,LN(IF(R569&gt;=10000,R475*R567*10000^R568,NBPuff_A_Night*R457/R474/(10000-R569+R570)^(1/NBPuff_B_Night))),0)</f>
        <v>0</v>
      </c>
      <c r="S580" s="238"/>
      <c r="T580" s="3001">
        <f>IF(T457&gt;0,LN(IF(T569&gt;=10000,T475*T567*10000^T568,NBPuff_A_Night*T457/T474/(10000-T569+T570)^(1/NBPuff_B_Night))),0)</f>
        <v>0</v>
      </c>
      <c r="U580" s="238"/>
      <c r="V580" s="3001">
        <f>IF(V457&gt;0,LN(IF(V569&gt;=10000,V475*V567*10000^V568,NBPuff_A_Night*V457/V474/(10000-V569+V570)^(1/NBPuff_B_Night))),0)</f>
        <v>0</v>
      </c>
      <c r="W580" s="238"/>
      <c r="X580" s="3001">
        <f>IF(X457&gt;0,LN(IF(X569&gt;=10000,X475*X567*10000^X568,NBPuff_A_Night*X457/X474/(10000-X569+X570)^(1/NBPuff_B_Night))),0)</f>
        <v>0</v>
      </c>
      <c r="Y580" s="83"/>
      <c r="Z580" s="85"/>
      <c r="AA580" s="83"/>
      <c r="AB580" s="81"/>
      <c r="AC580" s="512" t="s">
        <v>5107</v>
      </c>
      <c r="AD580" s="81"/>
      <c r="AE580" s="2981">
        <f>IF(AE478&gt;0,LN(IF(AE570&gt;=5000,AE489*AE568*5000^AE569,NBPlume_A_Night*AE478/(AE488*Wind_Night)/(5000-AE570+AE571)^(1/NBPlume_B_Night))),0)</f>
        <v>-21.919964078154724</v>
      </c>
      <c r="AF580" s="81"/>
      <c r="AG580" s="2981">
        <f>IF(AG478&gt;0,LN(IF(AG570&gt;=5000,AG489*AG568*5000^AG569,NBPlume_A_Night*AG478/(AG488*Wind_Night)/(5000-AG570+AG571)^(1/NBPlume_B_Night))),0)</f>
        <v>-21.919964078154724</v>
      </c>
      <c r="AH580" s="81"/>
      <c r="AI580" s="2981">
        <f>IF(AI478&gt;0,LN(IF(AI570&gt;=5000,AI489*AI568*5000^AI569,NBPlume_A_Night*AI478/(AI488*Wind_Night)/(5000-AI570+AI571)^(1/NBPlume_B_Night))),0)</f>
        <v>-21.919964078154724</v>
      </c>
      <c r="AJ580" s="81"/>
      <c r="AK580" s="81"/>
      <c r="AL580" s="81"/>
      <c r="AM580" s="81"/>
      <c r="AN580" s="81"/>
      <c r="AO580" s="81"/>
      <c r="AP580" s="81"/>
      <c r="AQ580" s="85"/>
      <c r="AR580" s="81"/>
      <c r="AT580" s="26"/>
      <c r="AU580" s="26"/>
      <c r="AV580" s="26"/>
      <c r="AW580" s="26"/>
      <c r="AX580" s="26"/>
      <c r="AY580" s="26"/>
      <c r="AZ580" s="26"/>
      <c r="BA580" s="26"/>
      <c r="BB580" s="26"/>
      <c r="BC580" s="26"/>
      <c r="BD580" s="26"/>
      <c r="BE580" s="26"/>
      <c r="BF580" s="26"/>
      <c r="BG580" s="26"/>
      <c r="BH580" s="26"/>
      <c r="BI580" s="26"/>
      <c r="BJ580" s="26"/>
      <c r="BK580" s="26"/>
      <c r="BL580" s="26"/>
      <c r="BM580" s="26"/>
      <c r="BN580" s="26"/>
      <c r="BO580" s="26"/>
      <c r="BP580" s="26"/>
      <c r="BQ580" s="26"/>
      <c r="BR580" s="26"/>
    </row>
    <row r="581" spans="1:70" ht="15" customHeight="1" thickBot="1" x14ac:dyDescent="0.3">
      <c r="A581" s="2"/>
      <c r="B581" s="2975" t="s">
        <v>5113</v>
      </c>
      <c r="C581" s="83"/>
      <c r="D581" s="3005">
        <f>IF(D457&gt;0,(EXP(INDEX(LINEST(D571:D580,$CJ$286:$CJ$295),2))*D474/D457)^D582,0)</f>
        <v>0</v>
      </c>
      <c r="E581" s="235"/>
      <c r="F581" s="3005">
        <f>IF(F457&gt;0,(EXP(INDEX(LINEST(F571:F580,$CJ$286:$CJ$295),2))*F474/F457)^F582,0)</f>
        <v>0</v>
      </c>
      <c r="G581" s="238"/>
      <c r="H581" s="3005">
        <f>IF(H457&gt;0,(EXP(INDEX(LINEST(H571:H580,$CJ$286:$CJ$295),2))*H474/H457)^H582,0)</f>
        <v>0</v>
      </c>
      <c r="I581" s="238"/>
      <c r="J581" s="3005">
        <f>IF(J457&gt;0,(EXP(INDEX(LINEST(J571:J580,$CJ$286:$CJ$295),2))*J474/J457)^J582,0)</f>
        <v>0</v>
      </c>
      <c r="K581" s="238"/>
      <c r="L581" s="3005">
        <f>IF(L457&gt;0,(EXP(INDEX(LINEST(L571:L580,$CJ$286:$CJ$295),2))*L474/L457)^L582,0)</f>
        <v>0</v>
      </c>
      <c r="M581" s="238"/>
      <c r="N581" s="3005">
        <f>IF(N457&gt;0,(EXP(INDEX(LINEST(N571:N580,$CJ$286:$CJ$295),2))*N474/N457)^N582,0)</f>
        <v>0</v>
      </c>
      <c r="O581" s="238"/>
      <c r="P581" s="3005">
        <f>IF(P457&gt;0,(EXP(INDEX(LINEST(P571:P580,$CJ$286:$CJ$295),2))*P474/P457)^P582,0)</f>
        <v>0</v>
      </c>
      <c r="Q581" s="238"/>
      <c r="R581" s="3005">
        <f>IF(R457&gt;0,(EXP(INDEX(LINEST(R571:R580,$CJ$286:$CJ$295),2))*R474/R457)^R582,0)</f>
        <v>0</v>
      </c>
      <c r="S581" s="238"/>
      <c r="T581" s="3005">
        <f>IF(T457&gt;0,(EXP(INDEX(LINEST(T571:T580,$CJ$286:$CJ$295),2))*T474/T457)^T582,0)</f>
        <v>0</v>
      </c>
      <c r="U581" s="238"/>
      <c r="V581" s="3005">
        <f>IF(V457&gt;0,(EXP(INDEX(LINEST(V571:V580,$CJ$286:$CJ$295),2))*V474/V457)^V582,0)</f>
        <v>0</v>
      </c>
      <c r="W581" s="238"/>
      <c r="X581" s="3005">
        <f>IF(X457&gt;0,(EXP(INDEX(LINEST(X571:X580,$CJ$286:$CJ$295),2))*X474/X457)^X582,0)</f>
        <v>0</v>
      </c>
      <c r="Y581" s="83"/>
      <c r="Z581" s="85"/>
      <c r="AA581" s="83"/>
      <c r="AB581" s="81"/>
      <c r="AC581" s="512" t="s">
        <v>5108</v>
      </c>
      <c r="AD581" s="81"/>
      <c r="AE581" s="3001">
        <f>IF(AE478&gt;0,LN(IF(AE570&gt;=10000,AE489*AE568*10000^AE569,NBPlume_A_Night*AE478/(AE488*Wind_Night)/(10000-AE570+AE571)^(1/NBPlume_B_Night))),0)</f>
        <v>-23.001273679828238</v>
      </c>
      <c r="AF581" s="81"/>
      <c r="AG581" s="3001">
        <f>IF(AG478&gt;0,LN(IF(AG570&gt;=10000,AG489*AG568*10000^AG569,NBPlume_A_Night*AG478/(AG488*Wind_Night)/(10000-AG570+AG571)^(1/NBPlume_B_Night))),0)</f>
        <v>-23.001273679828238</v>
      </c>
      <c r="AH581" s="81"/>
      <c r="AI581" s="3001">
        <f>IF(AI478&gt;0,LN(IF(AI570&gt;=10000,AI489*AI568*10000^AI569,NBPlume_A_Night*AI478/(AI488*Wind_Night)/(10000-AI570+AI571)^(1/NBPlume_B_Night))),0)</f>
        <v>-23.001273679828238</v>
      </c>
      <c r="AJ581" s="81"/>
      <c r="AK581" s="81"/>
      <c r="AL581" s="81"/>
      <c r="AM581" s="81"/>
      <c r="AN581" s="81"/>
      <c r="AO581" s="81"/>
      <c r="AP581" s="81"/>
      <c r="AQ581" s="85"/>
      <c r="AR581" s="81"/>
      <c r="AT581" s="26"/>
      <c r="AU581" s="26"/>
      <c r="AV581" s="26"/>
      <c r="AW581" s="26"/>
      <c r="AX581" s="26"/>
      <c r="AY581" s="26"/>
      <c r="AZ581" s="26"/>
      <c r="BA581" s="26"/>
      <c r="BB581" s="26"/>
      <c r="BC581" s="26"/>
      <c r="BD581" s="26"/>
      <c r="BE581" s="26"/>
      <c r="BF581" s="26"/>
      <c r="BG581" s="26"/>
      <c r="BH581" s="26"/>
      <c r="BI581" s="26"/>
      <c r="BJ581" s="26"/>
      <c r="BK581" s="26"/>
      <c r="BL581" s="26"/>
      <c r="BM581" s="26"/>
      <c r="BN581" s="26"/>
      <c r="BO581" s="26"/>
      <c r="BP581" s="26"/>
      <c r="BQ581" s="26"/>
      <c r="BR581" s="26"/>
    </row>
    <row r="582" spans="1:70" ht="15" customHeight="1" x14ac:dyDescent="0.25">
      <c r="A582" s="2"/>
      <c r="B582" s="2977" t="s">
        <v>5114</v>
      </c>
      <c r="C582" s="83"/>
      <c r="D582" s="2089">
        <f>IF(D457&gt;0,-1/INDEX(LINEST(D571:D580,$CJ$286:$CJ$295),1),0)</f>
        <v>0</v>
      </c>
      <c r="E582" s="235"/>
      <c r="F582" s="2089">
        <f>IF(F457&gt;0,-1/INDEX(LINEST(F571:F580,$CJ$286:$CJ$295),1),0)</f>
        <v>0</v>
      </c>
      <c r="G582" s="238"/>
      <c r="H582" s="2089">
        <f>IF(H457&gt;0,-1/INDEX(LINEST(H571:H580,$CJ$286:$CJ$295),1),0)</f>
        <v>0</v>
      </c>
      <c r="I582" s="238"/>
      <c r="J582" s="2089">
        <f>IF(J457&gt;0,-1/INDEX(LINEST(J571:J580,$CJ$286:$CJ$295),1),0)</f>
        <v>0</v>
      </c>
      <c r="K582" s="238"/>
      <c r="L582" s="2089">
        <f>IF(L457&gt;0,-1/INDEX(LINEST(L571:L580,$CJ$286:$CJ$295),1),0)</f>
        <v>0</v>
      </c>
      <c r="M582" s="238"/>
      <c r="N582" s="2089">
        <f>IF(N457&gt;0,-1/INDEX(LINEST(N571:N580,$CJ$286:$CJ$295),1),0)</f>
        <v>0</v>
      </c>
      <c r="O582" s="238"/>
      <c r="P582" s="2089">
        <f>IF(P457&gt;0,-1/INDEX(LINEST(P571:P580,$CJ$286:$CJ$295),1),0)</f>
        <v>0</v>
      </c>
      <c r="Q582" s="238"/>
      <c r="R582" s="2089">
        <f>IF(R457&gt;0,-1/INDEX(LINEST(R571:R580,$CJ$286:$CJ$295),1),0)</f>
        <v>0</v>
      </c>
      <c r="S582" s="238"/>
      <c r="T582" s="2089">
        <f>IF(T457&gt;0,-1/INDEX(LINEST(T571:T580,$CJ$286:$CJ$295),1),0)</f>
        <v>0</v>
      </c>
      <c r="U582" s="238"/>
      <c r="V582" s="2089">
        <f>IF(V457&gt;0,-1/INDEX(LINEST(V571:V580,$CJ$286:$CJ$295),1),0)</f>
        <v>0</v>
      </c>
      <c r="W582" s="238"/>
      <c r="X582" s="2089">
        <f>IF(X457&gt;0,-1/INDEX(LINEST(X571:X580,$CJ$286:$CJ$295),1),0)</f>
        <v>0</v>
      </c>
      <c r="Y582" s="83"/>
      <c r="Z582" s="85"/>
      <c r="AA582" s="83"/>
      <c r="AB582" s="81"/>
      <c r="AC582" s="2975" t="s">
        <v>5111</v>
      </c>
      <c r="AD582" s="81"/>
      <c r="AE582" s="3005">
        <f>IF(AE478&gt;0,(EXP(INDEX(LINEST(AE572:AE581,$CJ$286:$CJ$295),2))*(AE488*Wind_Night/AE478))^AE583,0)</f>
        <v>26.967355420221828</v>
      </c>
      <c r="AF582" s="81"/>
      <c r="AG582" s="3005">
        <f>IF(AG478&gt;0,(EXP(INDEX(LINEST(AG572:AG581,$CJ$286:$CJ$295),2))*(AG488*Wind_Night/AG478))^AG583,0)</f>
        <v>26.967355420221828</v>
      </c>
      <c r="AH582" s="81"/>
      <c r="AI582" s="3005">
        <f>IF(AI478&gt;0,(EXP(INDEX(LINEST(AI572:AI581,$CJ$286:$CJ$295),2))*(AI488*Wind_Night/AI478))^AI583,0)</f>
        <v>26.967355420221828</v>
      </c>
      <c r="AJ582" s="81"/>
      <c r="AK582" s="81"/>
      <c r="AL582" s="81"/>
      <c r="AM582" s="81"/>
      <c r="AN582" s="81"/>
      <c r="AO582" s="81"/>
      <c r="AP582" s="81"/>
      <c r="AQ582" s="85"/>
      <c r="AR582" s="81"/>
      <c r="AT582" s="26"/>
      <c r="AU582" s="26"/>
      <c r="AV582" s="26"/>
      <c r="AW582" s="26"/>
      <c r="AX582" s="26"/>
      <c r="AY582" s="26"/>
      <c r="AZ582" s="26"/>
      <c r="BA582" s="26"/>
      <c r="BB582" s="26"/>
      <c r="BC582" s="26"/>
      <c r="BD582" s="26"/>
      <c r="BE582" s="26"/>
      <c r="BF582" s="26"/>
      <c r="BG582" s="26"/>
      <c r="BH582" s="26"/>
      <c r="BI582" s="26"/>
      <c r="BJ582" s="26"/>
      <c r="BK582" s="26"/>
      <c r="BL582" s="26"/>
      <c r="BM582" s="26"/>
      <c r="BN582" s="26"/>
      <c r="BO582" s="26"/>
      <c r="BP582" s="26"/>
      <c r="BQ582" s="26"/>
      <c r="BR582" s="26"/>
    </row>
    <row r="583" spans="1:70" ht="15" customHeight="1" thickBot="1" x14ac:dyDescent="0.3">
      <c r="A583" s="2"/>
      <c r="B583" s="2976" t="s">
        <v>5125</v>
      </c>
      <c r="C583" s="83"/>
      <c r="D583" s="2105">
        <f>IF(AND(D457&gt;0,D476&gt;0),D581*(D457/(D474*D476))^D582,0)</f>
        <v>0</v>
      </c>
      <c r="E583" s="235"/>
      <c r="F583" s="2105">
        <f>IF(AND(F457&gt;0,F476&gt;0),F581*(F457/(F474*F476))^F582,0)</f>
        <v>0</v>
      </c>
      <c r="G583" s="238"/>
      <c r="H583" s="2105">
        <f>IF(AND(H457&gt;0,H476&gt;0),H581*(H457/(H474*H476))^H582,0)</f>
        <v>0</v>
      </c>
      <c r="I583" s="238"/>
      <c r="J583" s="2105">
        <f>IF(AND(J457&gt;0,J476&gt;0),J581*(J457/(J474*J476))^J582,0)</f>
        <v>0</v>
      </c>
      <c r="K583" s="238"/>
      <c r="L583" s="2105">
        <f>IF(AND(L457&gt;0,L476&gt;0),L581*(L457/(L474*L476))^L582,0)</f>
        <v>0</v>
      </c>
      <c r="M583" s="238"/>
      <c r="N583" s="2105">
        <f>IF(AND(N457&gt;0,N476&gt;0),N581*(N457/(N474*N476))^N582,0)</f>
        <v>0</v>
      </c>
      <c r="O583" s="238"/>
      <c r="P583" s="2105">
        <f>IF(AND(P457&gt;0,P476&gt;0),P581*(P457/(P474*P476))^P582,0)</f>
        <v>0</v>
      </c>
      <c r="Q583" s="238"/>
      <c r="R583" s="2105">
        <f>IF(AND(R457&gt;0,R476&gt;0),R581*(R457/(R474*R476))^R582,0)</f>
        <v>0</v>
      </c>
      <c r="S583" s="238"/>
      <c r="T583" s="2105">
        <f>IF(AND(T457&gt;0,T476&gt;0),T581*(T457/(T474*T476))^T582,0)</f>
        <v>0</v>
      </c>
      <c r="U583" s="238"/>
      <c r="V583" s="2105">
        <f>IF(AND(V457&gt;0,V476&gt;0),V581*(V457/(V474*V476))^V582,0)</f>
        <v>0</v>
      </c>
      <c r="W583" s="238"/>
      <c r="X583" s="2105">
        <f>IF(AND(X457&gt;0,X476&gt;0),X581*(X457/(X474*X476))^X582,0)</f>
        <v>0</v>
      </c>
      <c r="Y583" s="83"/>
      <c r="Z583" s="85"/>
      <c r="AA583" s="83"/>
      <c r="AB583" s="81"/>
      <c r="AC583" s="2977" t="s">
        <v>5112</v>
      </c>
      <c r="AD583" s="81"/>
      <c r="AE583" s="2089">
        <f>IF(AE478&gt;0,-1/INDEX(LINEST(AE572:AE581,$CJ$286:$CJ$295),1),0)</f>
        <v>0.64102564102564086</v>
      </c>
      <c r="AF583" s="81"/>
      <c r="AG583" s="2089">
        <f>IF(AG478&gt;0,-1/INDEX(LINEST(AG572:AG581,$CJ$286:$CJ$295),1),0)</f>
        <v>0.64102564102564086</v>
      </c>
      <c r="AH583" s="81"/>
      <c r="AI583" s="2089">
        <f>IF(AI478&gt;0,-1/INDEX(LINEST(AI572:AI581,$CJ$286:$CJ$295),1),0)</f>
        <v>0.64102564102564086</v>
      </c>
      <c r="AJ583" s="81"/>
      <c r="AK583" s="81"/>
      <c r="AL583" s="81"/>
      <c r="AM583" s="81"/>
      <c r="AN583" s="81"/>
      <c r="AO583" s="81"/>
      <c r="AP583" s="81"/>
      <c r="AQ583" s="85"/>
      <c r="AR583" s="81"/>
      <c r="AT583" s="26"/>
      <c r="AU583" s="26"/>
      <c r="AV583" s="26"/>
      <c r="AW583" s="26"/>
      <c r="AX583" s="26"/>
      <c r="AY583" s="26"/>
      <c r="AZ583" s="26"/>
      <c r="BA583" s="26"/>
      <c r="BB583" s="26"/>
      <c r="BC583" s="26"/>
      <c r="BD583" s="26"/>
      <c r="BE583" s="26"/>
      <c r="BF583" s="26"/>
      <c r="BG583" s="26"/>
      <c r="BH583" s="26"/>
      <c r="BI583" s="26"/>
      <c r="BJ583" s="26"/>
      <c r="BK583" s="26"/>
      <c r="BL583" s="26"/>
      <c r="BM583" s="26"/>
      <c r="BN583" s="26"/>
      <c r="BO583" s="26"/>
      <c r="BP583" s="26"/>
      <c r="BQ583" s="26"/>
      <c r="BR583" s="26"/>
    </row>
    <row r="584" spans="1:70" ht="15" customHeight="1" thickBot="1" x14ac:dyDescent="0.3">
      <c r="A584" s="2"/>
      <c r="B584" s="85" t="s">
        <v>5080</v>
      </c>
      <c r="C584" s="83"/>
      <c r="D584" s="2568" t="str">
        <f>IF(D$457&gt;D$464,IF(D$464&gt;D$457*(D581^(1/D582)/D555^(1/D556))*Wind_Night*(1*Wind_Night*D$457/D$464)^(1/D556-1/D582),"Instantaneous","Continuous"),"Continuous")</f>
        <v>Continuous</v>
      </c>
      <c r="E584" s="235"/>
      <c r="F584" s="2568" t="str">
        <f>IF(F$457&gt;F$464,IF(F$464&gt;F$457*(F581^(1/F582)/F555^(1/F556))*Wind_Night*(1*Wind_Night*F$457/F$464)^(1/F556-1/F582),"Instantaneous","Continuous"),"Continuous")</f>
        <v>Continuous</v>
      </c>
      <c r="G584" s="238"/>
      <c r="H584" s="2568" t="str">
        <f>IF(H$457&gt;H$464,IF(H$464&gt;H$457*(H581^(1/H582)/H555^(1/H556))*Wind_Night*(1*Wind_Night*H$457/H$464)^(1/H556-1/H582),"Instantaneous","Continuous"),"Continuous")</f>
        <v>Continuous</v>
      </c>
      <c r="I584" s="238"/>
      <c r="J584" s="2568" t="str">
        <f>IF(J$457&gt;J$464,IF(J$464&gt;J$457*(J581^(1/J582)/J555^(1/J556))*Wind_Night*(1*Wind_Night*J$457/J$464)^(1/J556-1/J582),"Instantaneous","Continuous"),"Continuous")</f>
        <v>Continuous</v>
      </c>
      <c r="K584" s="238"/>
      <c r="L584" s="2568" t="str">
        <f>IF(L$457&gt;L$464,IF(L$464&gt;L$457*(L581^(1/L582)/L555^(1/L556))*Wind_Night*(1*Wind_Night*L$457/L$464)^(1/L556-1/L582),"Instantaneous","Continuous"),"Continuous")</f>
        <v>Continuous</v>
      </c>
      <c r="M584" s="238"/>
      <c r="N584" s="2568" t="str">
        <f>IF(N$457&gt;N$464,IF(N$464&gt;N$457*(N581^(1/N582)/N555^(1/N556))*Wind_Night*(1*Wind_Night*N$457/N$464)^(1/N556-1/N582),"Instantaneous","Continuous"),"Continuous")</f>
        <v>Continuous</v>
      </c>
      <c r="O584" s="238"/>
      <c r="P584" s="2568" t="str">
        <f>IF(P$457&gt;P$464,IF(P$464&gt;P$457*(P581^(1/P582)/P555^(1/P556))*Wind_Night*(1*Wind_Night*P$457/P$464)^(1/P556-1/P582),"Instantaneous","Continuous"),"Continuous")</f>
        <v>Continuous</v>
      </c>
      <c r="Q584" s="238"/>
      <c r="R584" s="2568" t="str">
        <f>IF(R$457&gt;R$464,IF(R$464&gt;R$457*(R581^(1/R582)/R555^(1/R556))*Wind_Night*(1*Wind_Night*R$457/R$464)^(1/R556-1/R582),"Instantaneous","Continuous"),"Continuous")</f>
        <v>Continuous</v>
      </c>
      <c r="S584" s="238"/>
      <c r="T584" s="2568" t="str">
        <f>IF(T$457&gt;T$464,IF(T$464&gt;T$457*(T581^(1/T582)/T555^(1/T556))*Wind_Night*(1*Wind_Night*T$457/T$464)^(1/T556-1/T582),"Instantaneous","Continuous"),"Continuous")</f>
        <v>Continuous</v>
      </c>
      <c r="U584" s="238"/>
      <c r="V584" s="2568" t="str">
        <f>IF(V$457&gt;V$464,IF(V$464&gt;V$457*(V581^(1/V582)/V555^(1/V556))*Wind_Night*(1*Wind_Night*V$457/V$464)^(1/V556-1/V582),"Instantaneous","Continuous"),"Continuous")</f>
        <v>Continuous</v>
      </c>
      <c r="W584" s="238"/>
      <c r="X584" s="2568" t="str">
        <f>IF(X$457&gt;X$464,IF(X$464&gt;X$457*(X581^(1/X582)/X555^(1/X556))*Wind_Night*(1*Wind_Night*X$457/X$464)^(1/X556-1/X582),"Instantaneous","Continuous"),"Continuous")</f>
        <v>Continuous</v>
      </c>
      <c r="Y584" s="83"/>
      <c r="Z584" s="85"/>
      <c r="AA584" s="83"/>
      <c r="AB584" s="81"/>
      <c r="AC584" s="2976" t="s">
        <v>5124</v>
      </c>
      <c r="AD584" s="81"/>
      <c r="AE584" s="2105">
        <f>IF(AND(AE478&gt;0,AE490&gt;0),AE582*(AE478/(Wind_Night*AE488*AE490))^AE583,0)</f>
        <v>3.9498967761061911E-3</v>
      </c>
      <c r="AF584" s="81"/>
      <c r="AG584" s="2105">
        <f>IF(AND(AG478&gt;0,AG490&gt;0),AG582*(AG478/(Wind_Night*AG488*AG490))^AG583,0)</f>
        <v>3.9498967761061911E-3</v>
      </c>
      <c r="AH584" s="81"/>
      <c r="AI584" s="2105">
        <f>IF(AND(AI478&gt;0,AI490&gt;0),AI582*(AI478/(Wind_Night*AI488*AI490))^AI583,0)</f>
        <v>3.9498967761061911E-3</v>
      </c>
      <c r="AJ584" s="81"/>
      <c r="AK584" s="81"/>
      <c r="AL584" s="81"/>
      <c r="AM584" s="81"/>
      <c r="AN584" s="81"/>
      <c r="AO584" s="81"/>
      <c r="AP584" s="81"/>
      <c r="AQ584" s="85"/>
      <c r="AR584" s="81"/>
      <c r="AT584" s="26"/>
      <c r="AU584" s="26"/>
      <c r="AV584" s="26"/>
      <c r="AW584" s="26"/>
      <c r="AX584" s="26"/>
      <c r="AY584" s="26"/>
      <c r="AZ584" s="26"/>
      <c r="BA584" s="26"/>
      <c r="BB584" s="26"/>
      <c r="BC584" s="26"/>
      <c r="BD584" s="26"/>
      <c r="BE584" s="26"/>
      <c r="BF584" s="26"/>
      <c r="BG584" s="26"/>
      <c r="BH584" s="26"/>
      <c r="BI584" s="26"/>
      <c r="BJ584" s="26"/>
      <c r="BK584" s="26"/>
      <c r="BL584" s="26"/>
      <c r="BM584" s="26"/>
      <c r="BN584" s="26"/>
      <c r="BO584" s="26"/>
      <c r="BP584" s="26"/>
      <c r="BQ584" s="26"/>
      <c r="BR584" s="26"/>
    </row>
    <row r="585" spans="1:70" ht="15" customHeight="1" thickBot="1" x14ac:dyDescent="0.3">
      <c r="A585" s="2"/>
      <c r="B585" s="494" t="s">
        <v>5193</v>
      </c>
      <c r="C585" s="83"/>
      <c r="D585" s="3143">
        <f>IF(D637="",IF(D630="",0.001,D630/1000),D637/1000000)</f>
        <v>1E-3</v>
      </c>
      <c r="E585" s="235"/>
      <c r="F585" s="3143">
        <f>IF(F637="",IF(F630="",0.001,F630/1000),F637/1000000)</f>
        <v>1E-3</v>
      </c>
      <c r="G585" s="238"/>
      <c r="H585" s="3143">
        <f>IF(H637="",IF(H630="",0.001,H630/1000),H637/1000000)</f>
        <v>1E-3</v>
      </c>
      <c r="I585" s="238"/>
      <c r="J585" s="3143">
        <f>IF(J637="",IF(J630="",0.001,J630/1000),J637/1000000)</f>
        <v>1E-3</v>
      </c>
      <c r="K585" s="238"/>
      <c r="L585" s="3143">
        <f>IF(L637="",IF(L630="",0.001,L630/1000),L637/1000000)</f>
        <v>1E-3</v>
      </c>
      <c r="M585" s="238"/>
      <c r="N585" s="3143">
        <f>IF(N637="",IF(N630="",0.001,N630/1000),N637/1000000)</f>
        <v>1E-3</v>
      </c>
      <c r="O585" s="238"/>
      <c r="P585" s="3143">
        <f>IF(P637="",IF(P630="",0.001,P630/1000),P637/1000000)</f>
        <v>1E-3</v>
      </c>
      <c r="Q585" s="238"/>
      <c r="R585" s="3143">
        <f>IF(R637="",IF(R630="",0.001,R630/1000),R637/1000000)</f>
        <v>1E-3</v>
      </c>
      <c r="S585" s="238"/>
      <c r="T585" s="3143">
        <f>IF(T637="",IF(T630="",0.001,T630/1000),T637/1000000)</f>
        <v>1E-3</v>
      </c>
      <c r="U585" s="238"/>
      <c r="V585" s="3143">
        <f>IF(V637="",IF(V630="",0.001,V630/1000),V637/1000000)</f>
        <v>1E-3</v>
      </c>
      <c r="W585" s="238"/>
      <c r="X585" s="3143">
        <f>IF(X637="",IF(X630="",0.001,X630/1000),X637/1000000)</f>
        <v>1E-3</v>
      </c>
      <c r="Y585" s="83"/>
      <c r="Z585" s="85"/>
      <c r="AA585" s="83"/>
      <c r="AB585" s="81"/>
      <c r="AC585" s="1691" t="s">
        <v>5064</v>
      </c>
      <c r="AD585" s="81"/>
      <c r="AE585" s="1288">
        <f>IF(AE494&gt;0,(AE494*AE493^0.333/Wind_Night^2)^0.5,0)</f>
        <v>0</v>
      </c>
      <c r="AF585" s="81"/>
      <c r="AG585" s="1288">
        <f>IF(AG494&gt;0,(AG494*AG493^0.333/Wind_Night^2)^0.5,0)</f>
        <v>0</v>
      </c>
      <c r="AH585" s="81"/>
      <c r="AI585" s="1288">
        <f>IF(AI494&gt;0,(AI494*AI493^0.333/Wind_Night^2)^0.5,0)</f>
        <v>0</v>
      </c>
      <c r="AJ585" s="81"/>
      <c r="AK585" s="81"/>
      <c r="AL585" s="81"/>
      <c r="AM585" s="81"/>
      <c r="AN585" s="81"/>
      <c r="AO585" s="81"/>
      <c r="AP585" s="81"/>
      <c r="AQ585" s="85"/>
      <c r="AR585" s="81"/>
      <c r="AT585" s="26"/>
      <c r="AU585" s="26"/>
      <c r="AV585" s="26"/>
      <c r="AW585" s="26"/>
      <c r="AX585" s="26"/>
      <c r="AY585" s="26"/>
      <c r="AZ585" s="26"/>
      <c r="BA585" s="26"/>
      <c r="BB585" s="26"/>
      <c r="BC585" s="26"/>
      <c r="BD585" s="26"/>
      <c r="BE585" s="26"/>
      <c r="BF585" s="26"/>
      <c r="BG585" s="26"/>
      <c r="BH585" s="26"/>
      <c r="BI585" s="26"/>
      <c r="BJ585" s="26"/>
      <c r="BQ585" s="26"/>
      <c r="BR585" s="26"/>
    </row>
    <row r="586" spans="1:70" ht="15" customHeight="1" x14ac:dyDescent="0.25">
      <c r="A586" s="2"/>
      <c r="B586" s="92" t="s">
        <v>2208</v>
      </c>
      <c r="C586" s="83"/>
      <c r="D586" s="3006">
        <f>IF(OR(D457=0,D464=0,D474=0),1,IF(Location="Outdoors",IF(D457/D464&gt;Max_Duration,1,IF(D532="Instantaneous",MAX(3.29*(D457/(D474*D585))^0.37/(Wind*3600),(D457/Max_Duration)/D464),(D457/Max_Duration)/D464)),1))</f>
        <v>1</v>
      </c>
      <c r="E586" s="235"/>
      <c r="F586" s="3006">
        <f>IF(OR(F457=0,F464=0,F474=0),1,IF(Location="Outdoors",IF(F457/F464&gt;Max_Duration,1,IF(F532="Instantaneous",MAX(3.29*(F457/(F474*F585))^0.37/(Wind*3600),(F457/Max_Duration)/F464),(F457/Max_Duration)/F464)),1))</f>
        <v>1</v>
      </c>
      <c r="G586" s="238"/>
      <c r="H586" s="3006">
        <f>IF(OR(H457=0,H464=0,H474=0),1,IF(Location="Outdoors",IF(H457/H464&gt;Max_Duration,1,IF(H532="Instantaneous",MAX(3.29*(H457/(H474*H585))^0.37/(Wind*3600),(H457/Max_Duration)/H464),(H457/Max_Duration)/H464)),1))</f>
        <v>1</v>
      </c>
      <c r="I586" s="238"/>
      <c r="J586" s="3006">
        <f>IF(OR(J457=0,J464=0,J474=0),1,IF(Location="Outdoors",IF(J457/J464&gt;Max_Duration,1,IF(J532="Instantaneous",MAX(3.29*(J457/(J474*J585))^0.37/(Wind*3600),(J457/Max_Duration)/J464),(J457/Max_Duration)/J464)),1))</f>
        <v>1</v>
      </c>
      <c r="K586" s="238"/>
      <c r="L586" s="3006">
        <f>IF(OR(L457=0,L464=0,L474=0),1,IF(Location="Outdoors",IF(L457/L464&gt;Max_Duration,1,IF(L532="Instantaneous",MAX(3.29*(L457/(L474*L585))^0.37/(Wind*3600),(L457/Max_Duration)/L464),(L457/Max_Duration)/L464)),1))</f>
        <v>1</v>
      </c>
      <c r="M586" s="238"/>
      <c r="N586" s="3006">
        <f>IF(OR(N457=0,N464=0,N474=0),1,IF(Location="Outdoors",IF(N457/N464&gt;Max_Duration,1,IF(N532="Instantaneous",MAX(3.29*(N457/(N474*N585))^0.37/(Wind*3600),(N457/Max_Duration)/N464),(N457/Max_Duration)/N464)),1))</f>
        <v>1</v>
      </c>
      <c r="O586" s="238"/>
      <c r="P586" s="3006">
        <f>IF(OR(P457=0,P464=0,P474=0),1,IF(Location="Outdoors",IF(P457/P464&gt;Max_Duration,1,IF(P532="Instantaneous",MAX(3.29*(P457/(P474*P585))^0.37/(Wind*3600),(P457/Max_Duration)/P464),(P457/Max_Duration)/P464)),1))</f>
        <v>1</v>
      </c>
      <c r="Q586" s="238"/>
      <c r="R586" s="3006">
        <f>IF(OR(R457=0,R464=0,R474=0),1,IF(Location="Outdoors",IF(R457/R464&gt;Max_Duration,1,IF(R532="Instantaneous",MAX(3.29*(R457/(R474*R585))^0.37/(Wind*3600),(R457/Max_Duration)/R464),(R457/Max_Duration)/R464)),1))</f>
        <v>1</v>
      </c>
      <c r="S586" s="238"/>
      <c r="T586" s="3006">
        <f>IF(OR(T457=0,T464=0,T474=0),1,IF(Location="Outdoors",IF(T457/T464&gt;Max_Duration,1,IF(T532="Instantaneous",MAX(3.29*(T457/(T474*T585))^0.37/(Wind*3600),(T457/Max_Duration)/T464),(T457/Max_Duration)/T464)),1))</f>
        <v>1</v>
      </c>
      <c r="U586" s="238"/>
      <c r="V586" s="3006">
        <f>IF(OR(V457=0,V464=0,V474=0),1,IF(Location="Outdoors",IF(V457/V464&gt;Max_Duration,1,IF(V532="Instantaneous",MAX(3.29*(V457/(V474*V585))^0.37/(Wind*3600),(V457/Max_Duration)/V464),(V457/Max_Duration)/V464)),1))</f>
        <v>1</v>
      </c>
      <c r="W586" s="238"/>
      <c r="X586" s="3006">
        <f>IF(OR(X457=0,X464=0,X474=0),1,IF(Location="Outdoors",IF(X457/X464&gt;Max_Duration,1,IF(X532="Instantaneous",MAX(3.29*(X457/(X474*X585))^0.37/(Wind*3600),(X457/Max_Duration)/X464),(X457/Max_Duration)/X464)),1))</f>
        <v>1</v>
      </c>
      <c r="Y586" s="83"/>
      <c r="Z586" s="85"/>
      <c r="AA586" s="83"/>
      <c r="AB586" s="81"/>
      <c r="AC586" s="1691" t="s">
        <v>5065</v>
      </c>
      <c r="AD586" s="81"/>
      <c r="AE586" s="3000">
        <f>IF(AND(AE494&gt;0,AE585&gt;0),AE489*(0.2/AE585)^3,1)</f>
        <v>1</v>
      </c>
      <c r="AF586" s="81"/>
      <c r="AG586" s="3000">
        <f>IF(AND(AG494&gt;0,AG585&gt;0),AG489*(0.2/AG585)^3,1)</f>
        <v>1</v>
      </c>
      <c r="AH586" s="81"/>
      <c r="AI586" s="3000">
        <f>IF(AND(AI494&gt;0,AI585&gt;0),AI489*(0.2/AI585)^3,1)</f>
        <v>1</v>
      </c>
      <c r="AJ586" s="81"/>
      <c r="AK586" s="81"/>
      <c r="AL586" s="81"/>
      <c r="AM586" s="81"/>
      <c r="AN586" s="81"/>
      <c r="AO586" s="81"/>
      <c r="AP586" s="81"/>
      <c r="AQ586" s="85"/>
      <c r="AR586" s="81"/>
      <c r="AT586" s="26"/>
      <c r="AU586" s="26"/>
      <c r="AV586" s="26"/>
      <c r="AW586" s="26"/>
      <c r="AX586" s="26"/>
      <c r="AY586" s="26"/>
      <c r="AZ586" s="26"/>
      <c r="BA586" s="26"/>
      <c r="BB586" s="26"/>
      <c r="BC586" s="26"/>
      <c r="BD586" s="26"/>
      <c r="BE586" s="26"/>
      <c r="BF586" s="26"/>
      <c r="BG586" s="26"/>
      <c r="BH586" s="26"/>
      <c r="BI586" s="26"/>
      <c r="BJ586" s="26"/>
      <c r="BQ586" s="26"/>
      <c r="BR586" s="26"/>
    </row>
    <row r="587" spans="1:70" ht="15" customHeight="1" thickBot="1" x14ac:dyDescent="0.3">
      <c r="A587" s="2"/>
      <c r="B587" s="25" t="s">
        <v>3703</v>
      </c>
      <c r="C587" s="83"/>
      <c r="D587" s="2989">
        <f>IF(OR(D457=0,D464=0,D474=0),1,IF(Location="Outdoors",IF(D457/D464&gt;Max_Duration,1,IF(D584="Instantaneous",MAX(3.29*(D457/(D474*D585))^0.37/(Wind_Night*3600),(D457/Max_Duration)/D464),(D457/Max_Duration)/D464)),1))</f>
        <v>1</v>
      </c>
      <c r="E587" s="235"/>
      <c r="F587" s="2989">
        <f>IF(OR(F457=0,F464=0,F474=0),1,IF(Location="Outdoors",IF(F457/F464&gt;Max_Duration,1,IF(F584="Instantaneous",MAX(3.29*(F457/(F474*F585))^0.37/(Wind_Night*3600),(F457/Max_Duration)/F464),(F457/Max_Duration)/F464)),1))</f>
        <v>1</v>
      </c>
      <c r="G587" s="238"/>
      <c r="H587" s="2989">
        <f>IF(OR(H457=0,H464=0,H474=0),1,IF(Location="Outdoors",IF(H457/H464&gt;Max_Duration,1,IF(H584="Instantaneous",MAX(3.29*(H457/(H474*H585))^0.37/(Wind_Night*3600),(H457/Max_Duration)/H464),(H457/Max_Duration)/H464)),1))</f>
        <v>1</v>
      </c>
      <c r="I587" s="238"/>
      <c r="J587" s="2989">
        <f>IF(OR(J457=0,J464=0,J474=0),1,IF(Location="Outdoors",IF(J457/J464&gt;Max_Duration,1,IF(J584="Instantaneous",MAX(3.29*(J457/(J474*J585))^0.37/(Wind_Night*3600),(J457/Max_Duration)/J464),(J457/Max_Duration)/J464)),1))</f>
        <v>1</v>
      </c>
      <c r="K587" s="238"/>
      <c r="L587" s="2989">
        <f>IF(OR(L457=0,L464=0,L474=0),1,IF(Location="Outdoors",IF(L457/L464&gt;Max_Duration,1,IF(L584="Instantaneous",MAX(3.29*(L457/(L474*L585))^0.37/(Wind_Night*3600),(L457/Max_Duration)/L464),(L457/Max_Duration)/L464)),1))</f>
        <v>1</v>
      </c>
      <c r="M587" s="238"/>
      <c r="N587" s="2989">
        <f>IF(OR(N457=0,N464=0,N474=0),1,IF(Location="Outdoors",IF(N457/N464&gt;Max_Duration,1,IF(N584="Instantaneous",MAX(3.29*(N457/(N474*N585))^0.37/(Wind_Night*3600),(N457/Max_Duration)/N464),(N457/Max_Duration)/N464)),1))</f>
        <v>1</v>
      </c>
      <c r="O587" s="238"/>
      <c r="P587" s="2989">
        <f>IF(OR(P457=0,P464=0,P474=0),1,IF(Location="Outdoors",IF(P457/P464&gt;Max_Duration,1,IF(P584="Instantaneous",MAX(3.29*(P457/(P474*P585))^0.37/(Wind_Night*3600),(P457/Max_Duration)/P464),(P457/Max_Duration)/P464)),1))</f>
        <v>1</v>
      </c>
      <c r="Q587" s="238"/>
      <c r="R587" s="2989">
        <f>IF(OR(R457=0,R464=0,R474=0),1,IF(Location="Outdoors",IF(R457/R464&gt;Max_Duration,1,IF(R584="Instantaneous",MAX(3.29*(R457/(R474*R585))^0.37/(Wind_Night*3600),(R457/Max_Duration)/R464),(R457/Max_Duration)/R464)),1))</f>
        <v>1</v>
      </c>
      <c r="S587" s="238"/>
      <c r="T587" s="2989">
        <f>IF(OR(T457=0,T464=0,T474=0),1,IF(Location="Outdoors",IF(T457/T464&gt;Max_Duration,1,IF(T584="Instantaneous",MAX(3.29*(T457/(T474*T585))^0.37/(Wind_Night*3600),(T457/Max_Duration)/T464),(T457/Max_Duration)/T464)),1))</f>
        <v>1</v>
      </c>
      <c r="U587" s="238"/>
      <c r="V587" s="2989">
        <f>IF(OR(V457=0,V464=0,V474=0),1,IF(Location="Outdoors",IF(V457/V464&gt;Max_Duration,1,IF(V584="Instantaneous",MAX(3.29*(V457/(V474*V585))^0.37/(Wind_Night*3600),(V457/Max_Duration)/V464),(V457/Max_Duration)/V464)),1))</f>
        <v>1</v>
      </c>
      <c r="W587" s="238"/>
      <c r="X587" s="2989">
        <f>IF(OR(X457=0,X464=0,X474=0),1,IF(Location="Outdoors",IF(X457/X464&gt;Max_Duration,1,IF(X584="Instantaneous",MAX(3.29*(X457/(X474*X585))^0.37/(Wind_Night*3600),(X457/Max_Duration)/X464),(X457/Max_Duration)/X464)),1))</f>
        <v>1</v>
      </c>
      <c r="Y587" s="83"/>
      <c r="Z587" s="85"/>
      <c r="AA587" s="83"/>
      <c r="AB587" s="81"/>
      <c r="AC587" s="512" t="s">
        <v>5115</v>
      </c>
      <c r="AD587" s="81"/>
      <c r="AE587" s="3000">
        <f>LN(IF(AE586&lt;AE489,IF(LOG(AE585)&lt;-0.44,5.01,IF(LOG(AE585)&lt;0.43,10^(0.81+0.26*LOG(AE585)),8.51))*AE493^0.333,1))</f>
        <v>0</v>
      </c>
      <c r="AF587" s="81"/>
      <c r="AG587" s="3000">
        <f>LN(IF(AG586&lt;AG489,IF(LOG(AG585)&lt;-0.44,5.01,IF(LOG(AG585)&lt;0.43,10^(0.81+0.26*LOG(AG585)),8.51))*AG493^0.333,1))</f>
        <v>0</v>
      </c>
      <c r="AH587" s="81"/>
      <c r="AI587" s="3000">
        <f>LN(IF(AI586&lt;AI489,IF(LOG(AI585)&lt;-0.44,5.01,IF(LOG(AI585)&lt;0.43,10^(0.81+0.26*LOG(AI585)),8.51))*AI493^0.333,1))</f>
        <v>0</v>
      </c>
      <c r="AJ587" s="81"/>
      <c r="AK587" s="81"/>
      <c r="AL587" s="81"/>
      <c r="AM587" s="81"/>
      <c r="AN587" s="81"/>
      <c r="AO587" s="81"/>
      <c r="AP587" s="81"/>
      <c r="AQ587" s="85"/>
      <c r="AR587" s="81"/>
      <c r="AT587" s="26"/>
      <c r="AU587" s="26"/>
      <c r="AV587" s="26"/>
      <c r="AW587" s="26"/>
      <c r="AX587" s="26"/>
      <c r="AY587" s="26"/>
      <c r="AZ587" s="26"/>
      <c r="BA587" s="26"/>
      <c r="BB587" s="26"/>
      <c r="BC587" s="26"/>
      <c r="BD587" s="26"/>
      <c r="BE587" s="26"/>
      <c r="BF587" s="26"/>
      <c r="BG587" s="26"/>
      <c r="BH587" s="26"/>
      <c r="BI587" s="26"/>
      <c r="BJ587" s="26"/>
      <c r="BQ587" s="26"/>
      <c r="BR587" s="26"/>
    </row>
    <row r="588" spans="1:70" ht="15" customHeight="1" thickBot="1" x14ac:dyDescent="0.3">
      <c r="A588" s="2"/>
      <c r="B588" s="83"/>
      <c r="C588" s="83"/>
      <c r="D588" s="83"/>
      <c r="E588" s="235"/>
      <c r="F588" s="83"/>
      <c r="G588" s="238"/>
      <c r="H588" s="83"/>
      <c r="I588" s="238"/>
      <c r="J588" s="83"/>
      <c r="K588" s="238"/>
      <c r="L588" s="83"/>
      <c r="M588" s="238"/>
      <c r="N588" s="83"/>
      <c r="O588" s="238"/>
      <c r="P588" s="83"/>
      <c r="Q588" s="238"/>
      <c r="R588" s="83"/>
      <c r="S588" s="238"/>
      <c r="T588" s="83"/>
      <c r="U588" s="238"/>
      <c r="V588" s="83"/>
      <c r="W588" s="238"/>
      <c r="X588" s="83"/>
      <c r="Y588" s="83"/>
      <c r="Z588" s="85"/>
      <c r="AA588" s="83"/>
      <c r="AB588" s="81"/>
      <c r="AC588" s="512" t="s">
        <v>5116</v>
      </c>
      <c r="AD588" s="81"/>
      <c r="AE588" s="3000">
        <f>LN(IF(AE586&lt;AE489,IF(LOG(AE585)&lt;-0.56,7.08,IF(LOG(AE585)&lt;0.31,10^(1+0.26*LOG(AE585)),10^(1.12-0.12*LOG(AE585))))*AE493^0.333,1))</f>
        <v>0</v>
      </c>
      <c r="AF588" s="81"/>
      <c r="AG588" s="3000">
        <f>LN(IF(AG586&lt;AG489,IF(LOG(AG585)&lt;-0.56,7.08,IF(LOG(AG585)&lt;0.31,10^(1+0.26*LOG(AG585)),10^(1.12-0.12*LOG(AG585))))*AG493^0.333,1))</f>
        <v>0</v>
      </c>
      <c r="AH588" s="81"/>
      <c r="AI588" s="3000">
        <f>LN(IF(AI586&lt;AI489,IF(LOG(AI585)&lt;-0.56,7.08,IF(LOG(AI585)&lt;0.31,10^(1+0.26*LOG(AI585)),10^(1.12-0.12*LOG(AI585))))*AI493^0.333,1))</f>
        <v>0</v>
      </c>
      <c r="AJ588" s="81"/>
      <c r="AK588" s="81"/>
      <c r="AL588" s="81"/>
      <c r="AM588" s="81"/>
      <c r="AN588" s="81"/>
      <c r="AO588" s="81"/>
      <c r="AP588" s="81"/>
      <c r="AQ588" s="85"/>
      <c r="AR588" s="81"/>
      <c r="AT588" s="26"/>
      <c r="AU588" s="26"/>
      <c r="AV588" s="26"/>
      <c r="AW588" s="26"/>
      <c r="AX588" s="26"/>
      <c r="AY588" s="26"/>
      <c r="AZ588" s="26"/>
      <c r="BA588" s="26"/>
      <c r="BB588" s="26"/>
      <c r="BC588" s="26"/>
      <c r="BD588" s="26"/>
      <c r="BE588" s="26"/>
      <c r="BF588" s="26"/>
      <c r="BG588" s="26"/>
      <c r="BH588" s="26"/>
      <c r="BI588" s="26"/>
      <c r="BJ588" s="26"/>
      <c r="BQ588" s="26"/>
      <c r="BR588" s="26"/>
    </row>
    <row r="589" spans="1:70" ht="15" customHeight="1" x14ac:dyDescent="0.25">
      <c r="A589" s="2"/>
      <c r="B589" s="614" t="str">
        <f>IF(B17="","","Vapor Mol Fraction "&amp;B17)</f>
        <v/>
      </c>
      <c r="C589" s="83"/>
      <c r="D589" s="3021">
        <f t="shared" ref="D589:D594" si="72">IF(SUM(D$468:D$473)&gt;0,D468/SUM(D$468:D$473),0)</f>
        <v>0</v>
      </c>
      <c r="E589" s="235"/>
      <c r="F589" s="3021">
        <f t="shared" ref="F589:F594" si="73">IF(SUM(F$468:F$473)&gt;0,F468/SUM(F$468:F$473),0)</f>
        <v>0</v>
      </c>
      <c r="G589" s="238"/>
      <c r="H589" s="3021">
        <f t="shared" ref="H589:H594" si="74">IF(SUM(H$468:H$473)&gt;0,H468/SUM(H$468:H$473),0)</f>
        <v>0</v>
      </c>
      <c r="I589" s="238"/>
      <c r="J589" s="3021">
        <f t="shared" ref="J589:J594" si="75">IF(SUM(J$468:J$473)&gt;0,J468/SUM(J$468:J$473),0)</f>
        <v>0</v>
      </c>
      <c r="K589" s="238"/>
      <c r="L589" s="3021">
        <f t="shared" ref="L589:L594" si="76">IF(SUM(L$468:L$473)&gt;0,L468/SUM(L$468:L$473),0)</f>
        <v>0</v>
      </c>
      <c r="M589" s="238"/>
      <c r="N589" s="3021">
        <f t="shared" ref="N589:N594" si="77">IF(SUM(N$468:N$473)&gt;0,N468/SUM(N$468:N$473),0)</f>
        <v>0</v>
      </c>
      <c r="O589" s="83"/>
      <c r="P589" s="3021">
        <f t="shared" ref="P589:P594" si="78">IF(SUM(P$468:P$473)&gt;0,P468/SUM(P$468:P$473),0)</f>
        <v>0</v>
      </c>
      <c r="Q589" s="238"/>
      <c r="R589" s="3021">
        <f t="shared" ref="R589:R594" si="79">IF(SUM(R$468:R$473)&gt;0,R468/SUM(R$468:R$473),0)</f>
        <v>0</v>
      </c>
      <c r="S589" s="238"/>
      <c r="T589" s="3021">
        <f t="shared" ref="T589:T594" si="80">IF(SUM(T$468:T$473)&gt;0,T468/SUM(T$468:T$473),0)</f>
        <v>0</v>
      </c>
      <c r="U589" s="238"/>
      <c r="V589" s="3021">
        <f t="shared" ref="V589:V594" si="81">IF(SUM(V$468:V$473)&gt;0,V468/SUM(V$468:V$473),0)</f>
        <v>0</v>
      </c>
      <c r="W589" s="238"/>
      <c r="X589" s="3021">
        <f t="shared" ref="X589:X594" si="82">IF(SUM(X$468:X$473)&gt;0,X468/SUM(X$468:X$473),0)</f>
        <v>0</v>
      </c>
      <c r="Y589" s="83"/>
      <c r="Z589" s="85"/>
      <c r="AA589" s="83"/>
      <c r="AB589" s="81"/>
      <c r="AC589" s="512" t="s">
        <v>5117</v>
      </c>
      <c r="AD589" s="81"/>
      <c r="AE589" s="3000">
        <f>LN(IF(AE586&lt;AE489,IF(LOG(AE585)&lt;-0.66,8.91,IF(LOG(AE585)&lt;0.32,10^(1.19+0.36*LOG(AE585)),10^(1.38-0.26*LOG(AE585))))*AE493^0.333,1))</f>
        <v>0</v>
      </c>
      <c r="AF589" s="81"/>
      <c r="AG589" s="3000">
        <f>LN(IF(AG586&lt;AG489,IF(LOG(AG585)&lt;-0.66,8.91,IF(LOG(AG585)&lt;0.32,10^(1.19+0.36*LOG(AG585)),10^(1.38-0.26*LOG(AG585))))*AG493^0.333,1))</f>
        <v>0</v>
      </c>
      <c r="AH589" s="81"/>
      <c r="AI589" s="3000">
        <f>LN(IF(AI586&lt;AI489,IF(LOG(AI585)&lt;-0.66,8.91,IF(LOG(AI585)&lt;0.32,10^(1.19+0.36*LOG(AI585)),10^(1.38-0.26*LOG(AI585))))*AI493^0.333,1))</f>
        <v>0</v>
      </c>
      <c r="AJ589" s="81"/>
      <c r="AK589" s="81"/>
      <c r="AL589" s="81"/>
      <c r="AM589" s="81"/>
      <c r="AN589" s="81"/>
      <c r="AO589" s="81"/>
      <c r="AP589" s="81"/>
      <c r="AQ589" s="85"/>
      <c r="AR589" s="81"/>
      <c r="AT589" s="26"/>
      <c r="AU589" s="26"/>
      <c r="AV589" s="26"/>
      <c r="AW589" s="26"/>
      <c r="AX589" s="26"/>
      <c r="AY589" s="26"/>
      <c r="AZ589" s="26"/>
      <c r="BA589" s="26"/>
      <c r="BB589" s="26"/>
      <c r="BC589" s="26"/>
      <c r="BD589" s="26"/>
      <c r="BE589" s="26"/>
      <c r="BF589" s="26"/>
      <c r="BG589" s="26"/>
      <c r="BH589" s="26"/>
      <c r="BI589" s="26"/>
      <c r="BJ589" s="26"/>
      <c r="BQ589" s="26"/>
      <c r="BR589" s="26"/>
    </row>
    <row r="590" spans="1:70" ht="15" customHeight="1" x14ac:dyDescent="0.25">
      <c r="A590" s="2"/>
      <c r="B590" s="512" t="str">
        <f>IF(B18="","","Vapor Mol Fraction "&amp;B18)</f>
        <v/>
      </c>
      <c r="C590" s="83"/>
      <c r="D590" s="3007">
        <f t="shared" si="72"/>
        <v>0</v>
      </c>
      <c r="E590" s="235"/>
      <c r="F590" s="3007">
        <f t="shared" si="73"/>
        <v>0</v>
      </c>
      <c r="G590" s="238"/>
      <c r="H590" s="3007">
        <f t="shared" si="74"/>
        <v>0</v>
      </c>
      <c r="I590" s="238"/>
      <c r="J590" s="3007">
        <f t="shared" si="75"/>
        <v>0</v>
      </c>
      <c r="K590" s="238"/>
      <c r="L590" s="3007">
        <f t="shared" si="76"/>
        <v>0</v>
      </c>
      <c r="M590" s="238"/>
      <c r="N590" s="3007">
        <f t="shared" si="77"/>
        <v>0</v>
      </c>
      <c r="O590" s="83"/>
      <c r="P590" s="3007">
        <f t="shared" si="78"/>
        <v>0</v>
      </c>
      <c r="Q590" s="238"/>
      <c r="R590" s="3007">
        <f t="shared" si="79"/>
        <v>0</v>
      </c>
      <c r="S590" s="238"/>
      <c r="T590" s="3007">
        <f t="shared" si="80"/>
        <v>0</v>
      </c>
      <c r="U590" s="238"/>
      <c r="V590" s="3007">
        <f t="shared" si="81"/>
        <v>0</v>
      </c>
      <c r="W590" s="238"/>
      <c r="X590" s="3007">
        <f t="shared" si="82"/>
        <v>0</v>
      </c>
      <c r="Y590" s="83"/>
      <c r="Z590" s="85"/>
      <c r="AA590" s="83"/>
      <c r="AB590" s="81"/>
      <c r="AC590" s="512" t="s">
        <v>5118</v>
      </c>
      <c r="AD590" s="81"/>
      <c r="AE590" s="3000">
        <f>LN(IF(AE586&lt;AE489,IF(LOG(AE585)&lt;-0.71,14.1,IF(LOG(AE585)&lt;0.37,10^(1.39+0.34*LOG(AE585)),10^(1.66-0.38*LOG(AE585))))*AE493^0.333,1))</f>
        <v>0</v>
      </c>
      <c r="AF590" s="81"/>
      <c r="AG590" s="3000">
        <f>LN(IF(AG586&lt;AG489,IF(LOG(AG585)&lt;-0.71,14.1,IF(LOG(AG585)&lt;0.37,10^(1.39+0.34*LOG(AG585)),10^(1.66-0.38*LOG(AG585))))*AG493^0.333,1))</f>
        <v>0</v>
      </c>
      <c r="AH590" s="81"/>
      <c r="AI590" s="3000">
        <f>LN(IF(AI586&lt;AI489,IF(LOG(AI585)&lt;-0.71,14.1,IF(LOG(AI585)&lt;0.37,10^(1.39+0.34*LOG(AI585)),10^(1.66-0.38*LOG(AI585))))*AI493^0.333,1))</f>
        <v>0</v>
      </c>
      <c r="AJ590" s="81"/>
      <c r="AK590" s="81"/>
      <c r="AL590" s="81"/>
      <c r="AM590" s="81"/>
      <c r="AN590" s="81"/>
      <c r="AO590" s="81"/>
      <c r="AP590" s="81"/>
      <c r="AQ590" s="85"/>
      <c r="AR590" s="81"/>
      <c r="AT590" s="26"/>
      <c r="AU590" s="26"/>
      <c r="AV590" s="26"/>
      <c r="AW590" s="26"/>
      <c r="AX590" s="26"/>
      <c r="AY590" s="26"/>
      <c r="AZ590" s="26"/>
      <c r="BA590" s="26"/>
      <c r="BB590" s="26"/>
      <c r="BC590" s="26"/>
      <c r="BD590" s="26"/>
      <c r="BE590" s="26"/>
      <c r="BF590" s="26"/>
      <c r="BG590" s="26"/>
      <c r="BH590" s="26"/>
      <c r="BI590" s="26"/>
      <c r="BJ590" s="26"/>
      <c r="BQ590" s="26"/>
      <c r="BR590" s="26"/>
    </row>
    <row r="591" spans="1:70" ht="15" customHeight="1" x14ac:dyDescent="0.25">
      <c r="A591" s="2"/>
      <c r="B591" s="512" t="str">
        <f>IF(B19="","","Vapor Mol Fraction "&amp;B19)</f>
        <v/>
      </c>
      <c r="C591" s="83"/>
      <c r="D591" s="3007">
        <f t="shared" si="72"/>
        <v>0</v>
      </c>
      <c r="E591" s="83"/>
      <c r="F591" s="3007">
        <f t="shared" si="73"/>
        <v>0</v>
      </c>
      <c r="G591" s="238"/>
      <c r="H591" s="3007">
        <f t="shared" si="74"/>
        <v>0</v>
      </c>
      <c r="I591" s="238"/>
      <c r="J591" s="3007">
        <f t="shared" si="75"/>
        <v>0</v>
      </c>
      <c r="K591" s="238"/>
      <c r="L591" s="3007">
        <f t="shared" si="76"/>
        <v>0</v>
      </c>
      <c r="M591" s="238"/>
      <c r="N591" s="3007">
        <f t="shared" si="77"/>
        <v>0</v>
      </c>
      <c r="O591" s="83"/>
      <c r="P591" s="3007">
        <f t="shared" si="78"/>
        <v>0</v>
      </c>
      <c r="Q591" s="238"/>
      <c r="R591" s="3007">
        <f t="shared" si="79"/>
        <v>0</v>
      </c>
      <c r="S591" s="238"/>
      <c r="T591" s="3007">
        <f t="shared" si="80"/>
        <v>0</v>
      </c>
      <c r="U591" s="238"/>
      <c r="V591" s="3007">
        <f t="shared" si="81"/>
        <v>0</v>
      </c>
      <c r="W591" s="238"/>
      <c r="X591" s="3007">
        <f t="shared" si="82"/>
        <v>0</v>
      </c>
      <c r="Y591" s="83"/>
      <c r="Z591" s="85"/>
      <c r="AA591" s="83"/>
      <c r="AB591" s="81"/>
      <c r="AC591" s="512" t="s">
        <v>5119</v>
      </c>
      <c r="AD591" s="81"/>
      <c r="AE591" s="3000">
        <f>LN(IF(AE586&lt;AE489,IF(LOG(AE585)&lt;-0.52,30.2,IF(LOG(AE585)&lt;0.24,10^(1.62+0.26*LOG(AE585)),10^(1.75-0.3*LOG(AE585))))*AE493^0.333,1))</f>
        <v>0</v>
      </c>
      <c r="AF591" s="81"/>
      <c r="AG591" s="3000">
        <f>LN(IF(AG586&lt;AG489,IF(LOG(AG585)&lt;-0.52,30.2,IF(LOG(AG585)&lt;0.24,10^(1.62+0.26*LOG(AG585)),10^(1.75-0.3*LOG(AG585))))*AG493^0.333,1))</f>
        <v>0</v>
      </c>
      <c r="AH591" s="81"/>
      <c r="AI591" s="3000">
        <f>LN(IF(AI586&lt;AI489,IF(LOG(AI585)&lt;-0.52,30.2,IF(LOG(AI585)&lt;0.24,10^(1.62+0.26*LOG(AI585)),10^(1.75-0.3*LOG(AI585))))*AI493^0.333,1))</f>
        <v>0</v>
      </c>
      <c r="AJ591" s="81"/>
      <c r="AK591" s="81"/>
      <c r="AL591" s="81"/>
      <c r="AM591" s="81"/>
      <c r="AN591" s="81"/>
      <c r="AO591" s="81"/>
      <c r="AP591" s="81"/>
      <c r="AQ591" s="85"/>
      <c r="AR591" s="81"/>
      <c r="AT591" s="26"/>
      <c r="AU591" s="26"/>
      <c r="AV591" s="26"/>
      <c r="AW591" s="26"/>
      <c r="AX591" s="26"/>
      <c r="AY591" s="26"/>
      <c r="AZ591" s="26"/>
      <c r="BA591" s="26"/>
      <c r="BB591" s="26"/>
      <c r="BC591" s="26"/>
      <c r="BD591" s="26"/>
      <c r="BE591" s="26"/>
      <c r="BF591" s="26"/>
      <c r="BG591" s="26"/>
      <c r="BH591" s="26"/>
      <c r="BI591" s="26"/>
      <c r="BJ591" s="26"/>
      <c r="BQ591" s="26"/>
      <c r="BR591" s="26"/>
    </row>
    <row r="592" spans="1:70" ht="15" customHeight="1" x14ac:dyDescent="0.25">
      <c r="A592" s="2"/>
      <c r="B592" s="512" t="str">
        <f>IF(B20="","","Vapor Mol Fraction "&amp;B20)</f>
        <v/>
      </c>
      <c r="C592" s="83"/>
      <c r="D592" s="3007">
        <f t="shared" si="72"/>
        <v>0</v>
      </c>
      <c r="E592" s="83"/>
      <c r="F592" s="3007">
        <f t="shared" si="73"/>
        <v>0</v>
      </c>
      <c r="G592" s="238"/>
      <c r="H592" s="3007">
        <f t="shared" si="74"/>
        <v>0</v>
      </c>
      <c r="I592" s="238"/>
      <c r="J592" s="3007">
        <f t="shared" si="75"/>
        <v>0</v>
      </c>
      <c r="K592" s="238"/>
      <c r="L592" s="3007">
        <f t="shared" si="76"/>
        <v>0</v>
      </c>
      <c r="M592" s="238"/>
      <c r="N592" s="3007">
        <f t="shared" si="77"/>
        <v>0</v>
      </c>
      <c r="O592" s="83"/>
      <c r="P592" s="3007">
        <f t="shared" si="78"/>
        <v>0</v>
      </c>
      <c r="Q592" s="238"/>
      <c r="R592" s="3007">
        <f t="shared" si="79"/>
        <v>0</v>
      </c>
      <c r="S592" s="238"/>
      <c r="T592" s="3007">
        <f t="shared" si="80"/>
        <v>0</v>
      </c>
      <c r="U592" s="238"/>
      <c r="V592" s="3007">
        <f t="shared" si="81"/>
        <v>0</v>
      </c>
      <c r="W592" s="238"/>
      <c r="X592" s="3007">
        <f t="shared" si="82"/>
        <v>0</v>
      </c>
      <c r="Y592" s="83"/>
      <c r="Z592" s="85"/>
      <c r="AA592" s="83"/>
      <c r="AB592" s="81"/>
      <c r="AC592" s="512" t="s">
        <v>5120</v>
      </c>
      <c r="AD592" s="81"/>
      <c r="AE592" s="3000">
        <f>LN(IF(AE586&lt;AE489,IF(LOG(AE585)&lt;0.27,67.6,10^(1.92-0.32*LOG(AE585)))*AE493^0.333,1))</f>
        <v>0</v>
      </c>
      <c r="AF592" s="81"/>
      <c r="AG592" s="3000">
        <f>LN(IF(AG586&lt;AG489,IF(LOG(AG585)&lt;0.27,67.6,10^(1.92-0.32*LOG(AG585)))*AG493^0.333,1))</f>
        <v>0</v>
      </c>
      <c r="AH592" s="81"/>
      <c r="AI592" s="3000">
        <f>LN(IF(AI586&lt;AI489,IF(LOG(AI585)&lt;0.27,67.6,10^(1.92-0.32*LOG(AI585)))*AI493^0.333,1))</f>
        <v>0</v>
      </c>
      <c r="AJ592" s="81"/>
      <c r="AK592" s="81"/>
      <c r="AL592" s="81"/>
      <c r="AM592" s="81"/>
      <c r="AN592" s="81"/>
      <c r="AO592" s="81"/>
      <c r="AP592" s="81"/>
      <c r="AQ592" s="85"/>
      <c r="AR592" s="81"/>
      <c r="AT592" s="26"/>
      <c r="AU592" s="26"/>
      <c r="AV592" s="26"/>
      <c r="AW592" s="26"/>
      <c r="AX592" s="26"/>
      <c r="AY592" s="26"/>
      <c r="AZ592" s="26"/>
      <c r="BA592" s="26"/>
      <c r="BB592" s="26"/>
      <c r="BC592" s="26"/>
      <c r="BD592" s="26"/>
      <c r="BE592" s="26"/>
      <c r="BF592" s="26"/>
      <c r="BG592" s="26"/>
      <c r="BH592" s="26"/>
      <c r="BI592" s="26"/>
      <c r="BJ592" s="26"/>
      <c r="BQ592" s="26"/>
      <c r="BR592" s="26"/>
    </row>
    <row r="593" spans="1:70" ht="15" customHeight="1" x14ac:dyDescent="0.25">
      <c r="A593" s="2"/>
      <c r="B593" s="512" t="str">
        <f>IF(B21="","","Vapor Mol Fraction "&amp;B21)</f>
        <v/>
      </c>
      <c r="C593" s="83"/>
      <c r="D593" s="3007">
        <f t="shared" si="72"/>
        <v>0</v>
      </c>
      <c r="E593" s="83"/>
      <c r="F593" s="3007">
        <f t="shared" si="73"/>
        <v>0</v>
      </c>
      <c r="G593" s="238"/>
      <c r="H593" s="3007">
        <f t="shared" si="74"/>
        <v>0</v>
      </c>
      <c r="I593" s="238"/>
      <c r="J593" s="3007">
        <f t="shared" si="75"/>
        <v>0</v>
      </c>
      <c r="K593" s="238"/>
      <c r="L593" s="3007">
        <f t="shared" si="76"/>
        <v>0</v>
      </c>
      <c r="M593" s="238"/>
      <c r="N593" s="3007">
        <f t="shared" si="77"/>
        <v>0</v>
      </c>
      <c r="O593" s="83"/>
      <c r="P593" s="3007">
        <f t="shared" si="78"/>
        <v>0</v>
      </c>
      <c r="Q593" s="238"/>
      <c r="R593" s="3007">
        <f t="shared" si="79"/>
        <v>0</v>
      </c>
      <c r="S593" s="238"/>
      <c r="T593" s="3007">
        <f t="shared" si="80"/>
        <v>0</v>
      </c>
      <c r="U593" s="238"/>
      <c r="V593" s="3007">
        <f t="shared" si="81"/>
        <v>0</v>
      </c>
      <c r="W593" s="238"/>
      <c r="X593" s="3007">
        <f t="shared" si="82"/>
        <v>0</v>
      </c>
      <c r="Y593" s="83"/>
      <c r="Z593" s="85"/>
      <c r="AA593" s="83"/>
      <c r="AB593" s="81"/>
      <c r="AC593" s="512" t="s">
        <v>5122</v>
      </c>
      <c r="AD593" s="81"/>
      <c r="AE593" s="3000">
        <f>LN(IF(AE586&lt;AE489,IF(LOG(AE585)&lt;-0.1,118.9,10^(2.05-0.27*LOG(AE585)))*AE493^0.333,1))</f>
        <v>0</v>
      </c>
      <c r="AF593" s="81"/>
      <c r="AG593" s="3000">
        <f>LN(IF(AG586&lt;AG489,IF(LOG(AG585)&lt;-0.1,118.9,10^(2.05-0.27*LOG(AG585)))*AG493^0.333,1))</f>
        <v>0</v>
      </c>
      <c r="AH593" s="81"/>
      <c r="AI593" s="3000">
        <f>LN(IF(AI586&lt;AI489,IF(LOG(AI585)&lt;-0.1,118.9,10^(2.05-0.27*LOG(AI585)))*AI493^0.333,1))</f>
        <v>0</v>
      </c>
      <c r="AJ593" s="81"/>
      <c r="AK593" s="81"/>
      <c r="AL593" s="81"/>
      <c r="AM593" s="81"/>
      <c r="AN593" s="81"/>
      <c r="AO593" s="81"/>
      <c r="AP593" s="81"/>
      <c r="AQ593" s="85"/>
      <c r="AR593" s="81"/>
      <c r="AT593" s="26"/>
      <c r="AU593" s="26"/>
      <c r="AV593" s="26"/>
      <c r="AW593" s="26"/>
      <c r="AX593" s="26"/>
      <c r="AY593" s="26"/>
      <c r="AZ593" s="26"/>
      <c r="BA593" s="26"/>
      <c r="BB593" s="26"/>
      <c r="BC593" s="26"/>
      <c r="BD593" s="26"/>
      <c r="BE593" s="26"/>
      <c r="BF593" s="26"/>
      <c r="BG593" s="26"/>
      <c r="BH593" s="26"/>
      <c r="BI593" s="26"/>
      <c r="BJ593" s="26"/>
      <c r="BQ593" s="26"/>
      <c r="BR593" s="26"/>
    </row>
    <row r="594" spans="1:70" ht="15" customHeight="1" thickBot="1" x14ac:dyDescent="0.3">
      <c r="A594" s="2"/>
      <c r="B594" s="615" t="s">
        <v>5132</v>
      </c>
      <c r="C594" s="83"/>
      <c r="D594" s="3022">
        <f t="shared" si="72"/>
        <v>0</v>
      </c>
      <c r="E594" s="83"/>
      <c r="F594" s="3022">
        <f t="shared" si="73"/>
        <v>0</v>
      </c>
      <c r="G594" s="238"/>
      <c r="H594" s="3022">
        <f t="shared" si="74"/>
        <v>0</v>
      </c>
      <c r="I594" s="238"/>
      <c r="J594" s="3022">
        <f t="shared" si="75"/>
        <v>0</v>
      </c>
      <c r="K594" s="238"/>
      <c r="L594" s="3022">
        <f t="shared" si="76"/>
        <v>0</v>
      </c>
      <c r="M594" s="238"/>
      <c r="N594" s="3022">
        <f t="shared" si="77"/>
        <v>0</v>
      </c>
      <c r="O594" s="83"/>
      <c r="P594" s="3022">
        <f t="shared" si="78"/>
        <v>0</v>
      </c>
      <c r="Q594" s="238"/>
      <c r="R594" s="3022">
        <f t="shared" si="79"/>
        <v>0</v>
      </c>
      <c r="S594" s="238"/>
      <c r="T594" s="3022">
        <f t="shared" si="80"/>
        <v>0</v>
      </c>
      <c r="U594" s="238"/>
      <c r="V594" s="3022">
        <f t="shared" si="81"/>
        <v>0</v>
      </c>
      <c r="W594" s="238"/>
      <c r="X594" s="3022">
        <f t="shared" si="82"/>
        <v>0</v>
      </c>
      <c r="Y594" s="83"/>
      <c r="Z594" s="85"/>
      <c r="AA594" s="83"/>
      <c r="AB594" s="81"/>
      <c r="AC594" s="2977" t="s">
        <v>5054</v>
      </c>
      <c r="AD594" s="81"/>
      <c r="AE594" s="1230">
        <f>EXP(INDEX(LINEST($CJ$277:$CJ$283,AE587:AE593),2))*((Ambient_Temp+273)/(AE430+273))*Roughness_A</f>
        <v>5.4578754578754546E-3</v>
      </c>
      <c r="AF594" s="81"/>
      <c r="AG594" s="1230">
        <f>EXP(INDEX(LINEST($CJ$277:$CJ$283,AG587:AG593),2))*((Ambient_Temp+273)/(AG430+273))*Roughness_A</f>
        <v>5.4578754578754546E-3</v>
      </c>
      <c r="AH594" s="81"/>
      <c r="AI594" s="1230">
        <f>EXP(INDEX(LINEST($CJ$277:$CJ$283,AI587:AI593),2))*((Ambient_Temp+273)/(AI430+273))*Roughness_A</f>
        <v>5.4578754578754546E-3</v>
      </c>
      <c r="AJ594" s="81"/>
      <c r="AK594" s="81"/>
      <c r="AL594" s="81"/>
      <c r="AM594" s="81"/>
      <c r="AN594" s="81"/>
      <c r="AO594" s="81"/>
      <c r="AP594" s="81"/>
      <c r="AQ594" s="85"/>
      <c r="AR594" s="81"/>
      <c r="AT594" s="26"/>
      <c r="AU594" s="26"/>
      <c r="AV594" s="26"/>
      <c r="AW594" s="26"/>
      <c r="AX594" s="26"/>
      <c r="AY594" s="26"/>
      <c r="AZ594" s="26"/>
      <c r="BA594" s="26"/>
      <c r="BB594" s="26"/>
      <c r="BC594" s="26"/>
      <c r="BD594" s="26"/>
      <c r="BE594" s="26"/>
      <c r="BF594" s="26"/>
      <c r="BG594" s="26"/>
      <c r="BH594" s="26"/>
      <c r="BQ594" s="26"/>
      <c r="BR594" s="26"/>
    </row>
    <row r="595" spans="1:70" ht="15" customHeight="1" thickBot="1" x14ac:dyDescent="0.3">
      <c r="A595" s="2"/>
      <c r="B595" s="2137" t="s">
        <v>3828</v>
      </c>
      <c r="C595" s="83"/>
      <c r="D595" s="3023">
        <f>IF(EXP(VP_A-VP_B/(Ambient_Temp+Approach_dT+273.15-VP_C))*(D589*Act_1*(Rel_1*EXP(dRel_1*(Ambient_Temp+Approach_dT-T)))+D590*Act_2*(Rel_2*EXP(dRel_2*(Ambient_Temp+Approach_dT-T)))+D591*Act_3*(Rel_3*EXP(dRel_3*(Ambient_Temp+Approach_dT-T)))+D592*Act_4*(Rel_4*EXP(dRel_4*(Ambient_Temp+Approach_dT-T)))+D593*Act_5*(Rel_5*EXP(dRel_5*(Ambient_Temp+Approach_dT-T))))&lt;0.5,2000000*EXP(VP_A-VP_B/(Ambient_Temp+Approach_dT+273.15-VP_C))*(D589*Act_1*(Rel_1*EXP(dRel_1*(Ambient_Temp+Approach_dT-T)))+D590*Act_2*(Rel_2*EXP(dRel_2*(Ambient_Temp+Approach_dT-T)))+D591*Act_3*(Rel_3*EXP(dRel_3*(Ambient_Temp+Approach_dT-T)))+D592*Act_4*(Rel_4*EXP(dRel_4*(Ambient_Temp+Approach_dT-T)))+D593*Act_5*(Rel_5*EXP(dRel_5*(Ambient_Temp+Approach_dT-T))))/IF(D594&lt;1,(1-D594),1),1000000)</f>
        <v>0</v>
      </c>
      <c r="E595" s="83"/>
      <c r="F595" s="3023">
        <f>IF(EXP(VP_A-VP_B/(Ambient_Temp+Approach_dT+273.15-VP_C))*(F589*Act_1*(Rel_1*EXP(dRel_1*(Ambient_Temp+Approach_dT-T)))+F590*Act_2*(Rel_2*EXP(dRel_2*(Ambient_Temp+Approach_dT-T)))+F591*Act_3*(Rel_3*EXP(dRel_3*(Ambient_Temp+Approach_dT-T)))+F592*Act_4*(Rel_4*EXP(dRel_4*(Ambient_Temp+Approach_dT-T)))+F593*Act_5*(Rel_5*EXP(dRel_5*(Ambient_Temp+Approach_dT-T))))&lt;0.5,2000000*EXP(VP_A-VP_B/(Ambient_Temp+Approach_dT+273.15-VP_C))*(F589*Act_1*(Rel_1*EXP(dRel_1*(Ambient_Temp+Approach_dT-T)))+F590*Act_2*(Rel_2*EXP(dRel_2*(Ambient_Temp+Approach_dT-T)))+F591*Act_3*(Rel_3*EXP(dRel_3*(Ambient_Temp+Approach_dT-T)))+F592*Act_4*(Rel_4*EXP(dRel_4*(Ambient_Temp+Approach_dT-T)))+F593*Act_5*(Rel_5*EXP(dRel_5*(Ambient_Temp+Approach_dT-T))))/IF(F594&lt;1,(1-F594),1),1000000)</f>
        <v>0</v>
      </c>
      <c r="G595" s="238"/>
      <c r="H595" s="3023">
        <f>IF(EXP(VP_A-VP_B/(Ambient_Temp+Approach_dT+273.15-VP_C))*(H589*Act_1*(Rel_1*EXP(dRel_1*(Ambient_Temp+Approach_dT-T)))+H590*Act_2*(Rel_2*EXP(dRel_2*(Ambient_Temp+Approach_dT-T)))+H591*Act_3*(Rel_3*EXP(dRel_3*(Ambient_Temp+Approach_dT-T)))+H592*Act_4*(Rel_4*EXP(dRel_4*(Ambient_Temp+Approach_dT-T)))+H593*Act_5*(Rel_5*EXP(dRel_5*(Ambient_Temp+Approach_dT-T))))&lt;0.5,2000000*EXP(VP_A-VP_B/(Ambient_Temp+Approach_dT+273.15-VP_C))*(H589*Act_1*(Rel_1*EXP(dRel_1*(Ambient_Temp+Approach_dT-T)))+H590*Act_2*(Rel_2*EXP(dRel_2*(Ambient_Temp+Approach_dT-T)))+H591*Act_3*(Rel_3*EXP(dRel_3*(Ambient_Temp+Approach_dT-T)))+H592*Act_4*(Rel_4*EXP(dRel_4*(Ambient_Temp+Approach_dT-T)))+H593*Act_5*(Rel_5*EXP(dRel_5*(Ambient_Temp+Approach_dT-T))))/IF(H594&lt;1,(1-H594),1),1000000)</f>
        <v>0</v>
      </c>
      <c r="I595" s="238"/>
      <c r="J595" s="3023">
        <f>IF(EXP(VP_A-VP_B/(Ambient_Temp+Approach_dT+273.15-VP_C))*(J589*Act_1*(Rel_1*EXP(dRel_1*(Ambient_Temp+Approach_dT-T)))+J590*Act_2*(Rel_2*EXP(dRel_2*(Ambient_Temp+Approach_dT-T)))+J591*Act_3*(Rel_3*EXP(dRel_3*(Ambient_Temp+Approach_dT-T)))+J592*Act_4*(Rel_4*EXP(dRel_4*(Ambient_Temp+Approach_dT-T)))+J593*Act_5*(Rel_5*EXP(dRel_5*(Ambient_Temp+Approach_dT-T))))&lt;0.5,2000000*EXP(VP_A-VP_B/(Ambient_Temp+Approach_dT+273.15-VP_C))*(J589*Act_1*(Rel_1*EXP(dRel_1*(Ambient_Temp+Approach_dT-T)))+J590*Act_2*(Rel_2*EXP(dRel_2*(Ambient_Temp+Approach_dT-T)))+J591*Act_3*(Rel_3*EXP(dRel_3*(Ambient_Temp+Approach_dT-T)))+J592*Act_4*(Rel_4*EXP(dRel_4*(Ambient_Temp+Approach_dT-T)))+J593*Act_5*(Rel_5*EXP(dRel_5*(Ambient_Temp+Approach_dT-T))))/IF(J594&lt;1,(1-J594),1),1000000)</f>
        <v>0</v>
      </c>
      <c r="K595" s="238"/>
      <c r="L595" s="3023">
        <f>IF(EXP(VP_A-VP_B/(Ambient_Temp+Approach_dT+273.15-VP_C))*(L589*Act_1*(Rel_1*EXP(dRel_1*(Ambient_Temp+Approach_dT-T)))+L590*Act_2*(Rel_2*EXP(dRel_2*(Ambient_Temp+Approach_dT-T)))+L591*Act_3*(Rel_3*EXP(dRel_3*(Ambient_Temp+Approach_dT-T)))+L592*Act_4*(Rel_4*EXP(dRel_4*(Ambient_Temp+Approach_dT-T)))+L593*Act_5*(Rel_5*EXP(dRel_5*(Ambient_Temp+Approach_dT-T))))&lt;0.5,2000000*EXP(VP_A-VP_B/(Ambient_Temp+Approach_dT+273.15-VP_C))*(L589*Act_1*(Rel_1*EXP(dRel_1*(Ambient_Temp+Approach_dT-T)))+L590*Act_2*(Rel_2*EXP(dRel_2*(Ambient_Temp+Approach_dT-T)))+L591*Act_3*(Rel_3*EXP(dRel_3*(Ambient_Temp+Approach_dT-T)))+L592*Act_4*(Rel_4*EXP(dRel_4*(Ambient_Temp+Approach_dT-T)))+L593*Act_5*(Rel_5*EXP(dRel_5*(Ambient_Temp+Approach_dT-T))))/IF(L594&lt;1,(1-L594),1),1000000)</f>
        <v>0</v>
      </c>
      <c r="M595" s="238"/>
      <c r="N595" s="3023">
        <f>IF(EXP(VP_A-VP_B/(Ambient_Temp+Approach_dT+273.15-VP_C))*(N589*Act_1*(Rel_1*EXP(dRel_1*(Ambient_Temp+Approach_dT-T)))+N590*Act_2*(Rel_2*EXP(dRel_2*(Ambient_Temp+Approach_dT-T)))+N591*Act_3*(Rel_3*EXP(dRel_3*(Ambient_Temp+Approach_dT-T)))+N592*Act_4*(Rel_4*EXP(dRel_4*(Ambient_Temp+Approach_dT-T)))+N593*Act_5*(Rel_5*EXP(dRel_5*(Ambient_Temp+Approach_dT-T))))&lt;0.5,2000000*EXP(VP_A-VP_B/(Ambient_Temp+Approach_dT+273.15-VP_C))*(N589*Act_1*(Rel_1*EXP(dRel_1*(Ambient_Temp+Approach_dT-T)))+N590*Act_2*(Rel_2*EXP(dRel_2*(Ambient_Temp+Approach_dT-T)))+N591*Act_3*(Rel_3*EXP(dRel_3*(Ambient_Temp+Approach_dT-T)))+N592*Act_4*(Rel_4*EXP(dRel_4*(Ambient_Temp+Approach_dT-T)))+N593*Act_5*(Rel_5*EXP(dRel_5*(Ambient_Temp+Approach_dT-T))))/IF(N594&lt;1,(1-N594),1),1000000)</f>
        <v>0</v>
      </c>
      <c r="O595" s="83"/>
      <c r="P595" s="3023">
        <f>IF(EXP(VP_A-VP_B/(Ambient_Temp+Approach_dT+273.15-VP_C))*(P589*Act_1*(Rel_1*EXP(dRel_1*(Ambient_Temp+Approach_dT-T)))+P590*Act_2*(Rel_2*EXP(dRel_2*(Ambient_Temp+Approach_dT-T)))+P591*Act_3*(Rel_3*EXP(dRel_3*(Ambient_Temp+Approach_dT-T)))+P592*Act_4*(Rel_4*EXP(dRel_4*(Ambient_Temp+Approach_dT-T)))+P593*Act_5*(Rel_5*EXP(dRel_5*(Ambient_Temp+Approach_dT-T))))&lt;0.5,2000000*EXP(VP_A-VP_B/(Ambient_Temp+Approach_dT+273.15-VP_C))*(P589*Act_1*(Rel_1*EXP(dRel_1*(Ambient_Temp+Approach_dT-T)))+P590*Act_2*(Rel_2*EXP(dRel_2*(Ambient_Temp+Approach_dT-T)))+P591*Act_3*(Rel_3*EXP(dRel_3*(Ambient_Temp+Approach_dT-T)))+P592*Act_4*(Rel_4*EXP(dRel_4*(Ambient_Temp+Approach_dT-T)))+P593*Act_5*(Rel_5*EXP(dRel_5*(Ambient_Temp+Approach_dT-T))))/IF(P594&lt;1,(1-P594),1),1000000)</f>
        <v>0</v>
      </c>
      <c r="Q595" s="238"/>
      <c r="R595" s="3023">
        <f>IF(EXP(VP_A-VP_B/(Ambient_Temp+Approach_dT+273.15-VP_C))*(R589*Act_1*(Rel_1*EXP(dRel_1*(Ambient_Temp+Approach_dT-T)))+R590*Act_2*(Rel_2*EXP(dRel_2*(Ambient_Temp+Approach_dT-T)))+R591*Act_3*(Rel_3*EXP(dRel_3*(Ambient_Temp+Approach_dT-T)))+R592*Act_4*(Rel_4*EXP(dRel_4*(Ambient_Temp+Approach_dT-T)))+R593*Act_5*(Rel_5*EXP(dRel_5*(Ambient_Temp+Approach_dT-T))))&lt;0.5,2000000*EXP(VP_A-VP_B/(Ambient_Temp+Approach_dT+273.15-VP_C))*(R589*Act_1*(Rel_1*EXP(dRel_1*(Ambient_Temp+Approach_dT-T)))+R590*Act_2*(Rel_2*EXP(dRel_2*(Ambient_Temp+Approach_dT-T)))+R591*Act_3*(Rel_3*EXP(dRel_3*(Ambient_Temp+Approach_dT-T)))+R592*Act_4*(Rel_4*EXP(dRel_4*(Ambient_Temp+Approach_dT-T)))+R593*Act_5*(Rel_5*EXP(dRel_5*(Ambient_Temp+Approach_dT-T))))/IF(R594&lt;1,(1-R594),1),1000000)</f>
        <v>0</v>
      </c>
      <c r="S595" s="238"/>
      <c r="T595" s="3023">
        <f>IF(EXP(VP_A-VP_B/(Ambient_Temp+Approach_dT+273.15-VP_C))*(T589*Act_1*(Rel_1*EXP(dRel_1*(Ambient_Temp+Approach_dT-T)))+T590*Act_2*(Rel_2*EXP(dRel_2*(Ambient_Temp+Approach_dT-T)))+T591*Act_3*(Rel_3*EXP(dRel_3*(Ambient_Temp+Approach_dT-T)))+T592*Act_4*(Rel_4*EXP(dRel_4*(Ambient_Temp+Approach_dT-T)))+T593*Act_5*(Rel_5*EXP(dRel_5*(Ambient_Temp+Approach_dT-T))))&lt;0.5,2000000*EXP(VP_A-VP_B/(Ambient_Temp+Approach_dT+273.15-VP_C))*(T589*Act_1*(Rel_1*EXP(dRel_1*(Ambient_Temp+Approach_dT-T)))+T590*Act_2*(Rel_2*EXP(dRel_2*(Ambient_Temp+Approach_dT-T)))+T591*Act_3*(Rel_3*EXP(dRel_3*(Ambient_Temp+Approach_dT-T)))+T592*Act_4*(Rel_4*EXP(dRel_4*(Ambient_Temp+Approach_dT-T)))+T593*Act_5*(Rel_5*EXP(dRel_5*(Ambient_Temp+Approach_dT-T))))/IF(T594&lt;1,(1-T594),1),1000000)</f>
        <v>0</v>
      </c>
      <c r="U595" s="238"/>
      <c r="V595" s="3023">
        <f>IF(EXP(VP_A-VP_B/(Ambient_Temp+Approach_dT+273.15-VP_C))*(V589*Act_1*(Rel_1*EXP(dRel_1*(Ambient_Temp+Approach_dT-T)))+V590*Act_2*(Rel_2*EXP(dRel_2*(Ambient_Temp+Approach_dT-T)))+V591*Act_3*(Rel_3*EXP(dRel_3*(Ambient_Temp+Approach_dT-T)))+V592*Act_4*(Rel_4*EXP(dRel_4*(Ambient_Temp+Approach_dT-T)))+V593*Act_5*(Rel_5*EXP(dRel_5*(Ambient_Temp+Approach_dT-T))))&lt;0.5,2000000*EXP(VP_A-VP_B/(Ambient_Temp+Approach_dT+273.15-VP_C))*(V589*Act_1*(Rel_1*EXP(dRel_1*(Ambient_Temp+Approach_dT-T)))+V590*Act_2*(Rel_2*EXP(dRel_2*(Ambient_Temp+Approach_dT-T)))+V591*Act_3*(Rel_3*EXP(dRel_3*(Ambient_Temp+Approach_dT-T)))+V592*Act_4*(Rel_4*EXP(dRel_4*(Ambient_Temp+Approach_dT-T)))+V593*Act_5*(Rel_5*EXP(dRel_5*(Ambient_Temp+Approach_dT-T))))/IF(V594&lt;1,(1-V594),1),1000000)</f>
        <v>0</v>
      </c>
      <c r="W595" s="238"/>
      <c r="X595" s="3023">
        <f>IF(EXP(VP_A-VP_B/(Ambient_Temp+Approach_dT+273.15-VP_C))*(X589*Act_1*(Rel_1*EXP(dRel_1*(Ambient_Temp+Approach_dT-T)))+X590*Act_2*(Rel_2*EXP(dRel_2*(Ambient_Temp+Approach_dT-T)))+X591*Act_3*(Rel_3*EXP(dRel_3*(Ambient_Temp+Approach_dT-T)))+X592*Act_4*(Rel_4*EXP(dRel_4*(Ambient_Temp+Approach_dT-T)))+X593*Act_5*(Rel_5*EXP(dRel_5*(Ambient_Temp+Approach_dT-T))))&lt;0.5,2000000*EXP(VP_A-VP_B/(Ambient_Temp+Approach_dT+273.15-VP_C))*(X589*Act_1*(Rel_1*EXP(dRel_1*(Ambient_Temp+Approach_dT-T)))+X590*Act_2*(Rel_2*EXP(dRel_2*(Ambient_Temp+Approach_dT-T)))+X591*Act_3*(Rel_3*EXP(dRel_3*(Ambient_Temp+Approach_dT-T)))+X592*Act_4*(Rel_4*EXP(dRel_4*(Ambient_Temp+Approach_dT-T)))+X593*Act_5*(Rel_5*EXP(dRel_5*(Ambient_Temp+Approach_dT-T))))/IF(X594&lt;1,(1-X594),1),1000000)</f>
        <v>0</v>
      </c>
      <c r="Y595" s="83"/>
      <c r="Z595" s="85" t="s">
        <v>1506</v>
      </c>
      <c r="AA595" s="83"/>
      <c r="AB595" s="81"/>
      <c r="AC595" s="2977" t="s">
        <v>5055</v>
      </c>
      <c r="AD595" s="81"/>
      <c r="AE595" s="1230">
        <f>INDEX(LINEST($CJ$277:$CJ$283,AE587:AE593),1)+Roughness_B</f>
        <v>0</v>
      </c>
      <c r="AF595" s="81"/>
      <c r="AG595" s="1230">
        <f>INDEX(LINEST($CJ$277:$CJ$283,AG587:AG593),1)+Roughness_B</f>
        <v>0</v>
      </c>
      <c r="AH595" s="81"/>
      <c r="AI595" s="1230">
        <f>INDEX(LINEST($CJ$277:$CJ$283,AI587:AI593),1)+Roughness_B</f>
        <v>0</v>
      </c>
      <c r="AJ595" s="81"/>
      <c r="AK595" s="81"/>
      <c r="AL595" s="81"/>
      <c r="AM595" s="81"/>
      <c r="AN595" s="81"/>
      <c r="AO595" s="81"/>
      <c r="AP595" s="81"/>
      <c r="AQ595" s="85"/>
      <c r="AR595" s="81"/>
      <c r="AT595" s="26"/>
      <c r="AU595" s="26"/>
      <c r="AV595" s="26"/>
      <c r="AW595" s="26"/>
      <c r="AX595" s="26"/>
      <c r="AY595" s="26"/>
      <c r="AZ595" s="26"/>
      <c r="BA595" s="26"/>
      <c r="BB595" s="26"/>
      <c r="BC595" s="26"/>
      <c r="BD595" s="26"/>
      <c r="BE595" s="26"/>
      <c r="BF595" s="26"/>
      <c r="BG595" s="26"/>
      <c r="BH595" s="26"/>
      <c r="BQ595" s="26"/>
      <c r="BR595" s="26"/>
    </row>
    <row r="596" spans="1:70" ht="15" customHeight="1" x14ac:dyDescent="0.25">
      <c r="A596" s="2"/>
      <c r="B596" s="614" t="str">
        <f>IF(B17="","","Vapor Mole Fraction "&amp;B17&amp;" / Time-Scaled ERPG-2")</f>
        <v/>
      </c>
      <c r="C596" s="83"/>
      <c r="D596" s="2091">
        <f>IF(AND(D$589&gt;0,ER2_1&lt;&gt;""),D$589/(ER2_1/D$586^(1/Pn_1)),0)</f>
        <v>0</v>
      </c>
      <c r="E596" s="238"/>
      <c r="F596" s="2091">
        <f>IF(AND(F$589&gt;0,ER2_1&lt;&gt;""),F$589/(ER2_1/F$586^(1/Pn_1)),0)</f>
        <v>0</v>
      </c>
      <c r="G596" s="238"/>
      <c r="H596" s="2091">
        <f>IF(AND(H$589&gt;0,ER2_1&lt;&gt;""),H$589/(ER2_1/H$586^(1/Pn_1)),0)</f>
        <v>0</v>
      </c>
      <c r="I596" s="238"/>
      <c r="J596" s="2091">
        <f>IF(AND(J$589&gt;0,ER2_1&lt;&gt;""),J$589/(ER2_1/J$586^(1/Pn_1)),0)</f>
        <v>0</v>
      </c>
      <c r="K596" s="238"/>
      <c r="L596" s="2091">
        <f>IF(AND(L$589&gt;0,ER2_1&lt;&gt;""),L$589/(ER2_1/L$586^(1/Pn_1)),0)</f>
        <v>0</v>
      </c>
      <c r="M596" s="238"/>
      <c r="N596" s="2091">
        <f>IF(AND(N$589&gt;0,ER2_1&lt;&gt;""),N$589/(ER2_1/N$586^(1/Pn_1)),0)</f>
        <v>0</v>
      </c>
      <c r="O596" s="83"/>
      <c r="P596" s="2091">
        <f>IF(AND(P$589&gt;0,ER2_1&lt;&gt;""),P$589/(ER2_1/P$586^(1/Pn_1)),0)</f>
        <v>0</v>
      </c>
      <c r="Q596" s="238"/>
      <c r="R596" s="2091">
        <f>IF(AND(R$589&gt;0,ER2_1&lt;&gt;""),R$589/(ER2_1/R$586^(1/Pn_1)),0)</f>
        <v>0</v>
      </c>
      <c r="S596" s="238"/>
      <c r="T596" s="2091">
        <f>IF(AND(T$589&gt;0,ER2_1&lt;&gt;""),T$589/(ER2_1/T$586^(1/Pn_1)),0)</f>
        <v>0</v>
      </c>
      <c r="U596" s="238"/>
      <c r="V596" s="2091">
        <f>IF(AND(V$589&gt;0,ER2_1&lt;&gt;""),V$589/(ER2_1/V$586^(1/Pn_1)),0)</f>
        <v>0</v>
      </c>
      <c r="W596" s="238"/>
      <c r="X596" s="2091">
        <f>IF(AND(X$589&gt;0,ER2_1&lt;&gt;""),X$589/(ER2_1/X$586^(1/Pn_1)),0)</f>
        <v>0</v>
      </c>
      <c r="Y596" s="83"/>
      <c r="Z596" s="85"/>
      <c r="AA596" s="83"/>
      <c r="AB596" s="81"/>
      <c r="AC596" s="1691" t="s">
        <v>5069</v>
      </c>
      <c r="AD596" s="81"/>
      <c r="AE596" s="2401">
        <f>IF(AE586&lt;AE489,(AE594/(AE586/AE489))^(-1/AE595),0)</f>
        <v>0</v>
      </c>
      <c r="AF596" s="81"/>
      <c r="AG596" s="2401">
        <f>IF(AG586&lt;AG489,(AG594/(AG586/AG489))^(-1/AG595),0)</f>
        <v>0</v>
      </c>
      <c r="AH596" s="81"/>
      <c r="AI596" s="2401">
        <f>IF(AI586&lt;AI489,(AI594/(AI586/AI489))^(-1/AI595),0)</f>
        <v>0</v>
      </c>
      <c r="AJ596" s="81"/>
      <c r="AK596" s="81"/>
      <c r="AL596" s="81"/>
      <c r="AM596" s="81"/>
      <c r="AN596" s="81"/>
      <c r="AO596" s="81"/>
      <c r="AP596" s="81"/>
      <c r="AQ596" s="85"/>
      <c r="AR596" s="81"/>
      <c r="BQ596" s="26"/>
      <c r="BR596" s="26"/>
    </row>
    <row r="597" spans="1:70" ht="15" customHeight="1" x14ac:dyDescent="0.25">
      <c r="A597" s="2"/>
      <c r="B597" s="512" t="str">
        <f>IF(B18="","","Vapor Mole Fraction "&amp;B18&amp;" / Time-Scaled ERPG-2")</f>
        <v/>
      </c>
      <c r="C597" s="83"/>
      <c r="D597" s="2091">
        <f>IF(AND(D$590&gt;0,ER2_2&lt;&gt;""),D$590/(ER2_2/D$586^(1/Pn_2)),0)</f>
        <v>0</v>
      </c>
      <c r="E597" s="238"/>
      <c r="F597" s="2091">
        <f>IF(AND(F$590&gt;0,ER2_2&lt;&gt;""),F$590/(ER2_2/F$586^(1/Pn_2)),0)</f>
        <v>0</v>
      </c>
      <c r="G597" s="238"/>
      <c r="H597" s="2091">
        <f>IF(AND(H$590&gt;0,ER2_2&lt;&gt;""),H$590/(ER2_2/H$586^(1/Pn_2)),0)</f>
        <v>0</v>
      </c>
      <c r="I597" s="238"/>
      <c r="J597" s="2091">
        <f>IF(AND(J$590&gt;0,ER2_2&lt;&gt;""),J$590/(ER2_2/J$586^(1/Pn_2)),0)</f>
        <v>0</v>
      </c>
      <c r="K597" s="238"/>
      <c r="L597" s="2091">
        <f>IF(AND(L$590&gt;0,ER2_2&lt;&gt;""),L$590/(ER2_2/L$586^(1/Pn_2)),0)</f>
        <v>0</v>
      </c>
      <c r="M597" s="238"/>
      <c r="N597" s="2091">
        <f>IF(AND(N$590&gt;0,ER2_2&lt;&gt;""),N$590/(ER2_2/N$586^(1/Pn_2)),0)</f>
        <v>0</v>
      </c>
      <c r="O597" s="83"/>
      <c r="P597" s="2091">
        <f>IF(AND(P$590&gt;0,ER2_2&lt;&gt;""),P$590/(ER2_2/P$586^(1/Pn_2)),0)</f>
        <v>0</v>
      </c>
      <c r="Q597" s="238"/>
      <c r="R597" s="2091">
        <f>IF(AND(R$590&gt;0,ER2_2&lt;&gt;""),R$590/(ER2_2/R$586^(1/Pn_2)),0)</f>
        <v>0</v>
      </c>
      <c r="S597" s="238"/>
      <c r="T597" s="2091">
        <f>IF(AND(T$590&gt;0,ER2_2&lt;&gt;""),T$590/(ER2_2/T$586^(1/Pn_2)),0)</f>
        <v>0</v>
      </c>
      <c r="U597" s="238"/>
      <c r="V597" s="2091">
        <f>IF(AND(V$590&gt;0,ER2_2&lt;&gt;""),V$590/(ER2_2/V$586^(1/Pn_2)),0)</f>
        <v>0</v>
      </c>
      <c r="W597" s="238"/>
      <c r="X597" s="2091">
        <f>IF(AND(X$590&gt;0,ER2_2&lt;&gt;""),X$590/(ER2_2/X$586^(1/Pn_2)),0)</f>
        <v>0</v>
      </c>
      <c r="Y597" s="83"/>
      <c r="Z597" s="85"/>
      <c r="AA597" s="83"/>
      <c r="AB597" s="81"/>
      <c r="AC597" s="1691" t="s">
        <v>5073</v>
      </c>
      <c r="AD597" s="81"/>
      <c r="AE597" s="2985">
        <f>IF(AE596&gt;0,NBPuff_A_Night*AE471/(AE488*AE586),0)^NBPuff_B_Night</f>
        <v>0</v>
      </c>
      <c r="AF597" s="81"/>
      <c r="AG597" s="2985">
        <f>IF(AG596&gt;0,NBPuff_A_Night*AG471/(AG488*AG586),0)^NBPuff_B_Night</f>
        <v>0</v>
      </c>
      <c r="AH597" s="81"/>
      <c r="AI597" s="2985">
        <f>IF(AI596&gt;0,NBPuff_A_Night*AI471/(AI488*AI586),0)^NBPuff_B_Night</f>
        <v>0</v>
      </c>
      <c r="AJ597" s="81"/>
      <c r="AK597" s="81"/>
      <c r="AL597" s="81"/>
      <c r="AM597" s="81"/>
      <c r="AN597" s="81"/>
      <c r="AO597" s="81"/>
      <c r="AP597" s="81"/>
      <c r="AQ597" s="85"/>
      <c r="AR597" s="81"/>
      <c r="BQ597" s="26"/>
    </row>
    <row r="598" spans="1:70" ht="15" customHeight="1" x14ac:dyDescent="0.25">
      <c r="A598" s="2"/>
      <c r="B598" s="512" t="str">
        <f>IF(B19="","","Vapor Mole Fraction "&amp;B19&amp;" / Time-Scaled ERPG-2")</f>
        <v/>
      </c>
      <c r="C598" s="83"/>
      <c r="D598" s="2091">
        <f>IF(AND(D$591&gt;0,ER2_3&lt;&gt;""),D$591/(ER2_3/D$586^(1/Pn_3)),0)</f>
        <v>0</v>
      </c>
      <c r="E598" s="238"/>
      <c r="F598" s="2091">
        <f>IF(AND(F$591&gt;0,ER2_3&lt;&gt;""),F$591/(ER2_3/F$586^(1/Pn_3)),0)</f>
        <v>0</v>
      </c>
      <c r="G598" s="238"/>
      <c r="H598" s="2091">
        <f>IF(AND(H$591&gt;0,ER2_3&lt;&gt;""),H$591/(ER2_3/H$586^(1/Pn_3)),0)</f>
        <v>0</v>
      </c>
      <c r="I598" s="238"/>
      <c r="J598" s="2091">
        <f>IF(AND(J$591&gt;0,ER2_3&lt;&gt;""),J$591/(ER2_3/J$586^(1/Pn_3)),0)</f>
        <v>0</v>
      </c>
      <c r="K598" s="238"/>
      <c r="L598" s="2091">
        <f>IF(AND(L$591&gt;0,ER2_3&lt;&gt;""),L$591/(ER2_3/L$586^(1/Pn_3)),0)</f>
        <v>0</v>
      </c>
      <c r="M598" s="238"/>
      <c r="N598" s="2091">
        <f>IF(AND(N$591&gt;0,ER2_3&lt;&gt;""),N$591/(ER2_3/N$586^(1/Pn_3)),0)</f>
        <v>0</v>
      </c>
      <c r="O598" s="83"/>
      <c r="P598" s="2091">
        <f>IF(AND(P$591&gt;0,ER2_3&lt;&gt;""),P$591/(ER2_3/P$586^(1/Pn_3)),0)</f>
        <v>0</v>
      </c>
      <c r="Q598" s="238"/>
      <c r="R598" s="2091">
        <f>IF(AND(R$591&gt;0,ER2_3&lt;&gt;""),R$591/(ER2_3/R$586^(1/Pn_3)),0)</f>
        <v>0</v>
      </c>
      <c r="S598" s="238"/>
      <c r="T598" s="2091">
        <f>IF(AND(T$591&gt;0,ER2_3&lt;&gt;""),T$591/(ER2_3/T$586^(1/Pn_3)),0)</f>
        <v>0</v>
      </c>
      <c r="U598" s="238"/>
      <c r="V598" s="2091">
        <f>IF(AND(V$591&gt;0,ER2_3&lt;&gt;""),V$591/(ER2_3/V$586^(1/Pn_3)),0)</f>
        <v>0</v>
      </c>
      <c r="W598" s="238"/>
      <c r="X598" s="2091">
        <f>IF(AND(X$591&gt;0,ER2_3&lt;&gt;""),X$591/(ER2_3/X$586^(1/Pn_3)),0)</f>
        <v>0</v>
      </c>
      <c r="Y598" s="83"/>
      <c r="Z598" s="85"/>
      <c r="AA598" s="83"/>
      <c r="AB598" s="81"/>
      <c r="AC598" s="512" t="s">
        <v>5099</v>
      </c>
      <c r="AD598" s="81"/>
      <c r="AE598" s="2981">
        <f>IF(AE471&gt;0,LN(IF(AE596&gt;=10,AE489*AE594*10^AE595,NBPuff_A_Night*AE471/AE488/(10-AE596+AE597)^(1/NBPuff_B_Night))),0)</f>
        <v>0</v>
      </c>
      <c r="AF598" s="81"/>
      <c r="AG598" s="2981">
        <f>IF(AG471&gt;0,LN(IF(AG596&gt;=10,AG489*AG594*10^AG595,NBPuff_A_Night*AG471/AG488/(10-AG596+AG597)^(1/NBPuff_B_Night))),0)</f>
        <v>0</v>
      </c>
      <c r="AH598" s="81"/>
      <c r="AI598" s="2981">
        <f>IF(AI471&gt;0,LN(IF(AI596&gt;=10,AI489*AI594*10^AI595,NBPuff_A_Night*AI471/AI488/(10-AI596+AI597)^(1/NBPuff_B_Night))),0)</f>
        <v>0</v>
      </c>
      <c r="AJ598" s="81"/>
      <c r="AK598" s="81"/>
      <c r="AL598" s="81"/>
      <c r="AM598" s="81"/>
      <c r="AN598" s="81"/>
      <c r="AO598" s="81"/>
      <c r="AP598" s="81"/>
      <c r="AQ598" s="85"/>
      <c r="AR598" s="81"/>
      <c r="BQ598" s="26"/>
    </row>
    <row r="599" spans="1:70" ht="15" customHeight="1" x14ac:dyDescent="0.25">
      <c r="A599" s="2"/>
      <c r="B599" s="512" t="str">
        <f>IF(B20="","","Vapor Mole Fraction "&amp;B20&amp;" / Time-Scaled ERPG-2")</f>
        <v/>
      </c>
      <c r="C599" s="83"/>
      <c r="D599" s="2091">
        <f>IF(AND(D$592&gt;0,ER2_4&lt;&gt;""),D$592/(ER2_4/D$586^(1/Pn_4)),0)</f>
        <v>0</v>
      </c>
      <c r="E599" s="238"/>
      <c r="F599" s="2091">
        <f>IF(AND(F$592&gt;0,ER2_4&lt;&gt;""),F$592/(ER2_4/F$586^(1/Pn_4)),0)</f>
        <v>0</v>
      </c>
      <c r="G599" s="238"/>
      <c r="H599" s="2091">
        <f>IF(AND(H$592&gt;0,ER2_4&lt;&gt;""),H$592/(ER2_4/H$586^(1/Pn_4)),0)</f>
        <v>0</v>
      </c>
      <c r="I599" s="238"/>
      <c r="J599" s="2091">
        <f>IF(AND(J$592&gt;0,ER2_4&lt;&gt;""),J$592/(ER2_4/J$586^(1/Pn_4)),0)</f>
        <v>0</v>
      </c>
      <c r="K599" s="238"/>
      <c r="L599" s="2091">
        <f>IF(AND(L$592&gt;0,ER2_4&lt;&gt;""),L$592/(ER2_4/L$586^(1/Pn_4)),0)</f>
        <v>0</v>
      </c>
      <c r="M599" s="238"/>
      <c r="N599" s="2091">
        <f>IF(AND(N$592&gt;0,ER2_4&lt;&gt;""),N$592/(ER2_4/N$586^(1/Pn_4)),0)</f>
        <v>0</v>
      </c>
      <c r="O599" s="83"/>
      <c r="P599" s="2091">
        <f>IF(AND(P$592&gt;0,ER2_4&lt;&gt;""),P$592/(ER2_4/P$586^(1/Pn_4)),0)</f>
        <v>0</v>
      </c>
      <c r="Q599" s="238"/>
      <c r="R599" s="2091">
        <f>IF(AND(R$592&gt;0,ER2_4&lt;&gt;""),R$592/(ER2_4/R$586^(1/Pn_4)),0)</f>
        <v>0</v>
      </c>
      <c r="S599" s="238"/>
      <c r="T599" s="2091">
        <f>IF(AND(T$592&gt;0,ER2_4&lt;&gt;""),T$592/(ER2_4/T$586^(1/Pn_4)),0)</f>
        <v>0</v>
      </c>
      <c r="U599" s="238"/>
      <c r="V599" s="2091">
        <f>IF(AND(V$592&gt;0,ER2_4&lt;&gt;""),V$592/(ER2_4/V$586^(1/Pn_4)),0)</f>
        <v>0</v>
      </c>
      <c r="W599" s="238"/>
      <c r="X599" s="2091">
        <f>IF(AND(X$592&gt;0,ER2_4&lt;&gt;""),X$592/(ER2_4/X$586^(1/Pn_4)),0)</f>
        <v>0</v>
      </c>
      <c r="Y599" s="83"/>
      <c r="Z599" s="85"/>
      <c r="AA599" s="83"/>
      <c r="AB599" s="81"/>
      <c r="AC599" s="512" t="s">
        <v>5100</v>
      </c>
      <c r="AD599" s="81"/>
      <c r="AE599" s="2981">
        <f>IF(AE471&gt;0,LN(IF(AE596&gt;=20,AE489*AE594*20^AE595,NBPuff_A_Night*AE471/AE488/(20-AE596+AE597)^(1/NBPuff_B_Night))),0)</f>
        <v>0</v>
      </c>
      <c r="AF599" s="81"/>
      <c r="AG599" s="2981">
        <f>IF(AG471&gt;0,LN(IF(AG596&gt;=20,AG489*AG594*20^AG595,NBPuff_A_Night*AG471/AG488/(20-AG596+AG597)^(1/NBPuff_B_Night))),0)</f>
        <v>0</v>
      </c>
      <c r="AH599" s="81"/>
      <c r="AI599" s="2981">
        <f>IF(AI471&gt;0,LN(IF(AI596&gt;=20,AI489*AI594*20^AI595,NBPuff_A_Night*AI471/AI488/(20-AI596+AI597)^(1/NBPuff_B_Night))),0)</f>
        <v>0</v>
      </c>
      <c r="AJ599" s="81"/>
      <c r="AK599" s="81"/>
      <c r="AL599" s="81"/>
      <c r="AM599" s="81"/>
      <c r="AN599" s="81"/>
      <c r="AO599" s="81"/>
      <c r="AP599" s="81"/>
      <c r="AQ599" s="85"/>
      <c r="AR599" s="81"/>
      <c r="BQ599" s="26"/>
    </row>
    <row r="600" spans="1:70" ht="15" customHeight="1" x14ac:dyDescent="0.25">
      <c r="A600" s="2"/>
      <c r="B600" s="512" t="str">
        <f>IF(B21="","","Vapor Mole Fraction "&amp;B21&amp;" / Time-Scaled ERPG-2")</f>
        <v/>
      </c>
      <c r="C600" s="83"/>
      <c r="D600" s="2091">
        <f>IF(AND(D$593&gt;0,ER2_5&lt;&gt;""),D$593/(ER2_5/D$586^(1/Pn_5)),0)</f>
        <v>0</v>
      </c>
      <c r="E600" s="238"/>
      <c r="F600" s="2091">
        <f>IF(AND(F$593&gt;0,ER2_5&lt;&gt;""),F$593/(ER2_5/F$586^(1/Pn_5)),0)</f>
        <v>0</v>
      </c>
      <c r="G600" s="238"/>
      <c r="H600" s="2091">
        <f>IF(AND(H$593&gt;0,ER2_5&lt;&gt;""),H$593/(ER2_5/H$586^(1/Pn_5)),0)</f>
        <v>0</v>
      </c>
      <c r="I600" s="238"/>
      <c r="J600" s="2091">
        <f>IF(AND(J$593&gt;0,ER2_5&lt;&gt;""),J$593/(ER2_5/J$586^(1/Pn_5)),0)</f>
        <v>0</v>
      </c>
      <c r="K600" s="238"/>
      <c r="L600" s="2091">
        <f>IF(AND(L$593&gt;0,ER2_5&lt;&gt;""),L$593/(ER2_5/L$586^(1/Pn_5)),0)</f>
        <v>0</v>
      </c>
      <c r="M600" s="238"/>
      <c r="N600" s="2091">
        <f>IF(AND(N$593&gt;0,ER2_5&lt;&gt;""),N$593/(ER2_5/N$586^(1/Pn_5)),0)</f>
        <v>0</v>
      </c>
      <c r="O600" s="83"/>
      <c r="P600" s="2091">
        <f>IF(AND(P$593&gt;0,ER2_5&lt;&gt;""),P$593/(ER2_5/P$586^(1/Pn_5)),0)</f>
        <v>0</v>
      </c>
      <c r="Q600" s="238"/>
      <c r="R600" s="2091">
        <f>IF(AND(R$593&gt;0,ER2_5&lt;&gt;""),R$593/(ER2_5/R$586^(1/Pn_5)),0)</f>
        <v>0</v>
      </c>
      <c r="S600" s="238"/>
      <c r="T600" s="2091">
        <f>IF(AND(T$593&gt;0,ER2_5&lt;&gt;""),T$593/(ER2_5/T$586^(1/Pn_5)),0)</f>
        <v>0</v>
      </c>
      <c r="U600" s="238"/>
      <c r="V600" s="2091">
        <f>IF(AND(V$593&gt;0,ER2_5&lt;&gt;""),V$593/(ER2_5/V$586^(1/Pn_5)),0)</f>
        <v>0</v>
      </c>
      <c r="W600" s="238"/>
      <c r="X600" s="2091">
        <f>IF(AND(X$593&gt;0,ER2_5&lt;&gt;""),X$593/(ER2_5/X$586^(1/Pn_5)),0)</f>
        <v>0</v>
      </c>
      <c r="Y600" s="83"/>
      <c r="Z600" s="85"/>
      <c r="AA600" s="83"/>
      <c r="AB600" s="81"/>
      <c r="AC600" s="512" t="s">
        <v>5101</v>
      </c>
      <c r="AD600" s="81"/>
      <c r="AE600" s="2981">
        <f>IF(AE471&gt;0,LN(IF(AE596&gt;=50,AE489*AE594*50^AE595,NBPuff_A_Night*AE471/AE488/(50-AE596+AE597)^(1/NBPuff_B_Night))),0)</f>
        <v>0</v>
      </c>
      <c r="AF600" s="81"/>
      <c r="AG600" s="2981">
        <f>IF(AG471&gt;0,LN(IF(AG596&gt;=50,AG489*AG594*50^AG595,NBPuff_A_Night*AG471/AG488/(50-AG596+AG597)^(1/NBPuff_B_Night))),0)</f>
        <v>0</v>
      </c>
      <c r="AH600" s="81"/>
      <c r="AI600" s="2981">
        <f>IF(AI471&gt;0,LN(IF(AI596&gt;=50,AI489*AI594*50^AI595,NBPuff_A_Night*AI471/AI488/(50-AI596+AI597)^(1/NBPuff_B_Night))),0)</f>
        <v>0</v>
      </c>
      <c r="AJ600" s="81"/>
      <c r="AK600" s="81"/>
      <c r="AL600" s="81"/>
      <c r="AM600" s="81"/>
      <c r="AN600" s="81"/>
      <c r="AO600" s="81"/>
      <c r="AP600" s="81"/>
      <c r="AQ600" s="85"/>
      <c r="AR600" s="81"/>
      <c r="BQ600" s="26"/>
    </row>
    <row r="601" spans="1:70" ht="15" customHeight="1" thickBot="1" x14ac:dyDescent="0.3">
      <c r="A601" s="2"/>
      <c r="B601" s="615" t="s">
        <v>5133</v>
      </c>
      <c r="C601" s="83"/>
      <c r="D601" s="2091">
        <f>IF(AND(D$594&gt;0,Pad_ER2&lt;&gt;""),D$594/(Pad_ER2/D$586^(1/PnPad)),0)</f>
        <v>0</v>
      </c>
      <c r="E601" s="238"/>
      <c r="F601" s="2091">
        <f>IF(AND(F$594&gt;0,Pad_ER2&lt;&gt;""),F$594/(Pad_ER2/F$586^(1/PnPad)),0)</f>
        <v>0</v>
      </c>
      <c r="G601" s="238"/>
      <c r="H601" s="2091">
        <f>IF(AND(H$594&gt;0,Pad_ER2&lt;&gt;""),H$594/(Pad_ER2/H$586^(1/PnPad)),0)</f>
        <v>0</v>
      </c>
      <c r="I601" s="238"/>
      <c r="J601" s="2091">
        <f>IF(AND(J$594&gt;0,Pad_ER2&lt;&gt;""),J$594/(Pad_ER2/J$586^(1/PnPad)),0)</f>
        <v>0</v>
      </c>
      <c r="K601" s="238"/>
      <c r="L601" s="2091">
        <f>IF(AND(L$594&gt;0,Pad_ER2&lt;&gt;""),L$594/(Pad_ER2/L$586^(1/PnPad)),0)</f>
        <v>0</v>
      </c>
      <c r="M601" s="238"/>
      <c r="N601" s="2091">
        <f>IF(AND(N$594&gt;0,Pad_ER2&lt;&gt;""),N$594/(Pad_ER2/N$586^(1/PnPad)),0)</f>
        <v>0</v>
      </c>
      <c r="O601" s="83"/>
      <c r="P601" s="2091">
        <f>IF(AND(P$594&gt;0,Pad_ER2&lt;&gt;""),P$594/(Pad_ER2/P$586^(1/PnPad)),0)</f>
        <v>0</v>
      </c>
      <c r="Q601" s="238"/>
      <c r="R601" s="2091">
        <f>IF(AND(R$594&gt;0,Pad_ER2&lt;&gt;""),R$594/(Pad_ER2/R$586^(1/PnPad)),0)</f>
        <v>0</v>
      </c>
      <c r="S601" s="238"/>
      <c r="T601" s="2091">
        <f>IF(AND(T$594&gt;0,Pad_ER2&lt;&gt;""),T$594/(Pad_ER2/T$586^(1/PnPad)),0)</f>
        <v>0</v>
      </c>
      <c r="U601" s="238"/>
      <c r="V601" s="2091">
        <f>IF(AND(V$594&gt;0,Pad_ER2&lt;&gt;""),V$594/(Pad_ER2/V$586^(1/PnPad)),0)</f>
        <v>0</v>
      </c>
      <c r="W601" s="238"/>
      <c r="X601" s="2091">
        <f>IF(AND(X$594&gt;0,Pad_ER2&lt;&gt;""),X$594/(Pad_ER2/X$586^(1/PnPad)),0)</f>
        <v>0</v>
      </c>
      <c r="Y601" s="83"/>
      <c r="Z601" s="23"/>
      <c r="AA601" s="83"/>
      <c r="AB601" s="81"/>
      <c r="AC601" s="512" t="s">
        <v>5102</v>
      </c>
      <c r="AD601" s="81"/>
      <c r="AE601" s="2981">
        <f>IF(AE471&gt;0,LN(IF(AE596&gt;=100,AE489*AE594*100^AE595,NBPuff_A_Night*AE471/AE488/(100-AE596+AE597)^(1/NBPuff_B_Night))),0)</f>
        <v>0</v>
      </c>
      <c r="AF601" s="81"/>
      <c r="AG601" s="2981">
        <f>IF(AG471&gt;0,LN(IF(AG596&gt;=100,AG489*AG594*100^AG595,NBPuff_A_Night*AG471/AG488/(100-AG596+AG597)^(1/NBPuff_B_Night))),0)</f>
        <v>0</v>
      </c>
      <c r="AH601" s="81"/>
      <c r="AI601" s="2981">
        <f>IF(AI471&gt;0,LN(IF(AI596&gt;=100,AI489*AI594*100^AI595,NBPuff_A_Night*AI471/AI488/(100-AI596+AI597)^(1/NBPuff_B_Night))),0)</f>
        <v>0</v>
      </c>
      <c r="AJ601" s="81"/>
      <c r="AK601" s="81"/>
      <c r="AL601" s="81"/>
      <c r="AM601" s="81"/>
      <c r="AN601" s="81"/>
      <c r="AO601" s="81"/>
      <c r="AP601" s="81"/>
      <c r="AQ601" s="85"/>
      <c r="AR601" s="81"/>
      <c r="BQ601" s="26"/>
    </row>
    <row r="602" spans="1:70" ht="15" customHeight="1" thickBot="1" x14ac:dyDescent="0.3">
      <c r="A602" s="2"/>
      <c r="B602" s="85" t="s">
        <v>2209</v>
      </c>
      <c r="C602" s="83"/>
      <c r="D602" s="2101" t="str">
        <f>IF(AND(D$586&gt;0,SUM(D596:D601)&gt;0),IF(1/SUM(D596:D601)&lt;1000000,1/SUM(D596:D601),1000000),"")</f>
        <v/>
      </c>
      <c r="E602" s="238"/>
      <c r="F602" s="2101" t="str">
        <f>IF(AND(F$586&gt;0,SUM(F596:F601)&gt;0),IF(1/SUM(F596:F601)&lt;1000000,1/SUM(F596:F601),1000000),"")</f>
        <v/>
      </c>
      <c r="G602" s="238"/>
      <c r="H602" s="2101" t="str">
        <f>IF(AND(H$586&gt;0,SUM(H596:H601)&gt;0),IF(1/SUM(H596:H601)&lt;1000000,1/SUM(H596:H601),1000000),"")</f>
        <v/>
      </c>
      <c r="I602" s="238"/>
      <c r="J602" s="2101" t="str">
        <f>IF(AND(J$586&gt;0,SUM(J596:J601)&gt;0),IF(1/SUM(J596:J601)&lt;1000000,1/SUM(J596:J601),1000000),"")</f>
        <v/>
      </c>
      <c r="K602" s="238"/>
      <c r="L602" s="2101" t="str">
        <f>IF(AND(L$586&gt;0,SUM(L596:L601)&gt;0),IF(1/SUM(L596:L601)&lt;1000000,1/SUM(L596:L601),1000000),"")</f>
        <v/>
      </c>
      <c r="M602" s="238"/>
      <c r="N602" s="2101" t="str">
        <f>IF(AND(N$586&gt;0,SUM(N596:N601)&gt;0),IF(1/SUM(N596:N601)&lt;1000000,1/SUM(N596:N601),1000000),"")</f>
        <v/>
      </c>
      <c r="O602" s="238"/>
      <c r="P602" s="2101" t="str">
        <f>IF(AND(P$586&gt;0,SUM(P596:P601)&gt;0),IF(1/SUM(P596:P601)&lt;1000000,1/SUM(P596:P601),1000000),"")</f>
        <v/>
      </c>
      <c r="Q602" s="238"/>
      <c r="R602" s="2101" t="str">
        <f>IF(AND(R$586&gt;0,SUM(R596:R601)&gt;0),IF(1/SUM(R596:R601)&lt;1000000,1/SUM(R596:R601),1000000),"")</f>
        <v/>
      </c>
      <c r="S602" s="238"/>
      <c r="T602" s="2101" t="str">
        <f>IF(AND(T$586&gt;0,SUM(T596:T601)&gt;0),IF(1/SUM(T596:T601)&lt;1000000,1/SUM(T596:T601),1000000),"")</f>
        <v/>
      </c>
      <c r="U602" s="238"/>
      <c r="V602" s="2101" t="str">
        <f>IF(AND(V$586&gt;0,SUM(V596:V601)&gt;0),IF(1/SUM(V596:V601)&lt;1000000,1/SUM(V596:V601),1000000),"")</f>
        <v/>
      </c>
      <c r="W602" s="238"/>
      <c r="X602" s="2101" t="str">
        <f>IF(AND(X$586&gt;0,SUM(X596:X601)&gt;0),IF(1/SUM(X596:X601)&lt;1000000,1/SUM(X596:X601),1000000),"")</f>
        <v/>
      </c>
      <c r="Y602" s="83"/>
      <c r="Z602" s="85" t="s">
        <v>1506</v>
      </c>
      <c r="AA602" s="83"/>
      <c r="AB602" s="81"/>
      <c r="AC602" s="512" t="s">
        <v>5103</v>
      </c>
      <c r="AD602" s="81"/>
      <c r="AE602" s="2981">
        <f>IF(AE471&gt;0,LN(IF(AE596&gt;=200,AE489*AE594*200^AE595,NBPuff_A_Night*AE471/AE488/(200-AE596+AE597)^(1/NBPuff_B_Night))),0)</f>
        <v>0</v>
      </c>
      <c r="AF602" s="81"/>
      <c r="AG602" s="2981">
        <f>IF(AG471&gt;0,LN(IF(AG596&gt;=200,AG489*AG594*200^AG595,NBPuff_A_Night*AG471/AG488/(200-AG596+AG597)^(1/NBPuff_B_Night))),0)</f>
        <v>0</v>
      </c>
      <c r="AH602" s="81"/>
      <c r="AI602" s="2981">
        <f>IF(AI471&gt;0,LN(IF(AI596&gt;=200,AI489*AI594*200^AI595,NBPuff_A_Night*AI471/AI488/(200-AI596+AI597)^(1/NBPuff_B_Night))),0)</f>
        <v>0</v>
      </c>
      <c r="AJ602" s="81"/>
      <c r="AK602" s="81"/>
      <c r="AL602" s="81"/>
      <c r="AM602" s="81"/>
      <c r="AN602" s="81"/>
      <c r="AO602" s="81"/>
      <c r="AP602" s="81"/>
      <c r="AQ602" s="85"/>
      <c r="AR602" s="81"/>
      <c r="BQ602" s="26"/>
    </row>
    <row r="603" spans="1:70" ht="15" customHeight="1" x14ac:dyDescent="0.25">
      <c r="A603" s="2"/>
      <c r="B603" s="614" t="str">
        <f>IF(B17="","","Vapor Mole Fraction "&amp;B17&amp;" / Time-Scaled ERPG-3")</f>
        <v/>
      </c>
      <c r="C603" s="83"/>
      <c r="D603" s="2091">
        <f>IF(AND(D$589&gt;0,ER3_1&lt;&gt;""),D$589/(ER3_1/D$586^(1/Pn_1)),0)</f>
        <v>0</v>
      </c>
      <c r="E603" s="238"/>
      <c r="F603" s="2091">
        <f>IF(AND(F$589&gt;0,ER3_1&lt;&gt;""),F$589/(ER3_1/F$586^(1/Pn_1)),0)</f>
        <v>0</v>
      </c>
      <c r="G603" s="83"/>
      <c r="H603" s="2091">
        <f>IF(AND(H$589&gt;0,ER3_1&lt;&gt;""),H$589/(ER3_1/H$586^(1/Pn_1)),0)</f>
        <v>0</v>
      </c>
      <c r="I603" s="83"/>
      <c r="J603" s="2091">
        <f>IF(AND(J$589&gt;0,ER3_1&lt;&gt;""),J$589/(ER3_1/J$586^(1/Pn_1)),0)</f>
        <v>0</v>
      </c>
      <c r="K603" s="83"/>
      <c r="L603" s="2091">
        <f>IF(AND(L$589&gt;0,ER3_1&lt;&gt;""),L$589/(ER3_1/L$586^(1/Pn_1)),0)</f>
        <v>0</v>
      </c>
      <c r="M603" s="83"/>
      <c r="N603" s="2091">
        <f>IF(AND(N$589&gt;0,ER3_1&lt;&gt;""),N$589/(ER3_1/N$586^(1/Pn_1)),0)</f>
        <v>0</v>
      </c>
      <c r="O603" s="83"/>
      <c r="P603" s="2091">
        <f>IF(AND(P$589&gt;0,ER3_1&lt;&gt;""),P$589/(ER3_1/P$586^(1/Pn_1)),0)</f>
        <v>0</v>
      </c>
      <c r="Q603" s="83"/>
      <c r="R603" s="2091">
        <f>IF(AND(R$589&gt;0,ER3_1&lt;&gt;""),R$589/(ER3_1/R$586^(1/Pn_1)),0)</f>
        <v>0</v>
      </c>
      <c r="S603" s="83"/>
      <c r="T603" s="2091">
        <f>IF(AND(T$589&gt;0,ER3_1&lt;&gt;""),T$589/(ER3_1/T$586^(1/Pn_1)),0)</f>
        <v>0</v>
      </c>
      <c r="U603" s="83"/>
      <c r="V603" s="2091">
        <f>IF(AND(V$589&gt;0,ER3_1&lt;&gt;""),V$589/(ER3_1/V$586^(1/Pn_1)),0)</f>
        <v>0</v>
      </c>
      <c r="W603" s="83"/>
      <c r="X603" s="2091">
        <f>IF(AND(X$589&gt;0,ER3_1&lt;&gt;""),X$589/(ER3_1/X$586^(1/Pn_1)),0)</f>
        <v>0</v>
      </c>
      <c r="Y603" s="83"/>
      <c r="Z603" s="23"/>
      <c r="AA603" s="83"/>
      <c r="AB603" s="81"/>
      <c r="AC603" s="512" t="s">
        <v>5104</v>
      </c>
      <c r="AD603" s="81"/>
      <c r="AE603" s="2981">
        <f>IF(AE471&gt;0,LN(IF(AE596&gt;=500,AE489*AE594*500^AE595,NBPuff_A_Night*AE471/AE488/(500-AE596+AE597)^(1/NBPuff_B_Night))),0)</f>
        <v>0</v>
      </c>
      <c r="AF603" s="81"/>
      <c r="AG603" s="2981">
        <f>IF(AG471&gt;0,LN(IF(AG596&gt;=500,AG489*AG594*500^AG595,NBPuff_A_Night*AG471/AG488/(500-AG596+AG597)^(1/NBPuff_B_Night))),0)</f>
        <v>0</v>
      </c>
      <c r="AH603" s="81"/>
      <c r="AI603" s="2981">
        <f>IF(AI471&gt;0,LN(IF(AI596&gt;=500,AI489*AI594*500^AI595,NBPuff_A_Night*AI471/AI488/(500-AI596+AI597)^(1/NBPuff_B_Night))),0)</f>
        <v>0</v>
      </c>
      <c r="AJ603" s="81"/>
      <c r="AK603" s="81"/>
      <c r="AL603" s="81"/>
      <c r="AM603" s="81"/>
      <c r="AN603" s="81"/>
      <c r="AO603" s="81"/>
      <c r="AP603" s="81"/>
      <c r="AQ603" s="85"/>
      <c r="AR603" s="81"/>
      <c r="BQ603" s="26"/>
    </row>
    <row r="604" spans="1:70" ht="15" customHeight="1" x14ac:dyDescent="0.25">
      <c r="A604" s="2"/>
      <c r="B604" s="512" t="str">
        <f>IF(B18="","","Vapor Mole Fraction "&amp;B18&amp;" / Time-Scaled ERPG-3")</f>
        <v/>
      </c>
      <c r="C604" s="83"/>
      <c r="D604" s="2091">
        <f>IF(AND(D$590&gt;0,ER3_2&lt;&gt;""),D$590/(ER3_2/D$586^(1/Pn_2)),0)</f>
        <v>0</v>
      </c>
      <c r="E604" s="238"/>
      <c r="F604" s="2091">
        <f>IF(AND(F$590&gt;0,ER3_2&lt;&gt;""),F$590/(ER3_2/F$586^(1/Pn_2)),0)</f>
        <v>0</v>
      </c>
      <c r="G604" s="83"/>
      <c r="H604" s="2091">
        <f>IF(AND(H$590&gt;0,ER3_2&lt;&gt;""),H$590/(ER3_2/H$586^(1/Pn_2)),0)</f>
        <v>0</v>
      </c>
      <c r="I604" s="83"/>
      <c r="J604" s="2091">
        <f>IF(AND(J$590&gt;0,ER3_2&lt;&gt;""),J$590/(ER3_2/J$586^(1/Pn_2)),0)</f>
        <v>0</v>
      </c>
      <c r="K604" s="83"/>
      <c r="L604" s="2091">
        <f>IF(AND(L$590&gt;0,ER3_2&lt;&gt;""),L$590/(ER3_2/L$586^(1/Pn_2)),0)</f>
        <v>0</v>
      </c>
      <c r="M604" s="83"/>
      <c r="N604" s="2091">
        <f>IF(AND(N$590&gt;0,ER3_2&lt;&gt;""),N$590/(ER3_2/N$586^(1/Pn_2)),0)</f>
        <v>0</v>
      </c>
      <c r="O604" s="83"/>
      <c r="P604" s="2091">
        <f>IF(AND(P$590&gt;0,ER3_2&lt;&gt;""),P$590/(ER3_2/P$586^(1/Pn_2)),0)</f>
        <v>0</v>
      </c>
      <c r="Q604" s="83"/>
      <c r="R604" s="2091">
        <f>IF(AND(R$590&gt;0,ER3_2&lt;&gt;""),R$590/(ER3_2/R$586^(1/Pn_2)),0)</f>
        <v>0</v>
      </c>
      <c r="S604" s="83"/>
      <c r="T604" s="2091">
        <f>IF(AND(T$590&gt;0,ER3_2&lt;&gt;""),T$590/(ER3_2/T$586^(1/Pn_2)),0)</f>
        <v>0</v>
      </c>
      <c r="U604" s="83"/>
      <c r="V604" s="2091">
        <f>IF(AND(V$590&gt;0,ER3_2&lt;&gt;""),V$590/(ER3_2/V$586^(1/Pn_2)),0)</f>
        <v>0</v>
      </c>
      <c r="W604" s="83"/>
      <c r="X604" s="2091">
        <f>IF(AND(X$590&gt;0,ER3_2&lt;&gt;""),X$590/(ER3_2/X$586^(1/Pn_2)),0)</f>
        <v>0</v>
      </c>
      <c r="Y604" s="83"/>
      <c r="Z604" s="23"/>
      <c r="AA604" s="83"/>
      <c r="AB604" s="81"/>
      <c r="AC604" s="512" t="s">
        <v>5105</v>
      </c>
      <c r="AD604" s="81"/>
      <c r="AE604" s="2981">
        <f>IF(AE471&gt;0,LN(IF(AE596&gt;=1000,AE489*AE594*1000^AE595,NBPuff_A_Night*AE471/AE488/(1000-AE596+AE597)^(1/NBPuff_B_Night))),0)</f>
        <v>0</v>
      </c>
      <c r="AF604" s="81"/>
      <c r="AG604" s="2981">
        <f>IF(AG471&gt;0,LN(IF(AG596&gt;=1000,AG489*AG594*1000^AG595,NBPuff_A_Night*AG471/AG488/(1000-AG596+AG597)^(1/NBPuff_B_Night))),0)</f>
        <v>0</v>
      </c>
      <c r="AH604" s="81"/>
      <c r="AI604" s="2981">
        <f>IF(AI471&gt;0,LN(IF(AI596&gt;=1000,AI489*AI594*1000^AI595,NBPuff_A_Night*AI471/AI488/(1000-AI596+AI597)^(1/NBPuff_B_Night))),0)</f>
        <v>0</v>
      </c>
      <c r="AJ604" s="81"/>
      <c r="AK604" s="81"/>
      <c r="AL604" s="81"/>
      <c r="AM604" s="81"/>
      <c r="AN604" s="81"/>
      <c r="AO604" s="81"/>
      <c r="AP604" s="81"/>
      <c r="AQ604" s="85"/>
      <c r="AR604" s="81"/>
      <c r="BQ604" s="26"/>
    </row>
    <row r="605" spans="1:70" ht="15" customHeight="1" x14ac:dyDescent="0.25">
      <c r="A605" s="2"/>
      <c r="B605" s="512" t="str">
        <f>IF(B19="","","Vapor Mole Fraction "&amp;B19&amp;" / Time-Scaled ERPG-3")</f>
        <v/>
      </c>
      <c r="C605" s="83"/>
      <c r="D605" s="2091">
        <f>IF(AND(D$591&gt;0,ER3_3&lt;&gt;""),D$591/(ER3_3/D$586^(1/Pn_3)),0)</f>
        <v>0</v>
      </c>
      <c r="E605" s="238"/>
      <c r="F605" s="2091">
        <f>IF(AND(F$591&gt;0,ER3_3&lt;&gt;""),F$591/(ER3_3/F$586^(1/Pn_3)),0)</f>
        <v>0</v>
      </c>
      <c r="G605" s="83"/>
      <c r="H605" s="2091">
        <f>IF(AND(H$591&gt;0,ER3_3&lt;&gt;""),H$591/(ER3_3/H$586^(1/Pn_3)),0)</f>
        <v>0</v>
      </c>
      <c r="I605" s="83"/>
      <c r="J605" s="2091">
        <f>IF(AND(J$591&gt;0,ER3_3&lt;&gt;""),J$591/(ER3_3/J$586^(1/Pn_3)),0)</f>
        <v>0</v>
      </c>
      <c r="K605" s="83"/>
      <c r="L605" s="2091">
        <f>IF(AND(L$591&gt;0,ER3_3&lt;&gt;""),L$591/(ER3_3/L$586^(1/Pn_3)),0)</f>
        <v>0</v>
      </c>
      <c r="M605" s="83"/>
      <c r="N605" s="2091">
        <f>IF(AND(N$591&gt;0,ER3_3&lt;&gt;""),N$591/(ER3_3/N$586^(1/Pn_3)),0)</f>
        <v>0</v>
      </c>
      <c r="O605" s="83"/>
      <c r="P605" s="2091">
        <f>IF(AND(P$591&gt;0,ER3_3&lt;&gt;""),P$591/(ER3_3/P$586^(1/Pn_3)),0)</f>
        <v>0</v>
      </c>
      <c r="Q605" s="83"/>
      <c r="R605" s="2091">
        <f>IF(AND(R$591&gt;0,ER3_3&lt;&gt;""),R$591/(ER3_3/R$586^(1/Pn_3)),0)</f>
        <v>0</v>
      </c>
      <c r="S605" s="83"/>
      <c r="T605" s="2091">
        <f>IF(AND(T$591&gt;0,ER3_3&lt;&gt;""),T$591/(ER3_3/T$586^(1/Pn_3)),0)</f>
        <v>0</v>
      </c>
      <c r="U605" s="83"/>
      <c r="V605" s="2091">
        <f>IF(AND(V$591&gt;0,ER3_3&lt;&gt;""),V$591/(ER3_3/V$586^(1/Pn_3)),0)</f>
        <v>0</v>
      </c>
      <c r="W605" s="83"/>
      <c r="X605" s="2091">
        <f>IF(AND(X$591&gt;0,ER3_3&lt;&gt;""),X$591/(ER3_3/X$586^(1/Pn_3)),0)</f>
        <v>0</v>
      </c>
      <c r="Y605" s="83"/>
      <c r="Z605" s="23"/>
      <c r="AA605" s="83"/>
      <c r="AB605" s="81"/>
      <c r="AC605" s="512" t="s">
        <v>5106</v>
      </c>
      <c r="AD605" s="81"/>
      <c r="AE605" s="2981">
        <f>IF(AE471&gt;0,LN(IF(AE596&gt;=2000,AE489*AE594*2000^AE595,NBPuff_A_Night*AE471/AE488/(2000-AE596+AE597)^(1/NBPuff_B_Night))),0)</f>
        <v>0</v>
      </c>
      <c r="AF605" s="81"/>
      <c r="AG605" s="2981">
        <f>IF(AG471&gt;0,LN(IF(AG596&gt;=2000,AG489*AG594*2000^AG595,NBPuff_A_Night*AG471/AG488/(2000-AG596+AG597)^(1/NBPuff_B_Night))),0)</f>
        <v>0</v>
      </c>
      <c r="AH605" s="81"/>
      <c r="AI605" s="2981">
        <f>IF(AI471&gt;0,LN(IF(AI596&gt;=2000,AI489*AI594*2000^AI595,NBPuff_A_Night*AI471/AI488/(2000-AI596+AI597)^(1/NBPuff_B_Night))),0)</f>
        <v>0</v>
      </c>
      <c r="AJ605" s="81"/>
      <c r="AK605" s="81"/>
      <c r="AL605" s="81"/>
      <c r="AM605" s="81"/>
      <c r="AN605" s="81"/>
      <c r="AO605" s="81"/>
      <c r="AP605" s="81"/>
      <c r="AQ605" s="85"/>
      <c r="AR605" s="81"/>
      <c r="BQ605" s="26"/>
    </row>
    <row r="606" spans="1:70" ht="15" customHeight="1" x14ac:dyDescent="0.25">
      <c r="A606" s="2"/>
      <c r="B606" s="512" t="str">
        <f>IF(B20="","","Vapor Mole Fraction "&amp;B20&amp;" / Time-Scaled ERPG-3")</f>
        <v/>
      </c>
      <c r="C606" s="83"/>
      <c r="D606" s="2091">
        <f>IF(AND(D$592&gt;0,ER3_4&lt;&gt;""),D$592/(ER3_4/D$586^(1/Pn_4)),0)</f>
        <v>0</v>
      </c>
      <c r="E606" s="238"/>
      <c r="F606" s="2091">
        <f>IF(AND(F$592&gt;0,ER3_4&lt;&gt;""),F$592/(ER3_4/F$586^(1/Pn_4)),0)</f>
        <v>0</v>
      </c>
      <c r="G606" s="83"/>
      <c r="H606" s="2091">
        <f>IF(AND(H$592&gt;0,ER3_4&lt;&gt;""),H$592/(ER3_4/H$586^(1/Pn_4)),0)</f>
        <v>0</v>
      </c>
      <c r="I606" s="83"/>
      <c r="J606" s="2091">
        <f>IF(AND(J$592&gt;0,ER3_4&lt;&gt;""),J$592/(ER3_4/J$586^(1/Pn_4)),0)</f>
        <v>0</v>
      </c>
      <c r="K606" s="83"/>
      <c r="L606" s="2091">
        <f>IF(AND(L$592&gt;0,ER3_4&lt;&gt;""),L$592/(ER3_4/L$586^(1/Pn_4)),0)</f>
        <v>0</v>
      </c>
      <c r="M606" s="83"/>
      <c r="N606" s="2091">
        <f>IF(AND(N$592&gt;0,ER3_4&lt;&gt;""),N$592/(ER3_4/N$586^(1/Pn_4)),0)</f>
        <v>0</v>
      </c>
      <c r="O606" s="83"/>
      <c r="P606" s="2091">
        <f>IF(AND(P$592&gt;0,ER3_4&lt;&gt;""),P$592/(ER3_4/P$586^(1/Pn_4)),0)</f>
        <v>0</v>
      </c>
      <c r="Q606" s="83"/>
      <c r="R606" s="2091">
        <f>IF(AND(R$592&gt;0,ER3_4&lt;&gt;""),R$592/(ER3_4/R$586^(1/Pn_4)),0)</f>
        <v>0</v>
      </c>
      <c r="S606" s="83"/>
      <c r="T606" s="2091">
        <f>IF(AND(T$592&gt;0,ER3_4&lt;&gt;""),T$592/(ER3_4/T$586^(1/Pn_4)),0)</f>
        <v>0</v>
      </c>
      <c r="U606" s="83"/>
      <c r="V606" s="2091">
        <f>IF(AND(V$592&gt;0,ER3_4&lt;&gt;""),V$592/(ER3_4/V$586^(1/Pn_4)),0)</f>
        <v>0</v>
      </c>
      <c r="W606" s="83"/>
      <c r="X606" s="2091">
        <f>IF(AND(X$592&gt;0,ER3_4&lt;&gt;""),X$592/(ER3_4/X$586^(1/Pn_4)),0)</f>
        <v>0</v>
      </c>
      <c r="Y606" s="83"/>
      <c r="Z606" s="23"/>
      <c r="AA606" s="83"/>
      <c r="AB606" s="81"/>
      <c r="AC606" s="512" t="s">
        <v>5107</v>
      </c>
      <c r="AD606" s="81"/>
      <c r="AE606" s="2981">
        <f>IF(AE471&gt;0,LN(IF(AE596&gt;=5000,AE489*AE594*5000^AE595,NBPuff_A_Night*AE471/AE488/(5000-AE596+AE597)^(1/NBPuff_B_Night))),0)</f>
        <v>0</v>
      </c>
      <c r="AF606" s="81"/>
      <c r="AG606" s="2981">
        <f>IF(AG471&gt;0,LN(IF(AG596&gt;=5000,AG489*AG594*5000^AG595,NBPuff_A_Night*AG471/AG488/(5000-AG596+AG597)^(1/NBPuff_B_Night))),0)</f>
        <v>0</v>
      </c>
      <c r="AH606" s="81"/>
      <c r="AI606" s="2981">
        <f>IF(AI471&gt;0,LN(IF(AI596&gt;=5000,AI489*AI594*5000^AI595,NBPuff_A_Night*AI471/AI488/(5000-AI596+AI597)^(1/NBPuff_B_Night))),0)</f>
        <v>0</v>
      </c>
      <c r="AJ606" s="81"/>
      <c r="AK606" s="81"/>
      <c r="AL606" s="81"/>
      <c r="AM606" s="81"/>
      <c r="AN606" s="81"/>
      <c r="AO606" s="81"/>
      <c r="AP606" s="81"/>
      <c r="AQ606" s="85"/>
      <c r="AR606" s="81"/>
      <c r="BQ606" s="26"/>
    </row>
    <row r="607" spans="1:70" ht="15" customHeight="1" thickBot="1" x14ac:dyDescent="0.3">
      <c r="A607" s="2"/>
      <c r="B607" s="512" t="str">
        <f>IF(B21="","","Vapor Mole Fraction "&amp;B21&amp;" / Time-Scaled ERPG-3")</f>
        <v/>
      </c>
      <c r="C607" s="83"/>
      <c r="D607" s="2091">
        <f>IF(AND(D$593&gt;0,ER3_5&lt;&gt;""),D$593/(ER3_5/D$586^(1/Pn_5)),0)</f>
        <v>0</v>
      </c>
      <c r="E607" s="238"/>
      <c r="F607" s="2091">
        <f>IF(AND(F$593&gt;0,ER3_5&lt;&gt;""),F$593/(ER3_5/F$586^(1/Pn_5)),0)</f>
        <v>0</v>
      </c>
      <c r="G607" s="83"/>
      <c r="H607" s="2091">
        <f>IF(AND(H$593&gt;0,ER3_5&lt;&gt;""),H$593/(ER3_5/H$586^(1/Pn_5)),0)</f>
        <v>0</v>
      </c>
      <c r="I607" s="83"/>
      <c r="J607" s="2091">
        <f>IF(AND(J$593&gt;0,ER3_5&lt;&gt;""),J$593/(ER3_5/J$586^(1/Pn_5)),0)</f>
        <v>0</v>
      </c>
      <c r="K607" s="83"/>
      <c r="L607" s="2091">
        <f>IF(AND(L$593&gt;0,ER3_5&lt;&gt;""),L$593/(ER3_5/L$586^(1/Pn_5)),0)</f>
        <v>0</v>
      </c>
      <c r="M607" s="83"/>
      <c r="N607" s="2091">
        <f>IF(AND(N$593&gt;0,ER3_5&lt;&gt;""),N$593/(ER3_5/N$586^(1/Pn_5)),0)</f>
        <v>0</v>
      </c>
      <c r="O607" s="83"/>
      <c r="P607" s="2091">
        <f>IF(AND(P$593&gt;0,ER3_5&lt;&gt;""),P$593/(ER3_5/P$586^(1/Pn_5)),0)</f>
        <v>0</v>
      </c>
      <c r="Q607" s="83"/>
      <c r="R607" s="2091">
        <f>IF(AND(R$593&gt;0,ER3_5&lt;&gt;""),R$593/(ER3_5/R$586^(1/Pn_5)),0)</f>
        <v>0</v>
      </c>
      <c r="S607" s="83"/>
      <c r="T607" s="2091">
        <f>IF(AND(T$593&gt;0,ER3_5&lt;&gt;""),T$593/(ER3_5/T$586^(1/Pn_5)),0)</f>
        <v>0</v>
      </c>
      <c r="U607" s="83"/>
      <c r="V607" s="2091">
        <f>IF(AND(V$593&gt;0,ER3_5&lt;&gt;""),V$593/(ER3_5/V$586^(1/Pn_5)),0)</f>
        <v>0</v>
      </c>
      <c r="W607" s="83"/>
      <c r="X607" s="2091">
        <f>IF(AND(X$593&gt;0,ER3_5&lt;&gt;""),X$593/(ER3_5/X$586^(1/Pn_5)),0)</f>
        <v>0</v>
      </c>
      <c r="Y607" s="83"/>
      <c r="Z607" s="23"/>
      <c r="AA607" s="83"/>
      <c r="AB607" s="81"/>
      <c r="AC607" s="512" t="s">
        <v>5108</v>
      </c>
      <c r="AD607" s="81"/>
      <c r="AE607" s="3001">
        <f>IF(AE471&gt;0,LN(IF(AE596&gt;=10000,AE489*AE594*10000^AE595,NBPuff_A_Night*AE471/AE488/(10000-AE596+AE597)^(1/NBPuff_B_Night))),0)</f>
        <v>0</v>
      </c>
      <c r="AF607" s="81"/>
      <c r="AG607" s="3001">
        <f>IF(AG471&gt;0,LN(IF(AG596&gt;=10000,AG489*AG594*10000^AG595,NBPuff_A_Night*AG471/AG488/(10000-AG596+AG597)^(1/NBPuff_B_Night))),0)</f>
        <v>0</v>
      </c>
      <c r="AH607" s="81"/>
      <c r="AI607" s="3001">
        <f>IF(AI471&gt;0,LN(IF(AI596&gt;=10000,AI489*AI594*10000^AI595,NBPuff_A_Night*AI471/AI488/(10000-AI596+AI597)^(1/NBPuff_B_Night))),0)</f>
        <v>0</v>
      </c>
      <c r="AJ607" s="81"/>
      <c r="AK607" s="81"/>
      <c r="AL607" s="81"/>
      <c r="AM607" s="81"/>
      <c r="AN607" s="81"/>
      <c r="AO607" s="81"/>
      <c r="AP607" s="81"/>
      <c r="AQ607" s="85"/>
      <c r="AR607" s="81"/>
      <c r="BQ607" s="26"/>
    </row>
    <row r="608" spans="1:70" ht="15" customHeight="1" thickBot="1" x14ac:dyDescent="0.3">
      <c r="A608" s="2"/>
      <c r="B608" s="615" t="s">
        <v>5134</v>
      </c>
      <c r="C608" s="83"/>
      <c r="D608" s="2091">
        <f>IF(AND(D$594&gt;0,Pad_ER3&lt;&gt;""),D$594/(Pad_ER3/D$586^(1/PnPad)),0)</f>
        <v>0</v>
      </c>
      <c r="E608" s="238"/>
      <c r="F608" s="2091">
        <f>IF(AND(F$594&gt;0,Pad_ER3&lt;&gt;""),F$594/(Pad_ER3/F$586^(1/PnPad)),0)</f>
        <v>0</v>
      </c>
      <c r="G608" s="83"/>
      <c r="H608" s="2091">
        <f>IF(AND(H$594&gt;0,Pad_ER3&lt;&gt;""),H$594/(Pad_ER3/H$586^(1/PnPad)),0)</f>
        <v>0</v>
      </c>
      <c r="I608" s="83"/>
      <c r="J608" s="2091">
        <f>IF(AND(J$594&gt;0,Pad_ER3&lt;&gt;""),J$594/(Pad_ER3/J$586^(1/PnPad)),0)</f>
        <v>0</v>
      </c>
      <c r="K608" s="83"/>
      <c r="L608" s="2091">
        <f>IF(AND(L$594&gt;0,Pad_ER3&lt;&gt;""),L$594/(Pad_ER3/L$586^(1/PnPad)),0)</f>
        <v>0</v>
      </c>
      <c r="M608" s="83"/>
      <c r="N608" s="2091">
        <f>IF(AND(N$594&gt;0,Pad_ER3&lt;&gt;""),N$594/(Pad_ER3/N$586^(1/PnPad)),0)</f>
        <v>0</v>
      </c>
      <c r="O608" s="83"/>
      <c r="P608" s="2091">
        <f>IF(AND(P$594&gt;0,Pad_ER3&lt;&gt;""),P$594/(Pad_ER3/P$586^(1/PnPad)),0)</f>
        <v>0</v>
      </c>
      <c r="Q608" s="83"/>
      <c r="R608" s="2091">
        <f>IF(AND(R$594&gt;0,Pad_ER3&lt;&gt;""),R$594/(Pad_ER3/R$586^(1/PnPad)),0)</f>
        <v>0</v>
      </c>
      <c r="S608" s="83"/>
      <c r="T608" s="2091">
        <f>IF(AND(T$594&gt;0,Pad_ER3&lt;&gt;""),T$594/(Pad_ER3/T$586^(1/PnPad)),0)</f>
        <v>0</v>
      </c>
      <c r="U608" s="83"/>
      <c r="V608" s="2091">
        <f>IF(AND(V$594&gt;0,Pad_ER3&lt;&gt;""),V$594/(Pad_ER3/V$586^(1/PnPad)),0)</f>
        <v>0</v>
      </c>
      <c r="W608" s="83"/>
      <c r="X608" s="2091">
        <f>IF(AND(X$594&gt;0,Pad_ER3&lt;&gt;""),X$594/(Pad_ER3/X$586^(1/PnPad)),0)</f>
        <v>0</v>
      </c>
      <c r="Y608" s="83"/>
      <c r="Z608" s="23"/>
      <c r="AA608" s="83"/>
      <c r="AB608" s="81"/>
      <c r="AC608" s="2975" t="s">
        <v>5113</v>
      </c>
      <c r="AD608" s="81"/>
      <c r="AE608" s="3005">
        <f>IF(AE471&gt;0,(EXP(INDEX(LINEST(AE598:AE607,$CJ$286:$CJ$295),2))*AE488/AE471)^AE609,0)</f>
        <v>0</v>
      </c>
      <c r="AF608" s="81"/>
      <c r="AG608" s="3005">
        <f>IF(AG471&gt;0,(EXP(INDEX(LINEST(AG598:AG607,$CJ$286:$CJ$295),2))*AG488/AG471)^AG609,0)</f>
        <v>0</v>
      </c>
      <c r="AH608" s="81"/>
      <c r="AI608" s="3005">
        <f>IF(AI471&gt;0,(EXP(INDEX(LINEST(AI598:AI607,$CJ$286:$CJ$295),2))*AI488/AI471)^AI609,0)</f>
        <v>0</v>
      </c>
      <c r="AJ608" s="81"/>
      <c r="AK608" s="81"/>
      <c r="AL608" s="81"/>
      <c r="AM608" s="81"/>
      <c r="AN608" s="81"/>
      <c r="AO608" s="81"/>
      <c r="AP608" s="81"/>
      <c r="AQ608" s="85"/>
      <c r="AR608" s="81"/>
      <c r="BQ608" s="26"/>
    </row>
    <row r="609" spans="1:69" ht="15" customHeight="1" thickBot="1" x14ac:dyDescent="0.3">
      <c r="A609" s="2"/>
      <c r="B609" s="119" t="s">
        <v>2210</v>
      </c>
      <c r="C609" s="83"/>
      <c r="D609" s="2101" t="str">
        <f>IF(AND(D$586&gt;0,SUM(D603:D608)&gt;0),IF(1/SUM(D603:D608)&lt;1000000,1/SUM(D603:D608),1000000),"")</f>
        <v/>
      </c>
      <c r="E609" s="238"/>
      <c r="F609" s="2101" t="str">
        <f>IF(AND(F$586&gt;0,SUM(F603:F608)&gt;0),IF(1/SUM(F603:F608)&lt;1000000,1/SUM(F603:F608),1000000),"")</f>
        <v/>
      </c>
      <c r="G609" s="238"/>
      <c r="H609" s="2101" t="str">
        <f>IF(AND(H$586&gt;0,SUM(H603:H608)&gt;0),IF(1/SUM(H603:H608)&lt;1000000,1/SUM(H603:H608),1000000),"")</f>
        <v/>
      </c>
      <c r="I609" s="238"/>
      <c r="J609" s="2101" t="str">
        <f>IF(AND(J$586&gt;0,SUM(J603:J608)&gt;0),IF(1/SUM(J603:J608)&lt;1000000,1/SUM(J603:J608),1000000),"")</f>
        <v/>
      </c>
      <c r="K609" s="238"/>
      <c r="L609" s="2101" t="str">
        <f>IF(AND(L$586&gt;0,SUM(L603:L608)&gt;0),IF(1/SUM(L603:L608)&lt;1000000,1/SUM(L603:L608),1000000),"")</f>
        <v/>
      </c>
      <c r="M609" s="238"/>
      <c r="N609" s="2101" t="str">
        <f>IF(AND(N$586&gt;0,SUM(N603:N608)&gt;0),IF(1/SUM(N603:N608)&lt;1000000,1/SUM(N603:N608),1000000),"")</f>
        <v/>
      </c>
      <c r="O609" s="238"/>
      <c r="P609" s="2101" t="str">
        <f>IF(AND(P$586&gt;0,SUM(P603:P608)&gt;0),IF(1/SUM(P603:P608)&lt;1000000,1/SUM(P603:P608),1000000),"")</f>
        <v/>
      </c>
      <c r="Q609" s="238"/>
      <c r="R609" s="2101" t="str">
        <f>IF(AND(R$586&gt;0,SUM(R603:R608)&gt;0),IF(1/SUM(R603:R608)&lt;1000000,1/SUM(R603:R608),1000000),"")</f>
        <v/>
      </c>
      <c r="S609" s="238"/>
      <c r="T609" s="2101" t="str">
        <f>IF(AND(T$586&gt;0,SUM(T603:T608)&gt;0),IF(1/SUM(T603:T608)&lt;1000000,1/SUM(T603:T608),1000000),"")</f>
        <v/>
      </c>
      <c r="U609" s="238"/>
      <c r="V609" s="2101" t="str">
        <f>IF(AND(V$586&gt;0,SUM(V603:V608)&gt;0),IF(1/SUM(V603:V608)&lt;1000000,1/SUM(V603:V608),1000000),"")</f>
        <v/>
      </c>
      <c r="W609" s="238"/>
      <c r="X609" s="2101" t="str">
        <f>IF(AND(X$586&gt;0,SUM(X603:X608)&gt;0),IF(1/SUM(X603:X608)&lt;1000000,1/SUM(X603:X608),1000000),"")</f>
        <v/>
      </c>
      <c r="Y609" s="83"/>
      <c r="Z609" s="119" t="s">
        <v>1506</v>
      </c>
      <c r="AA609" s="83"/>
      <c r="AB609" s="81"/>
      <c r="AC609" s="2977" t="s">
        <v>5114</v>
      </c>
      <c r="AD609" s="81"/>
      <c r="AE609" s="2089">
        <f>IF(AE471&gt;0,-1/INDEX(LINEST(AE598:AE607,$CJ$286:$CJ$295),1),0)</f>
        <v>0</v>
      </c>
      <c r="AF609" s="81"/>
      <c r="AG609" s="2089">
        <f>IF(AG471&gt;0,-1/INDEX(LINEST(AG598:AG607,$CJ$286:$CJ$295),1),0)</f>
        <v>0</v>
      </c>
      <c r="AH609" s="81"/>
      <c r="AI609" s="2089">
        <f>IF(AI471&gt;0,-1/INDEX(LINEST(AI598:AI607,$CJ$286:$CJ$295),1),0)</f>
        <v>0</v>
      </c>
      <c r="AJ609" s="81"/>
      <c r="AK609" s="81"/>
      <c r="AL609" s="81"/>
      <c r="AM609" s="81"/>
      <c r="AN609" s="81"/>
      <c r="AO609" s="81"/>
      <c r="AP609" s="81"/>
      <c r="AQ609" s="85"/>
      <c r="AR609" s="81"/>
      <c r="BQ609" s="26"/>
    </row>
    <row r="610" spans="1:69" ht="15" customHeight="1" thickBot="1" x14ac:dyDescent="0.3">
      <c r="A610" s="2"/>
      <c r="B610" s="84" t="str">
        <f>IF(B17="","","Vapor Mole Fraction "&amp;B17&amp;" / Time-Scaled LC-50")</f>
        <v/>
      </c>
      <c r="C610" s="83"/>
      <c r="D610" s="2091">
        <f>IF(AND(D$589&gt;0,LC50_1&lt;&gt;0),D$589/(LC50_1/IF(D$586&lt;OnSite_Limit/60,D$586,OnSite_Limit/60)^(1/Pn_1)),0)</f>
        <v>0</v>
      </c>
      <c r="E610" s="238"/>
      <c r="F610" s="2091">
        <f>IF(AND(F$589&gt;0,LC50_1&lt;&gt;0),F$589/(LC50_1/IF(F$586&lt;OnSite_Limit/60,F$586,OnSite_Limit/60)^(1/Pn_1)),0)</f>
        <v>0</v>
      </c>
      <c r="G610" s="238"/>
      <c r="H610" s="2091">
        <f>IF(AND(H$589&gt;0,LC50_1&lt;&gt;0),H$589/(LC50_1/IF(H$586&lt;OnSite_Limit/60,H$586,OnSite_Limit/60)^(1/Pn_1)),0)</f>
        <v>0</v>
      </c>
      <c r="I610" s="238"/>
      <c r="J610" s="2091">
        <f>IF(AND(J$589&gt;0,LC50_1&lt;&gt;0),J$589/(LC50_1/IF(J$586&lt;OnSite_Limit/60,J$586,OnSite_Limit/60)^(1/Pn_1)),0)</f>
        <v>0</v>
      </c>
      <c r="K610" s="238"/>
      <c r="L610" s="2091">
        <f>IF(AND(L$589&gt;0,LC50_1&lt;&gt;0),L$589/(LC50_1/IF(L$586&lt;OnSite_Limit/60,L$586,OnSite_Limit/60)^(1/Pn_1)),0)</f>
        <v>0</v>
      </c>
      <c r="M610" s="238"/>
      <c r="N610" s="2091">
        <f>IF(AND(N$589&gt;0,LC50_1&lt;&gt;0),N$589/(LC50_1/IF(N$586&lt;OnSite_Limit/60,N$586,OnSite_Limit/60)^(1/Pn_1)),0)</f>
        <v>0</v>
      </c>
      <c r="O610" s="238"/>
      <c r="P610" s="2091">
        <f>IF(AND(P$589&gt;0,LC50_1&lt;&gt;0),P$589/(LC50_1/IF(P$586&lt;OnSite_Limit/60,P$586,OnSite_Limit/60)^(1/Pn_1)),0)</f>
        <v>0</v>
      </c>
      <c r="Q610" s="238"/>
      <c r="R610" s="2091">
        <f>IF(AND(R$589&gt;0,LC50_1&lt;&gt;0),R$589/(LC50_1/IF(R$586&lt;OnSite_Limit/60,R$586,OnSite_Limit/60)^(1/Pn_1)),0)</f>
        <v>0</v>
      </c>
      <c r="S610" s="238"/>
      <c r="T610" s="2091">
        <f>IF(AND(T$589&gt;0,LC50_1&lt;&gt;0),T$589/(LC50_1/IF(T$586&lt;OnSite_Limit/60,T$586,OnSite_Limit/60)^(1/Pn_1)),0)</f>
        <v>0</v>
      </c>
      <c r="U610" s="238"/>
      <c r="V610" s="2091">
        <f>IF(AND(V$589&gt;0,LC50_1&lt;&gt;0),V$589/(LC50_1/IF(V$586&lt;OnSite_Limit/60,V$586,OnSite_Limit/60)^(1/Pn_1)),0)</f>
        <v>0</v>
      </c>
      <c r="W610" s="238"/>
      <c r="X610" s="2091">
        <f>IF(AND(X$589&gt;0,LC50_1&lt;&gt;0),X$589/(LC50_1/IF(X$586&lt;OnSite_Limit/60,X$586,OnSite_Limit/60)^(1/Pn_1)),0)</f>
        <v>0</v>
      </c>
      <c r="Y610" s="83"/>
      <c r="Z610" s="92"/>
      <c r="AA610" s="83"/>
      <c r="AB610" s="81"/>
      <c r="AC610" s="2976" t="s">
        <v>5125</v>
      </c>
      <c r="AD610" s="81"/>
      <c r="AE610" s="2105">
        <f>IF(AND(ACE466&gt;0,AE490&gt;0),AE608*(AE471/(AE488*AE490))^AE609,0)</f>
        <v>0</v>
      </c>
      <c r="AF610" s="81"/>
      <c r="AG610" s="2105">
        <f>IF(AND(ACG466&gt;0,AG490&gt;0),AG608*(AG471/(AG488*AG490))^AG609,0)</f>
        <v>0</v>
      </c>
      <c r="AH610" s="81"/>
      <c r="AI610" s="2105">
        <f>IF(AND(ACI466&gt;0,AI490&gt;0),AI608*(AI471/(AI488*AI490))^AI609,0)</f>
        <v>0</v>
      </c>
      <c r="AJ610" s="81"/>
      <c r="AK610" s="81"/>
      <c r="AL610" s="81"/>
      <c r="AM610" s="81"/>
      <c r="AN610" s="81"/>
      <c r="AO610" s="81"/>
      <c r="AP610" s="81"/>
      <c r="AQ610" s="85"/>
      <c r="AR610" s="81"/>
      <c r="BQ610" s="26"/>
    </row>
    <row r="611" spans="1:69" ht="15" customHeight="1" thickBot="1" x14ac:dyDescent="0.3">
      <c r="A611" s="2"/>
      <c r="B611" s="23" t="str">
        <f>IF(B18="","","Vapor Mole Fraction "&amp;B18&amp;" / Time-Scaled LC-50")</f>
        <v/>
      </c>
      <c r="C611" s="83"/>
      <c r="D611" s="2091">
        <f>IF(AND(D$590&gt;0,LC50_2&lt;&gt;0),D$590/(LC50_2/IF(D$586&lt;OnSite_Limit/60,D$586,OnSite_Limit/60)^(1/Pn_2)),0)</f>
        <v>0</v>
      </c>
      <c r="E611" s="238"/>
      <c r="F611" s="2091">
        <f>IF(AND(F$590&gt;0,LC50_2&lt;&gt;0),F$590/(LC50_2/IF(F$586&lt;OnSite_Limit/60,F$586,OnSite_Limit/60)^(1/Pn_2)),0)</f>
        <v>0</v>
      </c>
      <c r="G611" s="238"/>
      <c r="H611" s="2091">
        <f>IF(AND(H$590&gt;0,LC50_2&lt;&gt;0),H$590/(LC50_2/IF(H$586&lt;OnSite_Limit/60,H$586,OnSite_Limit/60)^(1/Pn_2)),0)</f>
        <v>0</v>
      </c>
      <c r="I611" s="238"/>
      <c r="J611" s="2091">
        <f>IF(AND(J$590&gt;0,LC50_2&lt;&gt;0),J$590/(LC50_2/IF(J$586&lt;OnSite_Limit/60,J$586,OnSite_Limit/60)^(1/Pn_2)),0)</f>
        <v>0</v>
      </c>
      <c r="K611" s="238"/>
      <c r="L611" s="2091">
        <f>IF(AND(L$590&gt;0,LC50_2&lt;&gt;0),L$590/(LC50_2/IF(L$586&lt;OnSite_Limit/60,L$586,OnSite_Limit/60)^(1/Pn_2)),0)</f>
        <v>0</v>
      </c>
      <c r="M611" s="238"/>
      <c r="N611" s="2091">
        <f>IF(AND(N$590&gt;0,LC50_2&lt;&gt;0),N$590/(LC50_2/IF(N$586&lt;OnSite_Limit/60,N$586,OnSite_Limit/60)^(1/Pn_2)),0)</f>
        <v>0</v>
      </c>
      <c r="O611" s="238"/>
      <c r="P611" s="2091">
        <f>IF(AND(P$590&gt;0,LC50_2&lt;&gt;0),P$590/(LC50_2/IF(P$586&lt;OnSite_Limit/60,P$586,OnSite_Limit/60)^(1/Pn_2)),0)</f>
        <v>0</v>
      </c>
      <c r="Q611" s="238"/>
      <c r="R611" s="2091">
        <f>IF(AND(R$590&gt;0,LC50_2&lt;&gt;0),R$590/(LC50_2/IF(R$586&lt;OnSite_Limit/60,R$586,OnSite_Limit/60)^(1/Pn_2)),0)</f>
        <v>0</v>
      </c>
      <c r="S611" s="238"/>
      <c r="T611" s="2091">
        <f>IF(AND(T$590&gt;0,LC50_2&lt;&gt;0),T$590/(LC50_2/IF(T$586&lt;OnSite_Limit/60,T$586,OnSite_Limit/60)^(1/Pn_2)),0)</f>
        <v>0</v>
      </c>
      <c r="U611" s="238"/>
      <c r="V611" s="2091">
        <f>IF(AND(V$590&gt;0,LC50_2&lt;&gt;0),V$590/(LC50_2/IF(V$586&lt;OnSite_Limit/60,V$586,OnSite_Limit/60)^(1/Pn_2)),0)</f>
        <v>0</v>
      </c>
      <c r="W611" s="238"/>
      <c r="X611" s="2091">
        <f>IF(AND(X$590&gt;0,LC50_2&lt;&gt;0),X$590/(LC50_2/IF(X$586&lt;OnSite_Limit/60,X$586,OnSite_Limit/60)^(1/Pn_2)),0)</f>
        <v>0</v>
      </c>
      <c r="Y611" s="83"/>
      <c r="Z611" s="85"/>
      <c r="AA611" s="83"/>
      <c r="AB611" s="81"/>
      <c r="AC611" s="85" t="s">
        <v>5080</v>
      </c>
      <c r="AD611" s="81"/>
      <c r="AE611" s="2568" t="str">
        <f>IF(AE$471&gt;AE$478,IF(AE$478&gt;AE$471*(AE608^(1/AE609)/AE582^(1/AE583))*Wind_Night*(1*Wind_Night*AE$471/AE$478)^(1/AE583-1/AE609),"Instantaneous","Continuous"),"Continuous")</f>
        <v>Continuous</v>
      </c>
      <c r="AF611" s="81"/>
      <c r="AG611" s="2568" t="str">
        <f>IF(AND(AG$478&gt;0,AG$471&gt;AG$478),IF(AG$478&gt;AG$471*(AG608^(1/AG609)/AG582^(1/AG583))*Wind_Night*(1*Wind_Night*AG$471/AG$478)^(1/AG583-1/AG609),"Instantaneous","Continuous"),"Continuous")</f>
        <v>Continuous</v>
      </c>
      <c r="AH611" s="81"/>
      <c r="AI611" s="2568" t="str">
        <f>IF(AI$471&gt;AI$478,IF(AI$478&gt;AI$471*(AI608^(1/AI609)/AI582^(1/AI583))*Wind_Night*(1*Wind_Night*AI$471/AI$478)^(1/AI583-1/AI609),"Instantaneous","Continuous"),"Continuous")</f>
        <v>Continuous</v>
      </c>
      <c r="AJ611" s="81"/>
      <c r="AK611" s="81"/>
      <c r="AL611" s="81"/>
      <c r="AM611" s="81"/>
      <c r="AN611" s="81"/>
      <c r="AO611" s="81"/>
      <c r="AP611" s="81"/>
      <c r="AQ611" s="85"/>
      <c r="AR611" s="81"/>
      <c r="BQ611" s="26"/>
    </row>
    <row r="612" spans="1:69" ht="15" customHeight="1" thickBot="1" x14ac:dyDescent="0.3">
      <c r="A612" s="2"/>
      <c r="B612" s="23" t="str">
        <f>IF(B19="","","Vapor Mole Fraction "&amp;B19&amp;" / Time-Scaled LC-50")</f>
        <v/>
      </c>
      <c r="C612" s="83"/>
      <c r="D612" s="2091">
        <f>IF(AND(D$591&gt;0,LC50_3&lt;&gt;0),D$591/(LC50_3/IF(D$586&lt;OnSite_Limit/60,D$586,OnSite_Limit/60)^(1/Pn_3)),0)</f>
        <v>0</v>
      </c>
      <c r="E612" s="238"/>
      <c r="F612" s="2091">
        <f>IF(AND(F$591&gt;0,LC50_3&lt;&gt;0),F$591/(LC50_3/IF(F$586&lt;OnSite_Limit/60,F$586,OnSite_Limit/60)^(1/Pn_3)),0)</f>
        <v>0</v>
      </c>
      <c r="G612" s="238"/>
      <c r="H612" s="2091">
        <f>IF(AND(H$591&gt;0,LC50_3&lt;&gt;0),H$591/(LC50_3/IF(H$586&lt;OnSite_Limit/60,H$586,OnSite_Limit/60)^(1/Pn_3)),0)</f>
        <v>0</v>
      </c>
      <c r="I612" s="238"/>
      <c r="J612" s="2091">
        <f>IF(AND(J$591&gt;0,LC50_3&lt;&gt;0),J$591/(LC50_3/IF(J$586&lt;OnSite_Limit/60,J$586,OnSite_Limit/60)^(1/Pn_3)),0)</f>
        <v>0</v>
      </c>
      <c r="K612" s="238"/>
      <c r="L612" s="2091">
        <f>IF(AND(L$591&gt;0,LC50_3&lt;&gt;0),L$591/(LC50_3/IF(L$586&lt;OnSite_Limit/60,L$586,OnSite_Limit/60)^(1/Pn_3)),0)</f>
        <v>0</v>
      </c>
      <c r="M612" s="238"/>
      <c r="N612" s="2091">
        <f>IF(AND(N$591&gt;0,LC50_3&lt;&gt;0),N$591/(LC50_3/IF(N$586&lt;OnSite_Limit/60,N$586,OnSite_Limit/60)^(1/Pn_3)),0)</f>
        <v>0</v>
      </c>
      <c r="O612" s="238"/>
      <c r="P612" s="2091">
        <f>IF(AND(P$591&gt;0,LC50_3&lt;&gt;0),P$591/(LC50_3/IF(P$586&lt;OnSite_Limit/60,P$586,OnSite_Limit/60)^(1/Pn_3)),0)</f>
        <v>0</v>
      </c>
      <c r="Q612" s="238"/>
      <c r="R612" s="2091">
        <f>IF(AND(R$591&gt;0,LC50_3&lt;&gt;0),R$591/(LC50_3/IF(R$586&lt;OnSite_Limit/60,R$586,OnSite_Limit/60)^(1/Pn_3)),0)</f>
        <v>0</v>
      </c>
      <c r="S612" s="238"/>
      <c r="T612" s="2091">
        <f>IF(AND(T$591&gt;0,LC50_3&lt;&gt;0),T$591/(LC50_3/IF(T$586&lt;OnSite_Limit/60,T$586,OnSite_Limit/60)^(1/Pn_3)),0)</f>
        <v>0</v>
      </c>
      <c r="U612" s="238"/>
      <c r="V612" s="2091">
        <f>IF(AND(V$591&gt;0,LC50_3&lt;&gt;0),V$591/(LC50_3/IF(V$586&lt;OnSite_Limit/60,V$586,OnSite_Limit/60)^(1/Pn_3)),0)</f>
        <v>0</v>
      </c>
      <c r="W612" s="238"/>
      <c r="X612" s="2091">
        <f>IF(AND(X$591&gt;0,LC50_3&lt;&gt;0),X$591/(LC50_3/IF(X$586&lt;OnSite_Limit/60,X$586,OnSite_Limit/60)^(1/Pn_3)),0)</f>
        <v>0</v>
      </c>
      <c r="Y612" s="83"/>
      <c r="Z612" s="85"/>
      <c r="AA612" s="83"/>
      <c r="AB612" s="81"/>
      <c r="AC612" s="494" t="s">
        <v>5193</v>
      </c>
      <c r="AD612" s="81"/>
      <c r="AE612" s="3143">
        <f>IF(AE664="",IF(AE657="",0.001,AE657/1000),AE664/1000000)</f>
        <v>1E-3</v>
      </c>
      <c r="AF612" s="81"/>
      <c r="AG612" s="3143">
        <f>IF(AG664="",IF(AG657="",0.001,AG657/1000),AG664/1000000)</f>
        <v>1E-3</v>
      </c>
      <c r="AH612" s="81"/>
      <c r="AI612" s="3143">
        <f>IF(AI664="",IF(AI657="",0.001,AI657/1000),AI664/1000000)</f>
        <v>1E-3</v>
      </c>
      <c r="AJ612" s="81"/>
      <c r="AK612" s="81"/>
      <c r="AL612" s="81"/>
      <c r="AM612" s="81"/>
      <c r="AN612" s="81"/>
      <c r="AO612" s="81"/>
      <c r="AP612" s="81"/>
      <c r="AQ612" s="85"/>
      <c r="AR612" s="81"/>
    </row>
    <row r="613" spans="1:69" ht="15" customHeight="1" x14ac:dyDescent="0.25">
      <c r="A613" s="2"/>
      <c r="B613" s="23" t="str">
        <f>IF(B20="","","Vapor Mole Fraction "&amp;B20&amp;" / Time-Scaled LC-50")</f>
        <v/>
      </c>
      <c r="C613" s="83"/>
      <c r="D613" s="2091">
        <f>IF(AND(D$592&gt;0,LC50_4&lt;&gt;0),D$592/(LC50_4/IF(D$586&lt;OnSite_Limit/60,D$586,OnSite_Limit/60)^(1/Pn_4)),0)</f>
        <v>0</v>
      </c>
      <c r="E613" s="238"/>
      <c r="F613" s="2091">
        <f>IF(AND(F$592&gt;0,LC50_4&lt;&gt;0),F$592/(LC50_4/IF(F$586&lt;OnSite_Limit/60,F$586,OnSite_Limit/60)^(1/Pn_4)),0)</f>
        <v>0</v>
      </c>
      <c r="G613" s="238"/>
      <c r="H613" s="2091">
        <f>IF(AND(H$592&gt;0,LC50_4&lt;&gt;0),H$592/(LC50_4/IF(H$586&lt;OnSite_Limit/60,H$586,OnSite_Limit/60)^(1/Pn_4)),0)</f>
        <v>0</v>
      </c>
      <c r="I613" s="238"/>
      <c r="J613" s="2091">
        <f>IF(AND(J$592&gt;0,LC50_4&lt;&gt;0),J$592/(LC50_4/IF(J$586&lt;OnSite_Limit/60,J$586,OnSite_Limit/60)^(1/Pn_4)),0)</f>
        <v>0</v>
      </c>
      <c r="K613" s="238"/>
      <c r="L613" s="2091">
        <f>IF(AND(L$592&gt;0,LC50_4&lt;&gt;0),L$592/(LC50_4/IF(L$586&lt;OnSite_Limit/60,L$586,OnSite_Limit/60)^(1/Pn_4)),0)</f>
        <v>0</v>
      </c>
      <c r="M613" s="238"/>
      <c r="N613" s="2091">
        <f>IF(AND(N$592&gt;0,LC50_4&lt;&gt;0),N$592/(LC50_4/IF(N$586&lt;OnSite_Limit/60,N$586,OnSite_Limit/60)^(1/Pn_4)),0)</f>
        <v>0</v>
      </c>
      <c r="O613" s="238"/>
      <c r="P613" s="2091">
        <f>IF(AND(P$592&gt;0,LC50_4&lt;&gt;0),P$592/(LC50_4/IF(P$586&lt;OnSite_Limit/60,P$586,OnSite_Limit/60)^(1/Pn_4)),0)</f>
        <v>0</v>
      </c>
      <c r="Q613" s="238"/>
      <c r="R613" s="2091">
        <f>IF(AND(R$592&gt;0,LC50_4&lt;&gt;0),R$592/(LC50_4/IF(R$586&lt;OnSite_Limit/60,R$586,OnSite_Limit/60)^(1/Pn_4)),0)</f>
        <v>0</v>
      </c>
      <c r="S613" s="238"/>
      <c r="T613" s="2091">
        <f>IF(AND(T$592&gt;0,LC50_4&lt;&gt;0),T$592/(LC50_4/IF(T$586&lt;OnSite_Limit/60,T$586,OnSite_Limit/60)^(1/Pn_4)),0)</f>
        <v>0</v>
      </c>
      <c r="U613" s="238"/>
      <c r="V613" s="2091">
        <f>IF(AND(V$592&gt;0,LC50_4&lt;&gt;0),V$592/(LC50_4/IF(V$586&lt;OnSite_Limit/60,V$586,OnSite_Limit/60)^(1/Pn_4)),0)</f>
        <v>0</v>
      </c>
      <c r="W613" s="238"/>
      <c r="X613" s="2091">
        <f>IF(AND(X$592&gt;0,LC50_4&lt;&gt;0),X$592/(LC50_4/IF(X$586&lt;OnSite_Limit/60,X$586,OnSite_Limit/60)^(1/Pn_4)),0)</f>
        <v>0</v>
      </c>
      <c r="Y613" s="83"/>
      <c r="Z613" s="85"/>
      <c r="AA613" s="83"/>
      <c r="AB613" s="81"/>
      <c r="AC613" s="85" t="s">
        <v>2208</v>
      </c>
      <c r="AD613" s="81"/>
      <c r="AE613" s="2096">
        <f>IF(OR(AE471=0,AE478=0,AE488=0),1,IF(Location="Outdoors",IF(AE471/AE478&gt;Max_Duration,1,IF(AE559="Instantaneous",MAX(3.29*(AE471/(AE488*AE612))^0.37/(Wind*3600),(AE471/Max_Duration)/AE478),(AE471/Max_Duration)/AE478)),1))</f>
        <v>1</v>
      </c>
      <c r="AF613" s="81"/>
      <c r="AG613" s="2096">
        <f>IF(OR(AG471=0,AG478=0,AG488=0),1,IF(Location="Outdoors",IF(AG471/AG478&gt;Max_Duration,1,IF(AG559="Instantaneous",MAX(3.29*(AG471/(AG488*AG612))^0.37/(Wind*3600),(AG471/Max_Duration)/AG478),(AG471/Max_Duration)/AG478)),1))</f>
        <v>1</v>
      </c>
      <c r="AH613" s="81"/>
      <c r="AI613" s="2096">
        <f>IF(OR(AI471=0,AI478=0,AI488=0),1,IF(Location="Outdoors",IF(AI471/AI478&gt;Max_Duration,1,IF(AI559="Instantaneous",MAX(3.29*(AI471/(AI488*AI612))^0.37/(Wind*3600),(AI471/Max_Duration)/AI478),(AI471/Max_Duration)/AI478)),1))</f>
        <v>1</v>
      </c>
      <c r="AJ613" s="81"/>
      <c r="AK613" s="81"/>
      <c r="AL613" s="81"/>
      <c r="AM613" s="81"/>
      <c r="AN613" s="81"/>
      <c r="AO613" s="81"/>
      <c r="AP613" s="81"/>
      <c r="AQ613" s="85"/>
      <c r="AR613" s="81"/>
    </row>
    <row r="614" spans="1:69" ht="15" customHeight="1" x14ac:dyDescent="0.25">
      <c r="A614" s="2"/>
      <c r="B614" s="23" t="str">
        <f>IF(B21="","","Vapor Mole Fraction "&amp;B21&amp;" / Time-Scaled LC-50")</f>
        <v/>
      </c>
      <c r="C614" s="83"/>
      <c r="D614" s="2091">
        <f>IF(AND(D$593&gt;0,LC50_5&lt;&gt;0),D$593/(LC50_5/IF(D$586&lt;OnSite_Limit/60,D$586,OnSite_Limit/60)^(1/Pn_5)),0)</f>
        <v>0</v>
      </c>
      <c r="E614" s="238"/>
      <c r="F614" s="2091">
        <f>IF(AND(F$593&gt;0,LC50_5&lt;&gt;0),F$593/(LC50_5/IF(F$586&lt;OnSite_Limit/60,F$586,OnSite_Limit/60)^(1/Pn_5)),0)</f>
        <v>0</v>
      </c>
      <c r="G614" s="238"/>
      <c r="H614" s="2091">
        <f>IF(AND(H$593&gt;0,LC50_5&lt;&gt;0),H$593/(LC50_5/IF(H$586&lt;OnSite_Limit/60,H$586,OnSite_Limit/60)^(1/Pn_5)),0)</f>
        <v>0</v>
      </c>
      <c r="I614" s="238"/>
      <c r="J614" s="2091">
        <f>IF(AND(J$593&gt;0,LC50_5&lt;&gt;0),J$593/(LC50_5/IF(J$586&lt;OnSite_Limit/60,J$586,OnSite_Limit/60)^(1/Pn_5)),0)</f>
        <v>0</v>
      </c>
      <c r="K614" s="238"/>
      <c r="L614" s="2091">
        <f>IF(AND(L$593&gt;0,LC50_5&lt;&gt;0),L$593/(LC50_5/IF(L$586&lt;OnSite_Limit/60,L$586,OnSite_Limit/60)^(1/Pn_5)),0)</f>
        <v>0</v>
      </c>
      <c r="M614" s="238"/>
      <c r="N614" s="2091">
        <f>IF(AND(N$593&gt;0,LC50_5&lt;&gt;0),N$593/(LC50_5/IF(N$586&lt;OnSite_Limit/60,N$586,OnSite_Limit/60)^(1/Pn_5)),0)</f>
        <v>0</v>
      </c>
      <c r="O614" s="238"/>
      <c r="P614" s="2091">
        <f>IF(AND(P$593&gt;0,LC50_5&lt;&gt;0),P$593/(LC50_5/IF(P$586&lt;OnSite_Limit/60,P$586,OnSite_Limit/60)^(1/Pn_5)),0)</f>
        <v>0</v>
      </c>
      <c r="Q614" s="238"/>
      <c r="R614" s="2091">
        <f>IF(AND(R$593&gt;0,LC50_5&lt;&gt;0),R$593/(LC50_5/IF(R$586&lt;OnSite_Limit/60,R$586,OnSite_Limit/60)^(1/Pn_5)),0)</f>
        <v>0</v>
      </c>
      <c r="S614" s="238"/>
      <c r="T614" s="2091">
        <f>IF(AND(T$593&gt;0,LC50_5&lt;&gt;0),T$593/(LC50_5/IF(T$586&lt;OnSite_Limit/60,T$586,OnSite_Limit/60)^(1/Pn_5)),0)</f>
        <v>0</v>
      </c>
      <c r="U614" s="238"/>
      <c r="V614" s="2091">
        <f>IF(AND(V$593&gt;0,LC50_5&lt;&gt;0),V$593/(LC50_5/IF(V$586&lt;OnSite_Limit/60,V$586,OnSite_Limit/60)^(1/Pn_5)),0)</f>
        <v>0</v>
      </c>
      <c r="W614" s="238"/>
      <c r="X614" s="2091">
        <f>IF(AND(X$593&gt;0,LC50_5&lt;&gt;0),X$593/(LC50_5/IF(X$586&lt;OnSite_Limit/60,X$586,OnSite_Limit/60)^(1/Pn_5)),0)</f>
        <v>0</v>
      </c>
      <c r="Y614" s="83"/>
      <c r="Z614" s="85"/>
      <c r="AA614" s="83"/>
      <c r="AB614" s="81"/>
      <c r="AC614" s="85" t="s">
        <v>3703</v>
      </c>
      <c r="AD614" s="81"/>
      <c r="AE614" s="2096">
        <f>IF(OR(AE471=0,AE478=0,AE488=0),1,IF(Location="Outdoors",IF(AE471/AE478&gt;Max_Duration,1,IF(AE611="Instantaneous",MAX(3.29*(AE471/(AE488*AE612))^0.37/(Wind_Night*3600),(AE471/Max_Duration)/AE478),(AE471/Max_Duration)/AE478)),1))</f>
        <v>1</v>
      </c>
      <c r="AF614" s="81"/>
      <c r="AG614" s="2096">
        <f>IF(OR(AG471=0,AG478=0,AG488=0),1,IF(Location="Outdoors",IF(AG471/AG478&gt;Max_Duration,1,IF(AG611="Instantaneous",MAX(3.29*(AG471/(AG488*AG612))^0.37/(Wind_Night*3600),(AG471/Max_Duration)/AG478),(AG471/Max_Duration)/AG478)),1))</f>
        <v>1</v>
      </c>
      <c r="AH614" s="81"/>
      <c r="AI614" s="2096">
        <f>IF(OR(AI471=0,AI478=0,AI488=0),1,IF(Location="Outdoors",IF(AI471/AI478&gt;Max_Duration,1,IF(AI611="Instantaneous",MAX(3.29*(AI471/(AI488*AI612))^0.37/(Wind_Night*3600),(AI471/Max_Duration)/AI478),(AI471/Max_Duration)/AI478)),1))</f>
        <v>1</v>
      </c>
      <c r="AJ614" s="81"/>
      <c r="AK614" s="81"/>
      <c r="AL614" s="81"/>
      <c r="AM614" s="81"/>
      <c r="AN614" s="81"/>
      <c r="AO614" s="81"/>
      <c r="AP614" s="81"/>
      <c r="AQ614" s="85"/>
      <c r="AR614" s="81"/>
    </row>
    <row r="615" spans="1:69" ht="15" customHeight="1" thickBot="1" x14ac:dyDescent="0.3">
      <c r="A615" s="2"/>
      <c r="B615" s="615" t="s">
        <v>5137</v>
      </c>
      <c r="C615" s="83"/>
      <c r="D615" s="2115">
        <f>IF(AND(D$594&gt;0,LC50Pad&lt;&gt;0),D$594/(LC50Pad/IF(D$586&lt;OnSite_Limit/60,D$586,OnSite_Limit/60)^(1/PnPad)),0)</f>
        <v>0</v>
      </c>
      <c r="E615" s="83"/>
      <c r="F615" s="2115">
        <f>IF(AND(F$594&gt;0,LC50Pad&lt;&gt;0),F$594/(LC50Pad/IF(F$586&lt;OnSite_Limit/60,F$586,OnSite_Limit/60)^(1/PnPad)),0)</f>
        <v>0</v>
      </c>
      <c r="G615" s="238"/>
      <c r="H615" s="2115">
        <f>IF(AND(H$594&gt;0,LC50Pad&lt;&gt;0),H$594/(LC50Pad/IF(H$586&lt;OnSite_Limit/60,H$586,OnSite_Limit/60)^(1/PnPad)),0)</f>
        <v>0</v>
      </c>
      <c r="I615" s="238"/>
      <c r="J615" s="2115">
        <f>IF(AND(J$594&gt;0,LC50Pad&lt;&gt;0),J$594/(LC50Pad/IF(J$586&lt;OnSite_Limit/60,J$586,OnSite_Limit/60)^(1/PnPad)),0)</f>
        <v>0</v>
      </c>
      <c r="K615" s="238"/>
      <c r="L615" s="2115">
        <f>IF(AND(L$594&gt;0,LC50Pad&lt;&gt;0),L$594/(LC50Pad/IF(L$586&lt;OnSite_Limit/60,L$586,OnSite_Limit/60)^(1/PnPad)),0)</f>
        <v>0</v>
      </c>
      <c r="M615" s="238"/>
      <c r="N615" s="2115">
        <f>IF(AND(N$594&gt;0,LC50Pad&lt;&gt;0),N$594/(LC50Pad/IF(N$586&lt;OnSite_Limit/60,N$586,OnSite_Limit/60)^(1/PnPad)),0)</f>
        <v>0</v>
      </c>
      <c r="O615" s="238"/>
      <c r="P615" s="2115">
        <f>IF(AND(P$594&gt;0,LC50Pad&lt;&gt;0),P$594/(LC50Pad/IF(P$586&lt;OnSite_Limit/60,P$586,OnSite_Limit/60)^(1/PnPad)),0)</f>
        <v>0</v>
      </c>
      <c r="Q615" s="238"/>
      <c r="R615" s="2115">
        <f>IF(AND(R$594&gt;0,LC50Pad&lt;&gt;0),R$594/(LC50Pad/IF(R$586&lt;OnSite_Limit/60,R$586,OnSite_Limit/60)^(1/PnPad)),0)</f>
        <v>0</v>
      </c>
      <c r="S615" s="238"/>
      <c r="T615" s="2115">
        <f>IF(AND(T$594&gt;0,LC50Pad&lt;&gt;0),T$594/(LC50Pad/IF(T$586&lt;OnSite_Limit/60,T$586,OnSite_Limit/60)^(1/PnPad)),0)</f>
        <v>0</v>
      </c>
      <c r="U615" s="238"/>
      <c r="V615" s="2115">
        <f>IF(AND(V$594&gt;0,LC50Pad&lt;&gt;0),V$594/(LC50Pad/IF(V$586&lt;OnSite_Limit/60,V$586,OnSite_Limit/60)^(1/PnPad)),0)</f>
        <v>0</v>
      </c>
      <c r="W615" s="238"/>
      <c r="X615" s="2115">
        <f>IF(AND(X$594&gt;0,LC50Pad&lt;&gt;0),X$594/(LC50Pad/IF(X$586&lt;OnSite_Limit/60,X$586,OnSite_Limit/60)^(1/PnPad)),0)</f>
        <v>0</v>
      </c>
      <c r="Y615" s="83"/>
      <c r="Z615" s="25"/>
      <c r="AA615" s="83"/>
      <c r="AB615" s="81"/>
      <c r="AC615" s="81"/>
      <c r="AD615" s="81"/>
      <c r="AE615" s="81"/>
      <c r="AF615" s="81"/>
      <c r="AG615" s="81"/>
      <c r="AH615" s="81"/>
      <c r="AI615" s="81"/>
      <c r="AJ615" s="81"/>
      <c r="AK615" s="81"/>
      <c r="AL615" s="81"/>
      <c r="AM615" s="81"/>
      <c r="AN615" s="81"/>
      <c r="AO615" s="81"/>
      <c r="AP615" s="81"/>
      <c r="AQ615" s="81"/>
      <c r="AR615" s="81"/>
    </row>
    <row r="616" spans="1:69" ht="15" customHeight="1" thickBot="1" x14ac:dyDescent="0.3">
      <c r="A616" s="2"/>
      <c r="B616" s="1837" t="s">
        <v>5126</v>
      </c>
      <c r="C616" s="83"/>
      <c r="D616" s="2101" t="str">
        <f>IF(AND(D$586&gt;0,SUM(D610:D615)&gt;0),IF(1/SUM(D610:D615)&lt;1000000,1/SUM(D610:D615),1000000),"")</f>
        <v/>
      </c>
      <c r="E616" s="83"/>
      <c r="F616" s="2101" t="str">
        <f>IF(AND(F$586&gt;0,SUM(F610:F615)&gt;0),IF(1/SUM(F610:F615)&lt;1000000,1/SUM(F610:F615),1000000),"")</f>
        <v/>
      </c>
      <c r="G616" s="238"/>
      <c r="H616" s="2101" t="str">
        <f>IF(AND(H$586&gt;0,SUM(H610:H615)&gt;0),IF(1/SUM(H610:H615)&lt;1000000,1/SUM(H610:H615),1000000),"")</f>
        <v/>
      </c>
      <c r="I616" s="238"/>
      <c r="J616" s="2101" t="str">
        <f>IF(AND(J$586&gt;0,SUM(J610:J615)&gt;0),IF(1/SUM(J610:J615)&lt;1000000,1/SUM(J610:J615),1000000),"")</f>
        <v/>
      </c>
      <c r="K616" s="238"/>
      <c r="L616" s="2101" t="str">
        <f>IF(AND(L$586&gt;0,SUM(L610:L615)&gt;0),IF(1/SUM(L610:L615)&lt;1000000,1/SUM(L610:L615),1000000),"")</f>
        <v/>
      </c>
      <c r="M616" s="238"/>
      <c r="N616" s="2101" t="str">
        <f>IF(AND(N$586&gt;0,SUM(N610:N615)&gt;0),IF(1/SUM(N610:N615)&lt;1000000,1/SUM(N610:N615),1000000),"")</f>
        <v/>
      </c>
      <c r="O616" s="238"/>
      <c r="P616" s="2101" t="str">
        <f>IF(AND(P$586&gt;0,SUM(P610:P615)&gt;0),IF(1/SUM(P610:P615)&lt;1000000,1/SUM(P610:P615),1000000),"")</f>
        <v/>
      </c>
      <c r="Q616" s="238"/>
      <c r="R616" s="2101" t="str">
        <f>IF(AND(R$586&gt;0,SUM(R610:R615)&gt;0),IF(1/SUM(R610:R615)&lt;1000000,1/SUM(R610:R615),1000000),"")</f>
        <v/>
      </c>
      <c r="S616" s="238"/>
      <c r="T616" s="2101" t="str">
        <f>IF(AND(T$586&gt;0,SUM(T610:T615)&gt;0),IF(1/SUM(T610:T615)&lt;1000000,1/SUM(T610:T615),1000000),"")</f>
        <v/>
      </c>
      <c r="U616" s="238"/>
      <c r="V616" s="2101" t="str">
        <f>IF(AND(V$586&gt;0,SUM(V610:V615)&gt;0),IF(1/SUM(V610:V615)&lt;1000000,1/SUM(V610:V615),1000000),"")</f>
        <v/>
      </c>
      <c r="W616" s="238"/>
      <c r="X616" s="2101" t="str">
        <f>IF(AND(X$586&gt;0,SUM(X610:X615)&gt;0),IF(1/SUM(X610:X615)&lt;1000000,1/SUM(X610:X615),1000000),"")</f>
        <v/>
      </c>
      <c r="Y616" s="83"/>
      <c r="Z616" s="119" t="s">
        <v>1506</v>
      </c>
      <c r="AA616" s="83"/>
      <c r="AB616" s="81"/>
      <c r="AC616" s="845" t="str">
        <f>B589</f>
        <v/>
      </c>
      <c r="AD616" s="81"/>
      <c r="AE616" s="3007">
        <f t="shared" ref="AE616:AE621" si="83">IF(SUM(AE$482:AE$487)&gt;0,AE482/SUM(AE$482:AE$487),0)</f>
        <v>0</v>
      </c>
      <c r="AF616" s="81"/>
      <c r="AG616" s="3007">
        <f t="shared" ref="AG616:AG621" si="84">IF(SUM(AG$482:AG$487)&gt;0,AG482/SUM(AG$482:AG$487),0)</f>
        <v>0</v>
      </c>
      <c r="AH616" s="81"/>
      <c r="AI616" s="3007">
        <f t="shared" ref="AI616:AI621" si="85">IF(SUM(AI$482:AI$487)&gt;0,AI482/SUM(AI$482:AI$487),0)</f>
        <v>0</v>
      </c>
      <c r="AJ616" s="81"/>
      <c r="AK616" s="81"/>
      <c r="AL616" s="81"/>
      <c r="AM616" s="81"/>
      <c r="AN616" s="81"/>
      <c r="AO616" s="81"/>
      <c r="AP616" s="81"/>
      <c r="AQ616" s="92"/>
      <c r="AR616" s="81"/>
    </row>
    <row r="617" spans="1:69" ht="15" customHeight="1" x14ac:dyDescent="0.25">
      <c r="A617" s="2"/>
      <c r="B617" s="84" t="str">
        <f>IF(B17="","","Vapor Mole Fraction "&amp;B17&amp;" / ERPG-3")</f>
        <v/>
      </c>
      <c r="C617" s="83"/>
      <c r="D617" s="2091">
        <f>IF(ER3_1&lt;&gt;"",D$589/ER3_1,0)</f>
        <v>0</v>
      </c>
      <c r="E617" s="83"/>
      <c r="F617" s="2091">
        <f>IF(ER3_1&lt;&gt;"",F$589/ER3_1,0)</f>
        <v>0</v>
      </c>
      <c r="G617" s="238"/>
      <c r="H617" s="2091">
        <f>IF(ER3_1&lt;&gt;"",H$589/ER3_1,0)</f>
        <v>0</v>
      </c>
      <c r="I617" s="238"/>
      <c r="J617" s="2091">
        <f>IF(ER3_1&lt;&gt;"",J$589/ER3_1,0)</f>
        <v>0</v>
      </c>
      <c r="K617" s="238"/>
      <c r="L617" s="2091">
        <f>IF(ER3_1&lt;&gt;"",L$589/ER3_1,0)</f>
        <v>0</v>
      </c>
      <c r="M617" s="238"/>
      <c r="N617" s="2091">
        <f>IF(ER3_1&lt;&gt;"",N$589/ER3_1,0)</f>
        <v>0</v>
      </c>
      <c r="O617" s="238"/>
      <c r="P617" s="2091">
        <f>IF(ER3_1&lt;&gt;"",P$589/ER3_1,0)</f>
        <v>0</v>
      </c>
      <c r="Q617" s="238"/>
      <c r="R617" s="2091">
        <f>IF(ER3_1&lt;&gt;"",R$589/ER3_1,0)</f>
        <v>0</v>
      </c>
      <c r="S617" s="238"/>
      <c r="T617" s="2091">
        <f>IF(ER3_1&lt;&gt;"",T$589/ER3_1,0)</f>
        <v>0</v>
      </c>
      <c r="U617" s="238"/>
      <c r="V617" s="2091">
        <f>IF(ER3_1&lt;&gt;"",V$589/ER3_1,0)</f>
        <v>0</v>
      </c>
      <c r="W617" s="238"/>
      <c r="X617" s="2091">
        <f>IF(ER3_1&lt;&gt;"",X$589/ER3_1,0)</f>
        <v>0</v>
      </c>
      <c r="Y617" s="83"/>
      <c r="Z617" s="92"/>
      <c r="AA617" s="83"/>
      <c r="AB617" s="81"/>
      <c r="AC617" s="846" t="str">
        <f>B590</f>
        <v/>
      </c>
      <c r="AD617" s="81"/>
      <c r="AE617" s="3007">
        <f t="shared" si="83"/>
        <v>0</v>
      </c>
      <c r="AF617" s="81"/>
      <c r="AG617" s="3007">
        <f t="shared" si="84"/>
        <v>0</v>
      </c>
      <c r="AH617" s="81"/>
      <c r="AI617" s="3007">
        <f t="shared" si="85"/>
        <v>0</v>
      </c>
      <c r="AJ617" s="81"/>
      <c r="AK617" s="81"/>
      <c r="AL617" s="81"/>
      <c r="AM617" s="81"/>
      <c r="AN617" s="81"/>
      <c r="AO617" s="81"/>
      <c r="AP617" s="81"/>
      <c r="AQ617" s="23"/>
      <c r="AR617" s="81"/>
    </row>
    <row r="618" spans="1:69" ht="15" customHeight="1" x14ac:dyDescent="0.25">
      <c r="A618" s="2"/>
      <c r="B618" s="23" t="str">
        <f>IF(B18="","","Vapor Mole Fraction "&amp;B18&amp;" / ERPG-3")</f>
        <v/>
      </c>
      <c r="C618" s="83"/>
      <c r="D618" s="2091">
        <f>IF(ER3_2&lt;&gt;"",D$590/ER3_2,0)</f>
        <v>0</v>
      </c>
      <c r="E618" s="83"/>
      <c r="F618" s="2091">
        <f>IF(ER3_2&lt;&gt;"",F$590/ER3_2,0)</f>
        <v>0</v>
      </c>
      <c r="G618" s="238"/>
      <c r="H618" s="2091">
        <f>IF(ER3_2&lt;&gt;"",H$590/ER3_2,0)</f>
        <v>0</v>
      </c>
      <c r="I618" s="238"/>
      <c r="J618" s="2091">
        <f>IF(ER3_2&lt;&gt;"",J$590/ER3_2,0)</f>
        <v>0</v>
      </c>
      <c r="K618" s="238"/>
      <c r="L618" s="2091">
        <f>IF(ER3_2&lt;&gt;"",L$590/ER3_2,0)</f>
        <v>0</v>
      </c>
      <c r="M618" s="238"/>
      <c r="N618" s="2091">
        <f>IF(ER3_2&lt;&gt;"",N$590/ER3_2,0)</f>
        <v>0</v>
      </c>
      <c r="O618" s="238"/>
      <c r="P618" s="2091">
        <f>IF(ER3_2&lt;&gt;"",P$590/ER3_2,0)</f>
        <v>0</v>
      </c>
      <c r="Q618" s="238"/>
      <c r="R618" s="2091">
        <f>IF(ER3_2&lt;&gt;"",R$590/ER3_2,0)</f>
        <v>0</v>
      </c>
      <c r="S618" s="238"/>
      <c r="T618" s="2091">
        <f>IF(ER3_2&lt;&gt;"",T$590/ER3_2,0)</f>
        <v>0</v>
      </c>
      <c r="U618" s="238"/>
      <c r="V618" s="2091">
        <f>IF(ER3_2&lt;&gt;"",V$590/ER3_2,0)</f>
        <v>0</v>
      </c>
      <c r="W618" s="238"/>
      <c r="X618" s="2091">
        <f>IF(ER3_2&lt;&gt;"",X$590/ER3_2,0)</f>
        <v>0</v>
      </c>
      <c r="Y618" s="83"/>
      <c r="Z618" s="85"/>
      <c r="AA618" s="83"/>
      <c r="AB618" s="81"/>
      <c r="AC618" s="846" t="str">
        <f>B591</f>
        <v/>
      </c>
      <c r="AD618" s="81"/>
      <c r="AE618" s="3007">
        <f t="shared" si="83"/>
        <v>0</v>
      </c>
      <c r="AF618" s="81"/>
      <c r="AG618" s="3007">
        <f t="shared" si="84"/>
        <v>0</v>
      </c>
      <c r="AH618" s="81"/>
      <c r="AI618" s="3007">
        <f t="shared" si="85"/>
        <v>0</v>
      </c>
      <c r="AJ618" s="81"/>
      <c r="AK618" s="81"/>
      <c r="AL618" s="81"/>
      <c r="AM618" s="81"/>
      <c r="AN618" s="81"/>
      <c r="AO618" s="81"/>
      <c r="AP618" s="81"/>
      <c r="AQ618" s="23"/>
      <c r="AR618" s="81"/>
    </row>
    <row r="619" spans="1:69" ht="15" customHeight="1" x14ac:dyDescent="0.25">
      <c r="A619" s="2"/>
      <c r="B619" s="23" t="str">
        <f>IF(B19="","","Vapor Mole Fraction "&amp;B19&amp;" / ERPG-3")</f>
        <v/>
      </c>
      <c r="C619" s="83"/>
      <c r="D619" s="2091">
        <f>IF(ER3_3&lt;&gt;"",D$591/ER3_3,0)</f>
        <v>0</v>
      </c>
      <c r="E619" s="83"/>
      <c r="F619" s="2091">
        <f>IF(ER3_3&lt;&gt;"",F$591/ER3_3,0)</f>
        <v>0</v>
      </c>
      <c r="G619" s="238"/>
      <c r="H619" s="2091">
        <f>IF(ER3_3&lt;&gt;"",H$591/ER3_3,0)</f>
        <v>0</v>
      </c>
      <c r="I619" s="238"/>
      <c r="J619" s="2091">
        <f>IF(ER3_3&lt;&gt;"",J$591/ER3_3,0)</f>
        <v>0</v>
      </c>
      <c r="K619" s="238"/>
      <c r="L619" s="2091">
        <f>IF(ER3_3&lt;&gt;"",L$591/ER3_3,0)</f>
        <v>0</v>
      </c>
      <c r="M619" s="238"/>
      <c r="N619" s="2091">
        <f>IF(ER3_3&lt;&gt;"",N$591/ER3_3,0)</f>
        <v>0</v>
      </c>
      <c r="O619" s="238"/>
      <c r="P619" s="2091">
        <f>IF(ER3_3&lt;&gt;"",P$591/ER3_3,0)</f>
        <v>0</v>
      </c>
      <c r="Q619" s="238"/>
      <c r="R619" s="2091">
        <f>IF(ER3_3&lt;&gt;"",R$591/ER3_3,0)</f>
        <v>0</v>
      </c>
      <c r="S619" s="238"/>
      <c r="T619" s="2091">
        <f>IF(ER3_3&lt;&gt;"",T$591/ER3_3,0)</f>
        <v>0</v>
      </c>
      <c r="U619" s="238"/>
      <c r="V619" s="2091">
        <f>IF(ER3_3&lt;&gt;"",V$591/ER3_3,0)</f>
        <v>0</v>
      </c>
      <c r="W619" s="238"/>
      <c r="X619" s="2091">
        <f>IF(ER3_3&lt;&gt;"",X$591/ER3_3,0)</f>
        <v>0</v>
      </c>
      <c r="Y619" s="83"/>
      <c r="Z619" s="85"/>
      <c r="AA619" s="83"/>
      <c r="AB619" s="81"/>
      <c r="AC619" s="846" t="str">
        <f>B592</f>
        <v/>
      </c>
      <c r="AD619" s="81"/>
      <c r="AE619" s="3007">
        <f t="shared" si="83"/>
        <v>0</v>
      </c>
      <c r="AF619" s="81"/>
      <c r="AG619" s="3007">
        <f t="shared" si="84"/>
        <v>0</v>
      </c>
      <c r="AH619" s="81"/>
      <c r="AI619" s="3007">
        <f t="shared" si="85"/>
        <v>0</v>
      </c>
      <c r="AJ619" s="81"/>
      <c r="AK619" s="81"/>
      <c r="AL619" s="81"/>
      <c r="AM619" s="81"/>
      <c r="AN619" s="81"/>
      <c r="AO619" s="81"/>
      <c r="AP619" s="81"/>
      <c r="AQ619" s="23"/>
      <c r="AR619" s="81"/>
    </row>
    <row r="620" spans="1:69" ht="15" customHeight="1" x14ac:dyDescent="0.25">
      <c r="A620" s="2"/>
      <c r="B620" s="23" t="str">
        <f>IF(B20="","","Vapor Mole Fraction "&amp;B20&amp;" / ERPG-3")</f>
        <v/>
      </c>
      <c r="C620" s="83"/>
      <c r="D620" s="2091">
        <f>IF(ER3_4&lt;&gt;"",D$592/ER3_4,0)</f>
        <v>0</v>
      </c>
      <c r="E620" s="83"/>
      <c r="F620" s="2091">
        <f>IF(ER3_4&lt;&gt;"",F$592/ER3_4,0)</f>
        <v>0</v>
      </c>
      <c r="G620" s="238"/>
      <c r="H620" s="2091">
        <f>IF(ER3_4&lt;&gt;"",H$592/ER3_4,0)</f>
        <v>0</v>
      </c>
      <c r="I620" s="238"/>
      <c r="J620" s="2091">
        <f>IF(ER3_4&lt;&gt;"",J$592/ER3_4,0)</f>
        <v>0</v>
      </c>
      <c r="K620" s="238"/>
      <c r="L620" s="2091">
        <f>IF(ER3_4&lt;&gt;"",L$592/ER3_4,0)</f>
        <v>0</v>
      </c>
      <c r="M620" s="238"/>
      <c r="N620" s="2091">
        <f>IF(ER3_4&lt;&gt;"",N$592/ER3_4,0)</f>
        <v>0</v>
      </c>
      <c r="O620" s="238"/>
      <c r="P620" s="2091">
        <f>IF(ER3_4&lt;&gt;"",P$592/ER3_4,0)</f>
        <v>0</v>
      </c>
      <c r="Q620" s="238"/>
      <c r="R620" s="2091">
        <f>IF(ER3_4&lt;&gt;"",R$592/ER3_4,0)</f>
        <v>0</v>
      </c>
      <c r="S620" s="238"/>
      <c r="T620" s="2091">
        <f>IF(ER3_4&lt;&gt;"",T$592/ER3_4,0)</f>
        <v>0</v>
      </c>
      <c r="U620" s="238"/>
      <c r="V620" s="2091">
        <f>IF(ER3_4&lt;&gt;"",V$592/ER3_4,0)</f>
        <v>0</v>
      </c>
      <c r="W620" s="238"/>
      <c r="X620" s="2091">
        <f>IF(ER3_4&lt;&gt;"",X$592/ER3_4,0)</f>
        <v>0</v>
      </c>
      <c r="Y620" s="83"/>
      <c r="Z620" s="85"/>
      <c r="AA620" s="83"/>
      <c r="AB620" s="81"/>
      <c r="AC620" s="846" t="str">
        <f>B593</f>
        <v/>
      </c>
      <c r="AD620" s="81"/>
      <c r="AE620" s="3007">
        <f t="shared" si="83"/>
        <v>0</v>
      </c>
      <c r="AF620" s="81"/>
      <c r="AG620" s="3007">
        <f t="shared" si="84"/>
        <v>0</v>
      </c>
      <c r="AH620" s="81"/>
      <c r="AI620" s="3007">
        <f t="shared" si="85"/>
        <v>0</v>
      </c>
      <c r="AJ620" s="81"/>
      <c r="AK620" s="81"/>
      <c r="AL620" s="81"/>
      <c r="AM620" s="81"/>
      <c r="AN620" s="81"/>
      <c r="AO620" s="81"/>
      <c r="AP620" s="81"/>
      <c r="AQ620" s="23"/>
      <c r="AR620" s="81"/>
    </row>
    <row r="621" spans="1:69" ht="15" customHeight="1" thickBot="1" x14ac:dyDescent="0.3">
      <c r="A621" s="2"/>
      <c r="B621" s="23" t="str">
        <f>IF(B21="","","Vapor Mole Fraction "&amp;B21&amp;" / ERPG-3")</f>
        <v/>
      </c>
      <c r="C621" s="83"/>
      <c r="D621" s="2091">
        <f>IF(ER3_5&lt;&gt;"",D$593/ER3_5,0)</f>
        <v>0</v>
      </c>
      <c r="E621" s="83"/>
      <c r="F621" s="2091">
        <f>IF(ER3_5&lt;&gt;"",F$593/ER3_5,0)</f>
        <v>0</v>
      </c>
      <c r="G621" s="238"/>
      <c r="H621" s="2091">
        <f>IF(ER3_5&lt;&gt;"",H$593/ER3_5,0)</f>
        <v>0</v>
      </c>
      <c r="I621" s="238"/>
      <c r="J621" s="2091">
        <f>IF(ER3_5&lt;&gt;"",J$593/ER3_5,0)</f>
        <v>0</v>
      </c>
      <c r="K621" s="238"/>
      <c r="L621" s="2091">
        <f>IF(ER3_5&lt;&gt;"",L$593/ER3_5,0)</f>
        <v>0</v>
      </c>
      <c r="M621" s="238"/>
      <c r="N621" s="2091">
        <f>IF(ER3_5&lt;&gt;"",N$593/ER3_5,0)</f>
        <v>0</v>
      </c>
      <c r="O621" s="238"/>
      <c r="P621" s="2091">
        <f>IF(ER3_5&lt;&gt;"",P$593/ER3_5,0)</f>
        <v>0</v>
      </c>
      <c r="Q621" s="238"/>
      <c r="R621" s="2091">
        <f>IF(ER3_5&lt;&gt;"",R$593/ER3_5,0)</f>
        <v>0</v>
      </c>
      <c r="S621" s="238"/>
      <c r="T621" s="2091">
        <f>IF(ER3_5&lt;&gt;"",T$593/ER3_5,0)</f>
        <v>0</v>
      </c>
      <c r="U621" s="238"/>
      <c r="V621" s="2091">
        <f>IF(ER3_5&lt;&gt;"",V$593/ER3_5,0)</f>
        <v>0</v>
      </c>
      <c r="W621" s="238"/>
      <c r="X621" s="2091">
        <f>IF(ER3_5&lt;&gt;"",X$593/ER3_5,0)</f>
        <v>0</v>
      </c>
      <c r="Y621" s="83"/>
      <c r="Z621" s="85"/>
      <c r="AA621" s="83"/>
      <c r="AB621" s="81"/>
      <c r="AC621" s="615" t="s">
        <v>5132</v>
      </c>
      <c r="AD621" s="81"/>
      <c r="AE621" s="3007">
        <f t="shared" si="83"/>
        <v>0</v>
      </c>
      <c r="AF621" s="81"/>
      <c r="AG621" s="3007">
        <f t="shared" si="84"/>
        <v>0</v>
      </c>
      <c r="AH621" s="81"/>
      <c r="AI621" s="3007">
        <f t="shared" si="85"/>
        <v>0</v>
      </c>
      <c r="AJ621" s="81"/>
      <c r="AK621" s="81"/>
      <c r="AL621" s="81"/>
      <c r="AM621" s="81"/>
      <c r="AN621" s="81"/>
      <c r="AO621" s="81"/>
      <c r="AP621" s="81"/>
      <c r="AQ621" s="23"/>
      <c r="AR621" s="81"/>
    </row>
    <row r="622" spans="1:69" ht="15" customHeight="1" thickBot="1" x14ac:dyDescent="0.3">
      <c r="A622" s="2"/>
      <c r="B622" s="89" t="s">
        <v>5134</v>
      </c>
      <c r="C622" s="83"/>
      <c r="D622" s="2091">
        <f>IF(Pad_ER3&lt;&gt;"",D$594/Pad_ER3,0)</f>
        <v>0</v>
      </c>
      <c r="E622" s="83"/>
      <c r="F622" s="2091">
        <f>IF(Pad_ER3&lt;&gt;"",F$594/Pad_ER3,0)</f>
        <v>0</v>
      </c>
      <c r="G622" s="238"/>
      <c r="H622" s="2091">
        <f>IF(Pad_ER3&lt;&gt;"",H$594/Pad_ER3,0)</f>
        <v>0</v>
      </c>
      <c r="I622" s="238"/>
      <c r="J622" s="2091">
        <f>IF(Pad_ER3&lt;&gt;"",J$594/Pad_ER3,0)</f>
        <v>0</v>
      </c>
      <c r="K622" s="238"/>
      <c r="L622" s="2091">
        <f>IF(Pad_ER3&lt;&gt;"",L$594/Pad_ER3,0)</f>
        <v>0</v>
      </c>
      <c r="M622" s="238"/>
      <c r="N622" s="2091">
        <f>IF(Pad_ER3&lt;&gt;"",N$594/Pad_ER3,0)</f>
        <v>0</v>
      </c>
      <c r="O622" s="238"/>
      <c r="P622" s="2091">
        <f>IF(Pad_ER3&lt;&gt;"",P$594/Pad_ER3,0)</f>
        <v>0</v>
      </c>
      <c r="Q622" s="238"/>
      <c r="R622" s="2091">
        <f>IF(Pad_ER3&lt;&gt;"",R$594/Pad_ER3,0)</f>
        <v>0</v>
      </c>
      <c r="S622" s="238"/>
      <c r="T622" s="2091">
        <f>IF(Pad_ER3&lt;&gt;"",T$594/Pad_ER3,0)</f>
        <v>0</v>
      </c>
      <c r="U622" s="238"/>
      <c r="V622" s="2091">
        <f>IF(Pad_ER3&lt;&gt;"",V$594/Pad_ER3,0)</f>
        <v>0</v>
      </c>
      <c r="W622" s="238"/>
      <c r="X622" s="2091">
        <f>IF(Pad_ER3&lt;&gt;"",X$594/Pad_ER3,0)</f>
        <v>0</v>
      </c>
      <c r="Y622" s="83"/>
      <c r="Z622" s="25"/>
      <c r="AA622" s="83"/>
      <c r="AB622" s="81"/>
      <c r="AC622" s="2994" t="s">
        <v>3828</v>
      </c>
      <c r="AD622" s="81"/>
      <c r="AE622" s="2095">
        <f>IF(EXP(VP_A-VP_B/(Ambient_Temp+Approach_dT+273.15-VP_C))*(AE616*Act_1*(Rel_1*EXP(dRel_1*(Ambient_Temp+Approach_dT-T)))+AE617*Act_2*(Rel_2*EXP(dRel_2*(Ambient_Temp+Approach_dT-T)))+AE618*Act_3*(Rel_3*EXP(dRel_3*(Ambient_Temp+Approach_dT-T)))+AE619*Act_4*(Rel_4*EXP(dRel_4*(Ambient_Temp+Approach_dT-T)))+AE620*Act_5*(Rel_5*EXP(dRel_5*(Ambient_Temp+Approach_dT-T))))&lt;0.5,2000000*EXP(VP_A-VP_B/(Ambient_Temp+Approach_dT+273.15-VP_C))*(AE616*Act_1*(Rel_1*EXP(dRel_1*(Ambient_Temp+Approach_dT-T)))+AE617*Act_2*(Rel_2*EXP(dRel_2*(Ambient_Temp+Approach_dT-T)))+AE618*Act_3*(Rel_3*EXP(dRel_3*(Ambient_Temp+Approach_dT-T)))+AE619*Act_4*(Rel_4*EXP(dRel_4*(Ambient_Temp+Approach_dT-T)))+AE620*Act_5*(Rel_5*EXP(dRel_5*(Ambient_Temp+Approach_dT-T))))/IF(AE621&lt;1,(1-AE621),1),1000000)</f>
        <v>0</v>
      </c>
      <c r="AF622" s="81"/>
      <c r="AG622" s="2095">
        <f>IF(EXP(VP_A-VP_B/(Ambient_Temp+Approach_dT+273.15-VP_C))*(AG616*Act_1*(Rel_1*EXP(dRel_1*(Ambient_Temp+Approach_dT-T)))+AG617*Act_2*(Rel_2*EXP(dRel_2*(Ambient_Temp+Approach_dT-T)))+AG618*Act_3*(Rel_3*EXP(dRel_3*(Ambient_Temp+Approach_dT-T)))+AG619*Act_4*(Rel_4*EXP(dRel_4*(Ambient_Temp+Approach_dT-T)))+AG620*Act_5*(Rel_5*EXP(dRel_5*(Ambient_Temp+Approach_dT-T))))&lt;0.5,2000000*EXP(VP_A-VP_B/(Ambient_Temp+Approach_dT+273.15-VP_C))*(AG616*Act_1*(Rel_1*EXP(dRel_1*(Ambient_Temp+Approach_dT-T)))+AG617*Act_2*(Rel_2*EXP(dRel_2*(Ambient_Temp+Approach_dT-T)))+AG618*Act_3*(Rel_3*EXP(dRel_3*(Ambient_Temp+Approach_dT-T)))+AG619*Act_4*(Rel_4*EXP(dRel_4*(Ambient_Temp+Approach_dT-T)))+AG620*Act_5*(Rel_5*EXP(dRel_5*(Ambient_Temp+Approach_dT-T))))/IF(AG621&lt;1,(1-AG621),1),1000000)</f>
        <v>0</v>
      </c>
      <c r="AH622" s="81"/>
      <c r="AI622" s="2095">
        <f>IF(EXP(VP_A-VP_B/(Ambient_Temp+Approach_dT+273.15-VP_C))*(AI616*Act_1*(Rel_1*EXP(dRel_1*(Ambient_Temp+Approach_dT-T)))+AI617*Act_2*(Rel_2*EXP(dRel_2*(Ambient_Temp+Approach_dT-T)))+AI618*Act_3*(Rel_3*EXP(dRel_3*(Ambient_Temp+Approach_dT-T)))+AI619*Act_4*(Rel_4*EXP(dRel_4*(Ambient_Temp+Approach_dT-T)))+AI620*Act_5*(Rel_5*EXP(dRel_5*(Ambient_Temp+Approach_dT-T))))&lt;0.5,2000000*EXP(VP_A-VP_B/(Ambient_Temp+Approach_dT+273.15-VP_C))*(AI616*Act_1*(Rel_1*EXP(dRel_1*(Ambient_Temp+Approach_dT-T)))+AI617*Act_2*(Rel_2*EXP(dRel_2*(Ambient_Temp+Approach_dT-T)))+AI618*Act_3*(Rel_3*EXP(dRel_3*(Ambient_Temp+Approach_dT-T)))+AI619*Act_4*(Rel_4*EXP(dRel_4*(Ambient_Temp+Approach_dT-T)))+AI620*Act_5*(Rel_5*EXP(dRel_5*(Ambient_Temp+Approach_dT-T))))/IF(AI621&lt;1,(1-AI621),1),1000000)</f>
        <v>0</v>
      </c>
      <c r="AJ622" s="81"/>
      <c r="AK622" s="81"/>
      <c r="AL622" s="81"/>
      <c r="AM622" s="81"/>
      <c r="AN622" s="81"/>
      <c r="AO622" s="81"/>
      <c r="AP622" s="81"/>
      <c r="AQ622" s="25" t="s">
        <v>1506</v>
      </c>
      <c r="AR622" s="81"/>
    </row>
    <row r="623" spans="1:69" ht="15" customHeight="1" thickBot="1" x14ac:dyDescent="0.3">
      <c r="A623" s="2"/>
      <c r="B623" s="25" t="s">
        <v>3673</v>
      </c>
      <c r="C623" s="83"/>
      <c r="D623" s="2101" t="str">
        <f>IF(SUM(D617:D622)&gt;0,IF(1/SUM(D617:D622)&lt;1000000,1/SUM(D617:D622),1000000),"")</f>
        <v/>
      </c>
      <c r="E623" s="83"/>
      <c r="F623" s="2101" t="str">
        <f>IF(SUM(F617:F622)&gt;0,IF(1/SUM(F617:F622)&lt;1000000,1/SUM(F617:F622),1000000),"")</f>
        <v/>
      </c>
      <c r="G623" s="238"/>
      <c r="H623" s="2101" t="str">
        <f>IF(SUM(H617:H622)&gt;0,IF(1/SUM(H617:H622)&lt;1000000,1/SUM(H617:H622),1000000),"")</f>
        <v/>
      </c>
      <c r="I623" s="238"/>
      <c r="J623" s="2101" t="str">
        <f>IF(SUM(J617:J622)&gt;0,IF(1/SUM(J617:J622)&lt;1000000,1/SUM(J617:J622),1000000),"")</f>
        <v/>
      </c>
      <c r="K623" s="238"/>
      <c r="L623" s="2101" t="str">
        <f>IF(SUM(L617:L622)&gt;0,IF(1/SUM(L617:L622)&lt;1000000,1/SUM(L617:L622),1000000),"")</f>
        <v/>
      </c>
      <c r="M623" s="238"/>
      <c r="N623" s="2101" t="str">
        <f>IF(SUM(N617:N622)&gt;0,IF(1/SUM(N617:N622)&lt;1000000,1/SUM(N617:N622),1000000),"")</f>
        <v/>
      </c>
      <c r="O623" s="238"/>
      <c r="P623" s="2101" t="str">
        <f>IF(SUM(P617:P622)&gt;0,IF(1/SUM(P617:P622)&lt;1000000,1/SUM(P617:P622),1000000),"")</f>
        <v/>
      </c>
      <c r="Q623" s="238"/>
      <c r="R623" s="2101" t="str">
        <f>IF(SUM(R617:R622)&gt;0,IF(1/SUM(R617:R622)&lt;1000000,1/SUM(R617:R622),1000000),"")</f>
        <v/>
      </c>
      <c r="S623" s="238"/>
      <c r="T623" s="2101" t="str">
        <f>IF(SUM(T617:T622)&gt;0,IF(1/SUM(T617:T622)&lt;1000000,1/SUM(T617:T622),1000000),"")</f>
        <v/>
      </c>
      <c r="U623" s="238"/>
      <c r="V623" s="2101" t="str">
        <f>IF(SUM(V617:V622)&gt;0,IF(1/SUM(V617:V622)&lt;1000000,1/SUM(V617:V622),1000000),"")</f>
        <v/>
      </c>
      <c r="W623" s="238"/>
      <c r="X623" s="2101" t="str">
        <f>IF(SUM(X617:X622)&gt;0,IF(1/SUM(X617:X622)&lt;1000000,1/SUM(X617:X622),1000000),"")</f>
        <v/>
      </c>
      <c r="Y623" s="83"/>
      <c r="Z623" s="119" t="s">
        <v>1506</v>
      </c>
      <c r="AA623" s="83"/>
      <c r="AB623" s="81"/>
      <c r="AC623" s="614" t="str">
        <f>B596</f>
        <v/>
      </c>
      <c r="AD623" s="81"/>
      <c r="AE623" s="2091">
        <f>IF(AND(AE$616&gt;0,ER2_1&lt;&gt;""),AE$616/(ER2_1/AE$613^(1/Pn_1)),0)</f>
        <v>0</v>
      </c>
      <c r="AF623" s="81"/>
      <c r="AG623" s="2091">
        <f>IF(AND(AG$616&gt;0,ER2_1&lt;&gt;""),AG$616/(ER2_1/AG$613^(1/Pn_1)),0)</f>
        <v>0</v>
      </c>
      <c r="AH623" s="81"/>
      <c r="AI623" s="2091">
        <f>IF(AND(AI$616&gt;0,ER2_1&lt;&gt;""),AI$616/(ER2_1/AI$613^(1/Pn_1)),0)</f>
        <v>0</v>
      </c>
      <c r="AJ623" s="81"/>
      <c r="AK623" s="81"/>
      <c r="AL623" s="81"/>
      <c r="AM623" s="81"/>
      <c r="AN623" s="81"/>
      <c r="AO623" s="81"/>
      <c r="AP623" s="81"/>
      <c r="AQ623" s="92"/>
      <c r="AR623" s="81"/>
    </row>
    <row r="624" spans="1:69" ht="15" customHeight="1" x14ac:dyDescent="0.25">
      <c r="A624" s="2"/>
      <c r="B624" s="512" t="str">
        <f>IF(B17="","","Vapor Mole Fraction "&amp;B17&amp;" / LFL")</f>
        <v/>
      </c>
      <c r="C624" s="83"/>
      <c r="D624" s="2091">
        <f>IF(AND(D$589&gt;0,LFL_1&lt;&gt;""),D$589/LFL_1,0)</f>
        <v>0</v>
      </c>
      <c r="E624" s="83"/>
      <c r="F624" s="2091">
        <f>IF(AND(F$589&gt;0,LFL_1&lt;&gt;""),F$589/LFL_1,0)</f>
        <v>0</v>
      </c>
      <c r="G624" s="83"/>
      <c r="H624" s="2091">
        <f>IF(AND(H$589&gt;0,LFL_1&lt;&gt;""),H$589/LFL_1,0)</f>
        <v>0</v>
      </c>
      <c r="I624" s="83"/>
      <c r="J624" s="2091">
        <f>IF(AND(J$589&gt;0,LFL_1&lt;&gt;""),J$589/LFL_1,0)</f>
        <v>0</v>
      </c>
      <c r="K624" s="83"/>
      <c r="L624" s="2091">
        <f>IF(AND(L$589&gt;0,LFL_1&lt;&gt;""),L$589/LFL_1,0)</f>
        <v>0</v>
      </c>
      <c r="M624" s="83"/>
      <c r="N624" s="2091">
        <f>IF(AND(N$589&gt;0,LFL_1&lt;&gt;""),N$589/LFL_1,0)</f>
        <v>0</v>
      </c>
      <c r="O624" s="83"/>
      <c r="P624" s="2091">
        <f>IF(AND(P$589&gt;0,LFL_1&lt;&gt;""),P$589/LFL_1,0)</f>
        <v>0</v>
      </c>
      <c r="Q624" s="83"/>
      <c r="R624" s="2091">
        <f>IF(AND(R$589&gt;0,LFL_1&lt;&gt;""),R$589/LFL_1,0)</f>
        <v>0</v>
      </c>
      <c r="S624" s="83"/>
      <c r="T624" s="2091">
        <f>IF(AND(T$589&gt;0,LFL_1&lt;&gt;""),T$589/LFL_1,0)</f>
        <v>0</v>
      </c>
      <c r="U624" s="83"/>
      <c r="V624" s="2091">
        <f>IF(AND(V$589&gt;0,LFL_1&lt;&gt;""),V$589/LFL_1,0)</f>
        <v>0</v>
      </c>
      <c r="W624" s="83"/>
      <c r="X624" s="2091">
        <f>IF(AND(X$589&gt;0,LFL_1&lt;&gt;""),X$589/LFL_1,0)</f>
        <v>0</v>
      </c>
      <c r="Y624" s="83"/>
      <c r="Z624" s="23"/>
      <c r="AA624" s="83"/>
      <c r="AB624" s="81"/>
      <c r="AC624" s="512" t="str">
        <f t="shared" ref="AC624:AC627" si="86">B597</f>
        <v/>
      </c>
      <c r="AD624" s="81"/>
      <c r="AE624" s="2091">
        <f>IF(AND(AE$617&gt;0,ER2_2&lt;&gt;""),AE$617/(ER2_2/AE$613^(1/Pn_2)),0)</f>
        <v>0</v>
      </c>
      <c r="AF624" s="81"/>
      <c r="AG624" s="2091">
        <f>IF(AND(AG$617&gt;0,ER2_2&lt;&gt;""),AG$617/(ER2_2/AG$613^(1/Pn_2)),0)</f>
        <v>0</v>
      </c>
      <c r="AH624" s="81"/>
      <c r="AI624" s="2091">
        <f>IF(AND(AI$617&gt;0,ER2_2&lt;&gt;""),AI$617/(ER2_2/AI$613^(1/Pn_2)),0)</f>
        <v>0</v>
      </c>
      <c r="AJ624" s="81"/>
      <c r="AK624" s="81"/>
      <c r="AL624" s="81"/>
      <c r="AM624" s="81"/>
      <c r="AN624" s="81"/>
      <c r="AO624" s="81"/>
      <c r="AP624" s="81"/>
      <c r="AQ624" s="23"/>
      <c r="AR624" s="81"/>
    </row>
    <row r="625" spans="1:44" ht="15" customHeight="1" x14ac:dyDescent="0.25">
      <c r="A625" s="2"/>
      <c r="B625" s="512" t="str">
        <f>IF(B18="","","Vapor Mole Fraction "&amp;B18&amp;" / LFL")</f>
        <v/>
      </c>
      <c r="C625" s="83"/>
      <c r="D625" s="2091">
        <f>IF(AND(D$590&gt;0,LFL_2&lt;&gt;""),D$590/LFL_2,0)</f>
        <v>0</v>
      </c>
      <c r="E625" s="83"/>
      <c r="F625" s="2091">
        <f>IF(AND(F$590&gt;0,LFL_2&lt;&gt;""),F$590/LFL_2,0)</f>
        <v>0</v>
      </c>
      <c r="G625" s="83"/>
      <c r="H625" s="2091">
        <f>IF(AND(H$590&gt;0,LFL_2&lt;&gt;""),H$590/LFL_2,0)</f>
        <v>0</v>
      </c>
      <c r="I625" s="83"/>
      <c r="J625" s="2091">
        <f>IF(AND(J$590&gt;0,LFL_2&lt;&gt;""),J$590/LFL_2,0)</f>
        <v>0</v>
      </c>
      <c r="K625" s="83"/>
      <c r="L625" s="2091">
        <f>IF(AND(L$590&gt;0,LFL_2&lt;&gt;""),L$590/LFL_2,0)</f>
        <v>0</v>
      </c>
      <c r="M625" s="83"/>
      <c r="N625" s="2091">
        <f>IF(AND(N$590&gt;0,LFL_2&lt;&gt;""),N$590/LFL_2,0)</f>
        <v>0</v>
      </c>
      <c r="O625" s="83"/>
      <c r="P625" s="2091">
        <f>IF(AND(P$590&gt;0,LFL_2&lt;&gt;""),P$590/LFL_2,0)</f>
        <v>0</v>
      </c>
      <c r="Q625" s="83"/>
      <c r="R625" s="2091">
        <f>IF(AND(R$590&gt;0,LFL_2&lt;&gt;""),R$590/LFL_2,0)</f>
        <v>0</v>
      </c>
      <c r="S625" s="83"/>
      <c r="T625" s="2091">
        <f>IF(AND(T$590&gt;0,LFL_2&lt;&gt;""),T$590/LFL_2,0)</f>
        <v>0</v>
      </c>
      <c r="U625" s="83"/>
      <c r="V625" s="2091">
        <f>IF(AND(V$590&gt;0,LFL_2&lt;&gt;""),V$590/LFL_2,0)</f>
        <v>0</v>
      </c>
      <c r="W625" s="83"/>
      <c r="X625" s="2091">
        <f>IF(AND(X$590&gt;0,LFL_2&lt;&gt;""),X$590/LFL_2,0)</f>
        <v>0</v>
      </c>
      <c r="Y625" s="83"/>
      <c r="Z625" s="23"/>
      <c r="AA625" s="83"/>
      <c r="AB625" s="81"/>
      <c r="AC625" s="512" t="str">
        <f t="shared" si="86"/>
        <v/>
      </c>
      <c r="AD625" s="81"/>
      <c r="AE625" s="2091">
        <f>IF(AND(AE$618&gt;0,ER2_3&lt;&gt;""),AE$618/(ER2_3/AE$613^(1/Pn_3)),0)</f>
        <v>0</v>
      </c>
      <c r="AF625" s="81"/>
      <c r="AG625" s="2091">
        <f>IF(AND(AG$618&gt;0,ER2_3&lt;&gt;""),AG$618/(ER2_3/AG$613^(1/Pn_3)),0)</f>
        <v>0</v>
      </c>
      <c r="AH625" s="81"/>
      <c r="AI625" s="2091">
        <f>IF(AND(AI$618&gt;0,ER2_3&lt;&gt;""),AI$618/(ER2_3/AI$613^(1/Pn_3)),0)</f>
        <v>0</v>
      </c>
      <c r="AJ625" s="81"/>
      <c r="AK625" s="81"/>
      <c r="AL625" s="81"/>
      <c r="AM625" s="81"/>
      <c r="AN625" s="81"/>
      <c r="AO625" s="81"/>
      <c r="AP625" s="81"/>
      <c r="AQ625" s="23"/>
      <c r="AR625" s="81"/>
    </row>
    <row r="626" spans="1:44" ht="15" customHeight="1" x14ac:dyDescent="0.25">
      <c r="A626" s="2"/>
      <c r="B626" s="512" t="str">
        <f>IF(B19="","","Vapor Mole Fraction "&amp;B19&amp;" / LFL")</f>
        <v/>
      </c>
      <c r="C626" s="83"/>
      <c r="D626" s="2091">
        <f>IF(AND(D$591&gt;0,LFL_3&lt;&gt;""),D$591/LFL_3,0)</f>
        <v>0</v>
      </c>
      <c r="E626" s="83"/>
      <c r="F626" s="2091">
        <f>IF(AND(F$591&gt;0,LFL_3&lt;&gt;""),F$591/LFL_3,0)</f>
        <v>0</v>
      </c>
      <c r="G626" s="83"/>
      <c r="H626" s="2091">
        <f>IF(AND(H$591&gt;0,LFL_3&lt;&gt;""),H$591/LFL_3,0)</f>
        <v>0</v>
      </c>
      <c r="I626" s="83"/>
      <c r="J626" s="2091">
        <f>IF(AND(J$591&gt;0,LFL_3&lt;&gt;""),J$591/LFL_3,0)</f>
        <v>0</v>
      </c>
      <c r="K626" s="83"/>
      <c r="L626" s="2091">
        <f>IF(AND(L$591&gt;0,LFL_3&lt;&gt;""),L$591/LFL_3,0)</f>
        <v>0</v>
      </c>
      <c r="M626" s="83"/>
      <c r="N626" s="2091">
        <f>IF(AND(N$591&gt;0,LFL_3&lt;&gt;""),N$591/LFL_3,0)</f>
        <v>0</v>
      </c>
      <c r="O626" s="83"/>
      <c r="P626" s="2091">
        <f>IF(AND(P$591&gt;0,LFL_3&lt;&gt;""),P$591/LFL_3,0)</f>
        <v>0</v>
      </c>
      <c r="Q626" s="83"/>
      <c r="R626" s="2091">
        <f>IF(AND(R$591&gt;0,LFL_3&lt;&gt;""),R$591/LFL_3,0)</f>
        <v>0</v>
      </c>
      <c r="S626" s="83"/>
      <c r="T626" s="2091">
        <f>IF(AND(T$591&gt;0,LFL_3&lt;&gt;""),T$591/LFL_3,0)</f>
        <v>0</v>
      </c>
      <c r="U626" s="83"/>
      <c r="V626" s="2091">
        <f>IF(AND(V$591&gt;0,LFL_3&lt;&gt;""),V$591/LFL_3,0)</f>
        <v>0</v>
      </c>
      <c r="W626" s="83"/>
      <c r="X626" s="2091">
        <f>IF(AND(X$591&gt;0,LFL_3&lt;&gt;""),X$591/LFL_3,0)</f>
        <v>0</v>
      </c>
      <c r="Y626" s="83"/>
      <c r="Z626" s="23"/>
      <c r="AA626" s="83"/>
      <c r="AB626" s="81"/>
      <c r="AC626" s="512" t="str">
        <f t="shared" si="86"/>
        <v/>
      </c>
      <c r="AD626" s="81"/>
      <c r="AE626" s="2091">
        <f>IF(AND(AE$619&gt;0,ER2_4&lt;&gt;""),AE$619/(ER2_4/AE$613^(1/Pn_4)),0)</f>
        <v>0</v>
      </c>
      <c r="AF626" s="81"/>
      <c r="AG626" s="2091">
        <f>IF(AND(AG$619&gt;0,ER2_4&lt;&gt;""),AG$619/(ER2_4/AG$613^(1/Pn_4)),0)</f>
        <v>0</v>
      </c>
      <c r="AH626" s="81"/>
      <c r="AI626" s="2091">
        <f>IF(AND(AI$619&gt;0,ER2_4&lt;&gt;""),AI$619/(ER2_4/AI$613^(1/Pn_4)),0)</f>
        <v>0</v>
      </c>
      <c r="AJ626" s="81"/>
      <c r="AK626" s="81"/>
      <c r="AL626" s="81"/>
      <c r="AM626" s="81"/>
      <c r="AN626" s="81"/>
      <c r="AO626" s="81"/>
      <c r="AP626" s="81"/>
      <c r="AQ626" s="23"/>
      <c r="AR626" s="81"/>
    </row>
    <row r="627" spans="1:44" ht="15" customHeight="1" x14ac:dyDescent="0.25">
      <c r="A627" s="2"/>
      <c r="B627" s="512" t="str">
        <f>IF(B20="","","Vapor Mole Fraction "&amp;B20&amp;" / LFL")</f>
        <v/>
      </c>
      <c r="C627" s="83"/>
      <c r="D627" s="2091">
        <f>IF(AND(D$592&gt;0,LFL_4&lt;&gt;""),D$592/LFL_4,0)</f>
        <v>0</v>
      </c>
      <c r="E627" s="83"/>
      <c r="F627" s="2091">
        <f>IF(AND(F$592&gt;0,LFL_4&lt;&gt;""),F$592/LFL_4,0)</f>
        <v>0</v>
      </c>
      <c r="G627" s="83"/>
      <c r="H627" s="2091">
        <f>IF(AND(H$592&gt;0,LFL_4&lt;&gt;""),H$592/LFL_4,0)</f>
        <v>0</v>
      </c>
      <c r="I627" s="83"/>
      <c r="J627" s="2091">
        <f>IF(AND(J$592&gt;0,LFL_4&lt;&gt;""),J$592/LFL_4,0)</f>
        <v>0</v>
      </c>
      <c r="K627" s="83"/>
      <c r="L627" s="2091">
        <f>IF(AND(L$592&gt;0,LFL_4&lt;&gt;""),L$592/LFL_4,0)</f>
        <v>0</v>
      </c>
      <c r="M627" s="83"/>
      <c r="N627" s="2091">
        <f>IF(AND(N$592&gt;0,LFL_4&lt;&gt;""),N$592/LFL_4,0)</f>
        <v>0</v>
      </c>
      <c r="O627" s="83"/>
      <c r="P627" s="2091">
        <f>IF(AND(P$592&gt;0,LFL_4&lt;&gt;""),P$592/LFL_4,0)</f>
        <v>0</v>
      </c>
      <c r="Q627" s="83"/>
      <c r="R627" s="2091">
        <f>IF(AND(R$592&gt;0,LFL_4&lt;&gt;""),R$592/LFL_4,0)</f>
        <v>0</v>
      </c>
      <c r="S627" s="83"/>
      <c r="T627" s="2091">
        <f>IF(AND(T$592&gt;0,LFL_4&lt;&gt;""),T$592/LFL_4,0)</f>
        <v>0</v>
      </c>
      <c r="U627" s="83"/>
      <c r="V627" s="2091">
        <f>IF(AND(V$592&gt;0,LFL_4&lt;&gt;""),V$592/LFL_4,0)</f>
        <v>0</v>
      </c>
      <c r="W627" s="83"/>
      <c r="X627" s="2091">
        <f>IF(AND(X$592&gt;0,LFL_4&lt;&gt;""),X$592/LFL_4,0)</f>
        <v>0</v>
      </c>
      <c r="Y627" s="83"/>
      <c r="Z627" s="23"/>
      <c r="AA627" s="83"/>
      <c r="AB627" s="81"/>
      <c r="AC627" s="512" t="str">
        <f t="shared" si="86"/>
        <v/>
      </c>
      <c r="AD627" s="81"/>
      <c r="AE627" s="2091">
        <f>IF(AND(AE$620&gt;0,ER2_5&lt;&gt;""),AE$620/(ER2_5/AE$613^(1/Pn_5)),0)</f>
        <v>0</v>
      </c>
      <c r="AF627" s="81"/>
      <c r="AG627" s="2091">
        <f>IF(AND(AG$620&gt;0,ER2_5&lt;&gt;""),AG$620/(ER2_5/AG$613^(1/Pn_5)),0)</f>
        <v>0</v>
      </c>
      <c r="AH627" s="81"/>
      <c r="AI627" s="2091">
        <f>IF(AND(AI$620&gt;0,ER2_5&lt;&gt;""),AI$620/(ER2_5/AI$613^(1/Pn_5)),0)</f>
        <v>0</v>
      </c>
      <c r="AJ627" s="81"/>
      <c r="AK627" s="81"/>
      <c r="AL627" s="81"/>
      <c r="AM627" s="81"/>
      <c r="AN627" s="81"/>
      <c r="AO627" s="81"/>
      <c r="AP627" s="81"/>
      <c r="AQ627" s="23"/>
      <c r="AR627" s="81"/>
    </row>
    <row r="628" spans="1:44" ht="15" customHeight="1" thickBot="1" x14ac:dyDescent="0.3">
      <c r="A628" s="2"/>
      <c r="B628" s="512" t="str">
        <f>IF(B21="","","Vapor Mole Fraction "&amp;B21&amp;" / LFL")</f>
        <v/>
      </c>
      <c r="C628" s="83"/>
      <c r="D628" s="2091">
        <f>IF(AND(D$593&gt;0,LFL_5&lt;&gt;""),D$593/LFL_5,0)</f>
        <v>0</v>
      </c>
      <c r="E628" s="83"/>
      <c r="F628" s="2091">
        <f>IF(AND(F$593&gt;0,LFL_5&lt;&gt;""),F$593/LFL_5,0)</f>
        <v>0</v>
      </c>
      <c r="G628" s="83"/>
      <c r="H628" s="2091">
        <f>IF(AND(H$593&gt;0,LFL_5&lt;&gt;""),H$593/LFL_5,0)</f>
        <v>0</v>
      </c>
      <c r="I628" s="83"/>
      <c r="J628" s="2091">
        <f>IF(AND(J$593&gt;0,LFL_5&lt;&gt;""),J$593/LFL_5,0)</f>
        <v>0</v>
      </c>
      <c r="K628" s="83"/>
      <c r="L628" s="2091">
        <f>IF(AND(L$593&gt;0,LFL_5&lt;&gt;""),L$593/LFL_5,0)</f>
        <v>0</v>
      </c>
      <c r="M628" s="83"/>
      <c r="N628" s="2091">
        <f>IF(AND(N$593&gt;0,LFL_5&lt;&gt;""),N$593/LFL_5,0)</f>
        <v>0</v>
      </c>
      <c r="O628" s="83"/>
      <c r="P628" s="2091">
        <f>IF(AND(P$593&gt;0,LFL_5&lt;&gt;""),P$593/LFL_5,0)</f>
        <v>0</v>
      </c>
      <c r="Q628" s="83"/>
      <c r="R628" s="2091">
        <f>IF(AND(R$593&gt;0,LFL_5&lt;&gt;""),R$593/LFL_5,0)</f>
        <v>0</v>
      </c>
      <c r="S628" s="83"/>
      <c r="T628" s="2091">
        <f>IF(AND(T$593&gt;0,LFL_5&lt;&gt;""),T$593/LFL_5,0)</f>
        <v>0</v>
      </c>
      <c r="U628" s="83"/>
      <c r="V628" s="2091">
        <f>IF(AND(V$593&gt;0,LFL_5&lt;&gt;""),V$593/LFL_5,0)</f>
        <v>0</v>
      </c>
      <c r="W628" s="83"/>
      <c r="X628" s="2091">
        <f>IF(AND(X$593&gt;0,LFL_5&lt;&gt;""),X$593/LFL_5,0)</f>
        <v>0</v>
      </c>
      <c r="Y628" s="83"/>
      <c r="Z628" s="23"/>
      <c r="AA628" s="83"/>
      <c r="AB628" s="81"/>
      <c r="AC628" s="615" t="s">
        <v>5133</v>
      </c>
      <c r="AD628" s="81"/>
      <c r="AE628" s="2091">
        <f>IF(AND(AE$621&gt;0,Pad_ER2&lt;&gt;""),AE$621/(Pad_ER2/AE$613^(1/PnPad)),0)</f>
        <v>0</v>
      </c>
      <c r="AF628" s="81"/>
      <c r="AG628" s="2091">
        <f>IF(AND(AG$621&gt;0,Pad_ER2&lt;&gt;""),AG$621/(Pad_ER2/AG$613^(1/PnPad)),0)</f>
        <v>0</v>
      </c>
      <c r="AH628" s="81"/>
      <c r="AI628" s="2091">
        <f>IF(AND(AI$621&gt;0,Pad_ER2&lt;&gt;""),AI$621/(Pad_ER2/AI$613^(1/PnPad)),0)</f>
        <v>0</v>
      </c>
      <c r="AJ628" s="81"/>
      <c r="AK628" s="81"/>
      <c r="AL628" s="81"/>
      <c r="AM628" s="81"/>
      <c r="AN628" s="81"/>
      <c r="AO628" s="81"/>
      <c r="AP628" s="81"/>
      <c r="AQ628" s="23"/>
      <c r="AR628" s="81"/>
    </row>
    <row r="629" spans="1:44" ht="15" customHeight="1" thickBot="1" x14ac:dyDescent="0.3">
      <c r="A629" s="2"/>
      <c r="B629" s="615" t="s">
        <v>5135</v>
      </c>
      <c r="C629" s="83"/>
      <c r="D629" s="1820">
        <f>IF(AND(D$594&gt;0,Pad_LFL&lt;&gt;""),D$594/Pad_LFL,0)</f>
        <v>0</v>
      </c>
      <c r="E629" s="83"/>
      <c r="F629" s="1820">
        <f>IF(AND(F$594&gt;0,Pad_LFL&lt;&gt;""),F$594/Pad_LFL,0)</f>
        <v>0</v>
      </c>
      <c r="G629" s="83"/>
      <c r="H629" s="1820">
        <f>IF(AND(H$594&gt;0,Pad_LFL&lt;&gt;""),H$594/Pad_LFL,0)</f>
        <v>0</v>
      </c>
      <c r="I629" s="83"/>
      <c r="J629" s="1820">
        <f>IF(AND(J$594&gt;0,Pad_LFL&lt;&gt;""),J$594/Pad_LFL,0)</f>
        <v>0</v>
      </c>
      <c r="K629" s="83"/>
      <c r="L629" s="1820">
        <f>IF(AND(L$594&gt;0,Pad_LFL&lt;&gt;""),L$594/Pad_LFL,0)</f>
        <v>0</v>
      </c>
      <c r="M629" s="83"/>
      <c r="N629" s="1820">
        <f>IF(AND(N$594&gt;0,Pad_LFL&lt;&gt;""),N$594/Pad_LFL,0)</f>
        <v>0</v>
      </c>
      <c r="O629" s="83"/>
      <c r="P629" s="1820">
        <f>IF(AND(P$594&gt;0,Pad_LFL&lt;&gt;""),P$594/Pad_LFL,0)</f>
        <v>0</v>
      </c>
      <c r="Q629" s="83"/>
      <c r="R629" s="1820">
        <f>IF(AND(R$594&gt;0,Pad_LFL&lt;&gt;""),R$594/Pad_LFL,0)</f>
        <v>0</v>
      </c>
      <c r="S629" s="83"/>
      <c r="T629" s="1820">
        <f>IF(AND(T$594&gt;0,Pad_LFL&lt;&gt;""),T$594/Pad_LFL,0)</f>
        <v>0</v>
      </c>
      <c r="U629" s="83"/>
      <c r="V629" s="1820">
        <f>IF(AND(V$594&gt;0,Pad_LFL&lt;&gt;""),V$594/Pad_LFL,0)</f>
        <v>0</v>
      </c>
      <c r="W629" s="83"/>
      <c r="X629" s="1820">
        <f>IF(AND(X$594&gt;0,Pad_LFL&lt;&gt;""),X$594/Pad_LFL,0)</f>
        <v>0</v>
      </c>
      <c r="Y629" s="83"/>
      <c r="Z629" s="23"/>
      <c r="AA629" s="83"/>
      <c r="AB629" s="81"/>
      <c r="AC629" s="85" t="s">
        <v>2209</v>
      </c>
      <c r="AD629" s="81"/>
      <c r="AE629" s="2101" t="str">
        <f>IF(AND(AE$613&gt;0,SUM(AE623:AE628)&gt;0),IF(1/SUM(AE623:AE628)&lt;1000000,1/SUM(AE623:AE628),1000000),"")</f>
        <v/>
      </c>
      <c r="AF629" s="81"/>
      <c r="AG629" s="2101" t="str">
        <f>IF(AND(AG$613&gt;0,SUM(AG623:AG628)&gt;0),IF(1/SUM(AG623:AG628)&lt;1000000,1/SUM(AG623:AG628),1000000),"")</f>
        <v/>
      </c>
      <c r="AH629" s="81"/>
      <c r="AI629" s="2101" t="str">
        <f>IF(AND(AI$613&gt;0,SUM(AI623:AI628)&gt;0),IF(1/SUM(AI623:AI628)&lt;1000000,1/SUM(AI623:AI628),1000000),"")</f>
        <v/>
      </c>
      <c r="AJ629" s="81"/>
      <c r="AK629" s="81"/>
      <c r="AL629" s="81"/>
      <c r="AM629" s="81"/>
      <c r="AN629" s="81"/>
      <c r="AO629" s="81"/>
      <c r="AP629" s="81"/>
      <c r="AQ629" s="25" t="s">
        <v>1506</v>
      </c>
      <c r="AR629" s="81"/>
    </row>
    <row r="630" spans="1:44" ht="15" customHeight="1" thickBot="1" x14ac:dyDescent="0.3">
      <c r="A630" s="2"/>
      <c r="B630" s="1030" t="s">
        <v>2211</v>
      </c>
      <c r="C630" s="83"/>
      <c r="D630" s="3008" t="str">
        <f>IF(SUM(D624:D629)&gt;0,IF(1/SUM(D624:D629)&lt;100,1/SUM(D624:D629),""),"")</f>
        <v/>
      </c>
      <c r="E630" s="83"/>
      <c r="F630" s="3008" t="str">
        <f>IF(SUM(F624:F629)&gt;0,IF(1/SUM(F624:F629)&lt;100,1/SUM(F624:F629),""),"")</f>
        <v/>
      </c>
      <c r="G630" s="83"/>
      <c r="H630" s="3008" t="str">
        <f>IF(SUM(H624:H629)&gt;0,IF(1/SUM(H624:H629)&lt;100,1/SUM(H624:H629),""),"")</f>
        <v/>
      </c>
      <c r="I630" s="83"/>
      <c r="J630" s="3008" t="str">
        <f>IF(SUM(J624:J629)&gt;0,IF(1/SUM(J624:J629)&lt;100,1/SUM(J624:J629),""),"")</f>
        <v/>
      </c>
      <c r="K630" s="83"/>
      <c r="L630" s="3008" t="str">
        <f>IF(SUM(L624:L629)&gt;0,IF(1/SUM(L624:L629)&lt;100,1/SUM(L624:L629),""),"")</f>
        <v/>
      </c>
      <c r="M630" s="83"/>
      <c r="N630" s="3008" t="str">
        <f>IF(SUM(N624:N629)&gt;0,IF(1/SUM(N624:N629)&lt;100,1/SUM(N624:N629),""),"")</f>
        <v/>
      </c>
      <c r="O630" s="83"/>
      <c r="P630" s="3008" t="str">
        <f>IF(SUM(P624:P629)&gt;0,IF(1/SUM(P624:P629)&lt;100,1/SUM(P624:P629),""),"")</f>
        <v/>
      </c>
      <c r="Q630" s="83"/>
      <c r="R630" s="3008" t="str">
        <f>IF(SUM(R624:R629)&gt;0,IF(1/SUM(R624:R629)&lt;100,1/SUM(R624:R629),""),"")</f>
        <v/>
      </c>
      <c r="S630" s="83"/>
      <c r="T630" s="3008" t="str">
        <f>IF(SUM(T624:T629)&gt;0,IF(1/SUM(T624:T629)&lt;100,1/SUM(T624:T629),""),"")</f>
        <v/>
      </c>
      <c r="U630" s="83"/>
      <c r="V630" s="3008" t="str">
        <f>IF(SUM(V624:V629)&gt;0,IF(1/SUM(V624:V629)&lt;100,1/SUM(V624:V629),""),"")</f>
        <v/>
      </c>
      <c r="W630" s="83"/>
      <c r="X630" s="3008" t="str">
        <f>IF(SUM(X624:X629)&gt;0,IF(1/SUM(X624:X629)&lt;100,1/SUM(X624:X629),""),"")</f>
        <v/>
      </c>
      <c r="Y630" s="83"/>
      <c r="Z630" s="25" t="s">
        <v>1021</v>
      </c>
      <c r="AA630" s="83"/>
      <c r="AB630" s="81"/>
      <c r="AC630" s="614" t="str">
        <f>B603</f>
        <v/>
      </c>
      <c r="AD630" s="81"/>
      <c r="AE630" s="2091">
        <f>IF(AND(AE$616&gt;0,ER3_1&lt;&gt;""),AE$616/(ER3_1/AE$613^(1/Pn_1)),0)</f>
        <v>0</v>
      </c>
      <c r="AF630" s="81"/>
      <c r="AG630" s="2091">
        <f>IF(AND(AG$616&gt;0,ER3_1&lt;&gt;""),AG$616/(ER3_1/AG$613^(1/Pn_1)),0)</f>
        <v>0</v>
      </c>
      <c r="AH630" s="81"/>
      <c r="AI630" s="2091">
        <f>IF(AND(AI$616&gt;0,ER3_1&lt;&gt;""),AI$616/(ER3_1/AI$613^(1/Pn_1)),0)</f>
        <v>0</v>
      </c>
      <c r="AJ630" s="81"/>
      <c r="AK630" s="81"/>
      <c r="AL630" s="81"/>
      <c r="AM630" s="81"/>
      <c r="AN630" s="81"/>
      <c r="AO630" s="81"/>
      <c r="AP630" s="81"/>
      <c r="AQ630" s="84"/>
      <c r="AR630" s="81"/>
    </row>
    <row r="631" spans="1:44" ht="15" customHeight="1" x14ac:dyDescent="0.25">
      <c r="A631" s="2"/>
      <c r="B631" s="614" t="str">
        <f>IF(B17="","","Vapor Mole Fraction "&amp;B17&amp;" / LC-1")</f>
        <v/>
      </c>
      <c r="C631" s="83"/>
      <c r="D631" s="2091">
        <f>IF(AND(D$589&gt;0,LC1_1&gt;0),D$589/(LC1_1),0)</f>
        <v>0</v>
      </c>
      <c r="E631" s="83"/>
      <c r="F631" s="2091">
        <f>IF(AND(F$589&gt;0,LC1_1&gt;0),F$589/(LC1_1),0)</f>
        <v>0</v>
      </c>
      <c r="G631" s="83"/>
      <c r="H631" s="2091">
        <f>IF(AND(H$589&gt;0,LC1_1&gt;0),H$589/(LC1_1),0)</f>
        <v>0</v>
      </c>
      <c r="I631" s="83"/>
      <c r="J631" s="2091">
        <f>IF(AND(J$589&gt;0,LC1_1&gt;0),J$589/(LC1_1),0)</f>
        <v>0</v>
      </c>
      <c r="K631" s="83"/>
      <c r="L631" s="2091">
        <f>IF(AND(L$589&gt;0,LC1_1&gt;0),L$589/(LC1_1),0)</f>
        <v>0</v>
      </c>
      <c r="M631" s="83"/>
      <c r="N631" s="2091">
        <f>IF(AND(N$589&gt;0,LC1_1&gt;0),N$589/(LC1_1),0)</f>
        <v>0</v>
      </c>
      <c r="O631" s="83"/>
      <c r="P631" s="2091">
        <f>IF(AND(P$589&gt;0,LC1_1&gt;0),P$589/(LC1_1),0)</f>
        <v>0</v>
      </c>
      <c r="Q631" s="83"/>
      <c r="R631" s="2091">
        <f>IF(AND(R$589&gt;0,LC1_1&gt;0),R$589/(LC1_1),0)</f>
        <v>0</v>
      </c>
      <c r="S631" s="83"/>
      <c r="T631" s="2091">
        <f>IF(AND(T$589&gt;0,LC1_1&gt;0),T$589/(LC1_1),0)</f>
        <v>0</v>
      </c>
      <c r="U631" s="83"/>
      <c r="V631" s="2091">
        <f>IF(AND(V$589&gt;0,LC1_1&gt;0),V$589/(LC1_1),0)</f>
        <v>0</v>
      </c>
      <c r="W631" s="83"/>
      <c r="X631" s="2091">
        <f>IF(AND(X$589&gt;0,LC1_1&gt;0),X$589/(LC1_1),0)</f>
        <v>0</v>
      </c>
      <c r="Y631" s="83"/>
      <c r="Z631" s="92"/>
      <c r="AA631" s="83"/>
      <c r="AB631" s="81"/>
      <c r="AC631" s="512" t="s">
        <v>1897</v>
      </c>
      <c r="AD631" s="81"/>
      <c r="AE631" s="2091">
        <f>IF(AND(AE$617&gt;0,ER3_2&lt;&gt;""),AE$617/(ER3_2/AE$613^(1/Pn_2)),0)</f>
        <v>0</v>
      </c>
      <c r="AF631" s="81"/>
      <c r="AG631" s="2091">
        <f>IF(AND(AG$617&gt;0,ER3_2&lt;&gt;""),AG$617/(ER3_2/AG$613^(1/Pn_2)),0)</f>
        <v>0</v>
      </c>
      <c r="AH631" s="81"/>
      <c r="AI631" s="2091">
        <f>IF(AND(AI$617&gt;0,ER3_2&lt;&gt;""),AI$617/(ER3_2/AI$613^(1/Pn_2)),0)</f>
        <v>0</v>
      </c>
      <c r="AJ631" s="81"/>
      <c r="AK631" s="81"/>
      <c r="AL631" s="81"/>
      <c r="AM631" s="81"/>
      <c r="AN631" s="81"/>
      <c r="AO631" s="81"/>
      <c r="AP631" s="81"/>
      <c r="AQ631" s="23"/>
      <c r="AR631" s="81"/>
    </row>
    <row r="632" spans="1:44" ht="15" customHeight="1" x14ac:dyDescent="0.25">
      <c r="A632" s="2"/>
      <c r="B632" s="512" t="str">
        <f>IF(B18="","","Vapor Mole Fraction "&amp;B18&amp;" / LC-1")</f>
        <v/>
      </c>
      <c r="C632" s="83"/>
      <c r="D632" s="2091">
        <f>IF(AND(D$590&gt;0,LC1_2&gt;0),D$590/(LC1_2),0)</f>
        <v>0</v>
      </c>
      <c r="E632" s="83"/>
      <c r="F632" s="2091">
        <f>IF(AND(F$590&gt;0,LC1_2&gt;0),F$590/(LC1_2),0)</f>
        <v>0</v>
      </c>
      <c r="G632" s="83"/>
      <c r="H632" s="2091">
        <f>IF(AND(H$590&gt;0,LC1_2&gt;0),H$590/(LC1_2),0)</f>
        <v>0</v>
      </c>
      <c r="I632" s="83"/>
      <c r="J632" s="2091">
        <f>IF(AND(J$590&gt;0,LC1_2&gt;0),J$590/(LC1_2),0)</f>
        <v>0</v>
      </c>
      <c r="K632" s="83"/>
      <c r="L632" s="2091">
        <f>IF(AND(L$590&gt;0,LC1_2&gt;0),L$590/(LC1_2),0)</f>
        <v>0</v>
      </c>
      <c r="M632" s="83"/>
      <c r="N632" s="2091">
        <f>IF(AND(N$590&gt;0,LC1_2&gt;0),N$590/(LC1_2),0)</f>
        <v>0</v>
      </c>
      <c r="O632" s="83"/>
      <c r="P632" s="2091">
        <f>IF(AND(P$590&gt;0,LC1_2&gt;0),P$590/(LC1_2),0)</f>
        <v>0</v>
      </c>
      <c r="Q632" s="83"/>
      <c r="R632" s="2091">
        <f>IF(AND(R$590&gt;0,LC1_2&gt;0),R$590/(LC1_2),0)</f>
        <v>0</v>
      </c>
      <c r="S632" s="83"/>
      <c r="T632" s="2091">
        <f>IF(AND(T$590&gt;0,LC1_2&gt;0),T$590/(LC1_2),0)</f>
        <v>0</v>
      </c>
      <c r="U632" s="83"/>
      <c r="V632" s="2091">
        <f>IF(AND(V$590&gt;0,LC1_2&gt;0),V$590/(LC1_2),0)</f>
        <v>0</v>
      </c>
      <c r="W632" s="83"/>
      <c r="X632" s="2091">
        <f>IF(AND(X$590&gt;0,LC1_2&gt;0),X$590/(LC1_2),0)</f>
        <v>0</v>
      </c>
      <c r="Y632" s="83"/>
      <c r="Z632" s="85"/>
      <c r="AA632" s="83"/>
      <c r="AB632" s="81"/>
      <c r="AC632" s="512" t="s">
        <v>1897</v>
      </c>
      <c r="AD632" s="81"/>
      <c r="AE632" s="2091">
        <f>IF(AND(AE$618&gt;0,ER3_3&lt;&gt;""),AE$618/(ER3_3/AE$613^(1/Pn_3)),0)</f>
        <v>0</v>
      </c>
      <c r="AF632" s="81"/>
      <c r="AG632" s="2091">
        <f>IF(AND(AG$618&gt;0,ER3_3&lt;&gt;""),AG$618/(ER3_3/AG$613^(1/Pn_3)),0)</f>
        <v>0</v>
      </c>
      <c r="AH632" s="81"/>
      <c r="AI632" s="2091">
        <f>IF(AND(AI$618&gt;0,ER3_3&lt;&gt;""),AI$618/(ER3_3/AI$613^(1/Pn_3)),0)</f>
        <v>0</v>
      </c>
      <c r="AJ632" s="81"/>
      <c r="AK632" s="81"/>
      <c r="AL632" s="81"/>
      <c r="AM632" s="81"/>
      <c r="AN632" s="81"/>
      <c r="AO632" s="81"/>
      <c r="AP632" s="81"/>
      <c r="AQ632" s="23"/>
      <c r="AR632" s="81"/>
    </row>
    <row r="633" spans="1:44" ht="15" customHeight="1" x14ac:dyDescent="0.25">
      <c r="A633" s="2"/>
      <c r="B633" s="512" t="str">
        <f>IF(B19="","","Vapor Mole Fraction "&amp;B19&amp;" / LC-1")</f>
        <v/>
      </c>
      <c r="C633" s="83"/>
      <c r="D633" s="2091">
        <f>IF(AND(D$591&gt;0,LC1_3&gt;0),D$591/(LC1_3),0)</f>
        <v>0</v>
      </c>
      <c r="E633" s="83"/>
      <c r="F633" s="2091">
        <f>IF(AND(F$591&gt;0,LC1_3&gt;0),F$591/(LC1_3),0)</f>
        <v>0</v>
      </c>
      <c r="G633" s="83"/>
      <c r="H633" s="2091">
        <f>IF(AND(H$591&gt;0,LC1_3&gt;0),H$591/(LC1_3),0)</f>
        <v>0</v>
      </c>
      <c r="I633" s="83"/>
      <c r="J633" s="2091">
        <f>IF(AND(J$591&gt;0,LC1_3&gt;0),J$591/(LC1_3),0)</f>
        <v>0</v>
      </c>
      <c r="K633" s="83"/>
      <c r="L633" s="2091">
        <f>IF(AND(L$591&gt;0,LC1_3&gt;0),L$591/(LC1_3),0)</f>
        <v>0</v>
      </c>
      <c r="M633" s="83"/>
      <c r="N633" s="2091">
        <f>IF(AND(N$591&gt;0,LC1_3&gt;0),N$591/(LC1_3),0)</f>
        <v>0</v>
      </c>
      <c r="O633" s="83"/>
      <c r="P633" s="2091">
        <f>IF(AND(P$591&gt;0,LC1_3&gt;0),P$591/(LC1_3),0)</f>
        <v>0</v>
      </c>
      <c r="Q633" s="83"/>
      <c r="R633" s="2091">
        <f>IF(AND(R$591&gt;0,LC1_3&gt;0),R$591/(LC1_3),0)</f>
        <v>0</v>
      </c>
      <c r="S633" s="83"/>
      <c r="T633" s="2091">
        <f>IF(AND(T$591&gt;0,LC1_3&gt;0),T$591/(LC1_3),0)</f>
        <v>0</v>
      </c>
      <c r="U633" s="83"/>
      <c r="V633" s="2091">
        <f>IF(AND(V$591&gt;0,LC1_3&gt;0),V$591/(LC1_3),0)</f>
        <v>0</v>
      </c>
      <c r="W633" s="83"/>
      <c r="X633" s="2091">
        <f>IF(AND(X$591&gt;0,LC1_3&gt;0),X$591/(LC1_3),0)</f>
        <v>0</v>
      </c>
      <c r="Y633" s="83"/>
      <c r="Z633" s="85"/>
      <c r="AA633" s="83"/>
      <c r="AB633" s="81"/>
      <c r="AC633" s="512" t="s">
        <v>1897</v>
      </c>
      <c r="AD633" s="81"/>
      <c r="AE633" s="2091">
        <f>IF(AND(AE$619&gt;0,ER3_4&lt;&gt;""),AE$619/(ER3_4/AE$613^(1/Pn_4)),0)</f>
        <v>0</v>
      </c>
      <c r="AF633" s="81"/>
      <c r="AG633" s="2091">
        <f>IF(AND(AG$619&gt;0,ER3_4&lt;&gt;""),AG$619/(ER3_4/AG$613^(1/Pn_4)),0)</f>
        <v>0</v>
      </c>
      <c r="AH633" s="81"/>
      <c r="AI633" s="2091">
        <f>IF(AND(AI$619&gt;0,ER3_4&lt;&gt;""),AI$619/(ER3_4/AI$613^(1/Pn_4)),0)</f>
        <v>0</v>
      </c>
      <c r="AJ633" s="81"/>
      <c r="AK633" s="81"/>
      <c r="AL633" s="81"/>
      <c r="AM633" s="81"/>
      <c r="AN633" s="81"/>
      <c r="AO633" s="81"/>
      <c r="AP633" s="81"/>
      <c r="AQ633" s="23"/>
      <c r="AR633" s="81"/>
    </row>
    <row r="634" spans="1:44" ht="15" customHeight="1" x14ac:dyDescent="0.25">
      <c r="A634" s="2"/>
      <c r="B634" s="512" t="str">
        <f>IF(B20="","","Vapor Mole Fraction "&amp;B20&amp;" / LC-1")</f>
        <v/>
      </c>
      <c r="C634" s="83"/>
      <c r="D634" s="2091">
        <f>IF(AND(D$592&gt;0,LC1_4&gt;0),D$592/(LC1_4),0)</f>
        <v>0</v>
      </c>
      <c r="E634" s="83"/>
      <c r="F634" s="2091">
        <f>IF(AND(F$592&gt;0,LC1_4&gt;0),F$592/(LC1_4),0)</f>
        <v>0</v>
      </c>
      <c r="G634" s="83"/>
      <c r="H634" s="2091">
        <f>IF(AND(H$592&gt;0,LC1_4&gt;0),H$592/(LC1_4),0)</f>
        <v>0</v>
      </c>
      <c r="I634" s="83"/>
      <c r="J634" s="2091">
        <f>IF(AND(J$592&gt;0,LC1_4&gt;0),J$592/(LC1_4),0)</f>
        <v>0</v>
      </c>
      <c r="K634" s="83"/>
      <c r="L634" s="2091">
        <f>IF(AND(L$592&gt;0,LC1_4&gt;0),L$592/(LC1_4),0)</f>
        <v>0</v>
      </c>
      <c r="M634" s="83"/>
      <c r="N634" s="2091">
        <f>IF(AND(N$592&gt;0,LC1_4&gt;0),N$592/(LC1_4),0)</f>
        <v>0</v>
      </c>
      <c r="O634" s="83"/>
      <c r="P634" s="2091">
        <f>IF(AND(P$592&gt;0,LC1_4&gt;0),P$592/(LC1_4),0)</f>
        <v>0</v>
      </c>
      <c r="Q634" s="83"/>
      <c r="R634" s="2091">
        <f>IF(AND(R$592&gt;0,LC1_4&gt;0),R$592/(LC1_4),0)</f>
        <v>0</v>
      </c>
      <c r="S634" s="83"/>
      <c r="T634" s="2091">
        <f>IF(AND(T$592&gt;0,LC1_4&gt;0),T$592/(LC1_4),0)</f>
        <v>0</v>
      </c>
      <c r="U634" s="83"/>
      <c r="V634" s="2091">
        <f>IF(AND(V$592&gt;0,LC1_4&gt;0),V$592/(LC1_4),0)</f>
        <v>0</v>
      </c>
      <c r="W634" s="83"/>
      <c r="X634" s="2091">
        <f>IF(AND(X$592&gt;0,LC1_4&gt;0),X$592/(LC1_4),0)</f>
        <v>0</v>
      </c>
      <c r="Y634" s="83"/>
      <c r="Z634" s="85"/>
      <c r="AA634" s="83"/>
      <c r="AB634" s="81"/>
      <c r="AC634" s="512" t="s">
        <v>1897</v>
      </c>
      <c r="AD634" s="81"/>
      <c r="AE634" s="2091">
        <f>IF(AND(AE$620&gt;0,ER3_5&lt;&gt;""),AE$620/(ER3_5/AE$613^(1/Pn_5)),0)</f>
        <v>0</v>
      </c>
      <c r="AF634" s="81"/>
      <c r="AG634" s="2091">
        <f>IF(AND(AG$620&gt;0,ER3_5&lt;&gt;""),AG$620/(ER3_5/AG$613^(1/Pn_5)),0)</f>
        <v>0</v>
      </c>
      <c r="AH634" s="81"/>
      <c r="AI634" s="2091">
        <f>IF(AND(AI$620&gt;0,ER3_5&lt;&gt;""),AI$620/(ER3_5/AI$613^(1/Pn_5)),0)</f>
        <v>0</v>
      </c>
      <c r="AJ634" s="81"/>
      <c r="AK634" s="81"/>
      <c r="AL634" s="81"/>
      <c r="AM634" s="81"/>
      <c r="AN634" s="81"/>
      <c r="AO634" s="81"/>
      <c r="AP634" s="81"/>
      <c r="AQ634" s="23"/>
      <c r="AR634" s="81"/>
    </row>
    <row r="635" spans="1:44" ht="15" customHeight="1" thickBot="1" x14ac:dyDescent="0.3">
      <c r="A635" s="2"/>
      <c r="B635" s="512" t="str">
        <f>IF(B21="","","Vapor Mole Fraction "&amp;B21&amp;" / LC-1")</f>
        <v/>
      </c>
      <c r="C635" s="83"/>
      <c r="D635" s="2091">
        <f>IF(AND(D$593&gt;0,LC1_5&gt;0),D$593/(LC1_5),0)</f>
        <v>0</v>
      </c>
      <c r="E635" s="83"/>
      <c r="F635" s="2091">
        <f>IF(AND(F$593&gt;0,LC1_5&gt;0),F$593/(LC1_5),0)</f>
        <v>0</v>
      </c>
      <c r="G635" s="83"/>
      <c r="H635" s="2091">
        <f>IF(AND(H$593&gt;0,LC1_5&gt;0),H$593/(LC1_5),0)</f>
        <v>0</v>
      </c>
      <c r="I635" s="83"/>
      <c r="J635" s="2091">
        <f>IF(AND(J$593&gt;0,LC1_5&gt;0),J$593/(LC1_5),0)</f>
        <v>0</v>
      </c>
      <c r="K635" s="83"/>
      <c r="L635" s="2091">
        <f>IF(AND(L$593&gt;0,LC1_5&gt;0),L$593/(LC1_5),0)</f>
        <v>0</v>
      </c>
      <c r="M635" s="83"/>
      <c r="N635" s="2091">
        <f>IF(AND(N$593&gt;0,LC1_5&gt;0),N$593/(LC1_5),0)</f>
        <v>0</v>
      </c>
      <c r="O635" s="83"/>
      <c r="P635" s="2091">
        <f>IF(AND(P$593&gt;0,LC1_5&gt;0),P$593/(LC1_5),0)</f>
        <v>0</v>
      </c>
      <c r="Q635" s="83"/>
      <c r="R635" s="2091">
        <f>IF(AND(R$593&gt;0,LC1_5&gt;0),R$593/(LC1_5),0)</f>
        <v>0</v>
      </c>
      <c r="S635" s="83"/>
      <c r="T635" s="2091">
        <f>IF(AND(T$593&gt;0,LC1_5&gt;0),T$593/(LC1_5),0)</f>
        <v>0</v>
      </c>
      <c r="U635" s="83"/>
      <c r="V635" s="2091">
        <f>IF(AND(V$593&gt;0,LC1_5&gt;0),V$593/(LC1_5),0)</f>
        <v>0</v>
      </c>
      <c r="W635" s="83"/>
      <c r="X635" s="2091">
        <f>IF(AND(X$593&gt;0,LC1_5&gt;0),X$593/(LC1_5),0)</f>
        <v>0</v>
      </c>
      <c r="Y635" s="83"/>
      <c r="Z635" s="85"/>
      <c r="AA635" s="83"/>
      <c r="AB635" s="81"/>
      <c r="AC635" s="615" t="s">
        <v>5134</v>
      </c>
      <c r="AD635" s="81"/>
      <c r="AE635" s="2091">
        <f>IF(AND(AE$621&gt;0,Pad_ER3&lt;&gt;""),AE$621/(Pad_ER3/AE$613^(1/PnPad)),0)</f>
        <v>0</v>
      </c>
      <c r="AF635" s="81"/>
      <c r="AG635" s="2091">
        <f>IF(AND(AG$621&gt;0,Pad_ER3&lt;&gt;""),AG$621/(Pad_ER3/AG$613^(1/PnPad)),0)</f>
        <v>0</v>
      </c>
      <c r="AH635" s="81"/>
      <c r="AI635" s="2091">
        <f>IF(AND(AI$621&gt;0,Pad_ER3&lt;&gt;""),AI$621/(Pad_ER3/AI$613^(1/PnPad)),0)</f>
        <v>0</v>
      </c>
      <c r="AJ635" s="81"/>
      <c r="AK635" s="81"/>
      <c r="AL635" s="81"/>
      <c r="AM635" s="81"/>
      <c r="AN635" s="81"/>
      <c r="AO635" s="81"/>
      <c r="AP635" s="81"/>
      <c r="AQ635" s="23"/>
      <c r="AR635" s="81"/>
    </row>
    <row r="636" spans="1:44" ht="15" customHeight="1" thickBot="1" x14ac:dyDescent="0.3">
      <c r="A636" s="2"/>
      <c r="B636" s="2120" t="s">
        <v>5136</v>
      </c>
      <c r="C636" s="83"/>
      <c r="D636" s="1311">
        <f>IF(AND(D$594&gt;0,LC1Pad&gt;0),D$594/(LC1Pad),0)</f>
        <v>0</v>
      </c>
      <c r="E636" s="83"/>
      <c r="F636" s="1311">
        <f>IF(AND(F$594&gt;0,LC1Pad&gt;0),F$594/(LC1Pad),0)</f>
        <v>0</v>
      </c>
      <c r="G636" s="83"/>
      <c r="H636" s="1311">
        <f>IF(AND(H$594&gt;0,LC1Pad&gt;0),H$594/(LC1Pad),0)</f>
        <v>0</v>
      </c>
      <c r="I636" s="83"/>
      <c r="J636" s="1311">
        <f>IF(AND(J$594&gt;0,LC1Pad&gt;0),J$594/(LC1Pad),0)</f>
        <v>0</v>
      </c>
      <c r="K636" s="83"/>
      <c r="L636" s="1311">
        <f>IF(AND(L$594&gt;0,LC1Pad&gt;0),L$594/(LC1Pad),0)</f>
        <v>0</v>
      </c>
      <c r="M636" s="83"/>
      <c r="N636" s="1311">
        <f>IF(AND(N$594&gt;0,LC1Pad&gt;0),N$594/(LC1Pad),0)</f>
        <v>0</v>
      </c>
      <c r="O636" s="83"/>
      <c r="P636" s="1311">
        <f>IF(AND(P$594&gt;0,LC1Pad&gt;0),P$594/(LC1Pad),0)</f>
        <v>0</v>
      </c>
      <c r="Q636" s="83"/>
      <c r="R636" s="1311">
        <f>IF(AND(R$594&gt;0,LC1Pad&gt;0),R$594/(LC1Pad),0)</f>
        <v>0</v>
      </c>
      <c r="S636" s="83"/>
      <c r="T636" s="1311">
        <f>IF(AND(T$594&gt;0,LC1Pad&gt;0),T$594/(LC1Pad),0)</f>
        <v>0</v>
      </c>
      <c r="U636" s="83"/>
      <c r="V636" s="1311">
        <f>IF(AND(V$594&gt;0,LC1Pad&gt;0),V$594/(LC1Pad),0)</f>
        <v>0</v>
      </c>
      <c r="W636" s="83"/>
      <c r="X636" s="1311">
        <f>IF(AND(X$594&gt;0,LC1Pad&gt;0),X$594/(LC1Pad),0)</f>
        <v>0</v>
      </c>
      <c r="Y636" s="83"/>
      <c r="Z636" s="25"/>
      <c r="AA636" s="83"/>
      <c r="AB636" s="81"/>
      <c r="AC636" s="119" t="s">
        <v>2210</v>
      </c>
      <c r="AD636" s="81"/>
      <c r="AE636" s="2101" t="str">
        <f>IF(AND(AE$613&gt;0,SUM(AE630:AE635)&gt;0),IF(1/SUM(AE630:AE635)&lt;1000000,1/SUM(AE630:AE635),1000000),"")</f>
        <v/>
      </c>
      <c r="AF636" s="81"/>
      <c r="AG636" s="2101" t="str">
        <f>IF(AND(AG$613&gt;0,SUM(AG630:AG635)&gt;0),IF(1/SUM(AG630:AG635)&lt;1000000,1/SUM(AG630:AG635),1000000),"")</f>
        <v/>
      </c>
      <c r="AH636" s="81"/>
      <c r="AI636" s="2101" t="str">
        <f>IF(AND(AI$613&gt;0,SUM(AI630:AI635)&gt;0),IF(1/SUM(AI630:AI635)&lt;1000000,1/SUM(AI630:AI635),1000000),"")</f>
        <v/>
      </c>
      <c r="AJ636" s="81"/>
      <c r="AK636" s="81"/>
      <c r="AL636" s="81"/>
      <c r="AM636" s="81"/>
      <c r="AN636" s="81"/>
      <c r="AO636" s="81"/>
      <c r="AP636" s="81"/>
      <c r="AQ636" s="25" t="s">
        <v>1506</v>
      </c>
      <c r="AR636" s="81"/>
    </row>
    <row r="637" spans="1:44" ht="15" customHeight="1" thickBot="1" x14ac:dyDescent="0.3">
      <c r="A637" s="2"/>
      <c r="B637" s="85" t="s">
        <v>3520</v>
      </c>
      <c r="C637" s="83"/>
      <c r="D637" s="2101" t="str">
        <f>IF(SUM(D631:D636)&gt;0,IF(1/SUM(D631:D636)&lt;1000000,1/SUM(D631:D636),1000000),"")</f>
        <v/>
      </c>
      <c r="E637" s="83"/>
      <c r="F637" s="2101" t="str">
        <f>IF(SUM(F631:F636)&gt;0,IF(1/SUM(F631:F636)&lt;1000000,1/SUM(F631:F636),1000000),"")</f>
        <v/>
      </c>
      <c r="G637" s="83"/>
      <c r="H637" s="2101" t="str">
        <f>IF(SUM(H631:H636)&gt;0,IF(1/SUM(H631:H636)&lt;1000000,1/SUM(H631:H636),1000000),"")</f>
        <v/>
      </c>
      <c r="I637" s="83"/>
      <c r="J637" s="2101" t="str">
        <f>IF(SUM(J631:J636)&gt;0,IF(1/SUM(J631:J636)&lt;1000000,1/SUM(J631:J636),1000000),"")</f>
        <v/>
      </c>
      <c r="K637" s="83"/>
      <c r="L637" s="2101" t="str">
        <f>IF(SUM(L631:L636)&gt;0,IF(1/SUM(L631:L636)&lt;1000000,1/SUM(L631:L636),1000000),"")</f>
        <v/>
      </c>
      <c r="M637" s="83"/>
      <c r="N637" s="2101" t="str">
        <f>IF(SUM(N631:N636)&gt;0,IF(1/SUM(N631:N636)&lt;1000000,1/SUM(N631:N636),1000000),"")</f>
        <v/>
      </c>
      <c r="O637" s="83"/>
      <c r="P637" s="2101" t="str">
        <f>IF(SUM(P631:P636)&gt;0,IF(1/SUM(P631:P636)&lt;1000000,1/SUM(P631:P636),1000000),"")</f>
        <v/>
      </c>
      <c r="Q637" s="83"/>
      <c r="R637" s="2101" t="str">
        <f>IF(SUM(R631:R636)&gt;0,IF(1/SUM(R631:R636)&lt;1000000,1/SUM(R631:R636),1000000),"")</f>
        <v/>
      </c>
      <c r="S637" s="83"/>
      <c r="T637" s="2101" t="str">
        <f>IF(SUM(T631:T636)&gt;0,IF(1/SUM(T631:T636)&lt;1000000,1/SUM(T631:T636),1000000),"")</f>
        <v/>
      </c>
      <c r="U637" s="83"/>
      <c r="V637" s="2101" t="str">
        <f>IF(SUM(V631:V636)&gt;0,IF(1/SUM(V631:V636)&lt;1000000,1/SUM(V631:V636),1000000),"")</f>
        <v/>
      </c>
      <c r="W637" s="83"/>
      <c r="X637" s="2101" t="str">
        <f>IF(SUM(X631:X636)&gt;0,IF(1/SUM(X631:X636)&lt;1000000,1/SUM(X631:X636),1000000),"")</f>
        <v/>
      </c>
      <c r="Y637" s="83"/>
      <c r="Z637" s="119" t="s">
        <v>1506</v>
      </c>
      <c r="AA637" s="83"/>
      <c r="AB637" s="81"/>
      <c r="AC637" s="84" t="str">
        <f>B610</f>
        <v/>
      </c>
      <c r="AD637" s="81"/>
      <c r="AE637" s="2091">
        <f>IF(AND(AE$616&gt;0,LC50_1&lt;&gt;0),AE$616/(LC50_1/IF(AE$613&lt;OnSite_Limit/60,AE$613,OnSite_Limit/60)^(1/Pn_1)),0)</f>
        <v>0</v>
      </c>
      <c r="AF637" s="81"/>
      <c r="AG637" s="2091">
        <f>IF(AND(AG$616&gt;0,LC50_1&lt;&gt;0),AG$616/(LC50_1/IF(AG$613&lt;OnSite_Limit/60,AG$613,OnSite_Limit/60)^(1/Pn_1)),0)</f>
        <v>0</v>
      </c>
      <c r="AH637" s="81"/>
      <c r="AI637" s="2091">
        <f>IF(AND(AI$616&gt;0,LC50_1&lt;&gt;0),AI$616/(LC50_1/IF(AI$613&lt;OnSite_Limit/60,AI$613,OnSite_Limit/60)^(1/Pn_1)),0)</f>
        <v>0</v>
      </c>
      <c r="AJ637" s="81"/>
      <c r="AK637" s="81"/>
      <c r="AL637" s="81"/>
      <c r="AM637" s="81"/>
      <c r="AN637" s="81"/>
      <c r="AO637" s="81"/>
      <c r="AP637" s="81"/>
      <c r="AQ637" s="84"/>
      <c r="AR637" s="81"/>
    </row>
    <row r="638" spans="1:44" ht="15" customHeight="1" x14ac:dyDescent="0.25">
      <c r="A638" s="2"/>
      <c r="B638" s="614" t="str">
        <f>IF(B17="","","Vapor Mole Fraction "&amp;B17&amp;" / LC-50")</f>
        <v/>
      </c>
      <c r="C638" s="83"/>
      <c r="D638" s="2091">
        <f>IF(AND(D$589&gt;0,LC50_1&gt;0),D$589/(LC50_1),0)</f>
        <v>0</v>
      </c>
      <c r="E638" s="83"/>
      <c r="F638" s="2091">
        <f>IF(AND(F$589&gt;0,LC50_1&gt;0),F$589/(LC50_1),0)</f>
        <v>0</v>
      </c>
      <c r="G638" s="83"/>
      <c r="H638" s="2091">
        <f>IF(AND(H$589&gt;0,LC50_1&gt;0),H$589/(LC50_1),0)</f>
        <v>0</v>
      </c>
      <c r="I638" s="83"/>
      <c r="J638" s="2091">
        <f>IF(AND(J$589&gt;0,LC50_1&gt;0),J$589/(LC50_1),0)</f>
        <v>0</v>
      </c>
      <c r="K638" s="83"/>
      <c r="L638" s="2091">
        <f>IF(AND(L$589&gt;0,LC50_1&gt;0),L$589/(LC50_1),0)</f>
        <v>0</v>
      </c>
      <c r="M638" s="83"/>
      <c r="N638" s="2091">
        <f>IF(AND(N$589&gt;0,LC50_1&gt;0),N$589/(LC50_1),0)</f>
        <v>0</v>
      </c>
      <c r="O638" s="83"/>
      <c r="P638" s="2091">
        <f>IF(AND(P$589&gt;0,LC50_1&gt;0),P$589/(LC50_1),0)</f>
        <v>0</v>
      </c>
      <c r="Q638" s="83"/>
      <c r="R638" s="2091">
        <f>IF(AND(R$589&gt;0,LC50_1&gt;0),R$589/(LC50_1),0)</f>
        <v>0</v>
      </c>
      <c r="S638" s="83"/>
      <c r="T638" s="2091">
        <f>IF(AND(T$589&gt;0,LC50_1&gt;0),T$589/(LC50_1),0)</f>
        <v>0</v>
      </c>
      <c r="U638" s="83"/>
      <c r="V638" s="2091">
        <f>IF(AND(V$589&gt;0,LC50_1&gt;0),V$589/(LC50_1),0)</f>
        <v>0</v>
      </c>
      <c r="W638" s="83"/>
      <c r="X638" s="2091">
        <f>IF(AND(X$589&gt;0,LC50_1&gt;0),X$589/(LC50_1),0)</f>
        <v>0</v>
      </c>
      <c r="Y638" s="83"/>
      <c r="Z638" s="85"/>
      <c r="AA638" s="83"/>
      <c r="AB638" s="81"/>
      <c r="AC638" s="23" t="str">
        <f t="shared" ref="AC638:AC642" si="87">B611</f>
        <v/>
      </c>
      <c r="AD638" s="81"/>
      <c r="AE638" s="2091">
        <f>IF(AND(AE$617&gt;0,LC50_2&lt;&gt;0),AE$617/(LC50_2/IF(AE$613&lt;OnSite_Limit/60,AE$613,OnSite_Limit/60)^(1/Pn_2)),0)</f>
        <v>0</v>
      </c>
      <c r="AF638" s="81"/>
      <c r="AG638" s="2091">
        <f>IF(AND(AG$617&gt;0,LC50_2&lt;&gt;0),AG$617/(LC50_2/IF(AG$613&lt;OnSite_Limit/60,AG$613,OnSite_Limit/60)^(1/Pn_2)),0)</f>
        <v>0</v>
      </c>
      <c r="AH638" s="81"/>
      <c r="AI638" s="2091">
        <f>IF(AND(AI$617&gt;0,LC50_2&lt;&gt;0),AI$617/(LC50_2/IF(AI$613&lt;OnSite_Limit/60,AI$613,OnSite_Limit/60)^(1/Pn_2)),0)</f>
        <v>0</v>
      </c>
      <c r="AJ638" s="81"/>
      <c r="AK638" s="81"/>
      <c r="AL638" s="81"/>
      <c r="AM638" s="81"/>
      <c r="AN638" s="81"/>
      <c r="AO638" s="81"/>
      <c r="AP638" s="81"/>
      <c r="AQ638" s="23"/>
      <c r="AR638" s="81"/>
    </row>
    <row r="639" spans="1:44" ht="15" customHeight="1" x14ac:dyDescent="0.25">
      <c r="A639" s="2"/>
      <c r="B639" s="512" t="str">
        <f>IF(B18="","","Vapor Mole Fraction "&amp;B18&amp;" / LC-50")</f>
        <v/>
      </c>
      <c r="C639" s="83"/>
      <c r="D639" s="2091">
        <f>IF(AND(D$590&gt;0,LC50_2&gt;0),D$590/(LC50_2),0)</f>
        <v>0</v>
      </c>
      <c r="E639" s="83"/>
      <c r="F639" s="2091">
        <f>IF(AND(F$590&gt;0,LC50_2&gt;0),F$590/(LC50_2),0)</f>
        <v>0</v>
      </c>
      <c r="G639" s="83"/>
      <c r="H639" s="2091">
        <f>IF(AND(H$590&gt;0,LC50_2&gt;0),H$590/(LC50_2),0)</f>
        <v>0</v>
      </c>
      <c r="I639" s="83"/>
      <c r="J639" s="2091">
        <f>IF(AND(J$590&gt;0,LC50_2&gt;0),J$590/(LC50_2),0)</f>
        <v>0</v>
      </c>
      <c r="K639" s="83"/>
      <c r="L639" s="2091">
        <f>IF(AND(L$590&gt;0,LC50_2&gt;0),L$590/(LC50_2),0)</f>
        <v>0</v>
      </c>
      <c r="M639" s="83"/>
      <c r="N639" s="2091">
        <f>IF(AND(N$590&gt;0,LC50_2&gt;0),N$590/(LC50_2),0)</f>
        <v>0</v>
      </c>
      <c r="O639" s="83"/>
      <c r="P639" s="2091">
        <f>IF(AND(P$590&gt;0,LC50_2&gt;0),P$590/(LC50_2),0)</f>
        <v>0</v>
      </c>
      <c r="Q639" s="83"/>
      <c r="R639" s="2091">
        <f>IF(AND(R$590&gt;0,LC50_2&gt;0),R$590/(LC50_2),0)</f>
        <v>0</v>
      </c>
      <c r="S639" s="83"/>
      <c r="T639" s="2091">
        <f>IF(AND(T$590&gt;0,LC50_2&gt;0),T$590/(LC50_2),0)</f>
        <v>0</v>
      </c>
      <c r="U639" s="83"/>
      <c r="V639" s="2091">
        <f>IF(AND(V$590&gt;0,LC50_2&gt;0),V$590/(LC50_2),0)</f>
        <v>0</v>
      </c>
      <c r="W639" s="83"/>
      <c r="X639" s="2091">
        <f>IF(AND(X$590&gt;0,LC50_2&gt;0),X$590/(LC50_2),0)</f>
        <v>0</v>
      </c>
      <c r="Y639" s="83"/>
      <c r="Z639" s="85"/>
      <c r="AA639" s="83"/>
      <c r="AB639" s="81"/>
      <c r="AC639" s="23" t="str">
        <f t="shared" si="87"/>
        <v/>
      </c>
      <c r="AD639" s="81"/>
      <c r="AE639" s="2091">
        <f>IF(AND(AE$618&gt;0,LC50_3&lt;&gt;0),AE$618/(LC50_3/IF(AE$613&lt;OnSite_Limit/60,AE$613,OnSite_Limit/60)^(1/Pn_3)),0)</f>
        <v>0</v>
      </c>
      <c r="AF639" s="81"/>
      <c r="AG639" s="2091">
        <f>IF(AND(AG$618&gt;0,LC50_3&lt;&gt;0),AG$618/(LC50_3/IF(AG$613&lt;OnSite_Limit/60,AG$613,OnSite_Limit/60)^(1/Pn_3)),0)</f>
        <v>0</v>
      </c>
      <c r="AH639" s="81"/>
      <c r="AI639" s="2091">
        <f>IF(AND(AI$618&gt;0,LC50_3&lt;&gt;0),AI$618/(LC50_3/IF(AI$613&lt;OnSite_Limit/60,AI$613,OnSite_Limit/60)^(1/Pn_3)),0)</f>
        <v>0</v>
      </c>
      <c r="AJ639" s="81"/>
      <c r="AK639" s="81"/>
      <c r="AL639" s="81"/>
      <c r="AM639" s="81"/>
      <c r="AN639" s="81"/>
      <c r="AO639" s="81"/>
      <c r="AP639" s="81"/>
      <c r="AQ639" s="23"/>
      <c r="AR639" s="81"/>
    </row>
    <row r="640" spans="1:44" ht="15" customHeight="1" x14ac:dyDescent="0.25">
      <c r="A640" s="2"/>
      <c r="B640" s="512" t="str">
        <f>IF(B19="","","Vapor Mole Fraction "&amp;B19&amp;" / LC-50")</f>
        <v/>
      </c>
      <c r="C640" s="83"/>
      <c r="D640" s="2091">
        <f>IF(AND(D$591&gt;0,LC50_3&gt;0),D$591/(LC50_3),0)</f>
        <v>0</v>
      </c>
      <c r="E640" s="83"/>
      <c r="F640" s="2091">
        <f>IF(AND(F$591&gt;0,LC50_3&gt;0),F$591/(LC50_3),0)</f>
        <v>0</v>
      </c>
      <c r="G640" s="83"/>
      <c r="H640" s="2091">
        <f>IF(AND(H$591&gt;0,LC50_3&gt;0),H$591/(LC50_3),0)</f>
        <v>0</v>
      </c>
      <c r="I640" s="83"/>
      <c r="J640" s="2091">
        <f>IF(AND(J$591&gt;0,LC50_3&gt;0),J$591/(LC50_3),0)</f>
        <v>0</v>
      </c>
      <c r="K640" s="83"/>
      <c r="L640" s="2091">
        <f>IF(AND(L$591&gt;0,LC50_3&gt;0),L$591/(LC50_3),0)</f>
        <v>0</v>
      </c>
      <c r="M640" s="83"/>
      <c r="N640" s="2091">
        <f>IF(AND(N$591&gt;0,LC50_3&gt;0),N$591/(LC50_3),0)</f>
        <v>0</v>
      </c>
      <c r="O640" s="83"/>
      <c r="P640" s="2091">
        <f>IF(AND(P$591&gt;0,LC50_3&gt;0),P$591/(LC50_3),0)</f>
        <v>0</v>
      </c>
      <c r="Q640" s="83"/>
      <c r="R640" s="2091">
        <f>IF(AND(R$591&gt;0,LC50_3&gt;0),R$591/(LC50_3),0)</f>
        <v>0</v>
      </c>
      <c r="S640" s="83"/>
      <c r="T640" s="2091">
        <f>IF(AND(T$591&gt;0,LC50_3&gt;0),T$591/(LC50_3),0)</f>
        <v>0</v>
      </c>
      <c r="U640" s="83"/>
      <c r="V640" s="2091">
        <f>IF(AND(V$591&gt;0,LC50_3&gt;0),V$591/(LC50_3),0)</f>
        <v>0</v>
      </c>
      <c r="W640" s="83"/>
      <c r="X640" s="2091">
        <f>IF(AND(X$591&gt;0,LC50_3&gt;0),X$591/(LC50_3),0)</f>
        <v>0</v>
      </c>
      <c r="Y640" s="83"/>
      <c r="Z640" s="85"/>
      <c r="AA640" s="83"/>
      <c r="AB640" s="81"/>
      <c r="AC640" s="23" t="str">
        <f t="shared" si="87"/>
        <v/>
      </c>
      <c r="AD640" s="81"/>
      <c r="AE640" s="2091">
        <f>IF(AND(AE$619&gt;0,LC50_4&lt;&gt;0),AE$619/(LC50_4/IF(AE$613&lt;OnSite_Limit/60,AE$613,OnSite_Limit/60)^(1/Pn_4)),0)</f>
        <v>0</v>
      </c>
      <c r="AF640" s="81"/>
      <c r="AG640" s="2091">
        <f>IF(AND(AG$619&gt;0,LC50_4&lt;&gt;0),AG$619/(LC50_4/IF(AG$613&lt;OnSite_Limit/60,AG$613,OnSite_Limit/60)^(1/Pn_4)),0)</f>
        <v>0</v>
      </c>
      <c r="AH640" s="81"/>
      <c r="AI640" s="2091">
        <f>IF(AND(AI$619&gt;0,LC50_4&lt;&gt;0),AI$619/(LC50_4/IF(AI$613&lt;OnSite_Limit/60,AI$613,OnSite_Limit/60)^(1/Pn_4)),0)</f>
        <v>0</v>
      </c>
      <c r="AJ640" s="81"/>
      <c r="AK640" s="81"/>
      <c r="AL640" s="81"/>
      <c r="AM640" s="81"/>
      <c r="AN640" s="81"/>
      <c r="AO640" s="81"/>
      <c r="AP640" s="81"/>
      <c r="AQ640" s="23"/>
      <c r="AR640" s="81"/>
    </row>
    <row r="641" spans="1:44" ht="15" customHeight="1" x14ac:dyDescent="0.25">
      <c r="A641" s="2"/>
      <c r="B641" s="512" t="str">
        <f>IF(B20="","","Vapor Mole Fraction "&amp;B20&amp;" / LC-50")</f>
        <v/>
      </c>
      <c r="C641" s="83"/>
      <c r="D641" s="2091">
        <f>IF(AND(D$592&gt;0,LC50_4&gt;0),D$592/(LC50_4),0)</f>
        <v>0</v>
      </c>
      <c r="E641" s="83"/>
      <c r="F641" s="2091">
        <f>IF(AND(F$592&gt;0,LC50_4&gt;0),F$592/(LC50_4),0)</f>
        <v>0</v>
      </c>
      <c r="G641" s="83"/>
      <c r="H641" s="2091">
        <f>IF(AND(H$592&gt;0,LC50_4&gt;0),H$592/(LC50_4),0)</f>
        <v>0</v>
      </c>
      <c r="I641" s="83"/>
      <c r="J641" s="2091">
        <f>IF(AND(J$592&gt;0,LC50_4&gt;0),J$592/(LC50_4),0)</f>
        <v>0</v>
      </c>
      <c r="K641" s="83"/>
      <c r="L641" s="2091">
        <f>IF(AND(L$592&gt;0,LC50_4&gt;0),L$592/(LC50_4),0)</f>
        <v>0</v>
      </c>
      <c r="M641" s="83"/>
      <c r="N641" s="2091">
        <f>IF(AND(N$592&gt;0,LC50_4&gt;0),N$592/(LC50_4),0)</f>
        <v>0</v>
      </c>
      <c r="O641" s="83"/>
      <c r="P641" s="2091">
        <f>IF(AND(P$592&gt;0,LC50_4&gt;0),P$592/(LC50_4),0)</f>
        <v>0</v>
      </c>
      <c r="Q641" s="83"/>
      <c r="R641" s="2091">
        <f>IF(AND(R$592&gt;0,LC50_4&gt;0),R$592/(LC50_4),0)</f>
        <v>0</v>
      </c>
      <c r="S641" s="83"/>
      <c r="T641" s="2091">
        <f>IF(AND(T$592&gt;0,LC50_4&gt;0),T$592/(LC50_4),0)</f>
        <v>0</v>
      </c>
      <c r="U641" s="83"/>
      <c r="V641" s="2091">
        <f>IF(AND(V$592&gt;0,LC50_4&gt;0),V$592/(LC50_4),0)</f>
        <v>0</v>
      </c>
      <c r="W641" s="83"/>
      <c r="X641" s="2091">
        <f>IF(AND(X$592&gt;0,LC50_4&gt;0),X$592/(LC50_4),0)</f>
        <v>0</v>
      </c>
      <c r="Y641" s="83"/>
      <c r="Z641" s="85"/>
      <c r="AA641" s="83"/>
      <c r="AB641" s="81"/>
      <c r="AC641" s="23" t="str">
        <f t="shared" si="87"/>
        <v/>
      </c>
      <c r="AD641" s="81"/>
      <c r="AE641" s="2091">
        <f>IF(AND(AE$620&gt;0,LC50_5&lt;&gt;0),AE$620/(LC50_5/IF(AE$613&lt;OnSite_Limit/60,AE$613,OnSite_Limit/60)^(1/Pn_5)),0)</f>
        <v>0</v>
      </c>
      <c r="AF641" s="81"/>
      <c r="AG641" s="2091">
        <f>IF(AND(AG$620&gt;0,LC50_5&lt;&gt;0),AG$620/(LC50_5/IF(AG$613&lt;OnSite_Limit/60,AG$613,OnSite_Limit/60)^(1/Pn_5)),0)</f>
        <v>0</v>
      </c>
      <c r="AH641" s="81"/>
      <c r="AI641" s="2091">
        <f>IF(AND(AI$620&gt;0,LC50_5&lt;&gt;0),AI$620/(LC50_5/IF(AI$613&lt;OnSite_Limit/60,AI$613,OnSite_Limit/60)^(1/Pn_5)),0)</f>
        <v>0</v>
      </c>
      <c r="AJ641" s="81"/>
      <c r="AK641" s="81"/>
      <c r="AL641" s="81"/>
      <c r="AM641" s="81"/>
      <c r="AN641" s="81"/>
      <c r="AO641" s="81"/>
      <c r="AP641" s="81"/>
      <c r="AQ641" s="23"/>
      <c r="AR641" s="81"/>
    </row>
    <row r="642" spans="1:44" ht="15" customHeight="1" thickBot="1" x14ac:dyDescent="0.3">
      <c r="A642" s="2"/>
      <c r="B642" s="512" t="str">
        <f>IF(B21="","","Vapor Mole Fraction "&amp;B21&amp;" / LC-50")</f>
        <v/>
      </c>
      <c r="C642" s="83"/>
      <c r="D642" s="2091">
        <f>IF(AND(D$593&gt;0,LC50_5&gt;0),D$593/(LC50_5),0)</f>
        <v>0</v>
      </c>
      <c r="E642" s="83"/>
      <c r="F642" s="2091">
        <f>IF(AND(F$593&gt;0,LC50_5&gt;0),F$593/(LC50_5),0)</f>
        <v>0</v>
      </c>
      <c r="G642" s="83"/>
      <c r="H642" s="2091">
        <f>IF(AND(H$593&gt;0,LC50_5&gt;0),H$593/(LC50_5),0)</f>
        <v>0</v>
      </c>
      <c r="I642" s="83"/>
      <c r="J642" s="2091">
        <f>IF(AND(J$593&gt;0,LC50_5&gt;0),J$593/(LC50_5),0)</f>
        <v>0</v>
      </c>
      <c r="K642" s="83"/>
      <c r="L642" s="2091">
        <f>IF(AND(L$593&gt;0,LC50_5&gt;0),L$593/(LC50_5),0)</f>
        <v>0</v>
      </c>
      <c r="M642" s="83"/>
      <c r="N642" s="2091">
        <f>IF(AND(N$593&gt;0,LC50_5&gt;0),N$593/(LC50_5),0)</f>
        <v>0</v>
      </c>
      <c r="O642" s="83"/>
      <c r="P642" s="2091">
        <f>IF(AND(P$593&gt;0,LC50_5&gt;0),P$593/(LC50_5),0)</f>
        <v>0</v>
      </c>
      <c r="Q642" s="83"/>
      <c r="R642" s="2091">
        <f>IF(AND(R$593&gt;0,LC50_5&gt;0),R$593/(LC50_5),0)</f>
        <v>0</v>
      </c>
      <c r="S642" s="83"/>
      <c r="T642" s="2091">
        <f>IF(AND(T$593&gt;0,LC50_5&gt;0),T$593/(LC50_5),0)</f>
        <v>0</v>
      </c>
      <c r="U642" s="83"/>
      <c r="V642" s="2091">
        <f>IF(AND(V$593&gt;0,LC50_5&gt;0),V$593/(LC50_5),0)</f>
        <v>0</v>
      </c>
      <c r="W642" s="83"/>
      <c r="X642" s="2091">
        <f>IF(AND(X$593&gt;0,LC50_5&gt;0),X$593/(LC50_5),0)</f>
        <v>0</v>
      </c>
      <c r="Y642" s="83"/>
      <c r="Z642" s="25"/>
      <c r="AA642" s="83"/>
      <c r="AB642" s="81"/>
      <c r="AC642" s="89" t="str">
        <f t="shared" si="87"/>
        <v xml:space="preserve">Mol Fraction/LC-50 Pad Gas as </v>
      </c>
      <c r="AD642" s="81"/>
      <c r="AE642" s="2115">
        <f>IF(AND(AE$621&gt;0,LC50Pad&lt;&gt;0),AE$621/(LC50Pad/IF(AE$613&lt;OnSite_Limit/60,AE$613,OnSite_Limit/60)^(1/PnPad)),0)</f>
        <v>0</v>
      </c>
      <c r="AF642" s="81"/>
      <c r="AG642" s="2115">
        <f>IF(AND(AG$621&gt;0,LC50Pad&lt;&gt;0),AG$621/(LC50Pad/IF(AG$613&lt;OnSite_Limit/60,AG$613,OnSite_Limit/60)^(1/PnPad)),0)</f>
        <v>0</v>
      </c>
      <c r="AH642" s="81"/>
      <c r="AI642" s="2115">
        <f>IF(AND(AI$621&gt;0,LC50Pad&lt;&gt;0),AI$621/(LC50Pad/IF(AI$613&lt;OnSite_Limit/60,AI$613,OnSite_Limit/60)^(1/PnPad)),0)</f>
        <v>0</v>
      </c>
      <c r="AJ642" s="81"/>
      <c r="AK642" s="81"/>
      <c r="AL642" s="81"/>
      <c r="AM642" s="81"/>
      <c r="AN642" s="81"/>
      <c r="AO642" s="81"/>
      <c r="AP642" s="81"/>
      <c r="AQ642" s="23"/>
      <c r="AR642" s="81"/>
    </row>
    <row r="643" spans="1:44" ht="15" customHeight="1" thickBot="1" x14ac:dyDescent="0.3">
      <c r="A643" s="2"/>
      <c r="B643" s="615" t="s">
        <v>5137</v>
      </c>
      <c r="C643" s="83"/>
      <c r="D643" s="1311">
        <f>IF(AND(D$594&gt;0,LC50Pad&gt;0),D$594/(LC50Pad),0)</f>
        <v>0</v>
      </c>
      <c r="E643" s="83"/>
      <c r="F643" s="1311">
        <f>IF(AND(F$594&gt;0,LC50Pad&gt;0),F$594/(LC50Pad),0)</f>
        <v>0</v>
      </c>
      <c r="G643" s="83"/>
      <c r="H643" s="1311">
        <f>IF(AND(H$594&gt;0,LC50Pad&gt;0),H$594/(LC50Pad),0)</f>
        <v>0</v>
      </c>
      <c r="I643" s="83"/>
      <c r="J643" s="1311">
        <f>IF(AND(J$594&gt;0,LC50Pad&gt;0),J$594/(LC50Pad),0)</f>
        <v>0</v>
      </c>
      <c r="K643" s="83"/>
      <c r="L643" s="1311">
        <f>IF(AND(L$594&gt;0,LC50Pad&gt;0),L$594/(LC50Pad),0)</f>
        <v>0</v>
      </c>
      <c r="M643" s="83"/>
      <c r="N643" s="1311">
        <f>IF(AND(N$594&gt;0,LC50Pad&gt;0),N$594/(LC50Pad),0)</f>
        <v>0</v>
      </c>
      <c r="O643" s="83"/>
      <c r="P643" s="1311">
        <f>IF(AND(P$594&gt;0,LC50Pad&gt;0),P$594/(LC50Pad),0)</f>
        <v>0</v>
      </c>
      <c r="Q643" s="83"/>
      <c r="R643" s="1311">
        <f>IF(AND(R$594&gt;0,LC50Pad&gt;0),R$594/(LC50Pad),0)</f>
        <v>0</v>
      </c>
      <c r="S643" s="83"/>
      <c r="T643" s="1311">
        <f>IF(AND(T$594&gt;0,LC50Pad&gt;0),T$594/(LC50Pad),0)</f>
        <v>0</v>
      </c>
      <c r="U643" s="83"/>
      <c r="V643" s="1311">
        <f>IF(AND(V$594&gt;0,LC50Pad&gt;0),V$594/(LC50Pad),0)</f>
        <v>0</v>
      </c>
      <c r="W643" s="83"/>
      <c r="X643" s="1311">
        <f>IF(AND(X$594&gt;0,LC50Pad&gt;0),X$594/(LC50Pad),0)</f>
        <v>0</v>
      </c>
      <c r="Y643" s="83"/>
      <c r="Z643" s="119" t="s">
        <v>1506</v>
      </c>
      <c r="AA643" s="83"/>
      <c r="AB643" s="81"/>
      <c r="AC643" s="1030" t="s">
        <v>5126</v>
      </c>
      <c r="AD643" s="81"/>
      <c r="AE643" s="2101" t="str">
        <f>IF(AND(AE$613&gt;0,SUM(AE637:AE642)&gt;0),IF(1/SUM(AE637:AE642)&lt;1000000,1/SUM(AE637:AE642),1000000),"")</f>
        <v/>
      </c>
      <c r="AF643" s="81"/>
      <c r="AG643" s="2101" t="str">
        <f>IF(AND(AG$613&gt;0,SUM(AG637:AG642)&gt;0),IF(1/SUM(AG637:AG642)&lt;1000000,1/SUM(AG637:AG642),1000000),"")</f>
        <v/>
      </c>
      <c r="AH643" s="81"/>
      <c r="AI643" s="2101" t="str">
        <f>IF(AND(AI$613&gt;0,SUM(AI637:AI642)&gt;0),IF(1/SUM(AI637:AI642)&lt;1000000,1/SUM(AI637:AI642),1000000),"")</f>
        <v/>
      </c>
      <c r="AJ643" s="81"/>
      <c r="AK643" s="81"/>
      <c r="AL643" s="81"/>
      <c r="AM643" s="81"/>
      <c r="AN643" s="81"/>
      <c r="AO643" s="81"/>
      <c r="AP643" s="81"/>
      <c r="AQ643" s="25" t="s">
        <v>1506</v>
      </c>
      <c r="AR643" s="81"/>
    </row>
    <row r="644" spans="1:44" ht="15" customHeight="1" thickBot="1" x14ac:dyDescent="0.3">
      <c r="A644" s="2"/>
      <c r="B644" s="85" t="s">
        <v>3521</v>
      </c>
      <c r="C644" s="83"/>
      <c r="D644" s="2101" t="str">
        <f>IF(AND(D$586&gt;0,SUM(D638:D643)&gt;0),IF(1/SUM(D638:D643)&lt;1000000,1/SUM(D638:D643),1000000),"")</f>
        <v/>
      </c>
      <c r="E644" s="83"/>
      <c r="F644" s="2101" t="str">
        <f>IF(AND(F$586&gt;0,SUM(F638:F643)&gt;0),IF(1/SUM(F638:F643)&lt;1000000,1/SUM(F638:F643),1000000),"")</f>
        <v/>
      </c>
      <c r="G644" s="83"/>
      <c r="H644" s="2101" t="str">
        <f>IF(AND(H$586&gt;0,SUM(H638:H643)&gt;0),IF(1/SUM(H638:H643)&lt;1000000,1/SUM(H638:H643),1000000),"")</f>
        <v/>
      </c>
      <c r="I644" s="83"/>
      <c r="J644" s="2101" t="str">
        <f>IF(AND(J$586&gt;0,SUM(J638:J643)&gt;0),IF(1/SUM(J638:J643)&lt;1000000,1/SUM(J638:J643),1000000),"")</f>
        <v/>
      </c>
      <c r="K644" s="83"/>
      <c r="L644" s="2101" t="str">
        <f>IF(AND(L$586&gt;0,SUM(L638:L643)&gt;0),IF(1/SUM(L638:L643)&lt;1000000,1/SUM(L638:L643),1000000),"")</f>
        <v/>
      </c>
      <c r="M644" s="83"/>
      <c r="N644" s="2101" t="str">
        <f>IF(AND(N$586&gt;0,SUM(N638:N643)&gt;0),IF(1/SUM(N638:N643)&lt;1000000,1/SUM(N638:N643),1000000),"")</f>
        <v/>
      </c>
      <c r="O644" s="83"/>
      <c r="P644" s="2101" t="str">
        <f>IF(AND(P$586&gt;0,SUM(P638:P643)&gt;0),IF(1/SUM(P638:P643)&lt;1000000,1/SUM(P638:P643),1000000),"")</f>
        <v/>
      </c>
      <c r="Q644" s="83"/>
      <c r="R644" s="2101" t="str">
        <f>IF(AND(R$586&gt;0,SUM(R638:R643)&gt;0),IF(1/SUM(R638:R643)&lt;1000000,1/SUM(R638:R643),1000000),"")</f>
        <v/>
      </c>
      <c r="S644" s="83"/>
      <c r="T644" s="2101" t="str">
        <f>IF(AND(T$586&gt;0,SUM(T638:T643)&gt;0),IF(1/SUM(T638:T643)&lt;1000000,1/SUM(T638:T643),1000000),"")</f>
        <v/>
      </c>
      <c r="U644" s="83"/>
      <c r="V644" s="2101" t="str">
        <f>IF(AND(V$586&gt;0,SUM(V638:V643)&gt;0),IF(1/SUM(V638:V643)&lt;1000000,1/SUM(V638:V643),1000000),"")</f>
        <v/>
      </c>
      <c r="W644" s="83"/>
      <c r="X644" s="2101" t="str">
        <f>IF(AND(X$586&gt;0,SUM(X638:X643)&gt;0),IF(1/SUM(X638:X643)&lt;1000000,1/SUM(X638:X643),1000000),"")</f>
        <v/>
      </c>
      <c r="Y644" s="83"/>
      <c r="Z644" s="92"/>
      <c r="AA644" s="83"/>
      <c r="AB644" s="81"/>
      <c r="AC644" s="23" t="str">
        <f>B617</f>
        <v/>
      </c>
      <c r="AD644" s="81"/>
      <c r="AE644" s="2091">
        <f>IF(ER3_1&lt;&gt;"",AE$616/ER3_1,0)</f>
        <v>0</v>
      </c>
      <c r="AF644" s="81"/>
      <c r="AG644" s="2091">
        <f>IF(ER3_1&lt;&gt;"",AG$616/ER3_1,0)</f>
        <v>0</v>
      </c>
      <c r="AH644" s="81"/>
      <c r="AI644" s="2091">
        <f>IF(ER3_1&lt;&gt;"",AI$616/ER3_1,0)</f>
        <v>0</v>
      </c>
      <c r="AJ644" s="81"/>
      <c r="AK644" s="81"/>
      <c r="AL644" s="81"/>
      <c r="AM644" s="81"/>
      <c r="AN644" s="81"/>
      <c r="AO644" s="81"/>
      <c r="AP644" s="81"/>
      <c r="AQ644" s="84"/>
      <c r="AR644" s="81"/>
    </row>
    <row r="645" spans="1:44" ht="15" customHeight="1" x14ac:dyDescent="0.25">
      <c r="A645" s="2"/>
      <c r="B645" s="614" t="str">
        <f>IF(B17="","","Vapor Mole Fraction "&amp;B17&amp;" / Time-Scaled LC-1")</f>
        <v/>
      </c>
      <c r="C645" s="83"/>
      <c r="D645" s="2091">
        <f>IF(AND(D$589&gt;0,LC1_1&gt;0),D$589/(LC1_1/D$586^(1/Pn_1)),0)</f>
        <v>0</v>
      </c>
      <c r="E645" s="83"/>
      <c r="F645" s="2091">
        <f>IF(AND(F$589&gt;0,LC1_1&gt;0),F$589/(LC1_1/F$586^(1/Pn_1)),0)</f>
        <v>0</v>
      </c>
      <c r="G645" s="83"/>
      <c r="H645" s="2091">
        <f>IF(AND(H$589&gt;0,LC1_1&gt;0),H$589/(LC1_1/H$586^(1/Pn_1)),0)</f>
        <v>0</v>
      </c>
      <c r="I645" s="83"/>
      <c r="J645" s="2091">
        <f>IF(AND(J$589&gt;0,LC1_1&gt;0),J$589/(LC1_1/J$586^(1/Pn_1)),0)</f>
        <v>0</v>
      </c>
      <c r="K645" s="83"/>
      <c r="L645" s="2091">
        <f>IF(AND(L$589&gt;0,LC1_1&gt;0),L$589/(LC1_1/L$586^(1/Pn_1)),0)</f>
        <v>0</v>
      </c>
      <c r="M645" s="83"/>
      <c r="N645" s="2091">
        <f>IF(AND(N$589&gt;0,LC1_1&gt;0),N$589/(LC1_1/N$586^(1/Pn_1)),0)</f>
        <v>0</v>
      </c>
      <c r="O645" s="83"/>
      <c r="P645" s="2091">
        <f>IF(AND(P$589&gt;0,LC1_1&gt;0),P$589/(LC1_1/P$586^(1/Pn_1)),0)</f>
        <v>0</v>
      </c>
      <c r="Q645" s="83"/>
      <c r="R645" s="2091">
        <f>IF(AND(R$589&gt;0,LC1_1&gt;0),R$589/(LC1_1/R$586^(1/Pn_1)),0)</f>
        <v>0</v>
      </c>
      <c r="S645" s="83"/>
      <c r="T645" s="2091">
        <f>IF(AND(T$589&gt;0,LC1_1&gt;0),T$589/(LC1_1/T$586^(1/Pn_1)),0)</f>
        <v>0</v>
      </c>
      <c r="U645" s="83"/>
      <c r="V645" s="2091">
        <f>IF(AND(V$589&gt;0,LC1_1&gt;0),V$589/(LC1_1/V$586^(1/Pn_1)),0)</f>
        <v>0</v>
      </c>
      <c r="W645" s="83"/>
      <c r="X645" s="2091">
        <f>IF(AND(X$589&gt;0,LC1_1&gt;0),X$589/(LC1_1/X$586^(1/Pn_1)),0)</f>
        <v>0</v>
      </c>
      <c r="Y645" s="83"/>
      <c r="Z645" s="85"/>
      <c r="AA645" s="83"/>
      <c r="AB645" s="81"/>
      <c r="AC645" s="23" t="str">
        <f t="shared" ref="AC645:AC648" si="88">B618</f>
        <v/>
      </c>
      <c r="AD645" s="81"/>
      <c r="AE645" s="2091">
        <f>IF(ER3_2&lt;&gt;"",AE$617/ER3_2,0)</f>
        <v>0</v>
      </c>
      <c r="AF645" s="81"/>
      <c r="AG645" s="2091">
        <f>IF(ER3_2&lt;&gt;"",AG$617/ER3_2,0)</f>
        <v>0</v>
      </c>
      <c r="AH645" s="81"/>
      <c r="AI645" s="2091">
        <f>IF(ER3_2&lt;&gt;"",AI$617/ER3_2,0)</f>
        <v>0</v>
      </c>
      <c r="AJ645" s="81"/>
      <c r="AK645" s="81"/>
      <c r="AL645" s="81"/>
      <c r="AM645" s="81"/>
      <c r="AN645" s="81"/>
      <c r="AO645" s="81"/>
      <c r="AP645" s="81"/>
      <c r="AQ645" s="23"/>
      <c r="AR645" s="81"/>
    </row>
    <row r="646" spans="1:44" ht="15" customHeight="1" x14ac:dyDescent="0.25">
      <c r="A646" s="2"/>
      <c r="B646" s="512" t="str">
        <f>IF(B18="","","Vapor Mole Fraction "&amp;B18&amp;" / Time-Scaled LC-1")</f>
        <v/>
      </c>
      <c r="C646" s="83"/>
      <c r="D646" s="2091">
        <f>IF(AND(D$590&gt;0,LC1_2&gt;0),D$590/(LC1_2/D$586^(1/Pn_2)),0)</f>
        <v>0</v>
      </c>
      <c r="E646" s="83"/>
      <c r="F646" s="2091">
        <f>IF(AND(F$590&gt;0,LC1_2&gt;0),F$590/(LC1_2/F$586^(1/Pn_2)),0)</f>
        <v>0</v>
      </c>
      <c r="G646" s="83"/>
      <c r="H646" s="2091">
        <f>IF(AND(H$590&gt;0,LC1_2&gt;0),H$590/(LC1_2/H$586^(1/Pn_2)),0)</f>
        <v>0</v>
      </c>
      <c r="I646" s="83"/>
      <c r="J646" s="2091">
        <f>IF(AND(J$590&gt;0,LC1_2&gt;0),J$590/(LC1_2/J$586^(1/Pn_2)),0)</f>
        <v>0</v>
      </c>
      <c r="K646" s="83"/>
      <c r="L646" s="2091">
        <f>IF(AND(L$590&gt;0,LC1_2&gt;0),L$590/(LC1_2/L$586^(1/Pn_2)),0)</f>
        <v>0</v>
      </c>
      <c r="M646" s="83"/>
      <c r="N646" s="2091">
        <f>IF(AND(N$590&gt;0,LC1_2&gt;0),N$590/(LC1_2/N$586^(1/Pn_2)),0)</f>
        <v>0</v>
      </c>
      <c r="O646" s="83"/>
      <c r="P646" s="2091">
        <f>IF(AND(P$590&gt;0,LC1_2&gt;0),P$590/(LC1_2/P$586^(1/Pn_2)),0)</f>
        <v>0</v>
      </c>
      <c r="Q646" s="83"/>
      <c r="R646" s="2091">
        <f>IF(AND(R$590&gt;0,LC1_2&gt;0),R$590/(LC1_2/R$586^(1/Pn_2)),0)</f>
        <v>0</v>
      </c>
      <c r="S646" s="83"/>
      <c r="T646" s="2091">
        <f>IF(AND(T$590&gt;0,LC1_2&gt;0),T$590/(LC1_2/T$586^(1/Pn_2)),0)</f>
        <v>0</v>
      </c>
      <c r="U646" s="83"/>
      <c r="V646" s="2091">
        <f>IF(AND(V$590&gt;0,LC1_2&gt;0),V$590/(LC1_2/V$586^(1/Pn_2)),0)</f>
        <v>0</v>
      </c>
      <c r="W646" s="83"/>
      <c r="X646" s="2091">
        <f>IF(AND(X$590&gt;0,LC1_2&gt;0),X$590/(LC1_2/X$586^(1/Pn_2)),0)</f>
        <v>0</v>
      </c>
      <c r="Y646" s="83"/>
      <c r="Z646" s="85"/>
      <c r="AA646" s="83"/>
      <c r="AB646" s="81"/>
      <c r="AC646" s="23" t="str">
        <f t="shared" si="88"/>
        <v/>
      </c>
      <c r="AD646" s="81"/>
      <c r="AE646" s="2091">
        <f>IF(ER3_3&lt;&gt;"",AE$618/ER3_3,0)</f>
        <v>0</v>
      </c>
      <c r="AF646" s="81"/>
      <c r="AG646" s="2091">
        <f>IF(ER3_3&lt;&gt;"",AG$618/ER3_3,0)</f>
        <v>0</v>
      </c>
      <c r="AH646" s="81"/>
      <c r="AI646" s="2091">
        <f>IF(ER3_3&lt;&gt;"",AI$618/ER3_3,0)</f>
        <v>0</v>
      </c>
      <c r="AJ646" s="81"/>
      <c r="AK646" s="81"/>
      <c r="AL646" s="81"/>
      <c r="AM646" s="81"/>
      <c r="AN646" s="81"/>
      <c r="AO646" s="81"/>
      <c r="AP646" s="81"/>
      <c r="AQ646" s="23"/>
      <c r="AR646" s="81"/>
    </row>
    <row r="647" spans="1:44" ht="15" customHeight="1" x14ac:dyDescent="0.25">
      <c r="A647" s="2"/>
      <c r="B647" s="512" t="str">
        <f>IF(B19="","","Vapor Mole Fraction "&amp;B19&amp;" / Time-Scaled LC-1")</f>
        <v/>
      </c>
      <c r="C647" s="83"/>
      <c r="D647" s="2091">
        <f>IF(AND(D$591&gt;0,LC1_3&gt;0),D$591/(LC1_3/D$586^(1/Pn_3)),0)</f>
        <v>0</v>
      </c>
      <c r="E647" s="83"/>
      <c r="F647" s="2091">
        <f>IF(AND(F$591&gt;0,LC1_3&gt;0),F$591/(LC1_3/F$586^(1/Pn_3)),0)</f>
        <v>0</v>
      </c>
      <c r="G647" s="83"/>
      <c r="H647" s="2091">
        <f>IF(AND(H$591&gt;0,LC1_3&gt;0),H$591/(LC1_3/H$586^(1/Pn_3)),0)</f>
        <v>0</v>
      </c>
      <c r="I647" s="83"/>
      <c r="J647" s="2091">
        <f>IF(AND(J$591&gt;0,LC1_3&gt;0),J$591/(LC1_3/J$586^(1/Pn_3)),0)</f>
        <v>0</v>
      </c>
      <c r="K647" s="83"/>
      <c r="L647" s="2091">
        <f>IF(AND(L$591&gt;0,LC1_3&gt;0),L$591/(LC1_3/L$586^(1/Pn_3)),0)</f>
        <v>0</v>
      </c>
      <c r="M647" s="83"/>
      <c r="N647" s="2091">
        <f>IF(AND(N$591&gt;0,LC1_3&gt;0),N$591/(LC1_3/N$586^(1/Pn_3)),0)</f>
        <v>0</v>
      </c>
      <c r="O647" s="83"/>
      <c r="P647" s="2091">
        <f>IF(AND(P$591&gt;0,LC1_3&gt;0),P$591/(LC1_3/P$586^(1/Pn_3)),0)</f>
        <v>0</v>
      </c>
      <c r="Q647" s="83"/>
      <c r="R647" s="2091">
        <f>IF(AND(R$591&gt;0,LC1_3&gt;0),R$591/(LC1_3/R$586^(1/Pn_3)),0)</f>
        <v>0</v>
      </c>
      <c r="S647" s="83"/>
      <c r="T647" s="2091">
        <f>IF(AND(T$591&gt;0,LC1_3&gt;0),T$591/(LC1_3/T$586^(1/Pn_3)),0)</f>
        <v>0</v>
      </c>
      <c r="U647" s="83"/>
      <c r="V647" s="2091">
        <f>IF(AND(V$591&gt;0,LC1_3&gt;0),V$591/(LC1_3/V$586^(1/Pn_3)),0)</f>
        <v>0</v>
      </c>
      <c r="W647" s="83"/>
      <c r="X647" s="2091">
        <f>IF(AND(X$591&gt;0,LC1_3&gt;0),X$591/(LC1_3/X$586^(1/Pn_3)),0)</f>
        <v>0</v>
      </c>
      <c r="Y647" s="83"/>
      <c r="Z647" s="85"/>
      <c r="AA647" s="83"/>
      <c r="AB647" s="81"/>
      <c r="AC647" s="23" t="str">
        <f t="shared" si="88"/>
        <v/>
      </c>
      <c r="AD647" s="81"/>
      <c r="AE647" s="2091">
        <f>IF(ER3_4&lt;&gt;"",AE$619/ER3_4,0)</f>
        <v>0</v>
      </c>
      <c r="AF647" s="81"/>
      <c r="AG647" s="2091">
        <f>IF(ER3_4&lt;&gt;"",AG$619/ER3_4,0)</f>
        <v>0</v>
      </c>
      <c r="AH647" s="81"/>
      <c r="AI647" s="2091">
        <f>IF(ER3_4&lt;&gt;"",AI$619/ER3_4,0)</f>
        <v>0</v>
      </c>
      <c r="AJ647" s="81"/>
      <c r="AK647" s="81"/>
      <c r="AL647" s="81"/>
      <c r="AM647" s="81"/>
      <c r="AN647" s="81"/>
      <c r="AO647" s="81"/>
      <c r="AP647" s="81"/>
      <c r="AQ647" s="23"/>
      <c r="AR647" s="81"/>
    </row>
    <row r="648" spans="1:44" ht="15" customHeight="1" x14ac:dyDescent="0.25">
      <c r="A648" s="2"/>
      <c r="B648" s="512" t="str">
        <f>IF(B20="","","Vapor Mole Fraction "&amp;B20&amp;" / Time-Scaled LC-1")</f>
        <v/>
      </c>
      <c r="C648" s="83"/>
      <c r="D648" s="2091">
        <f>IF(AND(D$592&gt;0,LC1_4&gt;0),D$592/(LC1_4/D$586^(1/Pn_4)),0)</f>
        <v>0</v>
      </c>
      <c r="E648" s="83"/>
      <c r="F648" s="2091">
        <f>IF(AND(F$592&gt;0,LC1_4&gt;0),F$592/(LC1_4/F$586^(1/Pn_4)),0)</f>
        <v>0</v>
      </c>
      <c r="G648" s="83"/>
      <c r="H648" s="2091">
        <f>IF(AND(H$592&gt;0,LC1_4&gt;0),H$592/(LC1_4/H$586^(1/Pn_4)),0)</f>
        <v>0</v>
      </c>
      <c r="I648" s="83"/>
      <c r="J648" s="2091">
        <f>IF(AND(J$592&gt;0,LC1_4&gt;0),J$592/(LC1_4/J$586^(1/Pn_4)),0)</f>
        <v>0</v>
      </c>
      <c r="K648" s="83"/>
      <c r="L648" s="2091">
        <f>IF(AND(L$592&gt;0,LC1_4&gt;0),L$592/(LC1_4/L$586^(1/Pn_4)),0)</f>
        <v>0</v>
      </c>
      <c r="M648" s="83"/>
      <c r="N648" s="2091">
        <f>IF(AND(N$592&gt;0,LC1_4&gt;0),N$592/(LC1_4/N$586^(1/Pn_4)),0)</f>
        <v>0</v>
      </c>
      <c r="O648" s="83"/>
      <c r="P648" s="2091">
        <f>IF(AND(P$592&gt;0,LC1_4&gt;0),P$592/(LC1_4/P$586^(1/Pn_4)),0)</f>
        <v>0</v>
      </c>
      <c r="Q648" s="83"/>
      <c r="R648" s="2091">
        <f>IF(AND(R$592&gt;0,LC1_4&gt;0),R$592/(LC1_4/R$586^(1/Pn_4)),0)</f>
        <v>0</v>
      </c>
      <c r="S648" s="83"/>
      <c r="T648" s="2091">
        <f>IF(AND(T$592&gt;0,LC1_4&gt;0),T$592/(LC1_4/T$586^(1/Pn_4)),0)</f>
        <v>0</v>
      </c>
      <c r="U648" s="83"/>
      <c r="V648" s="2091">
        <f>IF(AND(V$592&gt;0,LC1_4&gt;0),V$592/(LC1_4/V$586^(1/Pn_4)),0)</f>
        <v>0</v>
      </c>
      <c r="W648" s="83"/>
      <c r="X648" s="2091">
        <f>IF(AND(X$592&gt;0,LC1_4&gt;0),X$592/(LC1_4/X$586^(1/Pn_4)),0)</f>
        <v>0</v>
      </c>
      <c r="Y648" s="83"/>
      <c r="Z648" s="85"/>
      <c r="AA648" s="83"/>
      <c r="AB648" s="81"/>
      <c r="AC648" s="23" t="str">
        <f t="shared" si="88"/>
        <v/>
      </c>
      <c r="AD648" s="81"/>
      <c r="AE648" s="2091">
        <f>IF(ER3_5&lt;&gt;"",AE$620/ER3_5,0)</f>
        <v>0</v>
      </c>
      <c r="AF648" s="81"/>
      <c r="AG648" s="2091">
        <f>IF(ER3_5&lt;&gt;"",AG$620/ER3_5,0)</f>
        <v>0</v>
      </c>
      <c r="AH648" s="81"/>
      <c r="AI648" s="2091">
        <f>IF(ER3_5&lt;&gt;"",AI$620/ER3_5,0)</f>
        <v>0</v>
      </c>
      <c r="AJ648" s="81"/>
      <c r="AK648" s="81"/>
      <c r="AL648" s="81"/>
      <c r="AM648" s="81"/>
      <c r="AN648" s="81"/>
      <c r="AO648" s="81"/>
      <c r="AP648" s="81"/>
      <c r="AQ648" s="23"/>
      <c r="AR648" s="81"/>
    </row>
    <row r="649" spans="1:44" ht="15" customHeight="1" thickBot="1" x14ac:dyDescent="0.3">
      <c r="A649" s="2"/>
      <c r="B649" s="615" t="str">
        <f>IF(B21="","","Vapor Mole Fraction "&amp;B21&amp;" / Time-Scaled LC-1")</f>
        <v/>
      </c>
      <c r="C649" s="83"/>
      <c r="D649" s="2091">
        <f>IF(AND(D$593&gt;0,LC1_5&gt;0),D$593/(LC1_5/D$586^(1/Pn_5)),0)</f>
        <v>0</v>
      </c>
      <c r="E649" s="83"/>
      <c r="F649" s="2091">
        <f>IF(AND(F$593&gt;0,LC1_5&gt;0),F$593/(LC1_5/F$586^(1/Pn_5)),0)</f>
        <v>0</v>
      </c>
      <c r="G649" s="83"/>
      <c r="H649" s="2091">
        <f>IF(AND(H$593&gt;0,LC1_5&gt;0),H$593/(LC1_5/H$586^(1/Pn_5)),0)</f>
        <v>0</v>
      </c>
      <c r="I649" s="83"/>
      <c r="J649" s="2091">
        <f>IF(AND(J$593&gt;0,LC1_5&gt;0),J$593/(LC1_5/J$586^(1/Pn_5)),0)</f>
        <v>0</v>
      </c>
      <c r="K649" s="83"/>
      <c r="L649" s="2091">
        <f>IF(AND(L$593&gt;0,LC1_5&gt;0),L$593/(LC1_5/L$586^(1/Pn_5)),0)</f>
        <v>0</v>
      </c>
      <c r="M649" s="83"/>
      <c r="N649" s="2091">
        <f>IF(AND(N$593&gt;0,LC1_5&gt;0),N$593/(LC1_5/N$586^(1/Pn_5)),0)</f>
        <v>0</v>
      </c>
      <c r="O649" s="83"/>
      <c r="P649" s="2091">
        <f>IF(AND(P$593&gt;0,LC1_5&gt;0),P$593/(LC1_5/P$586^(1/Pn_5)),0)</f>
        <v>0</v>
      </c>
      <c r="Q649" s="83"/>
      <c r="R649" s="2091">
        <f>IF(AND(R$593&gt;0,LC1_5&gt;0),R$593/(LC1_5/R$586^(1/Pn_5)),0)</f>
        <v>0</v>
      </c>
      <c r="S649" s="83"/>
      <c r="T649" s="2091">
        <f>IF(AND(T$593&gt;0,LC1_5&gt;0),T$593/(LC1_5/T$586^(1/Pn_5)),0)</f>
        <v>0</v>
      </c>
      <c r="U649" s="83"/>
      <c r="V649" s="2091">
        <f>IF(AND(V$593&gt;0,LC1_5&gt;0),V$593/(LC1_5/V$586^(1/Pn_5)),0)</f>
        <v>0</v>
      </c>
      <c r="W649" s="83"/>
      <c r="X649" s="2091">
        <f>IF(AND(X$593&gt;0,LC1_5&gt;0),X$593/(LC1_5/X$586^(1/Pn_5)),0)</f>
        <v>0</v>
      </c>
      <c r="Y649" s="83"/>
      <c r="Z649" s="25"/>
      <c r="AA649" s="83"/>
      <c r="AB649" s="81"/>
      <c r="AC649" s="89" t="s">
        <v>5135</v>
      </c>
      <c r="AD649" s="81"/>
      <c r="AE649" s="2091">
        <f>IF(Pad_ER3&lt;&gt;"",AE$621/Pad_ER3,0)</f>
        <v>0</v>
      </c>
      <c r="AF649" s="81"/>
      <c r="AG649" s="2091">
        <f>IF(Pad_ER3&lt;&gt;"",AG$621/Pad_ER3,0)</f>
        <v>0</v>
      </c>
      <c r="AH649" s="81"/>
      <c r="AI649" s="2091">
        <f>IF(Pad_ER3&lt;&gt;"",AI$621/Pad_ER3,0)</f>
        <v>0</v>
      </c>
      <c r="AJ649" s="81"/>
      <c r="AK649" s="81"/>
      <c r="AL649" s="81"/>
      <c r="AM649" s="81"/>
      <c r="AN649" s="81"/>
      <c r="AO649" s="81"/>
      <c r="AP649" s="81"/>
      <c r="AQ649" s="23"/>
      <c r="AR649" s="81"/>
    </row>
    <row r="650" spans="1:44" ht="15" customHeight="1" thickBot="1" x14ac:dyDescent="0.3">
      <c r="A650" s="2"/>
      <c r="B650" s="615" t="s">
        <v>5138</v>
      </c>
      <c r="C650" s="83"/>
      <c r="D650" s="1311">
        <f>IF(AND(D$594&gt;0,LC1Pad&gt;0),D$594/(LC1Pad/D$586^(1/PnPad)),0)</f>
        <v>0</v>
      </c>
      <c r="E650" s="83"/>
      <c r="F650" s="1311">
        <f>IF(AND(F$594&gt;0,LC1Pad&gt;0),F$594/(LC1Pad/F$586^(1/PnPad)),0)</f>
        <v>0</v>
      </c>
      <c r="G650" s="83"/>
      <c r="H650" s="1311">
        <f>IF(AND(H$594&gt;0,LC1Pad&gt;0),H$594/(LC1Pad/H$586^(1/PnPad)),0)</f>
        <v>0</v>
      </c>
      <c r="I650" s="83"/>
      <c r="J650" s="1311">
        <f>IF(AND(J$594&gt;0,LC1Pad&gt;0),J$594/(LC1Pad/J$586^(1/PnPad)),0)</f>
        <v>0</v>
      </c>
      <c r="K650" s="83"/>
      <c r="L650" s="1311">
        <f>IF(AND(L$594&gt;0,LC1Pad&gt;0),L$594/(LC1Pad/L$586^(1/PnPad)),0)</f>
        <v>0</v>
      </c>
      <c r="M650" s="83"/>
      <c r="N650" s="1311">
        <f>IF(AND(N$594&gt;0,LC1Pad&gt;0),N$594/(LC1Pad/N$586^(1/PnPad)),0)</f>
        <v>0</v>
      </c>
      <c r="O650" s="83"/>
      <c r="P650" s="1311">
        <f>IF(AND(P$594&gt;0,LC1Pad&gt;0),P$594/(LC1Pad/P$586^(1/PnPad)),0)</f>
        <v>0</v>
      </c>
      <c r="Q650" s="83"/>
      <c r="R650" s="1311">
        <f>IF(AND(R$594&gt;0,LC1Pad&gt;0),R$594/(LC1Pad/R$586^(1/PnPad)),0)</f>
        <v>0</v>
      </c>
      <c r="S650" s="83"/>
      <c r="T650" s="1311">
        <f>IF(AND(T$594&gt;0,LC1Pad&gt;0),T$594/(LC1Pad/T$586^(1/PnPad)),0)</f>
        <v>0</v>
      </c>
      <c r="U650" s="83"/>
      <c r="V650" s="1311">
        <f>IF(AND(V$594&gt;0,LC1Pad&gt;0),V$594/(LC1Pad/V$586^(1/PnPad)),0)</f>
        <v>0</v>
      </c>
      <c r="W650" s="83"/>
      <c r="X650" s="1311">
        <f>IF(AND(X$594&gt;0,LC1Pad&gt;0),X$594/(LC1Pad/X$586^(1/PnPad)),0)</f>
        <v>0</v>
      </c>
      <c r="Y650" s="83"/>
      <c r="Z650" s="119" t="s">
        <v>1506</v>
      </c>
      <c r="AA650" s="83"/>
      <c r="AB650" s="81"/>
      <c r="AC650" s="25" t="s">
        <v>3673</v>
      </c>
      <c r="AD650" s="81"/>
      <c r="AE650" s="2101" t="str">
        <f>IF(SUM(AE644:AE649)&gt;0,IF(1/SUM(AE644:AE649)&lt;1000000,1/SUM(AE644:AE649),1000000),"")</f>
        <v/>
      </c>
      <c r="AF650" s="81"/>
      <c r="AG650" s="2101" t="str">
        <f>IF(SUM(AG644:AG649)&gt;0,IF(1/SUM(AG644:AG649)&lt;1000000,1/SUM(AG644:AG649),1000000),"")</f>
        <v/>
      </c>
      <c r="AH650" s="81"/>
      <c r="AI650" s="2101" t="str">
        <f>IF(SUM(AI644:AI649)&gt;0,IF(1/SUM(AI644:AI649)&lt;1000000,1/SUM(AI644:AI649),1000000),"")</f>
        <v/>
      </c>
      <c r="AJ650" s="81"/>
      <c r="AK650" s="81"/>
      <c r="AL650" s="81"/>
      <c r="AM650" s="81"/>
      <c r="AN650" s="81"/>
      <c r="AO650" s="81"/>
      <c r="AP650" s="81"/>
      <c r="AQ650" s="25" t="s">
        <v>1506</v>
      </c>
      <c r="AR650" s="81"/>
    </row>
    <row r="651" spans="1:44" ht="15" customHeight="1" thickBot="1" x14ac:dyDescent="0.3">
      <c r="A651" s="2"/>
      <c r="B651" s="119" t="s">
        <v>3512</v>
      </c>
      <c r="C651" s="83"/>
      <c r="D651" s="2101" t="str">
        <f>IF(AND(D$586&gt;0,SUM(D645:D650)&gt;0),IF(1/SUM(D645:D650)&lt;1000000,1/SUM(D645:D650),1000000),"")</f>
        <v/>
      </c>
      <c r="E651" s="83"/>
      <c r="F651" s="2101" t="str">
        <f>IF(AND(F$586&gt;0,SUM(F645:F650)&gt;0),IF(1/SUM(F645:F650)&lt;1000000,1/SUM(F645:F650),1000000),"")</f>
        <v/>
      </c>
      <c r="G651" s="83"/>
      <c r="H651" s="2101" t="str">
        <f>IF(AND(H$586&gt;0,SUM(H645:H650)&gt;0),IF(1/SUM(H645:H650)&lt;1000000,1/SUM(H645:H650),1000000),"")</f>
        <v/>
      </c>
      <c r="I651" s="83"/>
      <c r="J651" s="2101" t="str">
        <f>IF(AND(J$586&gt;0,SUM(J645:J650)&gt;0),IF(1/SUM(J645:J650)&lt;1000000,1/SUM(J645:J650),1000000),"")</f>
        <v/>
      </c>
      <c r="K651" s="83"/>
      <c r="L651" s="2101" t="str">
        <f>IF(AND(L$586&gt;0,SUM(L645:L650)&gt;0),IF(1/SUM(L645:L650)&lt;1000000,1/SUM(L645:L650),1000000),"")</f>
        <v/>
      </c>
      <c r="M651" s="83"/>
      <c r="N651" s="2101" t="str">
        <f>IF(AND(N$586&gt;0,SUM(N645:N650)&gt;0),IF(1/SUM(N645:N650)&lt;1000000,1/SUM(N645:N650),1000000),"")</f>
        <v/>
      </c>
      <c r="O651" s="83"/>
      <c r="P651" s="2101" t="str">
        <f>IF(AND(P$586&gt;0,SUM(P645:P650)&gt;0),IF(1/SUM(P645:P650)&lt;1000000,1/SUM(P645:P650),1000000),"")</f>
        <v/>
      </c>
      <c r="Q651" s="83"/>
      <c r="R651" s="2101" t="str">
        <f>IF(AND(R$586&gt;0,SUM(R645:R650)&gt;0),IF(1/SUM(R645:R650)&lt;1000000,1/SUM(R645:R650),1000000),"")</f>
        <v/>
      </c>
      <c r="S651" s="83"/>
      <c r="T651" s="2101" t="str">
        <f>IF(AND(T$586&gt;0,SUM(T645:T650)&gt;0),IF(1/SUM(T645:T650)&lt;1000000,1/SUM(T645:T650),1000000),"")</f>
        <v/>
      </c>
      <c r="U651" s="83"/>
      <c r="V651" s="2101" t="str">
        <f>IF(AND(V$586&gt;0,SUM(V645:V650)&gt;0),IF(1/SUM(V645:V650)&lt;1000000,1/SUM(V645:V650),1000000),"")</f>
        <v/>
      </c>
      <c r="W651" s="83"/>
      <c r="X651" s="2101" t="str">
        <f>IF(AND(X$586&gt;0,SUM(X645:X650)&gt;0),IF(1/SUM(X645:X650)&lt;1000000,1/SUM(X645:X650),1000000),"")</f>
        <v/>
      </c>
      <c r="Y651" s="83"/>
      <c r="Z651" s="85"/>
      <c r="AA651" s="83"/>
      <c r="AB651" s="81"/>
      <c r="AC651" s="512" t="str">
        <f>B624</f>
        <v/>
      </c>
      <c r="AD651" s="81"/>
      <c r="AE651" s="2091">
        <f>IF(AND(AE$616&gt;0,LFL_1&lt;&gt;""),AE$616/LFL_1,0)</f>
        <v>0</v>
      </c>
      <c r="AF651" s="81"/>
      <c r="AG651" s="2091">
        <f>IF(AND(AG$616&gt;0,LFL_1&lt;&gt;""),AG$616/LFL_1,0)</f>
        <v>0</v>
      </c>
      <c r="AH651" s="81"/>
      <c r="AI651" s="2091">
        <f>IF(AND(AI$616&gt;0,LFL_1&lt;&gt;""),AI$616/LFL_1,0)</f>
        <v>0</v>
      </c>
      <c r="AJ651" s="81"/>
      <c r="AK651" s="81"/>
      <c r="AL651" s="81"/>
      <c r="AM651" s="81"/>
      <c r="AN651" s="81"/>
      <c r="AO651" s="81"/>
      <c r="AP651" s="81"/>
      <c r="AQ651" s="84"/>
      <c r="AR651" s="81"/>
    </row>
    <row r="652" spans="1:44" ht="15" customHeight="1" x14ac:dyDescent="0.25">
      <c r="A652" s="2"/>
      <c r="B652" s="512" t="str">
        <f>IF(B17="","","Vapor Mole Fraction "&amp;B17&amp;" / Time-Scaled LC-1")</f>
        <v/>
      </c>
      <c r="C652" s="83"/>
      <c r="D652" s="2091">
        <f>IF(AND(D$589&gt;0,LC1_1&gt;0),D$589/(LC1_1/D$587^(1/Pn_1)),0)</f>
        <v>0</v>
      </c>
      <c r="E652" s="83"/>
      <c r="F652" s="2091">
        <f>IF(AND(F$589&gt;0,LC1_1&gt;0),F$589/(LC1_1/F$587^(1/Pn_1)),0)</f>
        <v>0</v>
      </c>
      <c r="G652" s="83"/>
      <c r="H652" s="2091">
        <f>IF(AND(H$589&gt;0,LC1_1&gt;0),H$589/(LC1_1/H$587^(1/Pn_1)),0)</f>
        <v>0</v>
      </c>
      <c r="I652" s="83"/>
      <c r="J652" s="2091">
        <f>IF(AND(J$589&gt;0,LC1_1&gt;0),J$589/(LC1_1/J$587^(1/Pn_1)),0)</f>
        <v>0</v>
      </c>
      <c r="K652" s="83"/>
      <c r="L652" s="2091">
        <f>IF(AND(L$589&gt;0,LC1_1&gt;0),L$589/(LC1_1/L$587^(1/Pn_1)),0)</f>
        <v>0</v>
      </c>
      <c r="M652" s="83"/>
      <c r="N652" s="2091">
        <f>IF(AND(N$589&gt;0,LC1_1&gt;0),N$589/(LC1_1/N$587^(1/Pn_1)),0)</f>
        <v>0</v>
      </c>
      <c r="O652" s="83"/>
      <c r="P652" s="2091">
        <f>IF(AND(P$589&gt;0,LC1_1&gt;0),P$589/(LC1_1/P$587^(1/Pn_1)),0)</f>
        <v>0</v>
      </c>
      <c r="Q652" s="83"/>
      <c r="R652" s="2091">
        <f>IF(AND(R$589&gt;0,LC1_1&gt;0),R$589/(LC1_1/R$587^(1/Pn_1)),0)</f>
        <v>0</v>
      </c>
      <c r="S652" s="83"/>
      <c r="T652" s="2091">
        <f>IF(AND(T$589&gt;0,LC1_1&gt;0),T$589/(LC1_1/T$587^(1/Pn_1)),0)</f>
        <v>0</v>
      </c>
      <c r="U652" s="83"/>
      <c r="V652" s="2091">
        <f>IF(AND(V$589&gt;0,LC1_1&gt;0),V$589/(LC1_1/V$587^(1/Pn_1)),0)</f>
        <v>0</v>
      </c>
      <c r="W652" s="83"/>
      <c r="X652" s="2091">
        <f>IF(AND(X$589&gt;0,LC1_1&gt;0),X$589/(LC1_1/X$587^(1/Pn_1)),0)</f>
        <v>0</v>
      </c>
      <c r="Y652" s="83"/>
      <c r="Z652" s="92"/>
      <c r="AA652" s="83"/>
      <c r="AB652" s="81"/>
      <c r="AC652" s="512" t="str">
        <f t="shared" ref="AC652:AC655" si="89">B625</f>
        <v/>
      </c>
      <c r="AD652" s="81"/>
      <c r="AE652" s="2091">
        <f>IF(AND(AE$617&gt;0,LFL_2&lt;&gt;""),AE$617/LFL_2,0)</f>
        <v>0</v>
      </c>
      <c r="AF652" s="81"/>
      <c r="AG652" s="2091">
        <f>IF(AND(AG$617&gt;0,LFL_2&lt;&gt;""),AG$617/LFL_2,0)</f>
        <v>0</v>
      </c>
      <c r="AH652" s="81"/>
      <c r="AI652" s="2091">
        <f>IF(AND(AI$617&gt;0,LFL_2&lt;&gt;""),AI$617/LFL_2,0)</f>
        <v>0</v>
      </c>
      <c r="AJ652" s="81"/>
      <c r="AK652" s="81"/>
      <c r="AL652" s="81"/>
      <c r="AM652" s="81"/>
      <c r="AN652" s="81"/>
      <c r="AO652" s="81"/>
      <c r="AP652" s="81"/>
      <c r="AQ652" s="23"/>
      <c r="AR652" s="81"/>
    </row>
    <row r="653" spans="1:44" ht="15" customHeight="1" x14ac:dyDescent="0.25">
      <c r="A653" s="2"/>
      <c r="B653" s="512" t="str">
        <f>IF(B18="","","Vapor Mole Fraction "&amp;B18&amp;" / Time-Scaled LC-1")</f>
        <v/>
      </c>
      <c r="C653" s="83"/>
      <c r="D653" s="2091">
        <f>IF(AND(D$590&gt;0,LC1_2&gt;0),D$590/(LC1_2/D$587^(1/Pn_2)),0)</f>
        <v>0</v>
      </c>
      <c r="E653" s="83"/>
      <c r="F653" s="2091">
        <f>IF(AND(F$590&gt;0,LC1_2&gt;0),F$590/(LC1_2/F$587^(1/Pn_2)),0)</f>
        <v>0</v>
      </c>
      <c r="G653" s="83"/>
      <c r="H653" s="2091">
        <f>IF(AND(H$590&gt;0,LC1_2&gt;0),H$590/(LC1_2/H$587^(1/Pn_2)),0)</f>
        <v>0</v>
      </c>
      <c r="I653" s="83"/>
      <c r="J653" s="2091">
        <f>IF(AND(J$590&gt;0,LC1_2&gt;0),J$590/(LC1_2/J$587^(1/Pn_2)),0)</f>
        <v>0</v>
      </c>
      <c r="K653" s="83"/>
      <c r="L653" s="2091">
        <f>IF(AND(L$590&gt;0,LC1_2&gt;0),L$590/(LC1_2/L$587^(1/Pn_2)),0)</f>
        <v>0</v>
      </c>
      <c r="M653" s="83"/>
      <c r="N653" s="2091">
        <f>IF(AND(N$590&gt;0,LC1_2&gt;0),N$590/(LC1_2/N$587^(1/Pn_2)),0)</f>
        <v>0</v>
      </c>
      <c r="O653" s="83"/>
      <c r="P653" s="2091">
        <f>IF(AND(P$590&gt;0,LC1_2&gt;0),P$590/(LC1_2/P$587^(1/Pn_2)),0)</f>
        <v>0</v>
      </c>
      <c r="Q653" s="83"/>
      <c r="R653" s="2091">
        <f>IF(AND(R$590&gt;0,LC1_2&gt;0),R$590/(LC1_2/R$587^(1/Pn_2)),0)</f>
        <v>0</v>
      </c>
      <c r="S653" s="83"/>
      <c r="T653" s="2091">
        <f>IF(AND(T$590&gt;0,LC1_2&gt;0),T$590/(LC1_2/T$587^(1/Pn_2)),0)</f>
        <v>0</v>
      </c>
      <c r="U653" s="83"/>
      <c r="V653" s="2091">
        <f>IF(AND(V$590&gt;0,LC1_2&gt;0),V$590/(LC1_2/V$587^(1/Pn_2)),0)</f>
        <v>0</v>
      </c>
      <c r="W653" s="83"/>
      <c r="X653" s="2091">
        <f>IF(AND(X$590&gt;0,LC1_2&gt;0),X$590/(LC1_2/X$587^(1/Pn_2)),0)</f>
        <v>0</v>
      </c>
      <c r="Y653" s="83"/>
      <c r="Z653" s="85"/>
      <c r="AA653" s="83"/>
      <c r="AB653" s="81"/>
      <c r="AC653" s="512" t="str">
        <f t="shared" si="89"/>
        <v/>
      </c>
      <c r="AD653" s="81"/>
      <c r="AE653" s="2091">
        <f>IF(AND(AE$618&gt;0,LFL_3&lt;&gt;""),AE$618/LFL_3,0)</f>
        <v>0</v>
      </c>
      <c r="AF653" s="81"/>
      <c r="AG653" s="2091">
        <f>IF(AND(AG$618&gt;0,LFL_3&lt;&gt;""),AG$618/LFL_3,0)</f>
        <v>0</v>
      </c>
      <c r="AH653" s="81"/>
      <c r="AI653" s="2091">
        <f>IF(AND(AI$618&gt;0,LFL_3&lt;&gt;""),AI$618/LFL_3,0)</f>
        <v>0</v>
      </c>
      <c r="AJ653" s="81"/>
      <c r="AK653" s="81"/>
      <c r="AL653" s="81"/>
      <c r="AM653" s="81"/>
      <c r="AN653" s="81"/>
      <c r="AO653" s="81"/>
      <c r="AP653" s="81"/>
      <c r="AQ653" s="23"/>
      <c r="AR653" s="81"/>
    </row>
    <row r="654" spans="1:44" ht="15" customHeight="1" x14ac:dyDescent="0.25">
      <c r="A654" s="2"/>
      <c r="B654" s="512" t="str">
        <f>IF(B19="","","Vapor Mole Fraction "&amp;B19&amp;" / Time-Scaled LC-1")</f>
        <v/>
      </c>
      <c r="C654" s="83"/>
      <c r="D654" s="2091">
        <f>IF(AND(D$591&gt;0,LC1_3&gt;0),D$591/(LC1_3/D$587^(1/Pn_3)),0)</f>
        <v>0</v>
      </c>
      <c r="E654" s="83"/>
      <c r="F654" s="2091">
        <f>IF(AND(F$591&gt;0,LC1_3&gt;0),F$591/(LC1_3/F$587^(1/Pn_3)),0)</f>
        <v>0</v>
      </c>
      <c r="G654" s="83"/>
      <c r="H654" s="2091">
        <f>IF(AND(H$591&gt;0,LC1_3&gt;0),H$591/(LC1_3/H$587^(1/Pn_3)),0)</f>
        <v>0</v>
      </c>
      <c r="I654" s="83"/>
      <c r="J654" s="2091">
        <f>IF(AND(J$591&gt;0,LC1_3&gt;0),J$591/(LC1_3/J$587^(1/Pn_3)),0)</f>
        <v>0</v>
      </c>
      <c r="K654" s="83"/>
      <c r="L654" s="2091">
        <f>IF(AND(L$591&gt;0,LC1_3&gt;0),L$591/(LC1_3/L$587^(1/Pn_3)),0)</f>
        <v>0</v>
      </c>
      <c r="M654" s="83"/>
      <c r="N654" s="2091">
        <f>IF(AND(N$591&gt;0,LC1_3&gt;0),N$591/(LC1_3/N$587^(1/Pn_3)),0)</f>
        <v>0</v>
      </c>
      <c r="O654" s="83"/>
      <c r="P654" s="2091">
        <f>IF(AND(P$591&gt;0,LC1_3&gt;0),P$591/(LC1_3/P$587^(1/Pn_3)),0)</f>
        <v>0</v>
      </c>
      <c r="Q654" s="83"/>
      <c r="R654" s="2091">
        <f>IF(AND(R$591&gt;0,LC1_3&gt;0),R$591/(LC1_3/R$587^(1/Pn_3)),0)</f>
        <v>0</v>
      </c>
      <c r="S654" s="83"/>
      <c r="T654" s="2091">
        <f>IF(AND(T$591&gt;0,LC1_3&gt;0),T$591/(LC1_3/T$587^(1/Pn_3)),0)</f>
        <v>0</v>
      </c>
      <c r="U654" s="83"/>
      <c r="V654" s="2091">
        <f>IF(AND(V$591&gt;0,LC1_3&gt;0),V$591/(LC1_3/V$587^(1/Pn_3)),0)</f>
        <v>0</v>
      </c>
      <c r="W654" s="83"/>
      <c r="X654" s="2091">
        <f>IF(AND(X$591&gt;0,LC1_3&gt;0),X$591/(LC1_3/X$587^(1/Pn_3)),0)</f>
        <v>0</v>
      </c>
      <c r="Y654" s="83"/>
      <c r="Z654" s="85"/>
      <c r="AA654" s="83"/>
      <c r="AB654" s="81"/>
      <c r="AC654" s="512" t="str">
        <f t="shared" si="89"/>
        <v/>
      </c>
      <c r="AD654" s="81"/>
      <c r="AE654" s="2091">
        <f>IF(AND(AE$619&gt;0,LFL_4&lt;&gt;""),AE$619/LFL_4,0)</f>
        <v>0</v>
      </c>
      <c r="AF654" s="81"/>
      <c r="AG654" s="2091">
        <f>IF(AND(AG$619&gt;0,LFL_4&lt;&gt;""),AG$619/LFL_4,0)</f>
        <v>0</v>
      </c>
      <c r="AH654" s="81"/>
      <c r="AI654" s="2091">
        <f>IF(AND(AI$619&gt;0,LFL_4&lt;&gt;""),AI$619/LFL_4,0)</f>
        <v>0</v>
      </c>
      <c r="AJ654" s="81"/>
      <c r="AK654" s="81"/>
      <c r="AL654" s="81"/>
      <c r="AM654" s="81"/>
      <c r="AN654" s="81"/>
      <c r="AO654" s="81"/>
      <c r="AP654" s="81"/>
      <c r="AQ654" s="23"/>
      <c r="AR654" s="81"/>
    </row>
    <row r="655" spans="1:44" ht="15" customHeight="1" x14ac:dyDescent="0.25">
      <c r="A655" s="2"/>
      <c r="B655" s="512" t="str">
        <f>IF(B20="","","Vapor Mole Fraction "&amp;B20&amp;" / Time-Scaled LC-1")</f>
        <v/>
      </c>
      <c r="C655" s="83"/>
      <c r="D655" s="2091">
        <f>IF(AND(D$592&gt;0,LC1_4&gt;0),D$592/(LC1_4/D$587^(1/Pn_4)),0)</f>
        <v>0</v>
      </c>
      <c r="E655" s="83"/>
      <c r="F655" s="2091">
        <f>IF(AND(F$592&gt;0,LC1_4&gt;0),F$592/(LC1_4/F$587^(1/Pn_4)),0)</f>
        <v>0</v>
      </c>
      <c r="G655" s="83"/>
      <c r="H655" s="2091">
        <f>IF(AND(H$592&gt;0,LC1_4&gt;0),H$592/(LC1_4/H$587^(1/Pn_4)),0)</f>
        <v>0</v>
      </c>
      <c r="I655" s="83"/>
      <c r="J655" s="2091">
        <f>IF(AND(J$592&gt;0,LC1_4&gt;0),J$592/(LC1_4/J$587^(1/Pn_4)),0)</f>
        <v>0</v>
      </c>
      <c r="K655" s="83"/>
      <c r="L655" s="2091">
        <f>IF(AND(L$592&gt;0,LC1_4&gt;0),L$592/(LC1_4/L$587^(1/Pn_4)),0)</f>
        <v>0</v>
      </c>
      <c r="M655" s="83"/>
      <c r="N655" s="2091">
        <f>IF(AND(N$592&gt;0,LC1_4&gt;0),N$592/(LC1_4/N$587^(1/Pn_4)),0)</f>
        <v>0</v>
      </c>
      <c r="O655" s="83"/>
      <c r="P655" s="2091">
        <f>IF(AND(P$592&gt;0,LC1_4&gt;0),P$592/(LC1_4/P$587^(1/Pn_4)),0)</f>
        <v>0</v>
      </c>
      <c r="Q655" s="83"/>
      <c r="R655" s="2091">
        <f>IF(AND(R$592&gt;0,LC1_4&gt;0),R$592/(LC1_4/R$587^(1/Pn_4)),0)</f>
        <v>0</v>
      </c>
      <c r="S655" s="83"/>
      <c r="T655" s="2091">
        <f>IF(AND(T$592&gt;0,LC1_4&gt;0),T$592/(LC1_4/T$587^(1/Pn_4)),0)</f>
        <v>0</v>
      </c>
      <c r="U655" s="83"/>
      <c r="V655" s="2091">
        <f>IF(AND(V$592&gt;0,LC1_4&gt;0),V$592/(LC1_4/V$587^(1/Pn_4)),0)</f>
        <v>0</v>
      </c>
      <c r="W655" s="83"/>
      <c r="X655" s="2091">
        <f>IF(AND(X$592&gt;0,LC1_4&gt;0),X$592/(LC1_4/X$587^(1/Pn_4)),0)</f>
        <v>0</v>
      </c>
      <c r="Y655" s="83"/>
      <c r="Z655" s="85"/>
      <c r="AA655" s="83"/>
      <c r="AB655" s="81"/>
      <c r="AC655" s="512" t="str">
        <f t="shared" si="89"/>
        <v/>
      </c>
      <c r="AD655" s="81"/>
      <c r="AE655" s="2091">
        <f>IF(AND(AE$620&gt;0,LFL_5&lt;&gt;""),AE$620/LFL_5,0)</f>
        <v>0</v>
      </c>
      <c r="AF655" s="81"/>
      <c r="AG655" s="2091">
        <f>IF(AND(AG$620&gt;0,LFL_5&lt;&gt;""),AG$620/LFL_5,0)</f>
        <v>0</v>
      </c>
      <c r="AH655" s="81"/>
      <c r="AI655" s="2091">
        <f>IF(AND(AI$620&gt;0,LFL_5&lt;&gt;""),AI$620/LFL_5,0)</f>
        <v>0</v>
      </c>
      <c r="AJ655" s="81"/>
      <c r="AK655" s="81"/>
      <c r="AL655" s="81"/>
      <c r="AM655" s="81"/>
      <c r="AN655" s="81"/>
      <c r="AO655" s="81"/>
      <c r="AP655" s="81"/>
      <c r="AQ655" s="23"/>
      <c r="AR655" s="81"/>
    </row>
    <row r="656" spans="1:44" ht="15" customHeight="1" thickBot="1" x14ac:dyDescent="0.3">
      <c r="A656" s="2"/>
      <c r="B656" s="512" t="str">
        <f>IF(B21="","","Vapor Mole Fraction "&amp;B21&amp;" / Time-Scaled LC-1")</f>
        <v/>
      </c>
      <c r="C656" s="83"/>
      <c r="D656" s="2091">
        <f>IF(AND(D$593&gt;0,LC1_5&gt;0),D$593/(LC1_5/D$587^(1/Pn_5)),0)</f>
        <v>0</v>
      </c>
      <c r="E656" s="83"/>
      <c r="F656" s="2091">
        <f>IF(AND(F$593&gt;0,LC1_5&gt;0),F$593/(LC1_5/F$587^(1/Pn_5)),0)</f>
        <v>0</v>
      </c>
      <c r="G656" s="83"/>
      <c r="H656" s="2091">
        <f>IF(AND(H$593&gt;0,LC1_5&gt;0),H$593/(LC1_5/H$587^(1/Pn_5)),0)</f>
        <v>0</v>
      </c>
      <c r="I656" s="83"/>
      <c r="J656" s="2091">
        <f>IF(AND(J$593&gt;0,LC1_5&gt;0),J$593/(LC1_5/J$587^(1/Pn_5)),0)</f>
        <v>0</v>
      </c>
      <c r="K656" s="83"/>
      <c r="L656" s="2091">
        <f>IF(AND(L$593&gt;0,LC1_5&gt;0),L$593/(LC1_5/L$587^(1/Pn_5)),0)</f>
        <v>0</v>
      </c>
      <c r="M656" s="83"/>
      <c r="N656" s="2091">
        <f>IF(AND(N$593&gt;0,LC1_5&gt;0),N$593/(LC1_5/N$587^(1/Pn_5)),0)</f>
        <v>0</v>
      </c>
      <c r="O656" s="83"/>
      <c r="P656" s="2091">
        <f>IF(AND(P$593&gt;0,LC1_5&gt;0),P$593/(LC1_5/P$587^(1/Pn_5)),0)</f>
        <v>0</v>
      </c>
      <c r="Q656" s="83"/>
      <c r="R656" s="2091">
        <f>IF(AND(R$593&gt;0,LC1_5&gt;0),R$593/(LC1_5/R$587^(1/Pn_5)),0)</f>
        <v>0</v>
      </c>
      <c r="S656" s="83"/>
      <c r="T656" s="2091">
        <f>IF(AND(T$593&gt;0,LC1_5&gt;0),T$593/(LC1_5/T$587^(1/Pn_5)),0)</f>
        <v>0</v>
      </c>
      <c r="U656" s="83"/>
      <c r="V656" s="2091">
        <f>IF(AND(V$593&gt;0,LC1_5&gt;0),V$593/(LC1_5/V$587^(1/Pn_5)),0)</f>
        <v>0</v>
      </c>
      <c r="W656" s="83"/>
      <c r="X656" s="2091">
        <f>IF(AND(X$593&gt;0,LC1_5&gt;0),X$593/(LC1_5/X$587^(1/Pn_5)),0)</f>
        <v>0</v>
      </c>
      <c r="Y656" s="83"/>
      <c r="Z656" s="85"/>
      <c r="AA656" s="83"/>
      <c r="AB656" s="81"/>
      <c r="AC656" s="615" t="s">
        <v>5135</v>
      </c>
      <c r="AD656" s="81"/>
      <c r="AE656" s="1820">
        <f>IF(AND(AE$621&gt;0,Pad_LFL&lt;&gt;""),AE$621/Pad_LFL,0)</f>
        <v>0</v>
      </c>
      <c r="AF656" s="81"/>
      <c r="AG656" s="1820">
        <f>IF(AND(AG$621&gt;0,Pad_LFL&lt;&gt;""),AG$621/Pad_LFL,0)</f>
        <v>0</v>
      </c>
      <c r="AH656" s="81"/>
      <c r="AI656" s="1820">
        <f>IF(AND(AI$621&gt;0,Pad_LFL&lt;&gt;""),AI$621/Pad_LFL,0)</f>
        <v>0</v>
      </c>
      <c r="AJ656" s="81"/>
      <c r="AK656" s="81"/>
      <c r="AL656" s="81"/>
      <c r="AM656" s="81"/>
      <c r="AN656" s="81"/>
      <c r="AO656" s="81"/>
      <c r="AP656" s="81"/>
      <c r="AQ656" s="91"/>
      <c r="AR656" s="81"/>
    </row>
    <row r="657" spans="1:44" ht="15" customHeight="1" thickBot="1" x14ac:dyDescent="0.3">
      <c r="A657" s="2"/>
      <c r="B657" s="512" t="s">
        <v>5138</v>
      </c>
      <c r="C657" s="83"/>
      <c r="D657" s="2091">
        <f>IF(AND(D$594&gt;0,LC1Pad&gt;0),D$594/(LC1Pad/D$587^(1/PnPad)),0)</f>
        <v>0</v>
      </c>
      <c r="E657" s="83"/>
      <c r="F657" s="2091">
        <f>IF(AND(F$594&gt;0,LC1Pad&gt;0),F$594/(LC1Pad/F$587^(1/PnPad)),0)</f>
        <v>0</v>
      </c>
      <c r="G657" s="83"/>
      <c r="H657" s="2091">
        <f>IF(AND(H$594&gt;0,LC1Pad&gt;0),H$594/(LC1Pad/H$587^(1/PnPad)),0)</f>
        <v>0</v>
      </c>
      <c r="I657" s="83"/>
      <c r="J657" s="2091">
        <f>IF(AND(J$594&gt;0,LC1Pad&gt;0),J$594/(LC1Pad/J$587^(1/PnPad)),0)</f>
        <v>0</v>
      </c>
      <c r="K657" s="83"/>
      <c r="L657" s="2091">
        <f>IF(AND(L$594&gt;0,LC1Pad&gt;0),L$594/(LC1Pad/L$587^(1/PnPad)),0)</f>
        <v>0</v>
      </c>
      <c r="M657" s="83"/>
      <c r="N657" s="2091">
        <f>IF(AND(N$594&gt;0,LC1Pad&gt;0),N$594/(LC1Pad/N$587^(1/PnPad)),0)</f>
        <v>0</v>
      </c>
      <c r="O657" s="83"/>
      <c r="P657" s="2091">
        <f>IF(AND(P$594&gt;0,LC1Pad&gt;0),P$594/(LC1Pad/P$587^(1/PnPad)),0)</f>
        <v>0</v>
      </c>
      <c r="Q657" s="83"/>
      <c r="R657" s="2091">
        <f>IF(AND(R$594&gt;0,LC1Pad&gt;0),R$594/(LC1Pad/R$587^(1/PnPad)),0)</f>
        <v>0</v>
      </c>
      <c r="S657" s="83"/>
      <c r="T657" s="2091">
        <f>IF(AND(T$594&gt;0,LC1Pad&gt;0),T$594/(LC1Pad/T$587^(1/PnPad)),0)</f>
        <v>0</v>
      </c>
      <c r="U657" s="83"/>
      <c r="V657" s="2091">
        <f>IF(AND(V$594&gt;0,LC1Pad&gt;0),V$594/(LC1Pad/V$587^(1/PnPad)),0)</f>
        <v>0</v>
      </c>
      <c r="W657" s="83"/>
      <c r="X657" s="2091">
        <f>IF(AND(X$594&gt;0,LC1Pad&gt;0),X$594/(LC1Pad/X$587^(1/PnPad)),0)</f>
        <v>0</v>
      </c>
      <c r="Y657" s="83"/>
      <c r="Z657" s="25"/>
      <c r="AA657" s="83"/>
      <c r="AB657" s="81"/>
      <c r="AC657" s="92" t="s">
        <v>2211</v>
      </c>
      <c r="AD657" s="81"/>
      <c r="AE657" s="3008" t="str">
        <f>IF(SUM(AE651:AE656)&gt;0,IF(1/SUM(AE651:AE656)&lt;100,1/SUM(AE651:AE656),""),"")</f>
        <v/>
      </c>
      <c r="AF657" s="81"/>
      <c r="AG657" s="3008" t="str">
        <f>IF(SUM(AG651:AG656)&gt;0,IF(1/SUM(AG651:AG656)&lt;100,1/SUM(AG651:AG656),""),"")</f>
        <v/>
      </c>
      <c r="AH657" s="81"/>
      <c r="AI657" s="3008" t="str">
        <f>IF(SUM(AI651:AI656)&gt;0,IF(1/SUM(AI651:AI656)&lt;100,1/SUM(AI651:AI656),""),"")</f>
        <v/>
      </c>
      <c r="AJ657" s="81"/>
      <c r="AK657" s="81"/>
      <c r="AL657" s="81"/>
      <c r="AM657" s="81"/>
      <c r="AN657" s="81"/>
      <c r="AO657" s="81"/>
      <c r="AP657" s="81"/>
      <c r="AQ657" s="25" t="s">
        <v>1021</v>
      </c>
      <c r="AR657" s="81"/>
    </row>
    <row r="658" spans="1:44" ht="15" customHeight="1" thickBot="1" x14ac:dyDescent="0.3">
      <c r="A658" s="2"/>
      <c r="B658" s="119" t="s">
        <v>3702</v>
      </c>
      <c r="C658" s="83"/>
      <c r="D658" s="2101" t="str">
        <f>IF(AND(D$586&gt;0,SUM(D652:D657)&gt;0),IF(1/SUM(D652:D657)&lt;1000000,1/SUM(D652:D657),1000000),"")</f>
        <v/>
      </c>
      <c r="E658" s="83"/>
      <c r="F658" s="2101" t="str">
        <f>IF(AND(F$586&gt;0,SUM(F652:F657)&gt;0),IF(1/SUM(F652:F657)&lt;1000000,1/SUM(F652:F657),1000000),"")</f>
        <v/>
      </c>
      <c r="G658" s="83"/>
      <c r="H658" s="2101" t="str">
        <f>IF(AND(H$586&gt;0,SUM(H652:H657)&gt;0),IF(1/SUM(H652:H657)&lt;1000000,1/SUM(H652:H657),1000000),"")</f>
        <v/>
      </c>
      <c r="I658" s="83"/>
      <c r="J658" s="2101" t="str">
        <f>IF(AND(J$586&gt;0,SUM(J652:J657)&gt;0),IF(1/SUM(J652:J657)&lt;1000000,1/SUM(J652:J657),1000000),"")</f>
        <v/>
      </c>
      <c r="K658" s="83"/>
      <c r="L658" s="2101" t="str">
        <f>IF(AND(L$586&gt;0,SUM(L652:L657)&gt;0),IF(1/SUM(L652:L657)&lt;1000000,1/SUM(L652:L657),1000000),"")</f>
        <v/>
      </c>
      <c r="M658" s="83"/>
      <c r="N658" s="2101" t="str">
        <f>IF(AND(N$586&gt;0,SUM(N652:N657)&gt;0),IF(1/SUM(N652:N657)&lt;1000000,1/SUM(N652:N657),1000000),"")</f>
        <v/>
      </c>
      <c r="O658" s="83"/>
      <c r="P658" s="2101" t="str">
        <f>IF(AND(P$586&gt;0,SUM(P652:P657)&gt;0),IF(1/SUM(P652:P657)&lt;1000000,1/SUM(P652:P657),1000000),"")</f>
        <v/>
      </c>
      <c r="Q658" s="83"/>
      <c r="R658" s="2101" t="str">
        <f>IF(AND(R$586&gt;0,SUM(R652:R657)&gt;0),IF(1/SUM(R652:R657)&lt;1000000,1/SUM(R652:R657),1000000),"")</f>
        <v/>
      </c>
      <c r="S658" s="83"/>
      <c r="T658" s="2101" t="str">
        <f>IF(AND(T$586&gt;0,SUM(T652:T657)&gt;0),IF(1/SUM(T652:T657)&lt;1000000,1/SUM(T652:T657),1000000),"")</f>
        <v/>
      </c>
      <c r="U658" s="83"/>
      <c r="V658" s="2101" t="str">
        <f>IF(AND(V$586&gt;0,SUM(V652:V657)&gt;0),IF(1/SUM(V652:V657)&lt;1000000,1/SUM(V652:V657),1000000),"")</f>
        <v/>
      </c>
      <c r="W658" s="83"/>
      <c r="X658" s="2101" t="str">
        <f>IF(AND(X$586&gt;0,SUM(X652:X657)&gt;0),IF(1/SUM(X652:X657)&lt;1000000,1/SUM(X652:X657),1000000),"")</f>
        <v/>
      </c>
      <c r="Y658" s="83"/>
      <c r="Z658" s="119" t="s">
        <v>1506</v>
      </c>
      <c r="AA658" s="83"/>
      <c r="AB658" s="81"/>
      <c r="AC658" s="614" t="str">
        <f>B631</f>
        <v/>
      </c>
      <c r="AD658" s="81"/>
      <c r="AE658" s="2091">
        <f>IF(AND(AE$616&gt;0,LC1_1&gt;0),AE$616/(LC1_1),0)</f>
        <v>0</v>
      </c>
      <c r="AF658" s="81"/>
      <c r="AG658" s="2091">
        <f>IF(AND(AG$616&gt;0,LC1_1&gt;0),AG$616/(LC1_1),0)</f>
        <v>0</v>
      </c>
      <c r="AH658" s="81"/>
      <c r="AI658" s="2091">
        <f>IF(AND(AI$616&gt;0,LC1_1&gt;0),AI$616/(LC1_1),0)</f>
        <v>0</v>
      </c>
      <c r="AJ658" s="81"/>
      <c r="AK658" s="81"/>
      <c r="AL658" s="81"/>
      <c r="AM658" s="81"/>
      <c r="AN658" s="81"/>
      <c r="AO658" s="81"/>
      <c r="AP658" s="81"/>
      <c r="AQ658" s="84"/>
      <c r="AR658" s="81"/>
    </row>
    <row r="659" spans="1:44" ht="15" customHeight="1" x14ac:dyDescent="0.25">
      <c r="A659" s="2"/>
      <c r="B659" s="92" t="s">
        <v>3821</v>
      </c>
      <c r="C659" s="83"/>
      <c r="D659" s="2100">
        <f>IF(D644&lt;&gt;"",IF(D637/D644=1,0,LN(0.01)-LN(0.02)/(1-(D637/D644)^(2*IF(D532="Instantaneous",D530,D504)))),0)</f>
        <v>0</v>
      </c>
      <c r="E659" s="83"/>
      <c r="F659" s="2100">
        <f>IF(F644&lt;&gt;"",IF(F637/F644=1,0,LN(0.01)-LN(0.02)/(1-(F637/F644)^(2*IF(F532="Instantaneous",F530,F504)))),0)</f>
        <v>0</v>
      </c>
      <c r="G659" s="83"/>
      <c r="H659" s="2100">
        <f>IF(H644&lt;&gt;"",IF(H637/H644=1,0,LN(0.01)-LN(0.02)/(1-(H637/H644)^(2*IF(H532="Instantaneous",H530,H504)))),0)</f>
        <v>0</v>
      </c>
      <c r="I659" s="83"/>
      <c r="J659" s="2100">
        <f>IF(J644&lt;&gt;"",IF(J637/J644=1,0,LN(0.01)-LN(0.02)/(1-(J637/J644)^(2*IF(J532="Instantaneous",J530,J504)))),0)</f>
        <v>0</v>
      </c>
      <c r="K659" s="83"/>
      <c r="L659" s="2100">
        <f>IF(L644&lt;&gt;"",IF(L637/L644=1,0,LN(0.01)-LN(0.02)/(1-(L637/L644)^(2*IF(L532="Instantaneous",L530,L504)))),0)</f>
        <v>0</v>
      </c>
      <c r="M659" s="83"/>
      <c r="N659" s="2100">
        <f>IF(N644&lt;&gt;"",IF(N637/N644=1,0,LN(0.01)-LN(0.02)/(1-(N637/N644)^(2*IF(N532="Instantaneous",N530,N504)))),0)</f>
        <v>0</v>
      </c>
      <c r="O659" s="83"/>
      <c r="P659" s="2100">
        <f>IF(P644&lt;&gt;"",IF(P637/P644=1,0,LN(0.01)-LN(0.02)/(1-(P637/P644)^(2*IF(P532="Instantaneous",P530,P504)))),0)</f>
        <v>0</v>
      </c>
      <c r="Q659" s="83"/>
      <c r="R659" s="2100">
        <f>IF(R644&lt;&gt;"",IF(R637/R644=1,0,LN(0.01)-LN(0.02)/(1-(R637/R644)^(2*IF(R532="Instantaneous",R530,R504)))),0)</f>
        <v>0</v>
      </c>
      <c r="S659" s="83"/>
      <c r="T659" s="2100">
        <f>IF(T644&lt;&gt;"",IF(T637/T644=1,0,LN(0.01)-LN(0.02)/(1-(T637/T644)^(2*IF(T532="Instantaneous",T530,T504)))),0)</f>
        <v>0</v>
      </c>
      <c r="U659" s="83"/>
      <c r="V659" s="2100">
        <f>IF(V644&lt;&gt;"",IF(V637/V644=1,0,LN(0.01)-LN(0.02)/(1-(V637/V644)^(2*IF(V532="Instantaneous",V530,V504)))),0)</f>
        <v>0</v>
      </c>
      <c r="W659" s="83"/>
      <c r="X659" s="2100">
        <f>IF(X644&lt;&gt;"",IF(X637/X644=1,0,LN(0.01)-LN(0.02)/(1-(X637/X644)^(2*IF(X532="Instantaneous",X530,X504)))),0)</f>
        <v>0</v>
      </c>
      <c r="Y659" s="83"/>
      <c r="Z659" s="85"/>
      <c r="AA659" s="83"/>
      <c r="AB659" s="81"/>
      <c r="AC659" s="512" t="str">
        <f t="shared" ref="AC659:AC662" si="90">B632</f>
        <v/>
      </c>
      <c r="AD659" s="81"/>
      <c r="AE659" s="2091">
        <f>IF(AND(AE$617&gt;0,LC1_2&gt;0),AE$617/(LC1_2),0)</f>
        <v>0</v>
      </c>
      <c r="AF659" s="81"/>
      <c r="AG659" s="2091">
        <f>IF(AND(AG$617&gt;0,LC1_2&gt;0),AG$617/(LC1_2),0)</f>
        <v>0</v>
      </c>
      <c r="AH659" s="81"/>
      <c r="AI659" s="2091">
        <f>IF(AND(AI$617&gt;0,LC1_2&gt;0),AI$617/(LC1_2),0)</f>
        <v>0</v>
      </c>
      <c r="AJ659" s="81"/>
      <c r="AK659" s="81"/>
      <c r="AL659" s="81"/>
      <c r="AM659" s="81"/>
      <c r="AN659" s="81"/>
      <c r="AO659" s="81"/>
      <c r="AP659" s="81"/>
      <c r="AQ659" s="23"/>
      <c r="AR659" s="81"/>
    </row>
    <row r="660" spans="1:44" ht="15" customHeight="1" x14ac:dyDescent="0.25">
      <c r="A660" s="2"/>
      <c r="B660" s="85" t="s">
        <v>3822</v>
      </c>
      <c r="C660" s="83"/>
      <c r="D660" s="2101">
        <f>IF(D637&lt;&gt;"",(LN(0.01)-D659)*D637^(2*IF(D532="Instantaneous",D530,D504)),0)</f>
        <v>0</v>
      </c>
      <c r="E660" s="83"/>
      <c r="F660" s="2101">
        <f>IF(F637&lt;&gt;"",(LN(0.01)-F659)*F637^(2*IF(F532="Instantaneous",F530,F504)),0)</f>
        <v>0</v>
      </c>
      <c r="G660" s="83"/>
      <c r="H660" s="2101">
        <f>IF(H637&lt;&gt;"",(LN(0.01)-H659)*H637^(2*IF(H532="Instantaneous",H530,H504)),0)</f>
        <v>0</v>
      </c>
      <c r="I660" s="83"/>
      <c r="J660" s="2101">
        <f>IF(J637&lt;&gt;"",(LN(0.01)-J659)*J637^(2*IF(J532="Instantaneous",J530,J504)),0)</f>
        <v>0</v>
      </c>
      <c r="K660" s="83"/>
      <c r="L660" s="2101">
        <f>IF(L637&lt;&gt;"",(LN(0.01)-L659)*L637^(2*IF(L532="Instantaneous",L530,L504)),0)</f>
        <v>0</v>
      </c>
      <c r="M660" s="83"/>
      <c r="N660" s="2101">
        <f>IF(N637&lt;&gt;"",(LN(0.01)-N659)*N637^(2*IF(N532="Instantaneous",N530,N504)),0)</f>
        <v>0</v>
      </c>
      <c r="O660" s="83"/>
      <c r="P660" s="2101">
        <f>IF(P637&lt;&gt;"",(LN(0.01)-P659)*P637^(2*IF(P532="Instantaneous",P530,P504)),0)</f>
        <v>0</v>
      </c>
      <c r="Q660" s="83"/>
      <c r="R660" s="2101">
        <f>IF(R637&lt;&gt;"",(LN(0.01)-R659)*R637^(2*IF(R532="Instantaneous",R530,R504)),0)</f>
        <v>0</v>
      </c>
      <c r="S660" s="83"/>
      <c r="T660" s="2101">
        <f>IF(T637&lt;&gt;"",(LN(0.01)-T659)*T637^(2*IF(T532="Instantaneous",T530,T504)),0)</f>
        <v>0</v>
      </c>
      <c r="U660" s="83"/>
      <c r="V660" s="2101">
        <f>IF(V637&lt;&gt;"",(LN(0.01)-V659)*V637^(2*IF(V532="Instantaneous",V530,V504)),0)</f>
        <v>0</v>
      </c>
      <c r="W660" s="83"/>
      <c r="X660" s="2101">
        <f>IF(X637&lt;&gt;"",(LN(0.01)-X659)*X637^(2*IF(X532="Instantaneous",X530,X504)),0)</f>
        <v>0</v>
      </c>
      <c r="Y660" s="83"/>
      <c r="Z660" s="85"/>
      <c r="AA660" s="83"/>
      <c r="AB660" s="81"/>
      <c r="AC660" s="512" t="str">
        <f t="shared" si="90"/>
        <v/>
      </c>
      <c r="AD660" s="81"/>
      <c r="AE660" s="2091">
        <f>IF(AND(AE$618&gt;0,LC1_3&gt;0),AE$618/(LC1_3),0)</f>
        <v>0</v>
      </c>
      <c r="AF660" s="81"/>
      <c r="AG660" s="2091">
        <f>IF(AND(AG$618&gt;0,LC1_3&gt;0),AG$618/(LC1_3),0)</f>
        <v>0</v>
      </c>
      <c r="AH660" s="81"/>
      <c r="AI660" s="2091">
        <f>IF(AND(AI$618&gt;0,LC1_3&gt;0),AI$618/(LC1_3),0)</f>
        <v>0</v>
      </c>
      <c r="AJ660" s="81"/>
      <c r="AK660" s="81"/>
      <c r="AL660" s="81"/>
      <c r="AM660" s="81"/>
      <c r="AN660" s="81"/>
      <c r="AO660" s="81"/>
      <c r="AP660" s="81"/>
      <c r="AQ660" s="23"/>
      <c r="AR660" s="81"/>
    </row>
    <row r="661" spans="1:44" ht="15" customHeight="1" x14ac:dyDescent="0.25">
      <c r="A661" s="2"/>
      <c r="B661" s="85" t="s">
        <v>3808</v>
      </c>
      <c r="C661" s="83"/>
      <c r="D661" s="2101">
        <f>IF(D651&lt;&gt;"",(LN(0.01)-D659)*D651^(2*IF(D532="Instantaneous",D530,D504)),0)</f>
        <v>0</v>
      </c>
      <c r="E661" s="83"/>
      <c r="F661" s="2101">
        <f>IF(F651&lt;&gt;"",(LN(0.01)-F659)*F651^(2*IF(F532="Instantaneous",F530,F504)),0)</f>
        <v>0</v>
      </c>
      <c r="G661" s="83"/>
      <c r="H661" s="2101">
        <f>IF(H651&lt;&gt;"",(LN(0.01)-H659)*H651^(2*IF(H532="Instantaneous",H530,H504)),0)</f>
        <v>0</v>
      </c>
      <c r="I661" s="83"/>
      <c r="J661" s="2101">
        <f>IF(J651&lt;&gt;"",(LN(0.01)-J659)*J651^(2*IF(J532="Instantaneous",J530,J504)),0)</f>
        <v>0</v>
      </c>
      <c r="K661" s="83"/>
      <c r="L661" s="2101">
        <f>IF(L651&lt;&gt;"",(LN(0.01)-L659)*L651^(2*IF(L532="Instantaneous",L530,L504)),0)</f>
        <v>0</v>
      </c>
      <c r="M661" s="83"/>
      <c r="N661" s="2101">
        <f>IF(N651&lt;&gt;"",(LN(0.01)-N659)*N651^(2*IF(N532="Instantaneous",N530,N504)),0)</f>
        <v>0</v>
      </c>
      <c r="O661" s="83"/>
      <c r="P661" s="2101">
        <f>IF(P651&lt;&gt;"",(LN(0.01)-P659)*P651^(2*IF(P532="Instantaneous",P530,P504)),0)</f>
        <v>0</v>
      </c>
      <c r="Q661" s="83"/>
      <c r="R661" s="2101">
        <f>IF(R651&lt;&gt;"",(LN(0.01)-R659)*R651^(2*IF(R532="Instantaneous",R530,R504)),0)</f>
        <v>0</v>
      </c>
      <c r="S661" s="83"/>
      <c r="T661" s="2101">
        <f>IF(T651&lt;&gt;"",(LN(0.01)-T659)*T651^(2*IF(T532="Instantaneous",T530,T504)),0)</f>
        <v>0</v>
      </c>
      <c r="U661" s="83"/>
      <c r="V661" s="2101">
        <f>IF(V651&lt;&gt;"",(LN(0.01)-V659)*V651^(2*IF(V532="Instantaneous",V530,V504)),0)</f>
        <v>0</v>
      </c>
      <c r="W661" s="83"/>
      <c r="X661" s="2101">
        <f>IF(X651&lt;&gt;"",(LN(0.01)-X659)*X651^(2*IF(X532="Instantaneous",X530,X504)),0)</f>
        <v>0</v>
      </c>
      <c r="Y661" s="83"/>
      <c r="Z661" s="85"/>
      <c r="AA661" s="83"/>
      <c r="AB661" s="81"/>
      <c r="AC661" s="512" t="str">
        <f t="shared" si="90"/>
        <v/>
      </c>
      <c r="AD661" s="81"/>
      <c r="AE661" s="2091">
        <f>IF(AND(AE$619&gt;0,LC1_4&gt;0),AE$619/(LC1_4),0)</f>
        <v>0</v>
      </c>
      <c r="AF661" s="81"/>
      <c r="AG661" s="2091">
        <f>IF(AND(AG$619&gt;0,LC1_4&gt;0),AG$619/(LC1_4),0)</f>
        <v>0</v>
      </c>
      <c r="AH661" s="81"/>
      <c r="AI661" s="2091">
        <f>IF(AND(AI$619&gt;0,LC1_4&gt;0),AI$619/(LC1_4),0)</f>
        <v>0</v>
      </c>
      <c r="AJ661" s="81"/>
      <c r="AK661" s="81"/>
      <c r="AL661" s="81"/>
      <c r="AM661" s="81"/>
      <c r="AN661" s="81"/>
      <c r="AO661" s="81"/>
      <c r="AP661" s="81"/>
      <c r="AQ661" s="23"/>
      <c r="AR661" s="81"/>
    </row>
    <row r="662" spans="1:44" ht="15" customHeight="1" x14ac:dyDescent="0.25">
      <c r="A662" s="2"/>
      <c r="B662" s="85" t="s">
        <v>3643</v>
      </c>
      <c r="C662" s="83"/>
      <c r="D662" s="2101">
        <f>MIN(1000000,IF(D659&gt;0,(-D661/D659)^(0.5/IF(D532="Instantaneous",D530,D504)),0))</f>
        <v>0</v>
      </c>
      <c r="E662" s="83"/>
      <c r="F662" s="2101">
        <f>MIN(1000000,IF(F659&gt;0,(-F661/F659)^(0.5/IF(F532="Instantaneous",F530,F504)),0))</f>
        <v>0</v>
      </c>
      <c r="G662" s="83"/>
      <c r="H662" s="2101">
        <f>MIN(1000000,IF(H659&gt;0,(-H661/H659)^(0.5/IF(H532="Instantaneous",H530,H504)),0))</f>
        <v>0</v>
      </c>
      <c r="I662" s="83"/>
      <c r="J662" s="2101">
        <f>MIN(1000000,IF(J659&gt;0,(-J661/J659)^(0.5/IF(J532="Instantaneous",J530,J504)),0))</f>
        <v>0</v>
      </c>
      <c r="K662" s="83"/>
      <c r="L662" s="2101">
        <f>MIN(1000000,IF(L659&gt;0,(-L661/L659)^(0.5/IF(L532="Instantaneous",L530,L504)),0))</f>
        <v>0</v>
      </c>
      <c r="M662" s="83"/>
      <c r="N662" s="2101">
        <f>MIN(1000000,IF(N659&gt;0,(-N661/N659)^(0.5/IF(N532="Instantaneous",N530,N504)),0))</f>
        <v>0</v>
      </c>
      <c r="O662" s="83"/>
      <c r="P662" s="2101">
        <f>MIN(1000000,IF(P659&gt;0,(-P661/P659)^(0.5/IF(P532="Instantaneous",P530,P504)),0))</f>
        <v>0</v>
      </c>
      <c r="Q662" s="83"/>
      <c r="R662" s="2101">
        <f>MIN(1000000,IF(R659&gt;0,(-R661/R659)^(0.5/IF(R532="Instantaneous",R530,R504)),0))</f>
        <v>0</v>
      </c>
      <c r="S662" s="83"/>
      <c r="T662" s="2101">
        <f>MIN(1000000,IF(T659&gt;0,(-T661/T659)^(0.5/IF(T532="Instantaneous",T530,T504)),0))</f>
        <v>0</v>
      </c>
      <c r="U662" s="83"/>
      <c r="V662" s="2101">
        <f>MIN(1000000,IF(V659&gt;0,(-V661/V659)^(0.5/IF(V532="Instantaneous",V530,V504)),0))</f>
        <v>0</v>
      </c>
      <c r="W662" s="83"/>
      <c r="X662" s="2101">
        <f>MIN(1000000,IF(X659&gt;0,(-X661/X659)^(0.5/IF(X532="Instantaneous",X530,X504)),0))</f>
        <v>0</v>
      </c>
      <c r="Y662" s="83"/>
      <c r="Z662" s="85" t="s">
        <v>1506</v>
      </c>
      <c r="AA662" s="83"/>
      <c r="AB662" s="81"/>
      <c r="AC662" s="512" t="str">
        <f t="shared" si="90"/>
        <v/>
      </c>
      <c r="AD662" s="81"/>
      <c r="AE662" s="2091">
        <f>IF(AND(AE$620&gt;0,LC1_5&gt;0),AE$620/(LC1_5),0)</f>
        <v>0</v>
      </c>
      <c r="AF662" s="81"/>
      <c r="AG662" s="2091">
        <f>IF(AND(AG$620&gt;0,LC1_5&gt;0),AG$620/(LC1_5),0)</f>
        <v>0</v>
      </c>
      <c r="AH662" s="81"/>
      <c r="AI662" s="2091">
        <f>IF(AND(AI$620&gt;0,LC1_5&gt;0),AI$620/(LC1_5),0)</f>
        <v>0</v>
      </c>
      <c r="AJ662" s="81"/>
      <c r="AK662" s="81"/>
      <c r="AL662" s="81"/>
      <c r="AM662" s="81"/>
      <c r="AN662" s="81"/>
      <c r="AO662" s="81"/>
      <c r="AP662" s="81"/>
      <c r="AQ662" s="23"/>
      <c r="AR662" s="81"/>
    </row>
    <row r="663" spans="1:44" ht="15" customHeight="1" thickBot="1" x14ac:dyDescent="0.3">
      <c r="A663" s="2"/>
      <c r="B663" s="85" t="s">
        <v>3644</v>
      </c>
      <c r="C663" s="83"/>
      <c r="D663" s="2101">
        <f>IF(D644&lt;&gt;"",IF(D637/D644=1,0,LN(0.01)-LN(0.02)/(1-(D637/D644)^(2*IF(D584="Instantaneous",D582,D556)))),0)</f>
        <v>0</v>
      </c>
      <c r="E663" s="83"/>
      <c r="F663" s="2101">
        <f>IF(F644&lt;&gt;"",IF(F637/F644=1,0,LN(0.01)-LN(0.02)/(1-(F637/F644)^(2*IF(F584="Instantaneous",F582,F556)))),0)</f>
        <v>0</v>
      </c>
      <c r="G663" s="83"/>
      <c r="H663" s="2101">
        <f>IF(H644&lt;&gt;"",IF(H637/H644=1,0,LN(0.01)-LN(0.02)/(1-(H637/H644)^(2*IF(H584="Instantaneous",H582,H556)))),0)</f>
        <v>0</v>
      </c>
      <c r="I663" s="83"/>
      <c r="J663" s="2101">
        <f>IF(J644&lt;&gt;"",IF(J637/J644=1,0,LN(0.01)-LN(0.02)/(1-(J637/J644)^(2*IF(J584="Instantaneous",J582,J556)))),0)</f>
        <v>0</v>
      </c>
      <c r="K663" s="83"/>
      <c r="L663" s="2101">
        <f>IF(L644&lt;&gt;"",IF(L637/L644=1,0,LN(0.01)-LN(0.02)/(1-(L637/L644)^(2*IF(L584="Instantaneous",L582,L556)))),0)</f>
        <v>0</v>
      </c>
      <c r="M663" s="83"/>
      <c r="N663" s="2101">
        <f>IF(N644&lt;&gt;"",IF(N637/N644=1,0,LN(0.01)-LN(0.02)/(1-(N637/N644)^(2*IF(N584="Instantaneous",N582,N556)))),0)</f>
        <v>0</v>
      </c>
      <c r="O663" s="83"/>
      <c r="P663" s="2101">
        <f>IF(P644&lt;&gt;"",IF(P637/P644=1,0,LN(0.01)-LN(0.02)/(1-(P637/P644)^(2*IF(P584="Instantaneous",P582,P556)))),0)</f>
        <v>0</v>
      </c>
      <c r="Q663" s="83"/>
      <c r="R663" s="2101">
        <f>IF(R644&lt;&gt;"",IF(R637/R644=1,0,LN(0.01)-LN(0.02)/(1-(R637/R644)^(2*IF(R584="Instantaneous",R582,R556)))),0)</f>
        <v>0</v>
      </c>
      <c r="S663" s="83"/>
      <c r="T663" s="2101">
        <f>IF(T644&lt;&gt;"",IF(T637/T644=1,0,LN(0.01)-LN(0.02)/(1-(T637/T644)^(2*IF(T584="Instantaneous",T582,T556)))),0)</f>
        <v>0</v>
      </c>
      <c r="U663" s="83"/>
      <c r="V663" s="2101">
        <f>IF(V644&lt;&gt;"",IF(V637/V644=1,0,LN(0.01)-LN(0.02)/(1-(V637/V644)^(2*IF(V584="Instantaneous",V582,V556)))),0)</f>
        <v>0</v>
      </c>
      <c r="W663" s="83"/>
      <c r="X663" s="2101">
        <f>IF(X644&lt;&gt;"",IF(X637/X644=1,0,LN(0.01)-LN(0.02)/(1-(X637/X644)^(2*IF(X584="Instantaneous",X582,X556)))),0)</f>
        <v>0</v>
      </c>
      <c r="Y663" s="83"/>
      <c r="Z663" s="85"/>
      <c r="AA663" s="83"/>
      <c r="AB663" s="81"/>
      <c r="AC663" s="2120" t="s">
        <v>5136</v>
      </c>
      <c r="AD663" s="81"/>
      <c r="AE663" s="1311">
        <f>IF(AND(AE$621&gt;0,LC1Pad&gt;0),AE$621/(LC1Pad),0)</f>
        <v>0</v>
      </c>
      <c r="AF663" s="81"/>
      <c r="AG663" s="1311">
        <f>IF(AND(AG$621&gt;0,LC1Pad&gt;0),AG$621/(LC1Pad),0)</f>
        <v>0</v>
      </c>
      <c r="AH663" s="81"/>
      <c r="AI663" s="1311">
        <f>IF(AND(AI$621&gt;0,LC1Pad&gt;0),AI$621/(LC1Pad),0)</f>
        <v>0</v>
      </c>
      <c r="AJ663" s="81"/>
      <c r="AK663" s="81"/>
      <c r="AL663" s="81"/>
      <c r="AM663" s="81"/>
      <c r="AN663" s="81"/>
      <c r="AO663" s="81"/>
      <c r="AP663" s="81"/>
      <c r="AQ663" s="23"/>
      <c r="AR663" s="81"/>
    </row>
    <row r="664" spans="1:44" ht="15" customHeight="1" thickBot="1" x14ac:dyDescent="0.3">
      <c r="A664" s="2"/>
      <c r="B664" s="85" t="s">
        <v>5298</v>
      </c>
      <c r="C664" s="83"/>
      <c r="D664" s="2099">
        <f>IF(D651&lt;&gt;"",(LN(0.01)-D663)*D658^(2*IF(D584="Instantaneous",D582,D556)),0)</f>
        <v>0</v>
      </c>
      <c r="E664" s="83"/>
      <c r="F664" s="2099">
        <f>IF(F651&lt;&gt;"",(LN(0.01)-F663)*F658^(2*IF(F584="Instantaneous",F582,F556)),0)</f>
        <v>0</v>
      </c>
      <c r="G664" s="83"/>
      <c r="H664" s="2099">
        <f>IF(H651&lt;&gt;"",(LN(0.01)-H663)*H658^(2*IF(H584="Instantaneous",H582,H556)),0)</f>
        <v>0</v>
      </c>
      <c r="I664" s="83"/>
      <c r="J664" s="2099">
        <f>IF(J651&lt;&gt;"",(LN(0.01)-J663)*J658^(2*IF(J584="Instantaneous",J582,J556)),0)</f>
        <v>0</v>
      </c>
      <c r="K664" s="83"/>
      <c r="L664" s="2099">
        <f>IF(L651&lt;&gt;"",(LN(0.01)-L663)*L658^(2*IF(L584="Instantaneous",L582,L556)),0)</f>
        <v>0</v>
      </c>
      <c r="M664" s="83"/>
      <c r="N664" s="2099">
        <f>IF(N651&lt;&gt;"",(LN(0.01)-N663)*N658^(2*IF(N584="Instantaneous",N582,N556)),0)</f>
        <v>0</v>
      </c>
      <c r="O664" s="83"/>
      <c r="P664" s="2099">
        <f>IF(P651&lt;&gt;"",(LN(0.01)-P663)*P658^(2*IF(P584="Instantaneous",P582,P556)),0)</f>
        <v>0</v>
      </c>
      <c r="Q664" s="83"/>
      <c r="R664" s="2099">
        <f>IF(R651&lt;&gt;"",(LN(0.01)-R663)*R658^(2*IF(R584="Instantaneous",R582,R556)),0)</f>
        <v>0</v>
      </c>
      <c r="S664" s="83"/>
      <c r="T664" s="2099">
        <f>IF(T651&lt;&gt;"",(LN(0.01)-T663)*T658^(2*IF(T584="Instantaneous",T582,T556)),0)</f>
        <v>0</v>
      </c>
      <c r="U664" s="83"/>
      <c r="V664" s="2099">
        <f>IF(V651&lt;&gt;"",(LN(0.01)-V663)*V658^(2*IF(V584="Instantaneous",V582,V556)),0)</f>
        <v>0</v>
      </c>
      <c r="W664" s="83"/>
      <c r="X664" s="2099">
        <f>IF(X651&lt;&gt;"",(LN(0.01)-X663)*X658^(2*IF(X584="Instantaneous",X582,X556)),0)</f>
        <v>0</v>
      </c>
      <c r="Y664" s="83"/>
      <c r="Z664" s="85"/>
      <c r="AA664" s="83"/>
      <c r="AB664" s="81"/>
      <c r="AC664" s="85" t="s">
        <v>3520</v>
      </c>
      <c r="AD664" s="81"/>
      <c r="AE664" s="2101" t="str">
        <f>IF(SUM(AE658:AE663)&gt;0,IF(1/SUM(AE658:AE663)&lt;1000000,1/SUM(AE658:AE663),1000000),"")</f>
        <v/>
      </c>
      <c r="AF664" s="81"/>
      <c r="AG664" s="2101" t="str">
        <f>IF(SUM(AG658:AG663)&gt;0,IF(1/SUM(AG658:AG663)&lt;1000000,1/SUM(AG658:AG663),1000000),"")</f>
        <v/>
      </c>
      <c r="AH664" s="81"/>
      <c r="AI664" s="2101" t="str">
        <f>IF(SUM(AI658:AI663)&gt;0,IF(1/SUM(AI658:AI663)&lt;1000000,1/SUM(AI658:AI663),1000000),"")</f>
        <v/>
      </c>
      <c r="AJ664" s="81"/>
      <c r="AK664" s="81"/>
      <c r="AL664" s="81"/>
      <c r="AM664" s="81"/>
      <c r="AN664" s="81"/>
      <c r="AO664" s="81"/>
      <c r="AP664" s="81"/>
      <c r="AQ664" s="25" t="s">
        <v>1506</v>
      </c>
      <c r="AR664" s="81"/>
    </row>
    <row r="665" spans="1:44" ht="15" customHeight="1" thickBot="1" x14ac:dyDescent="0.3">
      <c r="A665" s="2"/>
      <c r="B665" s="85" t="s">
        <v>3645</v>
      </c>
      <c r="C665" s="83"/>
      <c r="D665" s="2099">
        <f>MIN(1000000,IF(D663&lt;&gt;"",IF(D663&gt;0,(-D664/D663)^(0.5/IF(D584="Instantaneous",D582,D556)),0),0))</f>
        <v>0</v>
      </c>
      <c r="E665" s="83"/>
      <c r="F665" s="2099">
        <f>MIN(1000000,IF(F663&lt;&gt;"",IF(F663&gt;0,(-F664/F663)^(0.5/IF(F584="Instantaneous",F582,F556)),0),0))</f>
        <v>0</v>
      </c>
      <c r="G665" s="83"/>
      <c r="H665" s="2099">
        <f>MIN(1000000,IF(H663&lt;&gt;"",IF(H663&gt;0,(-H664/H663)^(0.5/IF(H584="Instantaneous",H582,H556)),0),0))</f>
        <v>0</v>
      </c>
      <c r="I665" s="83"/>
      <c r="J665" s="2099">
        <f>MIN(1000000,IF(J663&lt;&gt;"",IF(J663&gt;0,(-J664/J663)^(0.5/IF(J584="Instantaneous",J582,J556)),0),0))</f>
        <v>0</v>
      </c>
      <c r="K665" s="83"/>
      <c r="L665" s="2099">
        <f>MIN(1000000,IF(L663&lt;&gt;"",IF(L663&gt;0,(-L664/L663)^(0.5/IF(L584="Instantaneous",L582,L556)),0),0))</f>
        <v>0</v>
      </c>
      <c r="M665" s="83"/>
      <c r="N665" s="2099">
        <f>MIN(1000000,IF(N663&lt;&gt;"",IF(N663&gt;0,(-N664/N663)^(0.5/IF(N584="Instantaneous",N582,N556)),0),0))</f>
        <v>0</v>
      </c>
      <c r="O665" s="83"/>
      <c r="P665" s="2099">
        <f>MIN(1000000,IF(P663&lt;&gt;"",IF(P663&gt;0,(-P664/P663)^(0.5/IF(P584="Instantaneous",P582,P556)),0),0))</f>
        <v>0</v>
      </c>
      <c r="Q665" s="83"/>
      <c r="R665" s="2099">
        <f>MIN(1000000,IF(R663&lt;&gt;"",IF(R663&gt;0,(-R664/R663)^(0.5/IF(R584="Instantaneous",R582,R556)),0),0))</f>
        <v>0</v>
      </c>
      <c r="S665" s="83"/>
      <c r="T665" s="2099">
        <f>MIN(1000000,IF(T663&lt;&gt;"",IF(T663&gt;0,(-T664/T663)^(0.5/IF(T584="Instantaneous",T582,T556)),0),0))</f>
        <v>0</v>
      </c>
      <c r="U665" s="83"/>
      <c r="V665" s="2099">
        <f>MIN(1000000,IF(V663&lt;&gt;"",IF(V663&gt;0,(-V664/V663)^(0.5/IF(V584="Instantaneous",V582,V556)),0),0))</f>
        <v>0</v>
      </c>
      <c r="W665" s="83"/>
      <c r="X665" s="2099">
        <f>MIN(1000000,IF(X663&lt;&gt;"",IF(X663&gt;0,(-X664/X663)^(0.5/IF(X584="Instantaneous",X582,X556)),0),0))</f>
        <v>0</v>
      </c>
      <c r="Y665" s="83"/>
      <c r="Z665" s="85" t="s">
        <v>1506</v>
      </c>
      <c r="AA665" s="83"/>
      <c r="AB665" s="81"/>
      <c r="AC665" s="614" t="str">
        <f>B638</f>
        <v/>
      </c>
      <c r="AD665" s="81"/>
      <c r="AE665" s="2091">
        <f>IF(AND(AE$616&gt;0,LC50_1&gt;0),AE$616/(LC50_1),0)</f>
        <v>0</v>
      </c>
      <c r="AF665" s="81"/>
      <c r="AG665" s="2091">
        <f>IF(AND(AG$616&gt;0,LC50_1&gt;0),AG$616/(LC50_1),0)</f>
        <v>0</v>
      </c>
      <c r="AH665" s="81"/>
      <c r="AI665" s="2091">
        <f>IF(AND(AI$616&gt;0,LC50_1&gt;0),AI$616/(LC50_1),0)</f>
        <v>0</v>
      </c>
      <c r="AJ665" s="81"/>
      <c r="AK665" s="81"/>
      <c r="AL665" s="81"/>
      <c r="AM665" s="81"/>
      <c r="AN665" s="81"/>
      <c r="AO665" s="81"/>
      <c r="AP665" s="81"/>
      <c r="AQ665" s="84"/>
      <c r="AR665" s="81"/>
    </row>
    <row r="666" spans="1:44" ht="15" customHeight="1" x14ac:dyDescent="0.25">
      <c r="A666" s="2"/>
      <c r="B666" s="92" t="s">
        <v>4494</v>
      </c>
      <c r="C666" s="235"/>
      <c r="D666" s="2589">
        <f>IF(AND(D474&gt;0,D602&lt;&gt;""),IF(Location="Indoors",IF(D684&lt;=D602,0,D503*((IF(Enclosed_Ventilation_Rate&gt;1,Enclosed_Ventilation_Rate,1)*Enclosed_Process_Volume*D474*D684/88020000000)*1000000*(1/D602-1/D684)/(D474*Wind))^D504),IF(1000000/D602&lt;=1/D475,0,IF(D532="Instantaneous",D529*((D457/D474)*(1000000/D602))^D530-D531,D503*(D464*(1000000/D602)/(D474*Wind))^D504-D505))),0)</f>
        <v>0</v>
      </c>
      <c r="E666" s="83"/>
      <c r="F666" s="2589">
        <f>IF(AND(F474&gt;0,F602&lt;&gt;""),IF(Location="Indoors",IF(F684&lt;=F602,0,F503*((IF(Enclosed_Ventilation_Rate&gt;1,Enclosed_Ventilation_Rate,1)*Enclosed_Process_Volume*F474*F684/88020000000)*1000000*(1/F602-1/F684)/(F474*Wind))^F504),IF(1000000/F602&lt;=1/F475,0,IF(F532="Instantaneous",F529*((F457/F474)*(1000000/F602))^F530-F531,F503*(F464*(1000000/F602)/(F474*Wind))^F504-F505))),0)</f>
        <v>0</v>
      </c>
      <c r="G666" s="83"/>
      <c r="H666" s="2589">
        <f>IF(AND(H474&gt;0,H602&lt;&gt;""),IF(Location="Indoors",IF(H684&lt;=H602,0,H503*((IF(Enclosed_Ventilation_Rate&gt;1,Enclosed_Ventilation_Rate,1)*Enclosed_Process_Volume*H474*H684/88020000000)*1000000*(1/H602-1/H684)/(H474*Wind))^H504),IF(1000000/H602&lt;=1/H475,0,IF(H532="Instantaneous",H529*((H457/H474)*(1000000/H602))^H530-H531,H503*(H464*(1000000/H602)/(H474*Wind))^H504-H505))),0)</f>
        <v>0</v>
      </c>
      <c r="I666" s="83"/>
      <c r="J666" s="2589">
        <f>IF(AND(J474&gt;0,J602&lt;&gt;""),IF(Location="Indoors",IF(J684&lt;=J602,0,J503*((IF(Enclosed_Ventilation_Rate&gt;1,Enclosed_Ventilation_Rate,1)*Enclosed_Process_Volume*J474*J684/88020000000)*1000000*(1/J602-1/J684)/(J474*Wind))^J504),IF(1000000/J602&lt;=1/J475,0,IF(J532="Instantaneous",J529*((J457/J474)*(1000000/J602))^J530-J531,J503*(J464*(1000000/J602)/(J474*Wind))^J504-J505))),0)</f>
        <v>0</v>
      </c>
      <c r="K666" s="83"/>
      <c r="L666" s="2589">
        <f>IF(AND(L474&gt;0,L602&lt;&gt;""),IF(Location="Indoors",IF(L684&lt;=L602,0,L503*((IF(Enclosed_Ventilation_Rate&gt;1,Enclosed_Ventilation_Rate,1)*Enclosed_Process_Volume*L474*L684/88020000000)*1000000*(1/L602-1/L684)/(L474*Wind))^L504),IF(1000000/L602&lt;=1/L475,0,IF(L532="Instantaneous",L529*((L457/L474)*(1000000/L602))^L530-L531,L503*(L464*(1000000/L602)/(L474*Wind))^L504-L505))),0)</f>
        <v>0</v>
      </c>
      <c r="M666" s="83"/>
      <c r="N666" s="2589">
        <f>IF(AND(N474&gt;0,N602&lt;&gt;""),IF(Location="Indoors",IF(N684&lt;=N602,0,N503*((IF(Enclosed_Ventilation_Rate&gt;1,Enclosed_Ventilation_Rate,1)*Enclosed_Process_Volume*N474*N684/88020000000)*1000000*(1/N602-1/N684)/(N474*Wind))^N504),IF(1000000/N602&lt;=1/N475,0,IF(N532="Instantaneous",N529*((N457/N474)*(1000000/N602))^N530-N531,N503*(N464*(1000000/N602)/(N474*Wind))^N504-N505))),0)</f>
        <v>0</v>
      </c>
      <c r="O666" s="83"/>
      <c r="P666" s="2589">
        <f>IF(AND(P474&gt;0,P602&lt;&gt;""),IF(Location="Indoors",IF(P684&lt;=P602,0,P503*((IF(Enclosed_Ventilation_Rate&gt;1,Enclosed_Ventilation_Rate,1)*Enclosed_Process_Volume*P474*P684/88020000000)*1000000*(1/P602-1/P684)/(P474*Wind))^P504),IF(1000000/P602&lt;=1/P475,0,IF(P532="Instantaneous",P529*((P457/P474)*(1000000/P602))^P530-P531,P503*(P464*(1000000/P602)/(P474*Wind))^P504-P505))),0)</f>
        <v>0</v>
      </c>
      <c r="Q666" s="83"/>
      <c r="R666" s="2589">
        <f>IF(AND(R474&gt;0,R602&lt;&gt;""),IF(Location="Indoors",IF(R684&lt;=R602,0,R503*((IF(Enclosed_Ventilation_Rate&gt;1,Enclosed_Ventilation_Rate,1)*Enclosed_Process_Volume*R474*R684/88020000000)*1000000*(1/R602-1/R684)/(R474*Wind))^R504),IF(1000000/R602&lt;=1/R475,0,IF(R532="Instantaneous",R529*((R457/R474)*(1000000/R602))^R530-R531,R503*(R464*(1000000/R602)/(R474*Wind))^R504-R505))),0)</f>
        <v>0</v>
      </c>
      <c r="S666" s="83"/>
      <c r="T666" s="2589">
        <f>IF(AND(T474&gt;0,T602&lt;&gt;""),IF(Location="Indoors",IF(T684&lt;=T602,0,T503*((IF(Enclosed_Ventilation_Rate&gt;1,Enclosed_Ventilation_Rate,1)*Enclosed_Process_Volume*T474*T684/88020000000)*1000000*(1/T602-1/T684)/(T474*Wind))^T504),IF(1000000/T602&lt;=1/T475,0,IF(T532="Instantaneous",T529*((T457/T474)*(1000000/T602))^T530-T531,T503*(T464*(1000000/T602)/(T474*Wind))^T504-T505))),0)</f>
        <v>0</v>
      </c>
      <c r="U666" s="83"/>
      <c r="V666" s="2589">
        <f>IF(AND(V474&gt;0,V602&lt;&gt;""),IF(Location="Indoors",IF(V684&lt;=V602,0,V503*((IF(Enclosed_Ventilation_Rate&gt;1,Enclosed_Ventilation_Rate,1)*Enclosed_Process_Volume*V474*V684/88020000000)*1000000*(1/V602-1/V684)/(V474*Wind))^V504),IF(1000000/V602&lt;=1/V475,0,IF(V532="Instantaneous",V529*((V457/V474)*(1000000/V602))^V530-V531,V503*(V464*(1000000/V602)/(V474*Wind))^V504-V505))),0)</f>
        <v>0</v>
      </c>
      <c r="W666" s="83"/>
      <c r="X666" s="2589">
        <f>IF(AND(X474&gt;0,X602&lt;&gt;""),IF(Location="Indoors",IF(X684&lt;=X602,0,X503*((IF(Enclosed_Ventilation_Rate&gt;1,Enclosed_Ventilation_Rate,1)*Enclosed_Process_Volume*X474*X684/88020000000)*1000000*(1/X602-1/X684)/(X474*Wind))^X504),IF(1000000/X602&lt;=1/X475,0,IF(X532="Instantaneous",X529*((X457/X474)*(1000000/X602))^X530-X531,X503*(X464*(1000000/X602)/(X474*Wind))^X504-X505))),0)</f>
        <v>0</v>
      </c>
      <c r="Y666" s="83"/>
      <c r="Z666" s="92" t="s">
        <v>1068</v>
      </c>
      <c r="AA666" s="83"/>
      <c r="AB666" s="81"/>
      <c r="AC666" s="512" t="str">
        <f t="shared" ref="AC666:AC669" si="91">B639</f>
        <v/>
      </c>
      <c r="AD666" s="81"/>
      <c r="AE666" s="2091">
        <f>IF(AND(AE$617&gt;0,LC50_2&gt;0),AE$617/(LC50_2),0)</f>
        <v>0</v>
      </c>
      <c r="AF666" s="81"/>
      <c r="AG666" s="2091">
        <f>IF(AND(AG$617&gt;0,LC50_2&gt;0),AG$617/(LC50_2),0)</f>
        <v>0</v>
      </c>
      <c r="AH666" s="81"/>
      <c r="AI666" s="2091">
        <f>IF(AND(AI$617&gt;0,LC50_2&gt;0),AI$617/(LC50_2),0)</f>
        <v>0</v>
      </c>
      <c r="AJ666" s="81"/>
      <c r="AK666" s="81"/>
      <c r="AL666" s="81"/>
      <c r="AM666" s="81"/>
      <c r="AN666" s="81"/>
      <c r="AO666" s="81"/>
      <c r="AP666" s="81"/>
      <c r="AQ666" s="23"/>
      <c r="AR666" s="81"/>
    </row>
    <row r="667" spans="1:44" ht="15" customHeight="1" x14ac:dyDescent="0.25">
      <c r="A667" s="2"/>
      <c r="B667" s="85" t="s">
        <v>2687</v>
      </c>
      <c r="C667" s="235"/>
      <c r="D667" s="3009">
        <f>IF(D464&gt;0,IF(AND(Location="Indoors",D684&gt;0),1000000/(1000000/D684+(Wind*D474*(Public/D503)^(1/D504)/(IF(Enclosed_Ventilation_Rate&gt;1,Enclosed_Ventilation_Rate,1)*Enclosed_Process_Volume*D474*D684/88020000000))),IF(D532="Instantaneous",1000000*(D457/D474)*(D529/(Public+D531))^(1/D530),1000000*(D464/(Wind*D474))*(D503/(Public+D505))^(1/D504))),0)</f>
        <v>1000000.0000000001</v>
      </c>
      <c r="E667" s="83"/>
      <c r="F667" s="3009">
        <f>IF(F464&gt;0,IF(AND(Location="Indoors",F684&gt;0),1000000/(1000000/F684+(Wind*F474*(Public/F503)^(1/F504)/(IF(Enclosed_Ventilation_Rate&gt;1,Enclosed_Ventilation_Rate,1)*Enclosed_Process_Volume*F474*F684/88020000000))),IF(F532="Instantaneous",1000000*(F457/F474)*(F529/(Public+F531))^(1/F530),1000000*(F464/(Wind*F474))*(F503/(Public+F505))^(1/F504))),0)</f>
        <v>1000000.0000000001</v>
      </c>
      <c r="G667" s="83"/>
      <c r="H667" s="3009">
        <f>IF(H464&gt;0,IF(AND(Location="Indoors",H684&gt;0),1000000/(1000000/H684+(Wind*H474*(Public/H503)^(1/H504)/(IF(Enclosed_Ventilation_Rate&gt;1,Enclosed_Ventilation_Rate,1)*Enclosed_Process_Volume*H474*H684/88020000000))),IF(H532="Instantaneous",1000000*(H457/H474)*(H529/(Public+H531))^(1/H530),1000000*(H464/(Wind*H474))*(H503/(Public+H505))^(1/H504))),0)</f>
        <v>0</v>
      </c>
      <c r="I667" s="83"/>
      <c r="J667" s="3009">
        <f>IF(J464&gt;0,IF(AND(Location="Indoors",J684&gt;0),1000000/(1000000/J684+(Wind*J474*(Public/J503)^(1/J504)/(IF(Enclosed_Ventilation_Rate&gt;1,Enclosed_Ventilation_Rate,1)*Enclosed_Process_Volume*J474*J684/88020000000))),IF(J532="Instantaneous",1000000*(J457/J474)*(J529/(Public+J531))^(1/J530),1000000*(J464/(Wind*J474))*(J503/(Public+J505))^(1/J504))),0)</f>
        <v>1000000.0000000001</v>
      </c>
      <c r="K667" s="83"/>
      <c r="L667" s="3009">
        <f>IF(L464&gt;0,IF(AND(Location="Indoors",L684&gt;0),1000000/(1000000/L684+(Wind*L474*(Public/L503)^(1/L504)/(IF(Enclosed_Ventilation_Rate&gt;1,Enclosed_Ventilation_Rate,1)*Enclosed_Process_Volume*L474*L684/88020000000))),IF(L532="Instantaneous",1000000*(L457/L474)*(L529/(Public+L531))^(1/L530),1000000*(L464/(Wind*L474))*(L503/(Public+L505))^(1/L504))),0)</f>
        <v>0</v>
      </c>
      <c r="M667" s="83"/>
      <c r="N667" s="3009">
        <f>IF(N464&gt;0,IF(AND(Location="Indoors",N684&gt;0),1000000/(1000000/N684+(Wind*N474*(Public/N503)^(1/N504)/(IF(Enclosed_Ventilation_Rate&gt;1,Enclosed_Ventilation_Rate,1)*Enclosed_Process_Volume*N474*N684/88020000000))),IF(N532="Instantaneous",1000000*(N457/N474)*(N529/(Public+N531))^(1/N530),1000000*(N464/(Wind*N474))*(N503/(Public+N505))^(1/N504))),0)</f>
        <v>0</v>
      </c>
      <c r="O667" s="83"/>
      <c r="P667" s="3009">
        <f>IF(P464&gt;0,IF(AND(Location="Indoors",P684&gt;0),1000000/(1000000/P684+(Wind*P474*(Public/P503)^(1/P504)/(IF(Enclosed_Ventilation_Rate&gt;1,Enclosed_Ventilation_Rate,1)*Enclosed_Process_Volume*P474*P684/88020000000))),IF(P532="Instantaneous",1000000*(P457/P474)*(P529/(Public+P531))^(1/P530),1000000*(P464/(Wind*P474))*(P503/(Public+P505))^(1/P504))),0)</f>
        <v>999999.99999999988</v>
      </c>
      <c r="Q667" s="83"/>
      <c r="R667" s="3009">
        <f>IF(R464&gt;0,IF(AND(Location="Indoors",R684&gt;0),1000000/(1000000/R684+(Wind*R474*(Public/R503)^(1/R504)/(IF(Enclosed_Ventilation_Rate&gt;1,Enclosed_Ventilation_Rate,1)*Enclosed_Process_Volume*R474*R684/88020000000))),IF(R532="Instantaneous",1000000*(R457/R474)*(R529/(Public+R531))^(1/R530),1000000*(R464/(Wind*R474))*(R503/(Public+R505))^(1/R504))),0)</f>
        <v>1000000.0000000001</v>
      </c>
      <c r="S667" s="83"/>
      <c r="T667" s="3009">
        <f>IF(T464&gt;0,IF(AND(Location="Indoors",T684&gt;0),1000000/(1000000/T684+(Wind*T474*(Public/T503)^(1/T504)/(IF(Enclosed_Ventilation_Rate&gt;1,Enclosed_Ventilation_Rate,1)*Enclosed_Process_Volume*T474*T684/88020000000))),IF(T532="Instantaneous",1000000*(T457/T474)*(T529/(Public+T531))^(1/T530),1000000*(T464/(Wind*T474))*(T503/(Public+T505))^(1/T504))),0)</f>
        <v>1000000.0000000001</v>
      </c>
      <c r="U667" s="83"/>
      <c r="V667" s="3009">
        <f>IF(V464&gt;0,IF(AND(Location="Indoors",V684&gt;0),1000000/(1000000/V684+(Wind*V474*(Public/V503)^(1/V504)/(IF(Enclosed_Ventilation_Rate&gt;1,Enclosed_Ventilation_Rate,1)*Enclosed_Process_Volume*V474*V684/88020000000))),IF(V532="Instantaneous",1000000*(V457/V474)*(V529/(Public+V531))^(1/V530),1000000*(V464/(Wind*V474))*(V503/(Public+V505))^(1/V504))),0)</f>
        <v>999999.99999999988</v>
      </c>
      <c r="W667" s="83"/>
      <c r="X667" s="3009">
        <f>IF(X464&gt;0,IF(AND(Location="Indoors",X684&gt;0),1000000/(1000000/X684+(Wind*X474*(Public/X503)^(1/X504)/(IF(Enclosed_Ventilation_Rate&gt;1,Enclosed_Ventilation_Rate,1)*Enclosed_Process_Volume*X474*X684/88020000000))),IF(X532="Instantaneous",1000000*(X457/X474)*(X529/(Public+X531))^(1/X530),1000000*(X464/(Wind*X474))*(X503/(Public+X505))^(1/X504))),0)</f>
        <v>1000000</v>
      </c>
      <c r="Y667" s="83"/>
      <c r="Z667" s="85" t="s">
        <v>1506</v>
      </c>
      <c r="AA667" s="83"/>
      <c r="AB667" s="81"/>
      <c r="AC667" s="512" t="str">
        <f t="shared" si="91"/>
        <v/>
      </c>
      <c r="AD667" s="81"/>
      <c r="AE667" s="2091">
        <f>IF(AND(AE$618&gt;0,LC50_3&gt;0),AE$618/(LC50_3),0)</f>
        <v>0</v>
      </c>
      <c r="AF667" s="81"/>
      <c r="AG667" s="2091">
        <f>IF(AND(AG$618&gt;0,LC50_3&gt;0),AG$618/(LC50_3),0)</f>
        <v>0</v>
      </c>
      <c r="AH667" s="81"/>
      <c r="AI667" s="2091">
        <f>IF(AND(AI$618&gt;0,LC50_3&gt;0),AI$618/(LC50_3),0)</f>
        <v>0</v>
      </c>
      <c r="AJ667" s="81"/>
      <c r="AK667" s="81"/>
      <c r="AL667" s="81"/>
      <c r="AM667" s="81"/>
      <c r="AN667" s="81"/>
      <c r="AO667" s="81"/>
      <c r="AP667" s="81"/>
      <c r="AQ667" s="23"/>
      <c r="AR667" s="81"/>
    </row>
    <row r="668" spans="1:44" ht="15" customHeight="1" x14ac:dyDescent="0.25">
      <c r="A668" s="2"/>
      <c r="B668" s="85" t="s">
        <v>4495</v>
      </c>
      <c r="C668" s="83"/>
      <c r="D668" s="1209" t="str">
        <f>IF(Public&gt;0.1,IF(D666&gt;Public,"Yes","No"),"")</f>
        <v/>
      </c>
      <c r="E668" s="83"/>
      <c r="F668" s="1209" t="str">
        <f>IF(Public&gt;0.1,IF(F666&gt;Public,"Yes","No"),"")</f>
        <v/>
      </c>
      <c r="G668" s="83"/>
      <c r="H668" s="1209" t="str">
        <f>IF(Public&gt;0.1,IF(H666&gt;Public,"Yes","No"),"")</f>
        <v/>
      </c>
      <c r="I668" s="83"/>
      <c r="J668" s="1209" t="str">
        <f>IF(Public&gt;0.1,IF(J666&gt;Public,"Yes","No"),"")</f>
        <v/>
      </c>
      <c r="K668" s="83"/>
      <c r="L668" s="1209" t="str">
        <f>IF(Public&gt;0.1,IF(L666&gt;Public,"Yes","No"),"")</f>
        <v/>
      </c>
      <c r="M668" s="83"/>
      <c r="N668" s="1209" t="str">
        <f>IF(Public&gt;0.1,IF(N666&gt;Public,"Yes","No"),"")</f>
        <v/>
      </c>
      <c r="O668" s="83"/>
      <c r="P668" s="1209" t="str">
        <f>IF(Public&gt;0.1,IF(P666&gt;Public,"Yes","No"),"")</f>
        <v/>
      </c>
      <c r="Q668" s="83"/>
      <c r="R668" s="1209" t="str">
        <f>IF(Public&gt;0.1,IF(R666&gt;Public,"Yes","No"),"")</f>
        <v/>
      </c>
      <c r="S668" s="83"/>
      <c r="T668" s="1209" t="str">
        <f>IF(Public&gt;0.1,IF(T666&gt;Public,"Yes","No"),"")</f>
        <v/>
      </c>
      <c r="U668" s="83"/>
      <c r="V668" s="1209" t="str">
        <f>IF(Public&gt;0.1,IF(V666&gt;Public,"Yes","No"),"")</f>
        <v/>
      </c>
      <c r="W668" s="83"/>
      <c r="X668" s="1209" t="str">
        <f>IF(Public&gt;0.1,IF(X666&gt;Public,"Yes","No"),"")</f>
        <v/>
      </c>
      <c r="Y668" s="83"/>
      <c r="Z668" s="85"/>
      <c r="AA668" s="83"/>
      <c r="AB668" s="81"/>
      <c r="AC668" s="512" t="str">
        <f t="shared" si="91"/>
        <v/>
      </c>
      <c r="AD668" s="81"/>
      <c r="AE668" s="2091">
        <f>IF(AND(AE$619&gt;0,LC50_4&gt;0),AE$619/(LC50_4),0)</f>
        <v>0</v>
      </c>
      <c r="AF668" s="81"/>
      <c r="AG668" s="2091">
        <f>IF(AND(AG$619&gt;0,LC50_4&gt;0),AG$619/(LC50_4),0)</f>
        <v>0</v>
      </c>
      <c r="AH668" s="81"/>
      <c r="AI668" s="2091">
        <f>IF(AND(AI$619&gt;0,LC50_4&gt;0),AI$619/(LC50_4),0)</f>
        <v>0</v>
      </c>
      <c r="AJ668" s="81"/>
      <c r="AK668" s="81"/>
      <c r="AL668" s="81"/>
      <c r="AM668" s="81"/>
      <c r="AN668" s="81"/>
      <c r="AO668" s="81"/>
      <c r="AP668" s="81"/>
      <c r="AQ668" s="23"/>
      <c r="AR668" s="81"/>
    </row>
    <row r="669" spans="1:44" ht="15" customHeight="1" x14ac:dyDescent="0.25">
      <c r="A669" s="2"/>
      <c r="B669" s="85" t="s">
        <v>4496</v>
      </c>
      <c r="C669" s="235"/>
      <c r="D669" s="1693">
        <f>IF(AND(D474&gt;0,D609&lt;&gt;""),IF(Location="Indoors",IF(D684&lt;=D609,0,D503*((IF(Enclosed_Ventilation_Rate&gt;1,Enclosed_Ventilation_Rate,1)*Enclosed_Process_Volume*D474*D684/88020000000)*1000000*(1/D609-1/D684)/(D474*Wind))^D504),IF(1000000/D609&lt;=1/D475,0,IF(D532="Instantaneous",D529*((D457/D474)*(1000000/D609))^D530-D531,D503*(D464*(1000000/D609)/(D474*Wind))^D504-D505))),0)</f>
        <v>0</v>
      </c>
      <c r="E669" s="83"/>
      <c r="F669" s="1693">
        <f>IF(AND(F474&gt;0,F609&lt;&gt;""),IF(Location="Indoors",IF(F684&lt;=F609,0,F503*((IF(Enclosed_Ventilation_Rate&gt;1,Enclosed_Ventilation_Rate,1)*Enclosed_Process_Volume*F474*F684/88020000000)*1000000*(1/F609-1/F684)/(F474*Wind))^F504),IF(1000000/F609&lt;=1/F475,0,IF(F532="Instantaneous",F529*((F457/F474)*(1000000/F609))^F530-F531,F503*(F464*(1000000/F609)/(F474*Wind))^F504-F505))),0)</f>
        <v>0</v>
      </c>
      <c r="G669" s="83"/>
      <c r="H669" s="1693">
        <f>IF(AND(H474&gt;0,H609&lt;&gt;""),IF(Location="Indoors",IF(H684&lt;=H609,0,H503*((IF(Enclosed_Ventilation_Rate&gt;1,Enclosed_Ventilation_Rate,1)*Enclosed_Process_Volume*H474*H684/88020000000)*1000000*(1/H609-1/H684)/(H474*Wind))^H504),IF(1000000/H609&lt;=1/H475,0,IF(H532="Instantaneous",H529*((H457/H474)*(1000000/H609))^H530-H531,H503*(H464*(1000000/H609)/(H474*Wind))^H504-H505))),0)</f>
        <v>0</v>
      </c>
      <c r="I669" s="83"/>
      <c r="J669" s="1693">
        <f>IF(AND(J474&gt;0,J609&lt;&gt;""),IF(Location="Indoors",IF(J684&lt;=J609,0,J503*((IF(Enclosed_Ventilation_Rate&gt;1,Enclosed_Ventilation_Rate,1)*Enclosed_Process_Volume*J474*J684/88020000000)*1000000*(1/J609-1/J684)/(J474*Wind))^J504),IF(1000000/J609&lt;=1/J475,0,IF(J532="Instantaneous",J529*((J457/J474)*(1000000/J609))^J530-J531,J503*(J464*(1000000/J609)/(J474*Wind))^J504-J505))),0)</f>
        <v>0</v>
      </c>
      <c r="K669" s="83"/>
      <c r="L669" s="1693">
        <f>IF(AND(L474&gt;0,L609&lt;&gt;""),IF(Location="Indoors",IF(L684&lt;=L609,0,L503*((IF(Enclosed_Ventilation_Rate&gt;1,Enclosed_Ventilation_Rate,1)*Enclosed_Process_Volume*L474*L684/88020000000)*1000000*(1/L609-1/L684)/(L474*Wind))^L504),IF(1000000/L609&lt;=1/L475,0,IF(L532="Instantaneous",L529*((L457/L474)*(1000000/L609))^L530-L531,L503*(L464*(1000000/L609)/(L474*Wind))^L504-L505))),0)</f>
        <v>0</v>
      </c>
      <c r="M669" s="83"/>
      <c r="N669" s="1693">
        <f>IF(AND(N474&gt;0,N609&lt;&gt;""),IF(Location="Indoors",IF(N684&lt;=N609,0,N503*((IF(Enclosed_Ventilation_Rate&gt;1,Enclosed_Ventilation_Rate,1)*Enclosed_Process_Volume*N474*N684/88020000000)*1000000*(1/N609-1/N684)/(N474*Wind))^N504),IF(1000000/N609&lt;=1/N475,0,IF(N532="Instantaneous",N529*((N457/N474)*(1000000/N609))^N530-N531,N503*(N464*(1000000/N609)/(N474*Wind))^N504-N505))),0)</f>
        <v>0</v>
      </c>
      <c r="O669" s="83"/>
      <c r="P669" s="1693">
        <f>IF(AND(P474&gt;0,P609&lt;&gt;""),IF(Location="Indoors",IF(P684&lt;=P609,0,P503*((IF(Enclosed_Ventilation_Rate&gt;1,Enclosed_Ventilation_Rate,1)*Enclosed_Process_Volume*P474*P684/88020000000)*1000000*(1/P609-1/P684)/(P474*Wind))^P504),IF(1000000/P609&lt;=1/P475,0,IF(P532="Instantaneous",P529*((P457/P474)*(1000000/P609))^P530-P531,P503*(P464*(1000000/P609)/(P474*Wind))^P504-P505))),0)</f>
        <v>0</v>
      </c>
      <c r="Q669" s="83"/>
      <c r="R669" s="1693">
        <f>IF(AND(R474&gt;0,R609&lt;&gt;""),IF(Location="Indoors",IF(R684&lt;=R609,0,R503*((IF(Enclosed_Ventilation_Rate&gt;1,Enclosed_Ventilation_Rate,1)*Enclosed_Process_Volume*R474*R684/88020000000)*1000000*(1/R609-1/R684)/(R474*Wind))^R504),IF(1000000/R609&lt;=1/R475,0,IF(R532="Instantaneous",R529*((R457/R474)*(1000000/R609))^R530-R531,R503*(R464*(1000000/R609)/(R474*Wind))^R504-R505))),0)</f>
        <v>0</v>
      </c>
      <c r="S669" s="83"/>
      <c r="T669" s="1693">
        <f>IF(AND(T474&gt;0,T609&lt;&gt;""),IF(Location="Indoors",IF(T684&lt;=T609,0,T503*((IF(Enclosed_Ventilation_Rate&gt;1,Enclosed_Ventilation_Rate,1)*Enclosed_Process_Volume*T474*T684/88020000000)*1000000*(1/T609-1/T684)/(T474*Wind))^T504),IF(1000000/T609&lt;=1/T475,0,IF(T532="Instantaneous",T529*((T457/T474)*(1000000/T609))^T530-T531,T503*(T464*(1000000/T609)/(T474*Wind))^T504-T505))),0)</f>
        <v>0</v>
      </c>
      <c r="U669" s="83"/>
      <c r="V669" s="1693">
        <f>IF(AND(V474&gt;0,V609&lt;&gt;""),IF(Location="Indoors",IF(V684&lt;=V609,0,V503*((IF(Enclosed_Ventilation_Rate&gt;1,Enclosed_Ventilation_Rate,1)*Enclosed_Process_Volume*V474*V684/88020000000)*1000000*(1/V609-1/V684)/(V474*Wind))^V504),IF(1000000/V609&lt;=1/V475,0,IF(V532="Instantaneous",V529*((V457/V474)*(1000000/V609))^V530-V531,V503*(V464*(1000000/V609)/(V474*Wind))^V504-V505))),0)</f>
        <v>0</v>
      </c>
      <c r="W669" s="83"/>
      <c r="X669" s="1693">
        <f>IF(AND(X474&gt;0,X609&lt;&gt;""),IF(Location="Indoors",IF(X684&lt;=X609,0,X503*((IF(Enclosed_Ventilation_Rate&gt;1,Enclosed_Ventilation_Rate,1)*Enclosed_Process_Volume*X474*X684/88020000000)*1000000*(1/X609-1/X684)/(X474*Wind))^X504),IF(1000000/X609&lt;=1/X475,0,IF(X532="Instantaneous",X529*((X457/X474)*(1000000/X609))^X530-X531,X503*(X464*(1000000/X609)/(X474*Wind))^X504-X505))),0)</f>
        <v>0</v>
      </c>
      <c r="Y669" s="83"/>
      <c r="Z669" s="85" t="s">
        <v>1068</v>
      </c>
      <c r="AA669" s="83"/>
      <c r="AB669" s="81"/>
      <c r="AC669" s="512" t="str">
        <f t="shared" si="91"/>
        <v/>
      </c>
      <c r="AD669" s="81"/>
      <c r="AE669" s="2091">
        <f>IF(AND(AE$620&gt;0,LC50_5&gt;0),AE$620/(LC50_5),0)</f>
        <v>0</v>
      </c>
      <c r="AF669" s="81"/>
      <c r="AG669" s="2091">
        <f>IF(AND(AG$620&gt;0,LC50_5&gt;0),AG$620/(LC50_5),0)</f>
        <v>0</v>
      </c>
      <c r="AH669" s="81"/>
      <c r="AI669" s="2091">
        <f>IF(AND(AI$620&gt;0,LC50_5&gt;0),AI$620/(LC50_5),0)</f>
        <v>0</v>
      </c>
      <c r="AJ669" s="81"/>
      <c r="AK669" s="81"/>
      <c r="AL669" s="81"/>
      <c r="AM669" s="81"/>
      <c r="AN669" s="81"/>
      <c r="AO669" s="81"/>
      <c r="AP669" s="81"/>
      <c r="AQ669" s="23"/>
      <c r="AR669" s="81"/>
    </row>
    <row r="670" spans="1:44" ht="15" customHeight="1" thickBot="1" x14ac:dyDescent="0.3">
      <c r="A670" s="2"/>
      <c r="B670" s="848" t="s">
        <v>4497</v>
      </c>
      <c r="C670" s="235"/>
      <c r="D670" s="1290" t="str">
        <f>IF(Public&gt;0.1,IF(D669&gt;Public,"Yes","No"),"")</f>
        <v/>
      </c>
      <c r="E670" s="83"/>
      <c r="F670" s="1290" t="str">
        <f>IF(Public&gt;0.1,IF(F669&gt;Public,"Yes","No"),"")</f>
        <v/>
      </c>
      <c r="G670" s="83"/>
      <c r="H670" s="1290" t="str">
        <f>IF(Public&gt;0.1,IF(H669&gt;Public,"Yes","No"),"")</f>
        <v/>
      </c>
      <c r="I670" s="83"/>
      <c r="J670" s="1290" t="str">
        <f>IF(Public&gt;0.1,IF(J669&gt;Public,"Yes","No"),"")</f>
        <v/>
      </c>
      <c r="K670" s="83"/>
      <c r="L670" s="1290" t="str">
        <f>IF(Public&gt;0.1,IF(L669&gt;Public,"Yes","No"),"")</f>
        <v/>
      </c>
      <c r="M670" s="83"/>
      <c r="N670" s="1290" t="str">
        <f>IF(Public&gt;0.1,IF(N669&gt;Public,"Yes","No"),"")</f>
        <v/>
      </c>
      <c r="O670" s="83"/>
      <c r="P670" s="1290" t="str">
        <f>IF(Public&gt;0.1,IF(P669&gt;Public,"Yes","No"),"")</f>
        <v/>
      </c>
      <c r="Q670" s="83"/>
      <c r="R670" s="1290" t="str">
        <f>IF(Public&gt;0.1,IF(R669&gt;Public,"Yes","No"),"")</f>
        <v/>
      </c>
      <c r="S670" s="83"/>
      <c r="T670" s="1290" t="str">
        <f>IF(Public&gt;0.1,IF(T669&gt;Public,"Yes","No"),"")</f>
        <v/>
      </c>
      <c r="U670" s="83"/>
      <c r="V670" s="1290" t="str">
        <f>IF(Public&gt;0.1,IF(V669&gt;Public,"Yes","No"),"")</f>
        <v/>
      </c>
      <c r="W670" s="83"/>
      <c r="X670" s="1290" t="str">
        <f>IF(Public&gt;0.1,IF(X669&gt;Public,"Yes","No"),"")</f>
        <v/>
      </c>
      <c r="Y670" s="83"/>
      <c r="Z670" s="85"/>
      <c r="AA670" s="83"/>
      <c r="AB670" s="81"/>
      <c r="AC670" s="615" t="s">
        <v>5137</v>
      </c>
      <c r="AD670" s="81"/>
      <c r="AE670" s="1311">
        <f>IF(AND(AE$621&gt;0,LC50Pad&gt;0),AE$621/(LC50Pad),0)</f>
        <v>0</v>
      </c>
      <c r="AF670" s="81"/>
      <c r="AG670" s="1311">
        <f>IF(AND(AG$621&gt;0,LC50Pad&gt;0),AG$621/(LC50Pad),0)</f>
        <v>0</v>
      </c>
      <c r="AH670" s="81"/>
      <c r="AI670" s="1311">
        <f>IF(AND(AI$621&gt;0,LC50Pad&gt;0),AI$621/(LC50Pad),0)</f>
        <v>0</v>
      </c>
      <c r="AJ670" s="81"/>
      <c r="AK670" s="81"/>
      <c r="AL670" s="81"/>
      <c r="AM670" s="81"/>
      <c r="AN670" s="81"/>
      <c r="AO670" s="81"/>
      <c r="AP670" s="81"/>
      <c r="AQ670" s="23"/>
      <c r="AR670" s="81"/>
    </row>
    <row r="671" spans="1:44" ht="15" customHeight="1" thickBot="1" x14ac:dyDescent="0.3">
      <c r="A671" s="2"/>
      <c r="B671" s="85" t="s">
        <v>4737</v>
      </c>
      <c r="C671" s="235"/>
      <c r="D671" s="2086">
        <f>IF(AND(D474&gt;0,D616&lt;&gt;""),IF(Location="Indoors",IF(D684&lt;=D616,0.1,D503*((IF(Enclosed_Ventilation_Rate&gt;1,Enclosed_Ventilation_Rate,1)*Enclosed_Process_Volume*D474*D684/88020000000)*1000000*(1/(D616)-1/D684)/(D474*Wind))^D504),IF(1000000/(D616)&lt;=1/D475,0.1,IF(D532="Instantaneous",D529*((D457/D474)*(1000000/D616))^D530-D531,D503*(D464*(1000000/D616)/(D474*Wind))^D504-D505))),0.1)</f>
        <v>0.1</v>
      </c>
      <c r="E671" s="83"/>
      <c r="F671" s="2086">
        <f>IF(AND(F474&gt;0,F616&lt;&gt;""),IF(Location="Indoors",IF(F684&lt;=F616,0.1,F503*((IF(Enclosed_Ventilation_Rate&gt;1,Enclosed_Ventilation_Rate,1)*Enclosed_Process_Volume*F474*F684/88020000000)*1000000*(1/(F616)-1/F684)/(F474*Wind))^F504),IF(1000000/(F616)&lt;=1/F475,0.1,IF(F532="Instantaneous",F529*((F457/F474)*(1000000/F616))^F530-F531,F503*(F464*(1000000/F616)/(F474*Wind))^F504-F505))),0.1)</f>
        <v>0.1</v>
      </c>
      <c r="G671" s="83"/>
      <c r="H671" s="2086">
        <f>IF(AND(H474&gt;0,H616&lt;&gt;""),IF(Location="Indoors",IF(H684&lt;=H616,0.1,H503*((IF(Enclosed_Ventilation_Rate&gt;1,Enclosed_Ventilation_Rate,1)*Enclosed_Process_Volume*H474*H684/88020000000)*1000000*(1/(H616)-1/H684)/(H474*Wind))^H504),IF(1000000/(H616)&lt;=1/H475,0.1,IF(H532="Instantaneous",H529*((H457/H474)*(1000000/H616))^H530-H531,H503*(H464*(1000000/H616)/(H474*Wind))^H504-H505))),0.1)</f>
        <v>0.1</v>
      </c>
      <c r="I671" s="83"/>
      <c r="J671" s="2086">
        <f>IF(AND(J474&gt;0,J616&lt;&gt;""),IF(Location="Indoors",IF(J684&lt;=J616,0.1,J503*((IF(Enclosed_Ventilation_Rate&gt;1,Enclosed_Ventilation_Rate,1)*Enclosed_Process_Volume*J474*J684/88020000000)*1000000*(1/(J616)-1/J684)/(J474*Wind))^J504),IF(1000000/(J616)&lt;=1/J475,0.1,IF(J532="Instantaneous",J529*((J457/J474)*(1000000/J616))^J530-J531,J503*(J464*(1000000/J616)/(J474*Wind))^J504-J505))),0.1)</f>
        <v>0.1</v>
      </c>
      <c r="K671" s="83"/>
      <c r="L671" s="2086">
        <f>IF(AND(L474&gt;0,L616&lt;&gt;""),IF(Location="Indoors",IF(L684&lt;=L616,0.1,L503*((IF(Enclosed_Ventilation_Rate&gt;1,Enclosed_Ventilation_Rate,1)*Enclosed_Process_Volume*L474*L684/88020000000)*1000000*(1/(L616)-1/L684)/(L474*Wind))^L504),IF(1000000/(L616)&lt;=1/L475,0.1,IF(L532="Instantaneous",L529*((L457/L474)*(1000000/L616))^L530-L531,L503*(L464*(1000000/L616)/(L474*Wind))^L504-L505))),0.1)</f>
        <v>0.1</v>
      </c>
      <c r="M671" s="83"/>
      <c r="N671" s="2086">
        <f>IF(AND(N474&gt;0,N616&lt;&gt;""),IF(Location="Indoors",IF(N684&lt;=N616,0.1,N503*((IF(Enclosed_Ventilation_Rate&gt;1,Enclosed_Ventilation_Rate,1)*Enclosed_Process_Volume*N474*N684/88020000000)*1000000*(1/(N616)-1/N684)/(N474*Wind))^N504),IF(1000000/(N616)&lt;=1/N475,0.1,IF(N532="Instantaneous",N529*((N457/N474)*(1000000/N616))^N530-N531,N503*(N464*(1000000/N616)/(N474*Wind))^N504-N505))),0.1)</f>
        <v>0.1</v>
      </c>
      <c r="O671" s="83"/>
      <c r="P671" s="2086">
        <f>IF(AND(P474&gt;0,P616&lt;&gt;""),IF(Location="Indoors",IF(P684&lt;=P616,0.1,P503*((IF(Enclosed_Ventilation_Rate&gt;1,Enclosed_Ventilation_Rate,1)*Enclosed_Process_Volume*P474*P684/88020000000)*1000000*(1/(P616)-1/P684)/(P474*Wind))^P504),IF(1000000/(P616)&lt;=1/P475,0.1,IF(P532="Instantaneous",P529*((P457/P474)*(1000000/P616))^P530-P531,P503*(P464*(1000000/P616)/(P474*Wind))^P504-P505))),0.1)</f>
        <v>0.1</v>
      </c>
      <c r="Q671" s="83"/>
      <c r="R671" s="2086">
        <f>IF(AND(R474&gt;0,R616&lt;&gt;""),IF(Location="Indoors",IF(R684&lt;=R616,0.1,R503*((IF(Enclosed_Ventilation_Rate&gt;1,Enclosed_Ventilation_Rate,1)*Enclosed_Process_Volume*R474*R684/88020000000)*1000000*(1/(R616)-1/R684)/(R474*Wind))^R504),IF(1000000/(R616)&lt;=1/R475,0.1,IF(R532="Instantaneous",R529*((R457/R474)*(1000000/R616))^R530-R531,R503*(R464*(1000000/R616)/(R474*Wind))^R504-R505))),0.1)</f>
        <v>0.1</v>
      </c>
      <c r="S671" s="83"/>
      <c r="T671" s="2086">
        <f>IF(AND(T474&gt;0,T616&lt;&gt;""),IF(Location="Indoors",IF(T684&lt;=T616,0.1,T503*((IF(Enclosed_Ventilation_Rate&gt;1,Enclosed_Ventilation_Rate,1)*Enclosed_Process_Volume*T474*T684/88020000000)*1000000*(1/(T616)-1/T684)/(T474*Wind))^T504),IF(1000000/(T616)&lt;=1/T475,0.1,IF(T532="Instantaneous",T529*((T457/T474)*(1000000/T616))^T530-T531,T503*(T464*(1000000/T616)/(T474*Wind))^T504-T505))),0.1)</f>
        <v>0.1</v>
      </c>
      <c r="U671" s="83"/>
      <c r="V671" s="2086">
        <f>IF(AND(V474&gt;0,V616&lt;&gt;""),IF(Location="Indoors",IF(V684&lt;=V616,0.1,V503*((IF(Enclosed_Ventilation_Rate&gt;1,Enclosed_Ventilation_Rate,1)*Enclosed_Process_Volume*V474*V684/88020000000)*1000000*(1/(V616)-1/V684)/(V474*Wind))^V504),IF(1000000/(V616)&lt;=1/V475,0.1,IF(V532="Instantaneous",V529*((V457/V474)*(1000000/V616))^V530-V531,V503*(V464*(1000000/V616)/(V474*Wind))^V504-V505))),0.1)</f>
        <v>0.1</v>
      </c>
      <c r="W671" s="83"/>
      <c r="X671" s="2086">
        <f>IF(AND(X474&gt;0,X616&lt;&gt;""),IF(Location="Indoors",IF(X684&lt;=X616,0.1,X503*((IF(Enclosed_Ventilation_Rate&gt;1,Enclosed_Ventilation_Rate,1)*Enclosed_Process_Volume*X474*X684/88020000000)*1000000*(1/(X616)-1/X684)/(X474*Wind))^X504),IF(1000000/(X616)&lt;=1/X475,0.1,IF(X532="Instantaneous",X529*((X457/X474)*(1000000/X616))^X530-X531,X503*(X464*(1000000/X616)/(X474*Wind))^X504-X505))),0.1)</f>
        <v>0.1</v>
      </c>
      <c r="Y671" s="83"/>
      <c r="Z671" s="85" t="s">
        <v>1068</v>
      </c>
      <c r="AA671" s="83"/>
      <c r="AB671" s="81"/>
      <c r="AC671" s="85" t="s">
        <v>3521</v>
      </c>
      <c r="AD671" s="81"/>
      <c r="AE671" s="2101" t="str">
        <f>IF(AND(AE$613&gt;0,SUM(AE665:AE670)&gt;0),IF(1/SUM(AE665:AE670)&lt;1000000,1/SUM(AE665:AE670),1000000),"")</f>
        <v/>
      </c>
      <c r="AF671" s="81"/>
      <c r="AG671" s="2101" t="str">
        <f>IF(AND(AG$613&gt;0,SUM(AG665:AG670)&gt;0),IF(1/SUM(AG665:AG670)&lt;1000000,1/SUM(AG665:AG670),1000000),"")</f>
        <v/>
      </c>
      <c r="AH671" s="81"/>
      <c r="AI671" s="2101" t="str">
        <f>IF(AND(AI$613&gt;0,SUM(AI665:AI670)&gt;0),IF(1/SUM(AI665:AI670)&lt;1000000,1/SUM(AI665:AI670),1000000),"")</f>
        <v/>
      </c>
      <c r="AJ671" s="81"/>
      <c r="AK671" s="81"/>
      <c r="AL671" s="81"/>
      <c r="AM671" s="81"/>
      <c r="AN671" s="81"/>
      <c r="AO671" s="81"/>
      <c r="AP671" s="81"/>
      <c r="AQ671" s="25" t="s">
        <v>1506</v>
      </c>
      <c r="AR671" s="81"/>
    </row>
    <row r="672" spans="1:44" ht="15" customHeight="1" x14ac:dyDescent="0.25">
      <c r="A672" s="2"/>
      <c r="B672" s="85" t="s">
        <v>3823</v>
      </c>
      <c r="C672" s="235"/>
      <c r="D672" s="2086">
        <f>IF(AND(D474&gt;0,D651&lt;&gt;""),IF(Location="Indoors",IF(D684&lt;=D651,0.1,D503*((IF(Enclosed_Ventilation_Rate&gt;1,Enclosed_Ventilation_Rate,1)*Enclosed_Process_Volume*D474*D684/88020000000)*1000000*(1/D651-1/D684)/(D474*Wind))^D504),IF(1000000/D651&lt;=1/D475,0.1,IF(D532="Instantaneous",D529*((D457/D474)*(1000000/D651))^D530-D531,D503*(D464*(1000000/D651)/(D474*Wind))^D504-D505))),0.1)</f>
        <v>0.1</v>
      </c>
      <c r="E672" s="83"/>
      <c r="F672" s="2086">
        <f>IF(AND(F474&gt;0,F651&lt;&gt;""),IF(Location="Indoors",IF(F684&lt;=F651,0.1,F503*((IF(Enclosed_Ventilation_Rate&gt;1,Enclosed_Ventilation_Rate,1)*Enclosed_Process_Volume*F474*F684/88020000000)*1000000*(1/F651-1/F684)/(F474*Wind))^F504),IF(1000000/F651&lt;=1/F475,0.1,IF(F532="Instantaneous",F529*((F457/F474)*(1000000/F651))^F530-F531,F503*(F464*(1000000/F651)/(F474*Wind))^F504-F505))),0.1)</f>
        <v>0.1</v>
      </c>
      <c r="G672" s="83"/>
      <c r="H672" s="2086">
        <f>IF(AND(H474&gt;0,H651&lt;&gt;""),IF(Location="Indoors",IF(H684&lt;=H651,0.1,H503*((IF(Enclosed_Ventilation_Rate&gt;1,Enclosed_Ventilation_Rate,1)*Enclosed_Process_Volume*H474*H684/88020000000)*1000000*(1/H651-1/H684)/(H474*Wind))^H504),IF(1000000/H651&lt;=1/H475,0.1,IF(H532="Instantaneous",H529*((H457/H474)*(1000000/H651))^H530-H531,H503*(H464*(1000000/H651)/(H474*Wind))^H504-H505))),0.1)</f>
        <v>0.1</v>
      </c>
      <c r="I672" s="83"/>
      <c r="J672" s="2086">
        <f>IF(AND(J474&gt;0,J651&lt;&gt;""),IF(Location="Indoors",IF(J684&lt;=J651,0.1,J503*((IF(Enclosed_Ventilation_Rate&gt;1,Enclosed_Ventilation_Rate,1)*Enclosed_Process_Volume*J474*J684/88020000000)*1000000*(1/J651-1/J684)/(J474*Wind))^J504),IF(1000000/J651&lt;=1/J475,0.1,IF(J532="Instantaneous",J529*((J457/J474)*(1000000/J651))^J530-J531,J503*(J464*(1000000/J651)/(J474*Wind))^J504-J505))),0.1)</f>
        <v>0.1</v>
      </c>
      <c r="K672" s="83"/>
      <c r="L672" s="2086">
        <f>IF(AND(L474&gt;0,L651&lt;&gt;""),IF(Location="Indoors",IF(L684&lt;=L651,0.1,L503*((IF(Enclosed_Ventilation_Rate&gt;1,Enclosed_Ventilation_Rate,1)*Enclosed_Process_Volume*L474*L684/88020000000)*1000000*(1/L651-1/L684)/(L474*Wind))^L504),IF(1000000/L651&lt;=1/L475,0.1,IF(L532="Instantaneous",L529*((L457/L474)*(1000000/L651))^L530-L531,L503*(L464*(1000000/L651)/(L474*Wind))^L504-L505))),0.1)</f>
        <v>0.1</v>
      </c>
      <c r="M672" s="83"/>
      <c r="N672" s="2086">
        <f>IF(AND(N474&gt;0,N651&lt;&gt;""),IF(Location="Indoors",IF(N684&lt;=N651,0.1,N503*((IF(Enclosed_Ventilation_Rate&gt;1,Enclosed_Ventilation_Rate,1)*Enclosed_Process_Volume*N474*N684/88020000000)*1000000*(1/N651-1/N684)/(N474*Wind))^N504),IF(1000000/N651&lt;=1/N475,0.1,IF(N532="Instantaneous",N529*((N457/N474)*(1000000/N651))^N530-N531,N503*(N464*(1000000/N651)/(N474*Wind))^N504-N505))),0.1)</f>
        <v>0.1</v>
      </c>
      <c r="O672" s="83"/>
      <c r="P672" s="2086">
        <f>IF(AND(P474&gt;0,P651&lt;&gt;""),IF(Location="Indoors",IF(P684&lt;=P651,0.1,P503*((IF(Enclosed_Ventilation_Rate&gt;1,Enclosed_Ventilation_Rate,1)*Enclosed_Process_Volume*P474*P684/88020000000)*1000000*(1/P651-1/P684)/(P474*Wind))^P504),IF(1000000/P651&lt;=1/P475,0.1,IF(P532="Instantaneous",P529*((P457/P474)*(1000000/P651))^P530-P531,P503*(P464*(1000000/P651)/(P474*Wind))^P504-P505))),0.1)</f>
        <v>0.1</v>
      </c>
      <c r="Q672" s="83"/>
      <c r="R672" s="2086">
        <f>IF(AND(R474&gt;0,R651&lt;&gt;""),IF(Location="Indoors",IF(R684&lt;=R651,0.1,R503*((IF(Enclosed_Ventilation_Rate&gt;1,Enclosed_Ventilation_Rate,1)*Enclosed_Process_Volume*R474*R684/88020000000)*1000000*(1/R651-1/R684)/(R474*Wind))^R504),IF(1000000/R651&lt;=1/R475,0.1,IF(R532="Instantaneous",R529*((R457/R474)*(1000000/R651))^R530-R531,R503*(R464*(1000000/R651)/(R474*Wind))^R504-R505))),0.1)</f>
        <v>0.1</v>
      </c>
      <c r="S672" s="83"/>
      <c r="T672" s="2086">
        <f>IF(AND(T474&gt;0,T651&lt;&gt;""),IF(Location="Indoors",IF(T684&lt;=T651,0.1,T503*((IF(Enclosed_Ventilation_Rate&gt;1,Enclosed_Ventilation_Rate,1)*Enclosed_Process_Volume*T474*T684/88020000000)*1000000*(1/T651-1/T684)/(T474*Wind))^T504),IF(1000000/T651&lt;=1/T475,0.1,IF(T532="Instantaneous",T529*((T457/T474)*(1000000/T651))^T530-T531,T503*(T464*(1000000/T651)/(T474*Wind))^T504-T505))),0.1)</f>
        <v>0.1</v>
      </c>
      <c r="U672" s="83"/>
      <c r="V672" s="2086">
        <f>IF(AND(V474&gt;0,V651&lt;&gt;""),IF(Location="Indoors",IF(V684&lt;=V651,0.1,V503*((IF(Enclosed_Ventilation_Rate&gt;1,Enclosed_Ventilation_Rate,1)*Enclosed_Process_Volume*V474*V684/88020000000)*1000000*(1/V651-1/V684)/(V474*Wind))^V504),IF(1000000/V651&lt;=1/V475,0.1,IF(V532="Instantaneous",V529*((V457/V474)*(1000000/V651))^V530-V531,V503*(V464*(1000000/V651)/(V474*Wind))^V504-V505))),0.1)</f>
        <v>0.1</v>
      </c>
      <c r="W672" s="83"/>
      <c r="X672" s="2086">
        <f>IF(AND(X474&gt;0,X651&lt;&gt;""),IF(Location="Indoors",IF(X684&lt;=X651,0.1,X503*((IF(Enclosed_Ventilation_Rate&gt;1,Enclosed_Ventilation_Rate,1)*Enclosed_Process_Volume*X474*X684/88020000000)*1000000*(1/X651-1/X684)/(X474*Wind))^X504),IF(1000000/X651&lt;=1/X475,0.1,IF(X532="Instantaneous",X529*((X457/X474)*(1000000/X651))^X530-X531,X503*(X464*(1000000/X651)/(X474*Wind))^X504-X505))),0.1)</f>
        <v>0.1</v>
      </c>
      <c r="Y672" s="83"/>
      <c r="Z672" s="85" t="s">
        <v>1068</v>
      </c>
      <c r="AA672" s="83"/>
      <c r="AB672" s="81"/>
      <c r="AC672" s="614" t="str">
        <f>B645</f>
        <v/>
      </c>
      <c r="AD672" s="81"/>
      <c r="AE672" s="2091">
        <f>IF(AND(AE$616&gt;0,LC1_1&gt;0),AE$616/(LC1_1/AE$613^(1/Pn_1)),0)</f>
        <v>0</v>
      </c>
      <c r="AF672" s="81"/>
      <c r="AG672" s="2091">
        <f>IF(AND(AG$616&gt;0,LC1_1&gt;0),AG$616/(LC1_1/AG$613^(1/Pn_1)),0)</f>
        <v>0</v>
      </c>
      <c r="AH672" s="81"/>
      <c r="AI672" s="2091">
        <f>IF(AND(AI$616&gt;0,LC1_1&gt;0),AI$616/(LC1_1/AI$613^(1/Pn_1)),0)</f>
        <v>0</v>
      </c>
      <c r="AJ672" s="81"/>
      <c r="AK672" s="81"/>
      <c r="AL672" s="81"/>
      <c r="AM672" s="81"/>
      <c r="AN672" s="81"/>
      <c r="AO672" s="81"/>
      <c r="AP672" s="81"/>
      <c r="AQ672" s="84"/>
      <c r="AR672" s="81"/>
    </row>
    <row r="673" spans="1:44" ht="15" customHeight="1" x14ac:dyDescent="0.25">
      <c r="A673" s="2"/>
      <c r="B673" s="85" t="s">
        <v>3824</v>
      </c>
      <c r="C673" s="235"/>
      <c r="D673" s="2104">
        <f>IF(AND(D474&gt;0,D651&lt;&gt;""),IF(Location="Indoors",IF(ConcFract_Indoor*D684&lt;=D651,0.1,D503*((IF(Enclosed_Ventilation_Rate&gt;1,Enclosed_Ventilation_Rate,1)*Enclosed_Process_Volume*D474*D684/88020000000)*1000000*(ConcFract_Indoor/D651-1/D684)/(D474*Wind))^D505),IF(D651&gt;=ConcFract_Indoor*1000000*D475,0.1,IF(D584="Instantaneous",D529*((D457/D474)*(ConcFract_Indoor*1000000/D651))^D530-D531,D503*(D464*(ConcFract_Indoor*1000000/D651)/(D474*Wind))^D504-D505))),0.1)</f>
        <v>0.1</v>
      </c>
      <c r="E673" s="83"/>
      <c r="F673" s="2104">
        <f>IF(AND(F474&gt;0,F651&lt;&gt;""),IF(Location="Indoors",IF(ConcFract_Indoor*F684&lt;=F651,0.1,F503*((IF(Enclosed_Ventilation_Rate&gt;1,Enclosed_Ventilation_Rate,1)*Enclosed_Process_Volume*F474*F684/88020000000)*1000000*(ConcFract_Indoor/F651-1/F684)/(F474*Wind))^F505),IF(F651&gt;=ConcFract_Indoor*1000000*F475,0.1,IF(F584="Instantaneous",F529*((F457/F474)*(ConcFract_Indoor*1000000/F651))^F530-F531,F503*(F464*(ConcFract_Indoor*1000000/F651)/(F474*Wind))^F504-F505))),0.1)</f>
        <v>0.1</v>
      </c>
      <c r="G673" s="83"/>
      <c r="H673" s="2104">
        <f>IF(AND(H474&gt;0,H651&lt;&gt;""),IF(Location="Indoors",IF(ConcFract_Indoor*H684&lt;=H651,0.1,H503*((IF(Enclosed_Ventilation_Rate&gt;1,Enclosed_Ventilation_Rate,1)*Enclosed_Process_Volume*H474*H684/88020000000)*1000000*(ConcFract_Indoor/H651-1/H684)/(H474*Wind))^H505),IF(H651&gt;=ConcFract_Indoor*1000000*H475,0.1,IF(H584="Instantaneous",H529*((H457/H474)*(ConcFract_Indoor*1000000/H651))^H530-H531,H503*(H464*(ConcFract_Indoor*1000000/H651)/(H474*Wind))^H504-H505))),0.1)</f>
        <v>0.1</v>
      </c>
      <c r="I673" s="83"/>
      <c r="J673" s="2104">
        <f>IF(AND(J474&gt;0,J651&lt;&gt;""),IF(Location="Indoors",IF(ConcFract_Indoor*J684&lt;=J651,0.1,J503*((IF(Enclosed_Ventilation_Rate&gt;1,Enclosed_Ventilation_Rate,1)*Enclosed_Process_Volume*J474*J684/88020000000)*1000000*(ConcFract_Indoor/J651-1/J684)/(J474*Wind))^J505),IF(J651&gt;=ConcFract_Indoor*1000000*J475,0.1,IF(J584="Instantaneous",J529*((J457/J474)*(ConcFract_Indoor*1000000/J651))^J530-J531,J503*(J464*(ConcFract_Indoor*1000000/J651)/(J474*Wind))^J504-J505))),0.1)</f>
        <v>0.1</v>
      </c>
      <c r="K673" s="83"/>
      <c r="L673" s="2104">
        <f>IF(AND(L474&gt;0,L651&lt;&gt;""),IF(Location="Indoors",IF(ConcFract_Indoor*L684&lt;=L651,0.1,L503*((IF(Enclosed_Ventilation_Rate&gt;1,Enclosed_Ventilation_Rate,1)*Enclosed_Process_Volume*L474*L684/88020000000)*1000000*(ConcFract_Indoor/L651-1/L684)/(L474*Wind))^L505),IF(L651&gt;=ConcFract_Indoor*1000000*L475,0.1,IF(L584="Instantaneous",L529*((L457/L474)*(ConcFract_Indoor*1000000/L651))^L530-L531,L503*(L464*(ConcFract_Indoor*1000000/L651)/(L474*Wind))^L504-L505))),0.1)</f>
        <v>0.1</v>
      </c>
      <c r="M673" s="83"/>
      <c r="N673" s="2104">
        <f>IF(AND(N474&gt;0,N651&lt;&gt;""),IF(Location="Indoors",IF(ConcFract_Indoor*N684&lt;=N651,0.1,N503*((IF(Enclosed_Ventilation_Rate&gt;1,Enclosed_Ventilation_Rate,1)*Enclosed_Process_Volume*N474*N684/88020000000)*1000000*(ConcFract_Indoor/N651-1/N684)/(N474*Wind))^N505),IF(N651&gt;=ConcFract_Indoor*1000000*N475,0.1,IF(N584="Instantaneous",N529*((N457/N474)*(ConcFract_Indoor*1000000/N651))^N530-N531,N503*(N464*(ConcFract_Indoor*1000000/N651)/(N474*Wind))^N504-N505))),0.1)</f>
        <v>0.1</v>
      </c>
      <c r="O673" s="83"/>
      <c r="P673" s="2104">
        <f>IF(AND(P474&gt;0,P651&lt;&gt;""),IF(Location="Indoors",IF(ConcFract_Indoor*P684&lt;=P651,0.1,P503*((IF(Enclosed_Ventilation_Rate&gt;1,Enclosed_Ventilation_Rate,1)*Enclosed_Process_Volume*P474*P684/88020000000)*1000000*(ConcFract_Indoor/P651-1/P684)/(P474*Wind))^P505),IF(P651&gt;=ConcFract_Indoor*1000000*P475,0.1,IF(P584="Instantaneous",P529*((P457/P474)*(ConcFract_Indoor*1000000/P651))^P530-P531,P503*(P464*(ConcFract_Indoor*1000000/P651)/(P474*Wind))^P504-P505))),0.1)</f>
        <v>0.1</v>
      </c>
      <c r="Q673" s="83"/>
      <c r="R673" s="2104">
        <f>IF(AND(R474&gt;0,R651&lt;&gt;""),IF(Location="Indoors",IF(ConcFract_Indoor*R684&lt;=R651,0.1,R503*((IF(Enclosed_Ventilation_Rate&gt;1,Enclosed_Ventilation_Rate,1)*Enclosed_Process_Volume*R474*R684/88020000000)*1000000*(ConcFract_Indoor/R651-1/R684)/(R474*Wind))^R505),IF(R651&gt;=ConcFract_Indoor*1000000*R475,0.1,IF(R584="Instantaneous",R529*((R457/R474)*(ConcFract_Indoor*1000000/R651))^R530-R531,R503*(R464*(ConcFract_Indoor*1000000/R651)/(R474*Wind))^R504-R505))),0.1)</f>
        <v>0.1</v>
      </c>
      <c r="S673" s="83"/>
      <c r="T673" s="2104">
        <f>IF(AND(T474&gt;0,T651&lt;&gt;""),IF(Location="Indoors",IF(ConcFract_Indoor*T684&lt;=T651,0.1,T503*((IF(Enclosed_Ventilation_Rate&gt;1,Enclosed_Ventilation_Rate,1)*Enclosed_Process_Volume*T474*T684/88020000000)*1000000*(ConcFract_Indoor/T651-1/T684)/(T474*Wind))^T505),IF(T651&gt;=ConcFract_Indoor*1000000*T475,0.1,IF(T584="Instantaneous",T529*((T457/T474)*(ConcFract_Indoor*1000000/T651))^T530-T531,T503*(T464*(ConcFract_Indoor*1000000/T651)/(T474*Wind))^T504-T505))),0.1)</f>
        <v>0.1</v>
      </c>
      <c r="U673" s="83"/>
      <c r="V673" s="2104">
        <f>IF(AND(V474&gt;0,V651&lt;&gt;""),IF(Location="Indoors",IF(ConcFract_Indoor*V684&lt;=V651,0.1,V503*((IF(Enclosed_Ventilation_Rate&gt;1,Enclosed_Ventilation_Rate,1)*Enclosed_Process_Volume*V474*V684/88020000000)*1000000*(ConcFract_Indoor/V651-1/V684)/(V474*Wind))^V505),IF(V651&gt;=ConcFract_Indoor*1000000*V475,0.1,IF(V584="Instantaneous",V529*((V457/V474)*(ConcFract_Indoor*1000000/V651))^V530-V531,V503*(V464*(ConcFract_Indoor*1000000/V651)/(V474*Wind))^V504-V505))),0.1)</f>
        <v>0.1</v>
      </c>
      <c r="W673" s="83"/>
      <c r="X673" s="2104">
        <f>IF(AND(X474&gt;0,X651&lt;&gt;""),IF(Location="Indoors",IF(ConcFract_Indoor*X684&lt;=X651,0.1,X503*((IF(Enclosed_Ventilation_Rate&gt;1,Enclosed_Ventilation_Rate,1)*Enclosed_Process_Volume*X474*X684/88020000000)*1000000*(ConcFract_Indoor/X651-1/X684)/(X474*Wind))^X505),IF(X651&gt;=ConcFract_Indoor*1000000*X475,0.1,IF(X584="Instantaneous",X529*((X457/X474)*(ConcFract_Indoor*1000000/X651))^X530-X531,X503*(X464*(ConcFract_Indoor*1000000/X651)/(X474*Wind))^X504-X505))),0.1)</f>
        <v>0.1</v>
      </c>
      <c r="Y673" s="83"/>
      <c r="Z673" s="85" t="s">
        <v>1068</v>
      </c>
      <c r="AA673" s="83"/>
      <c r="AB673" s="81"/>
      <c r="AC673" s="512" t="str">
        <f t="shared" ref="AC673:AC676" si="92">B646</f>
        <v/>
      </c>
      <c r="AD673" s="81"/>
      <c r="AE673" s="2091">
        <f>IF(AND(AE$617&gt;0,LC1_2&gt;0),AE$617/(LC1_2/AE$613^(1/Pn_2)),0)</f>
        <v>0</v>
      </c>
      <c r="AF673" s="81"/>
      <c r="AG673" s="2091">
        <f>IF(AND(AG$617&gt;0,LC1_2&gt;0),AG$617/(LC1_2/AG$613^(1/Pn_2)),0)</f>
        <v>0</v>
      </c>
      <c r="AH673" s="81"/>
      <c r="AI673" s="2091">
        <f>IF(AND(AI$617&gt;0,LC1_2&gt;0),AI$617/(LC1_2/AI$613^(1/Pn_2)),0)</f>
        <v>0</v>
      </c>
      <c r="AJ673" s="81"/>
      <c r="AK673" s="81"/>
      <c r="AL673" s="81"/>
      <c r="AM673" s="81"/>
      <c r="AN673" s="81"/>
      <c r="AO673" s="81"/>
      <c r="AP673" s="81"/>
      <c r="AQ673" s="23"/>
      <c r="AR673" s="81"/>
    </row>
    <row r="674" spans="1:44" ht="15" customHeight="1" x14ac:dyDescent="0.25">
      <c r="A674" s="2"/>
      <c r="B674" s="85" t="s">
        <v>3646</v>
      </c>
      <c r="C674" s="83"/>
      <c r="D674" s="2104">
        <f>IF(AND(D474&gt;0,D658&lt;&gt;""),IF(Location="Indoors",IF(D684&lt;=D658,0.1,D555*((IF(Enclosed_Ventilation_Rate&gt;1,Enclosed_Ventilation_Rate,1)*Enclosed_Process_Volume*D474*D684/88020000000)*1000000*(1/D658-1/D684)/(D474*Wind_Night))^D556),IF(1000000/D658&lt;=1/D475,0.1,IF(D584="Instantaneous",D581*((D457/D474)*(1000000/D658))^D582-D583,D555*(D464*(1000000/D658)/(D474*Wind_Night))^D556)-D557)),0.1)</f>
        <v>0.1</v>
      </c>
      <c r="E674" s="83"/>
      <c r="F674" s="2104">
        <f>IF(AND(F474&gt;0,F658&lt;&gt;""),IF(Location="Indoors",IF(F684&lt;=F658,0.1,F555*((IF(Enclosed_Ventilation_Rate&gt;1,Enclosed_Ventilation_Rate,1)*Enclosed_Process_Volume*F474*F684/88020000000)*1000000*(1/F658-1/F684)/(F474*Wind_Night))^F556),IF(1000000/F658&lt;=1/F475,0.1,IF(F584="Instantaneous",F581*((F457/F474)*(1000000/F658))^F582-F583,F555*(F464*(1000000/F658)/(F474*Wind_Night))^F556)-F557)),0.1)</f>
        <v>0.1</v>
      </c>
      <c r="G674" s="83"/>
      <c r="H674" s="2104">
        <f>IF(AND(H474&gt;0,H658&lt;&gt;""),IF(Location="Indoors",IF(H684&lt;=H658,0.1,H555*((IF(Enclosed_Ventilation_Rate&gt;1,Enclosed_Ventilation_Rate,1)*Enclosed_Process_Volume*H474*H684/88020000000)*1000000*(1/H658-1/H684)/(H474*Wind_Night))^H556),IF(1000000/H658&lt;=1/H475,0.1,IF(H584="Instantaneous",H581*((H457/H474)*(1000000/H658))^H582-H583,H555*(H464*(1000000/H658)/(H474*Wind_Night))^H556)-H557)),0.1)</f>
        <v>0.1</v>
      </c>
      <c r="I674" s="83"/>
      <c r="J674" s="2104">
        <f>IF(AND(J474&gt;0,J658&lt;&gt;""),IF(Location="Indoors",IF(J684&lt;=J658,0.1,J555*((IF(Enclosed_Ventilation_Rate&gt;1,Enclosed_Ventilation_Rate,1)*Enclosed_Process_Volume*J474*J684/88020000000)*1000000*(1/J658-1/J684)/(J474*Wind_Night))^J556),IF(1000000/J658&lt;=1/J475,0.1,IF(J584="Instantaneous",J581*((J457/J474)*(1000000/J658))^J582-J583,J555*(J464*(1000000/J658)/(J474*Wind_Night))^J556)-J557)),0.1)</f>
        <v>0.1</v>
      </c>
      <c r="K674" s="83"/>
      <c r="L674" s="2104">
        <f>IF(AND(L474&gt;0,L658&lt;&gt;""),IF(Location="Indoors",IF(L684&lt;=L658,0.1,L555*((IF(Enclosed_Ventilation_Rate&gt;1,Enclosed_Ventilation_Rate,1)*Enclosed_Process_Volume*L474*L684/88020000000)*1000000*(1/L658-1/L684)/(L474*Wind_Night))^L556),IF(1000000/L658&lt;=1/L475,0.1,IF(L584="Instantaneous",L581*((L457/L474)*(1000000/L658))^L582-L583,L555*(L464*(1000000/L658)/(L474*Wind_Night))^L556)-L557)),0.1)</f>
        <v>0.1</v>
      </c>
      <c r="M674" s="83"/>
      <c r="N674" s="2104">
        <f>IF(AND(N474&gt;0,N658&lt;&gt;""),IF(Location="Indoors",IF(N684&lt;=N658,0.1,N555*((IF(Enclosed_Ventilation_Rate&gt;1,Enclosed_Ventilation_Rate,1)*Enclosed_Process_Volume*N474*N684/88020000000)*1000000*(1/N658-1/N684)/(N474*Wind_Night))^N556),IF(1000000/N658&lt;=1/N475,0.1,IF(N584="Instantaneous",N581*((N457/N474)*(1000000/N658))^N582-N583,N555*(N464*(1000000/N658)/(N474*Wind_Night))^N556)-N557)),0.1)</f>
        <v>0.1</v>
      </c>
      <c r="O674" s="83"/>
      <c r="P674" s="2104">
        <f>IF(AND(P474&gt;0,P658&lt;&gt;""),IF(Location="Indoors",IF(P684&lt;=P658,0.1,P555*((IF(Enclosed_Ventilation_Rate&gt;1,Enclosed_Ventilation_Rate,1)*Enclosed_Process_Volume*P474*P684/88020000000)*1000000*(1/P658-1/P684)/(P474*Wind_Night))^P556),IF(1000000/P658&lt;=1/P475,0.1,IF(P584="Instantaneous",P581*((P457/P474)*(1000000/P658))^P582-P583,P555*(P464*(1000000/P658)/(P474*Wind_Night))^P556)-P557)),0.1)</f>
        <v>0.1</v>
      </c>
      <c r="Q674" s="83"/>
      <c r="R674" s="2104">
        <f>IF(AND(R474&gt;0,R658&lt;&gt;""),IF(Location="Indoors",IF(R684&lt;=R658,0.1,R555*((IF(Enclosed_Ventilation_Rate&gt;1,Enclosed_Ventilation_Rate,1)*Enclosed_Process_Volume*R474*R684/88020000000)*1000000*(1/R658-1/R684)/(R474*Wind_Night))^R556),IF(1000000/R658&lt;=1/R475,0.1,IF(R584="Instantaneous",R581*((R457/R474)*(1000000/R658))^R582-R583,R555*(R464*(1000000/R658)/(R474*Wind_Night))^R556)-R557)),0.1)</f>
        <v>0.1</v>
      </c>
      <c r="S674" s="83"/>
      <c r="T674" s="2104">
        <f>IF(AND(T474&gt;0,T658&lt;&gt;""),IF(Location="Indoors",IF(T684&lt;=T658,0.1,T555*((IF(Enclosed_Ventilation_Rate&gt;1,Enclosed_Ventilation_Rate,1)*Enclosed_Process_Volume*T474*T684/88020000000)*1000000*(1/T658-1/T684)/(T474*Wind_Night))^T556),IF(1000000/T658&lt;=1/T475,0.1,IF(T584="Instantaneous",T581*((T457/T474)*(1000000/T658))^T582-T583,T555*(T464*(1000000/T658)/(T474*Wind_Night))^T556)-T557)),0.1)</f>
        <v>0.1</v>
      </c>
      <c r="U674" s="83"/>
      <c r="V674" s="2104">
        <f>IF(AND(V474&gt;0,V658&lt;&gt;""),IF(Location="Indoors",IF(V684&lt;=V658,0.1,V555*((IF(Enclosed_Ventilation_Rate&gt;1,Enclosed_Ventilation_Rate,1)*Enclosed_Process_Volume*V474*V684/88020000000)*1000000*(1/V658-1/V684)/(V474*Wind_Night))^V556),IF(1000000/V658&lt;=1/V475,0.1,IF(V584="Instantaneous",V581*((V457/V474)*(1000000/V658))^V582-V583,V555*(V464*(1000000/V658)/(V474*Wind_Night))^V556)-V557)),0.1)</f>
        <v>0.1</v>
      </c>
      <c r="W674" s="83"/>
      <c r="X674" s="2104">
        <f>IF(AND(X474&gt;0,X658&lt;&gt;""),IF(Location="Indoors",IF(X684&lt;=X658,0.1,X555*((IF(Enclosed_Ventilation_Rate&gt;1,Enclosed_Ventilation_Rate,1)*Enclosed_Process_Volume*X474*X684/88020000000)*1000000*(1/X658-1/X684)/(X474*Wind_Night))^X556),IF(1000000/X658&lt;=1/X475,0.1,IF(X584="Instantaneous",X581*((X457/X474)*(1000000/X658))^X582-X583,X555*(X464*(1000000/X658)/(X474*Wind_Night))^X556)-X557)),0.1)</f>
        <v>0.1</v>
      </c>
      <c r="Y674" s="83"/>
      <c r="Z674" s="85" t="s">
        <v>1068</v>
      </c>
      <c r="AA674" s="83"/>
      <c r="AB674" s="81"/>
      <c r="AC674" s="512" t="str">
        <f t="shared" si="92"/>
        <v/>
      </c>
      <c r="AD674" s="81"/>
      <c r="AE674" s="2091">
        <f>IF(AND(AE$618&gt;0,LC1_3&gt;0),AE$618/(LC1_3/AE$613^(1/Pn_3)),0)</f>
        <v>0</v>
      </c>
      <c r="AF674" s="81"/>
      <c r="AG674" s="2091">
        <f>IF(AND(AG$618&gt;0,LC1_3&gt;0),AG$618/(LC1_3/AG$613^(1/Pn_3)),0)</f>
        <v>0</v>
      </c>
      <c r="AH674" s="81"/>
      <c r="AI674" s="2091">
        <f>IF(AND(AI$618&gt;0,LC1_3&gt;0),AI$618/(LC1_3/AI$613^(1/Pn_3)),0)</f>
        <v>0</v>
      </c>
      <c r="AJ674" s="81"/>
      <c r="AK674" s="81"/>
      <c r="AL674" s="81"/>
      <c r="AM674" s="81"/>
      <c r="AN674" s="81"/>
      <c r="AO674" s="81"/>
      <c r="AP674" s="81"/>
      <c r="AQ674" s="23"/>
      <c r="AR674" s="81"/>
    </row>
    <row r="675" spans="1:44" ht="15" customHeight="1" thickBot="1" x14ac:dyDescent="0.3">
      <c r="A675" s="2"/>
      <c r="B675" s="25" t="s">
        <v>3771</v>
      </c>
      <c r="C675" s="83"/>
      <c r="D675" s="2105">
        <f>IF(AND(D474&gt;0,D658&lt;&gt;""),IF(Location="Indoors",IF(ConcFract_Indoor*D684&lt;=D658,0.1,D555*((IF(Enclosed_Ventilation_Rate&gt;1,Enclosed_Ventilation_Rate,1)*Enclosed_Process_Volume*D474*D684/88020000000)*1000000*(ConcFract_Indoor/D658-1/D684)/(D474*Wind_Night))^D556),IF(D658&gt;=ConcFract_Indoor*1000000*D475,0.1,IF(D584="Instantaneous",D581*((D457/D474)*(ConcFract_Indoor*1000000/D658))^D582-D583,D555*(D464*(ConcFract_Indoor*1000000/D658)/(D474*Wind_Night))^D556-D557))),0.1)</f>
        <v>0.1</v>
      </c>
      <c r="E675" s="83"/>
      <c r="F675" s="2105">
        <f>IF(AND(F474&gt;0,F658&lt;&gt;""),IF(Location="Indoors",IF(ConcFract_Indoor*F684&lt;=F658,0.1,F555*((IF(Enclosed_Ventilation_Rate&gt;1,Enclosed_Ventilation_Rate,1)*Enclosed_Process_Volume*F474*F684/88020000000)*1000000*(ConcFract_Indoor/F658-1/F684)/(F474*Wind_Night))^F556),IF(F658&gt;=ConcFract_Indoor*1000000*F475,0.1,IF(F584="Instantaneous",F581*((F457/F474)*(ConcFract_Indoor*1000000/F658))^F582-F583,F555*(F464*(ConcFract_Indoor*1000000/F658)/(F474*Wind_Night))^F556-F557))),0.1)</f>
        <v>0.1</v>
      </c>
      <c r="G675" s="83"/>
      <c r="H675" s="2105">
        <f>IF(AND(H474&gt;0,H658&lt;&gt;""),IF(Location="Indoors",IF(ConcFract_Indoor*H684&lt;=H658,0.1,H555*((IF(Enclosed_Ventilation_Rate&gt;1,Enclosed_Ventilation_Rate,1)*Enclosed_Process_Volume*H474*H684/88020000000)*1000000*(ConcFract_Indoor/H658-1/H684)/(H474*Wind_Night))^H556),IF(H658&gt;=ConcFract_Indoor*1000000*H475,0.1,IF(H584="Instantaneous",H581*((H457/H474)*(ConcFract_Indoor*1000000/H658))^H582-H583,H555*(H464*(ConcFract_Indoor*1000000/H658)/(H474*Wind_Night))^H556-H557))),0.1)</f>
        <v>0.1</v>
      </c>
      <c r="I675" s="83"/>
      <c r="J675" s="2105">
        <f>IF(AND(J474&gt;0,J658&lt;&gt;""),IF(Location="Indoors",IF(ConcFract_Indoor*J684&lt;=J658,0.1,J555*((IF(Enclosed_Ventilation_Rate&gt;1,Enclosed_Ventilation_Rate,1)*Enclosed_Process_Volume*J474*J684/88020000000)*1000000*(ConcFract_Indoor/J658-1/J684)/(J474*Wind_Night))^J556),IF(J658&gt;=ConcFract_Indoor*1000000*J475,0.1,IF(J584="Instantaneous",J581*((J457/J474)*(ConcFract_Indoor*1000000/J658))^J582-J583,J555*(J464*(ConcFract_Indoor*1000000/J658)/(J474*Wind_Night))^J556-J557))),0.1)</f>
        <v>0.1</v>
      </c>
      <c r="K675" s="83"/>
      <c r="L675" s="2105">
        <f>IF(AND(L474&gt;0,L658&lt;&gt;""),IF(Location="Indoors",IF(ConcFract_Indoor*L684&lt;=L658,0.1,L555*((IF(Enclosed_Ventilation_Rate&gt;1,Enclosed_Ventilation_Rate,1)*Enclosed_Process_Volume*L474*L684/88020000000)*1000000*(ConcFract_Indoor/L658-1/L684)/(L474*Wind_Night))^L556),IF(L658&gt;=ConcFract_Indoor*1000000*L475,0.1,IF(L584="Instantaneous",L581*((L457/L474)*(ConcFract_Indoor*1000000/L658))^L582-L583,L555*(L464*(ConcFract_Indoor*1000000/L658)/(L474*Wind_Night))^L556-L557))),0.1)</f>
        <v>0.1</v>
      </c>
      <c r="M675" s="83"/>
      <c r="N675" s="2105">
        <f>IF(AND(N474&gt;0,N658&lt;&gt;""),IF(Location="Indoors",IF(ConcFract_Indoor*N684&lt;=N658,0.1,N555*((IF(Enclosed_Ventilation_Rate&gt;1,Enclosed_Ventilation_Rate,1)*Enclosed_Process_Volume*N474*N684/88020000000)*1000000*(ConcFract_Indoor/N658-1/N684)/(N474*Wind_Night))^N556),IF(N658&gt;=ConcFract_Indoor*1000000*N475,0.1,IF(N584="Instantaneous",N581*((N457/N474)*(ConcFract_Indoor*1000000/N658))^N582-N583,N555*(N464*(ConcFract_Indoor*1000000/N658)/(N474*Wind_Night))^N556-N557))),0.1)</f>
        <v>0.1</v>
      </c>
      <c r="O675" s="83"/>
      <c r="P675" s="2105">
        <f>IF(AND(P474&gt;0,P658&lt;&gt;""),IF(Location="Indoors",IF(ConcFract_Indoor*P684&lt;=P658,0.1,P555*((IF(Enclosed_Ventilation_Rate&gt;1,Enclosed_Ventilation_Rate,1)*Enclosed_Process_Volume*P474*P684/88020000000)*1000000*(ConcFract_Indoor/P658-1/P684)/(P474*Wind_Night))^P556),IF(P658&gt;=ConcFract_Indoor*1000000*P475,0.1,IF(P584="Instantaneous",P581*((P457/P474)*(ConcFract_Indoor*1000000/P658))^P582-P583,P555*(P464*(ConcFract_Indoor*1000000/P658)/(P474*Wind_Night))^P556-P557))),0.1)</f>
        <v>0.1</v>
      </c>
      <c r="Q675" s="83"/>
      <c r="R675" s="2105">
        <f>IF(AND(R474&gt;0,R658&lt;&gt;""),IF(Location="Indoors",IF(ConcFract_Indoor*R684&lt;=R658,0.1,R555*((IF(Enclosed_Ventilation_Rate&gt;1,Enclosed_Ventilation_Rate,1)*Enclosed_Process_Volume*R474*R684/88020000000)*1000000*(ConcFract_Indoor/R658-1/R684)/(R474*Wind_Night))^R556),IF(R658&gt;=ConcFract_Indoor*1000000*R475,0.1,IF(R584="Instantaneous",R581*((R457/R474)*(ConcFract_Indoor*1000000/R658))^R582-R583,R555*(R464*(ConcFract_Indoor*1000000/R658)/(R474*Wind_Night))^R556-R557))),0.1)</f>
        <v>0.1</v>
      </c>
      <c r="S675" s="83"/>
      <c r="T675" s="2105">
        <f>IF(AND(T474&gt;0,T658&lt;&gt;""),IF(Location="Indoors",IF(ConcFract_Indoor*T684&lt;=T658,0.1,T555*((IF(Enclosed_Ventilation_Rate&gt;1,Enclosed_Ventilation_Rate,1)*Enclosed_Process_Volume*T474*T684/88020000000)*1000000*(ConcFract_Indoor/T658-1/T684)/(T474*Wind_Night))^T556),IF(T658&gt;=ConcFract_Indoor*1000000*T475,0.1,IF(T584="Instantaneous",T581*((T457/T474)*(ConcFract_Indoor*1000000/T658))^T582-T583,T555*(T464*(ConcFract_Indoor*1000000/T658)/(T474*Wind_Night))^T556-T557))),0.1)</f>
        <v>0.1</v>
      </c>
      <c r="U675" s="83"/>
      <c r="V675" s="2105">
        <f>IF(AND(V474&gt;0,V658&lt;&gt;""),IF(Location="Indoors",IF(ConcFract_Indoor*V684&lt;=V658,0.1,V555*((IF(Enclosed_Ventilation_Rate&gt;1,Enclosed_Ventilation_Rate,1)*Enclosed_Process_Volume*V474*V684/88020000000)*1000000*(ConcFract_Indoor/V658-1/V684)/(V474*Wind_Night))^V556),IF(V658&gt;=ConcFract_Indoor*1000000*V475,0.1,IF(V584="Instantaneous",V581*((V457/V474)*(ConcFract_Indoor*1000000/V658))^V582-V583,V555*(V464*(ConcFract_Indoor*1000000/V658)/(V474*Wind_Night))^V556-V557))),0.1)</f>
        <v>0.1</v>
      </c>
      <c r="W675" s="83"/>
      <c r="X675" s="2105">
        <f>IF(AND(X474&gt;0,X658&lt;&gt;""),IF(Location="Indoors",IF(ConcFract_Indoor*X684&lt;=X658,0.1,X555*((IF(Enclosed_Ventilation_Rate&gt;1,Enclosed_Ventilation_Rate,1)*Enclosed_Process_Volume*X474*X684/88020000000)*1000000*(ConcFract_Indoor/X658-1/X684)/(X474*Wind_Night))^X556),IF(X658&gt;=ConcFract_Indoor*1000000*X475,0.1,IF(X584="Instantaneous",X581*((X457/X474)*(ConcFract_Indoor*1000000/X658))^X582-X583,X555*(X464*(ConcFract_Indoor*1000000/X658)/(X474*Wind_Night))^X556-X557))),0.1)</f>
        <v>0.1</v>
      </c>
      <c r="Y675" s="83"/>
      <c r="Z675" s="25"/>
      <c r="AA675" s="83"/>
      <c r="AB675" s="81"/>
      <c r="AC675" s="512" t="str">
        <f t="shared" si="92"/>
        <v/>
      </c>
      <c r="AD675" s="81"/>
      <c r="AE675" s="2091">
        <f>IF(AND(AE$619&gt;0,LC1_4&gt;0),AE$619/(LC1_4/AE$613^(1/Pn_4)),0)</f>
        <v>0</v>
      </c>
      <c r="AF675" s="81"/>
      <c r="AG675" s="2091">
        <f>IF(AND(AG$619&gt;0,LC1_4&gt;0),AG$619/(LC1_4/AG$613^(1/Pn_4)),0)</f>
        <v>0</v>
      </c>
      <c r="AH675" s="81"/>
      <c r="AI675" s="2091">
        <f>IF(AND(AI$619&gt;0,LC1_4&gt;0),AI$619/(LC1_4/AI$613^(1/Pn_4)),0)</f>
        <v>0</v>
      </c>
      <c r="AJ675" s="81"/>
      <c r="AK675" s="81"/>
      <c r="AL675" s="81"/>
      <c r="AM675" s="81"/>
      <c r="AN675" s="81"/>
      <c r="AO675" s="81"/>
      <c r="AP675" s="81"/>
      <c r="AQ675" s="23"/>
      <c r="AR675" s="81"/>
    </row>
    <row r="676" spans="1:44" ht="15" customHeight="1" x14ac:dyDescent="0.25">
      <c r="A676" s="2"/>
      <c r="B676" s="85" t="s">
        <v>2736</v>
      </c>
      <c r="C676" s="83"/>
      <c r="D676" s="93">
        <f>IF(AND(D464&gt;0,WorkArea_Distance&gt;0.1),IF(AND(Location="Indoors",D684&gt;0),1000000/(1000000/D684+(Wind*D474*(WorkArea_Distance/D503)^(1/D504)/(IF(Enclosed_Ventilation_Rate&gt;1,Enclosed_Ventilation_Rate,1)*Enclosed_Process_Volume*D474*D684/88020000000))),IF(D532="Instantaneous",1000000*(D457/D474)*(D529/(WorkArea_Distance+D531))^(1/D530),1000000*(D464/(Wind*D474))*(D503/(WorkArea_Distance+D505))^(1/D504))),IF(Location="Indoors",0,1000000))</f>
        <v>1000000</v>
      </c>
      <c r="E676" s="83"/>
      <c r="F676" s="93">
        <f>IF(AND(F464&gt;0,WorkArea_Distance&gt;0.1),IF(AND(Location="Indoors",F684&gt;0),1000000/(1000000/F684+(Wind*F474*(WorkArea_Distance/F503)^(1/F504)/(IF(Enclosed_Ventilation_Rate&gt;1,Enclosed_Ventilation_Rate,1)*Enclosed_Process_Volume*F474*F684/88020000000))),IF(F532="Instantaneous",1000000*(F457/F474)*(F529/(WorkArea_Distance+F531))^(1/F530),1000000*(F464/(Wind*F474))*(F503/(WorkArea_Distance+F505))^(1/F504))),IF(Location="Indoors",0,1000000))</f>
        <v>1000000</v>
      </c>
      <c r="G676" s="83"/>
      <c r="H676" s="93">
        <f>IF(AND(H464&gt;0,WorkArea_Distance&gt;0.1),IF(AND(Location="Indoors",H684&gt;0),1000000/(1000000/H684+(Wind*H474*(WorkArea_Distance/H503)^(1/H504)/(IF(Enclosed_Ventilation_Rate&gt;1,Enclosed_Ventilation_Rate,1)*Enclosed_Process_Volume*H474*H684/88020000000))),IF(H532="Instantaneous",1000000*(H457/H474)*(H529/(WorkArea_Distance+H531))^(1/H530),1000000*(H464/(Wind*H474))*(H503/(WorkArea_Distance+H505))^(1/H504))),IF(Location="Indoors",0,1000000))</f>
        <v>1000000</v>
      </c>
      <c r="I676" s="83"/>
      <c r="J676" s="93">
        <f>IF(AND(J464&gt;0,WorkArea_Distance&gt;0.1),IF(AND(Location="Indoors",J684&gt;0),1000000/(1000000/J684+(Wind*J474*(WorkArea_Distance/J503)^(1/J504)/(IF(Enclosed_Ventilation_Rate&gt;1,Enclosed_Ventilation_Rate,1)*Enclosed_Process_Volume*J474*J684/88020000000))),IF(J532="Instantaneous",1000000*(J457/J474)*(J529/(WorkArea_Distance+J531))^(1/J530),1000000*(J464/(Wind*J474))*(J503/(WorkArea_Distance+J505))^(1/J504))),IF(Location="Indoors",0,1000000))</f>
        <v>1000000</v>
      </c>
      <c r="K676" s="83"/>
      <c r="L676" s="93">
        <f>IF(AND(L464&gt;0,WorkArea_Distance&gt;0.1),IF(AND(Location="Indoors",L684&gt;0),1000000/(1000000/L684+(Wind*L474*(WorkArea_Distance/L503)^(1/L504)/(IF(Enclosed_Ventilation_Rate&gt;1,Enclosed_Ventilation_Rate,1)*Enclosed_Process_Volume*L474*L684/88020000000))),IF(L532="Instantaneous",1000000*(L457/L474)*(L529/(WorkArea_Distance+L531))^(1/L530),1000000*(L464/(Wind*L474))*(L503/(WorkArea_Distance+L505))^(1/L504))),IF(Location="Indoors",0,1000000))</f>
        <v>1000000</v>
      </c>
      <c r="M676" s="83"/>
      <c r="N676" s="93">
        <f>IF(AND(N464&gt;0,WorkArea_Distance&gt;0.1),IF(AND(Location="Indoors",N684&gt;0),1000000/(1000000/N684+(Wind*N474*(WorkArea_Distance/N503)^(1/N504)/(IF(Enclosed_Ventilation_Rate&gt;1,Enclosed_Ventilation_Rate,1)*Enclosed_Process_Volume*N474*N684/88020000000))),IF(N532="Instantaneous",1000000*(N457/N474)*(N529/(WorkArea_Distance+N531))^(1/N530),1000000*(N464/(Wind*N474))*(N503/(WorkArea_Distance+N505))^(1/N504))),IF(Location="Indoors",0,1000000))</f>
        <v>1000000</v>
      </c>
      <c r="O676" s="83"/>
      <c r="P676" s="93">
        <f>IF(AND(P464&gt;0,WorkArea_Distance&gt;0.1),IF(AND(Location="Indoors",P684&gt;0),1000000/(1000000/P684+(Wind*P474*(WorkArea_Distance/P503)^(1/P504)/(IF(Enclosed_Ventilation_Rate&gt;1,Enclosed_Ventilation_Rate,1)*Enclosed_Process_Volume*P474*P684/88020000000))),IF(P532="Instantaneous",1000000*(P457/P474)*(P529/(WorkArea_Distance+P531))^(1/P530),1000000*(P464/(Wind*P474))*(P503/(WorkArea_Distance+P505))^(1/P504))),IF(Location="Indoors",0,1000000))</f>
        <v>1000000</v>
      </c>
      <c r="Q676" s="83"/>
      <c r="R676" s="93">
        <f>IF(AND(R464&gt;0,WorkArea_Distance&gt;0.1),IF(AND(Location="Indoors",R684&gt;0),1000000/(1000000/R684+(Wind*R474*(WorkArea_Distance/R503)^(1/R504)/(IF(Enclosed_Ventilation_Rate&gt;1,Enclosed_Ventilation_Rate,1)*Enclosed_Process_Volume*R474*R684/88020000000))),IF(R532="Instantaneous",1000000*(R457/R474)*(R529/(WorkArea_Distance+R531))^(1/R530),1000000*(R464/(Wind*R474))*(R503/(WorkArea_Distance+R505))^(1/R504))),IF(Location="Indoors",0,1000000))</f>
        <v>1000000</v>
      </c>
      <c r="S676" s="83"/>
      <c r="T676" s="93">
        <f>IF(AND(T464&gt;0,WorkArea_Distance&gt;0.1),IF(AND(Location="Indoors",T684&gt;0),1000000/(1000000/T684+(Wind*T474*(WorkArea_Distance/T503)^(1/T504)/(IF(Enclosed_Ventilation_Rate&gt;1,Enclosed_Ventilation_Rate,1)*Enclosed_Process_Volume*T474*T684/88020000000))),IF(T532="Instantaneous",1000000*(T457/T474)*(T529/(WorkArea_Distance+T531))^(1/T530),1000000*(T464/(Wind*T474))*(T503/(WorkArea_Distance+T505))^(1/T504))),IF(Location="Indoors",0,1000000))</f>
        <v>1000000</v>
      </c>
      <c r="U676" s="83"/>
      <c r="V676" s="93">
        <f>IF(AND(V464&gt;0,WorkArea_Distance&gt;0.1),IF(AND(Location="Indoors",V684&gt;0),1000000/(1000000/V684+(Wind*V474*(WorkArea_Distance/V503)^(1/V504)/(IF(Enclosed_Ventilation_Rate&gt;1,Enclosed_Ventilation_Rate,1)*Enclosed_Process_Volume*V474*V684/88020000000))),IF(V532="Instantaneous",1000000*(V457/V474)*(V529/(WorkArea_Distance+V531))^(1/V530),1000000*(V464/(Wind*V474))*(V503/(WorkArea_Distance+V505))^(1/V504))),IF(Location="Indoors",0,1000000))</f>
        <v>1000000</v>
      </c>
      <c r="W676" s="83"/>
      <c r="X676" s="93">
        <f>IF(AND(X464&gt;0,WorkArea_Distance&gt;0.1),IF(AND(Location="Indoors",X684&gt;0),1000000/(1000000/X684+(Wind*X474*(WorkArea_Distance/X503)^(1/X504)/(IF(Enclosed_Ventilation_Rate&gt;1,Enclosed_Ventilation_Rate,1)*Enclosed_Process_Volume*X474*X684/88020000000))),IF(X532="Instantaneous",1000000*(X457/X474)*(X529/(WorkArea_Distance+X531))^(1/X530),1000000*(X464/(Wind*X474))*(X503/(WorkArea_Distance+X505))^(1/X504))),IF(Location="Indoors",0,1000000))</f>
        <v>1000000</v>
      </c>
      <c r="Y676" s="83"/>
      <c r="Z676" s="92" t="s">
        <v>1506</v>
      </c>
      <c r="AA676" s="83"/>
      <c r="AB676" s="81"/>
      <c r="AC676" s="512" t="str">
        <f t="shared" si="92"/>
        <v/>
      </c>
      <c r="AD676" s="81"/>
      <c r="AE676" s="2091">
        <f>IF(AND(AE$620&gt;0,LC1_5&gt;0),AE$620/(LC1_5/AE$613^(1/Pn_5)),0)</f>
        <v>0</v>
      </c>
      <c r="AF676" s="81"/>
      <c r="AG676" s="2091">
        <f>IF(AND(AG$620&gt;0,LC1_5&gt;0),AG$620/(LC1_5/AG$613^(1/Pn_5)),0)</f>
        <v>0</v>
      </c>
      <c r="AH676" s="81"/>
      <c r="AI676" s="2091">
        <f>IF(AND(AI$620&gt;0,LC1_5&gt;0),AI$620/(LC1_5/AI$613^(1/Pn_5)),0)</f>
        <v>0</v>
      </c>
      <c r="AJ676" s="81"/>
      <c r="AK676" s="81"/>
      <c r="AL676" s="81"/>
      <c r="AM676" s="81"/>
      <c r="AN676" s="81"/>
      <c r="AO676" s="81"/>
      <c r="AP676" s="81"/>
      <c r="AQ676" s="23"/>
      <c r="AR676" s="81"/>
    </row>
    <row r="677" spans="1:44" ht="15" customHeight="1" thickBot="1" x14ac:dyDescent="0.3">
      <c r="A677" s="2"/>
      <c r="B677" s="85" t="s">
        <v>1658</v>
      </c>
      <c r="C677" s="83"/>
      <c r="D677" s="1209">
        <f>IF(AND(D464&gt;0,Occ_Bldg&gt;0.1),IF(AND(Location="Indoors",D684&gt;0),1000000/(1000000/D684+(Wind*D474*(Occ_Bldg/D503)^(1/D504)/(IF(Enclosed_Ventilation_Rate&gt;1,Enclosed_Ventilation_Rate,1)*Enclosed_Process_Volume*D474*D684/88020000000))),IF(D532="Instantaneous",1000000*(D457/D474)*(D529/(Occ_Bldg+D531))^(1/D530),1000000*(D464/(Wind*D474))*(D503/(Occ_Bldg+D505))^(1/D504))),0)</f>
        <v>0</v>
      </c>
      <c r="E677" s="83"/>
      <c r="F677" s="1209">
        <f>IF(AND(F464&gt;0,Occ_Bldg&gt;0.1),IF(AND(Location="Indoors",F684&gt;0),1000000/(1000000/F684+(Wind*F474*(Occ_Bldg/F503)^(1/F504)/(IF(Enclosed_Ventilation_Rate&gt;1,Enclosed_Ventilation_Rate,1)*Enclosed_Process_Volume*F474*F684/88020000000))),IF(F532="Instantaneous",1000000*(F457/F474)*(F529/(Occ_Bldg+F531))^(1/F530),1000000*(F464/(Wind*F474))*(F503/(Occ_Bldg+F505))^(1/F504))),0)</f>
        <v>0</v>
      </c>
      <c r="G677" s="83"/>
      <c r="H677" s="1209">
        <f>IF(AND(H464&gt;0,Occ_Bldg&gt;0.1),IF(AND(Location="Indoors",H684&gt;0),1000000/(1000000/H684+(Wind*H474*(Occ_Bldg/H503)^(1/H504)/(IF(Enclosed_Ventilation_Rate&gt;1,Enclosed_Ventilation_Rate,1)*Enclosed_Process_Volume*H474*H684/88020000000))),IF(H532="Instantaneous",1000000*(H457/H474)*(H529/(Occ_Bldg+H531))^(1/H530),1000000*(H464/(Wind*H474))*(H503/(Occ_Bldg+H505))^(1/H504))),0)</f>
        <v>0</v>
      </c>
      <c r="I677" s="83"/>
      <c r="J677" s="1209">
        <f>IF(AND(J464&gt;0,Occ_Bldg&gt;0.1),IF(AND(Location="Indoors",J684&gt;0),1000000/(1000000/J684+(Wind*J474*(Occ_Bldg/J503)^(1/J504)/(IF(Enclosed_Ventilation_Rate&gt;1,Enclosed_Ventilation_Rate,1)*Enclosed_Process_Volume*J474*J684/88020000000))),IF(J532="Instantaneous",1000000*(J457/J474)*(J529/(Occ_Bldg+J531))^(1/J530),1000000*(J464/(Wind*J474))*(J503/(Occ_Bldg+J505))^(1/J504))),0)</f>
        <v>0</v>
      </c>
      <c r="K677" s="83"/>
      <c r="L677" s="1209">
        <f>IF(AND(L464&gt;0,Occ_Bldg&gt;0.1),IF(AND(Location="Indoors",L684&gt;0),1000000/(1000000/L684+(Wind*L474*(Occ_Bldg/L503)^(1/L504)/(IF(Enclosed_Ventilation_Rate&gt;1,Enclosed_Ventilation_Rate,1)*Enclosed_Process_Volume*L474*L684/88020000000))),IF(L532="Instantaneous",1000000*(L457/L474)*(L529/(Occ_Bldg+L531))^(1/L530),1000000*(L464/(Wind*L474))*(L503/(Occ_Bldg+L505))^(1/L504))),0)</f>
        <v>0</v>
      </c>
      <c r="M677" s="83"/>
      <c r="N677" s="1209">
        <f>IF(AND(N464&gt;0,Occ_Bldg&gt;0.1),IF(AND(Location="Indoors",N684&gt;0),1000000/(1000000/N684+(Wind*N474*(Occ_Bldg/N503)^(1/N504)/(IF(Enclosed_Ventilation_Rate&gt;1,Enclosed_Ventilation_Rate,1)*Enclosed_Process_Volume*N474*N684/88020000000))),IF(N532="Instantaneous",1000000*(N457/N474)*(N529/(Occ_Bldg+N531))^(1/N530),1000000*(N464/(Wind*N474))*(N503/(Occ_Bldg+N505))^(1/N504))),0)</f>
        <v>0</v>
      </c>
      <c r="O677" s="83"/>
      <c r="P677" s="1209">
        <f>IF(AND(P464&gt;0,Occ_Bldg&gt;0.1),IF(AND(Location="Indoors",P684&gt;0),1000000/(1000000/P684+(Wind*P474*(Occ_Bldg/P503)^(1/P504)/(IF(Enclosed_Ventilation_Rate&gt;1,Enclosed_Ventilation_Rate,1)*Enclosed_Process_Volume*P474*P684/88020000000))),IF(P532="Instantaneous",1000000*(P457/P474)*(P529/(Occ_Bldg+P531))^(1/P530),1000000*(P464/(Wind*P474))*(P503/(Occ_Bldg+P505))^(1/P504))),0)</f>
        <v>0</v>
      </c>
      <c r="Q677" s="83"/>
      <c r="R677" s="1209">
        <f>IF(AND(R464&gt;0,Occ_Bldg&gt;0.1),IF(AND(Location="Indoors",R684&gt;0),1000000/(1000000/R684+(Wind*R474*(Occ_Bldg/R503)^(1/R504)/(IF(Enclosed_Ventilation_Rate&gt;1,Enclosed_Ventilation_Rate,1)*Enclosed_Process_Volume*R474*R684/88020000000))),IF(R532="Instantaneous",1000000*(R457/R474)*(R529/(Occ_Bldg+R531))^(1/R530),1000000*(R464/(Wind*R474))*(R503/(Occ_Bldg+R505))^(1/R504))),0)</f>
        <v>0</v>
      </c>
      <c r="S677" s="83"/>
      <c r="T677" s="1209">
        <f>IF(AND(T464&gt;0,Occ_Bldg&gt;0.1),IF(AND(Location="Indoors",T684&gt;0),1000000/(1000000/T684+(Wind*T474*(Occ_Bldg/T503)^(1/T504)/(IF(Enclosed_Ventilation_Rate&gt;1,Enclosed_Ventilation_Rate,1)*Enclosed_Process_Volume*T474*T684/88020000000))),IF(T532="Instantaneous",1000000*(T457/T474)*(T529/(Occ_Bldg+T531))^(1/T530),1000000*(T464/(Wind*T474))*(T503/(Occ_Bldg+T505))^(1/T504))),0)</f>
        <v>0</v>
      </c>
      <c r="U677" s="83"/>
      <c r="V677" s="1209">
        <f>IF(AND(V464&gt;0,Occ_Bldg&gt;0.1),IF(AND(Location="Indoors",V684&gt;0),1000000/(1000000/V684+(Wind*V474*(Occ_Bldg/V503)^(1/V504)/(IF(Enclosed_Ventilation_Rate&gt;1,Enclosed_Ventilation_Rate,1)*Enclosed_Process_Volume*V474*V684/88020000000))),IF(V532="Instantaneous",1000000*(V457/V474)*(V529/(Occ_Bldg+V531))^(1/V530),1000000*(V464/(Wind*V474))*(V503/(Occ_Bldg+V505))^(1/V504))),0)</f>
        <v>0</v>
      </c>
      <c r="W677" s="83"/>
      <c r="X677" s="1209">
        <f>IF(AND(X464&gt;0,Occ_Bldg&gt;0.1),IF(AND(Location="Indoors",X684&gt;0),1000000/(1000000/X684+(Wind*X474*(Occ_Bldg/X503)^(1/X504)/(IF(Enclosed_Ventilation_Rate&gt;1,Enclosed_Ventilation_Rate,1)*Enclosed_Process_Volume*X474*X684/88020000000))),IF(X532="Instantaneous",1000000*(X457/X474)*(X529/(Occ_Bldg+X531))^(1/X530),1000000*(X464/(Wind*X474))*(X503/(Occ_Bldg+X505))^(1/X504))),0)</f>
        <v>0</v>
      </c>
      <c r="Y677" s="83"/>
      <c r="Z677" s="85" t="s">
        <v>1506</v>
      </c>
      <c r="AA677" s="83"/>
      <c r="AB677" s="81"/>
      <c r="AC677" s="615" t="s">
        <v>5138</v>
      </c>
      <c r="AD677" s="81"/>
      <c r="AE677" s="1311">
        <f>IF(AND(AE$621&gt;0,LC1Pad&gt;0),AE$621/(LC1Pad/AE$613^(1/PnPad)),0)</f>
        <v>0</v>
      </c>
      <c r="AF677" s="81"/>
      <c r="AG677" s="1311">
        <f>IF(AND(AG$621&gt;0,LC1Pad&gt;0),AG$621/(LC1Pad/AG$613^(1/PnPad)),0)</f>
        <v>0</v>
      </c>
      <c r="AH677" s="81"/>
      <c r="AI677" s="1311">
        <f>IF(AND(AI$621&gt;0,LC1Pad&gt;0),AI$621/(LC1Pad/AI$613^(1/PnPad)),0)</f>
        <v>0</v>
      </c>
      <c r="AJ677" s="81"/>
      <c r="AK677" s="81"/>
      <c r="AL677" s="81"/>
      <c r="AM677" s="81"/>
      <c r="AN677" s="81"/>
      <c r="AO677" s="81"/>
      <c r="AP677" s="81"/>
      <c r="AQ677" s="23"/>
      <c r="AR677" s="81"/>
    </row>
    <row r="678" spans="1:44" ht="15" customHeight="1" thickBot="1" x14ac:dyDescent="0.3">
      <c r="A678" s="2"/>
      <c r="B678" s="85" t="s">
        <v>2930</v>
      </c>
      <c r="C678" s="83"/>
      <c r="D678" s="1286">
        <f>IF(AND(D464&gt;0,Occ_Bldg2&gt;0.1),IF(AND(Location="Indoors",D684&gt;0),1000000/(1000000/D684+(Wind*D474*(Occ_Bldg2/D503)^(1/D504)/(IF(Enclosed_Ventilation_Rate&gt;1,Enclosed_Ventilation_Rate,1)*Enclosed_Process_Volume*D474*D684/88020000000))),IF(D541="Instantaneous",1000000*(D457/D474)*(D529/(Occ_Bldg2+D531))^(1/D530),1000000*(D464/(Wind*D474))*(D503/(Occ_Bldg2+D505))^(1/D504))),0)</f>
        <v>0</v>
      </c>
      <c r="E678" s="83"/>
      <c r="F678" s="1286">
        <f>IF(AND(F464&gt;0,Occ_Bldg2&gt;0.1),IF(AND(Location="Indoors",F684&gt;0),1000000/(1000000/F684+(Wind*F474*(Occ_Bldg2/F503)^(1/F504)/(IF(Enclosed_Ventilation_Rate&gt;1,Enclosed_Ventilation_Rate,1)*Enclosed_Process_Volume*F474*F684/88020000000))),IF(F541="Instantaneous",1000000*(F457/F474)*(F529/(Occ_Bldg2+F531))^(1/F530),1000000*(F464/(Wind*F474))*(F503/(Occ_Bldg2+F505))^(1/F504))),0)</f>
        <v>0</v>
      </c>
      <c r="G678" s="83"/>
      <c r="H678" s="1286">
        <f>IF(AND(H464&gt;0,Occ_Bldg2&gt;0.1),IF(AND(Location="Indoors",H684&gt;0),1000000/(1000000/H684+(Wind*H474*(Occ_Bldg2/H503)^(1/H504)/(IF(Enclosed_Ventilation_Rate&gt;1,Enclosed_Ventilation_Rate,1)*Enclosed_Process_Volume*H474*H684/88020000000))),IF(H541="Instantaneous",1000000*(H457/H474)*(H529/(Occ_Bldg2+H531))^(1/H530),1000000*(H464/(Wind*H474))*(H503/(Occ_Bldg2+H505))^(1/H504))),0)</f>
        <v>0</v>
      </c>
      <c r="I678" s="83"/>
      <c r="J678" s="1286">
        <f>IF(AND(J464&gt;0,Occ_Bldg2&gt;0.1),IF(AND(Location="Indoors",J684&gt;0),1000000/(1000000/J684+(Wind*J474*(Occ_Bldg2/J503)^(1/J504)/(IF(Enclosed_Ventilation_Rate&gt;1,Enclosed_Ventilation_Rate,1)*Enclosed_Process_Volume*J474*J684/88020000000))),IF(J541="Instantaneous",1000000*(J457/J474)*(J529/(Occ_Bldg2+J531))^(1/J530),1000000*(J464/(Wind*J474))*(J503/(Occ_Bldg2+J505))^(1/J504))),0)</f>
        <v>0</v>
      </c>
      <c r="K678" s="83"/>
      <c r="L678" s="1286">
        <f>IF(AND(L464&gt;0,Occ_Bldg2&gt;0.1),IF(AND(Location="Indoors",L684&gt;0),1000000/(1000000/L684+(Wind*L474*(Occ_Bldg2/L503)^(1/L504)/(IF(Enclosed_Ventilation_Rate&gt;1,Enclosed_Ventilation_Rate,1)*Enclosed_Process_Volume*L474*L684/88020000000))),IF(L541="Instantaneous",1000000*(L457/L474)*(L529/(Occ_Bldg2+L531))^(1/L530),1000000*(L464/(Wind*L474))*(L503/(Occ_Bldg2+L505))^(1/L504))),0)</f>
        <v>0</v>
      </c>
      <c r="M678" s="83"/>
      <c r="N678" s="1286">
        <f>IF(AND(N464&gt;0,Occ_Bldg2&gt;0.1),IF(AND(Location="Indoors",N684&gt;0),1000000/(1000000/N684+(Wind*N474*(Occ_Bldg2/N503)^(1/N504)/(IF(Enclosed_Ventilation_Rate&gt;1,Enclosed_Ventilation_Rate,1)*Enclosed_Process_Volume*N474*N684/88020000000))),IF(N541="Instantaneous",1000000*(N457/N474)*(N529/(Occ_Bldg2+N531))^(1/N530),1000000*(N464/(Wind*N474))*(N503/(Occ_Bldg2+N505))^(1/N504))),0)</f>
        <v>0</v>
      </c>
      <c r="O678" s="83"/>
      <c r="P678" s="1286">
        <f>IF(AND(P464&gt;0,Occ_Bldg2&gt;0.1),IF(AND(Location="Indoors",P684&gt;0),1000000/(1000000/P684+(Wind*P474*(Occ_Bldg2/P503)^(1/P504)/(IF(Enclosed_Ventilation_Rate&gt;1,Enclosed_Ventilation_Rate,1)*Enclosed_Process_Volume*P474*P684/88020000000))),IF(P541="Instantaneous",1000000*(P457/P474)*(P529/(Occ_Bldg2+P531))^(1/P530),1000000*(P464/(Wind*P474))*(P503/(Occ_Bldg2+P505))^(1/P504))),0)</f>
        <v>0</v>
      </c>
      <c r="Q678" s="83"/>
      <c r="R678" s="1286">
        <f>IF(AND(R464&gt;0,Occ_Bldg2&gt;0.1),IF(AND(Location="Indoors",R684&gt;0),1000000/(1000000/R684+(Wind*R474*(Occ_Bldg2/R503)^(1/R504)/(IF(Enclosed_Ventilation_Rate&gt;1,Enclosed_Ventilation_Rate,1)*Enclosed_Process_Volume*R474*R684/88020000000))),IF(R541="Instantaneous",1000000*(R457/R474)*(R529/(Occ_Bldg2+R531))^(1/R530),1000000*(R464/(Wind*R474))*(R503/(Occ_Bldg2+R505))^(1/R504))),0)</f>
        <v>0</v>
      </c>
      <c r="S678" s="83"/>
      <c r="T678" s="1286">
        <f>IF(AND(T464&gt;0,Occ_Bldg2&gt;0.1),IF(AND(Location="Indoors",T684&gt;0),1000000/(1000000/T684+(Wind*T474*(Occ_Bldg2/T503)^(1/T504)/(IF(Enclosed_Ventilation_Rate&gt;1,Enclosed_Ventilation_Rate,1)*Enclosed_Process_Volume*T474*T684/88020000000))),IF(T541="Instantaneous",1000000*(T457/T474)*(T529/(Occ_Bldg2+T531))^(1/T530),1000000*(T464/(Wind*T474))*(T503/(Occ_Bldg2+T505))^(1/T504))),0)</f>
        <v>0</v>
      </c>
      <c r="U678" s="83"/>
      <c r="V678" s="1286">
        <f>IF(AND(V464&gt;0,Occ_Bldg2&gt;0.1),IF(AND(Location="Indoors",V684&gt;0),1000000/(1000000/V684+(Wind*V474*(Occ_Bldg2/V503)^(1/V504)/(IF(Enclosed_Ventilation_Rate&gt;1,Enclosed_Ventilation_Rate,1)*Enclosed_Process_Volume*V474*V684/88020000000))),IF(V541="Instantaneous",1000000*(V457/V474)*(V529/(Occ_Bldg2+V531))^(1/V530),1000000*(V464/(Wind*V474))*(V503/(Occ_Bldg2+V505))^(1/V504))),0)</f>
        <v>0</v>
      </c>
      <c r="W678" s="83"/>
      <c r="X678" s="1286">
        <f>IF(AND(X464&gt;0,Occ_Bldg2&gt;0.1),IF(AND(Location="Indoors",X684&gt;0),1000000/(1000000/X684+(Wind*X474*(Occ_Bldg2/X503)^(1/X504)/(IF(Enclosed_Ventilation_Rate&gt;1,Enclosed_Ventilation_Rate,1)*Enclosed_Process_Volume*X474*X684/88020000000))),IF(X541="Instantaneous",1000000*(X457/X474)*(X529/(Occ_Bldg2+X531))^(1/X530),1000000*(X464/(Wind*X474))*(X503/(Occ_Bldg2+X505))^(1/X504))),0)</f>
        <v>0</v>
      </c>
      <c r="Y678" s="83"/>
      <c r="Z678" s="85" t="s">
        <v>1506</v>
      </c>
      <c r="AA678" s="83"/>
      <c r="AB678" s="81"/>
      <c r="AC678" s="119" t="s">
        <v>3512</v>
      </c>
      <c r="AD678" s="81"/>
      <c r="AE678" s="2101" t="str">
        <f>IF(AND(AE$613&gt;0,SUM(AE672:AE677)&gt;0),IF(1/SUM(AE672:AE677)&lt;1000000,1/SUM(AE672:AE677),1000000),"")</f>
        <v/>
      </c>
      <c r="AF678" s="81"/>
      <c r="AG678" s="2101" t="str">
        <f>IF(AND(AG$613&gt;0,SUM(AG672:AG677)&gt;0),IF(1/SUM(AG672:AG677)&lt;1000000,1/SUM(AG672:AG677),1000000),"")</f>
        <v/>
      </c>
      <c r="AH678" s="81"/>
      <c r="AI678" s="2101" t="str">
        <f>IF(AND(AI$613&gt;0,SUM(AI672:AI677)&gt;0),IF(1/SUM(AI672:AI677)&lt;1000000,1/SUM(AI672:AI677),1000000),"")</f>
        <v/>
      </c>
      <c r="AJ678" s="81"/>
      <c r="AK678" s="81"/>
      <c r="AL678" s="81"/>
      <c r="AM678" s="81"/>
      <c r="AN678" s="81"/>
      <c r="AO678" s="81"/>
      <c r="AP678" s="81"/>
      <c r="AQ678" s="25" t="s">
        <v>1506</v>
      </c>
      <c r="AR678" s="81"/>
    </row>
    <row r="679" spans="1:44" ht="15" customHeight="1" x14ac:dyDescent="0.25">
      <c r="A679" s="2"/>
      <c r="B679" s="85" t="s">
        <v>5293</v>
      </c>
      <c r="C679" s="83"/>
      <c r="D679" s="1820">
        <f>MIN(D677*(1-EXP(-IF(Ventilation_Rate="",Occ_Bldg_Vent,Ventilation_Rate)*D595/2)),D604)</f>
        <v>0</v>
      </c>
      <c r="E679" s="235"/>
      <c r="F679" s="1820">
        <f>MIN(F677*(1-EXP(-IF(Ventilation_Rate="",Occ_Bldg_Vent,Ventilation_Rate)*F595/2)),F604)</f>
        <v>0</v>
      </c>
      <c r="G679" s="83"/>
      <c r="H679" s="1820">
        <f>MIN(H677*(1-EXP(-IF(Ventilation_Rate="",Occ_Bldg_Vent,Ventilation_Rate)*H595/2)),H604)</f>
        <v>0</v>
      </c>
      <c r="I679" s="83"/>
      <c r="J679" s="1820">
        <f>MIN(J677*(1-EXP(-IF(Ventilation_Rate="",Occ_Bldg_Vent,Ventilation_Rate)*J595/2)),J604)</f>
        <v>0</v>
      </c>
      <c r="K679" s="83"/>
      <c r="L679" s="1820">
        <f>MIN(L677*(1-EXP(-IF(Ventilation_Rate="",Occ_Bldg_Vent,Ventilation_Rate)*L595/2)),L604)</f>
        <v>0</v>
      </c>
      <c r="M679" s="83"/>
      <c r="N679" s="1820">
        <f>MIN(N677*(1-EXP(-IF(Ventilation_Rate="",Occ_Bldg_Vent,Ventilation_Rate)*N595/2)),N604)</f>
        <v>0</v>
      </c>
      <c r="O679" s="83"/>
      <c r="P679" s="1820">
        <f>MIN(P677*(1-EXP(-IF(Ventilation_Rate="",Occ_Bldg_Vent,Ventilation_Rate)*P595/2)),P604)</f>
        <v>0</v>
      </c>
      <c r="Q679" s="83"/>
      <c r="R679" s="1820">
        <f>MIN(R677*(1-EXP(-IF(Ventilation_Rate="",Occ_Bldg_Vent,Ventilation_Rate)*R595/2)),R604)</f>
        <v>0</v>
      </c>
      <c r="S679" s="83"/>
      <c r="T679" s="1820">
        <f>MIN(T677*(1-EXP(-IF(Ventilation_Rate="",Occ_Bldg_Vent,Ventilation_Rate)*T595/2)),T604)</f>
        <v>0</v>
      </c>
      <c r="U679" s="83"/>
      <c r="V679" s="1820">
        <f>MIN(V677*(1-EXP(-IF(Ventilation_Rate="",Occ_Bldg_Vent,Ventilation_Rate)*V595/2)),V604)</f>
        <v>0</v>
      </c>
      <c r="W679" s="83"/>
      <c r="X679" s="1820">
        <f>MIN(X677*(1-EXP(-IF(Ventilation_Rate="",Occ_Bldg_Vent,Ventilation_Rate)*X595/2)),X604)</f>
        <v>0</v>
      </c>
      <c r="Y679" s="83"/>
      <c r="Z679" s="85" t="s">
        <v>1506</v>
      </c>
      <c r="AA679" s="83"/>
      <c r="AB679" s="81"/>
      <c r="AC679" s="512" t="str">
        <f>B652</f>
        <v/>
      </c>
      <c r="AD679" s="81"/>
      <c r="AE679" s="2091">
        <f>IF(AND(AE$616&gt;0,LC1_1&gt;0),AE$616/(LC1_1/AE$614^(1/Pn_1)),0)</f>
        <v>0</v>
      </c>
      <c r="AF679" s="81"/>
      <c r="AG679" s="2091">
        <f>IF(AND(AG$616&gt;0,LC1_1&gt;0),AG$616/(LC1_1/AG$614^(1/Pn_1)),0)</f>
        <v>0</v>
      </c>
      <c r="AH679" s="81"/>
      <c r="AI679" s="2091">
        <f>IF(AND(AI$616&gt;0,LC1_1&gt;0),AI$616/(LC1_1/AI$614^(1/Pn_1)),0)</f>
        <v>0</v>
      </c>
      <c r="AJ679" s="81"/>
      <c r="AK679" s="81"/>
      <c r="AL679" s="81"/>
      <c r="AM679" s="81"/>
      <c r="AN679" s="81"/>
      <c r="AO679" s="81"/>
      <c r="AP679" s="81"/>
      <c r="AQ679" s="84"/>
      <c r="AR679" s="81"/>
    </row>
    <row r="680" spans="1:44" ht="15" customHeight="1" x14ac:dyDescent="0.25">
      <c r="A680" s="2"/>
      <c r="B680" s="85" t="s">
        <v>3542</v>
      </c>
      <c r="C680" s="83"/>
      <c r="D680" s="108">
        <f>MIN(D678*(1-EXP(-IF(Ventilation_Rate2="",Occ_Bldg_Vent,Ventilation_Rate2)*D595/2)),D604)</f>
        <v>0</v>
      </c>
      <c r="E680" s="235"/>
      <c r="F680" s="108">
        <f>MIN(F678*(1-EXP(-IF(Ventilation_Rate2="",Occ_Bldg_Vent,Ventilation_Rate2)*F595/2)),F604)</f>
        <v>0</v>
      </c>
      <c r="G680" s="83"/>
      <c r="H680" s="108">
        <f>MIN(H678*(1-EXP(-IF(Ventilation_Rate2="",Occ_Bldg_Vent,Ventilation_Rate2)*H595/2)),H604)</f>
        <v>0</v>
      </c>
      <c r="I680" s="83"/>
      <c r="J680" s="108">
        <f>MIN(J678*(1-EXP(-IF(Ventilation_Rate2="",Occ_Bldg_Vent,Ventilation_Rate2)*J595/2)),J604)</f>
        <v>0</v>
      </c>
      <c r="K680" s="83"/>
      <c r="L680" s="108">
        <f>MIN(L678*(1-EXP(-IF(Ventilation_Rate2="",Occ_Bldg_Vent,Ventilation_Rate2)*L595/2)),L604)</f>
        <v>0</v>
      </c>
      <c r="M680" s="83"/>
      <c r="N680" s="108">
        <f>MIN(N678*(1-EXP(-IF(Ventilation_Rate2="",Occ_Bldg_Vent,Ventilation_Rate2)*N595/2)),N604)</f>
        <v>0</v>
      </c>
      <c r="O680" s="83"/>
      <c r="P680" s="108">
        <f>MIN(P678*(1-EXP(-IF(Ventilation_Rate2="",Occ_Bldg_Vent,Ventilation_Rate2)*P595/2)),P604)</f>
        <v>0</v>
      </c>
      <c r="Q680" s="83"/>
      <c r="R680" s="108">
        <f>MIN(R678*(1-EXP(-IF(Ventilation_Rate2="",Occ_Bldg_Vent,Ventilation_Rate2)*R595/2)),R604)</f>
        <v>0</v>
      </c>
      <c r="S680" s="83"/>
      <c r="T680" s="108">
        <f>MIN(T678*(1-EXP(-IF(Ventilation_Rate2="",Occ_Bldg_Vent,Ventilation_Rate2)*T595/2)),T604)</f>
        <v>0</v>
      </c>
      <c r="U680" s="83"/>
      <c r="V680" s="108">
        <f>MIN(V678*(1-EXP(-IF(Ventilation_Rate2="",Occ_Bldg_Vent,Ventilation_Rate2)*V595/2)),V604)</f>
        <v>0</v>
      </c>
      <c r="W680" s="83"/>
      <c r="X680" s="108">
        <f>MIN(X678*(1-EXP(-IF(Ventilation_Rate2="",Occ_Bldg_Vent,Ventilation_Rate2)*X595/2)),X604)</f>
        <v>0</v>
      </c>
      <c r="Y680" s="83"/>
      <c r="Z680" s="85" t="s">
        <v>1506</v>
      </c>
      <c r="AA680" s="83"/>
      <c r="AB680" s="81"/>
      <c r="AC680" s="512" t="str">
        <f t="shared" ref="AC680:AC683" si="93">B653</f>
        <v/>
      </c>
      <c r="AD680" s="81"/>
      <c r="AE680" s="2091">
        <f>IF(AND(AE$617&gt;0,LC1_2&gt;0),AE$617/(LC1_2/AE$614^(1/Pn_2)),0)</f>
        <v>0</v>
      </c>
      <c r="AF680" s="81"/>
      <c r="AG680" s="2091">
        <f>IF(AND(AG$617&gt;0,LC1_2&gt;0),AG$617/(LC1_2/AG$614^(1/Pn_2)),0)</f>
        <v>0</v>
      </c>
      <c r="AH680" s="81"/>
      <c r="AI680" s="2091">
        <f>IF(AND(AI$617&gt;0,LC1_2&gt;0),AI$617/(LC1_2/AI$614^(1/Pn_2)),0)</f>
        <v>0</v>
      </c>
      <c r="AJ680" s="81"/>
      <c r="AK680" s="81"/>
      <c r="AL680" s="81"/>
      <c r="AM680" s="81"/>
      <c r="AN680" s="81"/>
      <c r="AO680" s="81"/>
      <c r="AP680" s="81"/>
      <c r="AQ680" s="23"/>
      <c r="AR680" s="81"/>
    </row>
    <row r="681" spans="1:44" ht="15" customHeight="1" x14ac:dyDescent="0.25">
      <c r="A681" s="2"/>
      <c r="B681" s="85" t="s">
        <v>4718</v>
      </c>
      <c r="C681" s="83"/>
      <c r="D681" s="1820" t="str">
        <f>IF(D637&lt;&gt;"",IF(OR(D637&gt;D679,1-D637/D677&lt;0),"",-Max_Duration*LN(1-D637/D677)/IF(Ventilation_Rate="",Occ_Bldg_Vent,Ventilation_Rate)),"")</f>
        <v/>
      </c>
      <c r="E681" s="235"/>
      <c r="F681" s="1820" t="str">
        <f>IF(F637&lt;&gt;"",IF(OR(F637&gt;F679,1-F637/F677&lt;0),"",-Max_Duration*LN(1-F637/F677)/IF(Ventilation_Rate="",Occ_Bldg_Vent,Ventilation_Rate)),"")</f>
        <v/>
      </c>
      <c r="G681" s="83"/>
      <c r="H681" s="1820" t="str">
        <f>IF(H637&lt;&gt;"",IF(OR(H637&gt;H679,1-H637/H677&lt;0),"",-Max_Duration*LN(1-H637/H677)/IF(Ventilation_Rate="",Occ_Bldg_Vent,Ventilation_Rate)),"")</f>
        <v/>
      </c>
      <c r="I681" s="83"/>
      <c r="J681" s="1820" t="str">
        <f>IF(J637&lt;&gt;"",IF(OR(J637&gt;J679,1-J637/J677&lt;0),"",-Max_Duration*LN(1-J637/J677)/IF(Ventilation_Rate="",Occ_Bldg_Vent,Ventilation_Rate)),"")</f>
        <v/>
      </c>
      <c r="K681" s="83"/>
      <c r="L681" s="1820" t="str">
        <f>IF(L637&lt;&gt;"",IF(OR(L637&gt;L679,1-L637/L677&lt;0),"",-Max_Duration*LN(1-L637/L677)/IF(Ventilation_Rate="",Occ_Bldg_Vent,Ventilation_Rate)),"")</f>
        <v/>
      </c>
      <c r="M681" s="83"/>
      <c r="N681" s="1820" t="str">
        <f>IF(N637&lt;&gt;"",IF(OR(N637&gt;N679,1-N637/N677&lt;0),"",-Max_Duration*LN(1-N637/N677)/IF(Ventilation_Rate="",Occ_Bldg_Vent,Ventilation_Rate)),"")</f>
        <v/>
      </c>
      <c r="O681" s="83"/>
      <c r="P681" s="1820" t="str">
        <f>IF(P637&lt;&gt;"",IF(OR(P637&gt;P679,1-P637/P677&lt;0),"",-Max_Duration*LN(1-P637/P677)/IF(Ventilation_Rate="",Occ_Bldg_Vent,Ventilation_Rate)),"")</f>
        <v/>
      </c>
      <c r="Q681" s="83"/>
      <c r="R681" s="1820" t="str">
        <f>IF(R637&lt;&gt;"",IF(OR(R637&gt;R679,1-R637/R677&lt;0),"",-Max_Duration*LN(1-R637/R677)/IF(Ventilation_Rate="",Occ_Bldg_Vent,Ventilation_Rate)),"")</f>
        <v/>
      </c>
      <c r="S681" s="83"/>
      <c r="T681" s="1820" t="str">
        <f>IF(T637&lt;&gt;"",IF(OR(T637&gt;T679,1-T637/T677&lt;0),"",-Max_Duration*LN(1-T637/T677)/IF(Ventilation_Rate="",Occ_Bldg_Vent,Ventilation_Rate)),"")</f>
        <v/>
      </c>
      <c r="U681" s="83"/>
      <c r="V681" s="1820" t="str">
        <f>IF(V637&lt;&gt;"",IF(OR(V637&gt;V679,1-V637/V677&lt;0),"",-Max_Duration*LN(1-V637/V677)/IF(Ventilation_Rate="",Occ_Bldg_Vent,Ventilation_Rate)),"")</f>
        <v/>
      </c>
      <c r="W681" s="83"/>
      <c r="X681" s="1820" t="str">
        <f>IF(X637&lt;&gt;"",IF(OR(X637&gt;X679,1-X637/X677&lt;0),"",-Max_Duration*LN(1-X637/X677)/IF(Ventilation_Rate="",Occ_Bldg_Vent,Ventilation_Rate)),"")</f>
        <v/>
      </c>
      <c r="Y681" s="83"/>
      <c r="Z681" s="85" t="s">
        <v>1760</v>
      </c>
      <c r="AA681" s="83"/>
      <c r="AB681" s="81"/>
      <c r="AC681" s="512" t="str">
        <f t="shared" si="93"/>
        <v/>
      </c>
      <c r="AD681" s="81"/>
      <c r="AE681" s="2091">
        <f>IF(AND(AE$618&gt;0,LC1_3&gt;0),AE$618/(LC1_3/AE$614^(1/Pn_3)),0)</f>
        <v>0</v>
      </c>
      <c r="AF681" s="81"/>
      <c r="AG681" s="2091">
        <f>IF(AND(AG$618&gt;0,LC1_3&gt;0),AG$618/(LC1_3/AG$614^(1/Pn_3)),0)</f>
        <v>0</v>
      </c>
      <c r="AH681" s="81"/>
      <c r="AI681" s="2091">
        <f>IF(AND(AI$618&gt;0,LC1_3&gt;0),AI$618/(LC1_3/AI$614^(1/Pn_3)),0)</f>
        <v>0</v>
      </c>
      <c r="AJ681" s="81"/>
      <c r="AK681" s="81"/>
      <c r="AL681" s="81"/>
      <c r="AM681" s="81"/>
      <c r="AN681" s="81"/>
      <c r="AO681" s="81"/>
      <c r="AP681" s="81"/>
      <c r="AQ681" s="23"/>
      <c r="AR681" s="81"/>
    </row>
    <row r="682" spans="1:44" ht="15" customHeight="1" thickBot="1" x14ac:dyDescent="0.3">
      <c r="A682" s="2"/>
      <c r="B682" s="85" t="s">
        <v>4719</v>
      </c>
      <c r="C682" s="83"/>
      <c r="D682" s="2510" t="str">
        <f>IF(AND(Occ_Bldg2&gt;0,D637&lt;&gt;""),IF(OR(D637&gt;D680,1-D637/D678&lt;0),"",-Max_Duration*LN(1-D637/D678)/IF(Ventilation_Rate="",Occ_Bldg_Vent,Ventilation_Rate)),"")</f>
        <v/>
      </c>
      <c r="E682" s="235"/>
      <c r="F682" s="2510" t="str">
        <f>IF(AND(Occ_Bldg2&gt;0,F637&lt;&gt;""),IF(OR(F637&gt;F680,1-F637/F678&lt;0),"",-Max_Duration*LN(1-F637/F678)/IF(Ventilation_Rate="",Occ_Bldg_Vent,Ventilation_Rate)),"")</f>
        <v/>
      </c>
      <c r="G682" s="83"/>
      <c r="H682" s="2510" t="str">
        <f>IF(AND(Occ_Bldg2&gt;0,H637&lt;&gt;""),IF(OR(H637&gt;H680,1-H637/H678&lt;0),"",-Max_Duration*LN(1-H637/H678)/IF(Ventilation_Rate="",Occ_Bldg_Vent,Ventilation_Rate)),"")</f>
        <v/>
      </c>
      <c r="I682" s="83"/>
      <c r="J682" s="2510" t="str">
        <f>IF(AND(Occ_Bldg2&gt;0,J637&lt;&gt;""),IF(OR(J637&gt;J680,1-J637/J678&lt;0),"",-Max_Duration*LN(1-J637/J678)/IF(Ventilation_Rate="",Occ_Bldg_Vent,Ventilation_Rate)),"")</f>
        <v/>
      </c>
      <c r="K682" s="83"/>
      <c r="L682" s="2510" t="str">
        <f>IF(AND(Occ_Bldg2&gt;0,L637&lt;&gt;""),IF(OR(L637&gt;L680,1-L637/L678&lt;0),"",-Max_Duration*LN(1-L637/L678)/IF(Ventilation_Rate="",Occ_Bldg_Vent,Ventilation_Rate)),"")</f>
        <v/>
      </c>
      <c r="M682" s="83"/>
      <c r="N682" s="2510" t="str">
        <f>IF(AND(Occ_Bldg2&gt;0,N637&lt;&gt;""),IF(OR(N637&gt;N680,1-N637/N678&lt;0),"",-Max_Duration*LN(1-N637/N678)/IF(Ventilation_Rate="",Occ_Bldg_Vent,Ventilation_Rate)),"")</f>
        <v/>
      </c>
      <c r="O682" s="83"/>
      <c r="P682" s="2510" t="str">
        <f>IF(AND(Occ_Bldg2&gt;0,P637&lt;&gt;""),IF(OR(P637&gt;P680,1-P637/P678&lt;0),"",-Max_Duration*LN(1-P637/P678)/IF(Ventilation_Rate="",Occ_Bldg_Vent,Ventilation_Rate)),"")</f>
        <v/>
      </c>
      <c r="Q682" s="83"/>
      <c r="R682" s="2510" t="str">
        <f>IF(AND(Occ_Bldg2&gt;0,R637&lt;&gt;""),IF(OR(R637&gt;R680,1-R637/R678&lt;0),"",-Max_Duration*LN(1-R637/R678)/IF(Ventilation_Rate="",Occ_Bldg_Vent,Ventilation_Rate)),"")</f>
        <v/>
      </c>
      <c r="S682" s="83"/>
      <c r="T682" s="2510" t="str">
        <f>IF(AND(Occ_Bldg2&gt;0,T637&lt;&gt;""),IF(OR(T637&gt;T680,1-T637/T678&lt;0),"",-Max_Duration*LN(1-T637/T678)/IF(Ventilation_Rate="",Occ_Bldg_Vent,Ventilation_Rate)),"")</f>
        <v/>
      </c>
      <c r="U682" s="83"/>
      <c r="V682" s="2510" t="str">
        <f>IF(AND(Occ_Bldg2&gt;0,V637&lt;&gt;""),IF(OR(V637&gt;V680,1-V637/V678&lt;0),"",-Max_Duration*LN(1-V637/V678)/IF(Ventilation_Rate="",Occ_Bldg_Vent,Ventilation_Rate)),"")</f>
        <v/>
      </c>
      <c r="W682" s="83"/>
      <c r="X682" s="2510" t="str">
        <f>IF(AND(Occ_Bldg2&gt;0,X637&lt;&gt;""),IF(OR(X637&gt;X680,1-X637/X678&lt;0),"",-Max_Duration*LN(1-X637/X678)/IF(Ventilation_Rate="",Occ_Bldg_Vent,Ventilation_Rate)),"")</f>
        <v/>
      </c>
      <c r="Y682" s="83"/>
      <c r="Z682" s="85" t="s">
        <v>1760</v>
      </c>
      <c r="AA682" s="83"/>
      <c r="AB682" s="81"/>
      <c r="AC682" s="512" t="str">
        <f t="shared" si="93"/>
        <v/>
      </c>
      <c r="AD682" s="81"/>
      <c r="AE682" s="2091">
        <f>IF(AND(AE$619&gt;0,LC1_4&gt;0),AE$619/(LC1_4/AE$614^(1/Pn_4)),0)</f>
        <v>0</v>
      </c>
      <c r="AF682" s="81"/>
      <c r="AG682" s="2091">
        <f>IF(AND(AG$619&gt;0,LC1_4&gt;0),AG$619/(LC1_4/AG$614^(1/Pn_4)),0)</f>
        <v>0</v>
      </c>
      <c r="AH682" s="81"/>
      <c r="AI682" s="2091">
        <f>IF(AND(AI$619&gt;0,LC1_4&gt;0),AI$619/(LC1_4/AI$614^(1/Pn_4)),0)</f>
        <v>0</v>
      </c>
      <c r="AJ682" s="81"/>
      <c r="AK682" s="81"/>
      <c r="AL682" s="81"/>
      <c r="AM682" s="81"/>
      <c r="AN682" s="81"/>
      <c r="AO682" s="81"/>
      <c r="AP682" s="81"/>
      <c r="AQ682" s="23"/>
      <c r="AR682" s="81"/>
    </row>
    <row r="683" spans="1:44" ht="15" customHeight="1" x14ac:dyDescent="0.25">
      <c r="A683" s="2"/>
      <c r="B683" s="92" t="s">
        <v>3541</v>
      </c>
      <c r="C683" s="83"/>
      <c r="D683" s="102">
        <f>IF(AND(Location="Indoors",D474&gt;0),IF((88020000000*D464/D474)/(Vent_Nat*Enclosed_Process_Volume+88020*D464/D474)&lt;24450000*D437/(D474*Enclosed_Process_Volume),(88020000000*D464/D474)/(Vent_Nat*Enclosed_Process_Volume+88020*D464/D474),24450000*D437/(D474*Enclosed_Process_Volume)),0)</f>
        <v>0</v>
      </c>
      <c r="E683" s="235"/>
      <c r="F683" s="102">
        <f>IF(AND(Location="Indoors",F474&gt;0),IF((88020000000*F464/F474)/(Vent_Nat*Enclosed_Process_Volume+88020*F464/F474)&lt;24450000*F437/(F474*Enclosed_Process_Volume),(88020000000*F464/F474)/(Vent_Nat*Enclosed_Process_Volume+88020*F464/F474),24450000*F437/(F474*Enclosed_Process_Volume)),0)</f>
        <v>0</v>
      </c>
      <c r="G683" s="83"/>
      <c r="H683" s="102">
        <f>IF(AND(Location="Indoors",H474&gt;0),IF((88020000000*H464/H474)/(Vent_Nat*Enclosed_Process_Volume+88020*H464/H474)&lt;24450000*H437/(H474*Enclosed_Process_Volume),(88020000000*H464/H474)/(Vent_Nat*Enclosed_Process_Volume+88020*H464/H474),24450000*H437/(H474*Enclosed_Process_Volume)),0)</f>
        <v>0</v>
      </c>
      <c r="I683" s="83"/>
      <c r="J683" s="102">
        <f>IF(AND(Location="Indoors",J474&gt;0),IF((88020000000*J464/J474)/(Vent_Nat*Enclosed_Process_Volume+88020*J464/J474)&lt;24450000*J437/(J474*Enclosed_Process_Volume),(88020000000*J464/J474)/(Vent_Nat*Enclosed_Process_Volume+88020*J464/J474),24450000*J437/(J474*Enclosed_Process_Volume)),0)</f>
        <v>0</v>
      </c>
      <c r="K683" s="83"/>
      <c r="L683" s="102">
        <f>IF(AND(Location="Indoors",L474&gt;0),IF((88020000000*L464/L474)/(Vent_Nat*Enclosed_Process_Volume+88020*L464/L474)&lt;24450000*L437/(L474*Enclosed_Process_Volume),(88020000000*L464/L474)/(Vent_Nat*Enclosed_Process_Volume+88020*L464/L474),24450000*L437/(L474*Enclosed_Process_Volume)),0)</f>
        <v>0</v>
      </c>
      <c r="M683" s="83"/>
      <c r="N683" s="102">
        <f>IF(AND(Location="Indoors",N474&gt;0),IF((88020000000*N464/N474)/(Vent_Nat*Enclosed_Process_Volume+88020*N464/N474)&lt;24450000*N437/(N474*Enclosed_Process_Volume),(88020000000*N464/N474)/(Vent_Nat*Enclosed_Process_Volume+88020*N464/N474),24450000*N437/(N474*Enclosed_Process_Volume)),0)</f>
        <v>0</v>
      </c>
      <c r="O683" s="83"/>
      <c r="P683" s="102">
        <f>IF(AND(Location="Indoors",P474&gt;0),IF((88020000000*P464/P474)/(Vent_Nat*Enclosed_Process_Volume+88020*P464/P474)&lt;24450000*P437/(P474*Enclosed_Process_Volume),(88020000000*P464/P474)/(Vent_Nat*Enclosed_Process_Volume+88020*P464/P474),24450000*P437/(P474*Enclosed_Process_Volume)),0)</f>
        <v>0</v>
      </c>
      <c r="Q683" s="83"/>
      <c r="R683" s="102">
        <f>IF(AND(Location="Indoors",R474&gt;0),IF((88020000000*R464/R474)/(Vent_Nat*Enclosed_Process_Volume+88020*R464/R474)&lt;24450000*R437/(R474*Enclosed_Process_Volume),(88020000000*R464/R474)/(Vent_Nat*Enclosed_Process_Volume+88020*R464/R474),24450000*R437/(R474*Enclosed_Process_Volume)),0)</f>
        <v>0</v>
      </c>
      <c r="S683" s="83"/>
      <c r="T683" s="102">
        <f>IF(AND(Location="Indoors",T474&gt;0),IF((88020000000*T464/T474)/(Vent_Nat*Enclosed_Process_Volume+88020*T464/T474)&lt;24450000*T437/(T474*Enclosed_Process_Volume),(88020000000*T464/T474)/(Vent_Nat*Enclosed_Process_Volume+88020*T464/T474),24450000*T437/(T474*Enclosed_Process_Volume)),0)</f>
        <v>0</v>
      </c>
      <c r="U683" s="83"/>
      <c r="V683" s="102">
        <f>IF(AND(Location="Indoors",V474&gt;0),IF((88020000000*V464/V474)/(Vent_Nat*Enclosed_Process_Volume+88020*V464/V474)&lt;24450000*V437/(V474*Enclosed_Process_Volume),(88020000000*V464/V474)/(Vent_Nat*Enclosed_Process_Volume+88020*V464/V474),24450000*V437/(V474*Enclosed_Process_Volume)),0)</f>
        <v>0</v>
      </c>
      <c r="W683" s="83"/>
      <c r="X683" s="102">
        <f>IF(AND(Location="Indoors",X474&gt;0),IF((88020000000*X464/X474)/(Vent_Nat*Enclosed_Process_Volume+88020*X464/X474)&lt;24450000*X437/(X474*Enclosed_Process_Volume),(88020000000*X464/X474)/(Vent_Nat*Enclosed_Process_Volume+88020*X464/X474),24450000*X437/(X474*Enclosed_Process_Volume)),0)</f>
        <v>0</v>
      </c>
      <c r="Y683" s="83"/>
      <c r="Z683" s="92" t="s">
        <v>1506</v>
      </c>
      <c r="AA683" s="83"/>
      <c r="AB683" s="81"/>
      <c r="AC683" s="512" t="str">
        <f t="shared" si="93"/>
        <v/>
      </c>
      <c r="AD683" s="81"/>
      <c r="AE683" s="2091">
        <f>IF(AND(AE$620&gt;0,LC1_5&gt;0),AE$620/(LC1_5/AE$614^(1/Pn_5)),0)</f>
        <v>0</v>
      </c>
      <c r="AF683" s="81"/>
      <c r="AG683" s="2091">
        <f>IF(AND(AG$620&gt;0,LC1_5&gt;0),AG$620/(LC1_5/AG$614^(1/Pn_5)),0)</f>
        <v>0</v>
      </c>
      <c r="AH683" s="81"/>
      <c r="AI683" s="2091">
        <f>IF(AND(AI$620&gt;0,LC1_5&gt;0),AI$620/(LC1_5/AI$614^(1/Pn_5)),0)</f>
        <v>0</v>
      </c>
      <c r="AJ683" s="81"/>
      <c r="AK683" s="81"/>
      <c r="AL683" s="81"/>
      <c r="AM683" s="81"/>
      <c r="AN683" s="81"/>
      <c r="AO683" s="81"/>
      <c r="AP683" s="81"/>
      <c r="AQ683" s="23"/>
      <c r="AR683" s="81"/>
    </row>
    <row r="684" spans="1:44" ht="15" customHeight="1" thickBot="1" x14ac:dyDescent="0.3">
      <c r="A684" s="2"/>
      <c r="B684" s="85" t="s">
        <v>4111</v>
      </c>
      <c r="C684" s="83"/>
      <c r="D684" s="1183">
        <f>IF(AND(Location="Indoors",D474&gt;0,Enclosed_Ventilation_Rate&gt;0),IF((88020000000*D464/D474)/(Enclosed_Ventilation_Rate*Enclosed_Process_Volume+88020*D464/D474)&lt;24450000*D437/(D474*Enclosed_Process_Volume),(88020000000*D464/D474)/(Enclosed_Ventilation_Rate*Enclosed_Process_Volume+88020*D464/D474),24450000*D437/(D474*Enclosed_Process_Volume)),D683)</f>
        <v>0</v>
      </c>
      <c r="E684" s="235"/>
      <c r="F684" s="1183">
        <f>IF(AND(Location="Indoors",F474&gt;0,Enclosed_Ventilation_Rate&gt;0),IF((88020000000*F464/F474)/(Enclosed_Ventilation_Rate*Enclosed_Process_Volume+88020*F464/F474)&lt;24450000*F437/(F474*Enclosed_Process_Volume),(88020000000*F464/F474)/(Enclosed_Ventilation_Rate*Enclosed_Process_Volume+88020*F464/F474),24450000*F437/(F474*Enclosed_Process_Volume)),F683)</f>
        <v>0</v>
      </c>
      <c r="G684" s="83"/>
      <c r="H684" s="1183">
        <f>IF(AND(Location="Indoors",H474&gt;0,Enclosed_Ventilation_Rate&gt;0),IF((88020000000*H464/H474)/(Enclosed_Ventilation_Rate*Enclosed_Process_Volume+88020*H464/H474)&lt;24450000*H437/(H474*Enclosed_Process_Volume),(88020000000*H464/H474)/(Enclosed_Ventilation_Rate*Enclosed_Process_Volume+88020*H464/H474),24450000*H437/(H474*Enclosed_Process_Volume)),H683)</f>
        <v>0</v>
      </c>
      <c r="I684" s="83"/>
      <c r="J684" s="1183">
        <f>IF(AND(Location="Indoors",J474&gt;0,Enclosed_Ventilation_Rate&gt;0),IF((88020000000*J464/J474)/(Enclosed_Ventilation_Rate*Enclosed_Process_Volume+88020*J464/J474)&lt;24450000*J437/(J474*Enclosed_Process_Volume),(88020000000*J464/J474)/(Enclosed_Ventilation_Rate*Enclosed_Process_Volume+88020*J464/J474),24450000*J437/(J474*Enclosed_Process_Volume)),J683)</f>
        <v>0</v>
      </c>
      <c r="K684" s="83"/>
      <c r="L684" s="1183">
        <f>IF(AND(Location="Indoors",L474&gt;0,Enclosed_Ventilation_Rate&gt;0),IF((88020000000*L464/L474)/(Enclosed_Ventilation_Rate*Enclosed_Process_Volume+88020*L464/L474)&lt;24450000*L437/(L474*Enclosed_Process_Volume),(88020000000*L464/L474)/(Enclosed_Ventilation_Rate*Enclosed_Process_Volume+88020*L464/L474),24450000*L437/(L474*Enclosed_Process_Volume)),L683)</f>
        <v>0</v>
      </c>
      <c r="M684" s="83"/>
      <c r="N684" s="1183">
        <f>IF(AND(Location="Indoors",N474&gt;0,Enclosed_Ventilation_Rate&gt;0),IF((88020000000*N464/N474)/(Enclosed_Ventilation_Rate*Enclosed_Process_Volume+88020*N464/N474)&lt;24450000*N437/(N474*Enclosed_Process_Volume),(88020000000*N464/N474)/(Enclosed_Ventilation_Rate*Enclosed_Process_Volume+88020*N464/N474),24450000*N437/(N474*Enclosed_Process_Volume)),N683)</f>
        <v>0</v>
      </c>
      <c r="O684" s="83"/>
      <c r="P684" s="1183">
        <f>IF(AND(Location="Indoors",P474&gt;0,Enclosed_Ventilation_Rate&gt;0),IF((88020000000*P464/P474)/(Enclosed_Ventilation_Rate*Enclosed_Process_Volume+88020*P464/P474)&lt;24450000*P437/(P474*Enclosed_Process_Volume),(88020000000*P464/P474)/(Enclosed_Ventilation_Rate*Enclosed_Process_Volume+88020*P464/P474),24450000*P437/(P474*Enclosed_Process_Volume)),P683)</f>
        <v>0</v>
      </c>
      <c r="Q684" s="83"/>
      <c r="R684" s="1183">
        <f>IF(AND(Location="Indoors",R474&gt;0,Enclosed_Ventilation_Rate&gt;0),IF((88020000000*R464/R474)/(Enclosed_Ventilation_Rate*Enclosed_Process_Volume+88020*R464/R474)&lt;24450000*R437/(R474*Enclosed_Process_Volume),(88020000000*R464/R474)/(Enclosed_Ventilation_Rate*Enclosed_Process_Volume+88020*R464/R474),24450000*R437/(R474*Enclosed_Process_Volume)),R683)</f>
        <v>0</v>
      </c>
      <c r="S684" s="83"/>
      <c r="T684" s="1183">
        <f>IF(AND(Location="Indoors",T474&gt;0,Enclosed_Ventilation_Rate&gt;0),IF((88020000000*T464/T474)/(Enclosed_Ventilation_Rate*Enclosed_Process_Volume+88020*T464/T474)&lt;24450000*T437/(T474*Enclosed_Process_Volume),(88020000000*T464/T474)/(Enclosed_Ventilation_Rate*Enclosed_Process_Volume+88020*T464/T474),24450000*T437/(T474*Enclosed_Process_Volume)),T683)</f>
        <v>0</v>
      </c>
      <c r="U684" s="83"/>
      <c r="V684" s="1183">
        <f>IF(AND(Location="Indoors",V474&gt;0,Enclosed_Ventilation_Rate&gt;0),IF((88020000000*V464/V474)/(Enclosed_Ventilation_Rate*Enclosed_Process_Volume+88020*V464/V474)&lt;24450000*V437/(V474*Enclosed_Process_Volume),(88020000000*V464/V474)/(Enclosed_Ventilation_Rate*Enclosed_Process_Volume+88020*V464/V474),24450000*V437/(V474*Enclosed_Process_Volume)),V683)</f>
        <v>0</v>
      </c>
      <c r="W684" s="83"/>
      <c r="X684" s="1183">
        <f>IF(AND(Location="Indoors",X474&gt;0,Enclosed_Ventilation_Rate&gt;0),IF((88020000000*X464/X474)/(Enclosed_Ventilation_Rate*Enclosed_Process_Volume+88020*X464/X474)&lt;24450000*X437/(X474*Enclosed_Process_Volume),(88020000000*X464/X474)/(Enclosed_Ventilation_Rate*Enclosed_Process_Volume+88020*X464/X474),24450000*X437/(X474*Enclosed_Process_Volume)),X683)</f>
        <v>0</v>
      </c>
      <c r="Y684" s="83"/>
      <c r="Z684" s="85" t="s">
        <v>1506</v>
      </c>
      <c r="AA684" s="83"/>
      <c r="AB684" s="81"/>
      <c r="AC684" s="512" t="s">
        <v>3512</v>
      </c>
      <c r="AD684" s="81"/>
      <c r="AE684" s="2091">
        <f>IF(AND(AE$621&gt;0,LC1Pad&gt;0),AE$621/(LC1Pad/AE$614^(1/PnPad)),0)</f>
        <v>0</v>
      </c>
      <c r="AF684" s="81"/>
      <c r="AG684" s="2091">
        <f>IF(AND(AG$621&gt;0,LC1Pad&gt;0),AG$621/(LC1Pad/AG$614^(1/PnPad)),0)</f>
        <v>0</v>
      </c>
      <c r="AH684" s="81"/>
      <c r="AI684" s="2091">
        <f>IF(AND(AI$621&gt;0,LC1Pad&gt;0),AI$621/(LC1Pad/AI$614^(1/PnPad)),0)</f>
        <v>0</v>
      </c>
      <c r="AJ684" s="81"/>
      <c r="AK684" s="81"/>
      <c r="AL684" s="81"/>
      <c r="AM684" s="81"/>
      <c r="AN684" s="81"/>
      <c r="AO684" s="81"/>
      <c r="AP684" s="81"/>
      <c r="AQ684" s="23"/>
      <c r="AR684" s="81"/>
    </row>
    <row r="685" spans="1:44" ht="15" customHeight="1" thickBot="1" x14ac:dyDescent="0.3">
      <c r="A685" s="2"/>
      <c r="B685" s="85" t="s">
        <v>4717</v>
      </c>
      <c r="C685" s="83"/>
      <c r="D685" s="2103" t="str">
        <f>IF(AND(Location="Indoors",D464&gt;0,D637&lt;&gt;""),IF(1-D637*D474/(88020000000*D464/(Vent_Nat*Enclosed_Process_Volume+88020*D464/D474))&gt;0,-Max_Duration*Vent_Nat*LN(1-D637*D474/(88020000000*D464/(Vent_Nat*Enclosed_Process_Volume+88020*D464/D474))),""),"")</f>
        <v/>
      </c>
      <c r="E685" s="235"/>
      <c r="F685" s="2103" t="str">
        <f>IF(AND(Location="Indoors",F464&gt;0,F637&lt;&gt;""),IF(1-F637*F474/(88020000000*F464/(Vent_Nat*Enclosed_Process_Volume+88020*F464/F474))&gt;0,-Max_Duration*Vent_Nat*LN(1-F637*F474/(88020000000*F464/(Vent_Nat*Enclosed_Process_Volume+88020*F464/F474))),""),"")</f>
        <v/>
      </c>
      <c r="G685" s="83"/>
      <c r="H685" s="2103" t="str">
        <f>IF(AND(Location="Indoors",H464&gt;0,H637&lt;&gt;""),IF(1-H637*H474/(88020000000*H464/(Vent_Nat*Enclosed_Process_Volume+88020*H464/H474))&gt;0,-Max_Duration*Vent_Nat*LN(1-H637*H474/(88020000000*H464/(Vent_Nat*Enclosed_Process_Volume+88020*H464/H474))),""),"")</f>
        <v/>
      </c>
      <c r="I685" s="83"/>
      <c r="J685" s="2103" t="str">
        <f>IF(AND(Location="Indoors",J464&gt;0,J637&lt;&gt;""),IF(1-J637*J474/(88020000000*J464/(Vent_Nat*Enclosed_Process_Volume+88020*J464/J474))&gt;0,-Max_Duration*Vent_Nat*LN(1-J637*J474/(88020000000*J464/(Vent_Nat*Enclosed_Process_Volume+88020*J464/J474))),""),"")</f>
        <v/>
      </c>
      <c r="K685" s="83"/>
      <c r="L685" s="2103" t="str">
        <f>IF(AND(Location="Indoors",L464&gt;0,L637&lt;&gt;""),IF(1-L637*L474/(88020000000*L464/(Vent_Nat*Enclosed_Process_Volume+88020*L464/L474))&gt;0,-Max_Duration*Vent_Nat*LN(1-L637*L474/(88020000000*L464/(Vent_Nat*Enclosed_Process_Volume+88020*L464/L474))),""),"")</f>
        <v/>
      </c>
      <c r="M685" s="83"/>
      <c r="N685" s="2103" t="str">
        <f>IF(AND(Location="Indoors",N464&gt;0,N637&lt;&gt;""),IF(1-N637*N474/(88020000000*N464/(Vent_Nat*Enclosed_Process_Volume+88020*N464/N474))&gt;0,-Max_Duration*Vent_Nat*LN(1-N637*N474/(88020000000*N464/(Vent_Nat*Enclosed_Process_Volume+88020*N464/N474))),""),"")</f>
        <v/>
      </c>
      <c r="O685" s="83"/>
      <c r="P685" s="2103" t="str">
        <f>IF(AND(Location="Indoors",P464&gt;0,P637&lt;&gt;""),IF(1-P637*P474/(88020000000*P464/(Vent_Nat*Enclosed_Process_Volume+88020*P464/P474))&gt;0,-Max_Duration*Vent_Nat*LN(1-P637*P474/(88020000000*P464/(Vent_Nat*Enclosed_Process_Volume+88020*P464/P474))),""),"")</f>
        <v/>
      </c>
      <c r="Q685" s="83"/>
      <c r="R685" s="2103" t="str">
        <f>IF(AND(Location="Indoors",R464&gt;0,R637&lt;&gt;""),IF(1-R637*R474/(88020000000*R464/(Vent_Nat*Enclosed_Process_Volume+88020*R464/R474))&gt;0,-Max_Duration*Vent_Nat*LN(1-R637*R474/(88020000000*R464/(Vent_Nat*Enclosed_Process_Volume+88020*R464/R474))),""),"")</f>
        <v/>
      </c>
      <c r="S685" s="83"/>
      <c r="T685" s="2103" t="str">
        <f>IF(AND(Location="Indoors",T464&gt;0,T637&lt;&gt;""),IF(1-T637*T474/(88020000000*T464/(Vent_Nat*Enclosed_Process_Volume+88020*T464/T474))&gt;0,-Max_Duration*Vent_Nat*LN(1-T637*T474/(88020000000*T464/(Vent_Nat*Enclosed_Process_Volume+88020*T464/T474))),""),"")</f>
        <v/>
      </c>
      <c r="U685" s="83"/>
      <c r="V685" s="2103" t="str">
        <f>IF(AND(Location="Indoors",V464&gt;0,V637&lt;&gt;""),IF(1-V637*V474/(88020000000*V464/(Vent_Nat*Enclosed_Process_Volume+88020*V464/V474))&gt;0,-Max_Duration*Vent_Nat*LN(1-V637*V474/(88020000000*V464/(Vent_Nat*Enclosed_Process_Volume+88020*V464/V474))),""),"")</f>
        <v/>
      </c>
      <c r="W685" s="83"/>
      <c r="X685" s="2103" t="str">
        <f>IF(AND(Location="Indoors",X464&gt;0,X637&lt;&gt;""),IF(1-X637*X474/(88020000000*X464/(Vent_Nat*Enclosed_Process_Volume+88020*X464/X474))&gt;0,-Max_Duration*Vent_Nat*LN(1-X637*X474/(88020000000*X464/(Vent_Nat*Enclosed_Process_Volume+88020*X464/X474))),""),"")</f>
        <v/>
      </c>
      <c r="Y685" s="83"/>
      <c r="Z685" s="85" t="s">
        <v>1760</v>
      </c>
      <c r="AA685" s="83"/>
      <c r="AB685" s="81"/>
      <c r="AC685" s="119" t="s">
        <v>3702</v>
      </c>
      <c r="AD685" s="81"/>
      <c r="AE685" s="2101" t="str">
        <f>IF(AND(AE$613&gt;0,SUM(AE679:AE684)&gt;0),IF(1/SUM(AE679:AE684)&lt;1000000,1/SUM(AE679:AE684),1000000),"")</f>
        <v/>
      </c>
      <c r="AF685" s="81"/>
      <c r="AG685" s="2101" t="str">
        <f>IF(AND(AG$613&gt;0,SUM(AG679:AG684)&gt;0),IF(1/SUM(AG679:AG684)&lt;1000000,1/SUM(AG679:AG684),1000000),"")</f>
        <v/>
      </c>
      <c r="AH685" s="81"/>
      <c r="AI685" s="2101" t="str">
        <f>IF(AND(AI$613&gt;0,SUM(AI679:AI684)&gt;0),IF(1/SUM(AI679:AI684)&lt;1000000,1/SUM(AI679:AI684),1000000),"")</f>
        <v/>
      </c>
      <c r="AJ685" s="81"/>
      <c r="AK685" s="81"/>
      <c r="AL685" s="81"/>
      <c r="AM685" s="81"/>
      <c r="AN685" s="81"/>
      <c r="AO685" s="81"/>
      <c r="AP685" s="81"/>
      <c r="AQ685" s="25" t="s">
        <v>1506</v>
      </c>
      <c r="AR685" s="81"/>
    </row>
    <row r="686" spans="1:44" ht="15" customHeight="1" x14ac:dyDescent="0.25">
      <c r="A686" s="2"/>
      <c r="B686" s="85" t="s">
        <v>4714</v>
      </c>
      <c r="C686" s="83"/>
      <c r="D686" s="2103" t="str">
        <f>IF(AND(Location="Indoors",D464&gt;0,D637&lt;&gt;""),IF(1-D637*D474/(88020000000*D464/(MAX(Vent_Nat,Enclosed_Ventilation_Rate)*Enclosed_Process_Volume+88020*D464/D474))&gt;0,-Max_Duration*MAX(Vent_Nat,Enclosed_Ventilation_Rate)*LN(1-D637*D474/(88020000000*D464/(MAX(Vent_Nat,Enclosed_Ventilation_Rate)*Enclosed_Process_Volume+88020*D464/D474))),""),"")</f>
        <v/>
      </c>
      <c r="E686" s="235"/>
      <c r="F686" s="2103" t="str">
        <f>IF(AND(Location="Indoors",F464&gt;0,F637&lt;&gt;""),IF(1-F637*F474/(88020000000*F464/(MAX(Vent_Nat,Enclosed_Ventilation_Rate)*Enclosed_Process_Volume+88020*F464/F474))&gt;0,-Max_Duration*MAX(Vent_Nat,Enclosed_Ventilation_Rate)*LN(1-F637*F474/(88020000000*F464/(MAX(Vent_Nat,Enclosed_Ventilation_Rate)*Enclosed_Process_Volume+88020*F464/F474))),""),"")</f>
        <v/>
      </c>
      <c r="G686" s="83"/>
      <c r="H686" s="2103" t="str">
        <f>IF(AND(Location="Indoors",H464&gt;0,H637&lt;&gt;""),IF(1-H637*H474/(88020000000*H464/(MAX(Vent_Nat,Enclosed_Ventilation_Rate)*Enclosed_Process_Volume+88020*H464/H474))&gt;0,-Max_Duration*MAX(Vent_Nat,Enclosed_Ventilation_Rate)*LN(1-H637*H474/(88020000000*H464/(MAX(Vent_Nat,Enclosed_Ventilation_Rate)*Enclosed_Process_Volume+88020*H464/H474))),""),"")</f>
        <v/>
      </c>
      <c r="I686" s="83"/>
      <c r="J686" s="2103" t="str">
        <f>IF(AND(Location="Indoors",J464&gt;0,J637&lt;&gt;""),IF(1-J637*J474/(88020000000*J464/(MAX(Vent_Nat,Enclosed_Ventilation_Rate)*Enclosed_Process_Volume+88020*J464/J474))&gt;0,-Max_Duration*MAX(Vent_Nat,Enclosed_Ventilation_Rate)*LN(1-J637*J474/(88020000000*J464/(MAX(Vent_Nat,Enclosed_Ventilation_Rate)*Enclosed_Process_Volume+88020*J464/J474))),""),"")</f>
        <v/>
      </c>
      <c r="K686" s="83"/>
      <c r="L686" s="2103" t="str">
        <f>IF(AND(Location="Indoors",L464&gt;0,L637&lt;&gt;""),IF(1-L637*L474/(88020000000*L464/(MAX(Vent_Nat,Enclosed_Ventilation_Rate)*Enclosed_Process_Volume+88020*L464/L474))&gt;0,-Max_Duration*MAX(Vent_Nat,Enclosed_Ventilation_Rate)*LN(1-L637*L474/(88020000000*L464/(MAX(Vent_Nat,Enclosed_Ventilation_Rate)*Enclosed_Process_Volume+88020*L464/L474))),""),"")</f>
        <v/>
      </c>
      <c r="M686" s="83"/>
      <c r="N686" s="2103" t="str">
        <f>IF(AND(Location="Indoors",N464&gt;0,N637&lt;&gt;""),IF(1-N637*N474/(88020000000*N464/(MAX(Vent_Nat,Enclosed_Ventilation_Rate)*Enclosed_Process_Volume+88020*N464/N474))&gt;0,-Max_Duration*MAX(Vent_Nat,Enclosed_Ventilation_Rate)*LN(1-N637*N474/(88020000000*N464/(MAX(Vent_Nat,Enclosed_Ventilation_Rate)*Enclosed_Process_Volume+88020*N464/N474))),""),"")</f>
        <v/>
      </c>
      <c r="O686" s="83"/>
      <c r="P686" s="2103" t="str">
        <f>IF(AND(Location="Indoors",P464&gt;0,P637&lt;&gt;""),IF(1-P637*P474/(88020000000*P464/(MAX(Vent_Nat,Enclosed_Ventilation_Rate)*Enclosed_Process_Volume+88020*P464/P474))&gt;0,-Max_Duration*MAX(Vent_Nat,Enclosed_Ventilation_Rate)*LN(1-P637*P474/(88020000000*P464/(MAX(Vent_Nat,Enclosed_Ventilation_Rate)*Enclosed_Process_Volume+88020*P464/P474))),""),"")</f>
        <v/>
      </c>
      <c r="Q686" s="83"/>
      <c r="R686" s="2103" t="str">
        <f>IF(AND(Location="Indoors",R464&gt;0,R637&lt;&gt;""),IF(1-R637*R474/(88020000000*R464/(MAX(Vent_Nat,Enclosed_Ventilation_Rate)*Enclosed_Process_Volume+88020*R464/R474))&gt;0,-Max_Duration*MAX(Vent_Nat,Enclosed_Ventilation_Rate)*LN(1-R637*R474/(88020000000*R464/(MAX(Vent_Nat,Enclosed_Ventilation_Rate)*Enclosed_Process_Volume+88020*R464/R474))),""),"")</f>
        <v/>
      </c>
      <c r="S686" s="83"/>
      <c r="T686" s="2103" t="str">
        <f>IF(AND(Location="Indoors",T464&gt;0,T637&lt;&gt;""),IF(1-T637*T474/(88020000000*T464/(MAX(Vent_Nat,Enclosed_Ventilation_Rate)*Enclosed_Process_Volume+88020*T464/T474))&gt;0,-Max_Duration*MAX(Vent_Nat,Enclosed_Ventilation_Rate)*LN(1-T637*T474/(88020000000*T464/(MAX(Vent_Nat,Enclosed_Ventilation_Rate)*Enclosed_Process_Volume+88020*T464/T474))),""),"")</f>
        <v/>
      </c>
      <c r="U686" s="83"/>
      <c r="V686" s="2103" t="str">
        <f>IF(AND(Location="Indoors",V464&gt;0,V637&lt;&gt;""),IF(1-V637*V474/(88020000000*V464/(MAX(Vent_Nat,Enclosed_Ventilation_Rate)*Enclosed_Process_Volume+88020*V464/V474))&gt;0,-Max_Duration*MAX(Vent_Nat,Enclosed_Ventilation_Rate)*LN(1-V637*V474/(88020000000*V464/(MAX(Vent_Nat,Enclosed_Ventilation_Rate)*Enclosed_Process_Volume+88020*V464/V474))),""),"")</f>
        <v/>
      </c>
      <c r="W686" s="83"/>
      <c r="X686" s="2103" t="str">
        <f>IF(AND(Location="Indoors",X464&gt;0,X637&lt;&gt;""),IF(1-X637*X474/(88020000000*X464/(MAX(Vent_Nat,Enclosed_Ventilation_Rate)*Enclosed_Process_Volume+88020*X464/X474))&gt;0,-Max_Duration*MAX(Vent_Nat,Enclosed_Ventilation_Rate)*LN(1-X637*X474/(88020000000*X464/(MAX(Vent_Nat,Enclosed_Ventilation_Rate)*Enclosed_Process_Volume+88020*X464/X474))),""),"")</f>
        <v/>
      </c>
      <c r="Y686" s="83"/>
      <c r="Z686" s="85" t="s">
        <v>1760</v>
      </c>
      <c r="AA686" s="83"/>
      <c r="AB686" s="81"/>
      <c r="AC686" s="92" t="s">
        <v>3821</v>
      </c>
      <c r="AD686" s="81"/>
      <c r="AE686" s="2116">
        <f>IF(AE671&lt;&gt;"",IF(AE664/AE671=1,0,LN(0.01)-LN(0.02)/(1-(AE664/AE671)^(2*IF(AE559="Instantaneous",AE557,AE531)))),0)</f>
        <v>0</v>
      </c>
      <c r="AF686" s="81"/>
      <c r="AG686" s="2116">
        <f>IF(AND(AG557&lt;&gt;0,AG531&lt;0,AG671&lt;&gt;""),IF(AG664/AG671=1,0,LN(0.01)-LN(0.02)/(1-(AG664/AG671)^(2*IF(AG559="Instantaneous",AG557,AG531)))),0)</f>
        <v>0</v>
      </c>
      <c r="AH686" s="81"/>
      <c r="AI686" s="2116">
        <f>IF(AI671&lt;&gt;"",IF(AI664/AI671=1,0,LN(0.01)-LN(0.02)/(1-(AI664/AI671)^(2*IF(AI559="Instantaneous",AI557,AI531)))),0)</f>
        <v>0</v>
      </c>
      <c r="AJ686" s="81"/>
      <c r="AK686" s="81"/>
      <c r="AL686" s="81"/>
      <c r="AM686" s="81"/>
      <c r="AN686" s="81"/>
      <c r="AO686" s="81"/>
      <c r="AP686" s="81"/>
      <c r="AQ686" s="23"/>
      <c r="AR686" s="81"/>
    </row>
    <row r="687" spans="1:44" ht="15" customHeight="1" x14ac:dyDescent="0.25">
      <c r="A687" s="2"/>
      <c r="B687" s="85" t="s">
        <v>4498</v>
      </c>
      <c r="C687" s="83"/>
      <c r="D687" s="1183" t="str">
        <f>IF(AND(D683&gt;1,D683&gt;D651),"Yes","No")</f>
        <v>No</v>
      </c>
      <c r="E687" s="235"/>
      <c r="F687" s="1183" t="str">
        <f>IF(AND(F683&gt;1,F683&gt;F651),"Yes","No")</f>
        <v>No</v>
      </c>
      <c r="G687" s="83"/>
      <c r="H687" s="1183" t="str">
        <f>IF(AND(H683&gt;1,H683&gt;H651),"Yes","No")</f>
        <v>No</v>
      </c>
      <c r="I687" s="83"/>
      <c r="J687" s="1183" t="str">
        <f>IF(AND(J683&gt;1,J683&gt;J651),"Yes","No")</f>
        <v>No</v>
      </c>
      <c r="K687" s="83"/>
      <c r="L687" s="1183" t="str">
        <f>IF(AND(L683&gt;1,L683&gt;L651),"Yes","No")</f>
        <v>No</v>
      </c>
      <c r="M687" s="83"/>
      <c r="N687" s="1183" t="str">
        <f>IF(AND(N683&gt;1,N683&gt;N651),"Yes","No")</f>
        <v>No</v>
      </c>
      <c r="O687" s="83"/>
      <c r="P687" s="1183" t="str">
        <f>IF(AND(P683&gt;1,P683&gt;P651),"Yes","No")</f>
        <v>No</v>
      </c>
      <c r="Q687" s="83"/>
      <c r="R687" s="1183" t="str">
        <f>IF(AND(R683&gt;1,R683&gt;R651),"Yes","No")</f>
        <v>No</v>
      </c>
      <c r="S687" s="83"/>
      <c r="T687" s="1183" t="str">
        <f>IF(AND(T683&gt;1,T683&gt;T651),"Yes","No")</f>
        <v>No</v>
      </c>
      <c r="U687" s="83"/>
      <c r="V687" s="1183" t="str">
        <f>IF(AND(V683&gt;1,V683&gt;V651),"Yes","No")</f>
        <v>No</v>
      </c>
      <c r="W687" s="83"/>
      <c r="X687" s="1183" t="str">
        <f>IF(AND(X683&gt;1,X683&gt;X651),"Yes","No")</f>
        <v>No</v>
      </c>
      <c r="Y687" s="83"/>
      <c r="Z687" s="85"/>
      <c r="AA687" s="83"/>
      <c r="AB687" s="81"/>
      <c r="AC687" s="85" t="s">
        <v>3822</v>
      </c>
      <c r="AD687" s="81"/>
      <c r="AE687" s="2117">
        <f>IF(AE664&lt;&gt;"",(LN(0.01)-AE686)*AE664^(2*IF(AE559="Instantaneous",AE557,AE531)),0)</f>
        <v>0</v>
      </c>
      <c r="AF687" s="81"/>
      <c r="AG687" s="2117">
        <f>IF(AG664&lt;&gt;"",(LN(0.01)-AG686)*AG664^(2*IF(AG559="Instantaneous",AG557,AG531)),0)</f>
        <v>0</v>
      </c>
      <c r="AH687" s="81"/>
      <c r="AI687" s="2117">
        <f>IF(AI664&lt;&gt;"",(LN(0.01)-AI686)*AI664^(2*IF(AI559="Instantaneous",AI557,AI531)),0)</f>
        <v>0</v>
      </c>
      <c r="AJ687" s="81"/>
      <c r="AK687" s="81"/>
      <c r="AL687" s="81"/>
      <c r="AM687" s="81"/>
      <c r="AN687" s="81"/>
      <c r="AO687" s="81"/>
      <c r="AP687" s="81"/>
      <c r="AQ687" s="23"/>
      <c r="AR687" s="81"/>
    </row>
    <row r="688" spans="1:44" ht="15" customHeight="1" thickBot="1" x14ac:dyDescent="0.3">
      <c r="A688" s="2"/>
      <c r="B688" s="25" t="s">
        <v>1433</v>
      </c>
      <c r="C688" s="83"/>
      <c r="D688" s="3010" t="str">
        <f>IF(D474&gt;0,IF(D683&gt;1000000*(0.21-Asp_Screen)/0.21,"Yes","No"),"No")</f>
        <v>No</v>
      </c>
      <c r="E688" s="83"/>
      <c r="F688" s="3010" t="str">
        <f>IF(F474&gt;0,IF(F683&gt;1000000*(0.21-Asp_Screen)/0.21,"Yes","No"),"No")</f>
        <v>No</v>
      </c>
      <c r="G688" s="83"/>
      <c r="H688" s="3010" t="str">
        <f>IF(H474&gt;0,IF(H683&gt;1000000*(0.21-Asp_Screen)/0.21,"Yes","No"),"No")</f>
        <v>No</v>
      </c>
      <c r="I688" s="83"/>
      <c r="J688" s="3010" t="str">
        <f>IF(J474&gt;0,IF(J683&gt;1000000*(0.21-Asp_Screen)/0.21,"Yes","No"),"No")</f>
        <v>No</v>
      </c>
      <c r="K688" s="83"/>
      <c r="L688" s="3010" t="str">
        <f>IF(L474&gt;0,IF(L683&gt;1000000*(0.21-Asp_Screen)/0.21,"Yes","No"),"No")</f>
        <v>No</v>
      </c>
      <c r="M688" s="83"/>
      <c r="N688" s="3010" t="str">
        <f>IF(N474&gt;0,IF(N683&gt;1000000*(0.21-Asp_Screen)/0.21,"Yes","No"),"No")</f>
        <v>No</v>
      </c>
      <c r="O688" s="83"/>
      <c r="P688" s="3010" t="str">
        <f>IF(P474&gt;0,IF(P683&gt;1000000*(0.21-Asp_Screen)/0.21,"Yes","No"),"No")</f>
        <v>No</v>
      </c>
      <c r="Q688" s="83"/>
      <c r="R688" s="3010" t="str">
        <f>IF(R474&gt;0,IF(R683&gt;1000000*(0.21-Asp_Screen)/0.21,"Yes","No"),"No")</f>
        <v>No</v>
      </c>
      <c r="S688" s="83"/>
      <c r="T688" s="3010" t="str">
        <f>IF(T474&gt;0,IF(T683&gt;1000000*(0.21-Asp_Screen)/0.21,"Yes","No"),"No")</f>
        <v>No</v>
      </c>
      <c r="U688" s="83"/>
      <c r="V688" s="3010" t="str">
        <f>IF(V474&gt;0,IF(V683&gt;1000000*(0.21-Asp_Screen)/0.21,"Yes","No"),"No")</f>
        <v>No</v>
      </c>
      <c r="W688" s="83"/>
      <c r="X688" s="3010" t="str">
        <f>IF(X474&gt;0,IF(X683&gt;1000000*(0.21-Asp_Screen)/0.21,"Yes","No"),"No")</f>
        <v>No</v>
      </c>
      <c r="Y688" s="83"/>
      <c r="Z688" s="25"/>
      <c r="AA688" s="2"/>
      <c r="AB688" s="81"/>
      <c r="AC688" s="85" t="s">
        <v>3808</v>
      </c>
      <c r="AD688" s="81"/>
      <c r="AE688" s="2117">
        <f>IF(AE678&lt;&gt;"",(LN(0.01)-AE686)*AE678^(2*IF(AE559="Instantaneous",AE557,AE531)),0)</f>
        <v>0</v>
      </c>
      <c r="AF688" s="81"/>
      <c r="AG688" s="2117">
        <f>IF(AG678&lt;&gt;"",(LN(0.01)-AG686)*AG678^(2*IF(AG559="Instantaneous",AG557,AG531)),0)</f>
        <v>0</v>
      </c>
      <c r="AH688" s="81"/>
      <c r="AI688" s="2117">
        <f>IF(AI678&lt;&gt;"",(LN(0.01)-AI686)*AI678^(2*IF(AI559="Instantaneous",AI557,AI531)),0)</f>
        <v>0</v>
      </c>
      <c r="AJ688" s="81"/>
      <c r="AK688" s="81"/>
      <c r="AL688" s="81"/>
      <c r="AM688" s="81"/>
      <c r="AN688" s="81"/>
      <c r="AO688" s="81"/>
      <c r="AP688" s="81"/>
      <c r="AQ688" s="23"/>
      <c r="AR688" s="81"/>
    </row>
    <row r="689" spans="1:44" ht="15" customHeight="1" thickBot="1" x14ac:dyDescent="0.3">
      <c r="A689" s="2"/>
      <c r="B689" s="119" t="s">
        <v>2721</v>
      </c>
      <c r="C689" s="235"/>
      <c r="D689" s="2126">
        <f>IF(OR(Flammable_Potential&lt;&gt;"Yes",D630="",D465=0),0,IF(OR(Ease_of_Ignition_Feed="High",Aerosol_Potential="Yes"),MAX(Spray_Distance,IF(400/D630&lt;=1/D476,0,IF(D532="Instantaneous",D529*((D456/D474)*(IF(D507&gt;D630/100,AvgTime_Correction,1)*400/D630))^D530-D531,D503*(D465*(IF(D482&gt;D630/100,AvgTime_Correction,1)*400/D630)/(D474*Wind))^D504-D505))),IF(400/D630&lt;=1/D476,0,IF(D532="Instantaneous",D529*((D456/D474)*(IF(D507&gt;D630/100,AvgTime_Correction,1)*400/D630))^D530-D531,D503*(D465*(IF(D482&gt;D630/100,AvgTime_Correction,1)*400/D630)/(D474*Wind))^D504-D505))))</f>
        <v>0</v>
      </c>
      <c r="E689" s="83"/>
      <c r="F689" s="2126">
        <f>IF(OR(Flammable_Potential&lt;&gt;"Yes",F630="",F465=0),0,IF(OR(Ease_of_Ignition_Feed="High",Aerosol_Potential="Yes"),MAX(Spray_Distance,IF(400/F630&lt;=1/F476,0,IF(F532="Instantaneous",F529*((F456/F474)*(IF(F507&gt;F630/100,AvgTime_Correction,1)*400/F630))^F530-F531,F503*(F465*(IF(F482&gt;F630/100,AvgTime_Correction,1)*400/F630)/(F474*Wind))^F504-F505))),IF(400/F630&lt;=1/F476,0,IF(F532="Instantaneous",F529*((F456/F474)*(IF(F507&gt;F630/100,AvgTime_Correction,1)*400/F630))^F530-F531,F503*(F465*(IF(F482&gt;F630/100,AvgTime_Correction,1)*400/F630)/(F474*Wind))^F504-F505))))</f>
        <v>0</v>
      </c>
      <c r="G689" s="83"/>
      <c r="H689" s="2126">
        <f>IF(OR(Flammable_Potential&lt;&gt;"Yes",H630="",H465=0),0,IF(OR(Ease_of_Ignition_Feed="High",Aerosol_Potential="Yes"),MAX(Spray_Distance,IF(400/H630&lt;=1/H476,0,IF(H532="Instantaneous",H529*((H456/H474)*(IF(H507&gt;H630/100,AvgTime_Correction,1)*400/H630))^H530-H531,H503*(H465*(IF(H482&gt;H630/100,AvgTime_Correction,1)*400/H630)/(H474*Wind))^H504-H505))),IF(400/H630&lt;=1/H476,0,IF(H532="Instantaneous",H529*((H456/H474)*(IF(H507&gt;H630/100,AvgTime_Correction,1)*400/H630))^H530-H531,H503*(H465*(IF(H482&gt;H630/100,AvgTime_Correction,1)*400/H630)/(H474*Wind))^H504-H505))))</f>
        <v>0</v>
      </c>
      <c r="I689" s="83"/>
      <c r="J689" s="2126">
        <f>IF(OR(Flammable_Potential&lt;&gt;"Yes",J630="",J465=0),0,IF(OR(Ease_of_Ignition_Feed="High",Aerosol_Potential="Yes"),MAX(Spray_Distance,IF(400/J630&lt;=1/J476,0,IF(J532="Instantaneous",J529*((J456/J474)*(IF(J507&gt;J630/100,AvgTime_Correction,1)*400/J630))^J530-J531,J503*(J465*(IF(J482&gt;J630/100,AvgTime_Correction,1)*400/J630)/(J474*Wind))^J504-J505))),IF(400/J630&lt;=1/J476,0,IF(J532="Instantaneous",J529*((J456/J474)*(IF(J507&gt;J630/100,AvgTime_Correction,1)*400/J630))^J530-J531,J503*(J465*(IF(J482&gt;J630/100,AvgTime_Correction,1)*400/J630)/(J474*Wind))^J504-J505))))</f>
        <v>0</v>
      </c>
      <c r="K689" s="83"/>
      <c r="L689" s="2126">
        <f>IF(OR(Flammable_Potential&lt;&gt;"Yes",L630="",L465=0),0,IF(OR(Ease_of_Ignition_Feed="High",Aerosol_Potential="Yes"),MAX(Spray_Distance,IF(400/L630&lt;=1/L476,0,IF(L532="Instantaneous",L529*((L456/L474)*(IF(L507&gt;L630/100,AvgTime_Correction,1)*400/L630))^L530-L531,L503*(L465*(IF(L482&gt;L630/100,AvgTime_Correction,1)*400/L630)/(L474*Wind))^L504-L505))),IF(400/L630&lt;=1/L476,0,IF(L532="Instantaneous",L529*((L456/L474)*(IF(L507&gt;L630/100,AvgTime_Correction,1)*400/L630))^L530-L531,L503*(L465*(IF(L482&gt;L630/100,AvgTime_Correction,1)*400/L630)/(L474*Wind))^L504-L505))))</f>
        <v>0</v>
      </c>
      <c r="M689" s="83"/>
      <c r="N689" s="2126">
        <f>IF(OR(Flammable_Potential&lt;&gt;"Yes",N630="",N465=0),0,IF(OR(Ease_of_Ignition_Feed="High",Aerosol_Potential="Yes"),MAX(Spray_Distance,IF(400/N630&lt;=1/N476,0,IF(N532="Instantaneous",N529*((N456/N474)*(IF(N507&gt;N630/100,AvgTime_Correction,1)*400/N630))^N530-N531,N503*(N465*(IF(N482&gt;N630/100,AvgTime_Correction,1)*400/N630)/(N474*Wind))^N504-N505))),IF(400/N630&lt;=1/N476,0,IF(N532="Instantaneous",N529*((N456/N474)*(IF(N507&gt;N630/100,AvgTime_Correction,1)*400/N630))^N530-N531,N503*(N465*(IF(N482&gt;N630/100,AvgTime_Correction,1)*400/N630)/(N474*Wind))^N504-N505))))</f>
        <v>0</v>
      </c>
      <c r="O689" s="83"/>
      <c r="P689" s="2126">
        <f>IF(OR(Flammable_Potential&lt;&gt;"Yes",P630="",P465=0),0,IF(OR(Ease_of_Ignition_Feed="High",Aerosol_Potential="Yes"),MAX(Spray_Distance,IF(400/P630&lt;=1/P476,0,IF(P532="Instantaneous",P529*((P456/P474)*(IF(P507&gt;P630/100,AvgTime_Correction,1)*400/P630))^P530-P531,P503*(P465*(IF(P482&gt;P630/100,AvgTime_Correction,1)*400/P630)/(P474*Wind))^P504-P505))),IF(400/P630&lt;=1/P476,0,IF(P532="Instantaneous",P529*((P456/P474)*(IF(P507&gt;P630/100,AvgTime_Correction,1)*400/P630))^P530-P531,P503*(P465*(IF(P482&gt;P630/100,AvgTime_Correction,1)*400/P630)/(P474*Wind))^P504-P505))))</f>
        <v>0</v>
      </c>
      <c r="Q689" s="83"/>
      <c r="R689" s="2126">
        <f>IF(OR(Flammable_Potential&lt;&gt;"Yes",R630="",R465=0),0,IF(OR(Ease_of_Ignition_Feed="High",Aerosol_Potential="Yes"),MAX(Spray_Distance,IF(400/R630&lt;=1/R476,0,IF(R532="Instantaneous",R529*((R456/R474)*(IF(R507&gt;R630/100,AvgTime_Correction,1)*400/R630))^R530-R531,R503*(R465*(IF(R482&gt;R630/100,AvgTime_Correction,1)*400/R630)/(R474*Wind))^R504-R505))),IF(400/R630&lt;=1/R476,0,IF(R532="Instantaneous",R529*((R456/R474)*(IF(R507&gt;R630/100,AvgTime_Correction,1)*400/R630))^R530-R531,R503*(R465*(IF(R482&gt;R630/100,AvgTime_Correction,1)*400/R630)/(R474*Wind))^R504-R505))))</f>
        <v>0</v>
      </c>
      <c r="S689" s="83"/>
      <c r="T689" s="2126">
        <f>IF(OR(Flammable_Potential&lt;&gt;"Yes",T630="",T465=0),0,IF(OR(Ease_of_Ignition_Feed="High",Aerosol_Potential="Yes"),MAX(Spray_Distance,IF(400/T630&lt;=1/T476,0,IF(T532="Instantaneous",T529*((T456/T474)*(IF(T507&gt;T630/100,AvgTime_Correction,1)*400/T630))^T530-T531,T503*(T465*(IF(T482&gt;T630/100,AvgTime_Correction,1)*400/T630)/(T474*Wind))^T504-T505))),IF(400/T630&lt;=1/T476,0,IF(T532="Instantaneous",T529*((T456/T474)*(IF(T507&gt;T630/100,AvgTime_Correction,1)*400/T630))^T530-T531,T503*(T465*(IF(T482&gt;T630/100,AvgTime_Correction,1)*400/T630)/(T474*Wind))^T504-T505))))</f>
        <v>0</v>
      </c>
      <c r="U689" s="83"/>
      <c r="V689" s="2126">
        <f>IF(OR(Flammable_Potential&lt;&gt;"Yes",V630="",V465=0),0,IF(OR(Ease_of_Ignition_Feed="High",Aerosol_Potential="Yes"),MAX(Spray_Distance,IF(400/V630&lt;=1/V476,0,IF(V532="Instantaneous",V529*((V456/V474)*(IF(V507&gt;V630/100,AvgTime_Correction,1)*400/V630))^V530-V531,V503*(V465*(IF(V482&gt;V630/100,AvgTime_Correction,1)*400/V630)/(V474*Wind))^V504-V505))),IF(400/V630&lt;=1/V476,0,IF(V532="Instantaneous",V529*((V456/V474)*(IF(V507&gt;V630/100,AvgTime_Correction,1)*400/V630))^V530-V531,V503*(V465*(IF(V482&gt;V630/100,AvgTime_Correction,1)*400/V630)/(V474*Wind))^V504-V505))))</f>
        <v>0</v>
      </c>
      <c r="W689" s="83"/>
      <c r="X689" s="2126">
        <f>IF(OR(Flammable_Potential&lt;&gt;"Yes",X630="",X465=0),0,IF(OR(Ease_of_Ignition_Feed="High",Aerosol_Potential="Yes"),MAX(Spray_Distance,IF(400/X630&lt;=1/X476,0,IF(X532="Instantaneous",X529*((X456/X474)*(IF(X507&gt;X630/100,AvgTime_Correction,1)*400/X630))^X530-X531,X503*(X465*(IF(X482&gt;X630/100,AvgTime_Correction,1)*400/X630)/(X474*Wind))^X504-X505))),IF(400/X630&lt;=1/X476,0,IF(X532="Instantaneous",X529*((X456/X474)*(IF(X507&gt;X630/100,AvgTime_Correction,1)*400/X630))^X530-X531,X503*(X465*(IF(X482&gt;X630/100,AvgTime_Correction,1)*400/X630)/(X474*Wind))^X504-X505))))</f>
        <v>0</v>
      </c>
      <c r="Y689" s="83"/>
      <c r="Z689" s="92" t="s">
        <v>1068</v>
      </c>
      <c r="AA689" s="2"/>
      <c r="AB689" s="81"/>
      <c r="AC689" s="85" t="s">
        <v>3643</v>
      </c>
      <c r="AD689" s="81"/>
      <c r="AE689" s="2117">
        <f>MIN(1000000,IF(AE671&lt;&gt;"",IF(OR(AE686&lt;0,AE664/AE671=1),0,(-AE688/AE686)^(0.5/IF(AE559="Instantaneous",AE557,AE531))),0))</f>
        <v>0</v>
      </c>
      <c r="AF689" s="81"/>
      <c r="AG689" s="2117">
        <f>MIN(1000000,IF(AND(AG557&lt;&gt;0,AG531&lt;0,AG671&lt;&gt;""),IF(OR(AG686&lt;0,AG664/AG671=1),0,(-AG688/AG686)^(0.5/IF(AG559="Instantaneous",AG557,AG531))),0))</f>
        <v>0</v>
      </c>
      <c r="AH689" s="81"/>
      <c r="AI689" s="2117">
        <f>MIN(1000000,IF(AI671&lt;&gt;"",IF(OR(AI686&lt;0,AI664/AI671=1),0,(-AI688/AI686)^(0.5/IF(AI559="Instantaneous",AI557,AI531))),0))</f>
        <v>0</v>
      </c>
      <c r="AJ689" s="81"/>
      <c r="AK689" s="81"/>
      <c r="AL689" s="81"/>
      <c r="AM689" s="81"/>
      <c r="AN689" s="81"/>
      <c r="AO689" s="81"/>
      <c r="AP689" s="81"/>
      <c r="AQ689" s="85" t="s">
        <v>1506</v>
      </c>
      <c r="AR689" s="81"/>
    </row>
    <row r="690" spans="1:44" ht="15" customHeight="1" x14ac:dyDescent="0.25">
      <c r="A690" s="2"/>
      <c r="B690" s="848" t="s">
        <v>4679</v>
      </c>
      <c r="C690" s="83"/>
      <c r="D690" s="1183" t="str">
        <f>IF(OR(Flash_Pt_Feed="",D437=0,D630=""),"No",IF(OR(AND(Flash_Pt_Feed&gt;38,T&lt;(Flash_Pt_Feed-5)),Location&lt;&gt;"Indoors"),"No",IF(OR(D683&gt;LFL_Limit*10000*D630,D684&gt;10000*D630),"Yes","No")))</f>
        <v>No</v>
      </c>
      <c r="E690" s="83"/>
      <c r="F690" s="1183" t="str">
        <f>IF(OR(Flash_Pt_Feed="",F437=0,F630=""),"No",IF(OR(AND(Flash_Pt_Feed&gt;38,T&lt;(Flash_Pt_Feed-5)),Location&lt;&gt;"Indoors"),"No",IF(OR(F683&gt;LFL_Limit*10000*F630,F684&gt;10000*F630),"Yes","No")))</f>
        <v>No</v>
      </c>
      <c r="G690" s="83"/>
      <c r="H690" s="1183" t="str">
        <f>IF(OR(Flash_Pt_Feed="",H437=0,H630=""),"No",IF(OR(AND(Flash_Pt_Feed&gt;38,T&lt;(Flash_Pt_Feed-5)),Location&lt;&gt;"Indoors"),"No",IF(OR(H683&gt;LFL_Limit*10000*H630,H684&gt;10000*H630),"Yes","No")))</f>
        <v>No</v>
      </c>
      <c r="I690" s="83"/>
      <c r="J690" s="1183" t="str">
        <f>IF(OR(Flash_Pt_Feed="",J437=0,J630=""),"No",IF(OR(AND(Flash_Pt_Feed&gt;38,T&lt;(Flash_Pt_Feed-5)),Location&lt;&gt;"Indoors"),"No",IF(OR(J683&gt;LFL_Limit*10000*J630,J684&gt;10000*J630),"Yes","No")))</f>
        <v>No</v>
      </c>
      <c r="K690" s="83"/>
      <c r="L690" s="1183" t="str">
        <f>IF(OR(Flash_Pt_Feed="",L437=0,L630=""),"No",IF(OR(AND(Flash_Pt_Feed&gt;38,T&lt;(Flash_Pt_Feed-5)),Location&lt;&gt;"Indoors"),"No",IF(OR(L683&gt;LFL_Limit*10000*L630,L684&gt;10000*L630),"Yes","No")))</f>
        <v>No</v>
      </c>
      <c r="M690" s="83"/>
      <c r="N690" s="1183" t="str">
        <f>IF(OR(Flash_Pt_Feed="",N437=0,N630=""),"No",IF(OR(AND(Flash_Pt_Feed&gt;38,T&lt;(Flash_Pt_Feed-5)),Location&lt;&gt;"Indoors"),"No",IF(OR(N683&gt;LFL_Limit*10000*N630,N684&gt;10000*N630),"Yes","No")))</f>
        <v>No</v>
      </c>
      <c r="O690" s="83"/>
      <c r="P690" s="1183" t="str">
        <f>IF(OR(Flash_Pt_Feed="",P437=0,P630=""),"No",IF(OR(AND(Flash_Pt_Feed&gt;38,T&lt;(Flash_Pt_Feed-5)),Location&lt;&gt;"Indoors"),"No",IF(OR(P683&gt;LFL_Limit*10000*P630,P684&gt;10000*P630),"Yes","No")))</f>
        <v>No</v>
      </c>
      <c r="Q690" s="83"/>
      <c r="R690" s="1183" t="str">
        <f>IF(OR(Flash_Pt_Feed="",R437=0,R630=""),"No",IF(OR(AND(Flash_Pt_Feed&gt;38,T&lt;(Flash_Pt_Feed-5)),Location&lt;&gt;"Indoors"),"No",IF(OR(R683&gt;LFL_Limit*10000*R630,R684&gt;10000*R630),"Yes","No")))</f>
        <v>No</v>
      </c>
      <c r="S690" s="83"/>
      <c r="T690" s="1183" t="str">
        <f>IF(OR(Flash_Pt_Feed="",T437=0,T630=""),"No",IF(OR(AND(Flash_Pt_Feed&gt;38,T&lt;(Flash_Pt_Feed-5)),Location&lt;&gt;"Indoors"),"No",IF(OR(T683&gt;LFL_Limit*10000*T630,T684&gt;10000*T630),"Yes","No")))</f>
        <v>No</v>
      </c>
      <c r="U690" s="83"/>
      <c r="V690" s="1183" t="str">
        <f>IF(OR(Flash_Pt_Feed="",V437=0,V630=""),"No",IF(OR(AND(Flash_Pt_Feed&gt;38,T&lt;(Flash_Pt_Feed-5)),Location&lt;&gt;"Indoors"),"No",IF(OR(V683&gt;LFL_Limit*10000*V630,V684&gt;10000*V630),"Yes","No")))</f>
        <v>No</v>
      </c>
      <c r="W690" s="83"/>
      <c r="X690" s="1183" t="str">
        <f>IF(OR(Flash_Pt_Feed="",X437=0,X630=""),"No",IF(OR(AND(Flash_Pt_Feed&gt;38,T&lt;(Flash_Pt_Feed-5)),Location&lt;&gt;"Indoors"),"No",IF(OR(X683&gt;LFL_Limit*10000*X630,X684&gt;10000*X630),"Yes","No")))</f>
        <v>No</v>
      </c>
      <c r="Y690" s="83"/>
      <c r="Z690" s="85"/>
      <c r="AA690" s="2"/>
      <c r="AB690" s="81"/>
      <c r="AC690" s="85" t="s">
        <v>3644</v>
      </c>
      <c r="AD690" s="81"/>
      <c r="AE690" s="2117">
        <f>IF(AE671&lt;&gt;"",IF(AE664/AE671=1,0,LN(0.01)-LN(0.02)/(1-(AE664/AE671)^(2*IF(AE559="Instantaneous",AE609,AE583)))),0)</f>
        <v>0</v>
      </c>
      <c r="AF690" s="81"/>
      <c r="AG690" s="2117">
        <f>IF(AND(AG609&lt;&gt;0,AG583&lt;0,AG671&lt;&gt;""),IF(AG664/AG671=1,0,LN(0.01)-LN(0.02)/(1-(AG664/AG671)^(2*IF(AG559="Instantaneous",AG609,AG583)))),0)</f>
        <v>0</v>
      </c>
      <c r="AH690" s="81"/>
      <c r="AI690" s="2117">
        <f>IF(AI671&lt;&gt;"",IF(AI664/AI671=1,0,LN(0.01)-LN(0.02)/(1-(AI664/AI671)^(2*IF(AI559="Instantaneous",AI609,AI583)))),0)</f>
        <v>0</v>
      </c>
      <c r="AJ690" s="81"/>
      <c r="AK690" s="81"/>
      <c r="AL690" s="81"/>
      <c r="AM690" s="81"/>
      <c r="AN690" s="81"/>
      <c r="AO690" s="81"/>
      <c r="AP690" s="81"/>
      <c r="AQ690" s="85"/>
      <c r="AR690" s="81"/>
    </row>
    <row r="691" spans="1:44" ht="15" customHeight="1" x14ac:dyDescent="0.25">
      <c r="A691" s="2"/>
      <c r="B691" s="23" t="s">
        <v>165</v>
      </c>
      <c r="C691" s="83"/>
      <c r="D691" s="96">
        <f>IF(D690="No",0,Bldg_Explosion_Energy)</f>
        <v>0</v>
      </c>
      <c r="E691" s="83"/>
      <c r="F691" s="96">
        <f>IF(F690="No",0,Bldg_Explosion_Energy)</f>
        <v>0</v>
      </c>
      <c r="G691" s="83"/>
      <c r="H691" s="96">
        <f>IF(H690="No",0,Bldg_Explosion_Energy)</f>
        <v>0</v>
      </c>
      <c r="I691" s="83"/>
      <c r="J691" s="96">
        <f>IF(J690="No",0,Bldg_Explosion_Energy)</f>
        <v>0</v>
      </c>
      <c r="K691" s="83"/>
      <c r="L691" s="96">
        <f>IF(L690="No",0,Bldg_Explosion_Energy)</f>
        <v>0</v>
      </c>
      <c r="M691" s="83"/>
      <c r="N691" s="96">
        <f>IF(N690="No",0,Bldg_Explosion_Energy)</f>
        <v>0</v>
      </c>
      <c r="O691" s="83"/>
      <c r="P691" s="96">
        <f>IF(P690="No",0,Bldg_Explosion_Energy)</f>
        <v>0</v>
      </c>
      <c r="Q691" s="83"/>
      <c r="R691" s="96">
        <f>IF(R690="No",0,Bldg_Explosion_Energy)</f>
        <v>0</v>
      </c>
      <c r="S691" s="83"/>
      <c r="T691" s="96">
        <f>IF(T690="No",0,Bldg_Explosion_Energy)</f>
        <v>0</v>
      </c>
      <c r="U691" s="83"/>
      <c r="V691" s="96">
        <f>IF(V690="No",0,Bldg_Explosion_Energy)</f>
        <v>0</v>
      </c>
      <c r="W691" s="83"/>
      <c r="X691" s="96">
        <f>IF(X690="No",0,Bldg_Explosion_Energy)</f>
        <v>0</v>
      </c>
      <c r="Y691" s="83"/>
      <c r="Z691" s="85" t="s">
        <v>1761</v>
      </c>
      <c r="AA691" s="2"/>
      <c r="AB691" s="81"/>
      <c r="AC691" s="85" t="s">
        <v>5298</v>
      </c>
      <c r="AD691" s="81"/>
      <c r="AE691" s="2118">
        <f>IF(AE678&lt;&gt;"",(LN(0.01)-AE690)*AE685^(2*IF(AE559="Instantaneous",AE609,AE583)),0)</f>
        <v>0</v>
      </c>
      <c r="AF691" s="81"/>
      <c r="AG691" s="2118">
        <f>IF(AG678&lt;&gt;"",(LN(0.01)-AG690)*AG685^(2*IF(AG559="Instantaneous",AG609,AG583)),0)</f>
        <v>0</v>
      </c>
      <c r="AH691" s="81"/>
      <c r="AI691" s="2118">
        <f>IF(AI678&lt;&gt;"",(LN(0.01)-AI690)*AI685^(2*IF(AI559="Instantaneous",AI609,AI583)),0)</f>
        <v>0</v>
      </c>
      <c r="AJ691" s="81"/>
      <c r="AK691" s="81"/>
      <c r="AL691" s="81"/>
      <c r="AM691" s="81"/>
      <c r="AN691" s="81"/>
      <c r="AO691" s="81"/>
      <c r="AP691" s="81"/>
      <c r="AQ691" s="85"/>
      <c r="AR691" s="81"/>
    </row>
    <row r="692" spans="1:44" ht="15" customHeight="1" thickBot="1" x14ac:dyDescent="0.3">
      <c r="A692" s="2"/>
      <c r="B692" s="23" t="s">
        <v>2703</v>
      </c>
      <c r="C692" s="83"/>
      <c r="D692" s="96" t="str">
        <f>IF(Flash_Pt_Feed="","",IF(OR(Ease_of_Ignition_Feed&lt;&gt;"High",Ease_of_Ignition_Feed&lt;&gt;"Elevated"),1,0))</f>
        <v/>
      </c>
      <c r="E692" s="83"/>
      <c r="F692" s="96" t="str">
        <f>IF(Flash_Pt_Feed="","",IF(OR(Ease_of_Ignition_Feed&lt;&gt;"High",Ease_of_Ignition_Feed&lt;&gt;"Elevated"),1,0))</f>
        <v/>
      </c>
      <c r="G692" s="83"/>
      <c r="H692" s="96" t="str">
        <f>IF(Flash_Pt_Feed="","",IF(OR(Ease_of_Ignition_Feed&lt;&gt;"High",Ease_of_Ignition_Feed&lt;&gt;"Elevated"),1,0))</f>
        <v/>
      </c>
      <c r="I692" s="83"/>
      <c r="J692" s="96" t="str">
        <f>IF(Flash_Pt_Feed="","",IF(OR(Ease_of_Ignition_Feed&lt;&gt;"High",Ease_of_Ignition_Feed&lt;&gt;"Elevated"),1,0))</f>
        <v/>
      </c>
      <c r="K692" s="83"/>
      <c r="L692" s="96" t="str">
        <f>IF(Flash_Pt_Feed="","",IF(OR(Ease_of_Ignition_Feed&lt;&gt;"High",Ease_of_Ignition_Feed&lt;&gt;"Elevated"),1,0))</f>
        <v/>
      </c>
      <c r="M692" s="83"/>
      <c r="N692" s="96" t="str">
        <f>IF(Flash_Pt_Feed="","",IF(OR(Ease_of_Ignition_Feed&lt;&gt;"High",Ease_of_Ignition_Feed&lt;&gt;"Elevated"),1,0))</f>
        <v/>
      </c>
      <c r="O692" s="83"/>
      <c r="P692" s="96" t="str">
        <f>IF(Flash_Pt_Feed="","",IF(OR(Ease_of_Ignition_Feed&lt;&gt;"High",Ease_of_Ignition_Feed&lt;&gt;"Elevated"),1,0))</f>
        <v/>
      </c>
      <c r="Q692" s="83"/>
      <c r="R692" s="96" t="str">
        <f>IF(Flash_Pt_Feed="","",IF(OR(Ease_of_Ignition_Feed&lt;&gt;"High",Ease_of_Ignition_Feed&lt;&gt;"Elevated"),1,0))</f>
        <v/>
      </c>
      <c r="S692" s="83"/>
      <c r="T692" s="96" t="str">
        <f>IF(Flash_Pt_Feed="","",IF(OR(Ease_of_Ignition_Feed&lt;&gt;"High",Ease_of_Ignition_Feed&lt;&gt;"Elevated"),1,0))</f>
        <v/>
      </c>
      <c r="U692" s="83"/>
      <c r="V692" s="96" t="str">
        <f>IF(Flash_Pt_Feed="","",IF(OR(Ease_of_Ignition_Feed&lt;&gt;"High",Ease_of_Ignition_Feed&lt;&gt;"Elevated"),1,0))</f>
        <v/>
      </c>
      <c r="W692" s="83"/>
      <c r="X692" s="96" t="str">
        <f>IF(Flash_Pt_Feed="","",IF(OR(Ease_of_Ignition_Feed&lt;&gt;"High",Ease_of_Ignition_Feed&lt;&gt;"Elevated"),1,0))</f>
        <v/>
      </c>
      <c r="Y692" s="83"/>
      <c r="Z692" s="85"/>
      <c r="AA692" s="2"/>
      <c r="AB692" s="81"/>
      <c r="AC692" s="85" t="s">
        <v>3645</v>
      </c>
      <c r="AD692" s="81"/>
      <c r="AE692" s="2118">
        <f>MIN(1000000,IF(AE690&lt;&gt;"",IF(AE690&gt;0,(-AE691/AE690)^(0.5/IF(AE559="Instantaneous",AE609,AE583)),0),0))</f>
        <v>0</v>
      </c>
      <c r="AF692" s="81"/>
      <c r="AG692" s="2118">
        <f>MIN(1000000,IF(AG690&lt;&gt;"",IF(AG690&gt;0,(-AG691/AG690)^(0.5/IF(AG559="Instantaneous",AG609,AG583)),0),0))</f>
        <v>0</v>
      </c>
      <c r="AH692" s="81"/>
      <c r="AI692" s="2118">
        <f>MIN(1000000,IF(AI690&lt;&gt;"",IF(AI690&gt;0,(-AI691/AI690)^(0.5/IF(AI559="Instantaneous",AI609,AI583)),0),0))</f>
        <v>0</v>
      </c>
      <c r="AJ692" s="81"/>
      <c r="AK692" s="81"/>
      <c r="AL692" s="81"/>
      <c r="AM692" s="81"/>
      <c r="AN692" s="81"/>
      <c r="AO692" s="81"/>
      <c r="AP692" s="81"/>
      <c r="AQ692" s="85" t="s">
        <v>1506</v>
      </c>
      <c r="AR692" s="81"/>
    </row>
    <row r="693" spans="1:44" ht="15" customHeight="1" x14ac:dyDescent="0.25">
      <c r="A693" s="2"/>
      <c r="B693" s="23" t="s">
        <v>5300</v>
      </c>
      <c r="C693" s="83"/>
      <c r="D693" s="1194">
        <f>IF(D690="Yes",Bldg_Explosion_0.3psi,0)</f>
        <v>0</v>
      </c>
      <c r="E693" s="83"/>
      <c r="F693" s="1194">
        <f>IF(F690="Yes",Bldg_Explosion_0.3psi,0)</f>
        <v>0</v>
      </c>
      <c r="G693" s="83"/>
      <c r="H693" s="1194">
        <f>IF(H690="Yes",Bldg_Explosion_0.3psi,0)</f>
        <v>0</v>
      </c>
      <c r="I693" s="83"/>
      <c r="J693" s="1194">
        <f>IF(J690="Yes",Bldg_Explosion_0.3psi,0)</f>
        <v>0</v>
      </c>
      <c r="K693" s="83"/>
      <c r="L693" s="1194">
        <f>IF(L690="Yes",Bldg_Explosion_0.3psi,0)</f>
        <v>0</v>
      </c>
      <c r="M693" s="83"/>
      <c r="N693" s="1194">
        <f>IF(N690="Yes",Bldg_Explosion_0.3psi,0)</f>
        <v>0</v>
      </c>
      <c r="O693" s="83"/>
      <c r="P693" s="1194">
        <f>IF(P690="Yes",Bldg_Explosion_0.3psi,0)</f>
        <v>0</v>
      </c>
      <c r="Q693" s="83"/>
      <c r="R693" s="1194">
        <f>IF(R690="Yes",Bldg_Explosion_0.3psi,0)</f>
        <v>0</v>
      </c>
      <c r="S693" s="83"/>
      <c r="T693" s="1194">
        <f>IF(T690="Yes",Bldg_Explosion_0.3psi,0)</f>
        <v>0</v>
      </c>
      <c r="U693" s="83"/>
      <c r="V693" s="1194">
        <f>IF(V690="Yes",Bldg_Explosion_0.3psi,0)</f>
        <v>0</v>
      </c>
      <c r="W693" s="83"/>
      <c r="X693" s="1194">
        <f>IF(X690="Yes",Bldg_Explosion_0.3psi,0)</f>
        <v>0</v>
      </c>
      <c r="Y693" s="83"/>
      <c r="Z693" s="85" t="s">
        <v>1068</v>
      </c>
      <c r="AA693" s="2"/>
      <c r="AB693" s="81"/>
      <c r="AC693" s="1689" t="s">
        <v>4494</v>
      </c>
      <c r="AD693" s="81"/>
      <c r="AE693" s="2638">
        <f>IF(AE629&lt;&gt;"",IF(AE294="Indoors",IF(AE712&lt;=AE629,0,AE$530*((IF(Enclosed_Ventilation_Rate&gt;1,Enclosed_Ventilation_Rate,1)*Enclosed_Process_Volume*AE488*AE712/88020000000)*1000000*(1/AE629-1/AE712)/(AE488*Wind))^AE$531),IF(1000000/AE629&lt;=1,0,MAX(0,IF(AE559="Instantaneous",AE$556*((AE471/AE488)*(1000000/AE629))^AE$557-AE$558,AE$530*(AE478*(1000000/AE629)/(AE488*Wind))^AE$531-AE$532)))),0)</f>
        <v>0</v>
      </c>
      <c r="AF693" s="81"/>
      <c r="AG693" s="2638">
        <f>IF(AND(AG4787&gt;0,AG629&lt;&gt;""),IF(AG294="Indoors",IF(AG712&lt;=AG629,0,AG$530*((IF(Enclosed_Ventilation_Rate&gt;1,Enclosed_Ventilation_Rate,1)*Enclosed_Process_Volume*AG488*AG712/88020000000)*1000000*(1/AG629-1/AG712)/(AG488*Wind))^AG$531),IF(1000000/AG629&lt;=1,0,MAX(0,IF(AG559="Instantaneous",AG$556*((AG471/AG488)*(1000000/AG629))^AG$557-AG$558,AG$530*(AG478*(1000000/AG629)/(AG488*Wind))^AG$531-AG$532)))),0)</f>
        <v>0</v>
      </c>
      <c r="AH693" s="81"/>
      <c r="AI693" s="2638">
        <f>IF(AI629&lt;&gt;"",IF(AI294="Indoors",IF(AI712&lt;=AI629,0,AI$530*((IF(Enclosed_Ventilation_Rate&gt;1,Enclosed_Ventilation_Rate,1)*Enclosed_Process_Volume*AI488*AI712/88020000000)*1000000*(1/AI629-1/AI712)/(AI488*Wind))^AI$531),IF(1000000/AI629&lt;=1,0,MAX(0,IF(AI559="Instantaneous",AI$556*((AI471/AI488)*(1000000/AI629))^AI$557-AI$558,AI$530*(AI478*(1000000/AI629)/(AI488*Wind))^AI$531-AI$532)))),0)</f>
        <v>0</v>
      </c>
      <c r="AJ693" s="81"/>
      <c r="AK693" s="81"/>
      <c r="AL693" s="81"/>
      <c r="AM693" s="81"/>
      <c r="AN693" s="81"/>
      <c r="AO693" s="81"/>
      <c r="AP693" s="81"/>
      <c r="AQ693" s="92" t="s">
        <v>1068</v>
      </c>
      <c r="AR693" s="81"/>
    </row>
    <row r="694" spans="1:44" ht="15" customHeight="1" thickBot="1" x14ac:dyDescent="0.3">
      <c r="A694" s="2"/>
      <c r="B694" s="85" t="s">
        <v>5301</v>
      </c>
      <c r="C694" s="83"/>
      <c r="D694" s="1183">
        <f>IF(D690="Yes",Bldg_Explosion_1psi,0)</f>
        <v>0</v>
      </c>
      <c r="E694" s="83"/>
      <c r="F694" s="1183">
        <f>IF(F690="Yes",Bldg_Explosion_1psi,0)</f>
        <v>0</v>
      </c>
      <c r="G694" s="83"/>
      <c r="H694" s="1183">
        <f>IF(H690="Yes",Bldg_Explosion_1psi,0)</f>
        <v>0</v>
      </c>
      <c r="I694" s="83"/>
      <c r="J694" s="1183">
        <f>IF(J690="Yes",Bldg_Explosion_1psi,0)</f>
        <v>0</v>
      </c>
      <c r="K694" s="83"/>
      <c r="L694" s="1183">
        <f>IF(L690="Yes",Bldg_Explosion_1psi,0)</f>
        <v>0</v>
      </c>
      <c r="M694" s="83"/>
      <c r="N694" s="1183">
        <f>IF(N690="Yes",Bldg_Explosion_1psi,0)</f>
        <v>0</v>
      </c>
      <c r="O694" s="83"/>
      <c r="P694" s="1183">
        <f>IF(P690="Yes",Bldg_Explosion_1psi,0)</f>
        <v>0</v>
      </c>
      <c r="Q694" s="83"/>
      <c r="R694" s="1183">
        <f>IF(R690="Yes",Bldg_Explosion_1psi,0)</f>
        <v>0</v>
      </c>
      <c r="S694" s="83"/>
      <c r="T694" s="1183">
        <f>IF(T690="Yes",Bldg_Explosion_1psi,0)</f>
        <v>0</v>
      </c>
      <c r="U694" s="83"/>
      <c r="V694" s="1183">
        <f>IF(V690="Yes",Bldg_Explosion_1psi,0)</f>
        <v>0</v>
      </c>
      <c r="W694" s="83"/>
      <c r="X694" s="1183">
        <f>IF(X690="Yes",Bldg_Explosion_1psi,0)</f>
        <v>0</v>
      </c>
      <c r="Y694" s="83"/>
      <c r="Z694" s="85" t="s">
        <v>1068</v>
      </c>
      <c r="AA694" s="2"/>
      <c r="AB694" s="81"/>
      <c r="AC694" s="1691" t="s">
        <v>2687</v>
      </c>
      <c r="AD694" s="81"/>
      <c r="AE694" s="3009">
        <f>IF(AND(AE471&gt;0,AE478&gt;0,Public&gt;0.1),IF(AND(AE294="Indoors",AE712&gt;0),1000000/(1000000/AE712+(Wind*AE488*(IF(Public_Relief&gt;0,Public_Relief,Public)/AE530)^(1/AE531)/(IF(Enclosed_Ventilation_Rate&gt;1,Enclosed_Ventilation_Rate,1)*Enclosed_Process_Volume*AE488*AE712/88020000000))),IF(AE559="Instantaneous",AE503*1000000*(AE471/AE488)*(AE556/(IF(Public_Relief&gt;0,Public_Relief,Public)+AE558))^(1/AE557),AE503*1000000*(AE478/(Wind*AE488))*(AE530/(IF(Public_Relief&gt;0,Public_Relief,Public)+AE532))^(1/AE531))),0)</f>
        <v>0</v>
      </c>
      <c r="AF694" s="81"/>
      <c r="AG694" s="3009">
        <f>IF(AND(AG471&gt;0,AG478&gt;0,Public&gt;0.1),IF(AND(AG294="Indoors",AG712&gt;0),1000000/(1000000/AG712+(Wind*AG488*(IF(Public_Relief&gt;0,Public_Relief,Public)/AG530)^(1/AG531)/(IF(Enclosed_Ventilation_Rate&gt;1,Enclosed_Ventilation_Rate,1)*Enclosed_Process_Volume*AG488*AG712/88020000000))),IF(AG559="Instantaneous",AG503*1000000*(AG471/AG488)*(AG556/(IF(Public_Relief&gt;0,Public_Relief,Public)+AG558))^(1/AG557),AG503*1000000*(AG478/(Wind*AG488))*(AG530/(IF(Public_Relief&gt;0,Public_Relief,Public)+AG532))^(1/AG531))),0)</f>
        <v>0</v>
      </c>
      <c r="AH694" s="81"/>
      <c r="AI694" s="3009">
        <f>IF(AND(AI471&gt;0,AI478&gt;0,Public&gt;0.1),IF(AND(AI294="Indoors",AI712&gt;0),1000000/(1000000/AI712+(Wind*AI488*(IF(Public_Relief&gt;0,Public_Relief,Public)/AI530)^(1/AI531)/(IF(Enclosed_Ventilation_Rate&gt;1,Enclosed_Ventilation_Rate,1)*Enclosed_Process_Volume*AI488*AI712/88020000000))),IF(AI559="Instantaneous",AI503*1000000*(AI471/AI488)*(AI556/(IF(Public_Relief&gt;0,Public_Relief,Public)+AI558))^(1/AI557),AI503*1000000*(AI478/(Wind*AI488))*(AI530/(IF(Public_Relief&gt;0,Public_Relief,Public)+AI532))^(1/AI531))),0)</f>
        <v>0</v>
      </c>
      <c r="AJ694" s="81"/>
      <c r="AK694" s="81"/>
      <c r="AL694" s="81"/>
      <c r="AM694" s="81"/>
      <c r="AN694" s="81"/>
      <c r="AO694" s="81"/>
      <c r="AP694" s="81"/>
      <c r="AQ694" s="85" t="s">
        <v>1506</v>
      </c>
      <c r="AR694" s="81"/>
    </row>
    <row r="695" spans="1:44" ht="15" customHeight="1" x14ac:dyDescent="0.25">
      <c r="A695" s="2"/>
      <c r="B695" s="85" t="s">
        <v>689</v>
      </c>
      <c r="C695" s="83"/>
      <c r="D695" s="3010" t="str">
        <f>IF(D694&gt;Public,"Yes","No")</f>
        <v>No</v>
      </c>
      <c r="E695" s="83"/>
      <c r="F695" s="3010" t="str">
        <f>IF(F694&gt;Public,"Yes","No")</f>
        <v>No</v>
      </c>
      <c r="G695" s="83"/>
      <c r="H695" s="3010" t="str">
        <f>IF(H694&gt;Public,"Yes","No")</f>
        <v>No</v>
      </c>
      <c r="I695" s="83"/>
      <c r="J695" s="3010" t="str">
        <f>IF(J694&gt;Public,"Yes","No")</f>
        <v>No</v>
      </c>
      <c r="K695" s="83"/>
      <c r="L695" s="3010" t="str">
        <f>IF(L694&gt;Public,"Yes","No")</f>
        <v>No</v>
      </c>
      <c r="M695" s="83"/>
      <c r="N695" s="3010" t="str">
        <f>IF(N694&gt;Public,"Yes","No")</f>
        <v>No</v>
      </c>
      <c r="O695" s="83"/>
      <c r="P695" s="3010" t="str">
        <f>IF(P694&gt;Public,"Yes","No")</f>
        <v>No</v>
      </c>
      <c r="Q695" s="83"/>
      <c r="R695" s="3010" t="str">
        <f>IF(R694&gt;Public,"Yes","No")</f>
        <v>No</v>
      </c>
      <c r="S695" s="83"/>
      <c r="T695" s="3010" t="str">
        <f>IF(T694&gt;Public,"Yes","No")</f>
        <v>No</v>
      </c>
      <c r="U695" s="83"/>
      <c r="V695" s="3010" t="str">
        <f>IF(V694&gt;Public,"Yes","No")</f>
        <v>No</v>
      </c>
      <c r="W695" s="83"/>
      <c r="X695" s="3010" t="str">
        <f>IF(X694&gt;Public,"Yes","No")</f>
        <v>No</v>
      </c>
      <c r="Y695" s="83"/>
      <c r="Z695" s="85"/>
      <c r="AA695" s="2"/>
      <c r="AB695" s="81"/>
      <c r="AC695" s="1689" t="s">
        <v>4495</v>
      </c>
      <c r="AD695" s="1694"/>
      <c r="AE695" s="93" t="str">
        <f>IF(Public&gt;0.1,IF(OR(AND(AE501&gt;AE629,Public&lt;10*AE499),AE694&gt;AE629),"Yes","No"),"")</f>
        <v/>
      </c>
      <c r="AF695" s="81"/>
      <c r="AG695" s="93" t="str">
        <f>IF(Public&gt;0.1,IF(OR(AND(AG501&gt;AG629,Public&lt;10*AG499),AG694&gt;AG629),"Yes","No"),"")</f>
        <v/>
      </c>
      <c r="AH695" s="81"/>
      <c r="AI695" s="93" t="str">
        <f>IF(Public&gt;0.1,IF(OR(AND(AI501&gt;AI629,Public&lt;10*AI499),AI694&gt;AI629),"Yes","No"),"")</f>
        <v/>
      </c>
      <c r="AJ695" s="81"/>
      <c r="AK695" s="81"/>
      <c r="AL695" s="81"/>
      <c r="AM695" s="81"/>
      <c r="AN695" s="81"/>
      <c r="AO695" s="81"/>
      <c r="AP695" s="81"/>
      <c r="AQ695" s="85"/>
      <c r="AR695" s="81"/>
    </row>
    <row r="696" spans="1:44" ht="15" customHeight="1" x14ac:dyDescent="0.25">
      <c r="A696" s="2"/>
      <c r="B696" s="23" t="s">
        <v>1534</v>
      </c>
      <c r="C696" s="83"/>
      <c r="D696" s="2996">
        <f>IF(D690&lt;&gt;"Yes",0,Bldg_Explosion_Center)</f>
        <v>0</v>
      </c>
      <c r="E696" s="83"/>
      <c r="F696" s="2996">
        <f>IF(F690&lt;&gt;"Yes",0,Bldg_Explosion_Center)</f>
        <v>0</v>
      </c>
      <c r="G696" s="83"/>
      <c r="H696" s="2996">
        <f>IF(H690&lt;&gt;"Yes",0,Bldg_Explosion_Center)</f>
        <v>0</v>
      </c>
      <c r="I696" s="83"/>
      <c r="J696" s="2996">
        <f>IF(J690&lt;&gt;"Yes",0,Bldg_Explosion_Center)</f>
        <v>0</v>
      </c>
      <c r="K696" s="83"/>
      <c r="L696" s="2996">
        <f>IF(L690&lt;&gt;"Yes",0,Bldg_Explosion_Center)</f>
        <v>0</v>
      </c>
      <c r="M696" s="83"/>
      <c r="N696" s="2996">
        <f>IF(N690&lt;&gt;"Yes",0,Bldg_Explosion_Center)</f>
        <v>0</v>
      </c>
      <c r="O696" s="83"/>
      <c r="P696" s="2996">
        <f>IF(P690&lt;&gt;"Yes",0,Bldg_Explosion_Center)</f>
        <v>0</v>
      </c>
      <c r="Q696" s="83"/>
      <c r="R696" s="2996">
        <f>IF(R690&lt;&gt;"Yes",0,Bldg_Explosion_Center)</f>
        <v>0</v>
      </c>
      <c r="S696" s="83"/>
      <c r="T696" s="2996">
        <f>IF(T690&lt;&gt;"Yes",0,Bldg_Explosion_Center)</f>
        <v>0</v>
      </c>
      <c r="U696" s="83"/>
      <c r="V696" s="2996">
        <f>IF(V690&lt;&gt;"Yes",0,Bldg_Explosion_Center)</f>
        <v>0</v>
      </c>
      <c r="W696" s="83"/>
      <c r="X696" s="2996">
        <f>IF(X690&lt;&gt;"Yes",0,Bldg_Explosion_Center)</f>
        <v>0</v>
      </c>
      <c r="Y696" s="83"/>
      <c r="Z696" s="85" t="s">
        <v>968</v>
      </c>
      <c r="AA696" s="2"/>
      <c r="AB696" s="81"/>
      <c r="AC696" s="1691" t="s">
        <v>4496</v>
      </c>
      <c r="AD696" s="81"/>
      <c r="AE696" s="1693">
        <f>IF(AE636&lt;&gt;"",IF(AE294="Indoors",IF(AE712&lt;=AE636,0,AE$530*((IF(Enclosed_Ventilation_Rate&gt;1,Enclosed_Ventilation_Rate,1)*Enclosed_Process_Volume*AE488*AE712/88020000000)*1000000*(1/AE636-1/AE712)/(AE488*Wind))^AE$531),IF(1000000/AE636&lt;=1,0,MAX(0,IF(AE559="Instantaneous",AE$556*((AE471/AE488)*(1000000/AE636))^AE$557-AE$558,AE$530*(AE478*(1000000/AE636)/(AE488*Wind))^AE$531-AE$532)))),0)</f>
        <v>0</v>
      </c>
      <c r="AF696" s="81"/>
      <c r="AG696" s="1693">
        <f>IF(AND(AG4787&gt;0,AG636&lt;&gt;""),IF(AG294="Indoors",IF(AG712&lt;=AG636,0,AG$530*((IF(Enclosed_Ventilation_Rate&gt;1,Enclosed_Ventilation_Rate,1)*Enclosed_Process_Volume*AG488*AG712/88020000000)*1000000*(1/AG636-1/AG712)/(AG488*Wind))^AG$531),IF(1000000/AG636&lt;=1,0,MAX(0,IF(AG559="Instantaneous",AG$556*((AG471/AG488)*(1000000/AG636))^AG$557-AG$558,AG$530*(AG478*(1000000/AG636)/(AG488*Wind))^AG$531-AG$532)))),0)</f>
        <v>0</v>
      </c>
      <c r="AH696" s="81"/>
      <c r="AI696" s="1693">
        <f>IF(AI636&lt;&gt;"",IF(AI294="Indoors",IF(AI712&lt;=AI636,0,AI$530*((IF(Enclosed_Ventilation_Rate&gt;1,Enclosed_Ventilation_Rate,1)*Enclosed_Process_Volume*AI488*AI712/88020000000)*1000000*(1/AI636-1/AI712)/(AI488*Wind))^AI$531),IF(1000000/AI636&lt;=1,0,MAX(0,IF(AI559="Instantaneous",AI$556*((AI471/AI488)*(1000000/AI636))^AI$557-AI$558,AI$530*(AI478*(1000000/AI636)/(AI488*Wind))^AI$531-AI$532)))),0)</f>
        <v>0</v>
      </c>
      <c r="AJ696" s="81"/>
      <c r="AK696" s="81"/>
      <c r="AL696" s="81"/>
      <c r="AM696" s="81"/>
      <c r="AN696" s="81"/>
      <c r="AO696" s="81"/>
      <c r="AP696" s="81"/>
      <c r="AQ696" s="85" t="s">
        <v>1068</v>
      </c>
      <c r="AR696" s="81"/>
    </row>
    <row r="697" spans="1:44" ht="15" customHeight="1" x14ac:dyDescent="0.25">
      <c r="A697" s="2"/>
      <c r="B697" s="23" t="s">
        <v>698</v>
      </c>
      <c r="C697" s="83"/>
      <c r="D697" s="1182">
        <f>IF(D690&lt;&gt;"Yes",0,Bldg_Explosion_Press)</f>
        <v>0</v>
      </c>
      <c r="E697" s="83"/>
      <c r="F697" s="1182">
        <f>IF(F690&lt;&gt;"Yes",0,Bldg_Explosion_Press)</f>
        <v>0</v>
      </c>
      <c r="G697" s="83"/>
      <c r="H697" s="1182">
        <f>IF(H690&lt;&gt;"Yes",0,Bldg_Explosion_Press)</f>
        <v>0</v>
      </c>
      <c r="I697" s="83"/>
      <c r="J697" s="1182">
        <f>IF(J690&lt;&gt;"Yes",0,Bldg_Explosion_Press)</f>
        <v>0</v>
      </c>
      <c r="K697" s="83"/>
      <c r="L697" s="1182">
        <f>IF(L690&lt;&gt;"Yes",0,Bldg_Explosion_Press)</f>
        <v>0</v>
      </c>
      <c r="M697" s="83"/>
      <c r="N697" s="1182">
        <f>IF(N690&lt;&gt;"Yes",0,Bldg_Explosion_Press)</f>
        <v>0</v>
      </c>
      <c r="O697" s="83"/>
      <c r="P697" s="1182">
        <f>IF(P690&lt;&gt;"Yes",0,Bldg_Explosion_Press)</f>
        <v>0</v>
      </c>
      <c r="Q697" s="83"/>
      <c r="R697" s="1182">
        <f>IF(R690&lt;&gt;"Yes",0,Bldg_Explosion_Press)</f>
        <v>0</v>
      </c>
      <c r="S697" s="83"/>
      <c r="T697" s="1182">
        <f>IF(T690&lt;&gt;"Yes",0,Bldg_Explosion_Press)</f>
        <v>0</v>
      </c>
      <c r="U697" s="83"/>
      <c r="V697" s="1182">
        <f>IF(V690&lt;&gt;"Yes",0,Bldg_Explosion_Press)</f>
        <v>0</v>
      </c>
      <c r="W697" s="83"/>
      <c r="X697" s="1182">
        <f>IF(X690&lt;&gt;"Yes",0,Bldg_Explosion_Press)</f>
        <v>0</v>
      </c>
      <c r="Y697" s="83"/>
      <c r="Z697" s="85" t="s">
        <v>968</v>
      </c>
      <c r="AA697" s="2"/>
      <c r="AB697" s="81"/>
      <c r="AC697" s="85" t="s">
        <v>4497</v>
      </c>
      <c r="AD697" s="81"/>
      <c r="AE697" s="1209" t="str">
        <f>IF(Public&gt;0.1,IF(AE694&gt;AE636,"Yes","No"),"")</f>
        <v/>
      </c>
      <c r="AF697" s="81"/>
      <c r="AG697" s="1209" t="str">
        <f>IF(Public&gt;0.1,IF(AG694&gt;AG636,"Yes","No"),"")</f>
        <v/>
      </c>
      <c r="AH697" s="81"/>
      <c r="AI697" s="1209" t="str">
        <f>IF(Public&gt;0.1,IF(AI694&gt;AI636,"Yes","No"),"")</f>
        <v/>
      </c>
      <c r="AJ697" s="81"/>
      <c r="AK697" s="81"/>
      <c r="AL697" s="81"/>
      <c r="AM697" s="81"/>
      <c r="AN697" s="81"/>
      <c r="AO697" s="81"/>
      <c r="AP697" s="81"/>
      <c r="AQ697" s="85"/>
      <c r="AR697" s="81"/>
    </row>
    <row r="698" spans="1:44" ht="15" customHeight="1" x14ac:dyDescent="0.25">
      <c r="A698" s="2"/>
      <c r="B698" s="23" t="s">
        <v>2936</v>
      </c>
      <c r="C698" s="83"/>
      <c r="D698" s="1182">
        <f>IF(D690&lt;&gt;"Yes",0,Bldg2_Explosion_Center)</f>
        <v>0</v>
      </c>
      <c r="E698" s="83"/>
      <c r="F698" s="1182">
        <f>IF(F690&lt;&gt;"Yes",0,Bldg2_Explosion_Center)</f>
        <v>0</v>
      </c>
      <c r="G698" s="83"/>
      <c r="H698" s="1182">
        <f>IF(H690&lt;&gt;"Yes",0,Bldg2_Explosion_Center)</f>
        <v>0</v>
      </c>
      <c r="I698" s="83"/>
      <c r="J698" s="1182">
        <f>IF(J690&lt;&gt;"Yes",0,Bldg2_Explosion_Center)</f>
        <v>0</v>
      </c>
      <c r="K698" s="83"/>
      <c r="L698" s="1182">
        <f>IF(L690&lt;&gt;"Yes",0,Bldg2_Explosion_Center)</f>
        <v>0</v>
      </c>
      <c r="M698" s="83"/>
      <c r="N698" s="1182">
        <f>IF(N690&lt;&gt;"Yes",0,Bldg2_Explosion_Center)</f>
        <v>0</v>
      </c>
      <c r="O698" s="83"/>
      <c r="P698" s="1182">
        <f>IF(P690&lt;&gt;"Yes",0,Bldg2_Explosion_Center)</f>
        <v>0</v>
      </c>
      <c r="Q698" s="83"/>
      <c r="R698" s="1182">
        <f>IF(R690&lt;&gt;"Yes",0,Bldg2_Explosion_Center)</f>
        <v>0</v>
      </c>
      <c r="S698" s="83"/>
      <c r="T698" s="1182">
        <f>IF(T690&lt;&gt;"Yes",0,Bldg2_Explosion_Center)</f>
        <v>0</v>
      </c>
      <c r="U698" s="83"/>
      <c r="V698" s="1182">
        <f>IF(V690&lt;&gt;"Yes",0,Bldg2_Explosion_Center)</f>
        <v>0</v>
      </c>
      <c r="W698" s="83"/>
      <c r="X698" s="1182">
        <f>IF(X690&lt;&gt;"Yes",0,Bldg2_Explosion_Center)</f>
        <v>0</v>
      </c>
      <c r="Y698" s="83"/>
      <c r="Z698" s="85" t="s">
        <v>968</v>
      </c>
      <c r="AA698" s="2"/>
      <c r="AB698" s="81"/>
      <c r="AC698" s="85" t="s">
        <v>4737</v>
      </c>
      <c r="AD698" s="81"/>
      <c r="AE698" s="2086">
        <f>IF(AND(AE488&gt;0,AE643&lt;&gt;""),IF(A293="Indoors",IF(AE712&lt;=AE643,0.1,AE$530*((IF(Enclosed_Ventilation_Rate&gt;1,Enclosed_Ventilation_Rate,1)*Enclosed_Process_Volume*AE488*AE712/88020000000)*1000000*(1/(AE643)-1/AE712)/(AE488*Wind))^AE$531),IF(1000000/(AE643)&lt;=1,0.1,MAX(0.1,IF(AE559="Instantaneous",AE$556*((AE471/AE488)*(1000000/AE643))^AE$557-AE$558,AE$530*(AE478*(1000000/AE643)/(AE488*Wind))^AE$531-AE$532)))),0.1)</f>
        <v>0.1</v>
      </c>
      <c r="AF698" s="81"/>
      <c r="AG698" s="2086">
        <f>IF(AND(AG478&gt;0,AG488&gt;0,AG643&lt;&gt;""),IF(C293="Indoors",IF(AG712&lt;=AG643,0.1,AG$530*((IF(Enclosed_Ventilation_Rate&gt;1,Enclosed_Ventilation_Rate,1)*Enclosed_Process_Volume*AG488*AG712/88020000000)*1000000*(1/(AG643)-1/AG712)/(AG488*Wind))^AG$531),IF(1000000/(AG643)&lt;=1,0.1,MAX(0.1,IF(AG559="Instantaneous",AG$556*((AG471/AG488)*(1000000/AG643))^AG$557-AG$558,AG$530*(AG478*(1000000/AG643)/(AG488*Wind))^AG$531-AG$532)))),0.1)</f>
        <v>0.1</v>
      </c>
      <c r="AH698" s="81"/>
      <c r="AI698" s="2086">
        <f>IF(AND(AI488&gt;0,AI643&lt;&gt;""),IF(E293="Indoors",IF(AI712&lt;=AI643,0.1,AI$530*((IF(Enclosed_Ventilation_Rate&gt;1,Enclosed_Ventilation_Rate,1)*Enclosed_Process_Volume*AI488*AI712/88020000000)*1000000*(1/(AI643)-1/AI712)/(AI488*Wind))^AI$531),IF(1000000/(AI643)&lt;=1,0.1,MAX(0.1,IF(AI559="Instantaneous",AI$556*((AI471/AI488)*(1000000/AI643))^AI$557-AI$558,AI$530*(AI478*(1000000/AI643)/(AI488*Wind))^AI$531-AI$532)))),0.1)</f>
        <v>0.1</v>
      </c>
      <c r="AJ698" s="81"/>
      <c r="AK698" s="81"/>
      <c r="AL698" s="81"/>
      <c r="AM698" s="81"/>
      <c r="AN698" s="81"/>
      <c r="AO698" s="81"/>
      <c r="AP698" s="81"/>
      <c r="AQ698" s="85" t="s">
        <v>1068</v>
      </c>
      <c r="AR698" s="81"/>
    </row>
    <row r="699" spans="1:44" ht="15" customHeight="1" x14ac:dyDescent="0.25">
      <c r="A699" s="2"/>
      <c r="B699" s="23" t="s">
        <v>628</v>
      </c>
      <c r="C699" s="83"/>
      <c r="D699" s="1182">
        <f>IF(D690&lt;&gt;"Yes",0,Bldg2_Explosion_Press)</f>
        <v>0</v>
      </c>
      <c r="E699" s="83"/>
      <c r="F699" s="1182">
        <f>IF(F690&lt;&gt;"Yes",0,Bldg2_Explosion_Press)</f>
        <v>0</v>
      </c>
      <c r="G699" s="83"/>
      <c r="H699" s="1182">
        <f>IF(H690&lt;&gt;"Yes",0,Bldg2_Explosion_Press)</f>
        <v>0</v>
      </c>
      <c r="I699" s="83"/>
      <c r="J699" s="1182">
        <f>IF(J690&lt;&gt;"Yes",0,Bldg2_Explosion_Press)</f>
        <v>0</v>
      </c>
      <c r="K699" s="83"/>
      <c r="L699" s="1182">
        <f>IF(L690&lt;&gt;"Yes",0,Bldg2_Explosion_Press)</f>
        <v>0</v>
      </c>
      <c r="M699" s="83"/>
      <c r="N699" s="1182">
        <f>IF(N690&lt;&gt;"Yes",0,Bldg2_Explosion_Press)</f>
        <v>0</v>
      </c>
      <c r="O699" s="83"/>
      <c r="P699" s="1182">
        <f>IF(P690&lt;&gt;"Yes",0,Bldg2_Explosion_Press)</f>
        <v>0</v>
      </c>
      <c r="Q699" s="83"/>
      <c r="R699" s="1182">
        <f>IF(R690&lt;&gt;"Yes",0,Bldg2_Explosion_Press)</f>
        <v>0</v>
      </c>
      <c r="S699" s="83"/>
      <c r="T699" s="1182">
        <f>IF(T690&lt;&gt;"Yes",0,Bldg2_Explosion_Press)</f>
        <v>0</v>
      </c>
      <c r="U699" s="83"/>
      <c r="V699" s="1182">
        <f>IF(V690&lt;&gt;"Yes",0,Bldg2_Explosion_Press)</f>
        <v>0</v>
      </c>
      <c r="W699" s="83"/>
      <c r="X699" s="1182">
        <f>IF(X690&lt;&gt;"Yes",0,Bldg2_Explosion_Press)</f>
        <v>0</v>
      </c>
      <c r="Y699" s="83"/>
      <c r="Z699" s="85" t="s">
        <v>968</v>
      </c>
      <c r="AA699" s="2"/>
      <c r="AB699" s="81"/>
      <c r="AC699" s="85" t="s">
        <v>3823</v>
      </c>
      <c r="AD699" s="81"/>
      <c r="AE699" s="2086">
        <f>IF(AE678&lt;&gt;"",IF(AE294="Indoors",IF(AE712&lt;=AE678,0.1,AE$530*((IF(Enclosed_Ventilation_Rate&gt;1,Enclosed_Ventilation_Rate,1)*Enclosed_Process_Volume*AE488*AE712/88020000000)*1000000*(1/AE678-1/AE712)/(AE488*Wind))^AE$531),IF(AE678&gt;=1000000,0.1,MAX(0.1,IF(AE559="Instantaneous",AE$556*((AE471/AE488)*(1000000/AE678))^AE$557-AE$568,AE$530*(AE478*(1000000/AE678)/(AE488*Wind))^AE$531-AE$532)))),0.1)</f>
        <v>0.1</v>
      </c>
      <c r="AF699" s="81"/>
      <c r="AG699" s="2086">
        <f>IF(AND(AG478&gt;0,AG678&lt;&gt;""),IF(AG294="Indoors",IF(AG712&lt;=AG678,0.1,AG$530*((IF(Enclosed_Ventilation_Rate&gt;1,Enclosed_Ventilation_Rate,1)*Enclosed_Process_Volume*AG488*AG712/88020000000)*1000000*(1/AG678-1/AG712)/(AG488*Wind))^AG$531),IF(AG678&gt;=1000000,0.1,MAX(0.1,IF(AG559="Instantaneous",AG$556*((AG471/AG488)*(1000000/AG678))^AG$557-AG$568,AG$530*(AG478*(1000000/AG678)/(AG488*Wind))^AG$531-AG$532)))),0.1)</f>
        <v>0.1</v>
      </c>
      <c r="AH699" s="81"/>
      <c r="AI699" s="2086">
        <f>IF(AI678&lt;&gt;"",IF(AI294="Indoors",IF(AI712&lt;=AI678,0.1,AI$530*((IF(Enclosed_Ventilation_Rate&gt;1,Enclosed_Ventilation_Rate,1)*Enclosed_Process_Volume*AI488*AI712/88020000000)*1000000*(1/AI678-1/AI712)/(AI488*Wind))^AI$531),IF(AI678&gt;=1000000,0.1,MAX(0.1,IF(AI559="Instantaneous",AI$556*((AI471/AI488)*(1000000/AI678))^AI$557-AI$568,AI$530*(AI478*(1000000/AI678)/(AI488*Wind))^AI$531-AI$532)))),0.1)</f>
        <v>0.1</v>
      </c>
      <c r="AJ699" s="81"/>
      <c r="AK699" s="81"/>
      <c r="AL699" s="81"/>
      <c r="AM699" s="81"/>
      <c r="AN699" s="81"/>
      <c r="AO699" s="81"/>
      <c r="AP699" s="81"/>
      <c r="AQ699" s="85" t="s">
        <v>1068</v>
      </c>
      <c r="AR699" s="81"/>
    </row>
    <row r="700" spans="1:44" ht="15" customHeight="1" thickBot="1" x14ac:dyDescent="0.3">
      <c r="A700" s="2"/>
      <c r="B700" s="25" t="s">
        <v>1863</v>
      </c>
      <c r="C700" s="83"/>
      <c r="D700" s="98" t="str">
        <f>IF(AND(D694&gt;10,OR(D697&gt;Bldg_Type_Correction,D699&gt;Bldg2_Type_Correction)),"Yes","No")</f>
        <v>No</v>
      </c>
      <c r="E700" s="83"/>
      <c r="F700" s="98" t="str">
        <f>IF(AND(F694&gt;10,OR(F697&gt;Bldg_Type_Correction,F699&gt;Bldg2_Type_Correction)),"Yes","No")</f>
        <v>No</v>
      </c>
      <c r="G700" s="83"/>
      <c r="H700" s="98" t="str">
        <f>IF(AND(H694&gt;10,OR(H697&gt;Bldg_Type_Correction,H699&gt;Bldg2_Type_Correction)),"Yes","No")</f>
        <v>No</v>
      </c>
      <c r="I700" s="83"/>
      <c r="J700" s="98" t="str">
        <f>IF(AND(J694&gt;10,OR(J697&gt;Bldg_Type_Correction,J699&gt;Bldg2_Type_Correction)),"Yes","No")</f>
        <v>No</v>
      </c>
      <c r="K700" s="83"/>
      <c r="L700" s="98" t="str">
        <f>IF(AND(L694&gt;10,OR(L697&gt;Bldg_Type_Correction,L699&gt;Bldg2_Type_Correction)),"Yes","No")</f>
        <v>No</v>
      </c>
      <c r="M700" s="83"/>
      <c r="N700" s="98" t="str">
        <f>IF(AND(N694&gt;10,OR(N697&gt;Bldg_Type_Correction,N699&gt;Bldg2_Type_Correction)),"Yes","No")</f>
        <v>No</v>
      </c>
      <c r="O700" s="83"/>
      <c r="P700" s="98" t="str">
        <f>IF(AND(P694&gt;10,OR(P697&gt;Bldg_Type_Correction,P699&gt;Bldg2_Type_Correction)),"Yes","No")</f>
        <v>No</v>
      </c>
      <c r="Q700" s="83"/>
      <c r="R700" s="98" t="str">
        <f>IF(AND(R694&gt;10,OR(R697&gt;Bldg_Type_Correction,R699&gt;Bldg2_Type_Correction)),"Yes","No")</f>
        <v>No</v>
      </c>
      <c r="S700" s="83"/>
      <c r="T700" s="98" t="str">
        <f>IF(AND(T694&gt;10,OR(T697&gt;Bldg_Type_Correction,T699&gt;Bldg2_Type_Correction)),"Yes","No")</f>
        <v>No</v>
      </c>
      <c r="U700" s="83"/>
      <c r="V700" s="98" t="str">
        <f>IF(AND(V694&gt;10,OR(V697&gt;Bldg_Type_Correction,V699&gt;Bldg2_Type_Correction)),"Yes","No")</f>
        <v>No</v>
      </c>
      <c r="W700" s="83"/>
      <c r="X700" s="98" t="str">
        <f>IF(AND(X694&gt;10,OR(X697&gt;Bldg_Type_Correction,X699&gt;Bldg2_Type_Correction)),"Yes","No")</f>
        <v>No</v>
      </c>
      <c r="Y700" s="83"/>
      <c r="Z700" s="25"/>
      <c r="AA700" s="2"/>
      <c r="AB700" s="81"/>
      <c r="AC700" s="85" t="s">
        <v>3824</v>
      </c>
      <c r="AD700" s="81"/>
      <c r="AE700" s="2086">
        <f>IF(AE678&lt;&gt;"",IF(AE294="Indoors",IF(ConcFract_Indoor*AE712&lt;=AE678,0.1,AE$530*((IF(Enclosed_Ventilation_Rate&gt;1,Enclosed_Ventilation_Rate,1)*Enclosed_Process_Volume*AE488*AE712/88020000000)*1000000*(ConcFract_Indoor/AE678-1/AE712)/(AE488*Wind))^AE$531),IF(AE678&gt;=ConcFract_Indoor*1000000,0.1,MAX(0.1,IF(AE559="Instantaneous",AE$556*((AE471/AE488)*(ConcFract_Indoor*1000000/AE678))^AE$557-AE$558,AE$530*(AE478*(ConcFract_Indoor*1000000/AE678)/(AE488*Wind))^AE$531-AE$532)))),0.1)</f>
        <v>0.1</v>
      </c>
      <c r="AF700" s="81"/>
      <c r="AG700" s="2086">
        <f>IF(AND(AG478&gt;0,AG678&lt;&gt;""),IF(AG294="Indoors",IF(ConcFract_Indoor*AG712&lt;=AG678,0.1,AG$530*((IF(Enclosed_Ventilation_Rate&gt;1,Enclosed_Ventilation_Rate,1)*Enclosed_Process_Volume*AG488*AG712/88020000000)*1000000*(ConcFract_Indoor/AG678-1/AG712)/(AG488*Wind))^AG$531),IF(AG678&gt;=ConcFract_Indoor*1000000,0.1,MAX(0.1,IF(AG559="Instantaneous",AG$556*((AG471/AG488)*(ConcFract_Indoor*1000000/AG678))^AG$557-AG$558,AG$530*(AG478*(ConcFract_Indoor*1000000/AG678)/(AG488*Wind))^AG$531-AG$532)))),0.1)</f>
        <v>0.1</v>
      </c>
      <c r="AH700" s="81"/>
      <c r="AI700" s="2086">
        <f>IF(AI678&lt;&gt;"",IF(AI294="Indoors",IF(ConcFract_Indoor*AI712&lt;=AI678,0.1,AI$530*((IF(Enclosed_Ventilation_Rate&gt;1,Enclosed_Ventilation_Rate,1)*Enclosed_Process_Volume*AI488*AI712/88020000000)*1000000*(ConcFract_Indoor/AI678-1/AI712)/(AI488*Wind))^AI$531),IF(AI678&gt;=ConcFract_Indoor*1000000,0.1,MAX(0.1,IF(AI559="Instantaneous",AI$556*((AI471/AI488)*(ConcFract_Indoor*1000000/AI678))^AI$557-AI$558,AI$530*(AI478*(ConcFract_Indoor*1000000/AI678)/(AI488*Wind))^AI$531-AI$532)))),0.1)</f>
        <v>0.1</v>
      </c>
      <c r="AJ700" s="81"/>
      <c r="AK700" s="81"/>
      <c r="AL700" s="81"/>
      <c r="AM700" s="81"/>
      <c r="AN700" s="81"/>
      <c r="AO700" s="81"/>
      <c r="AP700" s="81"/>
      <c r="AQ700" s="85" t="s">
        <v>1068</v>
      </c>
      <c r="AR700" s="81"/>
    </row>
    <row r="701" spans="1:44" ht="15" customHeight="1" x14ac:dyDescent="0.25">
      <c r="A701" s="2"/>
      <c r="B701" s="850" t="s">
        <v>1532</v>
      </c>
      <c r="C701" s="83"/>
      <c r="D701" s="99" t="str">
        <f>IF(OR(Flash_Pt_Feed="",D456=0,Location&lt;&gt;"Outdoors"),"No",IF(OR(AND(Flame_Speed_Feed="High",MIN(D456,D465*D703/Wind)&gt;VCE_LowTotal),AND(Flame_Speed_Feed&lt;&gt;"High",MIN(D456,D465*D703/Wind)&gt;VCE_HighTotal)),"Yes","No"))</f>
        <v>No</v>
      </c>
      <c r="E701" s="83"/>
      <c r="F701" s="99" t="str">
        <f>IF(OR(Flash_Pt_Feed="",F456=0,Location&lt;&gt;"Outdoors"),"No",IF(OR(AND(Flame_Speed_Feed="High",MIN(F456,F465*F703/Wind)&gt;VCE_LowTotal),AND(Flame_Speed_Feed&lt;&gt;"High",MIN(F456,F465*F703/Wind)&gt;VCE_HighTotal)),"Yes","No"))</f>
        <v>No</v>
      </c>
      <c r="G701" s="83"/>
      <c r="H701" s="99" t="str">
        <f>IF(OR(Flash_Pt_Feed="",H456=0,Location&lt;&gt;"Outdoors"),"No",IF(OR(AND(Flame_Speed_Feed="High",MIN(H456,H465*H703/Wind)&gt;VCE_LowTotal),AND(Flame_Speed_Feed&lt;&gt;"High",MIN(H456,H465*H703/Wind)&gt;VCE_HighTotal)),"Yes","No"))</f>
        <v>No</v>
      </c>
      <c r="I701" s="83"/>
      <c r="J701" s="99" t="str">
        <f>IF(OR(Flash_Pt_Feed="",J456=0,Location&lt;&gt;"Outdoors"),"No",IF(OR(AND(Flame_Speed_Feed="High",MIN(J456,J465*J703/Wind)&gt;VCE_LowTotal),AND(Flame_Speed_Feed&lt;&gt;"High",MIN(J456,J465*J703/Wind)&gt;VCE_HighTotal)),"Yes","No"))</f>
        <v>No</v>
      </c>
      <c r="K701" s="83"/>
      <c r="L701" s="99" t="str">
        <f>IF(OR(Flash_Pt_Feed="",L456=0,Location&lt;&gt;"Outdoors"),"No",IF(OR(AND(Flame_Speed_Feed="High",MIN(L456,L465*L703/Wind)&gt;VCE_LowTotal),AND(Flame_Speed_Feed&lt;&gt;"High",MIN(L456,L465*L703/Wind)&gt;VCE_HighTotal)),"Yes","No"))</f>
        <v>No</v>
      </c>
      <c r="M701" s="83"/>
      <c r="N701" s="99" t="str">
        <f>IF(OR(Flash_Pt_Feed="",N456=0,Location&lt;&gt;"Outdoors"),"No",IF(OR(AND(Flame_Speed_Feed="High",MIN(N456,N465*N703/Wind)&gt;VCE_LowTotal),AND(Flame_Speed_Feed&lt;&gt;"High",MIN(N456,N465*N703/Wind)&gt;VCE_HighTotal)),"Yes","No"))</f>
        <v>No</v>
      </c>
      <c r="O701" s="83"/>
      <c r="P701" s="99" t="str">
        <f>IF(OR(Flash_Pt_Feed="",P456=0,Location&lt;&gt;"Outdoors"),"No",IF(OR(AND(Flame_Speed_Feed="High",MIN(P456,P465*P703/Wind)&gt;VCE_LowTotal),AND(Flame_Speed_Feed&lt;&gt;"High",MIN(P456,P465*P703/Wind)&gt;VCE_HighTotal)),"Yes","No"))</f>
        <v>No</v>
      </c>
      <c r="Q701" s="83"/>
      <c r="R701" s="99" t="str">
        <f>IF(OR(Flash_Pt_Feed="",R456=0,Location&lt;&gt;"Outdoors"),"No",IF(OR(AND(Flame_Speed_Feed="High",MIN(R456,R465*R703/Wind)&gt;VCE_LowTotal),AND(Flame_Speed_Feed&lt;&gt;"High",MIN(R456,R465*R703/Wind)&gt;VCE_HighTotal)),"Yes","No"))</f>
        <v>No</v>
      </c>
      <c r="S701" s="83"/>
      <c r="T701" s="99" t="str">
        <f>IF(OR(Flash_Pt_Feed="",T456=0,Location&lt;&gt;"Outdoors"),"No",IF(OR(AND(Flame_Speed_Feed="High",MIN(T456,T465*T703/Wind)&gt;VCE_LowTotal),AND(Flame_Speed_Feed&lt;&gt;"High",MIN(T456,T465*T703/Wind)&gt;VCE_HighTotal)),"Yes","No"))</f>
        <v>No</v>
      </c>
      <c r="U701" s="83"/>
      <c r="V701" s="99" t="str">
        <f>IF(OR(Flash_Pt_Feed="",V456=0,Location&lt;&gt;"Outdoors"),"No",IF(OR(AND(Flame_Speed_Feed="High",MIN(V456,V465*V703/Wind)&gt;VCE_LowTotal),AND(Flame_Speed_Feed&lt;&gt;"High",MIN(V456,V465*V703/Wind)&gt;VCE_HighTotal)),"Yes","No"))</f>
        <v>No</v>
      </c>
      <c r="W701" s="83"/>
      <c r="X701" s="99" t="str">
        <f>IF(OR(Flash_Pt_Feed="",X456=0,Location&lt;&gt;"Outdoors"),"No",IF(OR(AND(Flame_Speed_Feed="High",MIN(X456,X465*X703/Wind)&gt;VCE_LowTotal),AND(Flame_Speed_Feed&lt;&gt;"High",MIN(X456,X465*X703/Wind)&gt;VCE_HighTotal)),"Yes","No"))</f>
        <v>No</v>
      </c>
      <c r="Y701" s="83"/>
      <c r="Z701" s="85"/>
      <c r="AA701" s="2"/>
      <c r="AB701" s="81"/>
      <c r="AC701" s="85" t="s">
        <v>3540</v>
      </c>
      <c r="AD701" s="81"/>
      <c r="AE701" s="2124">
        <f>IF(AE685&lt;&gt;"",IF(AE294="Indoors",IF(AE712&lt;=AE685,0.1,AE$582*((IF(Enclosed_Ventilation_Rate&gt;1,Enclosed_Ventilation_Rate,1)*Enclosed_Process_Volume*AE488*AE712/88020000000)*1000000*(1/AE685-1/AE712)/(AE488*Wind))^AE$583),IF(AE685&gt;=1000000,0.1,MAX(0.1,IF(AE559="Instantaneous",AE$608*((AE471/AE488)*(1000000/AE685))^AE$609-AE$610,AE$582*(AE478*(1000000/AE685)/(AE488*Wind))^AE$583-AE$610)))),0.1)</f>
        <v>0.1</v>
      </c>
      <c r="AF701" s="81"/>
      <c r="AG701" s="2124">
        <f>IF(AND(AG478&gt;0,AG685&lt;&gt;""),IF(AG294="Indoors",IF(AG712&lt;=AG685,0.1,AG$582*((IF(Enclosed_Ventilation_Rate&gt;1,Enclosed_Ventilation_Rate,1)*Enclosed_Process_Volume*AG488*AG712/88020000000)*1000000*(1/AG685-1/AG712)/(AG488*Wind))^AG$583),IF(AG685&gt;=1000000,0.1,MAX(0.1,IF(AG559="Instantaneous",AG$608*((AG471/AG488)*(1000000/AG685))^AG$609-AG$610,AG$582*(AG478*(1000000/AG685)/(AG488*Wind))^AG$583-AG$610)))),0.1)</f>
        <v>0.1</v>
      </c>
      <c r="AH701" s="81"/>
      <c r="AI701" s="2124">
        <f>IF(AI685&lt;&gt;"",IF(AI294="Indoors",IF(AI712&lt;=AI685,0.1,AI$582*((IF(Enclosed_Ventilation_Rate&gt;1,Enclosed_Ventilation_Rate,1)*Enclosed_Process_Volume*AI488*AI712/88020000000)*1000000*(1/AI685-1/AI712)/(AI488*Wind))^AI$583),IF(AI685&gt;=1000000,0.1,MAX(0.1,IF(AI559="Instantaneous",AI$608*((AI471/AI488)*(1000000/AI685))^AI$609-AI$610,AI$582*(AI478*(1000000/AI685)/(AI488*Wind))^AI$583-AI$610)))),0.1)</f>
        <v>0.1</v>
      </c>
      <c r="AJ701" s="81"/>
      <c r="AK701" s="81"/>
      <c r="AL701" s="81"/>
      <c r="AM701" s="81"/>
      <c r="AN701" s="81"/>
      <c r="AO701" s="81"/>
      <c r="AP701" s="81"/>
      <c r="AQ701" s="85" t="s">
        <v>1068</v>
      </c>
      <c r="AR701" s="81"/>
    </row>
    <row r="702" spans="1:44" ht="15" customHeight="1" thickBot="1" x14ac:dyDescent="0.3">
      <c r="A702" s="2"/>
      <c r="B702" s="85" t="s">
        <v>5127</v>
      </c>
      <c r="C702" s="83"/>
      <c r="D702" s="2589">
        <f>IF(OR(Flammable_Potential&lt;&gt;"Yes",D630="",D465=0),0,IF(OR(Ease_of_Ignition_Feed="High",Aerosol_Potential="Yes"),MAX(Spray_Distance,IF((100/LFL_Fract_FlashFIre)/D630&lt;=1/D476,0,IF(D532="Instantaneous",D529*((D456/D474)*(IF(D507&gt;D630/100,AvgTime_Correction,1)*(100/LFL_Fract_FlashFIre)/D630))^D530-D531,D503*(D465*(IF(D482&gt;D630/100,AvgTime_Correction,1)*(100/LFL_Fract_FlashFIre)/D630)/(D474*Wind))^D504-D505))),IF((100/LFL_Fract_FlashFIre)/D630&lt;=1/D476,0,IF(D532="Instantaneous",D529*((D456/D474)*(IF(D507&gt;D630/100,AvgTime_Correction,1)*(100/LFL_Fract_FlashFIre)/D630))^D530-D531,D503*(D465*(IF(D482&gt;D630/100,AvgTime_Correction,1)*(100/LFL_Fract_FlashFIre)/D630)/(D474*Wind))^D504-D505))))</f>
        <v>0</v>
      </c>
      <c r="E702" s="235"/>
      <c r="F702" s="2589">
        <f>IF(OR(Flammable_Potential&lt;&gt;"Yes",F630="",F465=0),0,IF(OR(Ease_of_Ignition_Feed="High",Aerosol_Potential="Yes"),MAX(Spray_Distance,IF((100/LFL_Fract_FlashFIre)/F630&lt;=1/F476,0,IF(F532="Instantaneous",F529*((F456/F474)*(IF(F507&gt;F630/100,AvgTime_Correction,1)*(100/LFL_Fract_FlashFIre)/F630))^F530-F531,F503*(F465*(IF(F482&gt;F630/100,AvgTime_Correction,1)*(100/LFL_Fract_FlashFIre)/F630)/(F474*Wind))^F504-F505))),IF((100/LFL_Fract_FlashFIre)/F630&lt;=1/F476,0,IF(F532="Instantaneous",F529*((F456/F474)*(IF(F507&gt;F630/100,AvgTime_Correction,1)*(100/LFL_Fract_FlashFIre)/F630))^F530-F531,F503*(F465*(IF(F482&gt;F630/100,AvgTime_Correction,1)*(100/LFL_Fract_FlashFIre)/F630)/(F474*Wind))^F504-F505))))</f>
        <v>0</v>
      </c>
      <c r="G702" s="83"/>
      <c r="H702" s="2589">
        <f>IF(OR(Flammable_Potential&lt;&gt;"Yes",H630="",H465=0),0,IF(OR(Ease_of_Ignition_Feed="High",Aerosol_Potential="Yes"),MAX(Spray_Distance,IF((100/LFL_Fract_FlashFIre)/H630&lt;=1/H476,0,IF(H532="Instantaneous",H529*((H456/H474)*(IF(H507&gt;H630/100,AvgTime_Correction,1)*(100/LFL_Fract_FlashFIre)/H630))^H530-H531,H503*(H465*(IF(H482&gt;H630/100,AvgTime_Correction,1)*(100/LFL_Fract_FlashFIre)/H630)/(H474*Wind))^H504-H505))),IF((100/LFL_Fract_FlashFIre)/H630&lt;=1/H476,0,IF(H532="Instantaneous",H529*((H456/H474)*(IF(H507&gt;H630/100,AvgTime_Correction,1)*(100/LFL_Fract_FlashFIre)/H630))^H530-H531,H503*(H465*(IF(H482&gt;H630/100,AvgTime_Correction,1)*(100/LFL_Fract_FlashFIre)/H630)/(H474*Wind))^H504-H505))))</f>
        <v>0</v>
      </c>
      <c r="I702" s="83"/>
      <c r="J702" s="2589">
        <f>IF(OR(Flammable_Potential&lt;&gt;"Yes",J630="",J465=0),0,IF(OR(Ease_of_Ignition_Feed="High",Aerosol_Potential="Yes"),MAX(Spray_Distance,IF((100/LFL_Fract_FlashFIre)/J630&lt;=1/J476,0,IF(J532="Instantaneous",J529*((J456/J474)*(IF(J507&gt;J630/100,AvgTime_Correction,1)*(100/LFL_Fract_FlashFIre)/J630))^J530-J531,J503*(J465*(IF(J482&gt;J630/100,AvgTime_Correction,1)*(100/LFL_Fract_FlashFIre)/J630)/(J474*Wind))^J504-J505))),IF((100/LFL_Fract_FlashFIre)/J630&lt;=1/J476,0,IF(J532="Instantaneous",J529*((J456/J474)*(IF(J507&gt;J630/100,AvgTime_Correction,1)*(100/LFL_Fract_FlashFIre)/J630))^J530-J531,J503*(J465*(IF(J482&gt;J630/100,AvgTime_Correction,1)*(100/LFL_Fract_FlashFIre)/J630)/(J474*Wind))^J504-J505))))</f>
        <v>0</v>
      </c>
      <c r="K702" s="83"/>
      <c r="L702" s="2589">
        <f>IF(OR(Flammable_Potential&lt;&gt;"Yes",L630="",L465=0),0,IF(OR(Ease_of_Ignition_Feed="High",Aerosol_Potential="Yes"),MAX(Spray_Distance,IF((100/LFL_Fract_FlashFIre)/L630&lt;=1/L476,0,IF(L532="Instantaneous",L529*((L456/L474)*(IF(L507&gt;L630/100,AvgTime_Correction,1)*(100/LFL_Fract_FlashFIre)/L630))^L530-L531,L503*(L465*(IF(L482&gt;L630/100,AvgTime_Correction,1)*(100/LFL_Fract_FlashFIre)/L630)/(L474*Wind))^L504-L505))),IF((100/LFL_Fract_FlashFIre)/L630&lt;=1/L476,0,IF(L532="Instantaneous",L529*((L456/L474)*(IF(L507&gt;L630/100,AvgTime_Correction,1)*(100/LFL_Fract_FlashFIre)/L630))^L530-L531,L503*(L465*(IF(L482&gt;L630/100,AvgTime_Correction,1)*(100/LFL_Fract_FlashFIre)/L630)/(L474*Wind))^L504-L505))))</f>
        <v>0</v>
      </c>
      <c r="M702" s="83"/>
      <c r="N702" s="2589">
        <f>IF(OR(Flammable_Potential&lt;&gt;"Yes",N630="",N465=0),0,IF(OR(Ease_of_Ignition_Feed="High",Aerosol_Potential="Yes"),MAX(Spray_Distance,IF((100/LFL_Fract_FlashFIre)/N630&lt;=1/N476,0,IF(N532="Instantaneous",N529*((N456/N474)*(IF(N507&gt;N630/100,AvgTime_Correction,1)*(100/LFL_Fract_FlashFIre)/N630))^N530-N531,N503*(N465*(IF(N482&gt;N630/100,AvgTime_Correction,1)*(100/LFL_Fract_FlashFIre)/N630)/(N474*Wind))^N504-N505))),IF((100/LFL_Fract_FlashFIre)/N630&lt;=1/N476,0,IF(N532="Instantaneous",N529*((N456/N474)*(IF(N507&gt;N630/100,AvgTime_Correction,1)*(100/LFL_Fract_FlashFIre)/N630))^N530-N531,N503*(N465*(IF(N482&gt;N630/100,AvgTime_Correction,1)*(100/LFL_Fract_FlashFIre)/N630)/(N474*Wind))^N504-N505))))</f>
        <v>0</v>
      </c>
      <c r="O702" s="83"/>
      <c r="P702" s="2589">
        <f>IF(OR(Flammable_Potential&lt;&gt;"Yes",P630="",P465=0),0,IF(OR(Ease_of_Ignition_Feed="High",Aerosol_Potential="Yes"),MAX(Spray_Distance,IF((100/LFL_Fract_FlashFIre)/P630&lt;=1/P476,0,IF(P532="Instantaneous",P529*((P456/P474)*(IF(P507&gt;P630/100,AvgTime_Correction,1)*(100/LFL_Fract_FlashFIre)/P630))^P530-P531,P503*(P465*(IF(P482&gt;P630/100,AvgTime_Correction,1)*(100/LFL_Fract_FlashFIre)/P630)/(P474*Wind))^P504-P505))),IF((100/LFL_Fract_FlashFIre)/P630&lt;=1/P476,0,IF(P532="Instantaneous",P529*((P456/P474)*(IF(P507&gt;P630/100,AvgTime_Correction,1)*(100/LFL_Fract_FlashFIre)/P630))^P530-P531,P503*(P465*(IF(P482&gt;P630/100,AvgTime_Correction,1)*(100/LFL_Fract_FlashFIre)/P630)/(P474*Wind))^P504-P505))))</f>
        <v>0</v>
      </c>
      <c r="Q702" s="83"/>
      <c r="R702" s="2589">
        <f>IF(OR(Flammable_Potential&lt;&gt;"Yes",R630="",R465=0),0,IF(OR(Ease_of_Ignition_Feed="High",Aerosol_Potential="Yes"),MAX(Spray_Distance,IF((100/LFL_Fract_FlashFIre)/R630&lt;=1/R476,0,IF(R532="Instantaneous",R529*((R456/R474)*(IF(R507&gt;R630/100,AvgTime_Correction,1)*(100/LFL_Fract_FlashFIre)/R630))^R530-R531,R503*(R465*(IF(R482&gt;R630/100,AvgTime_Correction,1)*(100/LFL_Fract_FlashFIre)/R630)/(R474*Wind))^R504-R505))),IF((100/LFL_Fract_FlashFIre)/R630&lt;=1/R476,0,IF(R532="Instantaneous",R529*((R456/R474)*(IF(R507&gt;R630/100,AvgTime_Correction,1)*(100/LFL_Fract_FlashFIre)/R630))^R530-R531,R503*(R465*(IF(R482&gt;R630/100,AvgTime_Correction,1)*(100/LFL_Fract_FlashFIre)/R630)/(R474*Wind))^R504-R505))))</f>
        <v>0</v>
      </c>
      <c r="S702" s="83"/>
      <c r="T702" s="2589">
        <f>IF(OR(Flammable_Potential&lt;&gt;"Yes",T630="",T465=0),0,IF(OR(Ease_of_Ignition_Feed="High",Aerosol_Potential="Yes"),MAX(Spray_Distance,IF((100/LFL_Fract_FlashFIre)/T630&lt;=1/T476,0,IF(T532="Instantaneous",T529*((T456/T474)*(IF(T507&gt;T630/100,AvgTime_Correction,1)*(100/LFL_Fract_FlashFIre)/T630))^T530-T531,T503*(T465*(IF(T482&gt;T630/100,AvgTime_Correction,1)*(100/LFL_Fract_FlashFIre)/T630)/(T474*Wind))^T504-T505))),IF((100/LFL_Fract_FlashFIre)/T630&lt;=1/T476,0,IF(T532="Instantaneous",T529*((T456/T474)*(IF(T507&gt;T630/100,AvgTime_Correction,1)*(100/LFL_Fract_FlashFIre)/T630))^T530-T531,T503*(T465*(IF(T482&gt;T630/100,AvgTime_Correction,1)*(100/LFL_Fract_FlashFIre)/T630)/(T474*Wind))^T504-T505))))</f>
        <v>0</v>
      </c>
      <c r="U702" s="83"/>
      <c r="V702" s="2589">
        <f>IF(OR(Flammable_Potential&lt;&gt;"Yes",V630="",V465=0),0,IF(OR(Ease_of_Ignition_Feed="High",Aerosol_Potential="Yes"),MAX(Spray_Distance,IF((100/LFL_Fract_FlashFIre)/V630&lt;=1/V476,0,IF(V532="Instantaneous",V529*((V456/V474)*(IF(V507&gt;V630/100,AvgTime_Correction,1)*(100/LFL_Fract_FlashFIre)/V630))^V530-V531,V503*(V465*(IF(V482&gt;V630/100,AvgTime_Correction,1)*(100/LFL_Fract_FlashFIre)/V630)/(V474*Wind))^V504-V505))),IF((100/LFL_Fract_FlashFIre)/V630&lt;=1/V476,0,IF(V532="Instantaneous",V529*((V456/V474)*(IF(V507&gt;V630/100,AvgTime_Correction,1)*(100/LFL_Fract_FlashFIre)/V630))^V530-V531,V503*(V465*(IF(V482&gt;V630/100,AvgTime_Correction,1)*(100/LFL_Fract_FlashFIre)/V630)/(V474*Wind))^V504-V505))))</f>
        <v>0</v>
      </c>
      <c r="W702" s="83"/>
      <c r="X702" s="2589">
        <f>IF(OR(Flammable_Potential&lt;&gt;"Yes",X630="",X465=0),0,IF(OR(Ease_of_Ignition_Feed="High",Aerosol_Potential="Yes"),MAX(Spray_Distance,IF((100/LFL_Fract_FlashFIre)/X630&lt;=1/X476,0,IF(X532="Instantaneous",X529*((X456/X474)*(IF(X507&gt;X630/100,AvgTime_Correction,1)*(100/LFL_Fract_FlashFIre)/X630))^X530-X531,X503*(X465*(IF(X482&gt;X630/100,AvgTime_Correction,1)*(100/LFL_Fract_FlashFIre)/X630)/(X474*Wind))^X504-X505))),IF((100/LFL_Fract_FlashFIre)/X630&lt;=1/X476,0,IF(X532="Instantaneous",X529*((X456/X474)*(IF(X507&gt;X630/100,AvgTime_Correction,1)*(100/LFL_Fract_FlashFIre)/X630))^X530-X531,X503*(X465*(IF(X482&gt;X630/100,AvgTime_Correction,1)*(100/LFL_Fract_FlashFIre)/X630)/(X474*Wind))^X504-X505))))</f>
        <v>0</v>
      </c>
      <c r="Y702" s="83"/>
      <c r="Z702" s="85" t="s">
        <v>1068</v>
      </c>
      <c r="AA702" s="2"/>
      <c r="AB702" s="81"/>
      <c r="AC702" s="25" t="s">
        <v>3772</v>
      </c>
      <c r="AD702" s="1695"/>
      <c r="AE702" s="2119">
        <f>IF(AE685&lt;&gt;"",IF(AE294="Indoors",IF(ConcFract_Indoor*AE712&lt;=AE685,0.1,AE$582*((IF(Enclosed_Ventilation_Rate&gt;1,Enclosed_Ventilation_Rate,1)*Enclosed_Process_Volume*AE488*AE712/88020000000)*1000000*(ConcFract_Indoor/AE685-1/AE712)/(AE488*Wind))^AE$583),IF(AE685&gt;=ConcFract_Indoor*1000000,0.1,MAX(0.1,IF(AE559="Instantaneous",AE$608*((AE471/AE488)^(1/3)*(ConcFract_Indoor*1000000/AE685))^AE$609,AE$582*(AE478*(ConcFract_Indoor*1000000/AE685)/(AE488*Wind))^AE$583)))),0.1)</f>
        <v>0.1</v>
      </c>
      <c r="AF702" s="81"/>
      <c r="AG702" s="2119">
        <f>IF(AND(AG478&gt;0,AG685&lt;&gt;""),IF(AG294="Indoors",IF(ConcFract_Indoor*AG712&lt;=AG685,0.1,AG$582*((IF(Enclosed_Ventilation_Rate&gt;1,Enclosed_Ventilation_Rate,1)*Enclosed_Process_Volume*AG488*AG712/88020000000)*1000000*(ConcFract_Indoor/AG685-1/AG712)/(AG488*Wind))^AG$583),IF(AG685&gt;=ConcFract_Indoor*1000000,0.1,MAX(0.1,IF(AG559="Instantaneous",AG$608*((AG471/AG488)^(1/3)*(ConcFract_Indoor*1000000/AG685))^AG$609,AG$582*(AG478*(ConcFract_Indoor*1000000/AG685)/(AG488*Wind))^AG$583)))),0.1)</f>
        <v>0.1</v>
      </c>
      <c r="AH702" s="81"/>
      <c r="AI702" s="2119">
        <f>IF(AI685&lt;&gt;"",IF(AI294="Indoors",IF(ConcFract_Indoor*AI712&lt;=AI685,0.1,AI$582*((IF(Enclosed_Ventilation_Rate&gt;1,Enclosed_Ventilation_Rate,1)*Enclosed_Process_Volume*AI488*AI712/88020000000)*1000000*(ConcFract_Indoor/AI685-1/AI712)/(AI488*Wind))^AI$583),IF(AI685&gt;=ConcFract_Indoor*1000000,0.1,MAX(0.1,IF(AI559="Instantaneous",AI$608*((AI471/AI488)^(1/3)*(ConcFract_Indoor*1000000/AI685))^AI$609,AI$582*(AI478*(ConcFract_Indoor*1000000/AI685)/(AI488*Wind))^AI$583)))),0.1)</f>
        <v>0.1</v>
      </c>
      <c r="AJ702" s="81"/>
      <c r="AK702" s="81"/>
      <c r="AL702" s="81"/>
      <c r="AM702" s="81"/>
      <c r="AN702" s="81"/>
      <c r="AO702" s="81"/>
      <c r="AP702" s="81"/>
      <c r="AQ702" s="25" t="s">
        <v>1068</v>
      </c>
      <c r="AR702" s="81"/>
    </row>
    <row r="703" spans="1:44" ht="15" customHeight="1" thickBot="1" x14ac:dyDescent="0.3">
      <c r="A703" s="2"/>
      <c r="B703" s="2995" t="s">
        <v>4726</v>
      </c>
      <c r="C703" s="83"/>
      <c r="D703" s="2582">
        <f>IF(OR(Flammable_Potential&lt;&gt;"Yes",D630="",D465=0),0,IF(OR(Ease_of_Ignition_Feed="High",Aerosol_Potential="Yes"),MAX(Spray_Distance,IF(100/D630&lt;=1/D476,0,IF(D532="Instantaneous",D529*((D456/D474)*(IF(D507&gt;D630/100,AvgTime_Correction,1)*100/D630))^D530-D531,D503*(D465*(IF(D482&gt;D630/100,AvgTime_Correction,1)*100/D630)/(D474*Wind))^D504-D505))),IF(100/D630&lt;=1/D476,0,IF(D532="Instantaneous",D529*((D456/D474)*(IF(D507&gt;D630/100,AvgTime_Correction,1)*100/D630))^D530-D531,D503*(D465*(IF(D482&gt;D630/100,AvgTime_Correction,1)*100/D630)/(D474*Wind))^D504-D505))))</f>
        <v>0</v>
      </c>
      <c r="E703" s="235"/>
      <c r="F703" s="2582">
        <f>IF(OR(Flammable_Potential&lt;&gt;"Yes",F630="",F465=0),0,IF(OR(Ease_of_Ignition_Feed="High",Aerosol_Potential="Yes"),MAX(Spray_Distance,IF(100/F630&lt;=1/F476,0,IF(F532="Instantaneous",F529*((F456/F474)*(IF(F507&gt;F630/100,AvgTime_Correction,1)*100/F630))^F530-F531,F503*(F465*(IF(F482&gt;F630/100,AvgTime_Correction,1)*100/F630)/(F474*Wind))^F504-F505))),IF(100/F630&lt;=1/F476,0,IF(F532="Instantaneous",F529*((F456/F474)*(IF(F507&gt;F630/100,AvgTime_Correction,1)*100/F630))^F530-F531,F503*(F465*(IF(F482&gt;F630/100,AvgTime_Correction,1)*100/F630)/(F474*Wind))^F504-F505))))</f>
        <v>0</v>
      </c>
      <c r="G703" s="83"/>
      <c r="H703" s="2582">
        <f>IF(OR(Flammable_Potential&lt;&gt;"Yes",H630="",H465=0),0,IF(OR(Ease_of_Ignition_Feed="High",Aerosol_Potential="Yes"),MAX(Spray_Distance,IF(100/H630&lt;=1/H476,0,IF(H532="Instantaneous",H529*((H456/H474)*(IF(H507&gt;H630/100,AvgTime_Correction,1)*100/H630))^H530-H531,H503*(H465*(IF(H482&gt;H630/100,AvgTime_Correction,1)*100/H630)/(H474*Wind))^H504-H505))),IF(100/H630&lt;=1/H476,0,IF(H532="Instantaneous",H529*((H456/H474)*(IF(H507&gt;H630/100,AvgTime_Correction,1)*100/H630))^H530-H531,H503*(H465*(IF(H482&gt;H630/100,AvgTime_Correction,1)*100/H630)/(H474*Wind))^H504-H505))))</f>
        <v>0</v>
      </c>
      <c r="I703" s="83"/>
      <c r="J703" s="2582">
        <f>IF(OR(Flammable_Potential&lt;&gt;"Yes",J630="",J465=0),0,IF(OR(Ease_of_Ignition_Feed="High",Aerosol_Potential="Yes"),MAX(Spray_Distance,IF(100/J630&lt;=1/J476,0,IF(J532="Instantaneous",J529*((J456/J474)*(IF(J507&gt;J630/100,AvgTime_Correction,1)*100/J630))^J530-J531,J503*(J465*(IF(J482&gt;J630/100,AvgTime_Correction,1)*100/J630)/(J474*Wind))^J504-J505))),IF(100/J630&lt;=1/J476,0,IF(J532="Instantaneous",J529*((J456/J474)*(IF(J507&gt;J630/100,AvgTime_Correction,1)*100/J630))^J530-J531,J503*(J465*(IF(J482&gt;J630/100,AvgTime_Correction,1)*100/J630)/(J474*Wind))^J504-J505))))</f>
        <v>0</v>
      </c>
      <c r="K703" s="83"/>
      <c r="L703" s="2582">
        <f>IF(OR(Flammable_Potential&lt;&gt;"Yes",L630="",L465=0),0,IF(OR(Ease_of_Ignition_Feed="High",Aerosol_Potential="Yes"),MAX(Spray_Distance,IF(100/L630&lt;=1/L476,0,IF(L532="Instantaneous",L529*((L456/L474)*(IF(L507&gt;L630/100,AvgTime_Correction,1)*100/L630))^L530-L531,L503*(L465*(IF(L482&gt;L630/100,AvgTime_Correction,1)*100/L630)/(L474*Wind))^L504-L505))),IF(100/L630&lt;=1/L476,0,IF(L532="Instantaneous",L529*((L456/L474)*(IF(L507&gt;L630/100,AvgTime_Correction,1)*100/L630))^L530-L531,L503*(L465*(IF(L482&gt;L630/100,AvgTime_Correction,1)*100/L630)/(L474*Wind))^L504-L505))))</f>
        <v>0</v>
      </c>
      <c r="M703" s="83"/>
      <c r="N703" s="2582">
        <f>IF(OR(Flammable_Potential&lt;&gt;"Yes",N630="",N465=0),0,IF(OR(Ease_of_Ignition_Feed="High",Aerosol_Potential="Yes"),MAX(Spray_Distance,IF(100/N630&lt;=1/N476,0,IF(N532="Instantaneous",N529*((N456/N474)*(IF(N507&gt;N630/100,AvgTime_Correction,1)*100/N630))^N530-N531,N503*(N465*(IF(N482&gt;N630/100,AvgTime_Correction,1)*100/N630)/(N474*Wind))^N504-N505))),IF(100/N630&lt;=1/N476,0,IF(N532="Instantaneous",N529*((N456/N474)*(IF(N507&gt;N630/100,AvgTime_Correction,1)*100/N630))^N530-N531,N503*(N465*(IF(N482&gt;N630/100,AvgTime_Correction,1)*100/N630)/(N474*Wind))^N504-N505))))</f>
        <v>0</v>
      </c>
      <c r="O703" s="83"/>
      <c r="P703" s="2582">
        <f>IF(OR(Flammable_Potential&lt;&gt;"Yes",P630="",P465=0),0,IF(OR(Ease_of_Ignition_Feed="High",Aerosol_Potential="Yes"),MAX(Spray_Distance,IF(100/P630&lt;=1/P476,0,IF(P532="Instantaneous",P529*((P456/P474)*(IF(P507&gt;P630/100,AvgTime_Correction,1)*100/P630))^P530-P531,P503*(P465*(IF(P482&gt;P630/100,AvgTime_Correction,1)*100/P630)/(P474*Wind))^P504-P505))),IF(100/P630&lt;=1/P476,0,IF(P532="Instantaneous",P529*((P456/P474)*(IF(P507&gt;P630/100,AvgTime_Correction,1)*100/P630))^P530-P531,P503*(P465*(IF(P482&gt;P630/100,AvgTime_Correction,1)*100/P630)/(P474*Wind))^P504-P505))))</f>
        <v>0</v>
      </c>
      <c r="Q703" s="83"/>
      <c r="R703" s="2582">
        <f>IF(OR(Flammable_Potential&lt;&gt;"Yes",R630="",R465=0),0,IF(OR(Ease_of_Ignition_Feed="High",Aerosol_Potential="Yes"),MAX(Spray_Distance,IF(100/R630&lt;=1/R476,0,IF(R532="Instantaneous",R529*((R456/R474)*(IF(R507&gt;R630/100,AvgTime_Correction,1)*100/R630))^R530-R531,R503*(R465*(IF(R482&gt;R630/100,AvgTime_Correction,1)*100/R630)/(R474*Wind))^R504-R505))),IF(100/R630&lt;=1/R476,0,IF(R532="Instantaneous",R529*((R456/R474)*(IF(R507&gt;R630/100,AvgTime_Correction,1)*100/R630))^R530-R531,R503*(R465*(IF(R482&gt;R630/100,AvgTime_Correction,1)*100/R630)/(R474*Wind))^R504-R505))))</f>
        <v>0</v>
      </c>
      <c r="S703" s="83"/>
      <c r="T703" s="2582">
        <f>IF(OR(Flammable_Potential&lt;&gt;"Yes",T630="",T465=0),0,IF(OR(Ease_of_Ignition_Feed="High",Aerosol_Potential="Yes"),MAX(Spray_Distance,IF(100/T630&lt;=1/T476,0,IF(T532="Instantaneous",T529*((T456/T474)*(IF(T507&gt;T630/100,AvgTime_Correction,1)*100/T630))^T530-T531,T503*(T465*(IF(T482&gt;T630/100,AvgTime_Correction,1)*100/T630)/(T474*Wind))^T504-T505))),IF(100/T630&lt;=1/T476,0,IF(T532="Instantaneous",T529*((T456/T474)*(IF(T507&gt;T630/100,AvgTime_Correction,1)*100/T630))^T530-T531,T503*(T465*(IF(T482&gt;T630/100,AvgTime_Correction,1)*100/T630)/(T474*Wind))^T504-T505))))</f>
        <v>0</v>
      </c>
      <c r="U703" s="83"/>
      <c r="V703" s="2582">
        <f>IF(OR(Flammable_Potential&lt;&gt;"Yes",V630="",V465=0),0,IF(OR(Ease_of_Ignition_Feed="High",Aerosol_Potential="Yes"),MAX(Spray_Distance,IF(100/V630&lt;=1/V476,0,IF(V532="Instantaneous",V529*((V456/V474)*(IF(V507&gt;V630/100,AvgTime_Correction,1)*100/V630))^V530-V531,V503*(V465*(IF(V482&gt;V630/100,AvgTime_Correction,1)*100/V630)/(V474*Wind))^V504-V505))),IF(100/V630&lt;=1/V476,0,IF(V532="Instantaneous",V529*((V456/V474)*(IF(V507&gt;V630/100,AvgTime_Correction,1)*100/V630))^V530-V531,V503*(V465*(IF(V482&gt;V630/100,AvgTime_Correction,1)*100/V630)/(V474*Wind))^V504-V505))))</f>
        <v>0</v>
      </c>
      <c r="W703" s="83"/>
      <c r="X703" s="2582">
        <f>IF(OR(Flammable_Potential&lt;&gt;"Yes",X630="",X465=0),0,IF(OR(Ease_of_Ignition_Feed="High",Aerosol_Potential="Yes"),MAX(Spray_Distance,IF(100/X630&lt;=1/X476,0,IF(X532="Instantaneous",X529*((X456/X474)*(IF(X507&gt;X630/100,AvgTime_Correction,1)*100/X630))^X530-X531,X503*(X465*(IF(X482&gt;X630/100,AvgTime_Correction,1)*100/X630)/(X474*Wind))^X504-X505))),IF(100/X630&lt;=1/X476,0,IF(X532="Instantaneous",X529*((X456/X474)*(IF(X507&gt;X630/100,AvgTime_Correction,1)*100/X630))^X530-X531,X503*(X465*(IF(X482&gt;X630/100,AvgTime_Correction,1)*100/X630)/(X474*Wind))^X504-X505))))</f>
        <v>0</v>
      </c>
      <c r="Y703" s="83"/>
      <c r="Z703" s="85"/>
      <c r="AA703" s="2"/>
      <c r="AB703" s="81"/>
      <c r="AC703" s="85" t="s">
        <v>3088</v>
      </c>
      <c r="AD703" s="81"/>
      <c r="AE703" s="93">
        <f>IF(AND(AE478&gt;0,WorkArea_Distance&gt;0.1),IF(AND(AE294="Indoors",AE712&gt;0),1000000/(1000000/AE712+(Wind*AE488*(WorkArea_Distance/AE530)^(1/AE531)/(IF(Enclosed_Ventilation_Rate&gt;1,Enclosed_Ventilation_Rate,1)*Enclosed_Process_Volume*AE488*AE712/88020000000))),IF(AE559="Instantaneous",1000000*(AE471/AE488)*(AE556/(WorkArea_Distance+AE558-AE497))^(1/AE557),1000000*(AE478/(Wind*AE488))*(AE530/(WorkArea_Distance+AE532-AE497))^(1/AE531))),IF(AE294="Indoors",0,1000000))</f>
        <v>1000000</v>
      </c>
      <c r="AF703" s="81"/>
      <c r="AG703" s="93">
        <f>IF(AND(AG478&gt;0,WorkArea_Distance&gt;0.1),IF(AND(AG294="Indoors",AG712&gt;0),1000000/(1000000/AG712+(Wind*AG488*(WorkArea_Distance/AG530)^(1/AG531)/(IF(Enclosed_Ventilation_Rate&gt;1,Enclosed_Ventilation_Rate,1)*Enclosed_Process_Volume*AG488*AG712/88020000000))),IF(AG559="Instantaneous",1000000*(AG471/AG488)*(AG556/(WorkArea_Distance+AG558-AG497))^(1/AG557),1000000*(AG478/(Wind*AG488))*(AG530/(WorkArea_Distance+AG532-AG497))^(1/AG531))),IF(AG294="Indoors",0,1000000))</f>
        <v>1000000</v>
      </c>
      <c r="AH703" s="81"/>
      <c r="AI703" s="93">
        <f>IF(AND(AI478&gt;0,WorkArea_Distance&gt;0.1),IF(AND(AI294="Indoors",AI712&gt;0),1000000/(1000000/AI712+(Wind*AI488*(WorkArea_Distance/AI530)^(1/AI531)/(IF(Enclosed_Ventilation_Rate&gt;1,Enclosed_Ventilation_Rate,1)*Enclosed_Process_Volume*AI488*AI712/88020000000))),IF(AI559="Instantaneous",1000000*(AI471/AI488)*(AI556/(WorkArea_Distance+AI558-AI497))^(1/AI557),1000000*(AI478/(Wind*AI488))*(AI530/(WorkArea_Distance+AI532-AI497))^(1/AI531))),IF(AI294="Indoors",0,1000000))</f>
        <v>1000000</v>
      </c>
      <c r="AJ703" s="81"/>
      <c r="AK703" s="81"/>
      <c r="AL703" s="81"/>
      <c r="AM703" s="81"/>
      <c r="AN703" s="81"/>
      <c r="AO703" s="81"/>
      <c r="AP703" s="81"/>
      <c r="AQ703" s="23" t="s">
        <v>1506</v>
      </c>
      <c r="AR703" s="81"/>
    </row>
    <row r="704" spans="1:44" ht="15" customHeight="1" x14ac:dyDescent="0.25">
      <c r="A704" s="2"/>
      <c r="B704" s="851" t="s">
        <v>4725</v>
      </c>
      <c r="C704" s="83"/>
      <c r="D704" s="2991">
        <f>IF(D630="",0,IF(D532="Continuous",MIN(D465*D703/Wind,D437),D437)*2440/(D474*D630*AvgConc_Correction))</f>
        <v>0</v>
      </c>
      <c r="E704" s="83"/>
      <c r="F704" s="2991">
        <f>IF(F630="",0,IF(F532="Continuous",MIN(F465*F703/Wind,F437),F437)*2440/(F474*F630*AvgConc_Correction))</f>
        <v>0</v>
      </c>
      <c r="G704" s="83"/>
      <c r="H704" s="2991">
        <f>IF(H630="",0,IF(H532="Continuous",MIN(H465*H703/Wind,H437),H437)*2440/(H474*H630*AvgConc_Correction))</f>
        <v>0</v>
      </c>
      <c r="I704" s="83"/>
      <c r="J704" s="2991">
        <f>IF(J630="",0,IF(J532="Continuous",MIN(J465*J703/Wind,J437),J437)*2440/(J474*J630*AvgConc_Correction))</f>
        <v>0</v>
      </c>
      <c r="K704" s="83"/>
      <c r="L704" s="2991">
        <f>IF(L630="",0,IF(L532="Continuous",MIN(L465*L703/Wind,L437),L437)*2440/(L474*L630*AvgConc_Correction))</f>
        <v>0</v>
      </c>
      <c r="M704" s="83"/>
      <c r="N704" s="2991">
        <f>IF(N630="",0,IF(N532="Continuous",MIN(N465*N703/Wind,N437),N437)*2440/(N474*N630*AvgConc_Correction))</f>
        <v>0</v>
      </c>
      <c r="O704" s="83"/>
      <c r="P704" s="2991">
        <f>IF(P630="",0,IF(P532="Continuous",MIN(P465*P703/Wind,P437),P437)*2440/(P474*P630*AvgConc_Correction))</f>
        <v>0</v>
      </c>
      <c r="Q704" s="83"/>
      <c r="R704" s="2991">
        <f>IF(R630="",0,IF(R532="Continuous",MIN(R465*R703/Wind,R437),R437)*2440/(R474*R630*AvgConc_Correction))</f>
        <v>0</v>
      </c>
      <c r="S704" s="83"/>
      <c r="T704" s="2991">
        <f>IF(T630="",0,IF(T532="Continuous",MIN(T465*T703/Wind,T437),T437)*2440/(T474*T630*AvgConc_Correction))</f>
        <v>0</v>
      </c>
      <c r="U704" s="83"/>
      <c r="V704" s="2991">
        <f>IF(V630="",0,IF(V532="Continuous",MIN(V465*V703/Wind,V437),V437)*2440/(V474*V630*AvgConc_Correction))</f>
        <v>0</v>
      </c>
      <c r="W704" s="83"/>
      <c r="X704" s="2991">
        <f>IF(X630="",0,IF(X532="Continuous",MIN(X465*X703/Wind,X437),X437)*2440/(X474*X630*AvgConc_Correction))</f>
        <v>0</v>
      </c>
      <c r="Y704" s="83"/>
      <c r="Z704" s="85" t="s">
        <v>3803</v>
      </c>
      <c r="AA704" s="2"/>
      <c r="AB704" s="81"/>
      <c r="AC704" s="85" t="s">
        <v>3090</v>
      </c>
      <c r="AD704" s="81"/>
      <c r="AE704" s="2125">
        <f>IF(AND(AE478&gt;0,WorkArea_Distance2&gt;0.1),IF(AND(AE294="Indoors",AE712&gt;0),1000000/(1000000/AE712+(Wind*AE488*(WorkArea_Distance2/AE530)^(1/AE531)/(IF(Enclosed_Ventilation_Rate&gt;1,Enclosed_Ventilation_Rate,1)*Enclosed_Process_Volume*AE488*AE712/88020000000))),IF(AE559="Instantaneous",1000000*(AE471/AE488)*(AE556/(WorkArea_Distance2+AE558-AE497))^(1/AE557),1000000*(AE478/(Wind*AE488))*(AE530/(WorkArea_Distance2+AE532-AE497))^(1/AE531))),IF(AE294="Indoors",0,1000000))</f>
        <v>1000000</v>
      </c>
      <c r="AF704" s="81"/>
      <c r="AG704" s="2125">
        <f>IF(AND(AG478&gt;0,WorkArea_Distance2&gt;0.1),IF(AND(AG294="Indoors",AG712&gt;0),1000000/(1000000/AG712+(Wind*AG488*(WorkArea_Distance2/AG530)^(1/AG531)/(IF(Enclosed_Ventilation_Rate&gt;1,Enclosed_Ventilation_Rate,1)*Enclosed_Process_Volume*AG488*AG712/88020000000))),IF(AG559="Instantaneous",1000000*(AG471/AG488)*(AG556/(WorkArea_Distance2+AG558-AG497))^(1/AG557),1000000*(AG478/(Wind*AG488))*(AG530/(WorkArea_Distance2+AG532-AG497))^(1/AG531))),IF(AG294="Indoors",0,1000000))</f>
        <v>1000000</v>
      </c>
      <c r="AH704" s="81"/>
      <c r="AI704" s="2125">
        <f>IF(AND(AI478&gt;0,WorkArea_Distance2&gt;0.1),IF(AND(AI294="Indoors",AI712&gt;0),1000000/(1000000/AI712+(Wind*AI488*(WorkArea_Distance2/AI530)^(1/AI531)/(IF(Enclosed_Ventilation_Rate&gt;1,Enclosed_Ventilation_Rate,1)*Enclosed_Process_Volume*AI488*AI712/88020000000))),IF(AI559="Instantaneous",1000000*(AI471/AI488)*(AI556/(WorkArea_Distance2+AI558-AI497))^(1/AI557),1000000*(AI478/(Wind*AI488))*(AI530/(WorkArea_Distance2+AI532-AI497))^(1/AI531))),IF(AI294="Indoors",0,1000000))</f>
        <v>1000000</v>
      </c>
      <c r="AJ704" s="81"/>
      <c r="AK704" s="81"/>
      <c r="AL704" s="81"/>
      <c r="AM704" s="81"/>
      <c r="AN704" s="81"/>
      <c r="AO704" s="81"/>
      <c r="AP704" s="81"/>
      <c r="AQ704" s="23" t="s">
        <v>1506</v>
      </c>
      <c r="AR704" s="81"/>
    </row>
    <row r="705" spans="1:44" ht="15" customHeight="1" x14ac:dyDescent="0.25">
      <c r="A705" s="2"/>
      <c r="B705" s="23" t="s">
        <v>18</v>
      </c>
      <c r="C705" s="83"/>
      <c r="D705" s="2846">
        <f>IF(D701="No",0,IF(D704*ExplEng_perVolume&lt;ExplEng_Limit,D704*ExplEng_perVolume,ExplEng_Limit))</f>
        <v>0</v>
      </c>
      <c r="E705" s="83"/>
      <c r="F705" s="2846">
        <f>IF(F701="No",0,IF(F704*ExplEng_perVolume&lt;ExplEng_Limit,F704*ExplEng_perVolume,ExplEng_Limit))</f>
        <v>0</v>
      </c>
      <c r="G705" s="83"/>
      <c r="H705" s="2846">
        <f>IF(H701="No",0,IF(H704*ExplEng_perVolume&lt;ExplEng_Limit,H704*ExplEng_perVolume,ExplEng_Limit))</f>
        <v>0</v>
      </c>
      <c r="I705" s="83"/>
      <c r="J705" s="2846">
        <f>IF(J701="No",0,IF(J704*ExplEng_perVolume&lt;ExplEng_Limit,J704*ExplEng_perVolume,ExplEng_Limit))</f>
        <v>0</v>
      </c>
      <c r="K705" s="83"/>
      <c r="L705" s="2846">
        <f>IF(L701="No",0,IF(L704*ExplEng_perVolume&lt;ExplEng_Limit,L704*ExplEng_perVolume,ExplEng_Limit))</f>
        <v>0</v>
      </c>
      <c r="M705" s="83"/>
      <c r="N705" s="2846">
        <f>IF(N701="No",0,IF(N704*ExplEng_perVolume&lt;ExplEng_Limit,N704*ExplEng_perVolume,ExplEng_Limit))</f>
        <v>0</v>
      </c>
      <c r="O705" s="83"/>
      <c r="P705" s="2846">
        <f>IF(P701="No",0,IF(P704*ExplEng_perVolume&lt;ExplEng_Limit,P704*ExplEng_perVolume,ExplEng_Limit))</f>
        <v>0</v>
      </c>
      <c r="Q705" s="83"/>
      <c r="R705" s="2846">
        <f>IF(R701="No",0,IF(R704*ExplEng_perVolume&lt;ExplEng_Limit,R704*ExplEng_perVolume,ExplEng_Limit))</f>
        <v>0</v>
      </c>
      <c r="S705" s="83"/>
      <c r="T705" s="2846">
        <f>IF(T701="No",0,IF(T704*ExplEng_perVolume&lt;ExplEng_Limit,T704*ExplEng_perVolume,ExplEng_Limit))</f>
        <v>0</v>
      </c>
      <c r="U705" s="83"/>
      <c r="V705" s="2846">
        <f>IF(V701="No",0,IF(V704*ExplEng_perVolume&lt;ExplEng_Limit,V704*ExplEng_perVolume,ExplEng_Limit))</f>
        <v>0</v>
      </c>
      <c r="W705" s="83"/>
      <c r="X705" s="2846">
        <f>IF(X701="No",0,IF(X704*ExplEng_perVolume&lt;ExplEng_Limit,X704*ExplEng_perVolume,ExplEng_Limit))</f>
        <v>0</v>
      </c>
      <c r="Y705" s="83"/>
      <c r="Z705" s="85" t="s">
        <v>1761</v>
      </c>
      <c r="AA705" s="2"/>
      <c r="AB705" s="81"/>
      <c r="AC705" s="85" t="s">
        <v>1658</v>
      </c>
      <c r="AD705" s="81"/>
      <c r="AE705" s="2125">
        <f>IF(AND(AE478&gt;0,Occ_Bldg&gt;0.1),IF(AND(AE294="Indoors",AE712&gt;0),1000000/(1000000/AE712+(Wind*AE488*(IF(Occ_Bldg_Relief&gt;0,Occ_Bldg_Relief,Occ_Bldg)/AE530)^(1/AE531)/(IF(Enclosed_Ventilation_Rate&gt;1,Enclosed_Ventilation_Rate,1)*Enclosed_Process_Volume*AE488*AE712/88020000000))),IF(AE559="Instantaneous",1000000*(AE471/AE488)*(AE556/(IF(Occ_Bldg_Relief&gt;0,Occ_Bldg_Relief,Occ_Bldg)+AE558))^(1/AE557),1000000*(AE478/(Wind*AE488))*(AE530/(IF(Occ_Bldg_Relief&gt;0,Occ_Bldg_Relief,Occ_Bldg)+AE532))^(1/AE531))),0)</f>
        <v>0</v>
      </c>
      <c r="AF705" s="81"/>
      <c r="AG705" s="2125">
        <f>IF(AND(AG478&gt;0,Occ_Bldg&gt;0.1),IF(AND(AG294="Indoors",AG712&gt;0),1000000/(1000000/AG712+(Wind*AG488*(IF(Occ_Bldg_Relief&gt;0,Occ_Bldg_Relief,Occ_Bldg)/AG530)^(1/AG531)/(IF(Enclosed_Ventilation_Rate&gt;1,Enclosed_Ventilation_Rate,1)*Enclosed_Process_Volume*AG488*AG712/88020000000))),IF(AG559="Instantaneous",1000000*(AG471/AG488)*(AG556/(IF(Occ_Bldg_Relief&gt;0,Occ_Bldg_Relief,Occ_Bldg)+AG558))^(1/AG557),1000000*(AG478/(Wind*AG488))*(AG530/(IF(Occ_Bldg_Relief&gt;0,Occ_Bldg_Relief,Occ_Bldg)+AG532))^(1/AG531))),0)</f>
        <v>0</v>
      </c>
      <c r="AH705" s="81"/>
      <c r="AI705" s="2125">
        <f>IF(AND(AI478&gt;0,Occ_Bldg&gt;0.1),IF(AND(AI294="Indoors",AI712&gt;0),1000000/(1000000/AI712+(Wind*AI488*(IF(Occ_Bldg_Relief&gt;0,Occ_Bldg_Relief,Occ_Bldg)/AI530)^(1/AI531)/(IF(Enclosed_Ventilation_Rate&gt;1,Enclosed_Ventilation_Rate,1)*Enclosed_Process_Volume*AI488*AI712/88020000000))),IF(AI559="Instantaneous",1000000*(AI471/AI488)*(AI556/(IF(Occ_Bldg_Relief&gt;0,Occ_Bldg_Relief,Occ_Bldg)+AI558))^(1/AI557),1000000*(AI478/(Wind*AI488))*(AI530/(IF(Occ_Bldg_Relief&gt;0,Occ_Bldg_Relief,Occ_Bldg)+AI532))^(1/AI531))),0)</f>
        <v>0</v>
      </c>
      <c r="AJ705" s="81"/>
      <c r="AK705" s="81"/>
      <c r="AL705" s="81"/>
      <c r="AM705" s="81"/>
      <c r="AN705" s="81"/>
      <c r="AO705" s="81"/>
      <c r="AP705" s="81"/>
      <c r="AQ705" s="23" t="s">
        <v>1506</v>
      </c>
      <c r="AR705" s="81"/>
    </row>
    <row r="706" spans="1:44" ht="15" customHeight="1" x14ac:dyDescent="0.25">
      <c r="A706" s="2"/>
      <c r="B706" s="23" t="s">
        <v>695</v>
      </c>
      <c r="C706" s="83"/>
      <c r="D706" s="2846" t="str">
        <f>IF(Flash_Pt_Feed="","",IF(OR(AND(D703&gt;10,FiredEq_ProcessArea="within 10 m (33 ft)"),AND(D703&gt;20,FiredEq_ProcessArea="within 20 m (65 ft)"),AND(D703&gt;30,FiredEq_ProcessArea="within 30 m (100 ft)"),Ease_of_Ignition_Feed="High",D416&gt;IF(AIgnite_Feed&lt;&gt;"",AIgnite_Feed,AIDefault)),0,IF(Ease_of_Ignition_Feed="Low",IF(D703&lt;FFire_Low_Dist,3,IF(D703&gt;FFire_High_Dist,1,2)),IF(Ease_of_Ignition_Feed="Elevated",IF(D703&lt;FFire_Low_Dist,1,0),IF(D703&lt;FFire_Low_Dist,2,IF(D703&lt;FFire_High_Dist,1,0))))))</f>
        <v/>
      </c>
      <c r="E706" s="83"/>
      <c r="F706" s="2846" t="str">
        <f>IF(Flash_Pt_Feed="","",IF(OR(AND(F703&gt;10,FiredEq_ProcessArea="within 10 m (33 ft)"),AND(F703&gt;20,FiredEq_ProcessArea="within 20 m (65 ft)"),AND(F703&gt;30,FiredEq_ProcessArea="within 30 m (100 ft)"),Ease_of_Ignition_Feed="High",F416&gt;IF(AIgnite_Feed&lt;&gt;"",AIgnite_Feed,AIDefault)),0,IF(Ease_of_Ignition_Feed="Low",IF(F703&lt;FFire_Low_Dist,3,IF(F703&gt;FFire_High_Dist,1,2)),IF(Ease_of_Ignition_Feed="Elevated",IF(F703&lt;FFire_Low_Dist,1,0),IF(F703&lt;FFire_Low_Dist,2,IF(F703&lt;FFire_High_Dist,1,0))))))</f>
        <v/>
      </c>
      <c r="G706" s="83"/>
      <c r="H706" s="2846" t="str">
        <f>IF(Flash_Pt_Feed="","",IF(OR(AND(H703&gt;10,FiredEq_ProcessArea="within 10 m (33 ft)"),AND(H703&gt;20,FiredEq_ProcessArea="within 20 m (65 ft)"),AND(H703&gt;30,FiredEq_ProcessArea="within 30 m (100 ft)"),Ease_of_Ignition_Feed="High",H416&gt;IF(AIgnite_Feed&lt;&gt;"",AIgnite_Feed,AIDefault)),0,IF(Ease_of_Ignition_Feed="Low",IF(H703&lt;FFire_Low_Dist,3,IF(H703&gt;FFire_High_Dist,1,2)),IF(Ease_of_Ignition_Feed="Elevated",IF(H703&lt;FFire_Low_Dist,1,0),IF(H703&lt;FFire_Low_Dist,2,IF(H703&lt;FFire_High_Dist,1,0))))))</f>
        <v/>
      </c>
      <c r="I706" s="83"/>
      <c r="J706" s="2846" t="str">
        <f>IF(Flash_Pt_Feed="","",IF(OR(AND(J703&gt;10,FiredEq_ProcessArea="within 10 m (33 ft)"),AND(J703&gt;20,FiredEq_ProcessArea="within 20 m (65 ft)"),AND(J703&gt;30,FiredEq_ProcessArea="within 30 m (100 ft)"),Ease_of_Ignition_Feed="High",J416&gt;IF(AIgnite_Feed&lt;&gt;"",AIgnite_Feed,AIDefault)),0,IF(Ease_of_Ignition_Feed="Low",IF(J703&lt;FFire_Low_Dist,3,IF(J703&gt;FFire_High_Dist,1,2)),IF(Ease_of_Ignition_Feed="Elevated",IF(J703&lt;FFire_Low_Dist,1,0),IF(J703&lt;FFire_Low_Dist,2,IF(J703&lt;FFire_High_Dist,1,0))))))</f>
        <v/>
      </c>
      <c r="K706" s="83"/>
      <c r="L706" s="2846" t="str">
        <f>IF(Flash_Pt_Feed="","",IF(OR(AND(L703&gt;10,FiredEq_ProcessArea="within 10 m (33 ft)"),AND(L703&gt;20,FiredEq_ProcessArea="within 20 m (65 ft)"),AND(L703&gt;30,FiredEq_ProcessArea="within 30 m (100 ft)"),Ease_of_Ignition_Feed="High",L416&gt;IF(AIgnite_Feed&lt;&gt;"",AIgnite_Feed,AIDefault)),0,IF(Ease_of_Ignition_Feed="Low",IF(L703&lt;FFire_Low_Dist,3,IF(L703&gt;FFire_High_Dist,1,2)),IF(Ease_of_Ignition_Feed="Elevated",IF(L703&lt;FFire_Low_Dist,1,0),IF(L703&lt;FFire_Low_Dist,2,IF(L703&lt;FFire_High_Dist,1,0))))))</f>
        <v/>
      </c>
      <c r="M706" s="83"/>
      <c r="N706" s="2846" t="str">
        <f>IF(Flash_Pt_Feed="","",IF(OR(AND(N703&gt;10,FiredEq_ProcessArea="within 10 m (33 ft)"),AND(N703&gt;20,FiredEq_ProcessArea="within 20 m (65 ft)"),AND(N703&gt;30,FiredEq_ProcessArea="within 30 m (100 ft)"),Ease_of_Ignition_Feed="High",N416&gt;IF(AIgnite_Feed&lt;&gt;"",AIgnite_Feed,AIDefault)),0,IF(Ease_of_Ignition_Feed="Low",IF(N703&lt;FFire_Low_Dist,3,IF(N703&gt;FFire_High_Dist,1,2)),IF(Ease_of_Ignition_Feed="Elevated",IF(N703&lt;FFire_Low_Dist,1,0),IF(N703&lt;FFire_Low_Dist,2,IF(N703&lt;FFire_High_Dist,1,0))))))</f>
        <v/>
      </c>
      <c r="O706" s="83"/>
      <c r="P706" s="2846" t="str">
        <f>IF(Flash_Pt_Feed="","",IF(OR(AND(P703&gt;10,FiredEq_ProcessArea="within 10 m (33 ft)"),AND(P703&gt;20,FiredEq_ProcessArea="within 20 m (65 ft)"),AND(P703&gt;30,FiredEq_ProcessArea="within 30 m (100 ft)"),Ease_of_Ignition_Feed="High",P416&gt;IF(AIgnite_Feed&lt;&gt;"",AIgnite_Feed,AIDefault)),0,IF(Ease_of_Ignition_Feed="Low",IF(P703&lt;FFire_Low_Dist,3,IF(P703&gt;FFire_High_Dist,1,2)),IF(Ease_of_Ignition_Feed="Elevated",IF(P703&lt;FFire_Low_Dist,1,0),IF(P703&lt;FFire_Low_Dist,2,IF(P703&lt;FFire_High_Dist,1,0))))))</f>
        <v/>
      </c>
      <c r="Q706" s="83"/>
      <c r="R706" s="2846" t="str">
        <f>IF(Flash_Pt_Feed="","",IF(OR(AND(R703&gt;10,FiredEq_ProcessArea="within 10 m (33 ft)"),AND(R703&gt;20,FiredEq_ProcessArea="within 20 m (65 ft)"),AND(R703&gt;30,FiredEq_ProcessArea="within 30 m (100 ft)"),Ease_of_Ignition_Feed="High",R416&gt;IF(AIgnite_Feed&lt;&gt;"",AIgnite_Feed,AIDefault)),0,IF(Ease_of_Ignition_Feed="Low",IF(R703&lt;FFire_Low_Dist,3,IF(R703&gt;FFire_High_Dist,1,2)),IF(Ease_of_Ignition_Feed="Elevated",IF(R703&lt;FFire_Low_Dist,1,0),IF(R703&lt;FFire_Low_Dist,2,IF(R703&lt;FFire_High_Dist,1,0))))))</f>
        <v/>
      </c>
      <c r="S706" s="83"/>
      <c r="T706" s="2846" t="str">
        <f>IF(Flash_Pt_Feed="","",IF(OR(AND(T703&gt;10,FiredEq_ProcessArea="within 10 m (33 ft)"),AND(T703&gt;20,FiredEq_ProcessArea="within 20 m (65 ft)"),AND(T703&gt;30,FiredEq_ProcessArea="within 30 m (100 ft)"),Ease_of_Ignition_Feed="High",T416&gt;IF(AIgnite_Feed&lt;&gt;"",AIgnite_Feed,AIDefault)),0,IF(Ease_of_Ignition_Feed="Low",IF(T703&lt;FFire_Low_Dist,3,IF(T703&gt;FFire_High_Dist,1,2)),IF(Ease_of_Ignition_Feed="Elevated",IF(T703&lt;FFire_Low_Dist,1,0),IF(T703&lt;FFire_Low_Dist,2,IF(T703&lt;FFire_High_Dist,1,0))))))</f>
        <v/>
      </c>
      <c r="U706" s="83"/>
      <c r="V706" s="2846" t="str">
        <f>IF(Flash_Pt_Feed="","",IF(OR(AND(V703&gt;10,FiredEq_ProcessArea="within 10 m (33 ft)"),AND(V703&gt;20,FiredEq_ProcessArea="within 20 m (65 ft)"),AND(V703&gt;30,FiredEq_ProcessArea="within 30 m (100 ft)"),Ease_of_Ignition_Feed="High",V416&gt;IF(AIgnite_Feed&lt;&gt;"",AIgnite_Feed,AIDefault)),0,IF(Ease_of_Ignition_Feed="Low",IF(V703&lt;FFire_Low_Dist,3,IF(V703&gt;FFire_High_Dist,1,2)),IF(Ease_of_Ignition_Feed="Elevated",IF(V703&lt;FFire_Low_Dist,1,0),IF(V703&lt;FFire_Low_Dist,2,IF(V703&lt;FFire_High_Dist,1,0))))))</f>
        <v/>
      </c>
      <c r="W706" s="83"/>
      <c r="X706" s="2846" t="str">
        <f>IF(Flash_Pt_Feed="","",IF(OR(AND(X703&gt;10,FiredEq_ProcessArea="within 10 m (33 ft)"),AND(X703&gt;20,FiredEq_ProcessArea="within 20 m (65 ft)"),AND(X703&gt;30,FiredEq_ProcessArea="within 30 m (100 ft)"),Ease_of_Ignition_Feed="High",X416&gt;IF(AIgnite_Feed&lt;&gt;"",AIgnite_Feed,AIDefault)),0,IF(Ease_of_Ignition_Feed="Low",IF(X703&lt;FFire_Low_Dist,3,IF(X703&gt;FFire_High_Dist,1,2)),IF(Ease_of_Ignition_Feed="Elevated",IF(X703&lt;FFire_Low_Dist,1,0),IF(X703&lt;FFire_Low_Dist,2,IF(X703&lt;FFire_High_Dist,1,0))))))</f>
        <v/>
      </c>
      <c r="Y706" s="83"/>
      <c r="Z706" s="85"/>
      <c r="AA706" s="2"/>
      <c r="AB706" s="81"/>
      <c r="AC706" s="85" t="s">
        <v>2930</v>
      </c>
      <c r="AD706" s="81"/>
      <c r="AE706" s="1286">
        <f>IF(AND(AE478&gt;0,Occ_Bldg2&gt;0.1),IF(AND(AE294="Indoors",AE712&gt;0),1000000/(1000000/AE712+(Wind*AE488*(IF(Occ_Bldg2_Relief&gt;0,Occ_Bldg2_Relief,Occ_Bldg2)/AE530)^(1/AE531)/(IF(Enclosed_Ventilation_Rate&gt;1,Enclosed_Ventilation_Rate,1)*Enclosed_Process_Volume*AE488*AE712/88020000000))),IF(AE559="Instantaneous",1000000*(AE471/AE488)*(AE556/(IF(Occ_Bldg2_Relief&gt;0,Occ_Bldg2_Relief,Occ_Bldg2)+AE558))^(1/AE557),1000000*(AE478/(Wind*AE488))*(AE530/(IF(Occ_Bldg2_Relief&gt;0,Occ_Bldg2_Relief,Occ_Bldg2)+AE532))^(1/AE531))),0)</f>
        <v>0</v>
      </c>
      <c r="AF706" s="81"/>
      <c r="AG706" s="1286">
        <f>IF(AND(AG478&gt;0,Occ_Bldg2&gt;0.1),IF(AND(AG294="Indoors",AG712&gt;0),1000000/(1000000/AG712+(Wind*AG488*(IF(Occ_Bldg2_Relief&gt;0,Occ_Bldg2_Relief,Occ_Bldg2)/AG530)^(1/AG531)/(IF(Enclosed_Ventilation_Rate&gt;1,Enclosed_Ventilation_Rate,1)*Enclosed_Process_Volume*AG488*AG712/88020000000))),IF(AG559="Instantaneous",1000000*(AG471/AG488)*(AG556/(IF(Occ_Bldg2_Relief&gt;0,Occ_Bldg2_Relief,Occ_Bldg2)+AG558))^(1/AG557),1000000*(AG478/(Wind*AG488))*(AG530/(IF(Occ_Bldg2_Relief&gt;0,Occ_Bldg2_Relief,Occ_Bldg2)+AG532))^(1/AG531))),0)</f>
        <v>0</v>
      </c>
      <c r="AH706" s="81"/>
      <c r="AI706" s="1286">
        <f>IF(AND(AI478&gt;0,Occ_Bldg2&gt;0.1),IF(AND(AI294="Indoors",AI712&gt;0),1000000/(1000000/AI712+(Wind*AI488*(IF(Occ_Bldg2_Relief&gt;0,Occ_Bldg2_Relief,Occ_Bldg2)/AI530)^(1/AI531)/(IF(Enclosed_Ventilation_Rate&gt;1,Enclosed_Ventilation_Rate,1)*Enclosed_Process_Volume*AI488*AI712/88020000000))),IF(AI559="Instantaneous",1000000*(AI471/AI488)*(AI556/(IF(Occ_Bldg2_Relief&gt;0,Occ_Bldg2_Relief,Occ_Bldg2)+AI558))^(1/AI557),1000000*(AI478/(Wind*AI488))*(AI530/(IF(Occ_Bldg2_Relief&gt;0,Occ_Bldg2_Relief,Occ_Bldg2)+AI532))^(1/AI531))),0)</f>
        <v>0</v>
      </c>
      <c r="AJ706" s="81"/>
      <c r="AK706" s="81"/>
      <c r="AL706" s="81"/>
      <c r="AM706" s="81"/>
      <c r="AN706" s="81"/>
      <c r="AO706" s="81"/>
      <c r="AP706" s="81"/>
      <c r="AQ706" s="23" t="s">
        <v>1506</v>
      </c>
      <c r="AR706" s="81"/>
    </row>
    <row r="707" spans="1:44" ht="15" customHeight="1" x14ac:dyDescent="0.25">
      <c r="A707" s="2"/>
      <c r="B707" s="23" t="s">
        <v>694</v>
      </c>
      <c r="C707" s="83"/>
      <c r="D707" s="2846" t="str">
        <f>IF(Flash_Pt_Feed="","",IF(OR(AND(D703&gt;10,FiredEq_ProcessArea="within 10 m (33 ft)"),AND(D703&gt;20,FiredEq_ProcessArea="within 20 m (65 ft)"),AND(D703&gt;30,FiredEq_ProcessArea="within 30 m (100 ft)"),Ease_of_Ignition_Feed="High",D416&gt;IF(AIgnite_Feed&lt;&gt;"",AIgnite_Feed,AIDefault)),0,IF(Ease_of_Ignition_Feed="Low",IF(D703&lt;VCE_Low_Dist,3,IF(D703&gt;VCE_High_Dist,1,2)),IF(Ease_of_Ignition_Feed="Elevated",IF(D703&lt;VCE_Low_Dist,1,0),IF(D703&lt;VCE_Low_Dist,2,IF(D703&lt;VCE_High_Dist,1,0))))))</f>
        <v/>
      </c>
      <c r="E707" s="83"/>
      <c r="F707" s="2846" t="str">
        <f>IF(Flash_Pt_Feed="","",IF(OR(AND(F703&gt;10,FiredEq_ProcessArea="within 10 m (33 ft)"),AND(F703&gt;20,FiredEq_ProcessArea="within 20 m (65 ft)"),AND(F703&gt;30,FiredEq_ProcessArea="within 30 m (100 ft)"),Ease_of_Ignition_Feed="High",F416&gt;IF(AIgnite_Feed&lt;&gt;"",AIgnite_Feed,AIDefault)),0,IF(Ease_of_Ignition_Feed="Low",IF(F703&lt;VCE_Low_Dist,3,IF(F703&gt;VCE_High_Dist,1,2)),IF(Ease_of_Ignition_Feed="Elevated",IF(F703&lt;VCE_Low_Dist,1,0),IF(F703&lt;VCE_Low_Dist,2,IF(F703&lt;VCE_High_Dist,1,0))))))</f>
        <v/>
      </c>
      <c r="G707" s="83"/>
      <c r="H707" s="2846" t="str">
        <f>IF(Flash_Pt_Feed="","",IF(OR(AND(H703&gt;10,FiredEq_ProcessArea="within 10 m (33 ft)"),AND(H703&gt;20,FiredEq_ProcessArea="within 20 m (65 ft)"),AND(H703&gt;30,FiredEq_ProcessArea="within 30 m (100 ft)"),Ease_of_Ignition_Feed="High",H416&gt;IF(AIgnite_Feed&lt;&gt;"",AIgnite_Feed,AIDefault)),0,IF(Ease_of_Ignition_Feed="Low",IF(H703&lt;VCE_Low_Dist,3,IF(H703&gt;VCE_High_Dist,1,2)),IF(Ease_of_Ignition_Feed="Elevated",IF(H703&lt;VCE_Low_Dist,1,0),IF(H703&lt;VCE_Low_Dist,2,IF(H703&lt;VCE_High_Dist,1,0))))))</f>
        <v/>
      </c>
      <c r="I707" s="83"/>
      <c r="J707" s="2846" t="str">
        <f>IF(Flash_Pt_Feed="","",IF(OR(AND(J703&gt;10,FiredEq_ProcessArea="within 10 m (33 ft)"),AND(J703&gt;20,FiredEq_ProcessArea="within 20 m (65 ft)"),AND(J703&gt;30,FiredEq_ProcessArea="within 30 m (100 ft)"),Ease_of_Ignition_Feed="High",J416&gt;IF(AIgnite_Feed&lt;&gt;"",AIgnite_Feed,AIDefault)),0,IF(Ease_of_Ignition_Feed="Low",IF(J703&lt;VCE_Low_Dist,3,IF(J703&gt;VCE_High_Dist,1,2)),IF(Ease_of_Ignition_Feed="Elevated",IF(J703&lt;VCE_Low_Dist,1,0),IF(J703&lt;VCE_Low_Dist,2,IF(J703&lt;VCE_High_Dist,1,0))))))</f>
        <v/>
      </c>
      <c r="K707" s="83"/>
      <c r="L707" s="2846" t="str">
        <f>IF(Flash_Pt_Feed="","",IF(OR(AND(L703&gt;10,FiredEq_ProcessArea="within 10 m (33 ft)"),AND(L703&gt;20,FiredEq_ProcessArea="within 20 m (65 ft)"),AND(L703&gt;30,FiredEq_ProcessArea="within 30 m (100 ft)"),Ease_of_Ignition_Feed="High",L416&gt;IF(AIgnite_Feed&lt;&gt;"",AIgnite_Feed,AIDefault)),0,IF(Ease_of_Ignition_Feed="Low",IF(L703&lt;VCE_Low_Dist,3,IF(L703&gt;VCE_High_Dist,1,2)),IF(Ease_of_Ignition_Feed="Elevated",IF(L703&lt;VCE_Low_Dist,1,0),IF(L703&lt;VCE_Low_Dist,2,IF(L703&lt;VCE_High_Dist,1,0))))))</f>
        <v/>
      </c>
      <c r="M707" s="83"/>
      <c r="N707" s="2846" t="str">
        <f>IF(Flash_Pt_Feed="","",IF(OR(AND(N703&gt;10,FiredEq_ProcessArea="within 10 m (33 ft)"),AND(N703&gt;20,FiredEq_ProcessArea="within 20 m (65 ft)"),AND(N703&gt;30,FiredEq_ProcessArea="within 30 m (100 ft)"),Ease_of_Ignition_Feed="High",N416&gt;IF(AIgnite_Feed&lt;&gt;"",AIgnite_Feed,AIDefault)),0,IF(Ease_of_Ignition_Feed="Low",IF(N703&lt;VCE_Low_Dist,3,IF(N703&gt;VCE_High_Dist,1,2)),IF(Ease_of_Ignition_Feed="Elevated",IF(N703&lt;VCE_Low_Dist,1,0),IF(N703&lt;VCE_Low_Dist,2,IF(N703&lt;VCE_High_Dist,1,0))))))</f>
        <v/>
      </c>
      <c r="O707" s="83"/>
      <c r="P707" s="2846" t="str">
        <f>IF(Flash_Pt_Feed="","",IF(OR(AND(P703&gt;10,FiredEq_ProcessArea="within 10 m (33 ft)"),AND(P703&gt;20,FiredEq_ProcessArea="within 20 m (65 ft)"),AND(P703&gt;30,FiredEq_ProcessArea="within 30 m (100 ft)"),Ease_of_Ignition_Feed="High",P416&gt;IF(AIgnite_Feed&lt;&gt;"",AIgnite_Feed,AIDefault)),0,IF(Ease_of_Ignition_Feed="Low",IF(P703&lt;VCE_Low_Dist,3,IF(P703&gt;VCE_High_Dist,1,2)),IF(Ease_of_Ignition_Feed="Elevated",IF(P703&lt;VCE_Low_Dist,1,0),IF(P703&lt;VCE_Low_Dist,2,IF(P703&lt;VCE_High_Dist,1,0))))))</f>
        <v/>
      </c>
      <c r="Q707" s="83"/>
      <c r="R707" s="2846" t="str">
        <f>IF(Flash_Pt_Feed="","",IF(OR(AND(R703&gt;10,FiredEq_ProcessArea="within 10 m (33 ft)"),AND(R703&gt;20,FiredEq_ProcessArea="within 20 m (65 ft)"),AND(R703&gt;30,FiredEq_ProcessArea="within 30 m (100 ft)"),Ease_of_Ignition_Feed="High",R416&gt;IF(AIgnite_Feed&lt;&gt;"",AIgnite_Feed,AIDefault)),0,IF(Ease_of_Ignition_Feed="Low",IF(R703&lt;VCE_Low_Dist,3,IF(R703&gt;VCE_High_Dist,1,2)),IF(Ease_of_Ignition_Feed="Elevated",IF(R703&lt;VCE_Low_Dist,1,0),IF(R703&lt;VCE_Low_Dist,2,IF(R703&lt;VCE_High_Dist,1,0))))))</f>
        <v/>
      </c>
      <c r="S707" s="83"/>
      <c r="T707" s="2846" t="str">
        <f>IF(Flash_Pt_Feed="","",IF(OR(AND(T703&gt;10,FiredEq_ProcessArea="within 10 m (33 ft)"),AND(T703&gt;20,FiredEq_ProcessArea="within 20 m (65 ft)"),AND(T703&gt;30,FiredEq_ProcessArea="within 30 m (100 ft)"),Ease_of_Ignition_Feed="High",T416&gt;IF(AIgnite_Feed&lt;&gt;"",AIgnite_Feed,AIDefault)),0,IF(Ease_of_Ignition_Feed="Low",IF(T703&lt;VCE_Low_Dist,3,IF(T703&gt;VCE_High_Dist,1,2)),IF(Ease_of_Ignition_Feed="Elevated",IF(T703&lt;VCE_Low_Dist,1,0),IF(T703&lt;VCE_Low_Dist,2,IF(T703&lt;VCE_High_Dist,1,0))))))</f>
        <v/>
      </c>
      <c r="U707" s="83"/>
      <c r="V707" s="2846" t="str">
        <f>IF(Flash_Pt_Feed="","",IF(OR(AND(V703&gt;10,FiredEq_ProcessArea="within 10 m (33 ft)"),AND(V703&gt;20,FiredEq_ProcessArea="within 20 m (65 ft)"),AND(V703&gt;30,FiredEq_ProcessArea="within 30 m (100 ft)"),Ease_of_Ignition_Feed="High",V416&gt;IF(AIgnite_Feed&lt;&gt;"",AIgnite_Feed,AIDefault)),0,IF(Ease_of_Ignition_Feed="Low",IF(V703&lt;VCE_Low_Dist,3,IF(V703&gt;VCE_High_Dist,1,2)),IF(Ease_of_Ignition_Feed="Elevated",IF(V703&lt;VCE_Low_Dist,1,0),IF(V703&lt;VCE_Low_Dist,2,IF(V703&lt;VCE_High_Dist,1,0))))))</f>
        <v/>
      </c>
      <c r="W707" s="83"/>
      <c r="X707" s="2846" t="str">
        <f>IF(Flash_Pt_Feed="","",IF(OR(AND(X703&gt;10,FiredEq_ProcessArea="within 10 m (33 ft)"),AND(X703&gt;20,FiredEq_ProcessArea="within 20 m (65 ft)"),AND(X703&gt;30,FiredEq_ProcessArea="within 30 m (100 ft)"),Ease_of_Ignition_Feed="High",X416&gt;IF(AIgnite_Feed&lt;&gt;"",AIgnite_Feed,AIDefault)),0,IF(Ease_of_Ignition_Feed="Low",IF(X703&lt;VCE_Low_Dist,3,IF(X703&gt;VCE_High_Dist,1,2)),IF(Ease_of_Ignition_Feed="Elevated",IF(X703&lt;VCE_Low_Dist,1,0),IF(X703&lt;VCE_Low_Dist,2,IF(X703&lt;VCE_High_Dist,1,0))))))</f>
        <v/>
      </c>
      <c r="Y707" s="83"/>
      <c r="Z707" s="85"/>
      <c r="AA707" s="2"/>
      <c r="AB707" s="81"/>
      <c r="AC707" s="85" t="s">
        <v>5293</v>
      </c>
      <c r="AD707" s="81"/>
      <c r="AE707" s="1183">
        <f>IF(AE705&gt;AE$664,MIN(AE705*(1-EXP(-IF(Ventilation_Rate="",Occ_Bldg_Vent,Ventilation_Rate)*AE$613/2)),AE$622),0)</f>
        <v>0</v>
      </c>
      <c r="AF707" s="81"/>
      <c r="AG707" s="1183">
        <f>IF(AG705&gt;AG$664,MIN(AG705*(1-EXP(-IF(Ventilation_Rate="",Occ_Bldg_Vent,Ventilation_Rate)*AG$613/2)),AG$622),0)</f>
        <v>0</v>
      </c>
      <c r="AH707" s="81"/>
      <c r="AI707" s="1183">
        <f>IF(AI705&gt;AI$664,MIN(AI705*(1-EXP(-IF(Ventilation_Rate="",Occ_Bldg_Vent,Ventilation_Rate)*AI$613/2)),AI$622),0)</f>
        <v>0</v>
      </c>
      <c r="AJ707" s="81"/>
      <c r="AK707" s="81"/>
      <c r="AL707" s="81"/>
      <c r="AM707" s="81"/>
      <c r="AN707" s="81"/>
      <c r="AO707" s="81"/>
      <c r="AP707" s="81"/>
      <c r="AQ707" s="23" t="s">
        <v>1506</v>
      </c>
      <c r="AR707" s="81"/>
    </row>
    <row r="708" spans="1:44" ht="15" customHeight="1" x14ac:dyDescent="0.25">
      <c r="A708" s="2"/>
      <c r="B708" s="85" t="s">
        <v>471</v>
      </c>
      <c r="C708" s="83"/>
      <c r="D708" s="1183">
        <f>IF(D701="No",0,VCE_R_1psi*(2*4.18*D705/101.3)^0.333+LFL_Fract_VCE_Epicenter*D703)</f>
        <v>0</v>
      </c>
      <c r="E708" s="83"/>
      <c r="F708" s="1183">
        <f>IF(F701="No",0,VCE_R_1psi*(2*4.18*F705/101.3)^0.333+LFL_Fract_VCE_Epicenter*F703)</f>
        <v>0</v>
      </c>
      <c r="G708" s="83"/>
      <c r="H708" s="1183">
        <f>IF(H701="No",0,VCE_R_1psi*(2*4.18*H705/101.3)^0.333+LFL_Fract_VCE_Epicenter*H703)</f>
        <v>0</v>
      </c>
      <c r="I708" s="83"/>
      <c r="J708" s="1183">
        <f>IF(J701="No",0,VCE_R_1psi*(2*4.18*J705/101.3)^0.333+LFL_Fract_VCE_Epicenter*J703)</f>
        <v>0</v>
      </c>
      <c r="K708" s="83"/>
      <c r="L708" s="1183">
        <f>IF(L701="No",0,VCE_R_1psi*(2*4.18*L705/101.3)^0.333+LFL_Fract_VCE_Epicenter*L703)</f>
        <v>0</v>
      </c>
      <c r="M708" s="83"/>
      <c r="N708" s="1183">
        <f>IF(N701="No",0,VCE_R_1psi*(2*4.18*N705/101.3)^0.333+LFL_Fract_VCE_Epicenter*N703)</f>
        <v>0</v>
      </c>
      <c r="O708" s="83"/>
      <c r="P708" s="1183">
        <f>IF(P701="No",0,VCE_R_1psi*(2*4.18*P705/101.3)^0.333+LFL_Fract_VCE_Epicenter*P703)</f>
        <v>0</v>
      </c>
      <c r="Q708" s="83"/>
      <c r="R708" s="1183">
        <f>IF(R701="No",0,VCE_R_1psi*(2*4.18*R705/101.3)^0.333+LFL_Fract_VCE_Epicenter*R703)</f>
        <v>0</v>
      </c>
      <c r="S708" s="83"/>
      <c r="T708" s="1183">
        <f>IF(T701="No",0,VCE_R_1psi*(2*4.18*T705/101.3)^0.333+LFL_Fract_VCE_Epicenter*T703)</f>
        <v>0</v>
      </c>
      <c r="U708" s="83"/>
      <c r="V708" s="1183">
        <f>IF(V701="No",0,VCE_R_1psi*(2*4.18*V705/101.3)^0.333+LFL_Fract_VCE_Epicenter*V703)</f>
        <v>0</v>
      </c>
      <c r="W708" s="83"/>
      <c r="X708" s="1183">
        <f>IF(X701="No",0,VCE_R_1psi*(2*4.18*X705/101.3)^0.333+LFL_Fract_VCE_Epicenter*X703)</f>
        <v>0</v>
      </c>
      <c r="Y708" s="83"/>
      <c r="Z708" s="85" t="s">
        <v>1068</v>
      </c>
      <c r="AA708" s="2"/>
      <c r="AB708" s="81"/>
      <c r="AC708" s="85" t="s">
        <v>3542</v>
      </c>
      <c r="AD708" s="81"/>
      <c r="AE708" s="1183">
        <f>IF(AE706&gt;AE$664,MIN(AE706*(1-EXP(-IF(Ventilation_Rate="",Occ_Bldg_Vent,Ventilation_Rate)*AE$613/2)),AE$622),0)</f>
        <v>0</v>
      </c>
      <c r="AF708" s="81"/>
      <c r="AG708" s="1183">
        <f>IF(AG706&gt;AG$664,MIN(AG706*(1-EXP(-IF(Ventilation_Rate="",Occ_Bldg_Vent,Ventilation_Rate)*AG$613/2)),AG$622),0)</f>
        <v>0</v>
      </c>
      <c r="AH708" s="81"/>
      <c r="AI708" s="1183">
        <f>IF(AI706&gt;AI$664,MIN(AI706*(1-EXP(-IF(Ventilation_Rate="",Occ_Bldg_Vent,Ventilation_Rate)*AI$613/2)),AI$622),0)</f>
        <v>0</v>
      </c>
      <c r="AJ708" s="81"/>
      <c r="AK708" s="81"/>
      <c r="AL708" s="81"/>
      <c r="AM708" s="81"/>
      <c r="AN708" s="81"/>
      <c r="AO708" s="81"/>
      <c r="AP708" s="81"/>
      <c r="AQ708" s="23" t="s">
        <v>1506</v>
      </c>
      <c r="AR708" s="81"/>
    </row>
    <row r="709" spans="1:44" ht="15" customHeight="1" x14ac:dyDescent="0.25">
      <c r="A709" s="2"/>
      <c r="B709" s="85" t="s">
        <v>1748</v>
      </c>
      <c r="C709" s="83"/>
      <c r="D709" s="1183" t="str">
        <f>IF(D708&gt;Public,"Yes","No")</f>
        <v>No</v>
      </c>
      <c r="E709" s="83"/>
      <c r="F709" s="1183" t="str">
        <f>IF(F708&gt;Public,"Yes","No")</f>
        <v>No</v>
      </c>
      <c r="G709" s="83"/>
      <c r="H709" s="1183" t="str">
        <f>IF(H708&gt;Public,"Yes","No")</f>
        <v>No</v>
      </c>
      <c r="I709" s="83"/>
      <c r="J709" s="1183" t="str">
        <f>IF(J708&gt;Public,"Yes","No")</f>
        <v>No</v>
      </c>
      <c r="K709" s="83"/>
      <c r="L709" s="1183" t="str">
        <f>IF(L708&gt;Public,"Yes","No")</f>
        <v>No</v>
      </c>
      <c r="M709" s="83"/>
      <c r="N709" s="1183" t="str">
        <f>IF(N708&gt;Public,"Yes","No")</f>
        <v>No</v>
      </c>
      <c r="O709" s="83"/>
      <c r="P709" s="1183" t="str">
        <f>IF(P708&gt;Public,"Yes","No")</f>
        <v>No</v>
      </c>
      <c r="Q709" s="83"/>
      <c r="R709" s="1183" t="str">
        <f>IF(R708&gt;Public,"Yes","No")</f>
        <v>No</v>
      </c>
      <c r="S709" s="83"/>
      <c r="T709" s="1183" t="str">
        <f>IF(T708&gt;Public,"Yes","No")</f>
        <v>No</v>
      </c>
      <c r="U709" s="83"/>
      <c r="V709" s="1183" t="str">
        <f>IF(V708&gt;Public,"Yes","No")</f>
        <v>No</v>
      </c>
      <c r="W709" s="83"/>
      <c r="X709" s="1183" t="str">
        <f>IF(X708&gt;Public,"Yes","No")</f>
        <v>No</v>
      </c>
      <c r="Y709" s="83"/>
      <c r="Z709" s="85"/>
      <c r="AA709" s="2"/>
      <c r="AB709" s="81"/>
      <c r="AC709" s="85" t="s">
        <v>4718</v>
      </c>
      <c r="AD709" s="81"/>
      <c r="AE709" s="1820" t="str">
        <f>IF(AE664&lt;&gt;"",IF(OR(AE664&gt;AE707,1-AE664/AE705&lt;0),"",-Max_Duration*LN(1-AE664/AE705)/IF(Ventilation_Rate="",Occ_Bldg_Vent,Ventilation_Rate)),"")</f>
        <v/>
      </c>
      <c r="AF709" s="81"/>
      <c r="AG709" s="1820" t="str">
        <f>IF(AND(AG478&gt;0,AG664&lt;&gt;""),IF(OR(AG664&gt;AG707,1-AG664/AG705&lt;0),"",-Max_Duration*LN(1-AG664/AG705)/IF(Ventilation_Rate="",Occ_Bldg_Vent,Ventilation_Rate)),"")</f>
        <v/>
      </c>
      <c r="AH709" s="81"/>
      <c r="AI709" s="1820" t="str">
        <f>IF(AI664&lt;&gt;"",IF(OR(AI664&gt;AI707,1-AI664/AI705&lt;0),"",-Max_Duration*LN(1-AI664/AI705)/IF(Ventilation_Rate="",Occ_Bldg_Vent,Ventilation_Rate)),"")</f>
        <v/>
      </c>
      <c r="AJ709" s="81"/>
      <c r="AK709" s="81"/>
      <c r="AL709" s="81"/>
      <c r="AM709" s="81"/>
      <c r="AN709" s="81"/>
      <c r="AO709" s="81"/>
      <c r="AP709" s="81"/>
      <c r="AQ709" s="23" t="s">
        <v>1760</v>
      </c>
      <c r="AR709" s="81"/>
    </row>
    <row r="710" spans="1:44" ht="15" customHeight="1" thickBot="1" x14ac:dyDescent="0.3">
      <c r="A710" s="2"/>
      <c r="B710" s="23" t="s">
        <v>3025</v>
      </c>
      <c r="C710" s="83"/>
      <c r="D710" s="2109">
        <f>IF(AND(D705&gt;0,Occ_Bldg_Cntr&gt;0),IF(Occ_Bldg_Cntr&gt;1+LFL_Fract_VCE_Epicenter*D703,(Occ_Bldg_Cntr-LFL_Fract_VCE_Epicenter*D703)/(2*D705*4.18/101.3)^0.333,1/(2*D705*4.18/101.3)^0.333),0)</f>
        <v>0</v>
      </c>
      <c r="E710" s="83"/>
      <c r="F710" s="2109">
        <f>IF(AND(F705&gt;0,Occ_Bldg_Cntr&gt;0),IF(Occ_Bldg_Cntr&gt;1+LFL_Fract_VCE_Epicenter*F703,(Occ_Bldg_Cntr-LFL_Fract_VCE_Epicenter*F703)/(2*F705*4.18/101.3)^0.333,1/(2*F705*4.18/101.3)^0.333),0)</f>
        <v>0</v>
      </c>
      <c r="G710" s="83"/>
      <c r="H710" s="2109">
        <f>IF(AND(H705&gt;0,Occ_Bldg_Cntr&gt;0),IF(Occ_Bldg_Cntr&gt;1+LFL_Fract_VCE_Epicenter*H703,(Occ_Bldg_Cntr-LFL_Fract_VCE_Epicenter*H703)/(2*H705*4.18/101.3)^0.333,1/(2*H705*4.18/101.3)^0.333),0)</f>
        <v>0</v>
      </c>
      <c r="I710" s="83"/>
      <c r="J710" s="2109">
        <f>IF(AND(J705&gt;0,Occ_Bldg_Cntr&gt;0),IF(Occ_Bldg_Cntr&gt;1+LFL_Fract_VCE_Epicenter*J703,(Occ_Bldg_Cntr-LFL_Fract_VCE_Epicenter*J703)/(2*J705*4.18/101.3)^0.333,1/(2*J705*4.18/101.3)^0.333),0)</f>
        <v>0</v>
      </c>
      <c r="K710" s="83"/>
      <c r="L710" s="2109">
        <f>IF(AND(L705&gt;0,Occ_Bldg_Cntr&gt;0),IF(Occ_Bldg_Cntr&gt;1+LFL_Fract_VCE_Epicenter*L703,(Occ_Bldg_Cntr-LFL_Fract_VCE_Epicenter*L703)/(2*L705*4.18/101.3)^0.333,1/(2*L705*4.18/101.3)^0.333),0)</f>
        <v>0</v>
      </c>
      <c r="M710" s="83"/>
      <c r="N710" s="2109">
        <f>IF(AND(N705&gt;0,Occ_Bldg_Cntr&gt;0),IF(Occ_Bldg_Cntr&gt;1+LFL_Fract_VCE_Epicenter*N703,(Occ_Bldg_Cntr-LFL_Fract_VCE_Epicenter*N703)/(2*N705*4.18/101.3)^0.333,1/(2*N705*4.18/101.3)^0.333),0)</f>
        <v>0</v>
      </c>
      <c r="O710" s="83"/>
      <c r="P710" s="2109">
        <f>IF(AND(P705&gt;0,Occ_Bldg_Cntr&gt;0),IF(Occ_Bldg_Cntr&gt;1+LFL_Fract_VCE_Epicenter*P703,(Occ_Bldg_Cntr-LFL_Fract_VCE_Epicenter*P703)/(2*P705*4.18/101.3)^0.333,1/(2*P705*4.18/101.3)^0.333),0)</f>
        <v>0</v>
      </c>
      <c r="Q710" s="83"/>
      <c r="R710" s="2109">
        <f>IF(AND(R705&gt;0,Occ_Bldg_Cntr&gt;0),IF(Occ_Bldg_Cntr&gt;1+LFL_Fract_VCE_Epicenter*R703,(Occ_Bldg_Cntr-LFL_Fract_VCE_Epicenter*R703)/(2*R705*4.18/101.3)^0.333,1/(2*R705*4.18/101.3)^0.333),0)</f>
        <v>0</v>
      </c>
      <c r="S710" s="83"/>
      <c r="T710" s="2109">
        <f>IF(AND(T705&gt;0,Occ_Bldg_Cntr&gt;0),IF(Occ_Bldg_Cntr&gt;1+LFL_Fract_VCE_Epicenter*T703,(Occ_Bldg_Cntr-LFL_Fract_VCE_Epicenter*T703)/(2*T705*4.18/101.3)^0.333,1/(2*T705*4.18/101.3)^0.333),0)</f>
        <v>0</v>
      </c>
      <c r="U710" s="83"/>
      <c r="V710" s="2109">
        <f>IF(AND(V705&gt;0,Occ_Bldg_Cntr&gt;0),IF(Occ_Bldg_Cntr&gt;1+LFL_Fract_VCE_Epicenter*V703,(Occ_Bldg_Cntr-LFL_Fract_VCE_Epicenter*V703)/(2*V705*4.18/101.3)^0.333,1/(2*V705*4.18/101.3)^0.333),0)</f>
        <v>0</v>
      </c>
      <c r="W710" s="83"/>
      <c r="X710" s="2109">
        <f>IF(AND(X705&gt;0,Occ_Bldg_Cntr&gt;0),IF(Occ_Bldg_Cntr&gt;1+LFL_Fract_VCE_Epicenter*X703,(Occ_Bldg_Cntr-LFL_Fract_VCE_Epicenter*X703)/(2*X705*4.18/101.3)^0.333,1/(2*X705*4.18/101.3)^0.333),0)</f>
        <v>0</v>
      </c>
      <c r="Y710" s="83"/>
      <c r="Z710" s="85"/>
      <c r="AA710" s="2"/>
      <c r="AB710" s="81"/>
      <c r="AC710" s="85" t="s">
        <v>4719</v>
      </c>
      <c r="AD710" s="81"/>
      <c r="AE710" s="2510" t="str">
        <f>IF(AND(Occ_Bldg2&gt;0,AE664&lt;&gt;""),IF(OR(AE664&gt;AE708,1-AE664/AE706&lt;0),"",-Max_Duration*LN(1-AE664/AE706)/IF(Ventilation_Rate="",Occ_Bldg_Vent,Ventilation_Rate)),"")</f>
        <v/>
      </c>
      <c r="AF710" s="81"/>
      <c r="AG710" s="2510" t="str">
        <f>IF(AND(Occ_Bldg2&gt;0,AG664&lt;&gt;""),IF(OR(AG664&gt;AG708,1-AG664/AG706&lt;0),"",-Max_Duration*LN(1-AG664/AG706)/IF(Ventilation_Rate="",Occ_Bldg_Vent,Ventilation_Rate)),"")</f>
        <v/>
      </c>
      <c r="AH710" s="81"/>
      <c r="AI710" s="2510" t="str">
        <f>IF(AND(Occ_Bldg2&gt;0,AI664&lt;&gt;""),IF(OR(AI664&gt;AI708,1-AI664/AI706&lt;0),"",-Max_Duration*LN(1-AI664/AI706)/IF(Ventilation_Rate="",Occ_Bldg_Vent,Ventilation_Rate)),"")</f>
        <v/>
      </c>
      <c r="AJ710" s="81"/>
      <c r="AK710" s="81"/>
      <c r="AL710" s="81"/>
      <c r="AM710" s="81"/>
      <c r="AN710" s="81"/>
      <c r="AO710" s="81"/>
      <c r="AP710" s="81"/>
      <c r="AQ710" s="23" t="s">
        <v>1760</v>
      </c>
      <c r="AR710" s="81"/>
    </row>
    <row r="711" spans="1:44" ht="15" customHeight="1" x14ac:dyDescent="0.25">
      <c r="A711" s="2"/>
      <c r="B711" s="23" t="s">
        <v>1534</v>
      </c>
      <c r="C711" s="83"/>
      <c r="D711" s="2101">
        <f>IF(AND(D701="Yes",D710&gt;0),IF(VCE_BST_Coeff/D710^VCE_BST_Exp&lt;VCE_BST_Limit,14.7*VCE_BST_Coeff/D710^VCE_BST_Exp,14.7*VCE_BST_Limit),D713)</f>
        <v>0</v>
      </c>
      <c r="E711" s="83"/>
      <c r="F711" s="2101">
        <f>IF(AND(F701="Yes",F710&gt;0),IF(VCE_BST_Coeff/F710^VCE_BST_Exp&lt;VCE_BST_Limit,14.7*VCE_BST_Coeff/F710^VCE_BST_Exp,14.7*VCE_BST_Limit),F713)</f>
        <v>0</v>
      </c>
      <c r="G711" s="83"/>
      <c r="H711" s="2101">
        <f>IF(AND(H701="Yes",H710&gt;0),IF(VCE_BST_Coeff/H710^VCE_BST_Exp&lt;VCE_BST_Limit,14.7*VCE_BST_Coeff/H710^VCE_BST_Exp,14.7*VCE_BST_Limit),H713)</f>
        <v>0</v>
      </c>
      <c r="I711" s="83"/>
      <c r="J711" s="2101">
        <f>IF(AND(J701="Yes",J710&gt;0),IF(VCE_BST_Coeff/J710^VCE_BST_Exp&lt;VCE_BST_Limit,14.7*VCE_BST_Coeff/J710^VCE_BST_Exp,14.7*VCE_BST_Limit),J713)</f>
        <v>0</v>
      </c>
      <c r="K711" s="83"/>
      <c r="L711" s="2101">
        <f>IF(AND(L701="Yes",L710&gt;0),IF(VCE_BST_Coeff/L710^VCE_BST_Exp&lt;VCE_BST_Limit,14.7*VCE_BST_Coeff/L710^VCE_BST_Exp,14.7*VCE_BST_Limit),L713)</f>
        <v>0</v>
      </c>
      <c r="M711" s="83"/>
      <c r="N711" s="2101">
        <f>IF(AND(N701="Yes",N710&gt;0),IF(VCE_BST_Coeff/N710^VCE_BST_Exp&lt;VCE_BST_Limit,14.7*VCE_BST_Coeff/N710^VCE_BST_Exp,14.7*VCE_BST_Limit),N713)</f>
        <v>0</v>
      </c>
      <c r="O711" s="83"/>
      <c r="P711" s="2101">
        <f>IF(AND(P701="Yes",P710&gt;0),IF(VCE_BST_Coeff/P710^VCE_BST_Exp&lt;VCE_BST_Limit,14.7*VCE_BST_Coeff/P710^VCE_BST_Exp,14.7*VCE_BST_Limit),P713)</f>
        <v>0</v>
      </c>
      <c r="Q711" s="83"/>
      <c r="R711" s="2101">
        <f>IF(AND(R701="Yes",R710&gt;0),IF(VCE_BST_Coeff/R710^VCE_BST_Exp&lt;VCE_BST_Limit,14.7*VCE_BST_Coeff/R710^VCE_BST_Exp,14.7*VCE_BST_Limit),R713)</f>
        <v>0</v>
      </c>
      <c r="S711" s="83"/>
      <c r="T711" s="2101">
        <f>IF(AND(T701="Yes",T710&gt;0),IF(VCE_BST_Coeff/T710^VCE_BST_Exp&lt;VCE_BST_Limit,14.7*VCE_BST_Coeff/T710^VCE_BST_Exp,14.7*VCE_BST_Limit),T713)</f>
        <v>0</v>
      </c>
      <c r="U711" s="83"/>
      <c r="V711" s="2101">
        <f>IF(AND(V701="Yes",V710&gt;0),IF(VCE_BST_Coeff/V710^VCE_BST_Exp&lt;VCE_BST_Limit,14.7*VCE_BST_Coeff/V710^VCE_BST_Exp,14.7*VCE_BST_Limit),V713)</f>
        <v>0</v>
      </c>
      <c r="W711" s="83"/>
      <c r="X711" s="2101">
        <f>IF(AND(X701="Yes",X710&gt;0),IF(VCE_BST_Coeff/X710^VCE_BST_Exp&lt;VCE_BST_Limit,14.7*VCE_BST_Coeff/X710^VCE_BST_Exp,14.7*VCE_BST_Limit),X713)</f>
        <v>0</v>
      </c>
      <c r="Y711" s="83"/>
      <c r="Z711" s="85" t="s">
        <v>968</v>
      </c>
      <c r="AA711" s="2"/>
      <c r="AB711" s="81"/>
      <c r="AC711" s="92" t="s">
        <v>3541</v>
      </c>
      <c r="AD711" s="81"/>
      <c r="AE711" s="102">
        <f>IF(AND(AE294="Indoors",AE488&gt;0),IF((88020000000*AE478/AE488)/(Vent_Nat*Enclosed_Process_Volume+88020*AE478/AE488)&lt;24450000*AE451/(AE488*Enclosed_Process_Volume),(88020000000*AE478/AE488)/(Vent_Nat*Enclosed_Process_Volume+88020*AE478/AE488),24450000*AE451/(AE488*Enclosed_Process_Volume)),0)</f>
        <v>0</v>
      </c>
      <c r="AF711" s="81"/>
      <c r="AG711" s="102">
        <f>IF(AND(AG294="Indoors",AG488&gt;0),IF((88020000000*AG478/AG488)/(Vent_Nat*Enclosed_Process_Volume+88020*AG478/AG488)&lt;24450000*AG451/(AG488*Enclosed_Process_Volume),(88020000000*AG478/AG488)/(Vent_Nat*Enclosed_Process_Volume+88020*AG478/AG488),24450000*AG451/(AG488*Enclosed_Process_Volume)),0)</f>
        <v>0</v>
      </c>
      <c r="AH711" s="81"/>
      <c r="AI711" s="102">
        <f>IF(AND(AI294="Indoors",AI488&gt;0),IF((88020000000*AI478/AI488)/(Vent_Nat*Enclosed_Process_Volume+88020*AI478/AI488)&lt;24450000*AI451/(AI488*Enclosed_Process_Volume),(88020000000*AI478/AI488)/(Vent_Nat*Enclosed_Process_Volume+88020*AI478/AI488),24450000*AI451/(AI488*Enclosed_Process_Volume)),0)</f>
        <v>0</v>
      </c>
      <c r="AJ711" s="81"/>
      <c r="AK711" s="81"/>
      <c r="AL711" s="81"/>
      <c r="AM711" s="81"/>
      <c r="AN711" s="81"/>
      <c r="AO711" s="81"/>
      <c r="AP711" s="81"/>
      <c r="AQ711" s="92" t="s">
        <v>1506</v>
      </c>
      <c r="AR711" s="81"/>
    </row>
    <row r="712" spans="1:44" ht="15" customHeight="1" x14ac:dyDescent="0.25">
      <c r="A712" s="2"/>
      <c r="B712" s="23" t="s">
        <v>3024</v>
      </c>
      <c r="C712" s="83"/>
      <c r="D712" s="1181">
        <f>IF(AND(D705&gt;0,Occ_Bldg&gt;0),IF(Occ_Bldg&gt;1+LFL_Fract_VCE_Epicenter*D703,(Occ_Bldg-LFL_Fract_VCE_Epicenter*D703)/(2*D705*4.18/101.3)^0.333,1/(2*D705*4.18/101.3)^0.333),0)</f>
        <v>0</v>
      </c>
      <c r="E712" s="83"/>
      <c r="F712" s="1181">
        <f>IF(AND(F705&gt;0,Occ_Bldg&gt;0),IF(Occ_Bldg&gt;1+LFL_Fract_VCE_Epicenter*F703,(Occ_Bldg-LFL_Fract_VCE_Epicenter*F703)/(2*F705*4.18/101.3)^0.333,1/(2*F705*4.18/101.3)^0.333),0)</f>
        <v>0</v>
      </c>
      <c r="G712" s="83"/>
      <c r="H712" s="1181">
        <f>IF(AND(H705&gt;0,Occ_Bldg&gt;0),IF(Occ_Bldg&gt;1+LFL_Fract_VCE_Epicenter*H703,(Occ_Bldg-LFL_Fract_VCE_Epicenter*H703)/(2*H705*4.18/101.3)^0.333,1/(2*H705*4.18/101.3)^0.333),0)</f>
        <v>0</v>
      </c>
      <c r="I712" s="83"/>
      <c r="J712" s="1181">
        <f>IF(AND(J705&gt;0,Occ_Bldg&gt;0),IF(Occ_Bldg&gt;1+LFL_Fract_VCE_Epicenter*J703,(Occ_Bldg-LFL_Fract_VCE_Epicenter*J703)/(2*J705*4.18/101.3)^0.333,1/(2*J705*4.18/101.3)^0.333),0)</f>
        <v>0</v>
      </c>
      <c r="K712" s="83"/>
      <c r="L712" s="1181">
        <f>IF(AND(L705&gt;0,Occ_Bldg&gt;0),IF(Occ_Bldg&gt;1+LFL_Fract_VCE_Epicenter*L703,(Occ_Bldg-LFL_Fract_VCE_Epicenter*L703)/(2*L705*4.18/101.3)^0.333,1/(2*L705*4.18/101.3)^0.333),0)</f>
        <v>0</v>
      </c>
      <c r="M712" s="83"/>
      <c r="N712" s="1181">
        <f>IF(AND(N705&gt;0,Occ_Bldg&gt;0),IF(Occ_Bldg&gt;1+LFL_Fract_VCE_Epicenter*N703,(Occ_Bldg-LFL_Fract_VCE_Epicenter*N703)/(2*N705*4.18/101.3)^0.333,1/(2*N705*4.18/101.3)^0.333),0)</f>
        <v>0</v>
      </c>
      <c r="O712" s="83"/>
      <c r="P712" s="1181">
        <f>IF(AND(P705&gt;0,Occ_Bldg&gt;0),IF(Occ_Bldg&gt;1+LFL_Fract_VCE_Epicenter*P703,(Occ_Bldg-LFL_Fract_VCE_Epicenter*P703)/(2*P705*4.18/101.3)^0.333,1/(2*P705*4.18/101.3)^0.333),0)</f>
        <v>0</v>
      </c>
      <c r="Q712" s="83"/>
      <c r="R712" s="1181">
        <f>IF(AND(R705&gt;0,Occ_Bldg&gt;0),IF(Occ_Bldg&gt;1+LFL_Fract_VCE_Epicenter*R703,(Occ_Bldg-LFL_Fract_VCE_Epicenter*R703)/(2*R705*4.18/101.3)^0.333,1/(2*R705*4.18/101.3)^0.333),0)</f>
        <v>0</v>
      </c>
      <c r="S712" s="83"/>
      <c r="T712" s="1181">
        <f>IF(AND(T705&gt;0,Occ_Bldg&gt;0),IF(Occ_Bldg&gt;1+LFL_Fract_VCE_Epicenter*T703,(Occ_Bldg-LFL_Fract_VCE_Epicenter*T703)/(2*T705*4.18/101.3)^0.333,1/(2*T705*4.18/101.3)^0.333),0)</f>
        <v>0</v>
      </c>
      <c r="U712" s="83"/>
      <c r="V712" s="1181">
        <f>IF(AND(V705&gt;0,Occ_Bldg&gt;0),IF(Occ_Bldg&gt;1+LFL_Fract_VCE_Epicenter*V703,(Occ_Bldg-LFL_Fract_VCE_Epicenter*V703)/(2*V705*4.18/101.3)^0.333,1/(2*V705*4.18/101.3)^0.333),0)</f>
        <v>0</v>
      </c>
      <c r="W712" s="83"/>
      <c r="X712" s="1181">
        <f>IF(AND(X705&gt;0,Occ_Bldg&gt;0),IF(Occ_Bldg&gt;1+LFL_Fract_VCE_Epicenter*X703,(Occ_Bldg-LFL_Fract_VCE_Epicenter*X703)/(2*X705*4.18/101.3)^0.333,1/(2*X705*4.18/101.3)^0.333),0)</f>
        <v>0</v>
      </c>
      <c r="Y712" s="83"/>
      <c r="Z712" s="85"/>
      <c r="AA712" s="2"/>
      <c r="AB712" s="81"/>
      <c r="AC712" s="85" t="s">
        <v>4111</v>
      </c>
      <c r="AD712" s="81"/>
      <c r="AE712" s="1183">
        <f>IF(AND(AE294="Indoors",AE488&gt;0,Enclosed_Ventilation_Rate&gt;0),IF((88020000000*AE478/AE488)/(Enclosed_Ventilation_Rate*Enclosed_Process_Volume+88020*AE478/AE488)&lt;24450000*AE451/(AE488*Enclosed_Process_Volume),(88020000000*AE478/AE488)/(Enclosed_Ventilation_Rate*Enclosed_Process_Volume+88020*AE478/AE488),24450000*AE451/(AE488*Enclosed_Process_Volume)),AE711)</f>
        <v>0</v>
      </c>
      <c r="AF712" s="81"/>
      <c r="AG712" s="1183">
        <f>IF(AND(AG294="Indoors",AG488&gt;0,Enclosed_Ventilation_Rate&gt;0),IF((88020000000*AG478/AG488)/(Enclosed_Ventilation_Rate*Enclosed_Process_Volume+88020*AG478/AG488)&lt;24450000*AG451/(AG488*Enclosed_Process_Volume),(88020000000*AG478/AG488)/(Enclosed_Ventilation_Rate*Enclosed_Process_Volume+88020*AG478/AG488),24450000*AG451/(AG488*Enclosed_Process_Volume)),AG711)</f>
        <v>0</v>
      </c>
      <c r="AH712" s="81"/>
      <c r="AI712" s="1183">
        <f>IF(AND(AI294="Indoors",AI488&gt;0,Enclosed_Ventilation_Rate&gt;0),IF((88020000000*AI478/AI488)/(Enclosed_Ventilation_Rate*Enclosed_Process_Volume+88020*AI478/AI488)&lt;24450000*AI451/(AI488*Enclosed_Process_Volume),(88020000000*AI478/AI488)/(Enclosed_Ventilation_Rate*Enclosed_Process_Volume+88020*AI478/AI488),24450000*AI451/(AI488*Enclosed_Process_Volume)),AI711)</f>
        <v>0</v>
      </c>
      <c r="AJ712" s="81"/>
      <c r="AK712" s="81"/>
      <c r="AL712" s="81"/>
      <c r="AM712" s="81"/>
      <c r="AN712" s="81"/>
      <c r="AO712" s="81"/>
      <c r="AP712" s="81"/>
      <c r="AQ712" s="85" t="s">
        <v>1506</v>
      </c>
      <c r="AR712" s="81"/>
    </row>
    <row r="713" spans="1:44" ht="15" customHeight="1" x14ac:dyDescent="0.25">
      <c r="A713" s="2"/>
      <c r="B713" s="23" t="s">
        <v>698</v>
      </c>
      <c r="C713" s="83"/>
      <c r="D713" s="1181">
        <f>IF(AND(D701="Yes",D712&gt;0),IF(VCE_BST_Coeff/D712^VCE_BST_Exp&lt;VCE_BST_Limit,14.7*VCE_BST_Coeff/D712^VCE_BST_Exp,14.7*VCE_BST_Limit),0)</f>
        <v>0</v>
      </c>
      <c r="E713" s="83"/>
      <c r="F713" s="1181">
        <f>IF(AND(F701="Yes",F712&gt;0),IF(VCE_BST_Coeff/F712^VCE_BST_Exp&lt;VCE_BST_Limit,14.7*VCE_BST_Coeff/F712^VCE_BST_Exp,14.7*VCE_BST_Limit),0)</f>
        <v>0</v>
      </c>
      <c r="G713" s="83"/>
      <c r="H713" s="1181">
        <f>IF(AND(H701="Yes",H712&gt;0),IF(VCE_BST_Coeff/H712^VCE_BST_Exp&lt;VCE_BST_Limit,14.7*VCE_BST_Coeff/H712^VCE_BST_Exp,14.7*VCE_BST_Limit),0)</f>
        <v>0</v>
      </c>
      <c r="I713" s="83"/>
      <c r="J713" s="1181">
        <f>IF(AND(J701="Yes",J712&gt;0),IF(VCE_BST_Coeff/J712^VCE_BST_Exp&lt;VCE_BST_Limit,14.7*VCE_BST_Coeff/J712^VCE_BST_Exp,14.7*VCE_BST_Limit),0)</f>
        <v>0</v>
      </c>
      <c r="K713" s="83"/>
      <c r="L713" s="1181">
        <f>IF(AND(L701="Yes",L712&gt;0),IF(VCE_BST_Coeff/L712^VCE_BST_Exp&lt;VCE_BST_Limit,14.7*VCE_BST_Coeff/L712^VCE_BST_Exp,14.7*VCE_BST_Limit),0)</f>
        <v>0</v>
      </c>
      <c r="M713" s="83"/>
      <c r="N713" s="1181">
        <f>IF(AND(N701="Yes",N712&gt;0),IF(VCE_BST_Coeff/N712^VCE_BST_Exp&lt;VCE_BST_Limit,14.7*VCE_BST_Coeff/N712^VCE_BST_Exp,14.7*VCE_BST_Limit),0)</f>
        <v>0</v>
      </c>
      <c r="O713" s="83"/>
      <c r="P713" s="1181">
        <f>IF(AND(P701="Yes",P712&gt;0),IF(VCE_BST_Coeff/P712^VCE_BST_Exp&lt;VCE_BST_Limit,14.7*VCE_BST_Coeff/P712^VCE_BST_Exp,14.7*VCE_BST_Limit),0)</f>
        <v>0</v>
      </c>
      <c r="Q713" s="83"/>
      <c r="R713" s="1181">
        <f>IF(AND(R701="Yes",R712&gt;0),IF(VCE_BST_Coeff/R712^VCE_BST_Exp&lt;VCE_BST_Limit,14.7*VCE_BST_Coeff/R712^VCE_BST_Exp,14.7*VCE_BST_Limit),0)</f>
        <v>0</v>
      </c>
      <c r="S713" s="83"/>
      <c r="T713" s="1181">
        <f>IF(AND(T701="Yes",T712&gt;0),IF(VCE_BST_Coeff/T712^VCE_BST_Exp&lt;VCE_BST_Limit,14.7*VCE_BST_Coeff/T712^VCE_BST_Exp,14.7*VCE_BST_Limit),0)</f>
        <v>0</v>
      </c>
      <c r="U713" s="83"/>
      <c r="V713" s="1181">
        <f>IF(AND(V701="Yes",V712&gt;0),IF(VCE_BST_Coeff/V712^VCE_BST_Exp&lt;VCE_BST_Limit,14.7*VCE_BST_Coeff/V712^VCE_BST_Exp,14.7*VCE_BST_Limit),0)</f>
        <v>0</v>
      </c>
      <c r="W713" s="83"/>
      <c r="X713" s="1181">
        <f>IF(AND(X701="Yes",X712&gt;0),IF(VCE_BST_Coeff/X712^VCE_BST_Exp&lt;VCE_BST_Limit,14.7*VCE_BST_Coeff/X712^VCE_BST_Exp,14.7*VCE_BST_Limit),0)</f>
        <v>0</v>
      </c>
      <c r="Y713" s="83"/>
      <c r="Z713" s="85" t="s">
        <v>968</v>
      </c>
      <c r="AA713" s="2"/>
      <c r="AB713" s="81"/>
      <c r="AC713" s="85" t="s">
        <v>4717</v>
      </c>
      <c r="AD713" s="81"/>
      <c r="AE713" s="2103" t="str">
        <f>IF(AND(AE294="Indoors",AE478&gt;0,AE664&lt;&gt;""),IF(1-AE664*AE488/(88020000000*AE478/(Vent_Nat*Enclosed_Process_Volume+88020*AE478/AE488))&gt;0,-Max_Duration*Vent_Nat*LN(1-AE664*AE488/(88020000000*AE478/(Vent_Nat*Enclosed_Process_Volume+88020*AE478/AE488))),""),"")</f>
        <v/>
      </c>
      <c r="AF713" s="81"/>
      <c r="AG713" s="2103" t="str">
        <f>IF(AND(AG294="Indoors",AG478&gt;0,AG664&lt;&gt;""),IF(1-AG664*AG488/(88020000000*AG478/(Vent_Nat*Enclosed_Process_Volume+88020*AG478/AG488))&gt;0,-Max_Duration*Vent_Nat*LN(1-AG664*AG488/(88020000000*AG478/(Vent_Nat*Enclosed_Process_Volume+88020*AG478/AG488))),""),"")</f>
        <v/>
      </c>
      <c r="AH713" s="81"/>
      <c r="AI713" s="2103" t="str">
        <f>IF(AND(AI294="Indoors",AI478&gt;0,AI664&lt;&gt;""),IF(1-AI664*AI488/(88020000000*AI478/(Vent_Nat*Enclosed_Process_Volume+88020*AI478/AI488))&gt;0,-Max_Duration*Vent_Nat*LN(1-AI664*AI488/(88020000000*AI478/(Vent_Nat*Enclosed_Process_Volume+88020*AI478/AI488))),""),"")</f>
        <v/>
      </c>
      <c r="AJ713" s="81"/>
      <c r="AK713" s="81"/>
      <c r="AL713" s="81"/>
      <c r="AM713" s="81"/>
      <c r="AN713" s="81"/>
      <c r="AO713" s="81"/>
      <c r="AP713" s="81"/>
      <c r="AQ713" s="85"/>
      <c r="AR713" s="81"/>
    </row>
    <row r="714" spans="1:44" ht="15" customHeight="1" x14ac:dyDescent="0.25">
      <c r="A714" s="2"/>
      <c r="B714" s="23" t="s">
        <v>3026</v>
      </c>
      <c r="C714" s="83"/>
      <c r="D714" s="1181">
        <f>IF(AND(D705&gt;0,Occ_Bldg2_Cntr&gt;0),IF(Occ_Bldg2_Cntr&gt;1+LFL_Fract_VCE_Epicenter*D703,(Occ_Bldg2_Cntr-LFL_Fract_VCE_Epicenter*D703)/(2*D705*4.18/101.3)^0.333,1/(2*D705*4.18/101.3)^0.333),0)</f>
        <v>0</v>
      </c>
      <c r="E714" s="83"/>
      <c r="F714" s="1181">
        <f>IF(AND(F705&gt;0,Occ_Bldg2_Cntr&gt;0),IF(Occ_Bldg2_Cntr&gt;1+LFL_Fract_VCE_Epicenter*F703,(Occ_Bldg2_Cntr-LFL_Fract_VCE_Epicenter*F703)/(2*F705*4.18/101.3)^0.333,1/(2*F705*4.18/101.3)^0.333),0)</f>
        <v>0</v>
      </c>
      <c r="G714" s="83"/>
      <c r="H714" s="1181">
        <f>IF(AND(H705&gt;0,Occ_Bldg2_Cntr&gt;0),IF(Occ_Bldg2_Cntr&gt;1+LFL_Fract_VCE_Epicenter*H703,(Occ_Bldg2_Cntr-LFL_Fract_VCE_Epicenter*H703)/(2*H705*4.18/101.3)^0.333,1/(2*H705*4.18/101.3)^0.333),0)</f>
        <v>0</v>
      </c>
      <c r="I714" s="83"/>
      <c r="J714" s="1181">
        <f>IF(AND(J705&gt;0,Occ_Bldg2_Cntr&gt;0),IF(Occ_Bldg2_Cntr&gt;1+LFL_Fract_VCE_Epicenter*J703,(Occ_Bldg2_Cntr-LFL_Fract_VCE_Epicenter*J703)/(2*J705*4.18/101.3)^0.333,1/(2*J705*4.18/101.3)^0.333),0)</f>
        <v>0</v>
      </c>
      <c r="K714" s="83"/>
      <c r="L714" s="1181">
        <f>IF(AND(L705&gt;0,Occ_Bldg2_Cntr&gt;0),IF(Occ_Bldg2_Cntr&gt;1+LFL_Fract_VCE_Epicenter*L703,(Occ_Bldg2_Cntr-LFL_Fract_VCE_Epicenter*L703)/(2*L705*4.18/101.3)^0.333,1/(2*L705*4.18/101.3)^0.333),0)</f>
        <v>0</v>
      </c>
      <c r="M714" s="83"/>
      <c r="N714" s="1181">
        <f>IF(AND(N705&gt;0,Occ_Bldg2_Cntr&gt;0),IF(Occ_Bldg2_Cntr&gt;1+LFL_Fract_VCE_Epicenter*N703,(Occ_Bldg2_Cntr-LFL_Fract_VCE_Epicenter*N703)/(2*N705*4.18/101.3)^0.333,1/(2*N705*4.18/101.3)^0.333),0)</f>
        <v>0</v>
      </c>
      <c r="O714" s="83"/>
      <c r="P714" s="1181">
        <f>IF(AND(P705&gt;0,Occ_Bldg2_Cntr&gt;0),IF(Occ_Bldg2_Cntr&gt;1+LFL_Fract_VCE_Epicenter*P703,(Occ_Bldg2_Cntr-LFL_Fract_VCE_Epicenter*P703)/(2*P705*4.18/101.3)^0.333,1/(2*P705*4.18/101.3)^0.333),0)</f>
        <v>0</v>
      </c>
      <c r="Q714" s="83"/>
      <c r="R714" s="1181">
        <f>IF(AND(R705&gt;0,Occ_Bldg2_Cntr&gt;0),IF(Occ_Bldg2_Cntr&gt;1+LFL_Fract_VCE_Epicenter*R703,(Occ_Bldg2_Cntr-LFL_Fract_VCE_Epicenter*R703)/(2*R705*4.18/101.3)^0.333,1/(2*R705*4.18/101.3)^0.333),0)</f>
        <v>0</v>
      </c>
      <c r="S714" s="83"/>
      <c r="T714" s="1181">
        <f>IF(AND(T705&gt;0,Occ_Bldg2_Cntr&gt;0),IF(Occ_Bldg2_Cntr&gt;1+LFL_Fract_VCE_Epicenter*T703,(Occ_Bldg2_Cntr-LFL_Fract_VCE_Epicenter*T703)/(2*T705*4.18/101.3)^0.333,1/(2*T705*4.18/101.3)^0.333),0)</f>
        <v>0</v>
      </c>
      <c r="U714" s="83"/>
      <c r="V714" s="1181">
        <f>IF(AND(V705&gt;0,Occ_Bldg2_Cntr&gt;0),IF(Occ_Bldg2_Cntr&gt;1+LFL_Fract_VCE_Epicenter*V703,(Occ_Bldg2_Cntr-LFL_Fract_VCE_Epicenter*V703)/(2*V705*4.18/101.3)^0.333,1/(2*V705*4.18/101.3)^0.333),0)</f>
        <v>0</v>
      </c>
      <c r="W714" s="83"/>
      <c r="X714" s="1181">
        <f>IF(AND(X705&gt;0,Occ_Bldg2_Cntr&gt;0),IF(Occ_Bldg2_Cntr&gt;1+LFL_Fract_VCE_Epicenter*X703,(Occ_Bldg2_Cntr-LFL_Fract_VCE_Epicenter*X703)/(2*X705*4.18/101.3)^0.333,1/(2*X705*4.18/101.3)^0.333),0)</f>
        <v>0</v>
      </c>
      <c r="Y714" s="83"/>
      <c r="Z714" s="85"/>
      <c r="AA714" s="2"/>
      <c r="AB714" s="81"/>
      <c r="AC714" s="85" t="s">
        <v>4714</v>
      </c>
      <c r="AD714" s="81"/>
      <c r="AE714" s="2103" t="str">
        <f>IF(AND(AE294="Indoors",AE478&gt;0,AE664&lt;&gt;""),IF(1-AE664*AE488/(88020000000*AE478/(MAX(Vent_Nat,Enclosed_Ventilation_Rate)*Enclosed_Process_Volume+88020*AE478/AE488))&gt;0,-Max_Duration*MAX(Vent_Nat,Enclosed_Ventilation_Rate)*LN(1-AE664*AE488/(88020000000*AE478/(MAX(Vent_Nat,Enclosed_Ventilation_Rate)*Enclosed_Process_Volume+88020*AE478/AE488))),""),"")</f>
        <v/>
      </c>
      <c r="AF714" s="81"/>
      <c r="AG714" s="2103" t="str">
        <f>IF(AND(AG294="Indoors",AG478&gt;0,AG664&lt;&gt;""),IF(1-AG664*AG488/(88020000000*AG478/(MAX(Vent_Nat,Enclosed_Ventilation_Rate)*Enclosed_Process_Volume+88020*AG478/AG488))&gt;0,-Max_Duration*MAX(Vent_Nat,Enclosed_Ventilation_Rate)*LN(1-AG664*AG488/(88020000000*AG478/(MAX(Vent_Nat,Enclosed_Ventilation_Rate)*Enclosed_Process_Volume+88020*AG478/AG488))),""),"")</f>
        <v/>
      </c>
      <c r="AH714" s="81"/>
      <c r="AI714" s="2103" t="str">
        <f>IF(AND(AI294="Indoors",AI478&gt;0,AI664&lt;&gt;""),IF(1-AI664*AI488/(88020000000*AI478/(MAX(Vent_Nat,Enclosed_Ventilation_Rate)*Enclosed_Process_Volume+88020*AI478/AI488))&gt;0,-Max_Duration*MAX(Vent_Nat,Enclosed_Ventilation_Rate)*LN(1-AI664*AI488/(88020000000*AI478/(MAX(Vent_Nat,Enclosed_Ventilation_Rate)*Enclosed_Process_Volume+88020*AI478/AI488))),""),"")</f>
        <v/>
      </c>
      <c r="AJ714" s="81"/>
      <c r="AK714" s="81"/>
      <c r="AL714" s="81"/>
      <c r="AM714" s="81"/>
      <c r="AN714" s="81"/>
      <c r="AO714" s="81"/>
      <c r="AP714" s="81"/>
      <c r="AQ714" s="85"/>
      <c r="AR714" s="81"/>
    </row>
    <row r="715" spans="1:44" ht="15" customHeight="1" x14ac:dyDescent="0.25">
      <c r="A715" s="2"/>
      <c r="B715" s="23" t="s">
        <v>2936</v>
      </c>
      <c r="C715" s="83"/>
      <c r="D715" s="1181">
        <f>IF(AND(D701="Yes",D714&gt;0),IF(VCE_BST_Coeff/D714^VCE_BST_Exp&lt;VCE_BST_Limit,14.7*VCE_BST_Coeff/D714^VCE_BST_Exp,14.7*VCE_BST_Limit),D717)</f>
        <v>0</v>
      </c>
      <c r="E715" s="83"/>
      <c r="F715" s="1181">
        <f>IF(AND(F701="Yes",F714&gt;0),IF(VCE_BST_Coeff/F714^VCE_BST_Exp&lt;VCE_BST_Limit,14.7*VCE_BST_Coeff/F714^VCE_BST_Exp,14.7*VCE_BST_Limit),F717)</f>
        <v>0</v>
      </c>
      <c r="G715" s="83"/>
      <c r="H715" s="1181">
        <f>IF(AND(H701="Yes",H714&gt;0),IF(VCE_BST_Coeff/H714^VCE_BST_Exp&lt;VCE_BST_Limit,14.7*VCE_BST_Coeff/H714^VCE_BST_Exp,14.7*VCE_BST_Limit),H717)</f>
        <v>0</v>
      </c>
      <c r="I715" s="83"/>
      <c r="J715" s="1181">
        <f>IF(AND(J701="Yes",J714&gt;0),IF(VCE_BST_Coeff/J714^VCE_BST_Exp&lt;VCE_BST_Limit,14.7*VCE_BST_Coeff/J714^VCE_BST_Exp,14.7*VCE_BST_Limit),J717)</f>
        <v>0</v>
      </c>
      <c r="K715" s="83"/>
      <c r="L715" s="1181">
        <f>IF(AND(L701="Yes",L714&gt;0),IF(VCE_BST_Coeff/L714^VCE_BST_Exp&lt;VCE_BST_Limit,14.7*VCE_BST_Coeff/L714^VCE_BST_Exp,14.7*VCE_BST_Limit),L717)</f>
        <v>0</v>
      </c>
      <c r="M715" s="83"/>
      <c r="N715" s="1181">
        <f>IF(AND(N701="Yes",N714&gt;0),IF(VCE_BST_Coeff/N714^VCE_BST_Exp&lt;VCE_BST_Limit,14.7*VCE_BST_Coeff/N714^VCE_BST_Exp,14.7*VCE_BST_Limit),N717)</f>
        <v>0</v>
      </c>
      <c r="O715" s="83"/>
      <c r="P715" s="1181">
        <f>IF(AND(P701="Yes",P714&gt;0),IF(VCE_BST_Coeff/P714^VCE_BST_Exp&lt;VCE_BST_Limit,14.7*VCE_BST_Coeff/P714^VCE_BST_Exp,14.7*VCE_BST_Limit),P717)</f>
        <v>0</v>
      </c>
      <c r="Q715" s="83"/>
      <c r="R715" s="1181">
        <f>IF(AND(R701="Yes",R714&gt;0),IF(VCE_BST_Coeff/R714^VCE_BST_Exp&lt;VCE_BST_Limit,14.7*VCE_BST_Coeff/R714^VCE_BST_Exp,14.7*VCE_BST_Limit),R717)</f>
        <v>0</v>
      </c>
      <c r="S715" s="83"/>
      <c r="T715" s="1181">
        <f>IF(AND(T701="Yes",T714&gt;0),IF(VCE_BST_Coeff/T714^VCE_BST_Exp&lt;VCE_BST_Limit,14.7*VCE_BST_Coeff/T714^VCE_BST_Exp,14.7*VCE_BST_Limit),T717)</f>
        <v>0</v>
      </c>
      <c r="U715" s="83"/>
      <c r="V715" s="1181">
        <f>IF(AND(V701="Yes",V714&gt;0),IF(VCE_BST_Coeff/V714^VCE_BST_Exp&lt;VCE_BST_Limit,14.7*VCE_BST_Coeff/V714^VCE_BST_Exp,14.7*VCE_BST_Limit),V717)</f>
        <v>0</v>
      </c>
      <c r="W715" s="83"/>
      <c r="X715" s="1181">
        <f>IF(AND(X701="Yes",X714&gt;0),IF(VCE_BST_Coeff/X714^VCE_BST_Exp&lt;VCE_BST_Limit,14.7*VCE_BST_Coeff/X714^VCE_BST_Exp,14.7*VCE_BST_Limit),X717)</f>
        <v>0</v>
      </c>
      <c r="Y715" s="83"/>
      <c r="Z715" s="85" t="s">
        <v>968</v>
      </c>
      <c r="AA715" s="2"/>
      <c r="AB715" s="81"/>
      <c r="AC715" s="85" t="s">
        <v>4498</v>
      </c>
      <c r="AD715" s="81"/>
      <c r="AE715" s="1183" t="str">
        <f>IF(AND(AE711&gt;1,AE711&gt;AE636),"Yes","No")</f>
        <v>No</v>
      </c>
      <c r="AF715" s="81"/>
      <c r="AG715" s="1183" t="str">
        <f>IF(AND(AG711&gt;1,AG711&gt;AG636),"Yes","No")</f>
        <v>No</v>
      </c>
      <c r="AH715" s="81"/>
      <c r="AI715" s="1183" t="str">
        <f>IF(AND(AI711&gt;1,AI711&gt;AI636),"Yes","No")</f>
        <v>No</v>
      </c>
      <c r="AJ715" s="81"/>
      <c r="AK715" s="81"/>
      <c r="AL715" s="81"/>
      <c r="AM715" s="81"/>
      <c r="AN715" s="81"/>
      <c r="AO715" s="81"/>
      <c r="AP715" s="81"/>
      <c r="AQ715" s="85" t="s">
        <v>1068</v>
      </c>
      <c r="AR715" s="81"/>
    </row>
    <row r="716" spans="1:44" ht="15" customHeight="1" thickBot="1" x14ac:dyDescent="0.3">
      <c r="A716" s="2"/>
      <c r="B716" s="23" t="s">
        <v>3027</v>
      </c>
      <c r="C716" s="83"/>
      <c r="D716" s="1181">
        <f>IF(AND(D705&gt;0,Occ_Bldg2&gt;0),IF(Occ_Bldg2&gt;1+LFL_Fract_VCE_Epicenter*D703,(Occ_Bldg2-LFL_Fract_VCE_Epicenter*D703)/(2*D705*4.18/101.3)^0.333,1/(2*D705*4.18/101.3)^0.333),0)</f>
        <v>0</v>
      </c>
      <c r="E716" s="83"/>
      <c r="F716" s="1181">
        <f>IF(AND(F705&gt;0,Occ_Bldg2&gt;0),IF(Occ_Bldg2&gt;1+LFL_Fract_VCE_Epicenter*F703,(Occ_Bldg2-LFL_Fract_VCE_Epicenter*F703)/(2*F705*4.18/101.3)^0.333,1/(2*F705*4.18/101.3)^0.333),0)</f>
        <v>0</v>
      </c>
      <c r="G716" s="83"/>
      <c r="H716" s="1181">
        <f>IF(AND(H705&gt;0,Occ_Bldg2&gt;0),IF(Occ_Bldg2&gt;1+LFL_Fract_VCE_Epicenter*H703,(Occ_Bldg2-LFL_Fract_VCE_Epicenter*H703)/(2*H705*4.18/101.3)^0.333,1/(2*H705*4.18/101.3)^0.333),0)</f>
        <v>0</v>
      </c>
      <c r="I716" s="83"/>
      <c r="J716" s="1181">
        <f>IF(AND(J705&gt;0,Occ_Bldg2&gt;0),IF(Occ_Bldg2&gt;1+LFL_Fract_VCE_Epicenter*J703,(Occ_Bldg2-LFL_Fract_VCE_Epicenter*J703)/(2*J705*4.18/101.3)^0.333,1/(2*J705*4.18/101.3)^0.333),0)</f>
        <v>0</v>
      </c>
      <c r="K716" s="83"/>
      <c r="L716" s="1181">
        <f>IF(AND(L705&gt;0,Occ_Bldg2&gt;0),IF(Occ_Bldg2&gt;1+LFL_Fract_VCE_Epicenter*L703,(Occ_Bldg2-LFL_Fract_VCE_Epicenter*L703)/(2*L705*4.18/101.3)^0.333,1/(2*L705*4.18/101.3)^0.333),0)</f>
        <v>0</v>
      </c>
      <c r="M716" s="83"/>
      <c r="N716" s="1181">
        <f>IF(AND(N705&gt;0,Occ_Bldg2&gt;0),IF(Occ_Bldg2&gt;1+LFL_Fract_VCE_Epicenter*N703,(Occ_Bldg2-LFL_Fract_VCE_Epicenter*N703)/(2*N705*4.18/101.3)^0.333,1/(2*N705*4.18/101.3)^0.333),0)</f>
        <v>0</v>
      </c>
      <c r="O716" s="83"/>
      <c r="P716" s="1181">
        <f>IF(AND(P705&gt;0,Occ_Bldg2&gt;0),IF(Occ_Bldg2&gt;1+LFL_Fract_VCE_Epicenter*P703,(Occ_Bldg2-LFL_Fract_VCE_Epicenter*P703)/(2*P705*4.18/101.3)^0.333,1/(2*P705*4.18/101.3)^0.333),0)</f>
        <v>0</v>
      </c>
      <c r="Q716" s="83"/>
      <c r="R716" s="1181">
        <f>IF(AND(R705&gt;0,Occ_Bldg2&gt;0),IF(Occ_Bldg2&gt;1+LFL_Fract_VCE_Epicenter*R703,(Occ_Bldg2-LFL_Fract_VCE_Epicenter*R703)/(2*R705*4.18/101.3)^0.333,1/(2*R705*4.18/101.3)^0.333),0)</f>
        <v>0</v>
      </c>
      <c r="S716" s="83"/>
      <c r="T716" s="1181">
        <f>IF(AND(T705&gt;0,Occ_Bldg2&gt;0),IF(Occ_Bldg2&gt;1+LFL_Fract_VCE_Epicenter*T703,(Occ_Bldg2-LFL_Fract_VCE_Epicenter*T703)/(2*T705*4.18/101.3)^0.333,1/(2*T705*4.18/101.3)^0.333),0)</f>
        <v>0</v>
      </c>
      <c r="U716" s="83"/>
      <c r="V716" s="1181">
        <f>IF(AND(V705&gt;0,Occ_Bldg2&gt;0),IF(Occ_Bldg2&gt;1+LFL_Fract_VCE_Epicenter*V703,(Occ_Bldg2-LFL_Fract_VCE_Epicenter*V703)/(2*V705*4.18/101.3)^0.333,1/(2*V705*4.18/101.3)^0.333),0)</f>
        <v>0</v>
      </c>
      <c r="W716" s="83"/>
      <c r="X716" s="1181">
        <f>IF(AND(X705&gt;0,Occ_Bldg2&gt;0),IF(Occ_Bldg2&gt;1+LFL_Fract_VCE_Epicenter*X703,(Occ_Bldg2-LFL_Fract_VCE_Epicenter*X703)/(2*X705*4.18/101.3)^0.333,1/(2*X705*4.18/101.3)^0.333),0)</f>
        <v>0</v>
      </c>
      <c r="Y716" s="83"/>
      <c r="Z716" s="85"/>
      <c r="AA716" s="2"/>
      <c r="AB716" s="81"/>
      <c r="AC716" s="25" t="s">
        <v>1433</v>
      </c>
      <c r="AD716" s="81"/>
      <c r="AE716" s="3010" t="str">
        <f>IF(AE488&gt;0,IF(AE711&gt;1000000*(0.21-Asp_Screen)/0.21,"Yes","No"),"No")</f>
        <v>No</v>
      </c>
      <c r="AF716" s="81"/>
      <c r="AG716" s="3010" t="str">
        <f>IF(AG488&gt;0,IF(AG711&gt;1000000*(0.21-Asp_Screen)/0.21,"Yes","No"),"No")</f>
        <v>No</v>
      </c>
      <c r="AH716" s="81"/>
      <c r="AI716" s="3010" t="str">
        <f>IF(AI488&gt;0,IF(AI711&gt;1000000*(0.21-Asp_Screen)/0.21,"Yes","No"),"No")</f>
        <v>No</v>
      </c>
      <c r="AJ716" s="81"/>
      <c r="AK716" s="81"/>
      <c r="AL716" s="81"/>
      <c r="AM716" s="81"/>
      <c r="AN716" s="81"/>
      <c r="AO716" s="81"/>
      <c r="AP716" s="81"/>
      <c r="AQ716" s="25"/>
      <c r="AR716" s="81"/>
    </row>
    <row r="717" spans="1:44" ht="15" customHeight="1" x14ac:dyDescent="0.25">
      <c r="A717" s="2"/>
      <c r="B717" s="23" t="s">
        <v>628</v>
      </c>
      <c r="C717" s="83"/>
      <c r="D717" s="1181">
        <f>IF(AND(D701="Yes",D716&gt;0),IF(VCE_BST_Coeff/D716^VCE_BST_Exp&lt;VCE_BST_Limit,14.7*VCE_BST_Coeff/D716^VCE_BST_Exp,14.7*VCE_BST_Limit),0)</f>
        <v>0</v>
      </c>
      <c r="E717" s="83"/>
      <c r="F717" s="1181">
        <f>IF(AND(F701="Yes",F716&gt;0),IF(VCE_BST_Coeff/F716^VCE_BST_Exp&lt;VCE_BST_Limit,14.7*VCE_BST_Coeff/F716^VCE_BST_Exp,14.7*VCE_BST_Limit),0)</f>
        <v>0</v>
      </c>
      <c r="G717" s="83"/>
      <c r="H717" s="1181">
        <f>IF(AND(H701="Yes",H716&gt;0),IF(VCE_BST_Coeff/H716^VCE_BST_Exp&lt;VCE_BST_Limit,14.7*VCE_BST_Coeff/H716^VCE_BST_Exp,14.7*VCE_BST_Limit),0)</f>
        <v>0</v>
      </c>
      <c r="I717" s="83"/>
      <c r="J717" s="1181">
        <f>IF(AND(J701="Yes",J716&gt;0),IF(VCE_BST_Coeff/J716^VCE_BST_Exp&lt;VCE_BST_Limit,14.7*VCE_BST_Coeff/J716^VCE_BST_Exp,14.7*VCE_BST_Limit),0)</f>
        <v>0</v>
      </c>
      <c r="K717" s="83"/>
      <c r="L717" s="1181">
        <f>IF(AND(L701="Yes",L716&gt;0),IF(VCE_BST_Coeff/L716^VCE_BST_Exp&lt;VCE_BST_Limit,14.7*VCE_BST_Coeff/L716^VCE_BST_Exp,14.7*VCE_BST_Limit),0)</f>
        <v>0</v>
      </c>
      <c r="M717" s="83"/>
      <c r="N717" s="1181">
        <f>IF(AND(N701="Yes",N716&gt;0),IF(VCE_BST_Coeff/N716^VCE_BST_Exp&lt;VCE_BST_Limit,14.7*VCE_BST_Coeff/N716^VCE_BST_Exp,14.7*VCE_BST_Limit),0)</f>
        <v>0</v>
      </c>
      <c r="O717" s="83"/>
      <c r="P717" s="1181">
        <f>IF(AND(P701="Yes",P716&gt;0),IF(VCE_BST_Coeff/P716^VCE_BST_Exp&lt;VCE_BST_Limit,14.7*VCE_BST_Coeff/P716^VCE_BST_Exp,14.7*VCE_BST_Limit),0)</f>
        <v>0</v>
      </c>
      <c r="Q717" s="83"/>
      <c r="R717" s="1181">
        <f>IF(AND(R701="Yes",R716&gt;0),IF(VCE_BST_Coeff/R716^VCE_BST_Exp&lt;VCE_BST_Limit,14.7*VCE_BST_Coeff/R716^VCE_BST_Exp,14.7*VCE_BST_Limit),0)</f>
        <v>0</v>
      </c>
      <c r="S717" s="83"/>
      <c r="T717" s="1181">
        <f>IF(AND(T701="Yes",T716&gt;0),IF(VCE_BST_Coeff/T716^VCE_BST_Exp&lt;VCE_BST_Limit,14.7*VCE_BST_Coeff/T716^VCE_BST_Exp,14.7*VCE_BST_Limit),0)</f>
        <v>0</v>
      </c>
      <c r="U717" s="83"/>
      <c r="V717" s="1181">
        <f>IF(AND(V701="Yes",V716&gt;0),IF(VCE_BST_Coeff/V716^VCE_BST_Exp&lt;VCE_BST_Limit,14.7*VCE_BST_Coeff/V716^VCE_BST_Exp,14.7*VCE_BST_Limit),0)</f>
        <v>0</v>
      </c>
      <c r="W717" s="83"/>
      <c r="X717" s="1181">
        <f>IF(AND(X701="Yes",X716&gt;0),IF(VCE_BST_Coeff/X716^VCE_BST_Exp&lt;VCE_BST_Limit,14.7*VCE_BST_Coeff/X716^VCE_BST_Exp,14.7*VCE_BST_Limit),0)</f>
        <v>0</v>
      </c>
      <c r="Y717" s="83"/>
      <c r="Z717" s="85" t="s">
        <v>968</v>
      </c>
      <c r="AA717" s="2"/>
      <c r="AB717" s="81"/>
      <c r="AC717" s="1691" t="s">
        <v>2217</v>
      </c>
      <c r="AD717" s="81"/>
      <c r="AE717" s="2126">
        <f>IF(OR(Flammable_Potential&lt;&gt;"Yes",AE657="",AE450=0),0,IF(OR(Ease_of_Ignition_Feed="High",Aerosol_Potential="Yes"),MAX(Spray_Distance,IF(AE559="Instantaneous",AE$556*((AE470/AE488)*(IF(AE534&gt;AE657/100,AvgTime_Correction,1)*400/AE657))^AE$557-AE$558,AE$530*(AE479*(IF(AE509&gt;AE657/100,AvgTime_Correction,1)*400/AE657)/(AE488*Wind))^AE$531)),MAX(1,IF(AE559="Instantaneous",AE$556*((AE470/AE488)*(IF(AE534&gt;AE657/100,AvgTime_Correction,1)*400/AE657))^AE$557-AE$558,AE$530*(AE479*(IF(AE509&gt;AE657/100,AvgTime_Correction,1)*400/AE657)/(F474*Wind))^AE$531-AE$532))))</f>
        <v>0</v>
      </c>
      <c r="AF717" s="81"/>
      <c r="AG717" s="2126">
        <f>IF(OR(Flammable_Potential&lt;&gt;"Yes",AG657="",AG4778=0,AG450=0),0,IF(OR(Ease_of_Ignition_Feed="High",Aerosol_Potential="Yes"),MAX(Spray_Distance,IF(AG559="Instantaneous",AG$556*((AG470/AG488)*(IF(AG534&gt;AG657/100,AvgTime_Correction,1)*400/AG657))^AG$557-AG$558,AG$530*(AG479*(IF(AG509&gt;AG657/100,AvgTime_Correction,1)*400/AG657)/(AG488*Wind))^AG$531)),MAX(1,IF(AG559="Instantaneous",AG$556*((AG470/AG488)*(IF(AG534&gt;AG657/100,AvgTime_Correction,1)*400/AG657))^AG$557-AG$558,AG$530*(AG479*(IF(AG509&gt;AG657/100,AvgTime_Correction,1)*400/AG657)/(H474*Wind))^AG$531-AG$532))))</f>
        <v>0</v>
      </c>
      <c r="AH717" s="81"/>
      <c r="AI717" s="2126">
        <f>IF(OR(Flammable_Potential&lt;&gt;"Yes",AI657="",AI450=0),0,IF(OR(Ease_of_Ignition_Feed="High",Aerosol_Potential="Yes"),MAX(Spray_Distance,IF(AI559="Instantaneous",AI$556*((AI470/AI488)*(IF(AI534&gt;AI657/100,AvgTime_Correction,1)*400/AI657))^AI$557-AI$558,AI$530*(AI479*(IF(AI509&gt;AI657/100,AvgTime_Correction,1)*400/AI657)/(AI488*Wind))^AI$531)),MAX(1,IF(AI559="Instantaneous",AI$556*((AI470/AI488)*(IF(AI534&gt;AI657/100,AvgTime_Correction,1)*400/AI657))^AI$557-AI$558,AI$530*(AI479*(IF(AI509&gt;AI657/100,AvgTime_Correction,1)*400/AI657)/(J474*Wind))^AI$531-AI$532))))</f>
        <v>0</v>
      </c>
      <c r="AJ717" s="81"/>
      <c r="AK717" s="81"/>
      <c r="AL717" s="81"/>
      <c r="AM717" s="81"/>
      <c r="AN717" s="81"/>
      <c r="AO717" s="81"/>
      <c r="AP717" s="81"/>
      <c r="AQ717" s="92" t="s">
        <v>1068</v>
      </c>
      <c r="AR717" s="81"/>
    </row>
    <row r="718" spans="1:44" ht="15" customHeight="1" thickBot="1" x14ac:dyDescent="0.3">
      <c r="A718" s="2"/>
      <c r="B718" s="25" t="s">
        <v>1863</v>
      </c>
      <c r="C718" s="83"/>
      <c r="D718" s="1184" t="str">
        <f>IF(OR(D713&gt;Bldg_Type_Correction,D717&gt;Bldg2_Type_Correction),"Yes","No")</f>
        <v>No</v>
      </c>
      <c r="E718" s="83"/>
      <c r="F718" s="1184" t="str">
        <f>IF(OR(F713&gt;Bldg_Type_Correction,F717&gt;Bldg2_Type_Correction),"Yes","No")</f>
        <v>No</v>
      </c>
      <c r="G718" s="83"/>
      <c r="H718" s="1184" t="str">
        <f>IF(OR(H713&gt;Bldg_Type_Correction,H717&gt;Bldg2_Type_Correction),"Yes","No")</f>
        <v>No</v>
      </c>
      <c r="I718" s="83"/>
      <c r="J718" s="1184" t="str">
        <f>IF(OR(J713&gt;Bldg_Type_Correction,J717&gt;Bldg2_Type_Correction),"Yes","No")</f>
        <v>No</v>
      </c>
      <c r="K718" s="83"/>
      <c r="L718" s="1184" t="str">
        <f>IF(OR(L713&gt;Bldg_Type_Correction,L717&gt;Bldg2_Type_Correction),"Yes","No")</f>
        <v>No</v>
      </c>
      <c r="M718" s="83"/>
      <c r="N718" s="1184" t="str">
        <f>IF(OR(N713&gt;Bldg_Type_Correction,N717&gt;Bldg2_Type_Correction),"Yes","No")</f>
        <v>No</v>
      </c>
      <c r="O718" s="83"/>
      <c r="P718" s="1184" t="str">
        <f>IF(OR(P713&gt;Bldg_Type_Correction,P717&gt;Bldg2_Type_Correction),"Yes","No")</f>
        <v>No</v>
      </c>
      <c r="Q718" s="83"/>
      <c r="R718" s="1184" t="str">
        <f>IF(OR(R713&gt;Bldg_Type_Correction,R717&gt;Bldg2_Type_Correction),"Yes","No")</f>
        <v>No</v>
      </c>
      <c r="S718" s="83"/>
      <c r="T718" s="1184" t="str">
        <f>IF(OR(T713&gt;Bldg_Type_Correction,T717&gt;Bldg2_Type_Correction),"Yes","No")</f>
        <v>No</v>
      </c>
      <c r="U718" s="83"/>
      <c r="V718" s="1184" t="str">
        <f>IF(OR(V713&gt;Bldg_Type_Correction,V717&gt;Bldg2_Type_Correction),"Yes","No")</f>
        <v>No</v>
      </c>
      <c r="W718" s="83"/>
      <c r="X718" s="1184" t="str">
        <f>IF(OR(X713&gt;Bldg_Type_Correction,X717&gt;Bldg2_Type_Correction),"Yes","No")</f>
        <v>No</v>
      </c>
      <c r="Y718" s="83"/>
      <c r="Z718" s="1830"/>
      <c r="AA718" s="2"/>
      <c r="AB718" s="81"/>
      <c r="AC718" s="848" t="s">
        <v>4679</v>
      </c>
      <c r="AD718" s="81"/>
      <c r="AE718" s="1183" t="str">
        <f>IF(OR(Flash_Pt_Feed="",AE451=0,AE657=""),"No",IF(OR(AND(Flash_Pt_Feed&gt;38,T&lt;(Flash_Pt_Feed-5)),Location&lt;&gt;"Indoors"),"No",IF(OR(AE711&gt;LFL_Limit*10000*AE657,AE712&gt;10000*AE657),"Yes","No")))</f>
        <v>No</v>
      </c>
      <c r="AF718" s="81"/>
      <c r="AG718" s="1183" t="str">
        <f>IF(OR(Flash_Pt_Feed="",AG451=0,AG657=""),"No",IF(OR(AND(Flash_Pt_Feed&gt;38,T&lt;(Flash_Pt_Feed-5)),Location&lt;&gt;"Indoors"),"No",IF(OR(AG711&gt;LFL_Limit*10000*AG657,AG712&gt;10000*AG657),"Yes","No")))</f>
        <v>No</v>
      </c>
      <c r="AH718" s="81"/>
      <c r="AI718" s="1183" t="str">
        <f>IF(OR(Flash_Pt_Feed="",AI451=0,AI657=""),"No",IF(OR(AND(Flash_Pt_Feed&gt;38,T&lt;(Flash_Pt_Feed-5)),Location&lt;&gt;"Indoors"),"No",IF(OR(AI711&gt;LFL_Limit*10000*AI657,AI712&gt;10000*AI657),"Yes","No")))</f>
        <v>No</v>
      </c>
      <c r="AJ718" s="81"/>
      <c r="AK718" s="81"/>
      <c r="AL718" s="81"/>
      <c r="AM718" s="81"/>
      <c r="AN718" s="81"/>
      <c r="AO718" s="81"/>
      <c r="AP718" s="81"/>
      <c r="AQ718" s="85"/>
      <c r="AR718" s="81"/>
    </row>
    <row r="719" spans="1:44" ht="15" customHeight="1" thickBot="1" x14ac:dyDescent="0.3">
      <c r="A719" s="2"/>
      <c r="B719" s="2"/>
      <c r="C719" s="83"/>
      <c r="D719" s="2"/>
      <c r="E719" s="83"/>
      <c r="F719" s="2"/>
      <c r="G719" s="83"/>
      <c r="H719" s="2"/>
      <c r="I719" s="83"/>
      <c r="J719" s="2"/>
      <c r="K719" s="83"/>
      <c r="L719" s="2"/>
      <c r="M719" s="83"/>
      <c r="N719" s="2"/>
      <c r="O719" s="83"/>
      <c r="P719" s="2"/>
      <c r="Q719" s="83"/>
      <c r="R719" s="2"/>
      <c r="S719" s="83"/>
      <c r="T719" s="2"/>
      <c r="U719" s="83"/>
      <c r="V719" s="2"/>
      <c r="W719" s="83"/>
      <c r="X719" s="2"/>
      <c r="Y719" s="83"/>
      <c r="Z719" s="857"/>
      <c r="AA719" s="2"/>
      <c r="AB719" s="81"/>
      <c r="AC719" s="512" t="s">
        <v>165</v>
      </c>
      <c r="AD719" s="81"/>
      <c r="AE719" s="96">
        <f>IF(AE718="No",0,Bldg_Explosion_Energy)</f>
        <v>0</v>
      </c>
      <c r="AF719" s="81"/>
      <c r="AG719" s="96">
        <f>IF(AG718="No",0,Bldg_Explosion_Energy)</f>
        <v>0</v>
      </c>
      <c r="AH719" s="81"/>
      <c r="AI719" s="96">
        <f>IF(AI718="No",0,Bldg_Explosion_Energy)</f>
        <v>0</v>
      </c>
      <c r="AJ719" s="81"/>
      <c r="AK719" s="81"/>
      <c r="AL719" s="81"/>
      <c r="AM719" s="81"/>
      <c r="AN719" s="81"/>
      <c r="AO719" s="81"/>
      <c r="AP719" s="81"/>
      <c r="AQ719" s="85" t="s">
        <v>1761</v>
      </c>
      <c r="AR719" s="81"/>
    </row>
    <row r="720" spans="1:44" ht="15" customHeight="1" x14ac:dyDescent="0.25">
      <c r="A720" s="2"/>
      <c r="B720" s="1403" t="s">
        <v>610</v>
      </c>
      <c r="C720" s="83"/>
      <c r="D720" s="2"/>
      <c r="E720" s="83"/>
      <c r="F720" s="2"/>
      <c r="G720" s="83"/>
      <c r="H720" s="2"/>
      <c r="I720" s="83"/>
      <c r="J720" s="2"/>
      <c r="K720" s="83"/>
      <c r="L720" s="2"/>
      <c r="M720" s="83"/>
      <c r="N720" s="2"/>
      <c r="O720" s="83"/>
      <c r="P720" s="2"/>
      <c r="Q720" s="83"/>
      <c r="R720" s="2"/>
      <c r="S720" s="83"/>
      <c r="T720" s="2"/>
      <c r="U720" s="83"/>
      <c r="V720" s="2"/>
      <c r="W720" s="83"/>
      <c r="X720" s="2"/>
      <c r="Y720" s="83"/>
      <c r="Z720" s="857"/>
      <c r="AA720" s="2"/>
      <c r="AB720" s="81"/>
      <c r="AC720" s="512" t="s">
        <v>2703</v>
      </c>
      <c r="AD720" s="81"/>
      <c r="AE720" s="96" t="str">
        <f>IF(Flash_Pt_Feed="","",IF(OR(Ease_of_Ignition_Feed&lt;&gt;"High",Ease_of_Ignition_Feed&lt;&gt;"Elevated"),1,0))</f>
        <v/>
      </c>
      <c r="AF720" s="81"/>
      <c r="AG720" s="96" t="str">
        <f>IF(Flash_Pt_Feed="","",IF(OR(Ease_of_Ignition_Feed&lt;&gt;"High",Ease_of_Ignition_Feed&lt;&gt;"Elevated"),1,0))</f>
        <v/>
      </c>
      <c r="AH720" s="81"/>
      <c r="AI720" s="96" t="str">
        <f>IF(Flash_Pt_Feed="","",IF(OR(Ease_of_Ignition_Feed&lt;&gt;"High",Ease_of_Ignition_Feed&lt;&gt;"Elevated"),1,0))</f>
        <v/>
      </c>
      <c r="AJ720" s="81"/>
      <c r="AK720" s="81"/>
      <c r="AL720" s="81"/>
      <c r="AM720" s="81"/>
      <c r="AN720" s="81"/>
      <c r="AO720" s="81"/>
      <c r="AP720" s="81"/>
      <c r="AQ720" s="85" t="s">
        <v>968</v>
      </c>
      <c r="AR720" s="81"/>
    </row>
    <row r="721" spans="1:44" ht="15" customHeight="1" x14ac:dyDescent="0.25">
      <c r="A721" s="2"/>
      <c r="B721" s="85" t="s">
        <v>4222</v>
      </c>
      <c r="C721" s="83"/>
      <c r="D721" s="3024" t="str">
        <f>IF(OR(Regulatory_Tox="Yes",AND(ER3_Min&lt;=Toxic_Limit,D668="Yes")),IF(Conseq_Criteria="Hazard Distance",D745,D746),"NA")</f>
        <v>NA</v>
      </c>
      <c r="E721" s="83"/>
      <c r="F721" s="3024" t="str">
        <f>IF(OR(Regulatory_Tox="Yes",AND(ER3_Min&lt;=Toxic_Limit,F668="Yes")),IF(Conseq_Criteria="Hazard Distance",F745,F746),"NA")</f>
        <v>NA</v>
      </c>
      <c r="G721" s="83"/>
      <c r="H721" s="3024" t="str">
        <f>IF(OR(Regulatory_Tox="Yes",AND(ER3_Min&lt;=Toxic_Limit,H668="Yes")),IF(Conseq_Criteria="Hazard Distance",H745,H746),"NA")</f>
        <v>NA</v>
      </c>
      <c r="I721" s="83"/>
      <c r="J721" s="3024" t="str">
        <f>IF(OR(Regulatory_Tox="Yes",AND(ER3_Min&lt;=Toxic_Limit,J668="Yes")),IF(Conseq_Criteria="Hazard Distance",J745,J746),"NA")</f>
        <v>NA</v>
      </c>
      <c r="K721" s="83"/>
      <c r="L721" s="3024" t="str">
        <f>IF(OR(Regulatory_Tox="Yes",AND(ER3_Min&lt;=Toxic_Limit,L668="Yes")),IF(Conseq_Criteria="Hazard Distance",L745,L746),"NA")</f>
        <v>NA</v>
      </c>
      <c r="M721" s="83"/>
      <c r="N721" s="3024" t="str">
        <f>IF(OR(Regulatory_Tox="Yes",AND(ER3_Min&lt;=Toxic_Limit,N668="Yes")),IF(Conseq_Criteria="Hazard Distance",N745,N746),"NA")</f>
        <v>NA</v>
      </c>
      <c r="O721" s="83"/>
      <c r="P721" s="3024" t="str">
        <f>IF(OR(Regulatory_Tox="Yes",AND(ER3_Min&lt;=Toxic_Limit,P668="Yes")),IF(Conseq_Criteria="Hazard Distance",P745,P746),"NA")</f>
        <v>NA</v>
      </c>
      <c r="Q721" s="83"/>
      <c r="R721" s="3024" t="str">
        <f>IF(OR(Regulatory_Tox="Yes",AND(ER3_Min&lt;=Toxic_Limit,R668="Yes")),IF(Conseq_Criteria="Hazard Distance",R745,R746),"NA")</f>
        <v>NA</v>
      </c>
      <c r="S721" s="83"/>
      <c r="T721" s="3024" t="str">
        <f>IF(OR(Regulatory_Tox="Yes",AND(ER3_Min&lt;=Toxic_Limit,T668="Yes")),IF(Conseq_Criteria="Hazard Distance",T745,T746),"NA")</f>
        <v>NA</v>
      </c>
      <c r="U721" s="83"/>
      <c r="V721" s="3024" t="str">
        <f>IF(OR(Regulatory_Tox="Yes",AND(ER3_Min&lt;=Toxic_Limit,V668="Yes")),IF(Conseq_Criteria="Hazard Distance",V745,V746),"NA")</f>
        <v>NA</v>
      </c>
      <c r="W721" s="83"/>
      <c r="X721" s="3024" t="str">
        <f>IF(OR(Regulatory_Tox="Yes",AND(ER3_Min&lt;=Toxic_Limit,X668="Yes")),IF(Conseq_Criteria="Hazard Distance",X745,X746),"NA")</f>
        <v>NA</v>
      </c>
      <c r="Y721" s="83"/>
      <c r="Z721" s="23"/>
      <c r="AA721" s="2"/>
      <c r="AB721" s="81"/>
      <c r="AC721" s="512" t="s">
        <v>5300</v>
      </c>
      <c r="AD721" s="81"/>
      <c r="AE721" s="1194">
        <f>IF(AE718="Yes",Bldg_Explosion_0.3psi,0)</f>
        <v>0</v>
      </c>
      <c r="AF721" s="81"/>
      <c r="AG721" s="1194">
        <f>IF(AG718="Yes",Bldg_Explosion_0.3psi,0)</f>
        <v>0</v>
      </c>
      <c r="AH721" s="81"/>
      <c r="AI721" s="1194">
        <f>IF(AI718="Yes",Bldg_Explosion_0.3psi,0)</f>
        <v>0</v>
      </c>
      <c r="AJ721" s="81"/>
      <c r="AK721" s="81"/>
      <c r="AL721" s="81"/>
      <c r="AM721" s="81"/>
      <c r="AN721" s="81"/>
      <c r="AO721" s="81"/>
      <c r="AP721" s="81"/>
      <c r="AQ721" s="85"/>
      <c r="AR721" s="81"/>
    </row>
    <row r="722" spans="1:44" ht="15" customHeight="1" x14ac:dyDescent="0.25">
      <c r="A722" s="2"/>
      <c r="B722" s="23" t="s">
        <v>3628</v>
      </c>
      <c r="C722" s="83"/>
      <c r="D722" s="1206">
        <f>IF(AND(D474&gt;0,D662&gt;0),IF(Location="Indoors",IF(D684&lt;=D662,0.1,D$503*((IF(Enclosed_Ventilation_Rate&gt;1,Enclosed_Ventilation_Rate,1)*Enclosed_Process_Volume*D474*D684/88020000000)*1000000*(1/D662-1/D684)/(D474*Wind))^D$504),IF(OR(D662=0,D662&gt;=1000000),0,IF(D532="Instantaneous",D$529*((D457/D474)*(1000000/D662))^D$530-D$531,D$503*(D464*(1000000/D662)/(D474*Wind))^D$504-D$505))),0.1)</f>
        <v>0.1</v>
      </c>
      <c r="E722" s="83"/>
      <c r="F722" s="1206">
        <f>IF(AND(F474&gt;0,F662&gt;0),IF(Location="Indoors",IF(F684&lt;=F662,0.1,F$503*((IF(Enclosed_Ventilation_Rate&gt;1,Enclosed_Ventilation_Rate,1)*Enclosed_Process_Volume*F474*F684/88020000000)*1000000*(1/F662-1/F684)/(F474*Wind))^F$504),IF(OR(F662=0,F662&gt;=1000000),0,IF(F532="Instantaneous",F$529*((F457/F474)*(1000000/F662))^F$530-F$531,F$503*(F464*(1000000/F662)/(F474*Wind))^F$504-F$505))),0.1)</f>
        <v>0.1</v>
      </c>
      <c r="G722" s="83"/>
      <c r="H722" s="1206">
        <f>IF(AND(H474&gt;0,H662&gt;0),IF(Location="Indoors",IF(H684&lt;=H662,0.1,H$503*((IF(Enclosed_Ventilation_Rate&gt;1,Enclosed_Ventilation_Rate,1)*Enclosed_Process_Volume*H474*H684/88020000000)*1000000*(1/H662-1/H684)/(H474*Wind))^H$504),IF(OR(H662=0,H662&gt;=1000000),0,IF(H532="Instantaneous",H$529*((H457/H474)*(1000000/H662))^H$530-H$531,H$503*(H464*(1000000/H662)/(H474*Wind))^H$504-H$505))),0.1)</f>
        <v>0.1</v>
      </c>
      <c r="I722" s="83"/>
      <c r="J722" s="1206">
        <f>IF(AND(J474&gt;0,J662&gt;0),IF(Location="Indoors",IF(J684&lt;=J662,0.1,J$503*((IF(Enclosed_Ventilation_Rate&gt;1,Enclosed_Ventilation_Rate,1)*Enclosed_Process_Volume*J474*J684/88020000000)*1000000*(1/J662-1/J684)/(J474*Wind))^J$504),IF(OR(J662=0,J662&gt;=1000000),0,IF(J532="Instantaneous",J$529*((J457/J474)*(1000000/J662))^J$530-J$531,J$503*(J464*(1000000/J662)/(J474*Wind))^J$504-J$505))),0.1)</f>
        <v>0.1</v>
      </c>
      <c r="K722" s="83"/>
      <c r="L722" s="1206">
        <f>IF(AND(L474&gt;0,L662&gt;0),IF(Location="Indoors",IF(L684&lt;=L662,0.1,L$503*((IF(Enclosed_Ventilation_Rate&gt;1,Enclosed_Ventilation_Rate,1)*Enclosed_Process_Volume*L474*L684/88020000000)*1000000*(1/L662-1/L684)/(L474*Wind))^L$504),IF(OR(L662=0,L662&gt;=1000000),0,IF(L532="Instantaneous",L$529*((L457/L474)*(1000000/L662))^L$530-L$531,L$503*(L464*(1000000/L662)/(L474*Wind))^L$504-L$505))),0.1)</f>
        <v>0.1</v>
      </c>
      <c r="M722" s="83"/>
      <c r="N722" s="1206">
        <f>IF(AND(N474&gt;0,N662&gt;0),IF(Location="Indoors",IF(N684&lt;=N662,0.1,N$503*((IF(Enclosed_Ventilation_Rate&gt;1,Enclosed_Ventilation_Rate,1)*Enclosed_Process_Volume*N474*N684/88020000000)*1000000*(1/N662-1/N684)/(N474*Wind))^N$504),IF(OR(N662=0,N662&gt;=1000000),0,IF(N532="Instantaneous",N$529*((N457/N474)*(1000000/N662))^N$530-N$531,N$503*(N464*(1000000/N662)/(N474*Wind))^N$504-N$505))),0.1)</f>
        <v>0.1</v>
      </c>
      <c r="O722" s="83"/>
      <c r="P722" s="1206">
        <f>IF(AND(P474&gt;0,P662&gt;0),IF(Location="Indoors",IF(P684&lt;=P662,0.1,P$503*((IF(Enclosed_Ventilation_Rate&gt;1,Enclosed_Ventilation_Rate,1)*Enclosed_Process_Volume*P474*P684/88020000000)*1000000*(1/P662-1/P684)/(P474*Wind))^P$504),IF(OR(P662=0,P662&gt;=1000000),0,IF(P532="Instantaneous",P$529*((P457/P474)*(1000000/P662))^P$530-P$531,P$503*(P464*(1000000/P662)/(P474*Wind))^P$504-P$505))),0.1)</f>
        <v>0.1</v>
      </c>
      <c r="Q722" s="83"/>
      <c r="R722" s="1206">
        <f>IF(AND(R474&gt;0,R662&gt;0),IF(Location="Indoors",IF(R684&lt;=R662,0.1,R$503*((IF(Enclosed_Ventilation_Rate&gt;1,Enclosed_Ventilation_Rate,1)*Enclosed_Process_Volume*R474*R684/88020000000)*1000000*(1/R662-1/R684)/(R474*Wind))^R$504),IF(OR(R662=0,R662&gt;=1000000),0,IF(R532="Instantaneous",R$529*((R457/R474)*(1000000/R662))^R$530-R$531,R$503*(R464*(1000000/R662)/(R474*Wind))^R$504-R$505))),0.1)</f>
        <v>0.1</v>
      </c>
      <c r="S722" s="83"/>
      <c r="T722" s="1206">
        <f>IF(AND(T474&gt;0,T662&gt;0),IF(Location="Indoors",IF(T684&lt;=T662,0.1,T$503*((IF(Enclosed_Ventilation_Rate&gt;1,Enclosed_Ventilation_Rate,1)*Enclosed_Process_Volume*T474*T684/88020000000)*1000000*(1/T662-1/T684)/(T474*Wind))^T$504),IF(OR(T662=0,T662&gt;=1000000),0,IF(T532="Instantaneous",T$529*((T457/T474)*(1000000/T662))^T$530-T$531,T$503*(T464*(1000000/T662)/(T474*Wind))^T$504-T$505))),0.1)</f>
        <v>0.1</v>
      </c>
      <c r="U722" s="83"/>
      <c r="V722" s="1206">
        <f>IF(AND(V474&gt;0,V662&gt;0),IF(Location="Indoors",IF(V684&lt;=V662,0.1,V$503*((IF(Enclosed_Ventilation_Rate&gt;1,Enclosed_Ventilation_Rate,1)*Enclosed_Process_Volume*V474*V684/88020000000)*1000000*(1/V662-1/V684)/(V474*Wind))^V$504),IF(OR(V662=0,V662&gt;=1000000),0,IF(V532="Instantaneous",V$529*((V457/V474)*(1000000/V662))^V$530-V$531,V$503*(V464*(1000000/V662)/(V474*Wind))^V$504-V$505))),0.1)</f>
        <v>0.1</v>
      </c>
      <c r="W722" s="83"/>
      <c r="X722" s="1206">
        <f>IF(AND(X474&gt;0,X662&gt;0),IF(Location="Indoors",IF(X684&lt;=X662,0.1,X$503*((IF(Enclosed_Ventilation_Rate&gt;1,Enclosed_Ventilation_Rate,1)*Enclosed_Process_Volume*X474*X684/88020000000)*1000000*(1/X662-1/X684)/(X474*Wind))^X$504),IF(OR(X662=0,X662&gt;=1000000),0,IF(X532="Instantaneous",X$529*((X457/X474)*(1000000/X662))^X$530-X$531,X$503*(X464*(1000000/X662)/(X474*Wind))^X$504-X$505))),0.1)</f>
        <v>0.1</v>
      </c>
      <c r="Y722" s="83"/>
      <c r="Z722" s="85" t="s">
        <v>1068</v>
      </c>
      <c r="AA722" s="2"/>
      <c r="AB722" s="81"/>
      <c r="AC722" s="512" t="s">
        <v>5301</v>
      </c>
      <c r="AD722" s="81"/>
      <c r="AE722" s="1183">
        <f>IF(AE718="Yes",Bldg_Explosion_1psi,0)</f>
        <v>0</v>
      </c>
      <c r="AF722" s="81"/>
      <c r="AG722" s="1183">
        <f>IF(AG718="Yes",Bldg_Explosion_1psi,0)</f>
        <v>0</v>
      </c>
      <c r="AH722" s="81"/>
      <c r="AI722" s="1183">
        <f>IF(AI718="Yes",Bldg_Explosion_1psi,0)</f>
        <v>0</v>
      </c>
      <c r="AJ722" s="81"/>
      <c r="AK722" s="81"/>
      <c r="AL722" s="81"/>
      <c r="AM722" s="81"/>
      <c r="AN722" s="81"/>
      <c r="AO722" s="81"/>
      <c r="AP722" s="81"/>
      <c r="AQ722" s="85"/>
      <c r="AR722" s="81"/>
    </row>
    <row r="723" spans="1:44" ht="15" customHeight="1" x14ac:dyDescent="0.25">
      <c r="A723" s="2"/>
      <c r="B723" s="23" t="s">
        <v>3629</v>
      </c>
      <c r="C723" s="83"/>
      <c r="D723" s="1206">
        <f>IF(D532="Instantaneous",Dispersion_I,Dispersion_D)*(MAX(D722,Public)^2-Public^2)</f>
        <v>3.0000000000000005E-3</v>
      </c>
      <c r="E723" s="83"/>
      <c r="F723" s="1206">
        <f>IF(F532="Instantaneous",Dispersion_I,Dispersion_D)*(MAX(F722,Public)^2-Public^2)</f>
        <v>3.0000000000000005E-3</v>
      </c>
      <c r="G723" s="83"/>
      <c r="H723" s="1206">
        <f>IF(H532="Instantaneous",Dispersion_I,Dispersion_D)*(MAX(H722,Public)^2-Public^2)</f>
        <v>3.0000000000000005E-3</v>
      </c>
      <c r="I723" s="83"/>
      <c r="J723" s="1206">
        <f>IF(J532="Instantaneous",Dispersion_I,Dispersion_D)*(MAX(J722,Public)^2-Public^2)</f>
        <v>3.0000000000000005E-3</v>
      </c>
      <c r="K723" s="83"/>
      <c r="L723" s="1206">
        <f>IF(L532="Instantaneous",Dispersion_I,Dispersion_D)*(MAX(L722,Public)^2-Public^2)</f>
        <v>3.0000000000000005E-3</v>
      </c>
      <c r="M723" s="83"/>
      <c r="N723" s="1206">
        <f>IF(N532="Instantaneous",Dispersion_I,Dispersion_D)*(MAX(N722,Public)^2-Public^2)</f>
        <v>3.0000000000000005E-3</v>
      </c>
      <c r="O723" s="83"/>
      <c r="P723" s="1206">
        <f>IF(P532="Instantaneous",Dispersion_I,Dispersion_D)*(MAX(P722,Public)^2-Public^2)</f>
        <v>3.0000000000000005E-3</v>
      </c>
      <c r="Q723" s="83"/>
      <c r="R723" s="1206">
        <f>IF(R532="Instantaneous",Dispersion_I,Dispersion_D)*(MAX(R722,Public)^2-Public^2)</f>
        <v>3.0000000000000005E-3</v>
      </c>
      <c r="S723" s="83"/>
      <c r="T723" s="1206">
        <f>IF(T532="Instantaneous",Dispersion_I,Dispersion_D)*(MAX(T722,Public)^2-Public^2)</f>
        <v>3.0000000000000005E-3</v>
      </c>
      <c r="U723" s="83"/>
      <c r="V723" s="1206">
        <f>IF(V532="Instantaneous",Dispersion_I,Dispersion_D)*(MAX(V722,Public)^2-Public^2)</f>
        <v>3.0000000000000005E-3</v>
      </c>
      <c r="W723" s="83"/>
      <c r="X723" s="1206">
        <f>IF(X532="Instantaneous",Dispersion_I,Dispersion_D)*(MAX(X722,Public)^2-Public^2)</f>
        <v>3.0000000000000005E-3</v>
      </c>
      <c r="Y723" s="83"/>
      <c r="Z723" s="85" t="s">
        <v>3804</v>
      </c>
      <c r="AA723" s="2"/>
      <c r="AB723" s="81"/>
      <c r="AC723" s="85" t="s">
        <v>689</v>
      </c>
      <c r="AD723" s="81"/>
      <c r="AE723" s="3010" t="str">
        <f>IF(AE722&gt;Public,"Yes","No")</f>
        <v>No</v>
      </c>
      <c r="AF723" s="81"/>
      <c r="AG723" s="3010" t="str">
        <f>IF(AG722&gt;Public,"Yes","No")</f>
        <v>No</v>
      </c>
      <c r="AH723" s="81"/>
      <c r="AI723" s="3010" t="str">
        <f>IF(AI722&gt;Public,"Yes","No")</f>
        <v>No</v>
      </c>
      <c r="AJ723" s="81"/>
      <c r="AK723" s="81"/>
      <c r="AL723" s="81"/>
      <c r="AM723" s="81"/>
      <c r="AN723" s="81"/>
      <c r="AO723" s="81"/>
      <c r="AP723" s="81"/>
      <c r="AQ723" s="85" t="s">
        <v>1068</v>
      </c>
      <c r="AR723" s="81"/>
    </row>
    <row r="724" spans="1:44" ht="15" customHeight="1" x14ac:dyDescent="0.25">
      <c r="A724" s="2"/>
      <c r="B724" s="23" t="s">
        <v>3705</v>
      </c>
      <c r="C724" s="83"/>
      <c r="D724" s="1206">
        <f>IF(OR(D$661=0,D$651=""),0,IF(D722&gt;Zone_1,IF(D532="Instantaneous",Dispersion_I,Dispersion_D)*(MAX(Public,Zone_1)^2-MAX(Public,D722)^2),IF(D532="Instantaneous",Dispersion_I,Dispersion_D)*D$651^(2*IF(D532="Instantaneous",D$530,D$504))*D$672^2*(EXP(D$659+D$661*MAX(Public,Zone_1)^2/(D$651^(2*IF(D532="Instantaneous",D$530,D$504))*D$672^2))-EXP(D$659+D$661*MAX(Public,D722)^2/(D$651^(2*IF(D532="Instantaneous",D$530,D$504))*D$672^2)))/D$661))</f>
        <v>0</v>
      </c>
      <c r="E724" s="83"/>
      <c r="F724" s="1206">
        <f>IF(OR(F$661=0,F$651=""),0,IF(F722&gt;Zone_1,IF(F532="Instantaneous",Dispersion_I,Dispersion_D)*(MAX(Public,Zone_1)^2-MAX(Public,F722)^2),IF(F532="Instantaneous",Dispersion_I,Dispersion_D)*F$651^(2*IF(F532="Instantaneous",F$530,F$504))*F$672^2*(EXP(F$659+F$661*MAX(Public,Zone_1)^2/(F$651^(2*IF(F532="Instantaneous",F$530,F$504))*F$672^2))-EXP(F$659+F$661*MAX(Public,F722)^2/(F$651^(2*IF(F532="Instantaneous",F$530,F$504))*F$672^2)))/F$661))</f>
        <v>0</v>
      </c>
      <c r="G724" s="83"/>
      <c r="H724" s="1206">
        <f>IF(OR(H$661=0,H$651=""),0,IF(H722&gt;Zone_1,IF(H532="Instantaneous",Dispersion_I,Dispersion_D)*(MAX(Public,Zone_1)^2-MAX(Public,H722)^2),IF(H532="Instantaneous",Dispersion_I,Dispersion_D)*H$651^(2*IF(H532="Instantaneous",H$530,H$504))*H$672^2*(EXP(H$659+H$661*MAX(Public,Zone_1)^2/(H$651^(2*IF(H532="Instantaneous",H$530,H$504))*H$672^2))-EXP(H$659+H$661*MAX(Public,H722)^2/(H$651^(2*IF(H532="Instantaneous",H$530,H$504))*H$672^2)))/H$661))</f>
        <v>0</v>
      </c>
      <c r="I724" s="83"/>
      <c r="J724" s="1206">
        <f>IF(OR(J$661=0,J$651=""),0,IF(J722&gt;Zone_1,IF(J532="Instantaneous",Dispersion_I,Dispersion_D)*(MAX(Public,Zone_1)^2-MAX(Public,J722)^2),IF(J532="Instantaneous",Dispersion_I,Dispersion_D)*J$651^(2*IF(J532="Instantaneous",J$530,J$504))*J$672^2*(EXP(J$659+J$661*MAX(Public,Zone_1)^2/(J$651^(2*IF(J532="Instantaneous",J$530,J$504))*J$672^2))-EXP(J$659+J$661*MAX(Public,J722)^2/(J$651^(2*IF(J532="Instantaneous",J$530,J$504))*J$672^2)))/J$661))</f>
        <v>0</v>
      </c>
      <c r="K724" s="83"/>
      <c r="L724" s="1206">
        <f>IF(OR(L$661=0,L$651=""),0,IF(L722&gt;Zone_1,IF(L532="Instantaneous",Dispersion_I,Dispersion_D)*(MAX(Public,Zone_1)^2-MAX(Public,L722)^2),IF(L532="Instantaneous",Dispersion_I,Dispersion_D)*L$651^(2*IF(L532="Instantaneous",L$530,L$504))*L$672^2*(EXP(L$659+L$661*MAX(Public,Zone_1)^2/(L$651^(2*IF(L532="Instantaneous",L$530,L$504))*L$672^2))-EXP(L$659+L$661*MAX(Public,L722)^2/(L$651^(2*IF(L532="Instantaneous",L$530,L$504))*L$672^2)))/L$661))</f>
        <v>0</v>
      </c>
      <c r="M724" s="83"/>
      <c r="N724" s="1206">
        <f>IF(OR(N$661=0,N$651=""),0,IF(N722&gt;Zone_1,IF(N532="Instantaneous",Dispersion_I,Dispersion_D)*(MAX(Public,Zone_1)^2-MAX(Public,N722)^2),IF(N532="Instantaneous",Dispersion_I,Dispersion_D)*N$651^(2*IF(N532="Instantaneous",N$530,N$504))*N$672^2*(EXP(N$659+N$661*MAX(Public,Zone_1)^2/(N$651^(2*IF(N532="Instantaneous",N$530,N$504))*N$672^2))-EXP(N$659+N$661*MAX(Public,N722)^2/(N$651^(2*IF(N532="Instantaneous",N$530,N$504))*N$672^2)))/N$661))</f>
        <v>0</v>
      </c>
      <c r="O724" s="83"/>
      <c r="P724" s="1206">
        <f>IF(OR(P$661=0,P$651=""),0,IF(P722&gt;Zone_1,IF(P532="Instantaneous",Dispersion_I,Dispersion_D)*(MAX(Public,Zone_1)^2-MAX(Public,P722)^2),IF(P532="Instantaneous",Dispersion_I,Dispersion_D)*P$651^(2*IF(P532="Instantaneous",P$530,P$504))*P$672^2*(EXP(P$659+P$661*MAX(Public,Zone_1)^2/(P$651^(2*IF(P532="Instantaneous",P$530,P$504))*P$672^2))-EXP(P$659+P$661*MAX(Public,P722)^2/(P$651^(2*IF(P532="Instantaneous",P$530,P$504))*P$672^2)))/P$661))</f>
        <v>0</v>
      </c>
      <c r="Q724" s="83"/>
      <c r="R724" s="1206">
        <f>IF(OR(R$661=0,R$651=""),0,IF(R722&gt;Zone_1,IF(R532="Instantaneous",Dispersion_I,Dispersion_D)*(MAX(Public,Zone_1)^2-MAX(Public,R722)^2),IF(R532="Instantaneous",Dispersion_I,Dispersion_D)*R$651^(2*IF(R532="Instantaneous",R$530,R$504))*R$672^2*(EXP(R$659+R$661*MAX(Public,Zone_1)^2/(R$651^(2*IF(R532="Instantaneous",R$530,R$504))*R$672^2))-EXP(R$659+R$661*MAX(Public,R722)^2/(R$651^(2*IF(R532="Instantaneous",R$530,R$504))*R$672^2)))/R$661))</f>
        <v>0</v>
      </c>
      <c r="S724" s="83"/>
      <c r="T724" s="1206">
        <f>IF(OR(T$661=0,T$651=""),0,IF(T722&gt;Zone_1,IF(T532="Instantaneous",Dispersion_I,Dispersion_D)*(MAX(Public,Zone_1)^2-MAX(Public,T722)^2),IF(T532="Instantaneous",Dispersion_I,Dispersion_D)*T$651^(2*IF(T532="Instantaneous",T$530,T$504))*T$672^2*(EXP(T$659+T$661*MAX(Public,Zone_1)^2/(T$651^(2*IF(T532="Instantaneous",T$530,T$504))*T$672^2))-EXP(T$659+T$661*MAX(Public,T722)^2/(T$651^(2*IF(T532="Instantaneous",T$530,T$504))*T$672^2)))/T$661))</f>
        <v>0</v>
      </c>
      <c r="U724" s="83"/>
      <c r="V724" s="1206">
        <f>IF(OR(V$661=0,V$651=""),0,IF(V722&gt;Zone_1,IF(V532="Instantaneous",Dispersion_I,Dispersion_D)*(MAX(Public,Zone_1)^2-MAX(Public,V722)^2),IF(V532="Instantaneous",Dispersion_I,Dispersion_D)*V$651^(2*IF(V532="Instantaneous",V$530,V$504))*V$672^2*(EXP(V$659+V$661*MAX(Public,Zone_1)^2/(V$651^(2*IF(V532="Instantaneous",V$530,V$504))*V$672^2))-EXP(V$659+V$661*MAX(Public,V722)^2/(V$651^(2*IF(V532="Instantaneous",V$530,V$504))*V$672^2)))/V$661))</f>
        <v>0</v>
      </c>
      <c r="W724" s="83"/>
      <c r="X724" s="1206">
        <f>IF(OR(X$661=0,X$651=""),0,IF(X722&gt;Zone_1,IF(X532="Instantaneous",Dispersion_I,Dispersion_D)*(MAX(Public,Zone_1)^2-MAX(Public,X722)^2),IF(X532="Instantaneous",Dispersion_I,Dispersion_D)*X$651^(2*IF(X532="Instantaneous",X$530,X$504))*X$672^2*(EXP(X$659+X$661*MAX(Public,Zone_1)^2/(X$651^(2*IF(X532="Instantaneous",X$530,X$504))*X$672^2))-EXP(X$659+X$661*MAX(Public,X722)^2/(X$651^(2*IF(X532="Instantaneous",X$530,X$504))*X$672^2)))/X$661))</f>
        <v>0</v>
      </c>
      <c r="Y724" s="83"/>
      <c r="Z724" s="85" t="s">
        <v>3804</v>
      </c>
      <c r="AA724" s="2"/>
      <c r="AB724" s="81"/>
      <c r="AC724" s="23" t="s">
        <v>1534</v>
      </c>
      <c r="AD724" s="81"/>
      <c r="AE724" s="2996">
        <f>IF(AE718&lt;&gt;"Yes",0,Bldg_Explosion_Center)</f>
        <v>0</v>
      </c>
      <c r="AF724" s="81"/>
      <c r="AG724" s="2996">
        <f>IF(AG718&lt;&gt;"Yes",0,Bldg_Explosion_Center)</f>
        <v>0</v>
      </c>
      <c r="AH724" s="81"/>
      <c r="AI724" s="2996">
        <f>IF(AI718&lt;&gt;"Yes",0,Bldg_Explosion_Center)</f>
        <v>0</v>
      </c>
      <c r="AJ724" s="81"/>
      <c r="AK724" s="81"/>
      <c r="AL724" s="81"/>
      <c r="AM724" s="81"/>
      <c r="AN724" s="81"/>
      <c r="AO724" s="81"/>
      <c r="AP724" s="81"/>
      <c r="AQ724" s="85" t="s">
        <v>968</v>
      </c>
      <c r="AR724" s="81"/>
    </row>
    <row r="725" spans="1:44" ht="15" customHeight="1" x14ac:dyDescent="0.25">
      <c r="A725" s="2"/>
      <c r="B725" s="23" t="s">
        <v>3706</v>
      </c>
      <c r="C725" s="83"/>
      <c r="D725" s="1206">
        <f>IF(Zone_1&lt;Public,IF(D532="Instantaneous",Dispersion_I,Dispersion_D)*(MAX(D722,Public)^2-Public^2),IF(D532="Instantaneous",Dispersion_I,Dispersion_D)*(MAX(D722,Zone_1)^2-Zone_1^2))</f>
        <v>3.0000000000000005E-3</v>
      </c>
      <c r="E725" s="83"/>
      <c r="F725" s="1206">
        <f>IF(Zone_1&lt;Public,IF(F532="Instantaneous",Dispersion_I,Dispersion_D)*(MAX(F722,Public)^2-Public^2),IF(F532="Instantaneous",Dispersion_I,Dispersion_D)*(MAX(F722,Zone_1)^2-Zone_1^2))</f>
        <v>3.0000000000000005E-3</v>
      </c>
      <c r="G725" s="83"/>
      <c r="H725" s="1206">
        <f>IF(Zone_1&lt;Public,IF(H532="Instantaneous",Dispersion_I,Dispersion_D)*(MAX(H722,Public)^2-Public^2),IF(H532="Instantaneous",Dispersion_I,Dispersion_D)*(MAX(H722,Zone_1)^2-Zone_1^2))</f>
        <v>3.0000000000000005E-3</v>
      </c>
      <c r="I725" s="83"/>
      <c r="J725" s="1206">
        <f>IF(Zone_1&lt;Public,IF(J532="Instantaneous",Dispersion_I,Dispersion_D)*(MAX(J722,Public)^2-Public^2),IF(J532="Instantaneous",Dispersion_I,Dispersion_D)*(MAX(J722,Zone_1)^2-Zone_1^2))</f>
        <v>3.0000000000000005E-3</v>
      </c>
      <c r="K725" s="83"/>
      <c r="L725" s="1206">
        <f>IF(Zone_1&lt;Public,IF(L532="Instantaneous",Dispersion_I,Dispersion_D)*(MAX(L722,Public)^2-Public^2),IF(L532="Instantaneous",Dispersion_I,Dispersion_D)*(MAX(L722,Zone_1)^2-Zone_1^2))</f>
        <v>3.0000000000000005E-3</v>
      </c>
      <c r="M725" s="83"/>
      <c r="N725" s="1206">
        <f>IF(Zone_1&lt;Public,IF(N532="Instantaneous",Dispersion_I,Dispersion_D)*(MAX(N722,Public)^2-Public^2),IF(N532="Instantaneous",Dispersion_I,Dispersion_D)*(MAX(N722,Zone_1)^2-Zone_1^2))</f>
        <v>3.0000000000000005E-3</v>
      </c>
      <c r="O725" s="83"/>
      <c r="P725" s="1206">
        <f>IF(Zone_1&lt;Public,IF(P532="Instantaneous",Dispersion_I,Dispersion_D)*(MAX(P722,Public)^2-Public^2),IF(P532="Instantaneous",Dispersion_I,Dispersion_D)*(MAX(P722,Zone_1)^2-Zone_1^2))</f>
        <v>3.0000000000000005E-3</v>
      </c>
      <c r="Q725" s="83"/>
      <c r="R725" s="1206">
        <f>IF(Zone_1&lt;Public,IF(R532="Instantaneous",Dispersion_I,Dispersion_D)*(MAX(R722,Public)^2-Public^2),IF(R532="Instantaneous",Dispersion_I,Dispersion_D)*(MAX(R722,Zone_1)^2-Zone_1^2))</f>
        <v>3.0000000000000005E-3</v>
      </c>
      <c r="S725" s="83"/>
      <c r="T725" s="1206">
        <f>IF(Zone_1&lt;Public,IF(T532="Instantaneous",Dispersion_I,Dispersion_D)*(MAX(T722,Public)^2-Public^2),IF(T532="Instantaneous",Dispersion_I,Dispersion_D)*(MAX(T722,Zone_1)^2-Zone_1^2))</f>
        <v>3.0000000000000005E-3</v>
      </c>
      <c r="U725" s="83"/>
      <c r="V725" s="1206">
        <f>IF(Zone_1&lt;Public,IF(V532="Instantaneous",Dispersion_I,Dispersion_D)*(MAX(V722,Public)^2-Public^2),IF(V532="Instantaneous",Dispersion_I,Dispersion_D)*(MAX(V722,Zone_1)^2-Zone_1^2))</f>
        <v>3.0000000000000005E-3</v>
      </c>
      <c r="W725" s="83"/>
      <c r="X725" s="1206">
        <f>IF(Zone_1&lt;Public,IF(X532="Instantaneous",Dispersion_I,Dispersion_D)*(MAX(X722,Public)^2-Public^2),IF(X532="Instantaneous",Dispersion_I,Dispersion_D)*(MAX(X722,Zone_1)^2-Zone_1^2))</f>
        <v>3.0000000000000005E-3</v>
      </c>
      <c r="Y725" s="83"/>
      <c r="Z725" s="85" t="s">
        <v>3804</v>
      </c>
      <c r="AA725" s="2"/>
      <c r="AB725" s="81"/>
      <c r="AC725" s="23" t="s">
        <v>698</v>
      </c>
      <c r="AD725" s="81"/>
      <c r="AE725" s="1182">
        <f>IF(AE718&lt;&gt;"Yes",0,Bldg_Explosion_Press)</f>
        <v>0</v>
      </c>
      <c r="AF725" s="81"/>
      <c r="AG725" s="1182">
        <f>IF(AG718&lt;&gt;"Yes",0,Bldg_Explosion_Press)</f>
        <v>0</v>
      </c>
      <c r="AH725" s="81"/>
      <c r="AI725" s="1182">
        <f>IF(AI718&lt;&gt;"Yes",0,Bldg_Explosion_Press)</f>
        <v>0</v>
      </c>
      <c r="AJ725" s="81"/>
      <c r="AK725" s="81"/>
      <c r="AL725" s="81"/>
      <c r="AM725" s="81"/>
      <c r="AN725" s="81"/>
      <c r="AO725" s="81"/>
      <c r="AP725" s="81"/>
      <c r="AQ725" s="85" t="s">
        <v>968</v>
      </c>
      <c r="AR725" s="81"/>
    </row>
    <row r="726" spans="1:44" ht="15" customHeight="1" x14ac:dyDescent="0.25">
      <c r="A726" s="2"/>
      <c r="B726" s="23" t="s">
        <v>3707</v>
      </c>
      <c r="C726" s="83"/>
      <c r="D726" s="1206">
        <f>IF(OR(D$661=0,D$651=""),0,IF(Zone_1&lt;Public,IF(D532="Instantaneous",Dispersion_I,Dispersion_D)*D$651^(2*IF(D532="Instantaneous",D$530,D$504))*D$672^2*(0-EXP(D$659+D$661*MAX(D722,Public)^2/(D$651^(2*IF(D532="Instantaneous",D$530,D$504))*D$672^2)))/D$661,IF(D532="Instantaneous",Dispersion_I,Dispersion_D)*D$651^(2*IF(D532="Instantaneous",D$530,D$504))*D$672^2*(0-EXP(D$659+D$661*MAX(D722,Zone_1)^2/(D$651^(2*IF(D532="Instantaneous",D$530,D$504))*D$672^2)))/D$661))</f>
        <v>0</v>
      </c>
      <c r="E726" s="83"/>
      <c r="F726" s="1206">
        <f>IF(OR(F$661=0,F$651=""),0,IF(Zone_1&lt;Public,IF(F532="Instantaneous",Dispersion_I,Dispersion_D)*F$651^(2*IF(F532="Instantaneous",F$530,F$504))*F$672^2*(0-EXP(F$659+F$661*MAX(F722,Public)^2/(F$651^(2*IF(F532="Instantaneous",F$530,F$504))*F$672^2)))/F$661,IF(F532="Instantaneous",Dispersion_I,Dispersion_D)*F$651^(2*IF(F532="Instantaneous",F$530,F$504))*F$672^2*(0-EXP(F$659+F$661*MAX(F722,Zone_1)^2/(F$651^(2*IF(F532="Instantaneous",F$530,F$504))*F$672^2)))/F$661))</f>
        <v>0</v>
      </c>
      <c r="G726" s="83"/>
      <c r="H726" s="1206">
        <f>IF(OR(H$661=0,H$651=""),0,IF(Zone_1&lt;Public,IF(H532="Instantaneous",Dispersion_I,Dispersion_D)*H$651^(2*IF(H532="Instantaneous",H$530,H$504))*H$672^2*(0-EXP(H$659+H$661*MAX(H722,Public)^2/(H$651^(2*IF(H532="Instantaneous",H$530,H$504))*H$672^2)))/H$661,IF(H532="Instantaneous",Dispersion_I,Dispersion_D)*H$651^(2*IF(H532="Instantaneous",H$530,H$504))*H$672^2*(0-EXP(H$659+H$661*MAX(H722,Zone_1)^2/(H$651^(2*IF(H532="Instantaneous",H$530,H$504))*H$672^2)))/H$661))</f>
        <v>0</v>
      </c>
      <c r="I726" s="83"/>
      <c r="J726" s="1206">
        <f>IF(OR(J$661=0,J$651=""),0,IF(Zone_1&lt;Public,IF(J532="Instantaneous",Dispersion_I,Dispersion_D)*J$651^(2*IF(J532="Instantaneous",J$530,J$504))*J$672^2*(0-EXP(J$659+J$661*MAX(J722,Public)^2/(J$651^(2*IF(J532="Instantaneous",J$530,J$504))*J$672^2)))/J$661,IF(J532="Instantaneous",Dispersion_I,Dispersion_D)*J$651^(2*IF(J532="Instantaneous",J$530,J$504))*J$672^2*(0-EXP(J$659+J$661*MAX(J722,Zone_1)^2/(J$651^(2*IF(J532="Instantaneous",J$530,J$504))*J$672^2)))/J$661))</f>
        <v>0</v>
      </c>
      <c r="K726" s="83"/>
      <c r="L726" s="1206">
        <f>IF(OR(L$661=0,L$651=""),0,IF(Zone_1&lt;Public,IF(L532="Instantaneous",Dispersion_I,Dispersion_D)*L$651^(2*IF(L532="Instantaneous",L$530,L$504))*L$672^2*(0-EXP(L$659+L$661*MAX(L722,Public)^2/(L$651^(2*IF(L532="Instantaneous",L$530,L$504))*L$672^2)))/L$661,IF(L532="Instantaneous",Dispersion_I,Dispersion_D)*L$651^(2*IF(L532="Instantaneous",L$530,L$504))*L$672^2*(0-EXP(L$659+L$661*MAX(L722,Zone_1)^2/(L$651^(2*IF(L532="Instantaneous",L$530,L$504))*L$672^2)))/L$661))</f>
        <v>0</v>
      </c>
      <c r="M726" s="83"/>
      <c r="N726" s="1206">
        <f>IF(OR(N$661=0,N$651=""),0,IF(Zone_1&lt;Public,IF(N532="Instantaneous",Dispersion_I,Dispersion_D)*N$651^(2*IF(N532="Instantaneous",N$530,N$504))*N$672^2*(0-EXP(N$659+N$661*MAX(N722,Public)^2/(N$651^(2*IF(N532="Instantaneous",N$530,N$504))*N$672^2)))/N$661,IF(N532="Instantaneous",Dispersion_I,Dispersion_D)*N$651^(2*IF(N532="Instantaneous",N$530,N$504))*N$672^2*(0-EXP(N$659+N$661*MAX(N722,Zone_1)^2/(N$651^(2*IF(N532="Instantaneous",N$530,N$504))*N$672^2)))/N$661))</f>
        <v>0</v>
      </c>
      <c r="O726" s="83"/>
      <c r="P726" s="1206">
        <f>IF(OR(P$661=0,P$651=""),0,IF(Zone_1&lt;Public,IF(P532="Instantaneous",Dispersion_I,Dispersion_D)*P$651^(2*IF(P532="Instantaneous",P$530,P$504))*P$672^2*(0-EXP(P$659+P$661*MAX(P722,Public)^2/(P$651^(2*IF(P532="Instantaneous",P$530,P$504))*P$672^2)))/P$661,IF(P532="Instantaneous",Dispersion_I,Dispersion_D)*P$651^(2*IF(P532="Instantaneous",P$530,P$504))*P$672^2*(0-EXP(P$659+P$661*MAX(P722,Zone_1)^2/(P$651^(2*IF(P532="Instantaneous",P$530,P$504))*P$672^2)))/P$661))</f>
        <v>0</v>
      </c>
      <c r="Q726" s="83"/>
      <c r="R726" s="1206">
        <f>IF(OR(R$661=0,R$651=""),0,IF(Zone_1&lt;Public,IF(R532="Instantaneous",Dispersion_I,Dispersion_D)*R$651^(2*IF(R532="Instantaneous",R$530,R$504))*R$672^2*(0-EXP(R$659+R$661*MAX(R722,Public)^2/(R$651^(2*IF(R532="Instantaneous",R$530,R$504))*R$672^2)))/R$661,IF(R532="Instantaneous",Dispersion_I,Dispersion_D)*R$651^(2*IF(R532="Instantaneous",R$530,R$504))*R$672^2*(0-EXP(R$659+R$661*MAX(R722,Zone_1)^2/(R$651^(2*IF(R532="Instantaneous",R$530,R$504))*R$672^2)))/R$661))</f>
        <v>0</v>
      </c>
      <c r="S726" s="83"/>
      <c r="T726" s="1206">
        <f>IF(OR(T$661=0,T$651=""),0,IF(Zone_1&lt;Public,IF(T532="Instantaneous",Dispersion_I,Dispersion_D)*T$651^(2*IF(T532="Instantaneous",T$530,T$504))*T$672^2*(0-EXP(T$659+T$661*MAX(T722,Public)^2/(T$651^(2*IF(T532="Instantaneous",T$530,T$504))*T$672^2)))/T$661,IF(T532="Instantaneous",Dispersion_I,Dispersion_D)*T$651^(2*IF(T532="Instantaneous",T$530,T$504))*T$672^2*(0-EXP(T$659+T$661*MAX(T722,Zone_1)^2/(T$651^(2*IF(T532="Instantaneous",T$530,T$504))*T$672^2)))/T$661))</f>
        <v>0</v>
      </c>
      <c r="U726" s="83"/>
      <c r="V726" s="1206">
        <f>IF(OR(V$661=0,V$651=""),0,IF(Zone_1&lt;Public,IF(V532="Instantaneous",Dispersion_I,Dispersion_D)*V$651^(2*IF(V532="Instantaneous",V$530,V$504))*V$672^2*(0-EXP(V$659+V$661*MAX(V722,Public)^2/(V$651^(2*IF(V532="Instantaneous",V$530,V$504))*V$672^2)))/V$661,IF(V532="Instantaneous",Dispersion_I,Dispersion_D)*V$651^(2*IF(V532="Instantaneous",V$530,V$504))*V$672^2*(0-EXP(V$659+V$661*MAX(V722,Zone_1)^2/(V$651^(2*IF(V532="Instantaneous",V$530,V$504))*V$672^2)))/V$661))</f>
        <v>0</v>
      </c>
      <c r="W726" s="83"/>
      <c r="X726" s="1206">
        <f>IF(OR(X$661=0,X$651=""),0,IF(Zone_1&lt;Public,IF(X532="Instantaneous",Dispersion_I,Dispersion_D)*X$651^(2*IF(X532="Instantaneous",X$530,X$504))*X$672^2*(0-EXP(X$659+X$661*MAX(X722,Public)^2/(X$651^(2*IF(X532="Instantaneous",X$530,X$504))*X$672^2)))/X$661,IF(X532="Instantaneous",Dispersion_I,Dispersion_D)*X$651^(2*IF(X532="Instantaneous",X$530,X$504))*X$672^2*(0-EXP(X$659+X$661*MAX(X722,Zone_1)^2/(X$651^(2*IF(X532="Instantaneous",X$530,X$504))*X$672^2)))/X$661))</f>
        <v>0</v>
      </c>
      <c r="Y726" s="83"/>
      <c r="Z726" s="85" t="s">
        <v>3804</v>
      </c>
      <c r="AA726" s="2"/>
      <c r="AB726" s="81"/>
      <c r="AC726" s="23" t="s">
        <v>2936</v>
      </c>
      <c r="AD726" s="81"/>
      <c r="AE726" s="1182">
        <f>IF(AE718&lt;&gt;"Yes",0,Bldg2_Explosion_Center)</f>
        <v>0</v>
      </c>
      <c r="AF726" s="81"/>
      <c r="AG726" s="1182">
        <f>IF(AG718&lt;&gt;"Yes",0,Bldg2_Explosion_Center)</f>
        <v>0</v>
      </c>
      <c r="AH726" s="81"/>
      <c r="AI726" s="1182">
        <f>IF(AI718&lt;&gt;"Yes",0,Bldg2_Explosion_Center)</f>
        <v>0</v>
      </c>
      <c r="AJ726" s="81"/>
      <c r="AK726" s="81"/>
      <c r="AL726" s="81"/>
      <c r="AM726" s="81"/>
      <c r="AN726" s="81"/>
      <c r="AO726" s="81"/>
      <c r="AP726" s="81"/>
      <c r="AQ726" s="85" t="s">
        <v>968</v>
      </c>
      <c r="AR726" s="81"/>
    </row>
    <row r="727" spans="1:44" ht="15" customHeight="1" x14ac:dyDescent="0.25">
      <c r="A727" s="2"/>
      <c r="B727" s="23" t="s">
        <v>3704</v>
      </c>
      <c r="C727" s="83"/>
      <c r="D727" s="1206">
        <f>IF(AND(D474&gt;0,D662&gt;0),IF(Location="Indoors",IF(ConcFract_Indoor*D684&lt;=D662,0.1,D$503*((IF(Enclosed_Ventilation_Rate&gt;1,Enclosed_Ventilation_Rate,1)*Enclosed_Process_Volume*D474*D684/88020000000)*1000000*(ConcFract_Indoor/D662-1/D684)/(D474*Wind))^D$504),IF(OR(D662=0,D662&gt;=ConcFract_Indoor*1000000),0,IF(D208="Instantaneous",D$529*((D457/D474)*(ConcFract_Indoor*1000000/D662))^D$530-D$531,D$503*(D464*(ConcFract_Indoor*1000000/D662)/(D474*Wind))^D$504-D$505))),0.1)</f>
        <v>0.1</v>
      </c>
      <c r="E727" s="83"/>
      <c r="F727" s="1206">
        <f>IF(AND(F474&gt;0,F662&gt;0),IF(Location="Indoors",IF(ConcFract_Indoor*F684&lt;=F662,0.1,F$503*((IF(Enclosed_Ventilation_Rate&gt;1,Enclosed_Ventilation_Rate,1)*Enclosed_Process_Volume*F474*F684/88020000000)*1000000*(ConcFract_Indoor/F662-1/F684)/(F474*Wind))^F$504),IF(OR(F662=0,F662&gt;=ConcFract_Indoor*1000000),0,IF(F208="Instantaneous",F$529*((F457/F474)*(ConcFract_Indoor*1000000/F662))^F$530-F$531,F$503*(F464*(ConcFract_Indoor*1000000/F662)/(F474*Wind))^F$504-F$505))),0.1)</f>
        <v>0.1</v>
      </c>
      <c r="G727" s="83"/>
      <c r="H727" s="1206">
        <f>IF(AND(H474&gt;0,H662&gt;0),IF(Location="Indoors",IF(ConcFract_Indoor*H684&lt;=H662,0.1,H$503*((IF(Enclosed_Ventilation_Rate&gt;1,Enclosed_Ventilation_Rate,1)*Enclosed_Process_Volume*H474*H684/88020000000)*1000000*(ConcFract_Indoor/H662-1/H684)/(H474*Wind))^H$504),IF(OR(H662=0,H662&gt;=ConcFract_Indoor*1000000),0,IF(H208="Instantaneous",H$529*((H457/H474)*(ConcFract_Indoor*1000000/H662))^H$530-H$531,H$503*(H464*(ConcFract_Indoor*1000000/H662)/(H474*Wind))^H$504-H$505))),0.1)</f>
        <v>0.1</v>
      </c>
      <c r="I727" s="83"/>
      <c r="J727" s="1206">
        <f>IF(AND(J474&gt;0,J662&gt;0),IF(Location="Indoors",IF(ConcFract_Indoor*J684&lt;=J662,0.1,J$503*((IF(Enclosed_Ventilation_Rate&gt;1,Enclosed_Ventilation_Rate,1)*Enclosed_Process_Volume*J474*J684/88020000000)*1000000*(ConcFract_Indoor/J662-1/J684)/(J474*Wind))^J$504),IF(OR(J662=0,J662&gt;=ConcFract_Indoor*1000000),0,IF(J208="Instantaneous",J$529*((J457/J474)*(ConcFract_Indoor*1000000/J662))^J$530-J$531,J$503*(J464*(ConcFract_Indoor*1000000/J662)/(J474*Wind))^J$504-J$505))),0.1)</f>
        <v>0.1</v>
      </c>
      <c r="K727" s="83"/>
      <c r="L727" s="1206">
        <f>IF(AND(L474&gt;0,L662&gt;0),IF(Location="Indoors",IF(ConcFract_Indoor*L684&lt;=L662,0.1,L$503*((IF(Enclosed_Ventilation_Rate&gt;1,Enclosed_Ventilation_Rate,1)*Enclosed_Process_Volume*L474*L684/88020000000)*1000000*(ConcFract_Indoor/L662-1/L684)/(L474*Wind))^L$504),IF(OR(L662=0,L662&gt;=ConcFract_Indoor*1000000),0,IF(L208="Instantaneous",L$529*((L457/L474)*(ConcFract_Indoor*1000000/L662))^L$530-L$531,L$503*(L464*(ConcFract_Indoor*1000000/L662)/(L474*Wind))^L$504-L$505))),0.1)</f>
        <v>0.1</v>
      </c>
      <c r="M727" s="83"/>
      <c r="N727" s="1206">
        <f>IF(AND(N474&gt;0,N662&gt;0),IF(Location="Indoors",IF(ConcFract_Indoor*N684&lt;=N662,0.1,N$503*((IF(Enclosed_Ventilation_Rate&gt;1,Enclosed_Ventilation_Rate,1)*Enclosed_Process_Volume*N474*N684/88020000000)*1000000*(ConcFract_Indoor/N662-1/N684)/(N474*Wind))^N$504),IF(OR(N662=0,N662&gt;=ConcFract_Indoor*1000000),0,IF(N208="Instantaneous",N$529*((N457/N474)*(ConcFract_Indoor*1000000/N662))^N$530-N$531,N$503*(N464*(ConcFract_Indoor*1000000/N662)/(N474*Wind))^N$504-N$505))),0.1)</f>
        <v>0.1</v>
      </c>
      <c r="O727" s="83"/>
      <c r="P727" s="1206">
        <f>IF(AND(P474&gt;0,P662&gt;0),IF(Location="Indoors",IF(ConcFract_Indoor*P684&lt;=P662,0.1,P$503*((IF(Enclosed_Ventilation_Rate&gt;1,Enclosed_Ventilation_Rate,1)*Enclosed_Process_Volume*P474*P684/88020000000)*1000000*(ConcFract_Indoor/P662-1/P684)/(P474*Wind))^P$504),IF(OR(P662=0,P662&gt;=ConcFract_Indoor*1000000),0,IF(P208="Instantaneous",P$529*((P457/P474)*(ConcFract_Indoor*1000000/P662))^P$530-P$531,P$503*(P464*(ConcFract_Indoor*1000000/P662)/(P474*Wind))^P$504-P$505))),0.1)</f>
        <v>0.1</v>
      </c>
      <c r="Q727" s="83"/>
      <c r="R727" s="1206">
        <f>IF(AND(R474&gt;0,R662&gt;0),IF(Location="Indoors",IF(ConcFract_Indoor*R684&lt;=R662,0.1,R$503*((IF(Enclosed_Ventilation_Rate&gt;1,Enclosed_Ventilation_Rate,1)*Enclosed_Process_Volume*R474*R684/88020000000)*1000000*(ConcFract_Indoor/R662-1/R684)/(R474*Wind))^R$504),IF(OR(R662=0,R662&gt;=ConcFract_Indoor*1000000),0,IF(R208="Instantaneous",R$529*((R457/R474)*(ConcFract_Indoor*1000000/R662))^R$530-R$531,R$503*(R464*(ConcFract_Indoor*1000000/R662)/(R474*Wind))^R$504-R$505))),0.1)</f>
        <v>0.1</v>
      </c>
      <c r="S727" s="83"/>
      <c r="T727" s="1206">
        <f>IF(AND(T474&gt;0,T662&gt;0),IF(Location="Indoors",IF(ConcFract_Indoor*T684&lt;=T662,0.1,T$503*((IF(Enclosed_Ventilation_Rate&gt;1,Enclosed_Ventilation_Rate,1)*Enclosed_Process_Volume*T474*T684/88020000000)*1000000*(ConcFract_Indoor/T662-1/T684)/(T474*Wind))^T$504),IF(OR(T662=0,T662&gt;=ConcFract_Indoor*1000000),0,IF(T208="Instantaneous",T$529*((T457/T474)*(ConcFract_Indoor*1000000/T662))^T$530-T$531,T$503*(T464*(ConcFract_Indoor*1000000/T662)/(T474*Wind))^T$504-T$505))),0.1)</f>
        <v>0.1</v>
      </c>
      <c r="U727" s="83"/>
      <c r="V727" s="1206">
        <f>IF(AND(V474&gt;0,V662&gt;0),IF(Location="Indoors",IF(ConcFract_Indoor*V684&lt;=V662,0.1,V$503*((IF(Enclosed_Ventilation_Rate&gt;1,Enclosed_Ventilation_Rate,1)*Enclosed_Process_Volume*V474*V684/88020000000)*1000000*(ConcFract_Indoor/V662-1/V684)/(V474*Wind))^V$504),IF(OR(V662=0,V662&gt;=ConcFract_Indoor*1000000),0,IF(V208="Instantaneous",V$529*((V457/V474)*(ConcFract_Indoor*1000000/V662))^V$530-V$531,V$503*(V464*(ConcFract_Indoor*1000000/V662)/(V474*Wind))^V$504-V$505))),0.1)</f>
        <v>0.1</v>
      </c>
      <c r="W727" s="83"/>
      <c r="X727" s="1206">
        <f>IF(AND(X474&gt;0,X662&gt;0),IF(Location="Indoors",IF(ConcFract_Indoor*X684&lt;=X662,0.1,X$503*((IF(Enclosed_Ventilation_Rate&gt;1,Enclosed_Ventilation_Rate,1)*Enclosed_Process_Volume*X474*X684/88020000000)*1000000*(ConcFract_Indoor/X662-1/X684)/(X474*Wind))^X$504),IF(OR(X662=0,X662&gt;=ConcFract_Indoor*1000000),0,IF(X208="Instantaneous",X$529*((X457/X474)*(ConcFract_Indoor*1000000/X662))^X$530-X$531,X$503*(X464*(ConcFract_Indoor*1000000/X662)/(X474*Wind))^X$504-X$505))),0.1)</f>
        <v>0.1</v>
      </c>
      <c r="Y727" s="83"/>
      <c r="Z727" s="85" t="s">
        <v>1068</v>
      </c>
      <c r="AA727" s="2"/>
      <c r="AB727" s="81"/>
      <c r="AC727" s="23" t="s">
        <v>628</v>
      </c>
      <c r="AD727" s="81"/>
      <c r="AE727" s="1182">
        <f>IF(AE718&lt;&gt;"Yes",0,Bldg2_Explosion_Press)</f>
        <v>0</v>
      </c>
      <c r="AF727" s="81"/>
      <c r="AG727" s="1182">
        <f>IF(AG718&lt;&gt;"Yes",0,Bldg2_Explosion_Press)</f>
        <v>0</v>
      </c>
      <c r="AH727" s="81"/>
      <c r="AI727" s="1182">
        <f>IF(AI718&lt;&gt;"Yes",0,Bldg2_Explosion_Press)</f>
        <v>0</v>
      </c>
      <c r="AJ727" s="81"/>
      <c r="AK727" s="81"/>
      <c r="AL727" s="81"/>
      <c r="AM727" s="81"/>
      <c r="AN727" s="81"/>
      <c r="AO727" s="81"/>
      <c r="AP727" s="81"/>
      <c r="AQ727" s="85" t="s">
        <v>968</v>
      </c>
      <c r="AR727" s="81"/>
    </row>
    <row r="728" spans="1:44" ht="15" customHeight="1" thickBot="1" x14ac:dyDescent="0.3">
      <c r="A728" s="2"/>
      <c r="B728" s="23" t="s">
        <v>3708</v>
      </c>
      <c r="C728" s="83"/>
      <c r="D728" s="1206">
        <f>IF(D532="Instantaneous",Dispersion_I,Dispersion_D)*(MAX(D727,Public)^2-Public^2)</f>
        <v>3.0000000000000005E-3</v>
      </c>
      <c r="E728" s="83"/>
      <c r="F728" s="1206">
        <f>IF(F532="Instantaneous",Dispersion_I,Dispersion_D)*(MAX(F727,Public)^2-Public^2)</f>
        <v>3.0000000000000005E-3</v>
      </c>
      <c r="G728" s="83"/>
      <c r="H728" s="1206">
        <f>IF(H532="Instantaneous",Dispersion_I,Dispersion_D)*(MAX(H727,Public)^2-Public^2)</f>
        <v>3.0000000000000005E-3</v>
      </c>
      <c r="I728" s="83"/>
      <c r="J728" s="1206">
        <f>IF(J532="Instantaneous",Dispersion_I,Dispersion_D)*(MAX(J727,Public)^2-Public^2)</f>
        <v>3.0000000000000005E-3</v>
      </c>
      <c r="K728" s="83"/>
      <c r="L728" s="1206">
        <f>IF(L532="Instantaneous",Dispersion_I,Dispersion_D)*(MAX(L727,Public)^2-Public^2)</f>
        <v>3.0000000000000005E-3</v>
      </c>
      <c r="M728" s="83"/>
      <c r="N728" s="1206">
        <f>IF(N532="Instantaneous",Dispersion_I,Dispersion_D)*(MAX(N727,Public)^2-Public^2)</f>
        <v>3.0000000000000005E-3</v>
      </c>
      <c r="O728" s="83"/>
      <c r="P728" s="1206">
        <f>IF(P532="Instantaneous",Dispersion_I,Dispersion_D)*(MAX(P727,Public)^2-Public^2)</f>
        <v>3.0000000000000005E-3</v>
      </c>
      <c r="Q728" s="83"/>
      <c r="R728" s="1206">
        <f>IF(R532="Instantaneous",Dispersion_I,Dispersion_D)*(MAX(R727,Public)^2-Public^2)</f>
        <v>3.0000000000000005E-3</v>
      </c>
      <c r="S728" s="83"/>
      <c r="T728" s="1206">
        <f>IF(T532="Instantaneous",Dispersion_I,Dispersion_D)*(MAX(T727,Public)^2-Public^2)</f>
        <v>3.0000000000000005E-3</v>
      </c>
      <c r="U728" s="83"/>
      <c r="V728" s="1206">
        <f>IF(V532="Instantaneous",Dispersion_I,Dispersion_D)*(MAX(V727,Public)^2-Public^2)</f>
        <v>3.0000000000000005E-3</v>
      </c>
      <c r="W728" s="83"/>
      <c r="X728" s="1206">
        <f>IF(X532="Instantaneous",Dispersion_I,Dispersion_D)*(MAX(X727,Public)^2-Public^2)</f>
        <v>3.0000000000000005E-3</v>
      </c>
      <c r="Y728" s="83"/>
      <c r="Z728" s="85" t="s">
        <v>3804</v>
      </c>
      <c r="AA728" s="2"/>
      <c r="AB728" s="81"/>
      <c r="AC728" s="25" t="s">
        <v>1863</v>
      </c>
      <c r="AD728" s="81"/>
      <c r="AE728" s="98" t="str">
        <f>IF(AND(AE722&gt;10,OR(AE725&gt;Bldg_Type_Correction,AE727&gt;Bldg2_Type_Correction)),"Yes","No")</f>
        <v>No</v>
      </c>
      <c r="AF728" s="81"/>
      <c r="AG728" s="98" t="str">
        <f>IF(AND(AG722&gt;10,OR(AG725&gt;Bldg_Type_Correction,AG727&gt;Bldg2_Type_Correction)),"Yes","No")</f>
        <v>No</v>
      </c>
      <c r="AH728" s="81"/>
      <c r="AI728" s="98" t="str">
        <f>IF(AND(AI722&gt;10,OR(AI725&gt;Bldg_Type_Correction,AI727&gt;Bldg2_Type_Correction)),"Yes","No")</f>
        <v>No</v>
      </c>
      <c r="AJ728" s="81"/>
      <c r="AK728" s="81"/>
      <c r="AL728" s="81"/>
      <c r="AM728" s="81"/>
      <c r="AN728" s="81"/>
      <c r="AO728" s="81"/>
      <c r="AP728" s="81"/>
      <c r="AQ728" s="25"/>
      <c r="AR728" s="81"/>
    </row>
    <row r="729" spans="1:44" ht="15" customHeight="1" thickBot="1" x14ac:dyDescent="0.3">
      <c r="A729" s="2"/>
      <c r="B729" s="23" t="s">
        <v>3709</v>
      </c>
      <c r="C729" s="83"/>
      <c r="D729" s="1206">
        <f>IF(OR(D$661=0,D$651=""),0,IF(D727&gt;Zone_1,IF(D532="Instantaneous",Dispersion_I,Dispersion_D)*(MAX(Public,Zone_1)^2-MAX(Public,D727)^2),IF(D532="Instantaneous",Dispersion_I,Dispersion_D)*D$651^(2*IF(D532="Instantaneous",D$530,D$504))*D$673^2*(EXP(D$659+D$661*MAX(Public,Zone_1)^2/(D$651^(2*IF(D532="Instantaneous",D$530,D$504))*D$673^2))-EXP(D$659+D$661*MAX(Public,D727)^2/(D$651^(2*IF(D532="Instantaneous",D$530,D$504))*D$673^2)))/D$661))</f>
        <v>0</v>
      </c>
      <c r="E729" s="83"/>
      <c r="F729" s="1206">
        <f>IF(OR(F$661=0,F$651=""),0,IF(F727&gt;Zone_1,IF(F532="Instantaneous",Dispersion_I,Dispersion_D)*(MAX(Public,Zone_1)^2-MAX(Public,F727)^2),IF(F532="Instantaneous",Dispersion_I,Dispersion_D)*F$651^(2*IF(F532="Instantaneous",F$530,F$504))*F$673^2*(EXP(F$659+F$661*MAX(Public,Zone_1)^2/(F$651^(2*IF(F532="Instantaneous",F$530,F$504))*F$673^2))-EXP(F$659+F$661*MAX(Public,F727)^2/(F$651^(2*IF(F532="Instantaneous",F$530,F$504))*F$673^2)))/F$661))</f>
        <v>0</v>
      </c>
      <c r="G729" s="83"/>
      <c r="H729" s="1206">
        <f>IF(OR(H$661=0,H$651=""),0,IF(H727&gt;Zone_1,IF(H532="Instantaneous",Dispersion_I,Dispersion_D)*(MAX(Public,Zone_1)^2-MAX(Public,H727)^2),IF(H532="Instantaneous",Dispersion_I,Dispersion_D)*H$651^(2*IF(H532="Instantaneous",H$530,H$504))*H$673^2*(EXP(H$659+H$661*MAX(Public,Zone_1)^2/(H$651^(2*IF(H532="Instantaneous",H$530,H$504))*H$673^2))-EXP(H$659+H$661*MAX(Public,H727)^2/(H$651^(2*IF(H532="Instantaneous",H$530,H$504))*H$673^2)))/H$661))</f>
        <v>0</v>
      </c>
      <c r="I729" s="83"/>
      <c r="J729" s="1206">
        <f>IF(OR(J$661=0,J$651=""),0,IF(J727&gt;Zone_1,IF(J532="Instantaneous",Dispersion_I,Dispersion_D)*(MAX(Public,Zone_1)^2-MAX(Public,J727)^2),IF(J532="Instantaneous",Dispersion_I,Dispersion_D)*J$651^(2*IF(J532="Instantaneous",J$530,J$504))*J$673^2*(EXP(J$659+J$661*MAX(Public,Zone_1)^2/(J$651^(2*IF(J532="Instantaneous",J$530,J$504))*J$673^2))-EXP(J$659+J$661*MAX(Public,J727)^2/(J$651^(2*IF(J532="Instantaneous",J$530,J$504))*J$673^2)))/J$661))</f>
        <v>0</v>
      </c>
      <c r="K729" s="83"/>
      <c r="L729" s="1206">
        <f>IF(OR(L$661=0,L$651=""),0,IF(L727&gt;Zone_1,IF(L532="Instantaneous",Dispersion_I,Dispersion_D)*(MAX(Public,Zone_1)^2-MAX(Public,L727)^2),IF(L532="Instantaneous",Dispersion_I,Dispersion_D)*L$651^(2*IF(L532="Instantaneous",L$530,L$504))*L$673^2*(EXP(L$659+L$661*MAX(Public,Zone_1)^2/(L$651^(2*IF(L532="Instantaneous",L$530,L$504))*L$673^2))-EXP(L$659+L$661*MAX(Public,L727)^2/(L$651^(2*IF(L532="Instantaneous",L$530,L$504))*L$673^2)))/L$661))</f>
        <v>0</v>
      </c>
      <c r="M729" s="83"/>
      <c r="N729" s="1206">
        <f>IF(OR(N$661=0,N$651=""),0,IF(N727&gt;Zone_1,IF(N532="Instantaneous",Dispersion_I,Dispersion_D)*(MAX(Public,Zone_1)^2-MAX(Public,N727)^2),IF(N532="Instantaneous",Dispersion_I,Dispersion_D)*N$651^(2*IF(N532="Instantaneous",N$530,N$504))*N$673^2*(EXP(N$659+N$661*MAX(Public,Zone_1)^2/(N$651^(2*IF(N532="Instantaneous",N$530,N$504))*N$673^2))-EXP(N$659+N$661*MAX(Public,N727)^2/(N$651^(2*IF(N532="Instantaneous",N$530,N$504))*N$673^2)))/N$661))</f>
        <v>0</v>
      </c>
      <c r="O729" s="83"/>
      <c r="P729" s="1206">
        <f>IF(OR(P$661=0,P$651=""),0,IF(P727&gt;Zone_1,IF(P532="Instantaneous",Dispersion_I,Dispersion_D)*(MAX(Public,Zone_1)^2-MAX(Public,P727)^2),IF(P532="Instantaneous",Dispersion_I,Dispersion_D)*P$651^(2*IF(P532="Instantaneous",P$530,P$504))*P$673^2*(EXP(P$659+P$661*MAX(Public,Zone_1)^2/(P$651^(2*IF(P532="Instantaneous",P$530,P$504))*P$673^2))-EXP(P$659+P$661*MAX(Public,P727)^2/(P$651^(2*IF(P532="Instantaneous",P$530,P$504))*P$673^2)))/P$661))</f>
        <v>0</v>
      </c>
      <c r="Q729" s="83"/>
      <c r="R729" s="1206">
        <f>IF(OR(R$661=0,R$651=""),0,IF(R727&gt;Zone_1,IF(R532="Instantaneous",Dispersion_I,Dispersion_D)*(MAX(Public,Zone_1)^2-MAX(Public,R727)^2),IF(R532="Instantaneous",Dispersion_I,Dispersion_D)*R$651^(2*IF(R532="Instantaneous",R$530,R$504))*R$673^2*(EXP(R$659+R$661*MAX(Public,Zone_1)^2/(R$651^(2*IF(R532="Instantaneous",R$530,R$504))*R$673^2))-EXP(R$659+R$661*MAX(Public,R727)^2/(R$651^(2*IF(R532="Instantaneous",R$530,R$504))*R$673^2)))/R$661))</f>
        <v>0</v>
      </c>
      <c r="S729" s="83"/>
      <c r="T729" s="1206">
        <f>IF(OR(T$661=0,T$651=""),0,IF(T727&gt;Zone_1,IF(T532="Instantaneous",Dispersion_I,Dispersion_D)*(MAX(Public,Zone_1)^2-MAX(Public,T727)^2),IF(T532="Instantaneous",Dispersion_I,Dispersion_D)*T$651^(2*IF(T532="Instantaneous",T$530,T$504))*T$673^2*(EXP(T$659+T$661*MAX(Public,Zone_1)^2/(T$651^(2*IF(T532="Instantaneous",T$530,T$504))*T$673^2))-EXP(T$659+T$661*MAX(Public,T727)^2/(T$651^(2*IF(T532="Instantaneous",T$530,T$504))*T$673^2)))/T$661))</f>
        <v>0</v>
      </c>
      <c r="U729" s="83"/>
      <c r="V729" s="1206">
        <f>IF(OR(V$661=0,V$651=""),0,IF(V727&gt;Zone_1,IF(V532="Instantaneous",Dispersion_I,Dispersion_D)*(MAX(Public,Zone_1)^2-MAX(Public,V727)^2),IF(V532="Instantaneous",Dispersion_I,Dispersion_D)*V$651^(2*IF(V532="Instantaneous",V$530,V$504))*V$673^2*(EXP(V$659+V$661*MAX(Public,Zone_1)^2/(V$651^(2*IF(V532="Instantaneous",V$530,V$504))*V$673^2))-EXP(V$659+V$661*MAX(Public,V727)^2/(V$651^(2*IF(V532="Instantaneous",V$530,V$504))*V$673^2)))/V$661))</f>
        <v>0</v>
      </c>
      <c r="W729" s="83"/>
      <c r="X729" s="1206">
        <f>IF(OR(X$661=0,X$651=""),0,IF(X727&gt;Zone_1,IF(X532="Instantaneous",Dispersion_I,Dispersion_D)*(MAX(Public,Zone_1)^2-MAX(Public,X727)^2),IF(X532="Instantaneous",Dispersion_I,Dispersion_D)*X$651^(2*IF(X532="Instantaneous",X$530,X$504))*X$673^2*(EXP(X$659+X$661*MAX(Public,Zone_1)^2/(X$651^(2*IF(X532="Instantaneous",X$530,X$504))*X$673^2))-EXP(X$659+X$661*MAX(Public,X727)^2/(X$651^(2*IF(X532="Instantaneous",X$530,X$504))*X$673^2)))/X$661))</f>
        <v>0</v>
      </c>
      <c r="Y729" s="83"/>
      <c r="Z729" s="85" t="s">
        <v>3804</v>
      </c>
      <c r="AA729" s="2"/>
      <c r="AB729" s="81"/>
      <c r="AC729" s="85" t="s">
        <v>1532</v>
      </c>
      <c r="AD729" s="81"/>
      <c r="AE729" s="99" t="str">
        <f>IF(OR(Flash_Pt_Feed="",AE479=0,Location&lt;&gt;"Outdoors"),"No",IF(OR(AND(Flame_Speed_Feed="High",MIN(AE470,AE479*AE731/Wind)&gt;VCE_LowTotal),AND(Flame_Speed_Feed&lt;&gt;"High",MIN(AE470,AE479*AE731/Wind)&gt;VCE_HighTotal)),"Yes","No"))</f>
        <v>No</v>
      </c>
      <c r="AF729" s="81"/>
      <c r="AG729" s="99" t="str">
        <f>IF(OR(Flash_Pt_Feed="",AG479=0,Location&lt;&gt;"Outdoors"),"No",IF(OR(AND(Flame_Speed_Feed="High",MIN(AG470,AG479*AG731/Wind)&gt;VCE_LowTotal),AND(Flame_Speed_Feed&lt;&gt;"High",MIN(AG470,AG479*AG731/Wind)&gt;VCE_HighTotal)),"Yes","No"))</f>
        <v>No</v>
      </c>
      <c r="AH729" s="81"/>
      <c r="AI729" s="99" t="str">
        <f>IF(OR(Flash_Pt_Feed="",AI479=0,Location&lt;&gt;"Outdoors"),"No",IF(OR(AND(Flame_Speed_Feed="High",MIN(AI470,AI479*AI731/Wind)&gt;VCE_LowTotal),AND(Flame_Speed_Feed&lt;&gt;"High",MIN(AI470,AI479*AI731/Wind)&gt;VCE_HighTotal)),"Yes","No"))</f>
        <v>No</v>
      </c>
      <c r="AJ729" s="81"/>
      <c r="AK729" s="81"/>
      <c r="AL729" s="81"/>
      <c r="AM729" s="81"/>
      <c r="AN729" s="81"/>
      <c r="AO729" s="81"/>
      <c r="AP729" s="81"/>
      <c r="AQ729" s="92"/>
      <c r="AR729" s="81"/>
    </row>
    <row r="730" spans="1:44" ht="15" customHeight="1" thickBot="1" x14ac:dyDescent="0.3">
      <c r="A730" s="2"/>
      <c r="B730" s="23" t="s">
        <v>3710</v>
      </c>
      <c r="C730" s="83"/>
      <c r="D730" s="1206">
        <f>IF(Zone_1&lt;Public,IF(D532="Instantaneous",Dispersion_I,Dispersion_D)*(MAX(D727,Public)^2-Public^2),IF(D532="Instantaneous",Dispersion_I,Dispersion_D)*(MAX(D727,Zone_1)^2-Zone_1^2))</f>
        <v>3.0000000000000005E-3</v>
      </c>
      <c r="E730" s="83"/>
      <c r="F730" s="1206">
        <f>IF(Zone_1&lt;Public,IF(F532="Instantaneous",Dispersion_I,Dispersion_D)*(MAX(F727,Public)^2-Public^2),IF(F532="Instantaneous",Dispersion_I,Dispersion_D)*(MAX(F727,Zone_1)^2-Zone_1^2))</f>
        <v>3.0000000000000005E-3</v>
      </c>
      <c r="G730" s="83"/>
      <c r="H730" s="1206">
        <f>IF(Zone_1&lt;Public,IF(H532="Instantaneous",Dispersion_I,Dispersion_D)*(MAX(H727,Public)^2-Public^2),IF(H532="Instantaneous",Dispersion_I,Dispersion_D)*(MAX(H727,Zone_1)^2-Zone_1^2))</f>
        <v>3.0000000000000005E-3</v>
      </c>
      <c r="I730" s="83"/>
      <c r="J730" s="1206">
        <f>IF(Zone_1&lt;Public,IF(J532="Instantaneous",Dispersion_I,Dispersion_D)*(MAX(J727,Public)^2-Public^2),IF(J532="Instantaneous",Dispersion_I,Dispersion_D)*(MAX(J727,Zone_1)^2-Zone_1^2))</f>
        <v>3.0000000000000005E-3</v>
      </c>
      <c r="K730" s="83"/>
      <c r="L730" s="1206">
        <f>IF(Zone_1&lt;Public,IF(L532="Instantaneous",Dispersion_I,Dispersion_D)*(MAX(L727,Public)^2-Public^2),IF(L532="Instantaneous",Dispersion_I,Dispersion_D)*(MAX(L727,Zone_1)^2-Zone_1^2))</f>
        <v>3.0000000000000005E-3</v>
      </c>
      <c r="M730" s="83"/>
      <c r="N730" s="1206">
        <f>IF(Zone_1&lt;Public,IF(N532="Instantaneous",Dispersion_I,Dispersion_D)*(MAX(N727,Public)^2-Public^2),IF(N532="Instantaneous",Dispersion_I,Dispersion_D)*(MAX(N727,Zone_1)^2-Zone_1^2))</f>
        <v>3.0000000000000005E-3</v>
      </c>
      <c r="O730" s="83"/>
      <c r="P730" s="1206">
        <f>IF(Zone_1&lt;Public,IF(P532="Instantaneous",Dispersion_I,Dispersion_D)*(MAX(P727,Public)^2-Public^2),IF(P532="Instantaneous",Dispersion_I,Dispersion_D)*(MAX(P727,Zone_1)^2-Zone_1^2))</f>
        <v>3.0000000000000005E-3</v>
      </c>
      <c r="Q730" s="83"/>
      <c r="R730" s="1206">
        <f>IF(Zone_1&lt;Public,IF(R532="Instantaneous",Dispersion_I,Dispersion_D)*(MAX(R727,Public)^2-Public^2),IF(R532="Instantaneous",Dispersion_I,Dispersion_D)*(MAX(R727,Zone_1)^2-Zone_1^2))</f>
        <v>3.0000000000000005E-3</v>
      </c>
      <c r="S730" s="83"/>
      <c r="T730" s="1206">
        <f>IF(Zone_1&lt;Public,IF(T532="Instantaneous",Dispersion_I,Dispersion_D)*(MAX(T727,Public)^2-Public^2),IF(T532="Instantaneous",Dispersion_I,Dispersion_D)*(MAX(T727,Zone_1)^2-Zone_1^2))</f>
        <v>3.0000000000000005E-3</v>
      </c>
      <c r="U730" s="83"/>
      <c r="V730" s="1206">
        <f>IF(Zone_1&lt;Public,IF(V532="Instantaneous",Dispersion_I,Dispersion_D)*(MAX(V727,Public)^2-Public^2),IF(V532="Instantaneous",Dispersion_I,Dispersion_D)*(MAX(V727,Zone_1)^2-Zone_1^2))</f>
        <v>3.0000000000000005E-3</v>
      </c>
      <c r="W730" s="83"/>
      <c r="X730" s="1206">
        <f>IF(Zone_1&lt;Public,IF(X532="Instantaneous",Dispersion_I,Dispersion_D)*(MAX(X727,Public)^2-Public^2),IF(X532="Instantaneous",Dispersion_I,Dispersion_D)*(MAX(X727,Zone_1)^2-Zone_1^2))</f>
        <v>3.0000000000000005E-3</v>
      </c>
      <c r="Y730" s="83"/>
      <c r="Z730" s="85" t="s">
        <v>3804</v>
      </c>
      <c r="AA730" s="2"/>
      <c r="AB730" s="81"/>
      <c r="AC730" s="119" t="s">
        <v>5140</v>
      </c>
      <c r="AD730" s="81"/>
      <c r="AE730" s="3080">
        <f>IF(OR(Flammable_Potential&lt;&gt;"Yes",AE657="",AE450=0),0,IF(AE559="Instantaneous",AE$556*((AE470/AE488)*(IF(AE534&gt;AE657/100,AvgTime_Correction,1)*(100/LFL_Fract_FlashFIre)/AE657))^AE$557-AE$558,AE$530*(AE479*(IF(AE509&gt;AE657/100,AvgTime_Correction,1)*(100/LFL_Fract_FlashFIre)/AE657)/(AE488*Wind))^AE$531-AE$532))</f>
        <v>0</v>
      </c>
      <c r="AF730" s="81"/>
      <c r="AG730" s="3080">
        <f>IF(OR(Flammable_Potential&lt;&gt;"Yes",AG657="",AG478=0,AG450=0),0,IF(AG559="Instantaneous",AG$556*((AG470/AG488)*(IF(AG534&gt;AG657/100,AvgTime_Correction,1)*(100/LFL_Fract_FlashFIre)/AG657))^AG$557-AG$558,AG$530*(AG479*(IF(AG509&gt;AG657/100,AvgTime_Correction,1)*(100/LFL_Fract_FlashFIre)/AG657)/(AG488*Wind))^AG$531-AG$532))</f>
        <v>0</v>
      </c>
      <c r="AH730" s="81"/>
      <c r="AI730" s="3080">
        <f>IF(OR(Flammable_Potential&lt;&gt;"Yes",AI657="",AI450=0),0,IF(AI559="Instantaneous",AI$556*((AI470/AI488)*(IF(AI534&gt;AI657/100,AvgTime_Correction,1)*(100/LFL_Fract_FlashFIre)/AI657))^AI$557-AI$558,AI$530*(AI479*(IF(AI509&gt;AI657/100,AvgTime_Correction,1)*(100/LFL_Fract_FlashFIre)/AI657)/(AI488*Wind))^AI$531-AI$532))</f>
        <v>0</v>
      </c>
      <c r="AJ730" s="81"/>
      <c r="AK730" s="81"/>
      <c r="AL730" s="81"/>
      <c r="AM730" s="81"/>
      <c r="AN730" s="81"/>
      <c r="AO730" s="81"/>
      <c r="AP730" s="81"/>
      <c r="AQ730" s="85" t="s">
        <v>1068</v>
      </c>
      <c r="AR730" s="81"/>
    </row>
    <row r="731" spans="1:44" ht="15" customHeight="1" thickBot="1" x14ac:dyDescent="0.3">
      <c r="A731" s="2"/>
      <c r="B731" s="23" t="s">
        <v>3711</v>
      </c>
      <c r="C731" s="83"/>
      <c r="D731" s="1206">
        <f>IF(OR(D$661=0,D$651=""),0,IF(Zone_1&lt;Public,IF(D532="Instantaneous",Dispersion_I,Dispersion_D)*D$651^(2*IF(D532="Instantaneous",D$530,D$504))*D$673^2*(0-EXP(D$659+D$661*MAX(D727,Public)^2/(D$651^(2*IF(D532="Instantaneous",D$530,D$504))*D$673^2)))/D$661,IF(D532="Instantaneous",Dispersion_I,Dispersion_D)*D$651^(2*IF(D532="Instantaneous",D$530,D$504))*D$673^2*(0-EXP(D$659+D$661*MAX(D727,Zone_1)^2/(D$651^(2*IF(D532="Instantaneous",D$530,D$504))*D$673^2)))/D$661))</f>
        <v>0</v>
      </c>
      <c r="E731" s="83"/>
      <c r="F731" s="1206">
        <f>IF(OR(F$661=0,F$651=""),0,IF(Zone_1&lt;Public,IF(F532="Instantaneous",Dispersion_I,Dispersion_D)*F$651^(2*IF(F532="Instantaneous",F$530,F$504))*F$673^2*(0-EXP(F$659+F$661*MAX(F727,Public)^2/(F$651^(2*IF(F532="Instantaneous",F$530,F$504))*F$673^2)))/F$661,IF(F532="Instantaneous",Dispersion_I,Dispersion_D)*F$651^(2*IF(F532="Instantaneous",F$530,F$504))*F$673^2*(0-EXP(F$659+F$661*MAX(F727,Zone_1)^2/(F$651^(2*IF(F532="Instantaneous",F$530,F$504))*F$673^2)))/F$661))</f>
        <v>0</v>
      </c>
      <c r="G731" s="83"/>
      <c r="H731" s="1206">
        <f>IF(OR(H$661=0,H$651=""),0,IF(Zone_1&lt;Public,IF(H532="Instantaneous",Dispersion_I,Dispersion_D)*H$651^(2*IF(H532="Instantaneous",H$530,H$504))*H$673^2*(0-EXP(H$659+H$661*MAX(H727,Public)^2/(H$651^(2*IF(H532="Instantaneous",H$530,H$504))*H$673^2)))/H$661,IF(H532="Instantaneous",Dispersion_I,Dispersion_D)*H$651^(2*IF(H532="Instantaneous",H$530,H$504))*H$673^2*(0-EXP(H$659+H$661*MAX(H727,Zone_1)^2/(H$651^(2*IF(H532="Instantaneous",H$530,H$504))*H$673^2)))/H$661))</f>
        <v>0</v>
      </c>
      <c r="I731" s="83"/>
      <c r="J731" s="1206">
        <f>IF(OR(J$661=0,J$651=""),0,IF(Zone_1&lt;Public,IF(J532="Instantaneous",Dispersion_I,Dispersion_D)*J$651^(2*IF(J532="Instantaneous",J$530,J$504))*J$673^2*(0-EXP(J$659+J$661*MAX(J727,Public)^2/(J$651^(2*IF(J532="Instantaneous",J$530,J$504))*J$673^2)))/J$661,IF(J532="Instantaneous",Dispersion_I,Dispersion_D)*J$651^(2*IF(J532="Instantaneous",J$530,J$504))*J$673^2*(0-EXP(J$659+J$661*MAX(J727,Zone_1)^2/(J$651^(2*IF(J532="Instantaneous",J$530,J$504))*J$673^2)))/J$661))</f>
        <v>0</v>
      </c>
      <c r="K731" s="83"/>
      <c r="L731" s="1206">
        <f>IF(OR(L$661=0,L$651=""),0,IF(Zone_1&lt;Public,IF(L532="Instantaneous",Dispersion_I,Dispersion_D)*L$651^(2*IF(L532="Instantaneous",L$530,L$504))*L$673^2*(0-EXP(L$659+L$661*MAX(L727,Public)^2/(L$651^(2*IF(L532="Instantaneous",L$530,L$504))*L$673^2)))/L$661,IF(L532="Instantaneous",Dispersion_I,Dispersion_D)*L$651^(2*IF(L532="Instantaneous",L$530,L$504))*L$673^2*(0-EXP(L$659+L$661*MAX(L727,Zone_1)^2/(L$651^(2*IF(L532="Instantaneous",L$530,L$504))*L$673^2)))/L$661))</f>
        <v>0</v>
      </c>
      <c r="M731" s="83"/>
      <c r="N731" s="1206">
        <f>IF(OR(N$661=0,N$651=""),0,IF(Zone_1&lt;Public,IF(N532="Instantaneous",Dispersion_I,Dispersion_D)*N$651^(2*IF(N532="Instantaneous",N$530,N$504))*N$673^2*(0-EXP(N$659+N$661*MAX(N727,Public)^2/(N$651^(2*IF(N532="Instantaneous",N$530,N$504))*N$673^2)))/N$661,IF(N532="Instantaneous",Dispersion_I,Dispersion_D)*N$651^(2*IF(N532="Instantaneous",N$530,N$504))*N$673^2*(0-EXP(N$659+N$661*MAX(N727,Zone_1)^2/(N$651^(2*IF(N532="Instantaneous",N$530,N$504))*N$673^2)))/N$661))</f>
        <v>0</v>
      </c>
      <c r="O731" s="83"/>
      <c r="P731" s="1206">
        <f>IF(OR(P$661=0,P$651=""),0,IF(Zone_1&lt;Public,IF(P532="Instantaneous",Dispersion_I,Dispersion_D)*P$651^(2*IF(P532="Instantaneous",P$530,P$504))*P$673^2*(0-EXP(P$659+P$661*MAX(P727,Public)^2/(P$651^(2*IF(P532="Instantaneous",P$530,P$504))*P$673^2)))/P$661,IF(P532="Instantaneous",Dispersion_I,Dispersion_D)*P$651^(2*IF(P532="Instantaneous",P$530,P$504))*P$673^2*(0-EXP(P$659+P$661*MAX(P727,Zone_1)^2/(P$651^(2*IF(P532="Instantaneous",P$530,P$504))*P$673^2)))/P$661))</f>
        <v>0</v>
      </c>
      <c r="Q731" s="83"/>
      <c r="R731" s="1206">
        <f>IF(OR(R$661=0,R$651=""),0,IF(Zone_1&lt;Public,IF(R532="Instantaneous",Dispersion_I,Dispersion_D)*R$651^(2*IF(R532="Instantaneous",R$530,R$504))*R$673^2*(0-EXP(R$659+R$661*MAX(R727,Public)^2/(R$651^(2*IF(R532="Instantaneous",R$530,R$504))*R$673^2)))/R$661,IF(R532="Instantaneous",Dispersion_I,Dispersion_D)*R$651^(2*IF(R532="Instantaneous",R$530,R$504))*R$673^2*(0-EXP(R$659+R$661*MAX(R727,Zone_1)^2/(R$651^(2*IF(R532="Instantaneous",R$530,R$504))*R$673^2)))/R$661))</f>
        <v>0</v>
      </c>
      <c r="S731" s="83"/>
      <c r="T731" s="1206">
        <f>IF(OR(T$661=0,T$651=""),0,IF(Zone_1&lt;Public,IF(T532="Instantaneous",Dispersion_I,Dispersion_D)*T$651^(2*IF(T532="Instantaneous",T$530,T$504))*T$673^2*(0-EXP(T$659+T$661*MAX(T727,Public)^2/(T$651^(2*IF(T532="Instantaneous",T$530,T$504))*T$673^2)))/T$661,IF(T532="Instantaneous",Dispersion_I,Dispersion_D)*T$651^(2*IF(T532="Instantaneous",T$530,T$504))*T$673^2*(0-EXP(T$659+T$661*MAX(T727,Zone_1)^2/(T$651^(2*IF(T532="Instantaneous",T$530,T$504))*T$673^2)))/T$661))</f>
        <v>0</v>
      </c>
      <c r="U731" s="83"/>
      <c r="V731" s="1206">
        <f>IF(OR(V$661=0,V$651=""),0,IF(Zone_1&lt;Public,IF(V532="Instantaneous",Dispersion_I,Dispersion_D)*V$651^(2*IF(V532="Instantaneous",V$530,V$504))*V$673^2*(0-EXP(V$659+V$661*MAX(V727,Public)^2/(V$651^(2*IF(V532="Instantaneous",V$530,V$504))*V$673^2)))/V$661,IF(V532="Instantaneous",Dispersion_I,Dispersion_D)*V$651^(2*IF(V532="Instantaneous",V$530,V$504))*V$673^2*(0-EXP(V$659+V$661*MAX(V727,Zone_1)^2/(V$651^(2*IF(V532="Instantaneous",V$530,V$504))*V$673^2)))/V$661))</f>
        <v>0</v>
      </c>
      <c r="W731" s="83"/>
      <c r="X731" s="1206">
        <f>IF(OR(X$661=0,X$651=""),0,IF(Zone_1&lt;Public,IF(X532="Instantaneous",Dispersion_I,Dispersion_D)*X$651^(2*IF(X532="Instantaneous",X$530,X$504))*X$673^2*(0-EXP(X$659+X$661*MAX(X727,Public)^2/(X$651^(2*IF(X532="Instantaneous",X$530,X$504))*X$673^2)))/X$661,IF(X532="Instantaneous",Dispersion_I,Dispersion_D)*X$651^(2*IF(X532="Instantaneous",X$530,X$504))*X$673^2*(0-EXP(X$659+X$661*MAX(X727,Zone_1)^2/(X$651^(2*IF(X532="Instantaneous",X$530,X$504))*X$673^2)))/X$661))</f>
        <v>0</v>
      </c>
      <c r="Y731" s="83"/>
      <c r="Z731" s="85" t="s">
        <v>3804</v>
      </c>
      <c r="AA731" s="2"/>
      <c r="AB731" s="81"/>
      <c r="AC731" s="119" t="s">
        <v>4726</v>
      </c>
      <c r="AD731" s="81"/>
      <c r="AE731" s="2588">
        <f>IF(OR(Flammable_Potential&lt;&gt;"Yes",AE657="",AE450=0),0,IF(AE559="Instantaneous",AE$556*((AE470/AE488)*(IF(AE534&gt;AE657/100,AvgTime_Correction,1)*100/AE657))^AE$557-AE$558,AE$530*(AE479*(IF(AE509&gt;AE657/100,AvgTime_Correction,1)*100/AE657)/(AE488*Wind))^AE$531-AE$532))</f>
        <v>0</v>
      </c>
      <c r="AF731" s="81"/>
      <c r="AG731" s="2588">
        <f>IF(OR(Flammable_Potential&lt;&gt;"Yes",AG657="",AG478=0,AG450=0),0,IF(AG559="Instantaneous",AG$556*((AG470/AG488)*(IF(AG534&gt;AG657/100,AvgTime_Correction,1)*100/AG657))^AG$557-AG$558,AG$530*(AG479*(IF(AG509&gt;AG657/100,AvgTime_Correction,1)*100/AG657)/(AG488*Wind))^AG$531-AG$532))</f>
        <v>0</v>
      </c>
      <c r="AH731" s="81"/>
      <c r="AI731" s="2588">
        <f>IF(OR(Flammable_Potential&lt;&gt;"Yes",AI657="",AI450=0),0,IF(AI559="Instantaneous",AI$556*((AI470/AI488)*(IF(AI534&gt;AI657/100,AvgTime_Correction,1)*100/AI657))^AI$557-AI$558,AI$530*(AI479*(IF(AI509&gt;AI657/100,AvgTime_Correction,1)*100/AI657)/(AI488*Wind))^AI$531-AI$532))</f>
        <v>0</v>
      </c>
      <c r="AJ731" s="81"/>
      <c r="AK731" s="81"/>
      <c r="AL731" s="81"/>
      <c r="AM731" s="81"/>
      <c r="AN731" s="81"/>
      <c r="AO731" s="81"/>
      <c r="AP731" s="81"/>
      <c r="AQ731" s="85"/>
      <c r="AR731" s="81"/>
    </row>
    <row r="732" spans="1:44" ht="15" customHeight="1" x14ac:dyDescent="0.25">
      <c r="A732" s="2"/>
      <c r="B732" s="23" t="s">
        <v>3712</v>
      </c>
      <c r="C732" s="83"/>
      <c r="D732" s="1861">
        <f>Outdoor_Fract*((D723+D724)*IF(Offsite_PD1="",Offsite_PD,1000000*Offsite_PD1)+(D725+D726)*IF(Offsite_PD2="",Offsite_PD,1000000*Offsite_PD2))/1000000+(1-Outdoor_Fract)*((D728+D729)*IF(Offsite_PD1="",Offsite_PD,1000000*Offsite_PD1)+(D730+D731)*IF(Offsite_PD2="",Offsite_PD,1000000*Offsite_PD2))/1000000</f>
        <v>9.0000000000000019E-6</v>
      </c>
      <c r="E732" s="83"/>
      <c r="F732" s="1861">
        <f>Outdoor_Fract*((F723+F724)*IF(Offsite_PD1="",Offsite_PD,1000000*Offsite_PD1)+(F725+F726)*IF(Offsite_PD2="",Offsite_PD,1000000*Offsite_PD2))/1000000+(1-Outdoor_Fract)*((F728+F729)*IF(Offsite_PD1="",Offsite_PD,1000000*Offsite_PD1)+(F730+F731)*IF(Offsite_PD2="",Offsite_PD,1000000*Offsite_PD2))/1000000</f>
        <v>9.0000000000000019E-6</v>
      </c>
      <c r="G732" s="83"/>
      <c r="H732" s="1861">
        <f>Outdoor_Fract*((H723+H724)*IF(Offsite_PD1="",Offsite_PD,1000000*Offsite_PD1)+(H725+H726)*IF(Offsite_PD2="",Offsite_PD,1000000*Offsite_PD2))/1000000+(1-Outdoor_Fract)*((H728+H729)*IF(Offsite_PD1="",Offsite_PD,1000000*Offsite_PD1)+(H730+H731)*IF(Offsite_PD2="",Offsite_PD,1000000*Offsite_PD2))/1000000</f>
        <v>9.0000000000000019E-6</v>
      </c>
      <c r="I732" s="83"/>
      <c r="J732" s="1861">
        <f>Outdoor_Fract*((J723+J724)*IF(Offsite_PD1="",Offsite_PD,1000000*Offsite_PD1)+(J725+J726)*IF(Offsite_PD2="",Offsite_PD,1000000*Offsite_PD2))/1000000+(1-Outdoor_Fract)*((J728+J729)*IF(Offsite_PD1="",Offsite_PD,1000000*Offsite_PD1)+(J730+J731)*IF(Offsite_PD2="",Offsite_PD,1000000*Offsite_PD2))/1000000</f>
        <v>9.0000000000000019E-6</v>
      </c>
      <c r="K732" s="83"/>
      <c r="L732" s="1861">
        <f>Outdoor_Fract*((L723+L724)*IF(Offsite_PD1="",Offsite_PD,1000000*Offsite_PD1)+(L725+L726)*IF(Offsite_PD2="",Offsite_PD,1000000*Offsite_PD2))/1000000+(1-Outdoor_Fract)*((L728+L729)*IF(Offsite_PD1="",Offsite_PD,1000000*Offsite_PD1)+(L730+L731)*IF(Offsite_PD2="",Offsite_PD,1000000*Offsite_PD2))/1000000</f>
        <v>9.0000000000000019E-6</v>
      </c>
      <c r="M732" s="83"/>
      <c r="N732" s="1861">
        <f>Outdoor_Fract*((N723+N724)*IF(Offsite_PD1="",Offsite_PD,1000000*Offsite_PD1)+(N725+N726)*IF(Offsite_PD2="",Offsite_PD,1000000*Offsite_PD2))/1000000+(1-Outdoor_Fract)*((N728+N729)*IF(Offsite_PD1="",Offsite_PD,1000000*Offsite_PD1)+(N730+N731)*IF(Offsite_PD2="",Offsite_PD,1000000*Offsite_PD2))/1000000</f>
        <v>9.0000000000000019E-6</v>
      </c>
      <c r="O732" s="83"/>
      <c r="P732" s="1861">
        <f>Outdoor_Fract*((P723+P724)*IF(Offsite_PD1="",Offsite_PD,1000000*Offsite_PD1)+(P725+P726)*IF(Offsite_PD2="",Offsite_PD,1000000*Offsite_PD2))/1000000+(1-Outdoor_Fract)*((P728+P729)*IF(Offsite_PD1="",Offsite_PD,1000000*Offsite_PD1)+(P730+P731)*IF(Offsite_PD2="",Offsite_PD,1000000*Offsite_PD2))/1000000</f>
        <v>9.0000000000000019E-6</v>
      </c>
      <c r="Q732" s="83"/>
      <c r="R732" s="1861">
        <f>Outdoor_Fract*((R723+R724)*IF(Offsite_PD1="",Offsite_PD,1000000*Offsite_PD1)+(R725+R726)*IF(Offsite_PD2="",Offsite_PD,1000000*Offsite_PD2))/1000000+(1-Outdoor_Fract)*((R728+R729)*IF(Offsite_PD1="",Offsite_PD,1000000*Offsite_PD1)+(R730+R731)*IF(Offsite_PD2="",Offsite_PD,1000000*Offsite_PD2))/1000000</f>
        <v>9.0000000000000019E-6</v>
      </c>
      <c r="S732" s="83"/>
      <c r="T732" s="1861">
        <f>Outdoor_Fract*((T723+T724)*IF(Offsite_PD1="",Offsite_PD,1000000*Offsite_PD1)+(T725+T726)*IF(Offsite_PD2="",Offsite_PD,1000000*Offsite_PD2))/1000000+(1-Outdoor_Fract)*((T728+T729)*IF(Offsite_PD1="",Offsite_PD,1000000*Offsite_PD1)+(T730+T731)*IF(Offsite_PD2="",Offsite_PD,1000000*Offsite_PD2))/1000000</f>
        <v>9.0000000000000019E-6</v>
      </c>
      <c r="U732" s="83"/>
      <c r="V732" s="1861">
        <f>Outdoor_Fract*((V723+V724)*IF(Offsite_PD1="",Offsite_PD,1000000*Offsite_PD1)+(V725+V726)*IF(Offsite_PD2="",Offsite_PD,1000000*Offsite_PD2))/1000000+(1-Outdoor_Fract)*((V728+V729)*IF(Offsite_PD1="",Offsite_PD,1000000*Offsite_PD1)+(V730+V731)*IF(Offsite_PD2="",Offsite_PD,1000000*Offsite_PD2))/1000000</f>
        <v>9.0000000000000019E-6</v>
      </c>
      <c r="W732" s="83"/>
      <c r="X732" s="1861">
        <f>Outdoor_Fract*((X723+X724)*IF(Offsite_PD1="",Offsite_PD,1000000*Offsite_PD1)+(X725+X726)*IF(Offsite_PD2="",Offsite_PD,1000000*Offsite_PD2))/1000000+(1-Outdoor_Fract)*((X728+X729)*IF(Offsite_PD1="",Offsite_PD,1000000*Offsite_PD1)+(X730+X731)*IF(Offsite_PD2="",Offsite_PD,1000000*Offsite_PD2))/1000000</f>
        <v>9.0000000000000019E-6</v>
      </c>
      <c r="Y732" s="83"/>
      <c r="Z732" s="23"/>
      <c r="AA732" s="2"/>
      <c r="AB732" s="81"/>
      <c r="AC732" s="851" t="s">
        <v>4725</v>
      </c>
      <c r="AD732" s="81"/>
      <c r="AE732" s="2991">
        <f>IF(AE657="",0,IF(AE559="Continuous",MIN(AE479*AE731/Wind,AE451),AE451)*2440/(AE488*AE657*AvgConc_Correction))</f>
        <v>0</v>
      </c>
      <c r="AF732" s="81"/>
      <c r="AG732" s="2991">
        <f>IF(AG657="",0,IF(AG559="Continuous",MIN(AG479*AG731/Wind,AG451),AG451)*2440/(AG488*AG657*AvgConc_Correction))</f>
        <v>0</v>
      </c>
      <c r="AH732" s="81"/>
      <c r="AI732" s="2991">
        <f>IF(AI657="",0,IF(AI559="Continuous",MIN(AI479*AI731/Wind,AI451),AI451)*2440/(AI488*AI657*AvgConc_Correction))</f>
        <v>0</v>
      </c>
      <c r="AJ732" s="81"/>
      <c r="AK732" s="81"/>
      <c r="AL732" s="81"/>
      <c r="AM732" s="81"/>
      <c r="AN732" s="81"/>
      <c r="AO732" s="81"/>
      <c r="AP732" s="81"/>
      <c r="AQ732" s="85" t="s">
        <v>3803</v>
      </c>
      <c r="AR732" s="81"/>
    </row>
    <row r="733" spans="1:44" ht="15" customHeight="1" x14ac:dyDescent="0.25">
      <c r="A733" s="2"/>
      <c r="B733" s="23" t="s">
        <v>3627</v>
      </c>
      <c r="C733" s="83"/>
      <c r="D733" s="1206">
        <f>IF(AND(D474&gt;0,D665&gt;0),IF(Location="Indoors",IF(D684&lt;=D665,0.1,D$555*((IF(Enclosed_Ventilation_Rate&gt;1,Enclosed_Ventilation_Rate,1)*Enclosed_Process_Volume*D474*D684/88020000000)*1000000*(1/D665-1/D684)/(D474*Wind_Night))^D$556),IF(OR(D665=0,D665&gt;=1000000),0,IF(D584="Instantaneous",D$581*((D457/D474)*(1000000/D665))^D$582-D$583,D$555*(D464*(1000000/D665)/(D474*Wind_Night))^D$556-D$557))),0.1)</f>
        <v>0.1</v>
      </c>
      <c r="E733" s="83"/>
      <c r="F733" s="1206">
        <f>IF(AND(F474&gt;0,F665&gt;0),IF(Location="Indoors",IF(F684&lt;=F665,0.1,F$555*((IF(Enclosed_Ventilation_Rate&gt;1,Enclosed_Ventilation_Rate,1)*Enclosed_Process_Volume*F474*F684/88020000000)*1000000*(1/F665-1/F684)/(F474*Wind_Night))^F$556),IF(OR(F665=0,F665&gt;=1000000),0,IF(F584="Instantaneous",F$581*((F457/F474)*(1000000/F665))^F$582-F$583,F$555*(F464*(1000000/F665)/(F474*Wind_Night))^F$556-F$557))),0.1)</f>
        <v>0.1</v>
      </c>
      <c r="G733" s="83"/>
      <c r="H733" s="1206">
        <f>IF(AND(H474&gt;0,H665&gt;0),IF(Location="Indoors",IF(H684&lt;=H665,0.1,H$555*((IF(Enclosed_Ventilation_Rate&gt;1,Enclosed_Ventilation_Rate,1)*Enclosed_Process_Volume*H474*H684/88020000000)*1000000*(1/H665-1/H684)/(H474*Wind_Night))^H$556),IF(OR(H665=0,H665&gt;=1000000),0,IF(H584="Instantaneous",H$581*((H457/H474)*(1000000/H665))^H$582-H$583,H$555*(H464*(1000000/H665)/(H474*Wind_Night))^H$556-H$557))),0.1)</f>
        <v>0.1</v>
      </c>
      <c r="I733" s="83"/>
      <c r="J733" s="1206">
        <f>IF(AND(J474&gt;0,J665&gt;0),IF(Location="Indoors",IF(J684&lt;=J665,0.1,J$555*((IF(Enclosed_Ventilation_Rate&gt;1,Enclosed_Ventilation_Rate,1)*Enclosed_Process_Volume*J474*J684/88020000000)*1000000*(1/J665-1/J684)/(J474*Wind_Night))^J$556),IF(OR(J665=0,J665&gt;=1000000),0,IF(J584="Instantaneous",J$581*((J457/J474)*(1000000/J665))^J$582-J$583,J$555*(J464*(1000000/J665)/(J474*Wind_Night))^J$556-J$557))),0.1)</f>
        <v>0.1</v>
      </c>
      <c r="K733" s="83"/>
      <c r="L733" s="1206">
        <f>IF(AND(L474&gt;0,L665&gt;0),IF(Location="Indoors",IF(L684&lt;=L665,0.1,L$555*((IF(Enclosed_Ventilation_Rate&gt;1,Enclosed_Ventilation_Rate,1)*Enclosed_Process_Volume*L474*L684/88020000000)*1000000*(1/L665-1/L684)/(L474*Wind_Night))^L$556),IF(OR(L665=0,L665&gt;=1000000),0,IF(L584="Instantaneous",L$581*((L457/L474)*(1000000/L665))^L$582-L$583,L$555*(L464*(1000000/L665)/(L474*Wind_Night))^L$556-L$557))),0.1)</f>
        <v>0.1</v>
      </c>
      <c r="M733" s="83"/>
      <c r="N733" s="1206">
        <f>IF(AND(N474&gt;0,N665&gt;0),IF(Location="Indoors",IF(N684&lt;=N665,0.1,N$555*((IF(Enclosed_Ventilation_Rate&gt;1,Enclosed_Ventilation_Rate,1)*Enclosed_Process_Volume*N474*N684/88020000000)*1000000*(1/N665-1/N684)/(N474*Wind_Night))^N$556),IF(OR(N665=0,N665&gt;=1000000),0,IF(N584="Instantaneous",N$581*((N457/N474)*(1000000/N665))^N$582-N$583,N$555*(N464*(1000000/N665)/(N474*Wind_Night))^N$556-N$557))),0.1)</f>
        <v>0.1</v>
      </c>
      <c r="O733" s="83"/>
      <c r="P733" s="1206">
        <f>IF(AND(P474&gt;0,P665&gt;0),IF(Location="Indoors",IF(P684&lt;=P665,0.1,P$555*((IF(Enclosed_Ventilation_Rate&gt;1,Enclosed_Ventilation_Rate,1)*Enclosed_Process_Volume*P474*P684/88020000000)*1000000*(1/P665-1/P684)/(P474*Wind_Night))^P$556),IF(OR(P665=0,P665&gt;=1000000),0,IF(P584="Instantaneous",P$581*((P457/P474)*(1000000/P665))^P$582-P$583,P$555*(P464*(1000000/P665)/(P474*Wind_Night))^P$556-P$557))),0.1)</f>
        <v>0.1</v>
      </c>
      <c r="Q733" s="83"/>
      <c r="R733" s="1206">
        <f>IF(AND(R474&gt;0,R665&gt;0),IF(Location="Indoors",IF(R684&lt;=R665,0.1,R$555*((IF(Enclosed_Ventilation_Rate&gt;1,Enclosed_Ventilation_Rate,1)*Enclosed_Process_Volume*R474*R684/88020000000)*1000000*(1/R665-1/R684)/(R474*Wind_Night))^R$556),IF(OR(R665=0,R665&gt;=1000000),0,IF(R584="Instantaneous",R$581*((R457/R474)*(1000000/R665))^R$582-R$583,R$555*(R464*(1000000/R665)/(R474*Wind_Night))^R$556-R$557))),0.1)</f>
        <v>0.1</v>
      </c>
      <c r="S733" s="83"/>
      <c r="T733" s="1206">
        <f>IF(AND(T474&gt;0,T665&gt;0),IF(Location="Indoors",IF(T684&lt;=T665,0.1,T$555*((IF(Enclosed_Ventilation_Rate&gt;1,Enclosed_Ventilation_Rate,1)*Enclosed_Process_Volume*T474*T684/88020000000)*1000000*(1/T665-1/T684)/(T474*Wind_Night))^T$556),IF(OR(T665=0,T665&gt;=1000000),0,IF(T584="Instantaneous",T$581*((T457/T474)*(1000000/T665))^T$582-T$583,T$555*(T464*(1000000/T665)/(T474*Wind_Night))^T$556-T$557))),0.1)</f>
        <v>0.1</v>
      </c>
      <c r="U733" s="83"/>
      <c r="V733" s="1206">
        <f>IF(AND(V474&gt;0,V665&gt;0),IF(Location="Indoors",IF(V684&lt;=V665,0.1,V$555*((IF(Enclosed_Ventilation_Rate&gt;1,Enclosed_Ventilation_Rate,1)*Enclosed_Process_Volume*V474*V684/88020000000)*1000000*(1/V665-1/V684)/(V474*Wind_Night))^V$556),IF(OR(V665=0,V665&gt;=1000000),0,IF(V584="Instantaneous",V$581*((V457/V474)*(1000000/V665))^V$582-V$583,V$555*(V464*(1000000/V665)/(V474*Wind_Night))^V$556-V$557))),0.1)</f>
        <v>0.1</v>
      </c>
      <c r="W733" s="83"/>
      <c r="X733" s="1206">
        <f>IF(AND(X474&gt;0,X665&gt;0),IF(Location="Indoors",IF(X684&lt;=X665,0.1,X$555*((IF(Enclosed_Ventilation_Rate&gt;1,Enclosed_Ventilation_Rate,1)*Enclosed_Process_Volume*X474*X684/88020000000)*1000000*(1/X665-1/X684)/(X474*Wind_Night))^X$556),IF(OR(X665=0,X665&gt;=1000000),0,IF(X584="Instantaneous",X$581*((X457/X474)*(1000000/X665))^X$582-X$583,X$555*(X464*(1000000/X665)/(X474*Wind_Night))^X$556-X$557))),0.1)</f>
        <v>0.1</v>
      </c>
      <c r="Y733" s="83"/>
      <c r="Z733" s="85" t="s">
        <v>1068</v>
      </c>
      <c r="AA733" s="2"/>
      <c r="AB733" s="81"/>
      <c r="AC733" s="23" t="s">
        <v>18</v>
      </c>
      <c r="AD733" s="81"/>
      <c r="AE733" s="2846">
        <f>IF(AE729="No",0,IF(AE732*ExplEng_perVolume&lt;ExplEng_Limit,AE732*ExplEng_perVolume,ExplEng_Limit))</f>
        <v>0</v>
      </c>
      <c r="AF733" s="81"/>
      <c r="AG733" s="2846">
        <f>IF(AG729="No",0,IF(AG732*ExplEng_perVolume&lt;ExplEng_Limit,AG732*ExplEng_perVolume,ExplEng_Limit))</f>
        <v>0</v>
      </c>
      <c r="AH733" s="81"/>
      <c r="AI733" s="2846">
        <f>IF(AI729="No",0,IF(AI732*ExplEng_perVolume&lt;ExplEng_Limit,AI732*ExplEng_perVolume,ExplEng_Limit))</f>
        <v>0</v>
      </c>
      <c r="AJ733" s="81"/>
      <c r="AK733" s="81"/>
      <c r="AL733" s="81"/>
      <c r="AM733" s="81"/>
      <c r="AN733" s="81"/>
      <c r="AO733" s="81"/>
      <c r="AP733" s="81"/>
      <c r="AQ733" s="85" t="s">
        <v>1761</v>
      </c>
      <c r="AR733" s="81"/>
    </row>
    <row r="734" spans="1:44" ht="15" customHeight="1" x14ac:dyDescent="0.25">
      <c r="A734" s="2"/>
      <c r="B734" s="23" t="s">
        <v>3630</v>
      </c>
      <c r="C734" s="83"/>
      <c r="D734" s="1206">
        <f>IF(D584="Instantaneous",Dispersion_R,Dispersion_M)*(MAX(D733,Public)^2-Public^2)</f>
        <v>3.0000000000000005E-3</v>
      </c>
      <c r="E734" s="83"/>
      <c r="F734" s="1206">
        <f>IF(F584="Instantaneous",Dispersion_R,Dispersion_M)*(MAX(F733,Public)^2-Public^2)</f>
        <v>3.0000000000000005E-3</v>
      </c>
      <c r="G734" s="83"/>
      <c r="H734" s="1206">
        <f>IF(H584="Instantaneous",Dispersion_R,Dispersion_M)*(MAX(H733,Public)^2-Public^2)</f>
        <v>3.0000000000000005E-3</v>
      </c>
      <c r="I734" s="83"/>
      <c r="J734" s="1206">
        <f>IF(J584="Instantaneous",Dispersion_R,Dispersion_M)*(MAX(J733,Public)^2-Public^2)</f>
        <v>3.0000000000000005E-3</v>
      </c>
      <c r="K734" s="83"/>
      <c r="L734" s="1206">
        <f>IF(L584="Instantaneous",Dispersion_R,Dispersion_M)*(MAX(L733,Public)^2-Public^2)</f>
        <v>3.0000000000000005E-3</v>
      </c>
      <c r="M734" s="83"/>
      <c r="N734" s="1206">
        <f>IF(N584="Instantaneous",Dispersion_R,Dispersion_M)*(MAX(N733,Public)^2-Public^2)</f>
        <v>3.0000000000000005E-3</v>
      </c>
      <c r="O734" s="83"/>
      <c r="P734" s="1206">
        <f>IF(P584="Instantaneous",Dispersion_R,Dispersion_M)*(MAX(P733,Public)^2-Public^2)</f>
        <v>3.0000000000000005E-3</v>
      </c>
      <c r="Q734" s="83"/>
      <c r="R734" s="1206">
        <f>IF(R584="Instantaneous",Dispersion_R,Dispersion_M)*(MAX(R733,Public)^2-Public^2)</f>
        <v>3.0000000000000005E-3</v>
      </c>
      <c r="S734" s="83"/>
      <c r="T734" s="1206">
        <f>IF(T584="Instantaneous",Dispersion_R,Dispersion_M)*(MAX(T733,Public)^2-Public^2)</f>
        <v>3.0000000000000005E-3</v>
      </c>
      <c r="U734" s="83"/>
      <c r="V734" s="1206">
        <f>IF(V584="Instantaneous",Dispersion_R,Dispersion_M)*(MAX(V733,Public)^2-Public^2)</f>
        <v>3.0000000000000005E-3</v>
      </c>
      <c r="W734" s="83"/>
      <c r="X734" s="1206">
        <f>IF(X584="Instantaneous",Dispersion_R,Dispersion_M)*(MAX(X733,Public)^2-Public^2)</f>
        <v>3.0000000000000005E-3</v>
      </c>
      <c r="Y734" s="83"/>
      <c r="Z734" s="85" t="s">
        <v>3804</v>
      </c>
      <c r="AA734" s="2"/>
      <c r="AB734" s="81"/>
      <c r="AC734" s="23" t="s">
        <v>695</v>
      </c>
      <c r="AD734" s="81"/>
      <c r="AE734" s="2846" t="str">
        <f>IF(Flash_Pt_Feed="","",IF(OR(AND(AE731&gt;10,FiredEq_ProcessArea="within 10 m (33 ft)"),AND(AE731&gt;20,FiredEq_ProcessArea="within 20 m (65 ft)"),AND(AE731&gt;30,FiredEq_ProcessArea="within 30 m (100 ft)"),Ease_of_Ignition_Feed="High",AE430&gt;IF(AIgnite_Feed&lt;&gt;"",AIgnite_Feed,AIDefault)),0,IF(Ease_of_Ignition_Feed="Low",IF(AE731&lt;FFire_Low_Dist,3,IF(AE731&gt;FFire_High_Dist,1,2)),IF(Ease_of_Ignition_Feed="Elevated",IF(AE731&lt;FFire_Low_Dist,1,0),IF(AE731&lt;FFire_Low_Dist,2,IF(AE731&lt;FFire_High_Dist,1,0))))))</f>
        <v/>
      </c>
      <c r="AF734" s="81"/>
      <c r="AG734" s="2846" t="str">
        <f>IF(Flash_Pt_Feed="","",IF(OR(AND(AG731&gt;10,FiredEq_ProcessArea="within 10 m (33 ft)"),AND(AG731&gt;20,FiredEq_ProcessArea="within 20 m (65 ft)"),AND(AG731&gt;30,FiredEq_ProcessArea="within 30 m (100 ft)"),Ease_of_Ignition_Feed="High",AG430&gt;IF(AIgnite_Feed&lt;&gt;"",AIgnite_Feed,AIDefault)),0,IF(Ease_of_Ignition_Feed="Low",IF(AG731&lt;FFire_Low_Dist,3,IF(AG731&gt;FFire_High_Dist,1,2)),IF(Ease_of_Ignition_Feed="Elevated",IF(AG731&lt;FFire_Low_Dist,1,0),IF(AG731&lt;FFire_Low_Dist,2,IF(AG731&lt;FFire_High_Dist,1,0))))))</f>
        <v/>
      </c>
      <c r="AH734" s="81"/>
      <c r="AI734" s="2846" t="str">
        <f>IF(Flash_Pt_Feed="","",IF(OR(AND(AI731&gt;10,FiredEq_ProcessArea="within 10 m (33 ft)"),AND(AI731&gt;20,FiredEq_ProcessArea="within 20 m (65 ft)"),AND(AI731&gt;30,FiredEq_ProcessArea="within 30 m (100 ft)"),Ease_of_Ignition_Feed="High",AI430&gt;IF(AIgnite_Feed&lt;&gt;"",AIgnite_Feed,AIDefault)),0,IF(Ease_of_Ignition_Feed="Low",IF(AI731&lt;FFire_Low_Dist,3,IF(AI731&gt;FFire_High_Dist,1,2)),IF(Ease_of_Ignition_Feed="Elevated",IF(AI731&lt;FFire_Low_Dist,1,0),IF(AI731&lt;FFire_Low_Dist,2,IF(AI731&lt;FFire_High_Dist,1,0))))))</f>
        <v/>
      </c>
      <c r="AJ734" s="81"/>
      <c r="AK734" s="81"/>
      <c r="AL734" s="81"/>
      <c r="AM734" s="81"/>
      <c r="AN734" s="81"/>
      <c r="AO734" s="81"/>
      <c r="AP734" s="81"/>
      <c r="AQ734" s="85"/>
      <c r="AR734" s="81"/>
    </row>
    <row r="735" spans="1:44" ht="15" customHeight="1" x14ac:dyDescent="0.25">
      <c r="A735" s="2"/>
      <c r="B735" s="23" t="s">
        <v>3631</v>
      </c>
      <c r="C735" s="83"/>
      <c r="D735" s="1206">
        <f>IF(OR(D$664=0,D$658=""),0,IF(D733&gt;Zone_1,IF(D584="Instantaneous",Dispersion_R,Dispersion_M)*(MAX(Public,Zone_1)^2-MAX(Public,D733)^2),IF(D584="Instantaneous",Dispersion_R,Dispersion_M)*D$658^(2*IF(D584="Instantaneous",D$582,D$556))*D$674^2*(EXP(D$663+D$664*MAX(Public,Zone_1)^2/(D$658^(2*IF(D584="Instantaneous",D$582,D$556))*D$674^2))-EXP(D$663+D$664*MAX(Public,D733)^2/(D$658^(2*IF(D584="Instantaneous",D$582,D$556))*D$674^2)))/D$664))</f>
        <v>0</v>
      </c>
      <c r="E735" s="83"/>
      <c r="F735" s="1206">
        <f>IF(OR(F$664=0,F$658=""),0,IF(F733&gt;Zone_1,IF(F584="Instantaneous",Dispersion_R,Dispersion_M)*(MAX(Public,Zone_1)^2-MAX(Public,F733)^2),IF(F584="Instantaneous",Dispersion_R,Dispersion_M)*F$658^(2*IF(F584="Instantaneous",F$582,F$556))*F$674^2*(EXP(F$663+F$664*MAX(Public,Zone_1)^2/(F$658^(2*IF(F584="Instantaneous",F$582,F$556))*F$674^2))-EXP(F$663+F$664*MAX(Public,F733)^2/(F$658^(2*IF(F584="Instantaneous",F$582,F$556))*F$674^2)))/F$664))</f>
        <v>0</v>
      </c>
      <c r="G735" s="83"/>
      <c r="H735" s="1206">
        <f>IF(OR(H$664=0,H$658=""),0,IF(H733&gt;Zone_1,IF(H584="Instantaneous",Dispersion_R,Dispersion_M)*(MAX(Public,Zone_1)^2-MAX(Public,H733)^2),IF(H584="Instantaneous",Dispersion_R,Dispersion_M)*H$658^(2*IF(H584="Instantaneous",H$582,H$556))*H$674^2*(EXP(H$663+H$664*MAX(Public,Zone_1)^2/(H$658^(2*IF(H584="Instantaneous",H$582,H$556))*H$674^2))-EXP(H$663+H$664*MAX(Public,H733)^2/(H$658^(2*IF(H584="Instantaneous",H$582,H$556))*H$674^2)))/H$664))</f>
        <v>0</v>
      </c>
      <c r="I735" s="83"/>
      <c r="J735" s="1206">
        <f>IF(OR(J$664=0,J$658=""),0,IF(J733&gt;Zone_1,IF(J584="Instantaneous",Dispersion_R,Dispersion_M)*(MAX(Public,Zone_1)^2-MAX(Public,J733)^2),IF(J584="Instantaneous",Dispersion_R,Dispersion_M)*J$658^(2*IF(J584="Instantaneous",J$582,J$556))*J$674^2*(EXP(J$663+J$664*MAX(Public,Zone_1)^2/(J$658^(2*IF(J584="Instantaneous",J$582,J$556))*J$674^2))-EXP(J$663+J$664*MAX(Public,J733)^2/(J$658^(2*IF(J584="Instantaneous",J$582,J$556))*J$674^2)))/J$664))</f>
        <v>0</v>
      </c>
      <c r="K735" s="83"/>
      <c r="L735" s="1206">
        <f>IF(OR(L$664=0,L$658=""),0,IF(L733&gt;Zone_1,IF(L584="Instantaneous",Dispersion_R,Dispersion_M)*(MAX(Public,Zone_1)^2-MAX(Public,L733)^2),IF(L584="Instantaneous",Dispersion_R,Dispersion_M)*L$658^(2*IF(L584="Instantaneous",L$582,L$556))*L$674^2*(EXP(L$663+L$664*MAX(Public,Zone_1)^2/(L$658^(2*IF(L584="Instantaneous",L$582,L$556))*L$674^2))-EXP(L$663+L$664*MAX(Public,L733)^2/(L$658^(2*IF(L584="Instantaneous",L$582,L$556))*L$674^2)))/L$664))</f>
        <v>0</v>
      </c>
      <c r="M735" s="83"/>
      <c r="N735" s="1206">
        <f>IF(OR(N$664=0,N$658=""),0,IF(N733&gt;Zone_1,IF(N584="Instantaneous",Dispersion_R,Dispersion_M)*(MAX(Public,Zone_1)^2-MAX(Public,N733)^2),IF(N584="Instantaneous",Dispersion_R,Dispersion_M)*N$658^(2*IF(N584="Instantaneous",N$582,N$556))*N$674^2*(EXP(N$663+N$664*MAX(Public,Zone_1)^2/(N$658^(2*IF(N584="Instantaneous",N$582,N$556))*N$674^2))-EXP(N$663+N$664*MAX(Public,N733)^2/(N$658^(2*IF(N584="Instantaneous",N$582,N$556))*N$674^2)))/N$664))</f>
        <v>0</v>
      </c>
      <c r="O735" s="83"/>
      <c r="P735" s="1206">
        <f>IF(OR(P$664=0,P$658=""),0,IF(P733&gt;Zone_1,IF(P584="Instantaneous",Dispersion_R,Dispersion_M)*(MAX(Public,Zone_1)^2-MAX(Public,P733)^2),IF(P584="Instantaneous",Dispersion_R,Dispersion_M)*P$658^(2*IF(P584="Instantaneous",P$582,P$556))*P$674^2*(EXP(P$663+P$664*MAX(Public,Zone_1)^2/(P$658^(2*IF(P584="Instantaneous",P$582,P$556))*P$674^2))-EXP(P$663+P$664*MAX(Public,P733)^2/(P$658^(2*IF(P584="Instantaneous",P$582,P$556))*P$674^2)))/P$664))</f>
        <v>0</v>
      </c>
      <c r="Q735" s="83"/>
      <c r="R735" s="1206">
        <f>IF(OR(R$664=0,R$658=""),0,IF(R733&gt;Zone_1,IF(R584="Instantaneous",Dispersion_R,Dispersion_M)*(MAX(Public,Zone_1)^2-MAX(Public,R733)^2),IF(R584="Instantaneous",Dispersion_R,Dispersion_M)*R$658^(2*IF(R584="Instantaneous",R$582,R$556))*R$674^2*(EXP(R$663+R$664*MAX(Public,Zone_1)^2/(R$658^(2*IF(R584="Instantaneous",R$582,R$556))*R$674^2))-EXP(R$663+R$664*MAX(Public,R733)^2/(R$658^(2*IF(R584="Instantaneous",R$582,R$556))*R$674^2)))/R$664))</f>
        <v>0</v>
      </c>
      <c r="S735" s="83"/>
      <c r="T735" s="1206">
        <f>IF(OR(T$664=0,T$658=""),0,IF(T733&gt;Zone_1,IF(T584="Instantaneous",Dispersion_R,Dispersion_M)*(MAX(Public,Zone_1)^2-MAX(Public,T733)^2),IF(T584="Instantaneous",Dispersion_R,Dispersion_M)*T$658^(2*IF(T584="Instantaneous",T$582,T$556))*T$674^2*(EXP(T$663+T$664*MAX(Public,Zone_1)^2/(T$658^(2*IF(T584="Instantaneous",T$582,T$556))*T$674^2))-EXP(T$663+T$664*MAX(Public,T733)^2/(T$658^(2*IF(T584="Instantaneous",T$582,T$556))*T$674^2)))/T$664))</f>
        <v>0</v>
      </c>
      <c r="U735" s="83"/>
      <c r="V735" s="1206">
        <f>IF(OR(V$664=0,V$658=""),0,IF(V733&gt;Zone_1,IF(V584="Instantaneous",Dispersion_R,Dispersion_M)*(MAX(Public,Zone_1)^2-MAX(Public,V733)^2),IF(V584="Instantaneous",Dispersion_R,Dispersion_M)*V$658^(2*IF(V584="Instantaneous",V$582,V$556))*V$674^2*(EXP(V$663+V$664*MAX(Public,Zone_1)^2/(V$658^(2*IF(V584="Instantaneous",V$582,V$556))*V$674^2))-EXP(V$663+V$664*MAX(Public,V733)^2/(V$658^(2*IF(V584="Instantaneous",V$582,V$556))*V$674^2)))/V$664))</f>
        <v>0</v>
      </c>
      <c r="W735" s="83"/>
      <c r="X735" s="1206">
        <f>IF(OR(X$664=0,X$658=""),0,IF(X733&gt;Zone_1,IF(X584="Instantaneous",Dispersion_R,Dispersion_M)*(MAX(Public,Zone_1)^2-MAX(Public,X733)^2),IF(X584="Instantaneous",Dispersion_R,Dispersion_M)*X$658^(2*IF(X584="Instantaneous",X$582,X$556))*X$674^2*(EXP(X$663+X$664*MAX(Public,Zone_1)^2/(X$658^(2*IF(X584="Instantaneous",X$582,X$556))*X$674^2))-EXP(X$663+X$664*MAX(Public,X733)^2/(X$658^(2*IF(X584="Instantaneous",X$582,X$556))*X$674^2)))/X$664))</f>
        <v>0</v>
      </c>
      <c r="Y735" s="83"/>
      <c r="Z735" s="85" t="s">
        <v>3804</v>
      </c>
      <c r="AA735" s="2"/>
      <c r="AB735" s="81"/>
      <c r="AC735" s="23" t="s">
        <v>694</v>
      </c>
      <c r="AD735" s="81"/>
      <c r="AE735" s="2846" t="str">
        <f>IF(Flash_Pt_Feed="","",IF(OR(AND(AE731&gt;10,FiredEq_ProcessArea="within 10 m (33 ft)"),AND(AE731&gt;20,FiredEq_ProcessArea="within 20 m (65 ft)"),AND(AE731&gt;30,FiredEq_ProcessArea="within 30 m (100 ft)"),Ease_of_Ignition_Feed="High",AE430&gt;IF(AIgnite_Feed&lt;&gt;"",AIgnite_Feed,AIDefault)),0,IF(Ease_of_Ignition_Feed="Low",IF(AE731&lt;VCE_Low_Dist,3,IF(AE731&gt;VCE_High_Dist,1,2)),IF(Ease_of_Ignition_Feed="Elevated",IF(AE731&lt;VCE_Low_Dist,1,0),IF(AE731&lt;VCE_Low_Dist,2,IF(AE731&lt;VCE_High_Dist,1,0))))))</f>
        <v/>
      </c>
      <c r="AF735" s="81"/>
      <c r="AG735" s="2846" t="str">
        <f>IF(Flash_Pt_Feed="","",IF(OR(AND(AG731&gt;10,FiredEq_ProcessArea="within 10 m (33 ft)"),AND(AG731&gt;20,FiredEq_ProcessArea="within 20 m (65 ft)"),AND(AG731&gt;30,FiredEq_ProcessArea="within 30 m (100 ft)"),Ease_of_Ignition_Feed="High",AG430&gt;IF(AIgnite_Feed&lt;&gt;"",AIgnite_Feed,AIDefault)),0,IF(Ease_of_Ignition_Feed="Low",IF(AG731&lt;VCE_Low_Dist,3,IF(AG731&gt;VCE_High_Dist,1,2)),IF(Ease_of_Ignition_Feed="Elevated",IF(AG731&lt;VCE_Low_Dist,1,0),IF(AG731&lt;VCE_Low_Dist,2,IF(AG731&lt;VCE_High_Dist,1,0))))))</f>
        <v/>
      </c>
      <c r="AH735" s="81"/>
      <c r="AI735" s="2846" t="str">
        <f>IF(Flash_Pt_Feed="","",IF(OR(AND(AI731&gt;10,FiredEq_ProcessArea="within 10 m (33 ft)"),AND(AI731&gt;20,FiredEq_ProcessArea="within 20 m (65 ft)"),AND(AI731&gt;30,FiredEq_ProcessArea="within 30 m (100 ft)"),Ease_of_Ignition_Feed="High",AI430&gt;IF(AIgnite_Feed&lt;&gt;"",AIgnite_Feed,AIDefault)),0,IF(Ease_of_Ignition_Feed="Low",IF(AI731&lt;VCE_Low_Dist,3,IF(AI731&gt;VCE_High_Dist,1,2)),IF(Ease_of_Ignition_Feed="Elevated",IF(AI731&lt;VCE_Low_Dist,1,0),IF(AI731&lt;VCE_Low_Dist,2,IF(AI731&lt;VCE_High_Dist,1,0))))))</f>
        <v/>
      </c>
      <c r="AJ735" s="81"/>
      <c r="AK735" s="81"/>
      <c r="AL735" s="81"/>
      <c r="AM735" s="81"/>
      <c r="AN735" s="81"/>
      <c r="AO735" s="81"/>
      <c r="AP735" s="81"/>
      <c r="AQ735" s="85"/>
      <c r="AR735" s="81"/>
    </row>
    <row r="736" spans="1:44" ht="15" customHeight="1" x14ac:dyDescent="0.25">
      <c r="A736" s="2"/>
      <c r="B736" s="23" t="s">
        <v>3632</v>
      </c>
      <c r="C736" s="83"/>
      <c r="D736" s="1206">
        <f>IF(Zone_1&lt;Public,IF(D584="Instantaneous",Dispersion_R,Dispersion_M)*(MAX(D733,Public)^2-Public^2),IF(D584="Instantaneous",Dispersion_R,Dispersion_M)*(MAX(D733,Zone_1)^2-Zone_1^2))</f>
        <v>3.0000000000000005E-3</v>
      </c>
      <c r="E736" s="83"/>
      <c r="F736" s="1206">
        <f>IF(Zone_1&lt;Public,IF(F584="Instantaneous",Dispersion_R,Dispersion_M)*(MAX(F733,Public)^2-Public^2),IF(F584="Instantaneous",Dispersion_R,Dispersion_M)*(MAX(F733,Zone_1)^2-Zone_1^2))</f>
        <v>3.0000000000000005E-3</v>
      </c>
      <c r="G736" s="83"/>
      <c r="H736" s="1206">
        <f>IF(Zone_1&lt;Public,IF(H584="Instantaneous",Dispersion_R,Dispersion_M)*(MAX(H733,Public)^2-Public^2),IF(H584="Instantaneous",Dispersion_R,Dispersion_M)*(MAX(H733,Zone_1)^2-Zone_1^2))</f>
        <v>3.0000000000000005E-3</v>
      </c>
      <c r="I736" s="83"/>
      <c r="J736" s="1206">
        <f>IF(Zone_1&lt;Public,IF(J584="Instantaneous",Dispersion_R,Dispersion_M)*(MAX(J733,Public)^2-Public^2),IF(J584="Instantaneous",Dispersion_R,Dispersion_M)*(MAX(J733,Zone_1)^2-Zone_1^2))</f>
        <v>3.0000000000000005E-3</v>
      </c>
      <c r="K736" s="83"/>
      <c r="L736" s="1206">
        <f>IF(Zone_1&lt;Public,IF(L584="Instantaneous",Dispersion_R,Dispersion_M)*(MAX(L733,Public)^2-Public^2),IF(L584="Instantaneous",Dispersion_R,Dispersion_M)*(MAX(L733,Zone_1)^2-Zone_1^2))</f>
        <v>3.0000000000000005E-3</v>
      </c>
      <c r="M736" s="83"/>
      <c r="N736" s="1206">
        <f>IF(Zone_1&lt;Public,IF(N584="Instantaneous",Dispersion_R,Dispersion_M)*(MAX(N733,Public)^2-Public^2),IF(N584="Instantaneous",Dispersion_R,Dispersion_M)*(MAX(N733,Zone_1)^2-Zone_1^2))</f>
        <v>3.0000000000000005E-3</v>
      </c>
      <c r="O736" s="83"/>
      <c r="P736" s="1206">
        <f>IF(Zone_1&lt;Public,IF(P584="Instantaneous",Dispersion_R,Dispersion_M)*(MAX(P733,Public)^2-Public^2),IF(P584="Instantaneous",Dispersion_R,Dispersion_M)*(MAX(P733,Zone_1)^2-Zone_1^2))</f>
        <v>3.0000000000000005E-3</v>
      </c>
      <c r="Q736" s="83"/>
      <c r="R736" s="1206">
        <f>IF(Zone_1&lt;Public,IF(R584="Instantaneous",Dispersion_R,Dispersion_M)*(MAX(R733,Public)^2-Public^2),IF(R584="Instantaneous",Dispersion_R,Dispersion_M)*(MAX(R733,Zone_1)^2-Zone_1^2))</f>
        <v>3.0000000000000005E-3</v>
      </c>
      <c r="S736" s="83"/>
      <c r="T736" s="1206">
        <f>IF(Zone_1&lt;Public,IF(T584="Instantaneous",Dispersion_R,Dispersion_M)*(MAX(T733,Public)^2-Public^2),IF(T584="Instantaneous",Dispersion_R,Dispersion_M)*(MAX(T733,Zone_1)^2-Zone_1^2))</f>
        <v>3.0000000000000005E-3</v>
      </c>
      <c r="U736" s="83"/>
      <c r="V736" s="1206">
        <f>IF(Zone_1&lt;Public,IF(V584="Instantaneous",Dispersion_R,Dispersion_M)*(MAX(V733,Public)^2-Public^2),IF(V584="Instantaneous",Dispersion_R,Dispersion_M)*(MAX(V733,Zone_1)^2-Zone_1^2))</f>
        <v>3.0000000000000005E-3</v>
      </c>
      <c r="W736" s="83"/>
      <c r="X736" s="1206">
        <f>IF(Zone_1&lt;Public,IF(X584="Instantaneous",Dispersion_R,Dispersion_M)*(MAX(X733,Public)^2-Public^2),IF(X584="Instantaneous",Dispersion_R,Dispersion_M)*(MAX(X733,Zone_1)^2-Zone_1^2))</f>
        <v>3.0000000000000005E-3</v>
      </c>
      <c r="Y736" s="83"/>
      <c r="Z736" s="85" t="s">
        <v>3804</v>
      </c>
      <c r="AA736" s="2"/>
      <c r="AB736" s="81"/>
      <c r="AC736" s="85" t="s">
        <v>471</v>
      </c>
      <c r="AD736" s="81"/>
      <c r="AE736" s="1183">
        <f>IF(AE729="No",0,VCE_R_1psi*(2*4.18*AE733/101.3)^0.333+LFL_Fract_VCE_Epicenter*AE731)</f>
        <v>0</v>
      </c>
      <c r="AF736" s="81"/>
      <c r="AG736" s="1183">
        <f>IF(AG729="No",0,VCE_R_1psi*(2*4.18*AG733/101.3)^0.333+LFL_Fract_VCE_Epicenter*AG731)</f>
        <v>0</v>
      </c>
      <c r="AH736" s="81"/>
      <c r="AI736" s="1183">
        <f>IF(AI729="No",0,VCE_R_1psi*(2*4.18*AI733/101.3)^0.333+LFL_Fract_VCE_Epicenter*AI731)</f>
        <v>0</v>
      </c>
      <c r="AJ736" s="81"/>
      <c r="AK736" s="81"/>
      <c r="AL736" s="81"/>
      <c r="AM736" s="81"/>
      <c r="AN736" s="81"/>
      <c r="AO736" s="81"/>
      <c r="AP736" s="81"/>
      <c r="AQ736" s="85" t="s">
        <v>1068</v>
      </c>
      <c r="AR736" s="81"/>
    </row>
    <row r="737" spans="1:44" ht="15" customHeight="1" x14ac:dyDescent="0.25">
      <c r="A737" s="2"/>
      <c r="B737" s="23" t="s">
        <v>3633</v>
      </c>
      <c r="C737" s="83"/>
      <c r="D737" s="1206">
        <f>IF(OR(D$664=0,D$658=""),0,IF(Zone_1&lt;Public,IF(D584="Instantaneous",Dispersion_R,Dispersion_M)*D$658^(2*IF(D584="Instantaneous",D$582,D$556))*D$674^2*(0-EXP(D$663+D$664*MAX(D733,Public)^2/(D$658^(2*IF(D584="Instantaneous",D$582,D$556))*D$674^2)))/D$664,IF(D584="Instantaneous",Dispersion_R,Dispersion_M)*D$658^(2*IF(D584="Instantaneous",D$582,D$556))*D$674^2*(0-EXP(D$663+D$664*MAX(D733,Zone_1)^2/(D$658^(2*IF(D584="Instantaneous",D$582,D$556))*D$674^2)))/D$664))</f>
        <v>0</v>
      </c>
      <c r="E737" s="83"/>
      <c r="F737" s="1206">
        <f>IF(OR(F$664=0,F$658=""),0,IF(Zone_1&lt;Public,IF(F584="Instantaneous",Dispersion_R,Dispersion_M)*F$658^(2*IF(F584="Instantaneous",F$582,F$556))*F$674^2*(0-EXP(F$663+F$664*MAX(F733,Public)^2/(F$658^(2*IF(F584="Instantaneous",F$582,F$556))*F$674^2)))/F$664,IF(F584="Instantaneous",Dispersion_R,Dispersion_M)*F$658^(2*IF(F584="Instantaneous",F$582,F$556))*F$674^2*(0-EXP(F$663+F$664*MAX(F733,Zone_1)^2/(F$658^(2*IF(F584="Instantaneous",F$582,F$556))*F$674^2)))/F$664))</f>
        <v>0</v>
      </c>
      <c r="G737" s="83"/>
      <c r="H737" s="1206">
        <f>IF(OR(H$664=0,H$658=""),0,IF(Zone_1&lt;Public,IF(H584="Instantaneous",Dispersion_R,Dispersion_M)*H$658^(2*IF(H584="Instantaneous",H$582,H$556))*H$674^2*(0-EXP(H$663+H$664*MAX(H733,Public)^2/(H$658^(2*IF(H584="Instantaneous",H$582,H$556))*H$674^2)))/H$664,IF(H584="Instantaneous",Dispersion_R,Dispersion_M)*H$658^(2*IF(H584="Instantaneous",H$582,H$556))*H$674^2*(0-EXP(H$663+H$664*MAX(H733,Zone_1)^2/(H$658^(2*IF(H584="Instantaneous",H$582,H$556))*H$674^2)))/H$664))</f>
        <v>0</v>
      </c>
      <c r="I737" s="83"/>
      <c r="J737" s="1206">
        <f>IF(OR(J$664=0,J$658=""),0,IF(Zone_1&lt;Public,IF(J584="Instantaneous",Dispersion_R,Dispersion_M)*J$658^(2*IF(J584="Instantaneous",J$582,J$556))*J$674^2*(0-EXP(J$663+J$664*MAX(J733,Public)^2/(J$658^(2*IF(J584="Instantaneous",J$582,J$556))*J$674^2)))/J$664,IF(J584="Instantaneous",Dispersion_R,Dispersion_M)*J$658^(2*IF(J584="Instantaneous",J$582,J$556))*J$674^2*(0-EXP(J$663+J$664*MAX(J733,Zone_1)^2/(J$658^(2*IF(J584="Instantaneous",J$582,J$556))*J$674^2)))/J$664))</f>
        <v>0</v>
      </c>
      <c r="K737" s="83"/>
      <c r="L737" s="1206">
        <f>IF(OR(L$664=0,L$658=""),0,IF(Zone_1&lt;Public,IF(L584="Instantaneous",Dispersion_R,Dispersion_M)*L$658^(2*IF(L584="Instantaneous",L$582,L$556))*L$674^2*(0-EXP(L$663+L$664*MAX(L733,Public)^2/(L$658^(2*IF(L584="Instantaneous",L$582,L$556))*L$674^2)))/L$664,IF(L584="Instantaneous",Dispersion_R,Dispersion_M)*L$658^(2*IF(L584="Instantaneous",L$582,L$556))*L$674^2*(0-EXP(L$663+L$664*MAX(L733,Zone_1)^2/(L$658^(2*IF(L584="Instantaneous",L$582,L$556))*L$674^2)))/L$664))</f>
        <v>0</v>
      </c>
      <c r="M737" s="83"/>
      <c r="N737" s="1206">
        <f>IF(OR(N$664=0,N$658=""),0,IF(Zone_1&lt;Public,IF(N584="Instantaneous",Dispersion_R,Dispersion_M)*N$658^(2*IF(N584="Instantaneous",N$582,N$556))*N$674^2*(0-EXP(N$663+N$664*MAX(N733,Public)^2/(N$658^(2*IF(N584="Instantaneous",N$582,N$556))*N$674^2)))/N$664,IF(N584="Instantaneous",Dispersion_R,Dispersion_M)*N$658^(2*IF(N584="Instantaneous",N$582,N$556))*N$674^2*(0-EXP(N$663+N$664*MAX(N733,Zone_1)^2/(N$658^(2*IF(N584="Instantaneous",N$582,N$556))*N$674^2)))/N$664))</f>
        <v>0</v>
      </c>
      <c r="O737" s="83"/>
      <c r="P737" s="1206">
        <f>IF(OR(P$664=0,P$658=""),0,IF(Zone_1&lt;Public,IF(P584="Instantaneous",Dispersion_R,Dispersion_M)*P$658^(2*IF(P584="Instantaneous",P$582,P$556))*P$674^2*(0-EXP(P$663+P$664*MAX(P733,Public)^2/(P$658^(2*IF(P584="Instantaneous",P$582,P$556))*P$674^2)))/P$664,IF(P584="Instantaneous",Dispersion_R,Dispersion_M)*P$658^(2*IF(P584="Instantaneous",P$582,P$556))*P$674^2*(0-EXP(P$663+P$664*MAX(P733,Zone_1)^2/(P$658^(2*IF(P584="Instantaneous",P$582,P$556))*P$674^2)))/P$664))</f>
        <v>0</v>
      </c>
      <c r="Q737" s="83"/>
      <c r="R737" s="1206">
        <f>IF(OR(R$664=0,R$658=""),0,IF(Zone_1&lt;Public,IF(R584="Instantaneous",Dispersion_R,Dispersion_M)*R$658^(2*IF(R584="Instantaneous",R$582,R$556))*R$674^2*(0-EXP(R$663+R$664*MAX(R733,Public)^2/(R$658^(2*IF(R584="Instantaneous",R$582,R$556))*R$674^2)))/R$664,IF(R584="Instantaneous",Dispersion_R,Dispersion_M)*R$658^(2*IF(R584="Instantaneous",R$582,R$556))*R$674^2*(0-EXP(R$663+R$664*MAX(R733,Zone_1)^2/(R$658^(2*IF(R584="Instantaneous",R$582,R$556))*R$674^2)))/R$664))</f>
        <v>0</v>
      </c>
      <c r="S737" s="83"/>
      <c r="T737" s="1206">
        <f>IF(OR(T$664=0,T$658=""),0,IF(Zone_1&lt;Public,IF(T584="Instantaneous",Dispersion_R,Dispersion_M)*T$658^(2*IF(T584="Instantaneous",T$582,T$556))*T$674^2*(0-EXP(T$663+T$664*MAX(T733,Public)^2/(T$658^(2*IF(T584="Instantaneous",T$582,T$556))*T$674^2)))/T$664,IF(T584="Instantaneous",Dispersion_R,Dispersion_M)*T$658^(2*IF(T584="Instantaneous",T$582,T$556))*T$674^2*(0-EXP(T$663+T$664*MAX(T733,Zone_1)^2/(T$658^(2*IF(T584="Instantaneous",T$582,T$556))*T$674^2)))/T$664))</f>
        <v>0</v>
      </c>
      <c r="U737" s="83"/>
      <c r="V737" s="1206">
        <f>IF(OR(V$664=0,V$658=""),0,IF(Zone_1&lt;Public,IF(V584="Instantaneous",Dispersion_R,Dispersion_M)*V$658^(2*IF(V584="Instantaneous",V$582,V$556))*V$674^2*(0-EXP(V$663+V$664*MAX(V733,Public)^2/(V$658^(2*IF(V584="Instantaneous",V$582,V$556))*V$674^2)))/V$664,IF(V584="Instantaneous",Dispersion_R,Dispersion_M)*V$658^(2*IF(V584="Instantaneous",V$582,V$556))*V$674^2*(0-EXP(V$663+V$664*MAX(V733,Zone_1)^2/(V$658^(2*IF(V584="Instantaneous",V$582,V$556))*V$674^2)))/V$664))</f>
        <v>0</v>
      </c>
      <c r="W737" s="83"/>
      <c r="X737" s="1206">
        <f>IF(OR(X$664=0,X$658=""),0,IF(Zone_1&lt;Public,IF(X584="Instantaneous",Dispersion_R,Dispersion_M)*X$658^(2*IF(X584="Instantaneous",X$582,X$556))*X$674^2*(0-EXP(X$663+X$664*MAX(X733,Public)^2/(X$658^(2*IF(X584="Instantaneous",X$582,X$556))*X$674^2)))/X$664,IF(X584="Instantaneous",Dispersion_R,Dispersion_M)*X$658^(2*IF(X584="Instantaneous",X$582,X$556))*X$674^2*(0-EXP(X$663+X$664*MAX(X733,Zone_1)^2/(X$658^(2*IF(X584="Instantaneous",X$582,X$556))*X$674^2)))/X$664))</f>
        <v>0</v>
      </c>
      <c r="Y737" s="83"/>
      <c r="Z737" s="85" t="s">
        <v>3804</v>
      </c>
      <c r="AA737" s="2"/>
      <c r="AB737" s="81"/>
      <c r="AC737" s="85" t="s">
        <v>1748</v>
      </c>
      <c r="AD737" s="81"/>
      <c r="AE737" s="1183" t="str">
        <f>IF(AE736&gt;Public,"Yes","No")</f>
        <v>No</v>
      </c>
      <c r="AF737" s="81"/>
      <c r="AG737" s="1183" t="str">
        <f>IF(AG736&gt;Public,"Yes","No")</f>
        <v>No</v>
      </c>
      <c r="AH737" s="81"/>
      <c r="AI737" s="1183" t="str">
        <f>IF(AI736&gt;Public,"Yes","No")</f>
        <v>No</v>
      </c>
      <c r="AJ737" s="81"/>
      <c r="AK737" s="81"/>
      <c r="AL737" s="81"/>
      <c r="AM737" s="81"/>
      <c r="AN737" s="81"/>
      <c r="AO737" s="81"/>
      <c r="AP737" s="81"/>
      <c r="AQ737" s="85"/>
      <c r="AR737" s="81"/>
    </row>
    <row r="738" spans="1:44" ht="15" customHeight="1" x14ac:dyDescent="0.25">
      <c r="A738" s="2"/>
      <c r="B738" s="23" t="s">
        <v>3634</v>
      </c>
      <c r="C738" s="83"/>
      <c r="D738" s="1206">
        <f>IF(AND(D474&gt;0,D665&gt;0),IF(Location="Indoors",IF(ConcFract_Indoor*D684&lt;=D665,0.1,D$555*((IF(Enclosed_Ventilation_Rate&gt;1,Enclosed_Ventilation_Rate,1)*Enclosed_Process_Volume*D474*D684/88020000000)*1000000*(ConcFract_Indoor/D665-1/D684)/(D474*Wind_Night))^D$556),IF(OR(D665=0,D665&gt;=ConcFract_Indoor*1000000),0,IF(D584="Instantaneous",D$581*((D457/D474)*(ConcFract_Indoor*1000000/D665))^D$582-D$583,D$555*(D464*(ConcFract_Indoor*1000000/D665)/(D474*Wind_Night))^D$556-D$557))),0.1)</f>
        <v>0.1</v>
      </c>
      <c r="E738" s="83"/>
      <c r="F738" s="1206">
        <f>IF(AND(F474&gt;0,F665&gt;0),IF(Location="Indoors",IF(ConcFract_Indoor*F684&lt;=F665,0.1,F$555*((IF(Enclosed_Ventilation_Rate&gt;1,Enclosed_Ventilation_Rate,1)*Enclosed_Process_Volume*F474*F684/88020000000)*1000000*(ConcFract_Indoor/F665-1/F684)/(F474*Wind_Night))^F$556),IF(OR(F665=0,F665&gt;=ConcFract_Indoor*1000000),0,IF(F584="Instantaneous",F$581*((F457/F474)*(ConcFract_Indoor*1000000/F665))^F$582-F$583,F$555*(F464*(ConcFract_Indoor*1000000/F665)/(F474*Wind_Night))^F$556-F$557))),0.1)</f>
        <v>0.1</v>
      </c>
      <c r="G738" s="83"/>
      <c r="H738" s="1206">
        <f>IF(AND(H474&gt;0,H665&gt;0),IF(Location="Indoors",IF(ConcFract_Indoor*H684&lt;=H665,0.1,H$555*((IF(Enclosed_Ventilation_Rate&gt;1,Enclosed_Ventilation_Rate,1)*Enclosed_Process_Volume*H474*H684/88020000000)*1000000*(ConcFract_Indoor/H665-1/H684)/(H474*Wind_Night))^H$556),IF(OR(H665=0,H665&gt;=ConcFract_Indoor*1000000),0,IF(H584="Instantaneous",H$581*((H457/H474)*(ConcFract_Indoor*1000000/H665))^H$582-H$583,H$555*(H464*(ConcFract_Indoor*1000000/H665)/(H474*Wind_Night))^H$556-H$557))),0.1)</f>
        <v>0.1</v>
      </c>
      <c r="I738" s="83"/>
      <c r="J738" s="1206">
        <f>IF(AND(J474&gt;0,J665&gt;0),IF(Location="Indoors",IF(ConcFract_Indoor*J684&lt;=J665,0.1,J$555*((IF(Enclosed_Ventilation_Rate&gt;1,Enclosed_Ventilation_Rate,1)*Enclosed_Process_Volume*J474*J684/88020000000)*1000000*(ConcFract_Indoor/J665-1/J684)/(J474*Wind_Night))^J$556),IF(OR(J665=0,J665&gt;=ConcFract_Indoor*1000000),0,IF(J584="Instantaneous",J$581*((J457/J474)*(ConcFract_Indoor*1000000/J665))^J$582-J$583,J$555*(J464*(ConcFract_Indoor*1000000/J665)/(J474*Wind_Night))^J$556-J$557))),0.1)</f>
        <v>0.1</v>
      </c>
      <c r="K738" s="83"/>
      <c r="L738" s="1206">
        <f>IF(AND(L474&gt;0,L665&gt;0),IF(Location="Indoors",IF(ConcFract_Indoor*L684&lt;=L665,0.1,L$555*((IF(Enclosed_Ventilation_Rate&gt;1,Enclosed_Ventilation_Rate,1)*Enclosed_Process_Volume*L474*L684/88020000000)*1000000*(ConcFract_Indoor/L665-1/L684)/(L474*Wind_Night))^L$556),IF(OR(L665=0,L665&gt;=ConcFract_Indoor*1000000),0,IF(L584="Instantaneous",L$581*((L457/L474)*(ConcFract_Indoor*1000000/L665))^L$582-L$583,L$555*(L464*(ConcFract_Indoor*1000000/L665)/(L474*Wind_Night))^L$556-L$557))),0.1)</f>
        <v>0.1</v>
      </c>
      <c r="M738" s="83"/>
      <c r="N738" s="1206">
        <f>IF(AND(N474&gt;0,N665&gt;0),IF(Location="Indoors",IF(ConcFract_Indoor*N684&lt;=N665,0.1,N$555*((IF(Enclosed_Ventilation_Rate&gt;1,Enclosed_Ventilation_Rate,1)*Enclosed_Process_Volume*N474*N684/88020000000)*1000000*(ConcFract_Indoor/N665-1/N684)/(N474*Wind_Night))^N$556),IF(OR(N665=0,N665&gt;=ConcFract_Indoor*1000000),0,IF(N584="Instantaneous",N$581*((N457/N474)*(ConcFract_Indoor*1000000/N665))^N$582-N$583,N$555*(N464*(ConcFract_Indoor*1000000/N665)/(N474*Wind_Night))^N$556-N$557))),0.1)</f>
        <v>0.1</v>
      </c>
      <c r="O738" s="83"/>
      <c r="P738" s="1206">
        <f>IF(AND(P474&gt;0,P665&gt;0),IF(Location="Indoors",IF(ConcFract_Indoor*P684&lt;=P665,0.1,P$555*((IF(Enclosed_Ventilation_Rate&gt;1,Enclosed_Ventilation_Rate,1)*Enclosed_Process_Volume*P474*P684/88020000000)*1000000*(ConcFract_Indoor/P665-1/P684)/(P474*Wind_Night))^P$556),IF(OR(P665=0,P665&gt;=ConcFract_Indoor*1000000),0,IF(P584="Instantaneous",P$581*((P457/P474)*(ConcFract_Indoor*1000000/P665))^P$582-P$583,P$555*(P464*(ConcFract_Indoor*1000000/P665)/(P474*Wind_Night))^P$556-P$557))),0.1)</f>
        <v>0.1</v>
      </c>
      <c r="Q738" s="83"/>
      <c r="R738" s="1206">
        <f>IF(AND(R474&gt;0,R665&gt;0),IF(Location="Indoors",IF(ConcFract_Indoor*R684&lt;=R665,0.1,R$555*((IF(Enclosed_Ventilation_Rate&gt;1,Enclosed_Ventilation_Rate,1)*Enclosed_Process_Volume*R474*R684/88020000000)*1000000*(ConcFract_Indoor/R665-1/R684)/(R474*Wind_Night))^R$556),IF(OR(R665=0,R665&gt;=ConcFract_Indoor*1000000),0,IF(R584="Instantaneous",R$581*((R457/R474)*(ConcFract_Indoor*1000000/R665))^R$582-R$583,R$555*(R464*(ConcFract_Indoor*1000000/R665)/(R474*Wind_Night))^R$556-R$557))),0.1)</f>
        <v>0.1</v>
      </c>
      <c r="S738" s="83"/>
      <c r="T738" s="1206">
        <f>IF(AND(T474&gt;0,T665&gt;0),IF(Location="Indoors",IF(ConcFract_Indoor*T684&lt;=T665,0.1,T$555*((IF(Enclosed_Ventilation_Rate&gt;1,Enclosed_Ventilation_Rate,1)*Enclosed_Process_Volume*T474*T684/88020000000)*1000000*(ConcFract_Indoor/T665-1/T684)/(T474*Wind_Night))^T$556),IF(OR(T665=0,T665&gt;=ConcFract_Indoor*1000000),0,IF(T584="Instantaneous",T$581*((T457/T474)*(ConcFract_Indoor*1000000/T665))^T$582-T$583,T$555*(T464*(ConcFract_Indoor*1000000/T665)/(T474*Wind_Night))^T$556-T$557))),0.1)</f>
        <v>0.1</v>
      </c>
      <c r="U738" s="83"/>
      <c r="V738" s="1206">
        <f>IF(AND(V474&gt;0,V665&gt;0),IF(Location="Indoors",IF(ConcFract_Indoor*V684&lt;=V665,0.1,V$555*((IF(Enclosed_Ventilation_Rate&gt;1,Enclosed_Ventilation_Rate,1)*Enclosed_Process_Volume*V474*V684/88020000000)*1000000*(ConcFract_Indoor/V665-1/V684)/(V474*Wind_Night))^V$556),IF(OR(V665=0,V665&gt;=ConcFract_Indoor*1000000),0,IF(V584="Instantaneous",V$581*((V457/V474)*(ConcFract_Indoor*1000000/V665))^V$582-V$583,V$555*(V464*(ConcFract_Indoor*1000000/V665)/(V474*Wind_Night))^V$556-V$557))),0.1)</f>
        <v>0.1</v>
      </c>
      <c r="W738" s="83"/>
      <c r="X738" s="1206">
        <f>IF(AND(X474&gt;0,X665&gt;0),IF(Location="Indoors",IF(ConcFract_Indoor*X684&lt;=X665,0.1,X$555*((IF(Enclosed_Ventilation_Rate&gt;1,Enclosed_Ventilation_Rate,1)*Enclosed_Process_Volume*X474*X684/88020000000)*1000000*(ConcFract_Indoor/X665-1/X684)/(X474*Wind_Night))^X$556),IF(OR(X665=0,X665&gt;=ConcFract_Indoor*1000000),0,IF(X584="Instantaneous",X$581*((X457/X474)*(ConcFract_Indoor*1000000/X665))^X$582-X$583,X$555*(X464*(ConcFract_Indoor*1000000/X665)/(X474*Wind_Night))^X$556-X$557))),0.1)</f>
        <v>0.1</v>
      </c>
      <c r="Y738" s="83"/>
      <c r="Z738" s="85" t="s">
        <v>1068</v>
      </c>
      <c r="AA738" s="2"/>
      <c r="AB738" s="81"/>
      <c r="AC738" s="23" t="s">
        <v>3025</v>
      </c>
      <c r="AD738" s="81"/>
      <c r="AE738" s="2109">
        <f>IF(AND(AE733&gt;0,IF(Occ_Bldg_Cntr_Relief&gt;0,Occ_Bldg_Cntr_Relief,IF(Occ_Bldg_Relief&gt;0,Occ_Bldg_Relief,Occ_Bldg))&gt;0),IF(IF(Occ_Bldg_Cntr_Relief&gt;0,Occ_Bldg_Cntr_Relief,IF(Occ_Bldg_Relief&gt;0,Occ_Bldg_Relief,Occ_Bldg))&gt;1+LFL_Fract_VCE_Epicenter*AE731,(IF(Occ_Bldg_Cntr_Relief&gt;0,Occ_Bldg_Cntr_Relief,IF(Occ_Bldg_Relief&gt;0,Occ_Bldg_Relief,Occ_Bldg))-LFL_Fract_VCE_Epicenter*AE731)/(2*AE733*4.18/101.3)^0.333,1/(2*AE733*4.18/101.3)^0.333),0)</f>
        <v>0</v>
      </c>
      <c r="AF738" s="81"/>
      <c r="AG738" s="2109">
        <f>IF(AND(AG733&gt;0,IF(Occ_Bldg_Cntr_Relief&gt;0,Occ_Bldg_Cntr_Relief,IF(Occ_Bldg_Relief&gt;0,Occ_Bldg_Relief,Occ_Bldg))&gt;0),IF(IF(Occ_Bldg_Cntr_Relief&gt;0,Occ_Bldg_Cntr_Relief,IF(Occ_Bldg_Relief&gt;0,Occ_Bldg_Relief,Occ_Bldg))&gt;1+LFL_Fract_VCE_Epicenter*AG731,(IF(Occ_Bldg_Cntr_Relief&gt;0,Occ_Bldg_Cntr_Relief,IF(Occ_Bldg_Relief&gt;0,Occ_Bldg_Relief,Occ_Bldg))-LFL_Fract_VCE_Epicenter*AG731)/(2*AG733*4.18/101.3)^0.333,1/(2*AG733*4.18/101.3)^0.333),0)</f>
        <v>0</v>
      </c>
      <c r="AH738" s="81"/>
      <c r="AI738" s="2109">
        <f>IF(AND(AI733&gt;0,IF(Occ_Bldg_Cntr_Relief&gt;0,Occ_Bldg_Cntr_Relief,IF(Occ_Bldg_Relief&gt;0,Occ_Bldg_Relief,Occ_Bldg))&gt;0),IF(IF(Occ_Bldg_Cntr_Relief&gt;0,Occ_Bldg_Cntr_Relief,IF(Occ_Bldg_Relief&gt;0,Occ_Bldg_Relief,Occ_Bldg))&gt;1+LFL_Fract_VCE_Epicenter*AI731,(IF(Occ_Bldg_Cntr_Relief&gt;0,Occ_Bldg_Cntr_Relief,IF(Occ_Bldg_Relief&gt;0,Occ_Bldg_Relief,Occ_Bldg))-LFL_Fract_VCE_Epicenter*AI731)/(2*AI733*4.18/101.3)^0.333,1/(2*AI733*4.18/101.3)^0.333),0)</f>
        <v>0</v>
      </c>
      <c r="AJ738" s="81"/>
      <c r="AK738" s="81"/>
      <c r="AL738" s="81"/>
      <c r="AM738" s="81"/>
      <c r="AN738" s="81"/>
      <c r="AO738" s="81"/>
      <c r="AP738" s="81"/>
      <c r="AQ738" s="85" t="s">
        <v>1068</v>
      </c>
      <c r="AR738" s="81"/>
    </row>
    <row r="739" spans="1:44" ht="15" customHeight="1" x14ac:dyDescent="0.25">
      <c r="A739" s="2"/>
      <c r="B739" s="23" t="s">
        <v>3635</v>
      </c>
      <c r="C739" s="83"/>
      <c r="D739" s="1206">
        <f>IF(D584="Instantaneous",Dispersion_R,Dispersion_M)*(MAX(D738,Public)^2-Public^2)</f>
        <v>3.0000000000000005E-3</v>
      </c>
      <c r="E739" s="83"/>
      <c r="F739" s="1206">
        <f>IF(F584="Instantaneous",Dispersion_R,Dispersion_M)*(MAX(F738,Public)^2-Public^2)</f>
        <v>3.0000000000000005E-3</v>
      </c>
      <c r="G739" s="83"/>
      <c r="H739" s="1206">
        <f>IF(H584="Instantaneous",Dispersion_R,Dispersion_M)*(MAX(H738,Public)^2-Public^2)</f>
        <v>3.0000000000000005E-3</v>
      </c>
      <c r="I739" s="83"/>
      <c r="J739" s="1206">
        <f>IF(J584="Instantaneous",Dispersion_R,Dispersion_M)*(MAX(J738,Public)^2-Public^2)</f>
        <v>3.0000000000000005E-3</v>
      </c>
      <c r="K739" s="83"/>
      <c r="L739" s="1206">
        <f>IF(L584="Instantaneous",Dispersion_R,Dispersion_M)*(MAX(L738,Public)^2-Public^2)</f>
        <v>3.0000000000000005E-3</v>
      </c>
      <c r="M739" s="83"/>
      <c r="N739" s="1206">
        <f>IF(N584="Instantaneous",Dispersion_R,Dispersion_M)*(MAX(N738,Public)^2-Public^2)</f>
        <v>3.0000000000000005E-3</v>
      </c>
      <c r="O739" s="83"/>
      <c r="P739" s="1206">
        <f>IF(P584="Instantaneous",Dispersion_R,Dispersion_M)*(MAX(P738,Public)^2-Public^2)</f>
        <v>3.0000000000000005E-3</v>
      </c>
      <c r="Q739" s="83"/>
      <c r="R739" s="1206">
        <f>IF(R584="Instantaneous",Dispersion_R,Dispersion_M)*(MAX(R738,Public)^2-Public^2)</f>
        <v>3.0000000000000005E-3</v>
      </c>
      <c r="S739" s="83"/>
      <c r="T739" s="1206">
        <f>IF(T584="Instantaneous",Dispersion_R,Dispersion_M)*(MAX(T738,Public)^2-Public^2)</f>
        <v>3.0000000000000005E-3</v>
      </c>
      <c r="U739" s="83"/>
      <c r="V739" s="1206">
        <f>IF(V584="Instantaneous",Dispersion_R,Dispersion_M)*(MAX(V738,Public)^2-Public^2)</f>
        <v>3.0000000000000005E-3</v>
      </c>
      <c r="W739" s="83"/>
      <c r="X739" s="1206">
        <f>IF(X584="Instantaneous",Dispersion_R,Dispersion_M)*(MAX(X738,Public)^2-Public^2)</f>
        <v>3.0000000000000005E-3</v>
      </c>
      <c r="Y739" s="83"/>
      <c r="Z739" s="85" t="s">
        <v>3804</v>
      </c>
      <c r="AA739" s="2"/>
      <c r="AB739" s="81"/>
      <c r="AC739" s="23" t="s">
        <v>1534</v>
      </c>
      <c r="AD739" s="81"/>
      <c r="AE739" s="2101">
        <f>IF(AND(AE729="Yes",AE738&gt;0),IF(VCE_BST_Coeff/AE738^VCE_BST_Exp&lt;VCE_BST_Limit,14.7*VCE_BST_Coeff/AE738^VCE_BST_Exp,14.7*VCE_BST_Limit),AE741)</f>
        <v>0</v>
      </c>
      <c r="AF739" s="81"/>
      <c r="AG739" s="2101">
        <f>IF(AND(AG729="Yes",AG738&gt;0),IF(VCE_BST_Coeff/AG738^VCE_BST_Exp&lt;VCE_BST_Limit,14.7*VCE_BST_Coeff/AG738^VCE_BST_Exp,14.7*VCE_BST_Limit),AG741)</f>
        <v>0</v>
      </c>
      <c r="AH739" s="81"/>
      <c r="AI739" s="2101">
        <f>IF(AND(AI729="Yes",AI738&gt;0),IF(VCE_BST_Coeff/AI738^VCE_BST_Exp&lt;VCE_BST_Limit,14.7*VCE_BST_Coeff/AI738^VCE_BST_Exp,14.7*VCE_BST_Limit),AI741)</f>
        <v>0</v>
      </c>
      <c r="AJ739" s="81"/>
      <c r="AK739" s="81"/>
      <c r="AL739" s="81"/>
      <c r="AM739" s="81"/>
      <c r="AN739" s="81"/>
      <c r="AO739" s="81"/>
      <c r="AP739" s="81"/>
      <c r="AQ739" s="85" t="s">
        <v>968</v>
      </c>
      <c r="AR739" s="81"/>
    </row>
    <row r="740" spans="1:44" ht="15" customHeight="1" x14ac:dyDescent="0.25">
      <c r="A740" s="2"/>
      <c r="B740" s="23" t="s">
        <v>3636</v>
      </c>
      <c r="C740" s="83"/>
      <c r="D740" s="1206">
        <f>IF(OR(D$664=0,D$658=""),0,IF(D738&gt;Zone_1,IF(D584="Instantaneous",Dispersion_R,Dispersion_M)*(MAX(Public,Zone_1)^2-MAX(Public,D738)^2),IF(D584="Instantaneous",Dispersion_R,Dispersion_M)*D$658^(2*IF(D584="Instantaneous",D$582,D$556))*D$675^2*(EXP(D$663+D$664*MAX(Public,Zone_1)^2/(D$658^(2*IF(D584="Instantaneous",D$582,D$556))*D$675^2))-EXP(D$663+D$664*MAX(Public,D738)^2/(D$658^(2*IF(D584="Instantaneous",D$582,D$556))*D$675^2)))/D$664))</f>
        <v>0</v>
      </c>
      <c r="E740" s="83"/>
      <c r="F740" s="1206">
        <f>IF(OR(F$664=0,F$658=""),0,IF(F738&gt;Zone_1,IF(F584="Instantaneous",Dispersion_R,Dispersion_M)*(MAX(Public,Zone_1)^2-MAX(Public,F738)^2),IF(F584="Instantaneous",Dispersion_R,Dispersion_M)*F$658^(2*IF(F584="Instantaneous",F$582,F$556))*F$675^2*(EXP(F$663+F$664*MAX(Public,Zone_1)^2/(F$658^(2*IF(F584="Instantaneous",F$582,F$556))*F$675^2))-EXP(F$663+F$664*MAX(Public,F738)^2/(F$658^(2*IF(F584="Instantaneous",F$582,F$556))*F$675^2)))/F$664))</f>
        <v>0</v>
      </c>
      <c r="G740" s="83"/>
      <c r="H740" s="1206">
        <f>IF(OR(H$664=0,H$658=""),0,IF(H738&gt;Zone_1,IF(H584="Instantaneous",Dispersion_R,Dispersion_M)*(MAX(Public,Zone_1)^2-MAX(Public,H738)^2),IF(H584="Instantaneous",Dispersion_R,Dispersion_M)*H$658^(2*IF(H584="Instantaneous",H$582,H$556))*H$675^2*(EXP(H$663+H$664*MAX(Public,Zone_1)^2/(H$658^(2*IF(H584="Instantaneous",H$582,H$556))*H$675^2))-EXP(H$663+H$664*MAX(Public,H738)^2/(H$658^(2*IF(H584="Instantaneous",H$582,H$556))*H$675^2)))/H$664))</f>
        <v>0</v>
      </c>
      <c r="I740" s="83"/>
      <c r="J740" s="1206">
        <f>IF(OR(J$664=0,J$658=""),0,IF(J738&gt;Zone_1,IF(J584="Instantaneous",Dispersion_R,Dispersion_M)*(MAX(Public,Zone_1)^2-MAX(Public,J738)^2),IF(J584="Instantaneous",Dispersion_R,Dispersion_M)*J$658^(2*IF(J584="Instantaneous",J$582,J$556))*J$675^2*(EXP(J$663+J$664*MAX(Public,Zone_1)^2/(J$658^(2*IF(J584="Instantaneous",J$582,J$556))*J$675^2))-EXP(J$663+J$664*MAX(Public,J738)^2/(J$658^(2*IF(J584="Instantaneous",J$582,J$556))*J$675^2)))/J$664))</f>
        <v>0</v>
      </c>
      <c r="K740" s="83"/>
      <c r="L740" s="1206">
        <f>IF(OR(L$664=0,L$658=""),0,IF(L738&gt;Zone_1,IF(L584="Instantaneous",Dispersion_R,Dispersion_M)*(MAX(Public,Zone_1)^2-MAX(Public,L738)^2),IF(L584="Instantaneous",Dispersion_R,Dispersion_M)*L$658^(2*IF(L584="Instantaneous",L$582,L$556))*L$675^2*(EXP(L$663+L$664*MAX(Public,Zone_1)^2/(L$658^(2*IF(L584="Instantaneous",L$582,L$556))*L$675^2))-EXP(L$663+L$664*MAX(Public,L738)^2/(L$658^(2*IF(L584="Instantaneous",L$582,L$556))*L$675^2)))/L$664))</f>
        <v>0</v>
      </c>
      <c r="M740" s="83"/>
      <c r="N740" s="1206">
        <f>IF(OR(N$664=0,N$658=""),0,IF(N738&gt;Zone_1,IF(N584="Instantaneous",Dispersion_R,Dispersion_M)*(MAX(Public,Zone_1)^2-MAX(Public,N738)^2),IF(N584="Instantaneous",Dispersion_R,Dispersion_M)*N$658^(2*IF(N584="Instantaneous",N$582,N$556))*N$675^2*(EXP(N$663+N$664*MAX(Public,Zone_1)^2/(N$658^(2*IF(N584="Instantaneous",N$582,N$556))*N$675^2))-EXP(N$663+N$664*MAX(Public,N738)^2/(N$658^(2*IF(N584="Instantaneous",N$582,N$556))*N$675^2)))/N$664))</f>
        <v>0</v>
      </c>
      <c r="O740" s="83"/>
      <c r="P740" s="1206">
        <f>IF(OR(P$664=0,P$658=""),0,IF(P738&gt;Zone_1,IF(P584="Instantaneous",Dispersion_R,Dispersion_M)*(MAX(Public,Zone_1)^2-MAX(Public,P738)^2),IF(P584="Instantaneous",Dispersion_R,Dispersion_M)*P$658^(2*IF(P584="Instantaneous",P$582,P$556))*P$675^2*(EXP(P$663+P$664*MAX(Public,Zone_1)^2/(P$658^(2*IF(P584="Instantaneous",P$582,P$556))*P$675^2))-EXP(P$663+P$664*MAX(Public,P738)^2/(P$658^(2*IF(P584="Instantaneous",P$582,P$556))*P$675^2)))/P$664))</f>
        <v>0</v>
      </c>
      <c r="Q740" s="83"/>
      <c r="R740" s="1206">
        <f>IF(OR(R$664=0,R$658=""),0,IF(R738&gt;Zone_1,IF(R584="Instantaneous",Dispersion_R,Dispersion_M)*(MAX(Public,Zone_1)^2-MAX(Public,R738)^2),IF(R584="Instantaneous",Dispersion_R,Dispersion_M)*R$658^(2*IF(R584="Instantaneous",R$582,R$556))*R$675^2*(EXP(R$663+R$664*MAX(Public,Zone_1)^2/(R$658^(2*IF(R584="Instantaneous",R$582,R$556))*R$675^2))-EXP(R$663+R$664*MAX(Public,R738)^2/(R$658^(2*IF(R584="Instantaneous",R$582,R$556))*R$675^2)))/R$664))</f>
        <v>0</v>
      </c>
      <c r="S740" s="83"/>
      <c r="T740" s="1206">
        <f>IF(OR(T$664=0,T$658=""),0,IF(T738&gt;Zone_1,IF(T584="Instantaneous",Dispersion_R,Dispersion_M)*(MAX(Public,Zone_1)^2-MAX(Public,T738)^2),IF(T584="Instantaneous",Dispersion_R,Dispersion_M)*T$658^(2*IF(T584="Instantaneous",T$582,T$556))*T$675^2*(EXP(T$663+T$664*MAX(Public,Zone_1)^2/(T$658^(2*IF(T584="Instantaneous",T$582,T$556))*T$675^2))-EXP(T$663+T$664*MAX(Public,T738)^2/(T$658^(2*IF(T584="Instantaneous",T$582,T$556))*T$675^2)))/T$664))</f>
        <v>0</v>
      </c>
      <c r="U740" s="83"/>
      <c r="V740" s="1206">
        <f>IF(OR(V$664=0,V$658=""),0,IF(V738&gt;Zone_1,IF(V584="Instantaneous",Dispersion_R,Dispersion_M)*(MAX(Public,Zone_1)^2-MAX(Public,V738)^2),IF(V584="Instantaneous",Dispersion_R,Dispersion_M)*V$658^(2*IF(V584="Instantaneous",V$582,V$556))*V$675^2*(EXP(V$663+V$664*MAX(Public,Zone_1)^2/(V$658^(2*IF(V584="Instantaneous",V$582,V$556))*V$675^2))-EXP(V$663+V$664*MAX(Public,V738)^2/(V$658^(2*IF(V584="Instantaneous",V$582,V$556))*V$675^2)))/V$664))</f>
        <v>0</v>
      </c>
      <c r="W740" s="83"/>
      <c r="X740" s="1206">
        <f>IF(OR(X$664=0,X$658=""),0,IF(X738&gt;Zone_1,IF(X584="Instantaneous",Dispersion_R,Dispersion_M)*(MAX(Public,Zone_1)^2-MAX(Public,X738)^2),IF(X584="Instantaneous",Dispersion_R,Dispersion_M)*X$658^(2*IF(X584="Instantaneous",X$582,X$556))*X$675^2*(EXP(X$663+X$664*MAX(Public,Zone_1)^2/(X$658^(2*IF(X584="Instantaneous",X$582,X$556))*X$675^2))-EXP(X$663+X$664*MAX(Public,X738)^2/(X$658^(2*IF(X584="Instantaneous",X$582,X$556))*X$675^2)))/X$664))</f>
        <v>0</v>
      </c>
      <c r="Y740" s="83"/>
      <c r="Z740" s="85" t="s">
        <v>3804</v>
      </c>
      <c r="AA740" s="2"/>
      <c r="AB740" s="81"/>
      <c r="AC740" s="23" t="s">
        <v>3024</v>
      </c>
      <c r="AD740" s="81"/>
      <c r="AE740" s="1181">
        <f>IF(AND(AE733&gt;0,IF(Occ_Bldg_Relief&gt;0,Occ_Bldg_Relief,Occ_Bldg)&gt;0),IF(IF(Occ_Bldg_Relief&gt;0,Occ_Bldg_Relief,Occ_Bldg)&gt;1+LFL_Fract_VCE_Epicenter*AE731,(IF(Occ_Bldg_Relief&gt;0,Occ_Bldg_Relief,Occ_Bldg)-LFL_Fract_VCE_Epicenter*AE731)/(2*AE733*4.18/101.3)^0.333,1/(2*AE733*4.18/101.3)^0.333),0)</f>
        <v>0</v>
      </c>
      <c r="AF740" s="81"/>
      <c r="AG740" s="1181">
        <f>IF(AND(AG733&gt;0,IF(Occ_Bldg_Relief&gt;0,Occ_Bldg_Relief,Occ_Bldg)&gt;0),IF(IF(Occ_Bldg_Relief&gt;0,Occ_Bldg_Relief,Occ_Bldg)&gt;1+LFL_Fract_VCE_Epicenter*AG731,(IF(Occ_Bldg_Relief&gt;0,Occ_Bldg_Relief,Occ_Bldg)-LFL_Fract_VCE_Epicenter*AG731)/(2*AG733*4.18/101.3)^0.333,1/(2*AG733*4.18/101.3)^0.333),0)</f>
        <v>0</v>
      </c>
      <c r="AH740" s="81"/>
      <c r="AI740" s="1181">
        <f>IF(AND(AI733&gt;0,IF(Occ_Bldg_Relief&gt;0,Occ_Bldg_Relief,Occ_Bldg)&gt;0),IF(IF(Occ_Bldg_Relief&gt;0,Occ_Bldg_Relief,Occ_Bldg)&gt;1+LFL_Fract_VCE_Epicenter*AI731,(IF(Occ_Bldg_Relief&gt;0,Occ_Bldg_Relief,Occ_Bldg)-LFL_Fract_VCE_Epicenter*AI731)/(2*AI733*4.18/101.3)^0.333,1/(2*AI733*4.18/101.3)^0.333),0)</f>
        <v>0</v>
      </c>
      <c r="AJ740" s="81"/>
      <c r="AK740" s="81"/>
      <c r="AL740" s="81"/>
      <c r="AM740" s="81"/>
      <c r="AN740" s="81"/>
      <c r="AO740" s="81"/>
      <c r="AP740" s="81"/>
      <c r="AQ740" s="85" t="s">
        <v>1068</v>
      </c>
      <c r="AR740" s="81"/>
    </row>
    <row r="741" spans="1:44" ht="15" customHeight="1" x14ac:dyDescent="0.25">
      <c r="A741" s="2"/>
      <c r="B741" s="23" t="s">
        <v>3637</v>
      </c>
      <c r="C741" s="83"/>
      <c r="D741" s="1206">
        <f>IF(Zone_1&lt;Public,IF(D584="Instantaneous",Dispersion_R,Dispersion_M)*(MAX(D738,Public)^2-Public^2),IF(D584="Instantaneous",Dispersion_R,Dispersion_M)*(MAX(D738,Zone_1)^2-Zone_1^2))</f>
        <v>3.0000000000000005E-3</v>
      </c>
      <c r="E741" s="83"/>
      <c r="F741" s="1206">
        <f>IF(Zone_1&lt;Public,IF(F584="Instantaneous",Dispersion_R,Dispersion_M)*(MAX(F738,Public)^2-Public^2),IF(F584="Instantaneous",Dispersion_R,Dispersion_M)*(MAX(F738,Zone_1)^2-Zone_1^2))</f>
        <v>3.0000000000000005E-3</v>
      </c>
      <c r="G741" s="83"/>
      <c r="H741" s="1206">
        <f>IF(Zone_1&lt;Public,IF(H584="Instantaneous",Dispersion_R,Dispersion_M)*(MAX(H738,Public)^2-Public^2),IF(H584="Instantaneous",Dispersion_R,Dispersion_M)*(MAX(H738,Zone_1)^2-Zone_1^2))</f>
        <v>3.0000000000000005E-3</v>
      </c>
      <c r="I741" s="83"/>
      <c r="J741" s="1206">
        <f>IF(Zone_1&lt;Public,IF(J584="Instantaneous",Dispersion_R,Dispersion_M)*(MAX(J738,Public)^2-Public^2),IF(J584="Instantaneous",Dispersion_R,Dispersion_M)*(MAX(J738,Zone_1)^2-Zone_1^2))</f>
        <v>3.0000000000000005E-3</v>
      </c>
      <c r="K741" s="83"/>
      <c r="L741" s="1206">
        <f>IF(Zone_1&lt;Public,IF(L584="Instantaneous",Dispersion_R,Dispersion_M)*(MAX(L738,Public)^2-Public^2),IF(L584="Instantaneous",Dispersion_R,Dispersion_M)*(MAX(L738,Zone_1)^2-Zone_1^2))</f>
        <v>3.0000000000000005E-3</v>
      </c>
      <c r="M741" s="83"/>
      <c r="N741" s="1206">
        <f>IF(Zone_1&lt;Public,IF(N584="Instantaneous",Dispersion_R,Dispersion_M)*(MAX(N738,Public)^2-Public^2),IF(N584="Instantaneous",Dispersion_R,Dispersion_M)*(MAX(N738,Zone_1)^2-Zone_1^2))</f>
        <v>3.0000000000000005E-3</v>
      </c>
      <c r="O741" s="83"/>
      <c r="P741" s="1206">
        <f>IF(Zone_1&lt;Public,IF(P584="Instantaneous",Dispersion_R,Dispersion_M)*(MAX(P738,Public)^2-Public^2),IF(P584="Instantaneous",Dispersion_R,Dispersion_M)*(MAX(P738,Zone_1)^2-Zone_1^2))</f>
        <v>3.0000000000000005E-3</v>
      </c>
      <c r="Q741" s="83"/>
      <c r="R741" s="1206">
        <f>IF(Zone_1&lt;Public,IF(R584="Instantaneous",Dispersion_R,Dispersion_M)*(MAX(R738,Public)^2-Public^2),IF(R584="Instantaneous",Dispersion_R,Dispersion_M)*(MAX(R738,Zone_1)^2-Zone_1^2))</f>
        <v>3.0000000000000005E-3</v>
      </c>
      <c r="S741" s="83"/>
      <c r="T741" s="1206">
        <f>IF(Zone_1&lt;Public,IF(T584="Instantaneous",Dispersion_R,Dispersion_M)*(MAX(T738,Public)^2-Public^2),IF(T584="Instantaneous",Dispersion_R,Dispersion_M)*(MAX(T738,Zone_1)^2-Zone_1^2))</f>
        <v>3.0000000000000005E-3</v>
      </c>
      <c r="U741" s="83"/>
      <c r="V741" s="1206">
        <f>IF(Zone_1&lt;Public,IF(V584="Instantaneous",Dispersion_R,Dispersion_M)*(MAX(V738,Public)^2-Public^2),IF(V584="Instantaneous",Dispersion_R,Dispersion_M)*(MAX(V738,Zone_1)^2-Zone_1^2))</f>
        <v>3.0000000000000005E-3</v>
      </c>
      <c r="W741" s="83"/>
      <c r="X741" s="1206">
        <f>IF(Zone_1&lt;Public,IF(X584="Instantaneous",Dispersion_R,Dispersion_M)*(MAX(X738,Public)^2-Public^2),IF(X584="Instantaneous",Dispersion_R,Dispersion_M)*(MAX(X738,Zone_1)^2-Zone_1^2))</f>
        <v>3.0000000000000005E-3</v>
      </c>
      <c r="Y741" s="83"/>
      <c r="Z741" s="85" t="s">
        <v>3804</v>
      </c>
      <c r="AA741" s="2"/>
      <c r="AB741" s="81"/>
      <c r="AC741" s="23" t="s">
        <v>698</v>
      </c>
      <c r="AD741" s="81"/>
      <c r="AE741" s="1181">
        <f>IF(AND(AE729="Yes",AE740&gt;0),IF(VCE_BST_Coeff/AE740^VCE_BST_Exp&lt;VCE_BST_Limit,14.7*VCE_BST_Coeff/AE740^VCE_BST_Exp,14.7*VCE_BST_Limit),0)</f>
        <v>0</v>
      </c>
      <c r="AF741" s="81"/>
      <c r="AG741" s="1181">
        <f>IF(AND(AG729="Yes",AG740&gt;0),IF(VCE_BST_Coeff/AG740^VCE_BST_Exp&lt;VCE_BST_Limit,14.7*VCE_BST_Coeff/AG740^VCE_BST_Exp,14.7*VCE_BST_Limit),0)</f>
        <v>0</v>
      </c>
      <c r="AH741" s="81"/>
      <c r="AI741" s="1181">
        <f>IF(AND(AI729="Yes",AI740&gt;0),IF(VCE_BST_Coeff/AI740^VCE_BST_Exp&lt;VCE_BST_Limit,14.7*VCE_BST_Coeff/AI740^VCE_BST_Exp,14.7*VCE_BST_Limit),0)</f>
        <v>0</v>
      </c>
      <c r="AJ741" s="81"/>
      <c r="AK741" s="81"/>
      <c r="AL741" s="81"/>
      <c r="AM741" s="81"/>
      <c r="AN741" s="81"/>
      <c r="AO741" s="81"/>
      <c r="AP741" s="81"/>
      <c r="AQ741" s="473" t="s">
        <v>968</v>
      </c>
      <c r="AR741" s="81"/>
    </row>
    <row r="742" spans="1:44" ht="15" customHeight="1" x14ac:dyDescent="0.25">
      <c r="A742" s="2"/>
      <c r="B742" s="23" t="s">
        <v>3638</v>
      </c>
      <c r="C742" s="83"/>
      <c r="D742" s="1206">
        <f>IF(OR(D$664=0,D$658=""),0,IF(Zone_1&lt;Public,IF(D584="Instantaneous",Dispersion_R,Dispersion_M)*D$658^(2*IF(D584="Instantaneous",D$582,D$556))*D$675^2*(0-EXP(D$663+D$664*MAX(D738,Public)^2/(D$658^(2*IF(D584="Instantaneous",D$582,D$556))*D$675^2)))/D$664,IF(D584="Instantaneous",Dispersion_R,Dispersion_M)*D$658^(2*IF(D584="Instantaneous",D$582,D$556))*D$675^2*(0-EXP(D$663+D$664*MAX(D738,Zone_1)^2/(D$658^(2*IF(D584="Instantaneous",D$582,D$556))*D$675^2)))/D$664))</f>
        <v>0</v>
      </c>
      <c r="E742" s="83"/>
      <c r="F742" s="1206">
        <f>IF(OR(F$664=0,F$658=""),0,IF(Zone_1&lt;Public,IF(F584="Instantaneous",Dispersion_R,Dispersion_M)*F$658^(2*IF(F584="Instantaneous",F$582,F$556))*F$675^2*(0-EXP(F$663+F$664*MAX(F738,Public)^2/(F$658^(2*IF(F584="Instantaneous",F$582,F$556))*F$675^2)))/F$664,IF(F584="Instantaneous",Dispersion_R,Dispersion_M)*F$658^(2*IF(F584="Instantaneous",F$582,F$556))*F$675^2*(0-EXP(F$663+F$664*MAX(F738,Zone_1)^2/(F$658^(2*IF(F584="Instantaneous",F$582,F$556))*F$675^2)))/F$664))</f>
        <v>0</v>
      </c>
      <c r="G742" s="83"/>
      <c r="H742" s="1206">
        <f>IF(OR(H$664=0,H$658=""),0,IF(Zone_1&lt;Public,IF(H584="Instantaneous",Dispersion_R,Dispersion_M)*H$658^(2*IF(H584="Instantaneous",H$582,H$556))*H$675^2*(0-EXP(H$663+H$664*MAX(H738,Public)^2/(H$658^(2*IF(H584="Instantaneous",H$582,H$556))*H$675^2)))/H$664,IF(H584="Instantaneous",Dispersion_R,Dispersion_M)*H$658^(2*IF(H584="Instantaneous",H$582,H$556))*H$675^2*(0-EXP(H$663+H$664*MAX(H738,Zone_1)^2/(H$658^(2*IF(H584="Instantaneous",H$582,H$556))*H$675^2)))/H$664))</f>
        <v>0</v>
      </c>
      <c r="I742" s="83"/>
      <c r="J742" s="1206">
        <f>IF(OR(J$664=0,J$658=""),0,IF(Zone_1&lt;Public,IF(J584="Instantaneous",Dispersion_R,Dispersion_M)*J$658^(2*IF(J584="Instantaneous",J$582,J$556))*J$675^2*(0-EXP(J$663+J$664*MAX(J738,Public)^2/(J$658^(2*IF(J584="Instantaneous",J$582,J$556))*J$675^2)))/J$664,IF(J584="Instantaneous",Dispersion_R,Dispersion_M)*J$658^(2*IF(J584="Instantaneous",J$582,J$556))*J$675^2*(0-EXP(J$663+J$664*MAX(J738,Zone_1)^2/(J$658^(2*IF(J584="Instantaneous",J$582,J$556))*J$675^2)))/J$664))</f>
        <v>0</v>
      </c>
      <c r="K742" s="83"/>
      <c r="L742" s="1206">
        <f>IF(OR(L$664=0,L$658=""),0,IF(Zone_1&lt;Public,IF(L584="Instantaneous",Dispersion_R,Dispersion_M)*L$658^(2*IF(L584="Instantaneous",L$582,L$556))*L$675^2*(0-EXP(L$663+L$664*MAX(L738,Public)^2/(L$658^(2*IF(L584="Instantaneous",L$582,L$556))*L$675^2)))/L$664,IF(L584="Instantaneous",Dispersion_R,Dispersion_M)*L$658^(2*IF(L584="Instantaneous",L$582,L$556))*L$675^2*(0-EXP(L$663+L$664*MAX(L738,Zone_1)^2/(L$658^(2*IF(L584="Instantaneous",L$582,L$556))*L$675^2)))/L$664))</f>
        <v>0</v>
      </c>
      <c r="M742" s="83"/>
      <c r="N742" s="1206">
        <f>IF(OR(N$664=0,N$658=""),0,IF(Zone_1&lt;Public,IF(N584="Instantaneous",Dispersion_R,Dispersion_M)*N$658^(2*IF(N584="Instantaneous",N$582,N$556))*N$675^2*(0-EXP(N$663+N$664*MAX(N738,Public)^2/(N$658^(2*IF(N584="Instantaneous",N$582,N$556))*N$675^2)))/N$664,IF(N584="Instantaneous",Dispersion_R,Dispersion_M)*N$658^(2*IF(N584="Instantaneous",N$582,N$556))*N$675^2*(0-EXP(N$663+N$664*MAX(N738,Zone_1)^2/(N$658^(2*IF(N584="Instantaneous",N$582,N$556))*N$675^2)))/N$664))</f>
        <v>0</v>
      </c>
      <c r="O742" s="83"/>
      <c r="P742" s="1206">
        <f>IF(OR(P$664=0,P$658=""),0,IF(Zone_1&lt;Public,IF(P584="Instantaneous",Dispersion_R,Dispersion_M)*P$658^(2*IF(P584="Instantaneous",P$582,P$556))*P$675^2*(0-EXP(P$663+P$664*MAX(P738,Public)^2/(P$658^(2*IF(P584="Instantaneous",P$582,P$556))*P$675^2)))/P$664,IF(P584="Instantaneous",Dispersion_R,Dispersion_M)*P$658^(2*IF(P584="Instantaneous",P$582,P$556))*P$675^2*(0-EXP(P$663+P$664*MAX(P738,Zone_1)^2/(P$658^(2*IF(P584="Instantaneous",P$582,P$556))*P$675^2)))/P$664))</f>
        <v>0</v>
      </c>
      <c r="Q742" s="83"/>
      <c r="R742" s="1206">
        <f>IF(OR(R$664=0,R$658=""),0,IF(Zone_1&lt;Public,IF(R584="Instantaneous",Dispersion_R,Dispersion_M)*R$658^(2*IF(R584="Instantaneous",R$582,R$556))*R$675^2*(0-EXP(R$663+R$664*MAX(R738,Public)^2/(R$658^(2*IF(R584="Instantaneous",R$582,R$556))*R$675^2)))/R$664,IF(R584="Instantaneous",Dispersion_R,Dispersion_M)*R$658^(2*IF(R584="Instantaneous",R$582,R$556))*R$675^2*(0-EXP(R$663+R$664*MAX(R738,Zone_1)^2/(R$658^(2*IF(R584="Instantaneous",R$582,R$556))*R$675^2)))/R$664))</f>
        <v>0</v>
      </c>
      <c r="S742" s="83"/>
      <c r="T742" s="1206">
        <f>IF(OR(T$664=0,T$658=""),0,IF(Zone_1&lt;Public,IF(T584="Instantaneous",Dispersion_R,Dispersion_M)*T$658^(2*IF(T584="Instantaneous",T$582,T$556))*T$675^2*(0-EXP(T$663+T$664*MAX(T738,Public)^2/(T$658^(2*IF(T584="Instantaneous",T$582,T$556))*T$675^2)))/T$664,IF(T584="Instantaneous",Dispersion_R,Dispersion_M)*T$658^(2*IF(T584="Instantaneous",T$582,T$556))*T$675^2*(0-EXP(T$663+T$664*MAX(T738,Zone_1)^2/(T$658^(2*IF(T584="Instantaneous",T$582,T$556))*T$675^2)))/T$664))</f>
        <v>0</v>
      </c>
      <c r="U742" s="83"/>
      <c r="V742" s="1206">
        <f>IF(OR(V$664=0,V$658=""),0,IF(Zone_1&lt;Public,IF(V584="Instantaneous",Dispersion_R,Dispersion_M)*V$658^(2*IF(V584="Instantaneous",V$582,V$556))*V$675^2*(0-EXP(V$663+V$664*MAX(V738,Public)^2/(V$658^(2*IF(V584="Instantaneous",V$582,V$556))*V$675^2)))/V$664,IF(V584="Instantaneous",Dispersion_R,Dispersion_M)*V$658^(2*IF(V584="Instantaneous",V$582,V$556))*V$675^2*(0-EXP(V$663+V$664*MAX(V738,Zone_1)^2/(V$658^(2*IF(V584="Instantaneous",V$582,V$556))*V$675^2)))/V$664))</f>
        <v>0</v>
      </c>
      <c r="W742" s="83"/>
      <c r="X742" s="1206">
        <f>IF(OR(X$664=0,X$658=""),0,IF(Zone_1&lt;Public,IF(X584="Instantaneous",Dispersion_R,Dispersion_M)*X$658^(2*IF(X584="Instantaneous",X$582,X$556))*X$675^2*(0-EXP(X$663+X$664*MAX(X738,Public)^2/(X$658^(2*IF(X584="Instantaneous",X$582,X$556))*X$675^2)))/X$664,IF(X584="Instantaneous",Dispersion_R,Dispersion_M)*X$658^(2*IF(X584="Instantaneous",X$582,X$556))*X$675^2*(0-EXP(X$663+X$664*MAX(X738,Zone_1)^2/(X$658^(2*IF(X584="Instantaneous",X$582,X$556))*X$675^2)))/X$664))</f>
        <v>0</v>
      </c>
      <c r="Y742" s="83"/>
      <c r="Z742" s="85" t="s">
        <v>3804</v>
      </c>
      <c r="AA742" s="2"/>
      <c r="AB742" s="81"/>
      <c r="AC742" s="23" t="s">
        <v>3026</v>
      </c>
      <c r="AD742" s="81"/>
      <c r="AE742" s="1181">
        <f>IF(AND(AE733&gt;0,IF(Occ_Bldg2_Cntr_Relief&gt;0,Occ_Bldg2_Cntr_Relief,IF(Occ_Bldg2_Relief&gt;0,Occ_Bldg2_Relief,Occ_Bldg2))&gt;0),IF(IF(Occ_Bldg2_Cntr_Relief&gt;0,Occ_Bldg2_Cntr_Relief,IF(Occ_Bldg2_Relief&gt;0,Occ_Bldg2_Relief,Occ_Bldg2))&gt;1+LFL_Fract_VCE_Epicenter*AE731,(IF(Occ_Bldg2_Cntr_Relief&gt;0,Occ_Bldg2_Cntr_Relief,IF(Occ_Bldg2_Relief&gt;0,Occ_Bldg2_Relief,Occ_Bldg2))-LFL_Fract_VCE_Epicenter*AE731)/(2*AE733*4.18/101.3)^0.333,1/(2*AE733*4.18/101.3)^0.333),0)</f>
        <v>0</v>
      </c>
      <c r="AF742" s="81"/>
      <c r="AG742" s="1181">
        <f>IF(AND(AG733&gt;0,IF(Occ_Bldg2_Cntr_Relief&gt;0,Occ_Bldg2_Cntr_Relief,IF(Occ_Bldg2_Relief&gt;0,Occ_Bldg2_Relief,Occ_Bldg2))&gt;0),IF(IF(Occ_Bldg2_Cntr_Relief&gt;0,Occ_Bldg2_Cntr_Relief,IF(Occ_Bldg2_Relief&gt;0,Occ_Bldg2_Relief,Occ_Bldg2))&gt;1+LFL_Fract_VCE_Epicenter*AG731,(IF(Occ_Bldg2_Cntr_Relief&gt;0,Occ_Bldg2_Cntr_Relief,IF(Occ_Bldg2_Relief&gt;0,Occ_Bldg2_Relief,Occ_Bldg2))-LFL_Fract_VCE_Epicenter*AG731)/(2*AG733*4.18/101.3)^0.333,1/(2*AG733*4.18/101.3)^0.333),0)</f>
        <v>0</v>
      </c>
      <c r="AH742" s="81"/>
      <c r="AI742" s="1181">
        <f>IF(AND(AI733&gt;0,IF(Occ_Bldg2_Cntr_Relief&gt;0,Occ_Bldg2_Cntr_Relief,IF(Occ_Bldg2_Relief&gt;0,Occ_Bldg2_Relief,Occ_Bldg2))&gt;0),IF(IF(Occ_Bldg2_Cntr_Relief&gt;0,Occ_Bldg2_Cntr_Relief,IF(Occ_Bldg2_Relief&gt;0,Occ_Bldg2_Relief,Occ_Bldg2))&gt;1+LFL_Fract_VCE_Epicenter*AI731,(IF(Occ_Bldg2_Cntr_Relief&gt;0,Occ_Bldg2_Cntr_Relief,IF(Occ_Bldg2_Relief&gt;0,Occ_Bldg2_Relief,Occ_Bldg2))-LFL_Fract_VCE_Epicenter*AI731)/(2*AI733*4.18/101.3)^0.333,1/(2*AI733*4.18/101.3)^0.333),0)</f>
        <v>0</v>
      </c>
      <c r="AJ742" s="81"/>
      <c r="AK742" s="81"/>
      <c r="AL742" s="81"/>
      <c r="AM742" s="81"/>
      <c r="AN742" s="81"/>
      <c r="AO742" s="81"/>
      <c r="AP742" s="81"/>
      <c r="AQ742" s="473" t="s">
        <v>1068</v>
      </c>
      <c r="AR742" s="81"/>
    </row>
    <row r="743" spans="1:44" ht="15" customHeight="1" x14ac:dyDescent="0.25">
      <c r="A743" s="2"/>
      <c r="B743" s="23" t="s">
        <v>3639</v>
      </c>
      <c r="C743" s="83"/>
      <c r="D743" s="1861">
        <f>Outdoor_Fract_Night*((D734+D735)*IF(Offsite_PD1="",Offsite_PD,1000000*Offsite_PD1)+(D736+D737)*IF(Offsite_PD2="",Offsite_PD,1000000*Offsite_PD2))/1000000+(1-Outdoor_Fract_Night)*((D739+D740)*IF(Offsite_PD1="",Offsite_PD,1000000*Offsite_PD1)+(D741+D742)*IF(Offsite_PD2="",Offsite_PD,1000000*Offsite_PD2))/1000000</f>
        <v>9.0000000000000019E-6</v>
      </c>
      <c r="E743" s="83"/>
      <c r="F743" s="1861">
        <f>Outdoor_Fract_Night*((F734+F735)*IF(Offsite_PD1="",Offsite_PD,1000000*Offsite_PD1)+(F736+F737)*IF(Offsite_PD2="",Offsite_PD,1000000*Offsite_PD2))/1000000+(1-Outdoor_Fract_Night)*((F739+F740)*IF(Offsite_PD1="",Offsite_PD,1000000*Offsite_PD1)+(F741+F742)*IF(Offsite_PD2="",Offsite_PD,1000000*Offsite_PD2))/1000000</f>
        <v>9.0000000000000019E-6</v>
      </c>
      <c r="G743" s="83"/>
      <c r="H743" s="1861">
        <f>Outdoor_Fract_Night*((H734+H735)*IF(Offsite_PD1="",Offsite_PD,1000000*Offsite_PD1)+(H736+H737)*IF(Offsite_PD2="",Offsite_PD,1000000*Offsite_PD2))/1000000+(1-Outdoor_Fract_Night)*((H739+H740)*IF(Offsite_PD1="",Offsite_PD,1000000*Offsite_PD1)+(H741+H742)*IF(Offsite_PD2="",Offsite_PD,1000000*Offsite_PD2))/1000000</f>
        <v>9.0000000000000019E-6</v>
      </c>
      <c r="I743" s="83"/>
      <c r="J743" s="1861">
        <f>Outdoor_Fract_Night*((J734+J735)*IF(Offsite_PD1="",Offsite_PD,1000000*Offsite_PD1)+(J736+J737)*IF(Offsite_PD2="",Offsite_PD,1000000*Offsite_PD2))/1000000+(1-Outdoor_Fract_Night)*((J739+J740)*IF(Offsite_PD1="",Offsite_PD,1000000*Offsite_PD1)+(J741+J742)*IF(Offsite_PD2="",Offsite_PD,1000000*Offsite_PD2))/1000000</f>
        <v>9.0000000000000019E-6</v>
      </c>
      <c r="K743" s="83"/>
      <c r="L743" s="1861">
        <f>Outdoor_Fract_Night*((L734+L735)*IF(Offsite_PD1="",Offsite_PD,1000000*Offsite_PD1)+(L736+L737)*IF(Offsite_PD2="",Offsite_PD,1000000*Offsite_PD2))/1000000+(1-Outdoor_Fract_Night)*((L739+L740)*IF(Offsite_PD1="",Offsite_PD,1000000*Offsite_PD1)+(L741+L742)*IF(Offsite_PD2="",Offsite_PD,1000000*Offsite_PD2))/1000000</f>
        <v>9.0000000000000019E-6</v>
      </c>
      <c r="M743" s="83"/>
      <c r="N743" s="1861">
        <f>Outdoor_Fract_Night*((N734+N735)*IF(Offsite_PD1="",Offsite_PD,1000000*Offsite_PD1)+(N736+N737)*IF(Offsite_PD2="",Offsite_PD,1000000*Offsite_PD2))/1000000+(1-Outdoor_Fract_Night)*((N739+N740)*IF(Offsite_PD1="",Offsite_PD,1000000*Offsite_PD1)+(N741+N742)*IF(Offsite_PD2="",Offsite_PD,1000000*Offsite_PD2))/1000000</f>
        <v>9.0000000000000019E-6</v>
      </c>
      <c r="O743" s="83"/>
      <c r="P743" s="1861">
        <f>Outdoor_Fract_Night*((P734+P735)*IF(Offsite_PD1="",Offsite_PD,1000000*Offsite_PD1)+(P736+P737)*IF(Offsite_PD2="",Offsite_PD,1000000*Offsite_PD2))/1000000+(1-Outdoor_Fract_Night)*((P739+P740)*IF(Offsite_PD1="",Offsite_PD,1000000*Offsite_PD1)+(P741+P742)*IF(Offsite_PD2="",Offsite_PD,1000000*Offsite_PD2))/1000000</f>
        <v>9.0000000000000019E-6</v>
      </c>
      <c r="Q743" s="83"/>
      <c r="R743" s="1861">
        <f>Outdoor_Fract_Night*((R734+R735)*IF(Offsite_PD1="",Offsite_PD,1000000*Offsite_PD1)+(R736+R737)*IF(Offsite_PD2="",Offsite_PD,1000000*Offsite_PD2))/1000000+(1-Outdoor_Fract_Night)*((R739+R740)*IF(Offsite_PD1="",Offsite_PD,1000000*Offsite_PD1)+(R741+R742)*IF(Offsite_PD2="",Offsite_PD,1000000*Offsite_PD2))/1000000</f>
        <v>9.0000000000000019E-6</v>
      </c>
      <c r="S743" s="83"/>
      <c r="T743" s="1861">
        <f>Outdoor_Fract_Night*((T734+T735)*IF(Offsite_PD1="",Offsite_PD,1000000*Offsite_PD1)+(T736+T737)*IF(Offsite_PD2="",Offsite_PD,1000000*Offsite_PD2))/1000000+(1-Outdoor_Fract_Night)*((T739+T740)*IF(Offsite_PD1="",Offsite_PD,1000000*Offsite_PD1)+(T741+T742)*IF(Offsite_PD2="",Offsite_PD,1000000*Offsite_PD2))/1000000</f>
        <v>9.0000000000000019E-6</v>
      </c>
      <c r="U743" s="83"/>
      <c r="V743" s="1861">
        <f>Outdoor_Fract_Night*((V734+V735)*IF(Offsite_PD1="",Offsite_PD,1000000*Offsite_PD1)+(V736+V737)*IF(Offsite_PD2="",Offsite_PD,1000000*Offsite_PD2))/1000000+(1-Outdoor_Fract_Night)*((V739+V740)*IF(Offsite_PD1="",Offsite_PD,1000000*Offsite_PD1)+(V741+V742)*IF(Offsite_PD2="",Offsite_PD,1000000*Offsite_PD2))/1000000</f>
        <v>9.0000000000000019E-6</v>
      </c>
      <c r="W743" s="83"/>
      <c r="X743" s="1861">
        <f>Outdoor_Fract_Night*((X734+X735)*IF(Offsite_PD1="",Offsite_PD,1000000*Offsite_PD1)+(X736+X737)*IF(Offsite_PD2="",Offsite_PD,1000000*Offsite_PD2))/1000000+(1-Outdoor_Fract_Night)*((X739+X740)*IF(Offsite_PD1="",Offsite_PD,1000000*Offsite_PD1)+(X741+X742)*IF(Offsite_PD2="",Offsite_PD,1000000*Offsite_PD2))/1000000</f>
        <v>9.0000000000000019E-6</v>
      </c>
      <c r="Y743" s="83"/>
      <c r="Z743" s="23"/>
      <c r="AA743" s="2"/>
      <c r="AB743" s="81"/>
      <c r="AC743" s="23" t="s">
        <v>2936</v>
      </c>
      <c r="AD743" s="81"/>
      <c r="AE743" s="1181">
        <f>IF(AND(AE729="Yes",AE742&gt;0),IF(VCE_BST_Coeff/AE742^VCE_BST_Exp&lt;VCE_BST_Limit,14.7*VCE_BST_Coeff/AE742^VCE_BST_Exp,14.7*VCE_BST_Limit),AE745)</f>
        <v>0</v>
      </c>
      <c r="AF743" s="81"/>
      <c r="AG743" s="1181">
        <f>IF(AND(AG729="Yes",AG742&gt;0),IF(VCE_BST_Coeff/AG742^VCE_BST_Exp&lt;VCE_BST_Limit,14.7*VCE_BST_Coeff/AG742^VCE_BST_Exp,14.7*VCE_BST_Limit),AG745)</f>
        <v>0</v>
      </c>
      <c r="AH743" s="81"/>
      <c r="AI743" s="1181">
        <f>IF(AND(AI729="Yes",AI742&gt;0),IF(VCE_BST_Coeff/AI742^VCE_BST_Exp&lt;VCE_BST_Limit,14.7*VCE_BST_Coeff/AI742^VCE_BST_Exp,14.7*VCE_BST_Limit),AI745)</f>
        <v>0</v>
      </c>
      <c r="AJ743" s="81"/>
      <c r="AK743" s="81"/>
      <c r="AL743" s="81"/>
      <c r="AM743" s="81"/>
      <c r="AN743" s="81"/>
      <c r="AO743" s="81"/>
      <c r="AP743" s="81"/>
      <c r="AQ743" s="473" t="s">
        <v>968</v>
      </c>
      <c r="AR743" s="81"/>
    </row>
    <row r="744" spans="1:44" ht="15" customHeight="1" x14ac:dyDescent="0.25">
      <c r="A744" s="2"/>
      <c r="B744" s="23" t="s">
        <v>3533</v>
      </c>
      <c r="C744" s="83"/>
      <c r="D744" s="1861">
        <f>Lethality_Correction*((1-Fract_1.5_F)*D732+Fract_1.5_F*D743)</f>
        <v>4.500000000000001E-6</v>
      </c>
      <c r="E744" s="83"/>
      <c r="F744" s="1861">
        <f>Lethality_Correction*((1-Fract_1.5_F)*F732+Fract_1.5_F*F743)</f>
        <v>4.500000000000001E-6</v>
      </c>
      <c r="G744" s="83"/>
      <c r="H744" s="1861">
        <f>Lethality_Correction*((1-Fract_1.5_F)*H732+Fract_1.5_F*H743)</f>
        <v>4.500000000000001E-6</v>
      </c>
      <c r="I744" s="83"/>
      <c r="J744" s="1861">
        <f>Lethality_Correction*((1-Fract_1.5_F)*J732+Fract_1.5_F*J743)</f>
        <v>4.500000000000001E-6</v>
      </c>
      <c r="K744" s="83"/>
      <c r="L744" s="1861">
        <f>Lethality_Correction*((1-Fract_1.5_F)*L732+Fract_1.5_F*L743)</f>
        <v>4.500000000000001E-6</v>
      </c>
      <c r="M744" s="83"/>
      <c r="N744" s="1861">
        <f>Lethality_Correction*((1-Fract_1.5_F)*N732+Fract_1.5_F*N743)</f>
        <v>4.500000000000001E-6</v>
      </c>
      <c r="O744" s="83"/>
      <c r="P744" s="1861">
        <f>Lethality_Correction*((1-Fract_1.5_F)*P732+Fract_1.5_F*P743)</f>
        <v>4.500000000000001E-6</v>
      </c>
      <c r="Q744" s="83"/>
      <c r="R744" s="1861">
        <f>Lethality_Correction*((1-Fract_1.5_F)*R732+Fract_1.5_F*R743)</f>
        <v>4.500000000000001E-6</v>
      </c>
      <c r="S744" s="83"/>
      <c r="T744" s="1861">
        <f>Lethality_Correction*((1-Fract_1.5_F)*T732+Fract_1.5_F*T743)</f>
        <v>4.500000000000001E-6</v>
      </c>
      <c r="U744" s="83"/>
      <c r="V744" s="1861">
        <f>Lethality_Correction*((1-Fract_1.5_F)*V732+Fract_1.5_F*V743)</f>
        <v>4.500000000000001E-6</v>
      </c>
      <c r="W744" s="83"/>
      <c r="X744" s="1861">
        <f>Lethality_Correction*((1-Fract_1.5_F)*X732+Fract_1.5_F*X743)</f>
        <v>4.500000000000001E-6</v>
      </c>
      <c r="Y744" s="83"/>
      <c r="Z744" s="23"/>
      <c r="AA744" s="2"/>
      <c r="AB744" s="81"/>
      <c r="AC744" s="23" t="s">
        <v>3027</v>
      </c>
      <c r="AD744" s="81"/>
      <c r="AE744" s="1181">
        <f>IF(AND(AE733&gt;0,IF(Occ_Bldg2_Relief&gt;0,Occ_Bldg2_Relief,Occ_Bldg2)&gt;0),IF(IF(Occ_Bldg2_Relief&gt;0,Occ_Bldg2_Relief,Occ_Bldg2)&gt;1+LFL_Fract_VCE_Epicenter*AE731,(IF(Occ_Bldg2_Relief&gt;0,Occ_Bldg2_Relief,Occ_Bldg2)-LFL_Fract_VCE_Epicenter*AE731)/(2*AE733*4.18/101.3)^0.333,1/(2*AE733*4.18/101.3)^0.333),0)</f>
        <v>0</v>
      </c>
      <c r="AF744" s="81"/>
      <c r="AG744" s="1181">
        <f>IF(AND(AG733&gt;0,IF(Occ_Bldg2_Relief&gt;0,Occ_Bldg2_Relief,Occ_Bldg2)&gt;0),IF(IF(Occ_Bldg2_Relief&gt;0,Occ_Bldg2_Relief,Occ_Bldg2)&gt;1+LFL_Fract_VCE_Epicenter*AG731,(IF(Occ_Bldg2_Relief&gt;0,Occ_Bldg2_Relief,Occ_Bldg2)-LFL_Fract_VCE_Epicenter*AG731)/(2*AG733*4.18/101.3)^0.333,1/(2*AG733*4.18/101.3)^0.333),0)</f>
        <v>0</v>
      </c>
      <c r="AH744" s="81"/>
      <c r="AI744" s="1181">
        <f>IF(AND(AI733&gt;0,IF(Occ_Bldg2_Relief&gt;0,Occ_Bldg2_Relief,Occ_Bldg2)&gt;0),IF(IF(Occ_Bldg2_Relief&gt;0,Occ_Bldg2_Relief,Occ_Bldg2)&gt;1+LFL_Fract_VCE_Epicenter*AI731,(IF(Occ_Bldg2_Relief&gt;0,Occ_Bldg2_Relief,Occ_Bldg2)-LFL_Fract_VCE_Epicenter*AI731)/(2*AI733*4.18/101.3)^0.333,1/(2*AI733*4.18/101.3)^0.333),0)</f>
        <v>0</v>
      </c>
      <c r="AJ744" s="81"/>
      <c r="AK744" s="81"/>
      <c r="AL744" s="81"/>
      <c r="AM744" s="81"/>
      <c r="AN744" s="81"/>
      <c r="AO744" s="81"/>
      <c r="AP744" s="81"/>
      <c r="AQ744" s="473" t="s">
        <v>1068</v>
      </c>
      <c r="AR744" s="81"/>
    </row>
    <row r="745" spans="1:44" ht="15" customHeight="1" thickBot="1" x14ac:dyDescent="0.3">
      <c r="A745" s="2"/>
      <c r="B745" s="25" t="s">
        <v>4788</v>
      </c>
      <c r="C745" s="83"/>
      <c r="D745" s="1286">
        <f>IF(D668="No","NA",IF(D674-Public&lt;HD_VeryLow_Offsite,Conseq_VeryLow_Offsite+N_OffSite,IF(D674-Public&lt;HD_Low_Offsite,Conseq_Low+N_OffSite,IF(D674-Public&lt;HD_Moderate_Offsite,Conseq_Moderate+IF(Conseq_Moderate&lt;Conseq_GT_ExtremeHigh,N_OffSite,0),IF(D674-Public&lt;HD_High_Offsite,Conseq_High+IF(Conseq_High&lt;Conseq_GT_ExtremeHigh,N_OffSite,0),IF(D674-Public&lt;HD_VeryHigh_Offsite,Conseq_VeryHigh+IF(Conseq_VeryHigh&lt;Conseq_GT_ExtremeHigh,N_OffSite,0),Conseq_ExtremeHigh+IF(Conseq_ExtremeHigh&lt;Conseq_GT_ExtremeHigh,N_OffSite,0)))))))</f>
        <v>3</v>
      </c>
      <c r="E745" s="83"/>
      <c r="F745" s="1286">
        <f>IF(F668="No","NA",IF(F674-Public&lt;HD_VeryLow_Offsite,Conseq_VeryLow_Offsite+N_OffSite,IF(F674-Public&lt;HD_Low_Offsite,Conseq_Low+N_OffSite,IF(F674-Public&lt;HD_Moderate_Offsite,Conseq_Moderate+IF(Conseq_Moderate&lt;Conseq_GT_ExtremeHigh,N_OffSite,0),IF(F674-Public&lt;HD_High_Offsite,Conseq_High+IF(Conseq_High&lt;Conseq_GT_ExtremeHigh,N_OffSite,0),IF(F674-Public&lt;HD_VeryHigh_Offsite,Conseq_VeryHigh+IF(Conseq_VeryHigh&lt;Conseq_GT_ExtremeHigh,N_OffSite,0),Conseq_ExtremeHigh+IF(Conseq_ExtremeHigh&lt;Conseq_GT_ExtremeHigh,N_OffSite,0)))))))</f>
        <v>3</v>
      </c>
      <c r="G745" s="83"/>
      <c r="H745" s="1286">
        <f>IF(H668="No","NA",IF(H674-Public&lt;HD_VeryLow_Offsite,Conseq_VeryLow_Offsite+N_OffSite,IF(H674-Public&lt;HD_Low_Offsite,Conseq_Low+N_OffSite,IF(H674-Public&lt;HD_Moderate_Offsite,Conseq_Moderate+IF(Conseq_Moderate&lt;Conseq_GT_ExtremeHigh,N_OffSite,0),IF(H674-Public&lt;HD_High_Offsite,Conseq_High+IF(Conseq_High&lt;Conseq_GT_ExtremeHigh,N_OffSite,0),IF(H674-Public&lt;HD_VeryHigh_Offsite,Conseq_VeryHigh+IF(Conseq_VeryHigh&lt;Conseq_GT_ExtremeHigh,N_OffSite,0),Conseq_ExtremeHigh+IF(Conseq_ExtremeHigh&lt;Conseq_GT_ExtremeHigh,N_OffSite,0)))))))</f>
        <v>3</v>
      </c>
      <c r="I745" s="83"/>
      <c r="J745" s="1286">
        <f>IF(J668="No","NA",IF(J674-Public&lt;HD_VeryLow_Offsite,Conseq_VeryLow_Offsite+N_OffSite,IF(J674-Public&lt;HD_Low_Offsite,Conseq_Low+N_OffSite,IF(J674-Public&lt;HD_Moderate_Offsite,Conseq_Moderate+IF(Conseq_Moderate&lt;Conseq_GT_ExtremeHigh,N_OffSite,0),IF(J674-Public&lt;HD_High_Offsite,Conseq_High+IF(Conseq_High&lt;Conseq_GT_ExtremeHigh,N_OffSite,0),IF(J674-Public&lt;HD_VeryHigh_Offsite,Conseq_VeryHigh+IF(Conseq_VeryHigh&lt;Conseq_GT_ExtremeHigh,N_OffSite,0),Conseq_ExtremeHigh+IF(Conseq_ExtremeHigh&lt;Conseq_GT_ExtremeHigh,N_OffSite,0)))))))</f>
        <v>3</v>
      </c>
      <c r="K745" s="83"/>
      <c r="L745" s="1286">
        <f>IF(L668="No","NA",IF(L674-Public&lt;HD_VeryLow_Offsite,Conseq_VeryLow_Offsite+N_OffSite,IF(L674-Public&lt;HD_Low_Offsite,Conseq_Low+N_OffSite,IF(L674-Public&lt;HD_Moderate_Offsite,Conseq_Moderate+IF(Conseq_Moderate&lt;Conseq_GT_ExtremeHigh,N_OffSite,0),IF(L674-Public&lt;HD_High_Offsite,Conseq_High+IF(Conseq_High&lt;Conseq_GT_ExtremeHigh,N_OffSite,0),IF(L674-Public&lt;HD_VeryHigh_Offsite,Conseq_VeryHigh+IF(Conseq_VeryHigh&lt;Conseq_GT_ExtremeHigh,N_OffSite,0),Conseq_ExtremeHigh+IF(Conseq_ExtremeHigh&lt;Conseq_GT_ExtremeHigh,N_OffSite,0)))))))</f>
        <v>3</v>
      </c>
      <c r="M745" s="83"/>
      <c r="N745" s="1286">
        <f>IF(N668="No","NA",IF(N674-Public&lt;HD_VeryLow_Offsite,Conseq_VeryLow_Offsite+N_OffSite,IF(N674-Public&lt;HD_Low_Offsite,Conseq_Low+N_OffSite,IF(N674-Public&lt;HD_Moderate_Offsite,Conseq_Moderate+IF(Conseq_Moderate&lt;Conseq_GT_ExtremeHigh,N_OffSite,0),IF(N674-Public&lt;HD_High_Offsite,Conseq_High+IF(Conseq_High&lt;Conseq_GT_ExtremeHigh,N_OffSite,0),IF(N674-Public&lt;HD_VeryHigh_Offsite,Conseq_VeryHigh+IF(Conseq_VeryHigh&lt;Conseq_GT_ExtremeHigh,N_OffSite,0),Conseq_ExtremeHigh+IF(Conseq_ExtremeHigh&lt;Conseq_GT_ExtremeHigh,N_OffSite,0)))))))</f>
        <v>3</v>
      </c>
      <c r="O745" s="83"/>
      <c r="P745" s="1286">
        <f>IF(P668="No","NA",IF(P674-Public&lt;HD_VeryLow_Offsite,Conseq_VeryLow_Offsite+N_OffSite,IF(P674-Public&lt;HD_Low_Offsite,Conseq_Low+N_OffSite,IF(P674-Public&lt;HD_Moderate_Offsite,Conseq_Moderate+IF(Conseq_Moderate&lt;Conseq_GT_ExtremeHigh,N_OffSite,0),IF(P674-Public&lt;HD_High_Offsite,Conseq_High+IF(Conseq_High&lt;Conseq_GT_ExtremeHigh,N_OffSite,0),IF(P674-Public&lt;HD_VeryHigh_Offsite,Conseq_VeryHigh+IF(Conseq_VeryHigh&lt;Conseq_GT_ExtremeHigh,N_OffSite,0),Conseq_ExtremeHigh+IF(Conseq_ExtremeHigh&lt;Conseq_GT_ExtremeHigh,N_OffSite,0)))))))</f>
        <v>3</v>
      </c>
      <c r="Q745" s="83"/>
      <c r="R745" s="1286">
        <f>IF(R668="No","NA",IF(R674-Public&lt;HD_VeryLow_Offsite,Conseq_VeryLow_Offsite+N_OffSite,IF(R674-Public&lt;HD_Low_Offsite,Conseq_Low+N_OffSite,IF(R674-Public&lt;HD_Moderate_Offsite,Conseq_Moderate+IF(Conseq_Moderate&lt;Conseq_GT_ExtremeHigh,N_OffSite,0),IF(R674-Public&lt;HD_High_Offsite,Conseq_High+IF(Conseq_High&lt;Conseq_GT_ExtremeHigh,N_OffSite,0),IF(R674-Public&lt;HD_VeryHigh_Offsite,Conseq_VeryHigh+IF(Conseq_VeryHigh&lt;Conseq_GT_ExtremeHigh,N_OffSite,0),Conseq_ExtremeHigh+IF(Conseq_ExtremeHigh&lt;Conseq_GT_ExtremeHigh,N_OffSite,0)))))))</f>
        <v>3</v>
      </c>
      <c r="S745" s="83"/>
      <c r="T745" s="1286">
        <f>IF(T668="No","NA",IF(T674-Public&lt;HD_VeryLow_Offsite,Conseq_VeryLow_Offsite+N_OffSite,IF(T674-Public&lt;HD_Low_Offsite,Conseq_Low+N_OffSite,IF(T674-Public&lt;HD_Moderate_Offsite,Conseq_Moderate+IF(Conseq_Moderate&lt;Conseq_GT_ExtremeHigh,N_OffSite,0),IF(T674-Public&lt;HD_High_Offsite,Conseq_High+IF(Conseq_High&lt;Conseq_GT_ExtremeHigh,N_OffSite,0),IF(T674-Public&lt;HD_VeryHigh_Offsite,Conseq_VeryHigh+IF(Conseq_VeryHigh&lt;Conseq_GT_ExtremeHigh,N_OffSite,0),Conseq_ExtremeHigh+IF(Conseq_ExtremeHigh&lt;Conseq_GT_ExtremeHigh,N_OffSite,0)))))))</f>
        <v>3</v>
      </c>
      <c r="U745" s="83"/>
      <c r="V745" s="1286">
        <f>IF(V668="No","NA",IF(V674-Public&lt;HD_VeryLow_Offsite,Conseq_VeryLow_Offsite+N_OffSite,IF(V674-Public&lt;HD_Low_Offsite,Conseq_Low+N_OffSite,IF(V674-Public&lt;HD_Moderate_Offsite,Conseq_Moderate+IF(Conseq_Moderate&lt;Conseq_GT_ExtremeHigh,N_OffSite,0),IF(V674-Public&lt;HD_High_Offsite,Conseq_High+IF(Conseq_High&lt;Conseq_GT_ExtremeHigh,N_OffSite,0),IF(V674-Public&lt;HD_VeryHigh_Offsite,Conseq_VeryHigh+IF(Conseq_VeryHigh&lt;Conseq_GT_ExtremeHigh,N_OffSite,0),Conseq_ExtremeHigh+IF(Conseq_ExtremeHigh&lt;Conseq_GT_ExtremeHigh,N_OffSite,0)))))))</f>
        <v>3</v>
      </c>
      <c r="W745" s="83"/>
      <c r="X745" s="1286">
        <f>IF(X668="No","NA",IF(X674-Public&lt;HD_VeryLow_Offsite,Conseq_VeryLow_Offsite+N_OffSite,IF(X674-Public&lt;HD_Low_Offsite,Conseq_Low+N_OffSite,IF(X674-Public&lt;HD_Moderate_Offsite,Conseq_Moderate+IF(Conseq_Moderate&lt;Conseq_GT_ExtremeHigh,N_OffSite,0),IF(X674-Public&lt;HD_High_Offsite,Conseq_High+IF(Conseq_High&lt;Conseq_GT_ExtremeHigh,N_OffSite,0),IF(X674-Public&lt;HD_VeryHigh_Offsite,Conseq_VeryHigh+IF(Conseq_VeryHigh&lt;Conseq_GT_ExtremeHigh,N_OffSite,0),Conseq_ExtremeHigh+IF(Conseq_ExtremeHigh&lt;Conseq_GT_ExtremeHigh,N_OffSite,0)))))))</f>
        <v>3</v>
      </c>
      <c r="Y745" s="83"/>
      <c r="Z745" s="23"/>
      <c r="AA745" s="2"/>
      <c r="AB745" s="81"/>
      <c r="AC745" s="23" t="s">
        <v>628</v>
      </c>
      <c r="AD745" s="81"/>
      <c r="AE745" s="1181">
        <f>IF(AND(AE729="Yes",AE744&gt;0),IF(VCE_BST_Coeff/AE744^VCE_BST_Exp&lt;VCE_BST_Limit,14.7*VCE_BST_Coeff/AE744^VCE_BST_Exp,14.7*VCE_BST_Limit),0)</f>
        <v>0</v>
      </c>
      <c r="AF745" s="81"/>
      <c r="AG745" s="1181">
        <f>IF(AND(AG729="Yes",AG744&gt;0),IF(VCE_BST_Coeff/AG744^VCE_BST_Exp&lt;VCE_BST_Limit,14.7*VCE_BST_Coeff/AG744^VCE_BST_Exp,14.7*VCE_BST_Limit),0)</f>
        <v>0</v>
      </c>
      <c r="AH745" s="81"/>
      <c r="AI745" s="1181">
        <f>IF(AND(AI729="Yes",AI744&gt;0),IF(VCE_BST_Coeff/AI744^VCE_BST_Exp&lt;VCE_BST_Limit,14.7*VCE_BST_Coeff/AI744^VCE_BST_Exp,14.7*VCE_BST_Limit),0)</f>
        <v>0</v>
      </c>
      <c r="AJ745" s="81"/>
      <c r="AK745" s="81"/>
      <c r="AL745" s="81"/>
      <c r="AM745" s="81"/>
      <c r="AN745" s="81"/>
      <c r="AO745" s="81"/>
      <c r="AP745" s="81"/>
      <c r="AQ745" s="85" t="s">
        <v>968</v>
      </c>
      <c r="AR745" s="81"/>
    </row>
    <row r="746" spans="1:44" ht="15" customHeight="1" thickBot="1" x14ac:dyDescent="0.3">
      <c r="A746" s="2"/>
      <c r="B746" s="25" t="s">
        <v>4223</v>
      </c>
      <c r="C746" s="83"/>
      <c r="D746" s="2540" t="str">
        <f>IF(D744&lt;N_Screening,IF(D670="Yes",Conseq_Low_Offsite,IF(D668="Yes",Conseq_VeryLow_Offsite,"NA")),IF(D744&lt;N_VeryLow,Conseq_VeryLow+N_OffSite,IF(D744&lt;N_Low,Conseq_Low+N_OffSite,IF(D744&lt;N_Moderate,Conseq_Moderate+IF(Conseq_Moderate&lt;Conseq_GT_ExtremeHigh,N_OffSite,0),IF(D744&lt;N_High,Conseq_High+IF(Conseq_High&lt;Conseq_GT_ExtremeHigh,N_OffSite,0),IF(D744&lt;N_VeryHigh,Conseq_VeryHigh+IF(Conseq_VeryHigh&lt;Conseq_GT_ExtremeHigh,N_OffSite,0),Conseq_ExtremeHigh+IF(Conseq_ExtremeHigh&lt;Conseq_GT_ExtremeHigh,N_OffSite,0)))))))</f>
        <v>NA</v>
      </c>
      <c r="E746" s="83"/>
      <c r="F746" s="2540" t="str">
        <f>IF(F744&lt;N_Screening,IF(F670="Yes",Conseq_Low_Offsite,IF(F668="Yes",Conseq_VeryLow_Offsite,"NA")),IF(F744&lt;N_VeryLow,Conseq_VeryLow+N_OffSite,IF(F744&lt;N_Low,Conseq_Low+N_OffSite,IF(F744&lt;N_Moderate,Conseq_Moderate+IF(Conseq_Moderate&lt;Conseq_GT_ExtremeHigh,N_OffSite,0),IF(F744&lt;N_High,Conseq_High+IF(Conseq_High&lt;Conseq_GT_ExtremeHigh,N_OffSite,0),IF(F744&lt;N_VeryHigh,Conseq_VeryHigh+IF(Conseq_VeryHigh&lt;Conseq_GT_ExtremeHigh,N_OffSite,0),Conseq_ExtremeHigh+IF(Conseq_ExtremeHigh&lt;Conseq_GT_ExtremeHigh,N_OffSite,0)))))))</f>
        <v>NA</v>
      </c>
      <c r="G746" s="515"/>
      <c r="H746" s="2540" t="str">
        <f>IF(H744&lt;N_Screening,IF(H670="Yes",Conseq_Low_Offsite,IF(H668="Yes",Conseq_VeryLow_Offsite,"NA")),IF(H744&lt;N_VeryLow,Conseq_VeryLow+N_OffSite,IF(H744&lt;N_Low,Conseq_Low+N_OffSite,IF(H744&lt;N_Moderate,Conseq_Moderate+IF(Conseq_Moderate&lt;Conseq_GT_ExtremeHigh,N_OffSite,0),IF(H744&lt;N_High,Conseq_High+IF(Conseq_High&lt;Conseq_GT_ExtremeHigh,N_OffSite,0),IF(H744&lt;N_VeryHigh,Conseq_VeryHigh+IF(Conseq_VeryHigh&lt;Conseq_GT_ExtremeHigh,N_OffSite,0),Conseq_ExtremeHigh+IF(Conseq_ExtremeHigh&lt;Conseq_GT_ExtremeHigh,N_OffSite,0)))))))</f>
        <v>NA</v>
      </c>
      <c r="I746" s="515"/>
      <c r="J746" s="2540" t="str">
        <f>IF(J744&lt;N_Screening,IF(J670="Yes",Conseq_Low_Offsite,IF(J668="Yes",Conseq_VeryLow_Offsite,"NA")),IF(J744&lt;N_VeryLow,Conseq_VeryLow+N_OffSite,IF(J744&lt;N_Low,Conseq_Low+N_OffSite,IF(J744&lt;N_Moderate,Conseq_Moderate+IF(Conseq_Moderate&lt;Conseq_GT_ExtremeHigh,N_OffSite,0),IF(J744&lt;N_High,Conseq_High+IF(Conseq_High&lt;Conseq_GT_ExtremeHigh,N_OffSite,0),IF(J744&lt;N_VeryHigh,Conseq_VeryHigh+IF(Conseq_VeryHigh&lt;Conseq_GT_ExtremeHigh,N_OffSite,0),Conseq_ExtremeHigh+IF(Conseq_ExtremeHigh&lt;Conseq_GT_ExtremeHigh,N_OffSite,0)))))))</f>
        <v>NA</v>
      </c>
      <c r="K746" s="515"/>
      <c r="L746" s="2540" t="str">
        <f>IF(L744&lt;N_Screening,IF(L670="Yes",Conseq_Low_Offsite,IF(L668="Yes",Conseq_VeryLow_Offsite,"NA")),IF(L744&lt;N_VeryLow,Conseq_VeryLow+N_OffSite,IF(L744&lt;N_Low,Conseq_Low+N_OffSite,IF(L744&lt;N_Moderate,Conseq_Moderate+IF(Conseq_Moderate&lt;Conseq_GT_ExtremeHigh,N_OffSite,0),IF(L744&lt;N_High,Conseq_High+IF(Conseq_High&lt;Conseq_GT_ExtremeHigh,N_OffSite,0),IF(L744&lt;N_VeryHigh,Conseq_VeryHigh+IF(Conseq_VeryHigh&lt;Conseq_GT_ExtremeHigh,N_OffSite,0),Conseq_ExtremeHigh+IF(Conseq_ExtremeHigh&lt;Conseq_GT_ExtremeHigh,N_OffSite,0)))))))</f>
        <v>NA</v>
      </c>
      <c r="M746" s="515"/>
      <c r="N746" s="2540" t="str">
        <f>IF(N744&lt;N_Screening,IF(N670="Yes",Conseq_Low_Offsite,IF(N668="Yes",Conseq_VeryLow_Offsite,"NA")),IF(N744&lt;N_VeryLow,Conseq_VeryLow+N_OffSite,IF(N744&lt;N_Low,Conseq_Low+N_OffSite,IF(N744&lt;N_Moderate,Conseq_Moderate+IF(Conseq_Moderate&lt;Conseq_GT_ExtremeHigh,N_OffSite,0),IF(N744&lt;N_High,Conseq_High+IF(Conseq_High&lt;Conseq_GT_ExtremeHigh,N_OffSite,0),IF(N744&lt;N_VeryHigh,Conseq_VeryHigh+IF(Conseq_VeryHigh&lt;Conseq_GT_ExtremeHigh,N_OffSite,0),Conseq_ExtremeHigh+IF(Conseq_ExtremeHigh&lt;Conseq_GT_ExtremeHigh,N_OffSite,0)))))))</f>
        <v>NA</v>
      </c>
      <c r="O746" s="515"/>
      <c r="P746" s="2540" t="str">
        <f>IF(P744&lt;N_Screening,IF(P670="Yes",Conseq_Low_Offsite,IF(P668="Yes",Conseq_VeryLow_Offsite,"NA")),IF(P744&lt;N_VeryLow,Conseq_VeryLow+N_OffSite,IF(P744&lt;N_Low,Conseq_Low+N_OffSite,IF(P744&lt;N_Moderate,Conseq_Moderate+IF(Conseq_Moderate&lt;Conseq_GT_ExtremeHigh,N_OffSite,0),IF(P744&lt;N_High,Conseq_High+IF(Conseq_High&lt;Conseq_GT_ExtremeHigh,N_OffSite,0),IF(P744&lt;N_VeryHigh,Conseq_VeryHigh+IF(Conseq_VeryHigh&lt;Conseq_GT_ExtremeHigh,N_OffSite,0),Conseq_ExtremeHigh+IF(Conseq_ExtremeHigh&lt;Conseq_GT_ExtremeHigh,N_OffSite,0)))))))</f>
        <v>NA</v>
      </c>
      <c r="Q746" s="515"/>
      <c r="R746" s="2540" t="str">
        <f>IF(R744&lt;N_Screening,IF(R670="Yes",Conseq_Low_Offsite,IF(R668="Yes",Conseq_VeryLow_Offsite,"NA")),IF(R744&lt;N_VeryLow,Conseq_VeryLow+N_OffSite,IF(R744&lt;N_Low,Conseq_Low+N_OffSite,IF(R744&lt;N_Moderate,Conseq_Moderate+IF(Conseq_Moderate&lt;Conseq_GT_ExtremeHigh,N_OffSite,0),IF(R744&lt;N_High,Conseq_High+IF(Conseq_High&lt;Conseq_GT_ExtremeHigh,N_OffSite,0),IF(R744&lt;N_VeryHigh,Conseq_VeryHigh+IF(Conseq_VeryHigh&lt;Conseq_GT_ExtremeHigh,N_OffSite,0),Conseq_ExtremeHigh+IF(Conseq_ExtremeHigh&lt;Conseq_GT_ExtremeHigh,N_OffSite,0)))))))</f>
        <v>NA</v>
      </c>
      <c r="S746" s="515"/>
      <c r="T746" s="2540" t="str">
        <f>IF(T744&lt;N_Screening,IF(T670="Yes",Conseq_Low_Offsite,IF(T668="Yes",Conseq_VeryLow_Offsite,"NA")),IF(T744&lt;N_VeryLow,Conseq_VeryLow+N_OffSite,IF(T744&lt;N_Low,Conseq_Low+N_OffSite,IF(T744&lt;N_Moderate,Conseq_Moderate+IF(Conseq_Moderate&lt;Conseq_GT_ExtremeHigh,N_OffSite,0),IF(T744&lt;N_High,Conseq_High+IF(Conseq_High&lt;Conseq_GT_ExtremeHigh,N_OffSite,0),IF(T744&lt;N_VeryHigh,Conseq_VeryHigh+IF(Conseq_VeryHigh&lt;Conseq_GT_ExtremeHigh,N_OffSite,0),Conseq_ExtremeHigh+IF(Conseq_ExtremeHigh&lt;Conseq_GT_ExtremeHigh,N_OffSite,0)))))))</f>
        <v>NA</v>
      </c>
      <c r="U746" s="515"/>
      <c r="V746" s="2540" t="str">
        <f>IF(V744&lt;N_Screening,IF(V670="Yes",Conseq_Low_Offsite,IF(V668="Yes",Conseq_VeryLow_Offsite,"NA")),IF(V744&lt;N_VeryLow,Conseq_VeryLow+N_OffSite,IF(V744&lt;N_Low,Conseq_Low+N_OffSite,IF(V744&lt;N_Moderate,Conseq_Moderate+IF(Conseq_Moderate&lt;Conseq_GT_ExtremeHigh,N_OffSite,0),IF(V744&lt;N_High,Conseq_High+IF(Conseq_High&lt;Conseq_GT_ExtremeHigh,N_OffSite,0),IF(V744&lt;N_VeryHigh,Conseq_VeryHigh+IF(Conseq_VeryHigh&lt;Conseq_GT_ExtremeHigh,N_OffSite,0),Conseq_ExtremeHigh+IF(Conseq_ExtremeHigh&lt;Conseq_GT_ExtremeHigh,N_OffSite,0)))))))</f>
        <v>NA</v>
      </c>
      <c r="W746" s="515"/>
      <c r="X746" s="2540" t="str">
        <f>IF(X744&lt;N_Screening,IF(X670="Yes",Conseq_Low_Offsite,IF(X668="Yes",Conseq_VeryLow_Offsite,"NA")),IF(X744&lt;N_VeryLow,Conseq_VeryLow+N_OffSite,IF(X744&lt;N_Low,Conseq_Low+N_OffSite,IF(X744&lt;N_Moderate,Conseq_Moderate+IF(Conseq_Moderate&lt;Conseq_GT_ExtremeHigh,N_OffSite,0),IF(X744&lt;N_High,Conseq_High+IF(Conseq_High&lt;Conseq_GT_ExtremeHigh,N_OffSite,0),IF(X744&lt;N_VeryHigh,Conseq_VeryHigh+IF(Conseq_VeryHigh&lt;Conseq_GT_ExtremeHigh,N_OffSite,0),Conseq_ExtremeHigh+IF(Conseq_ExtremeHigh&lt;Conseq_GT_ExtremeHigh,N_OffSite,0)))))))</f>
        <v>NA</v>
      </c>
      <c r="Y746" s="83"/>
      <c r="Z746" s="89"/>
      <c r="AA746" s="2"/>
      <c r="AB746" s="81"/>
      <c r="AC746" s="25" t="s">
        <v>1863</v>
      </c>
      <c r="AD746" s="81"/>
      <c r="AE746" s="1184" t="str">
        <f>IF(OR(AE741&gt;Bldg_Type_Correction,AE745&gt;Bldg2_Type_Correction),"Yes","No")</f>
        <v>No</v>
      </c>
      <c r="AF746" s="81"/>
      <c r="AG746" s="1184" t="str">
        <f>IF(OR(AG741&gt;Bldg_Type_Correction,AG745&gt;Bldg2_Type_Correction),"Yes","No")</f>
        <v>No</v>
      </c>
      <c r="AH746" s="81"/>
      <c r="AI746" s="1184" t="str">
        <f>IF(OR(AI741&gt;Bldg_Type_Correction,AI745&gt;Bldg2_Type_Correction),"Yes","No")</f>
        <v>No</v>
      </c>
      <c r="AJ746" s="81"/>
      <c r="AK746" s="81"/>
      <c r="AL746" s="81"/>
      <c r="AM746" s="81"/>
      <c r="AN746" s="81"/>
      <c r="AO746" s="81"/>
      <c r="AP746" s="81"/>
      <c r="AQ746" s="1830"/>
      <c r="AR746" s="81"/>
    </row>
    <row r="747" spans="1:44" ht="15" customHeight="1" thickBot="1" x14ac:dyDescent="0.3">
      <c r="A747" s="2"/>
      <c r="B747" s="23" t="s">
        <v>4735</v>
      </c>
      <c r="C747" s="83"/>
      <c r="D747" s="1206">
        <f>Dispersion_D*IF(Public2=0,D671,MIN(D671,Public2))^2</f>
        <v>3.0000000000000005E-3</v>
      </c>
      <c r="E747" s="83"/>
      <c r="F747" s="1206">
        <f>Dispersion_D*IF(Public2=0,F671,MIN(F671,Public2))^2</f>
        <v>3.0000000000000005E-3</v>
      </c>
      <c r="G747" s="83"/>
      <c r="H747" s="1206">
        <f>Dispersion_D*IF(Public2=0,H671,MIN(H671,Public2))^2</f>
        <v>3.0000000000000005E-3</v>
      </c>
      <c r="I747" s="83"/>
      <c r="J747" s="1206">
        <f>Dispersion_D*IF(Public2=0,J671,MIN(J671,Public2))^2</f>
        <v>3.0000000000000005E-3</v>
      </c>
      <c r="K747" s="83"/>
      <c r="L747" s="1206">
        <f>Dispersion_D*IF(Public2=0,L671,MIN(L671,Public2))^2</f>
        <v>3.0000000000000005E-3</v>
      </c>
      <c r="M747" s="83"/>
      <c r="N747" s="1206">
        <f>Dispersion_D*IF(Public2=0,N671,MIN(N671,Public2))^2</f>
        <v>3.0000000000000005E-3</v>
      </c>
      <c r="O747" s="83"/>
      <c r="P747" s="1206">
        <f>Dispersion_D*IF(Public2=0,P671,MIN(P671,Public2))^2</f>
        <v>3.0000000000000005E-3</v>
      </c>
      <c r="Q747" s="83"/>
      <c r="R747" s="1206">
        <f>Dispersion_D*IF(Public2=0,R671,MIN(R671,Public2))^2</f>
        <v>3.0000000000000005E-3</v>
      </c>
      <c r="S747" s="83"/>
      <c r="T747" s="1206">
        <f>Dispersion_D*IF(Public2=0,T671,MIN(T671,Public2))^2</f>
        <v>3.0000000000000005E-3</v>
      </c>
      <c r="U747" s="83"/>
      <c r="V747" s="1206">
        <f>Dispersion_D*IF(Public2=0,V671,MIN(V671,Public2))^2</f>
        <v>3.0000000000000005E-3</v>
      </c>
      <c r="W747" s="83"/>
      <c r="X747" s="1206">
        <f>Dispersion_D*IF(Public2=0,X671,MIN(X671,Public2))^2</f>
        <v>3.0000000000000005E-3</v>
      </c>
      <c r="Y747" s="83"/>
      <c r="Z747" s="85" t="s">
        <v>3804</v>
      </c>
      <c r="AA747" s="2"/>
      <c r="AB747" s="81"/>
      <c r="AC747" s="81"/>
      <c r="AD747" s="81"/>
      <c r="AE747" s="81"/>
      <c r="AF747" s="81"/>
      <c r="AG747" s="81"/>
      <c r="AH747" s="81"/>
      <c r="AI747" s="81"/>
      <c r="AJ747" s="81"/>
      <c r="AK747" s="81"/>
      <c r="AL747" s="81"/>
      <c r="AM747" s="81"/>
      <c r="AN747" s="81"/>
      <c r="AO747" s="81"/>
      <c r="AP747" s="81"/>
      <c r="AQ747" s="81"/>
      <c r="AR747" s="81"/>
    </row>
    <row r="748" spans="1:44" ht="15" customHeight="1" x14ac:dyDescent="0.25">
      <c r="A748" s="2"/>
      <c r="B748" s="23" t="s">
        <v>3161</v>
      </c>
      <c r="C748" s="83"/>
      <c r="D748" s="1207">
        <f>D747*Onsite_PD/1000000+IF(AND(D$292="Yes",D671&gt;HD_Severe_Impact),0.9,0)</f>
        <v>6.0000000000000008E-7</v>
      </c>
      <c r="E748" s="83"/>
      <c r="F748" s="1207">
        <f>F747*Onsite_PD/1000000+IF(AND(F$292="Yes",F671&gt;HD_Severe_Impact),0.9,0)</f>
        <v>6.0000000000000008E-7</v>
      </c>
      <c r="G748" s="83"/>
      <c r="H748" s="1207">
        <f>H747*Onsite_PD/1000000+IF(AND(H$292="Yes",H671&gt;HD_Severe_Impact),0.9,0)</f>
        <v>6.0000000000000008E-7</v>
      </c>
      <c r="I748" s="83"/>
      <c r="J748" s="1207">
        <f>J747*Onsite_PD/1000000+IF(AND(J$292="Yes",J671&gt;HD_Severe_Impact),0.9,0)</f>
        <v>6.0000000000000008E-7</v>
      </c>
      <c r="K748" s="83"/>
      <c r="L748" s="1207">
        <f>L747*Onsite_PD/1000000+IF(AND(L$292="Yes",L671&gt;HD_Severe_Impact),0.9,0)</f>
        <v>6.0000000000000008E-7</v>
      </c>
      <c r="M748" s="83"/>
      <c r="N748" s="1207">
        <f>N747*Onsite_PD/1000000+IF(AND(N$292="Yes",N671&gt;HD_Severe_Impact),0.9,0)</f>
        <v>6.0000000000000008E-7</v>
      </c>
      <c r="O748" s="83"/>
      <c r="P748" s="1207">
        <f>P747*Onsite_PD/1000000+IF(AND(P$292="Yes",P671&gt;HD_Severe_Impact),0.9,0)</f>
        <v>6.0000000000000008E-7</v>
      </c>
      <c r="Q748" s="83"/>
      <c r="R748" s="1207">
        <f>R747*Onsite_PD/1000000+IF(AND(R$292="Yes",R671&gt;HD_Severe_Impact),0.9,0)</f>
        <v>6.0000000000000008E-7</v>
      </c>
      <c r="S748" s="83"/>
      <c r="T748" s="1207">
        <f>T747*Onsite_PD/1000000+IF(AND(T$292="Yes",T671&gt;HD_Severe_Impact),0.9,0)</f>
        <v>6.0000000000000008E-7</v>
      </c>
      <c r="U748" s="83"/>
      <c r="V748" s="1207">
        <f>V747*Onsite_PD/1000000+IF(AND(V$292="Yes",V671&gt;HD_Severe_Impact),0.9,0)</f>
        <v>6.0000000000000008E-7</v>
      </c>
      <c r="W748" s="83"/>
      <c r="X748" s="1207">
        <f>X747*Onsite_PD/1000000+IF(AND(X$292="Yes",X671&gt;HD_Severe_Impact),0.9,0)</f>
        <v>6.0000000000000008E-7</v>
      </c>
      <c r="Y748" s="83"/>
      <c r="Z748" s="91"/>
      <c r="AA748" s="2"/>
      <c r="AB748" s="81"/>
      <c r="AC748" s="2992" t="s">
        <v>610</v>
      </c>
      <c r="AD748" s="81"/>
      <c r="AE748" s="81"/>
      <c r="AF748" s="81"/>
      <c r="AG748" s="81"/>
      <c r="AH748" s="81"/>
      <c r="AI748" s="81"/>
      <c r="AJ748" s="81"/>
      <c r="AK748" s="81"/>
      <c r="AL748" s="81"/>
      <c r="AM748" s="81"/>
      <c r="AN748" s="81"/>
      <c r="AO748" s="81"/>
      <c r="AP748" s="81"/>
      <c r="AQ748" s="81"/>
      <c r="AR748" s="81"/>
    </row>
    <row r="749" spans="1:44" ht="15" customHeight="1" x14ac:dyDescent="0.25">
      <c r="A749" s="2"/>
      <c r="B749" s="85" t="s">
        <v>1638</v>
      </c>
      <c r="C749" s="83"/>
      <c r="D749" s="1208">
        <v>0</v>
      </c>
      <c r="E749" s="83"/>
      <c r="F749" s="1208">
        <v>0</v>
      </c>
      <c r="G749" s="83"/>
      <c r="H749" s="1208">
        <v>0</v>
      </c>
      <c r="I749" s="83"/>
      <c r="J749" s="1208">
        <v>0</v>
      </c>
      <c r="K749" s="83"/>
      <c r="L749" s="1208">
        <v>0</v>
      </c>
      <c r="M749" s="83"/>
      <c r="N749" s="1208">
        <v>0</v>
      </c>
      <c r="O749" s="83"/>
      <c r="P749" s="1208">
        <v>0</v>
      </c>
      <c r="Q749" s="83"/>
      <c r="R749" s="1208">
        <v>0</v>
      </c>
      <c r="S749" s="83"/>
      <c r="T749" s="1208">
        <v>0</v>
      </c>
      <c r="U749" s="83"/>
      <c r="V749" s="1208">
        <v>0</v>
      </c>
      <c r="W749" s="83"/>
      <c r="X749" s="1208">
        <v>0</v>
      </c>
      <c r="Y749" s="83"/>
      <c r="Z749" s="91"/>
      <c r="AA749" s="2"/>
      <c r="AB749" s="81"/>
      <c r="AC749" s="85" t="s">
        <v>4222</v>
      </c>
      <c r="AD749" s="81"/>
      <c r="AE749" s="3024" t="str">
        <f>IF(OR(Regulatory_Tox="Yes",AND(ER3_Min&lt;=Toxic_Limit,AE695="Yes")),IF(Conseq_Criteria="Hazard Distance",AE773,AE774),"NA")</f>
        <v>NA</v>
      </c>
      <c r="AF749" s="81"/>
      <c r="AG749" s="3024" t="str">
        <f>IF(OR(Regulatory_Tox="Yes",AND(ER3_Min&lt;=Toxic_Limit,AG695="Yes")),IF(Conseq_Criteria="Hazard Distance",AG773,AG774),"NA")</f>
        <v>NA</v>
      </c>
      <c r="AH749" s="81"/>
      <c r="AI749" s="3024" t="str">
        <f>IF(OR(Regulatory_Tox="Yes",AND(ER3_Min&lt;=Toxic_Limit,AI695="Yes")),IF(Conseq_Criteria="Hazard Distance",AI773,AI774),"NA")</f>
        <v>NA</v>
      </c>
      <c r="AJ749" s="81"/>
      <c r="AK749" s="81"/>
      <c r="AL749" s="81"/>
      <c r="AM749" s="81"/>
      <c r="AN749" s="81"/>
      <c r="AO749" s="81"/>
      <c r="AP749" s="81"/>
      <c r="AQ749" s="23"/>
      <c r="AR749" s="81"/>
    </row>
    <row r="750" spans="1:44" ht="15" customHeight="1" thickBot="1" x14ac:dyDescent="0.3">
      <c r="A750" s="2"/>
      <c r="B750" s="25" t="s">
        <v>4789</v>
      </c>
      <c r="C750" s="83"/>
      <c r="D750" s="1208" t="str">
        <f>IF(OR(AND(Regulatory_Tox&lt;&gt;"Yes",ER3_Min&gt;Toxic_Limit),IF(394&lt;&gt;"",D609,0)&gt;D595,D671&lt;HD_Screening_Limit),"NA",IF(AND(D$292&lt;&gt;"Yes",D671&lt;HD_VeryLow_OnSite),Conseq_VeryLow,IF(D671&lt;HD_Low_OnSite,Conseq_Low,IF(D671&lt;HD_Moderate_OnSite,Conseq_Moderate,IF(D671&lt;HD_High_OnSite,Conseq_High,IF(D671&lt;HD_VeryHigh_OnSite,Conseq_VeryHigh,Conseq_ExtremeHigh))))))</f>
        <v>NA</v>
      </c>
      <c r="E750" s="83"/>
      <c r="F750" s="1208" t="str">
        <f>IF(OR(AND(Regulatory_Tox&lt;&gt;"Yes",ER3_Min&gt;Toxic_Limit),IF(394&lt;&gt;"",F609,0)&gt;F595,F671&lt;HD_Screening_Limit),"NA",IF(AND(F$292&lt;&gt;"Yes",F671&lt;HD_VeryLow_OnSite),Conseq_VeryLow,IF(F671&lt;HD_Low_OnSite,Conseq_Low,IF(F671&lt;HD_Moderate_OnSite,Conseq_Moderate,IF(F671&lt;HD_High_OnSite,Conseq_High,IF(F671&lt;HD_VeryHigh_OnSite,Conseq_VeryHigh,Conseq_ExtremeHigh))))))</f>
        <v>NA</v>
      </c>
      <c r="G750" s="83"/>
      <c r="H750" s="1208" t="str">
        <f>IF(OR(AND(Regulatory_Tox&lt;&gt;"Yes",ER3_Min&gt;Toxic_Limit),IF(394&lt;&gt;"",H609,0)&gt;H595,H671&lt;HD_Screening_Limit),"NA",IF(AND(H$292&lt;&gt;"Yes",H671&lt;HD_VeryLow_OnSite),Conseq_VeryLow,IF(H671&lt;HD_Low_OnSite,Conseq_Low,IF(H671&lt;HD_Moderate_OnSite,Conseq_Moderate,IF(H671&lt;HD_High_OnSite,Conseq_High,IF(H671&lt;HD_VeryHigh_OnSite,Conseq_VeryHigh,Conseq_ExtremeHigh))))))</f>
        <v>NA</v>
      </c>
      <c r="I750" s="83"/>
      <c r="J750" s="1208" t="str">
        <f>IF(OR(AND(Regulatory_Tox&lt;&gt;"Yes",ER3_Min&gt;Toxic_Limit),IF(394&lt;&gt;"",J609,0)&gt;J595,J671&lt;HD_Screening_Limit),"NA",IF(AND(J$292&lt;&gt;"Yes",J671&lt;HD_VeryLow_OnSite),Conseq_VeryLow,IF(J671&lt;HD_Low_OnSite,Conseq_Low,IF(J671&lt;HD_Moderate_OnSite,Conseq_Moderate,IF(J671&lt;HD_High_OnSite,Conseq_High,IF(J671&lt;HD_VeryHigh_OnSite,Conseq_VeryHigh,Conseq_ExtremeHigh))))))</f>
        <v>NA</v>
      </c>
      <c r="K750" s="83"/>
      <c r="L750" s="1208" t="str">
        <f>IF(OR(AND(Regulatory_Tox&lt;&gt;"Yes",ER3_Min&gt;Toxic_Limit),IF(394&lt;&gt;"",L609,0)&gt;L595,L671&lt;HD_Screening_Limit),"NA",IF(AND(L$292&lt;&gt;"Yes",L671&lt;HD_VeryLow_OnSite),Conseq_VeryLow,IF(L671&lt;HD_Low_OnSite,Conseq_Low,IF(L671&lt;HD_Moderate_OnSite,Conseq_Moderate,IF(L671&lt;HD_High_OnSite,Conseq_High,IF(L671&lt;HD_VeryHigh_OnSite,Conseq_VeryHigh,Conseq_ExtremeHigh))))))</f>
        <v>NA</v>
      </c>
      <c r="M750" s="83"/>
      <c r="N750" s="1208" t="str">
        <f>IF(OR(AND(Regulatory_Tox&lt;&gt;"Yes",ER3_Min&gt;Toxic_Limit),IF(394&lt;&gt;"",N609,0)&gt;N595,N671&lt;HD_Screening_Limit),"NA",IF(AND(N$292&lt;&gt;"Yes",N671&lt;HD_VeryLow_OnSite),Conseq_VeryLow,IF(N671&lt;HD_Low_OnSite,Conseq_Low,IF(N671&lt;HD_Moderate_OnSite,Conseq_Moderate,IF(N671&lt;HD_High_OnSite,Conseq_High,IF(N671&lt;HD_VeryHigh_OnSite,Conseq_VeryHigh,Conseq_ExtremeHigh))))))</f>
        <v>NA</v>
      </c>
      <c r="O750" s="83"/>
      <c r="P750" s="1208" t="str">
        <f>IF(OR(AND(Regulatory_Tox&lt;&gt;"Yes",ER3_Min&gt;Toxic_Limit),IF(394&lt;&gt;"",P609,0)&gt;P595,P671&lt;HD_Screening_Limit),"NA",IF(AND(P$292&lt;&gt;"Yes",P671&lt;HD_VeryLow_OnSite),Conseq_VeryLow,IF(P671&lt;HD_Low_OnSite,Conseq_Low,IF(P671&lt;HD_Moderate_OnSite,Conseq_Moderate,IF(P671&lt;HD_High_OnSite,Conseq_High,IF(P671&lt;HD_VeryHigh_OnSite,Conseq_VeryHigh,Conseq_ExtremeHigh))))))</f>
        <v>NA</v>
      </c>
      <c r="Q750" s="83"/>
      <c r="R750" s="1208" t="str">
        <f>IF(OR(AND(Regulatory_Tox&lt;&gt;"Yes",ER3_Min&gt;Toxic_Limit),IF(394&lt;&gt;"",R609,0)&gt;R595,R671&lt;HD_Screening_Limit),"NA",IF(AND(R$292&lt;&gt;"Yes",R671&lt;HD_VeryLow_OnSite),Conseq_VeryLow,IF(R671&lt;HD_Low_OnSite,Conseq_Low,IF(R671&lt;HD_Moderate_OnSite,Conseq_Moderate,IF(R671&lt;HD_High_OnSite,Conseq_High,IF(R671&lt;HD_VeryHigh_OnSite,Conseq_VeryHigh,Conseq_ExtremeHigh))))))</f>
        <v>NA</v>
      </c>
      <c r="S750" s="83"/>
      <c r="T750" s="1208" t="str">
        <f>IF(OR(AND(Regulatory_Tox&lt;&gt;"Yes",ER3_Min&gt;Toxic_Limit),IF(394&lt;&gt;"",T609,0)&gt;T595,T671&lt;HD_Screening_Limit),"NA",IF(AND(T$292&lt;&gt;"Yes",T671&lt;HD_VeryLow_OnSite),Conseq_VeryLow,IF(T671&lt;HD_Low_OnSite,Conseq_Low,IF(T671&lt;HD_Moderate_OnSite,Conseq_Moderate,IF(T671&lt;HD_High_OnSite,Conseq_High,IF(T671&lt;HD_VeryHigh_OnSite,Conseq_VeryHigh,Conseq_ExtremeHigh))))))</f>
        <v>NA</v>
      </c>
      <c r="U750" s="83"/>
      <c r="V750" s="1208" t="str">
        <f>IF(OR(AND(Regulatory_Tox&lt;&gt;"Yes",ER3_Min&gt;Toxic_Limit),IF(394&lt;&gt;"",V609,0)&gt;V595,V671&lt;HD_Screening_Limit),"NA",IF(AND(V$292&lt;&gt;"Yes",V671&lt;HD_VeryLow_OnSite),Conseq_VeryLow,IF(V671&lt;HD_Low_OnSite,Conseq_Low,IF(V671&lt;HD_Moderate_OnSite,Conseq_Moderate,IF(V671&lt;HD_High_OnSite,Conseq_High,IF(V671&lt;HD_VeryHigh_OnSite,Conseq_VeryHigh,Conseq_ExtremeHigh))))))</f>
        <v>NA</v>
      </c>
      <c r="W750" s="83"/>
      <c r="X750" s="1208" t="str">
        <f>IF(OR(AND(Regulatory_Tox&lt;&gt;"Yes",ER3_Min&gt;Toxic_Limit),IF(394&lt;&gt;"",X609,0)&gt;X595,X671&lt;HD_Screening_Limit),"NA",IF(AND(X$292&lt;&gt;"Yes",X671&lt;HD_VeryLow_OnSite),Conseq_VeryLow,IF(X671&lt;HD_Low_OnSite,Conseq_Low,IF(X671&lt;HD_Moderate_OnSite,Conseq_Moderate,IF(X671&lt;HD_High_OnSite,Conseq_High,IF(X671&lt;HD_VeryHigh_OnSite,Conseq_VeryHigh,Conseq_ExtremeHigh))))))</f>
        <v>NA</v>
      </c>
      <c r="Y750" s="83"/>
      <c r="Z750" s="91"/>
      <c r="AA750" s="2"/>
      <c r="AB750" s="81"/>
      <c r="AC750" s="23" t="s">
        <v>3628</v>
      </c>
      <c r="AD750" s="81"/>
      <c r="AE750" s="1206">
        <f>IF(AND(AE488&gt;0,AE689&gt;0),IF(AE294="Indoors",IF(AE712&lt;=AE689,0.1,AE$530*((IF(Enclosed_Ventilation_Rate&gt;1,Enclosed_Ventilation_Rate,1)*Enclosed_Process_Volume*AE488*AE712/88020000000)*1000000*(1/AE689-1/AE712)/(AE488*Wind))^AE$531),IF(OR(AE689=0,AE689&gt;=1000000),0,MAX(0,IF(AE559="Instantaneous",AE$556*((AE471/AE488)*(1000000/AE689))^AE$557-AE$558,AE$530*(AE478*(1000000/AE689)/(AE488*Wind))^AE$531-AE$532)))),0.1)</f>
        <v>0.1</v>
      </c>
      <c r="AF750" s="81"/>
      <c r="AG750" s="1206">
        <f>IF(AND(AG488&gt;0,AG689&gt;0),IF(AG294="Indoors",IF(AG712&lt;=AG689,0.1,AG$530*((IF(Enclosed_Ventilation_Rate&gt;1,Enclosed_Ventilation_Rate,1)*Enclosed_Process_Volume*AG488*AG712/88020000000)*1000000*(1/AG689-1/AG712)/(AG488*Wind))^AG$531),IF(OR(AG689=0,AG689&gt;=1000000),0,MAX(0,IF(AG559="Instantaneous",AG$556*((AG471/AG488)*(1000000/AG689))^AG$557-AG$558+AG498,AG$530*(AG478*(1000000/AG689)/(AG488*Wind))^AG$531-AG$532+AG498)))),0.1)</f>
        <v>0.1</v>
      </c>
      <c r="AH750" s="81"/>
      <c r="AI750" s="1206">
        <f>IF(AND(AI488&gt;0,AI689&gt;0),IF(AI294="Indoors",IF(AI712&lt;=AI689,0.1,AI$530*((IF(Enclosed_Ventilation_Rate&gt;1,Enclosed_Ventilation_Rate,1)*Enclosed_Process_Volume*AI488*AI712/88020000000)*1000000*(1/AI689-1/AI712)/(AI488*Wind))^AI$531),IF(OR(AI689=0,AI689&gt;=1000000),0,MAX(0,IF(AI559="Instantaneous",AI$556*((AI471/AI488)*(1000000/AI689))^AI$557-AI$558+AI498,AI$530*(AI478*(1000000/AI689)/(AI488*Wind))^AI$531-AI$532+AI498)))),0.1)</f>
        <v>0.1</v>
      </c>
      <c r="AJ750" s="81"/>
      <c r="AK750" s="81"/>
      <c r="AL750" s="81"/>
      <c r="AM750" s="81"/>
      <c r="AN750" s="81"/>
      <c r="AO750" s="81"/>
      <c r="AP750" s="81"/>
      <c r="AQ750" s="85" t="s">
        <v>1068</v>
      </c>
      <c r="AR750" s="81"/>
    </row>
    <row r="751" spans="1:44" ht="15" customHeight="1" thickBot="1" x14ac:dyDescent="0.3">
      <c r="A751" s="2"/>
      <c r="B751" s="25" t="s">
        <v>4224</v>
      </c>
      <c r="C751" s="83"/>
      <c r="D751" s="2135" t="str">
        <f>IF(OR(AND(Regulatory_Tox&lt;&gt;"Yes",ER3_Min&gt;Toxic_Limit),IF(D609&lt;&gt;"",D609,0)&gt;D595,D671&lt;HD_Screening_Limit),"NA",IF(AND(D671&lt;HD_Severe_Impact,D748&lt;N_VeryLow),Conseq_VeryLow,IF(D748&lt;N_Low,Conseq_Low,IF(D748&lt;N_Moderate,Conseq_Moderate,IF(D748&lt;N_High,Conseq_High,IF(D748&lt;N_VeryHigh,Conseq_VeryHigh,Conseq_ExtremeHigh))))))</f>
        <v>NA</v>
      </c>
      <c r="E751" s="83"/>
      <c r="F751" s="2135" t="str">
        <f>IF(OR(AND(Regulatory_Tox&lt;&gt;"Yes",ER3_Min&gt;Toxic_Limit),IF(F609&lt;&gt;"",F609,0)&gt;F595,F671&lt;HD_Screening_Limit),"NA",IF(AND(F671&lt;HD_Severe_Impact,F748&lt;N_VeryLow),Conseq_VeryLow,IF(F748&lt;N_Low,Conseq_Low,IF(F748&lt;N_Moderate,Conseq_Moderate,IF(F748&lt;N_High,Conseq_High,IF(F748&lt;N_VeryHigh,Conseq_VeryHigh,Conseq_ExtremeHigh))))))</f>
        <v>NA</v>
      </c>
      <c r="G751" s="83"/>
      <c r="H751" s="2135" t="str">
        <f>IF(OR(AND(Regulatory_Tox&lt;&gt;"Yes",ER3_Min&gt;Toxic_Limit),IF(H609&lt;&gt;"",H609,0)&gt;H595,H671&lt;HD_Screening_Limit),"NA",IF(AND(H671&lt;HD_Severe_Impact,H748&lt;N_VeryLow),Conseq_VeryLow,IF(H748&lt;N_Low,Conseq_Low,IF(H748&lt;N_Moderate,Conseq_Moderate,IF(H748&lt;N_High,Conseq_High,IF(H748&lt;N_VeryHigh,Conseq_VeryHigh,Conseq_ExtremeHigh))))))</f>
        <v>NA</v>
      </c>
      <c r="I751" s="83"/>
      <c r="J751" s="2135" t="str">
        <f>IF(OR(AND(Regulatory_Tox&lt;&gt;"Yes",ER3_Min&gt;Toxic_Limit),IF(J609&lt;&gt;"",J609,0)&gt;J595,J671&lt;HD_Screening_Limit),"NA",IF(AND(J671&lt;HD_Severe_Impact,J748&lt;N_VeryLow),Conseq_VeryLow,IF(J748&lt;N_Low,Conseq_Low,IF(J748&lt;N_Moderate,Conseq_Moderate,IF(J748&lt;N_High,Conseq_High,IF(J748&lt;N_VeryHigh,Conseq_VeryHigh,Conseq_ExtremeHigh))))))</f>
        <v>NA</v>
      </c>
      <c r="K751" s="83"/>
      <c r="L751" s="2135" t="str">
        <f>IF(OR(AND(Regulatory_Tox&lt;&gt;"Yes",ER3_Min&gt;Toxic_Limit),IF(L609&lt;&gt;"",L609,0)&gt;L595,L671&lt;HD_Screening_Limit),"NA",IF(AND(L671&lt;HD_Severe_Impact,L748&lt;N_VeryLow),Conseq_VeryLow,IF(L748&lt;N_Low,Conseq_Low,IF(L748&lt;N_Moderate,Conseq_Moderate,IF(L748&lt;N_High,Conseq_High,IF(L748&lt;N_VeryHigh,Conseq_VeryHigh,Conseq_ExtremeHigh))))))</f>
        <v>NA</v>
      </c>
      <c r="M751" s="83"/>
      <c r="N751" s="2135" t="str">
        <f>IF(OR(AND(Regulatory_Tox&lt;&gt;"Yes",ER3_Min&gt;Toxic_Limit),IF(N609&lt;&gt;"",N609,0)&gt;N595,N671&lt;HD_Screening_Limit),"NA",IF(AND(N671&lt;HD_Severe_Impact,N748&lt;N_VeryLow),Conseq_VeryLow,IF(N748&lt;N_Low,Conseq_Low,IF(N748&lt;N_Moderate,Conseq_Moderate,IF(N748&lt;N_High,Conseq_High,IF(N748&lt;N_VeryHigh,Conseq_VeryHigh,Conseq_ExtremeHigh))))))</f>
        <v>NA</v>
      </c>
      <c r="O751" s="83"/>
      <c r="P751" s="2135" t="str">
        <f>IF(OR(AND(Regulatory_Tox&lt;&gt;"Yes",ER3_Min&gt;Toxic_Limit),IF(P609&lt;&gt;"",P609,0)&gt;P595,P671&lt;HD_Screening_Limit),"NA",IF(AND(P671&lt;HD_Severe_Impact,P748&lt;N_VeryLow),Conseq_VeryLow,IF(P748&lt;N_Low,Conseq_Low,IF(P748&lt;N_Moderate,Conseq_Moderate,IF(P748&lt;N_High,Conseq_High,IF(P748&lt;N_VeryHigh,Conseq_VeryHigh,Conseq_ExtremeHigh))))))</f>
        <v>NA</v>
      </c>
      <c r="Q751" s="83"/>
      <c r="R751" s="2135" t="str">
        <f>IF(OR(AND(Regulatory_Tox&lt;&gt;"Yes",ER3_Min&gt;Toxic_Limit),IF(R609&lt;&gt;"",R609,0)&gt;R595,R671&lt;HD_Screening_Limit),"NA",IF(AND(R671&lt;HD_Severe_Impact,R748&lt;N_VeryLow),Conseq_VeryLow,IF(R748&lt;N_Low,Conseq_Low,IF(R748&lt;N_Moderate,Conseq_Moderate,IF(R748&lt;N_High,Conseq_High,IF(R748&lt;N_VeryHigh,Conseq_VeryHigh,Conseq_ExtremeHigh))))))</f>
        <v>NA</v>
      </c>
      <c r="S751" s="83"/>
      <c r="T751" s="2135" t="str">
        <f>IF(OR(AND(Regulatory_Tox&lt;&gt;"Yes",ER3_Min&gt;Toxic_Limit),IF(T609&lt;&gt;"",T609,0)&gt;T595,T671&lt;HD_Screening_Limit),"NA",IF(AND(T671&lt;HD_Severe_Impact,T748&lt;N_VeryLow),Conseq_VeryLow,IF(T748&lt;N_Low,Conseq_Low,IF(T748&lt;N_Moderate,Conseq_Moderate,IF(T748&lt;N_High,Conseq_High,IF(T748&lt;N_VeryHigh,Conseq_VeryHigh,Conseq_ExtremeHigh))))))</f>
        <v>NA</v>
      </c>
      <c r="U751" s="83"/>
      <c r="V751" s="2135" t="str">
        <f>IF(OR(AND(Regulatory_Tox&lt;&gt;"Yes",ER3_Min&gt;Toxic_Limit),IF(V609&lt;&gt;"",V609,0)&gt;V595,V671&lt;HD_Screening_Limit),"NA",IF(AND(V671&lt;HD_Severe_Impact,V748&lt;N_VeryLow),Conseq_VeryLow,IF(V748&lt;N_Low,Conseq_Low,IF(V748&lt;N_Moderate,Conseq_Moderate,IF(V748&lt;N_High,Conseq_High,IF(V748&lt;N_VeryHigh,Conseq_VeryHigh,Conseq_ExtremeHigh))))))</f>
        <v>NA</v>
      </c>
      <c r="W751" s="83"/>
      <c r="X751" s="2135" t="str">
        <f>IF(OR(AND(Regulatory_Tox&lt;&gt;"Yes",ER3_Min&gt;Toxic_Limit),IF(X609&lt;&gt;"",X609,0)&gt;X595,X671&lt;HD_Screening_Limit),"NA",IF(AND(X671&lt;HD_Severe_Impact,X748&lt;N_VeryLow),Conseq_VeryLow,IF(X748&lt;N_Low,Conseq_Low,IF(X748&lt;N_Moderate,Conseq_Moderate,IF(X748&lt;N_High,Conseq_High,IF(X748&lt;N_VeryHigh,Conseq_VeryHigh,Conseq_ExtremeHigh))))))</f>
        <v>NA</v>
      </c>
      <c r="Y751" s="83"/>
      <c r="Z751" s="104"/>
      <c r="AA751" s="2"/>
      <c r="AB751" s="81"/>
      <c r="AC751" s="23" t="s">
        <v>3629</v>
      </c>
      <c r="AD751" s="81"/>
      <c r="AE751" s="1206">
        <f>IF(AE559="Instantaneous",Dispersion_I,Dispersion_D)*(MAX(AE750,(AE499-MIN(AE499,WorkArea_Elevation))*Dispersion_E^0.5,Public)^2-MAX((AE499-MIN(AE499,WorkArea_Elevation))*Dispersion_E^0.5,Public)^2)</f>
        <v>3.0000000000000005E-3</v>
      </c>
      <c r="AF751" s="81"/>
      <c r="AG751" s="1206">
        <f>IF(AG559="Instantaneous",Dispersion_I,Dispersion_D)*(MAX(AG750,(AG499-MIN(AG499,WorkArea_Elevation))*Dispersion_E^0.5,Public)^2-MAX((AG499-MIN(AG499,WorkArea_Elevation))*Dispersion_E^0.5,Public)^2)</f>
        <v>3.0000000000000005E-3</v>
      </c>
      <c r="AH751" s="81"/>
      <c r="AI751" s="1206">
        <f>IF(AI559="Instantaneous",Dispersion_I,Dispersion_D)*(MAX(AI750,(AI499-MIN(AI499,WorkArea_Elevation))*Dispersion_E^0.5,Public)^2-MAX((AI499-MIN(AI499,WorkArea_Elevation))*Dispersion_E^0.5,Public)^2)</f>
        <v>3.0000000000000005E-3</v>
      </c>
      <c r="AJ751" s="81"/>
      <c r="AK751" s="81"/>
      <c r="AL751" s="81"/>
      <c r="AM751" s="81"/>
      <c r="AN751" s="81"/>
      <c r="AO751" s="81"/>
      <c r="AP751" s="81"/>
      <c r="AQ751" s="85" t="s">
        <v>3804</v>
      </c>
      <c r="AR751" s="81"/>
    </row>
    <row r="752" spans="1:44" ht="15" customHeight="1" x14ac:dyDescent="0.25">
      <c r="A752" s="2"/>
      <c r="B752" s="23" t="s">
        <v>4723</v>
      </c>
      <c r="C752" s="83"/>
      <c r="D752" s="3013">
        <f>IF(D687="No",IF(D688="No",0,IF(D683&gt;1000000*(0.21-Asp_Limit)/0.21,1,D683*0.21/(1000000*(0.21-Asp_Limit)))),IF(D644=0,0,MIN(1,D683/D644)))</f>
        <v>0</v>
      </c>
      <c r="E752" s="83"/>
      <c r="F752" s="3013">
        <f>IF(F687="No",IF(F688="No",0,IF(F683&gt;1000000*(0.21-Asp_Limit)/0.21,1,F683*0.21/(1000000*(0.21-Asp_Limit)))),IF(F644=0,0,MIN(1,F683/F644)))</f>
        <v>0</v>
      </c>
      <c r="G752" s="83"/>
      <c r="H752" s="3013">
        <f>IF(H687="No",IF(H688="No",0,IF(H683&gt;1000000*(0.21-Asp_Limit)/0.21,1,H683*0.21/(1000000*(0.21-Asp_Limit)))),IF(H644=0,0,MIN(1,H683/H644)))</f>
        <v>0</v>
      </c>
      <c r="I752" s="83"/>
      <c r="J752" s="3013">
        <f>IF(J687="No",IF(J688="No",0,IF(J683&gt;1000000*(0.21-Asp_Limit)/0.21,1,J683*0.21/(1000000*(0.21-Asp_Limit)))),IF(J644=0,0,MIN(1,J683/J644)))</f>
        <v>0</v>
      </c>
      <c r="K752" s="83"/>
      <c r="L752" s="3013">
        <f>IF(L687="No",IF(L688="No",0,IF(L683&gt;1000000*(0.21-Asp_Limit)/0.21,1,L683*0.21/(1000000*(0.21-Asp_Limit)))),IF(L644=0,0,MIN(1,L683/L644)))</f>
        <v>0</v>
      </c>
      <c r="M752" s="83"/>
      <c r="N752" s="3013">
        <f>IF(N687="No",IF(N688="No",0,IF(N683&gt;1000000*(0.21-Asp_Limit)/0.21,1,N683*0.21/(1000000*(0.21-Asp_Limit)))),IF(N644=0,0,MIN(1,N683/N644)))</f>
        <v>0</v>
      </c>
      <c r="O752" s="83"/>
      <c r="P752" s="3013">
        <f>IF(P687="No",IF(P688="No",0,IF(P683&gt;1000000*(0.21-Asp_Limit)/0.21,1,P683*0.21/(1000000*(0.21-Asp_Limit)))),IF(P644=0,0,MIN(1,P683/P644)))</f>
        <v>0</v>
      </c>
      <c r="Q752" s="83"/>
      <c r="R752" s="3013">
        <f>IF(R687="No",IF(R688="No",0,IF(R683&gt;1000000*(0.21-Asp_Limit)/0.21,1,R683*0.21/(1000000*(0.21-Asp_Limit)))),IF(R644=0,0,MIN(1,R683/R644)))</f>
        <v>0</v>
      </c>
      <c r="S752" s="83"/>
      <c r="T752" s="3013">
        <f>IF(T687="No",IF(T688="No",0,IF(T683&gt;1000000*(0.21-Asp_Limit)/0.21,1,T683*0.21/(1000000*(0.21-Asp_Limit)))),IF(T644=0,0,MIN(1,T683/T644)))</f>
        <v>0</v>
      </c>
      <c r="U752" s="83"/>
      <c r="V752" s="3013">
        <f>IF(V687="No",IF(V688="No",0,IF(V683&gt;1000000*(0.21-Asp_Limit)/0.21,1,V683*0.21/(1000000*(0.21-Asp_Limit)))),IF(V644=0,0,MIN(1,V683/V644)))</f>
        <v>0</v>
      </c>
      <c r="W752" s="83"/>
      <c r="X752" s="3013">
        <f>IF(X687="No",IF(X688="No",0,IF(X683&gt;1000000*(0.21-Asp_Limit)/0.21,1,X683*0.21/(1000000*(0.21-Asp_Limit)))),IF(X644=0,0,MIN(1,X683/X644)))</f>
        <v>0</v>
      </c>
      <c r="Y752" s="83"/>
      <c r="Z752" s="23"/>
      <c r="AA752" s="2"/>
      <c r="AB752" s="81"/>
      <c r="AC752" s="23" t="s">
        <v>3705</v>
      </c>
      <c r="AD752" s="81"/>
      <c r="AE752" s="1206">
        <f>IF(OR(AE$688=0,AE$678=""),0,IF(AE750&gt;Zone_1,IF(AE559="Instantaneous",Dispersion_I,Dispersion_D)*(MAX(Public,(AE499-MIN(AE499,WorkArea_Elevation))*Dispersion_E^0.5,Zone_1)^2-MAX(Public,(AE499-MIN(AE499,WorkArea_Elevation))*Dispersion_E^0.5,AE750)^2),IF(AE559="Instantaneous",Dispersion_I,Dispersion_D)*AE$678^(2*IF(AE559="Instantaneous",AE$557,AE$531))*AE$699^2*(EXP(AE$686+AE$688*MAX(Public,(AE499-MIN(AE499,WorkArea_Elevation))*Dispersion_E^0.5,Zone_1)^2/(AE$678^(2*IF(AE559="Instantaneous",AE$557,AE$531))*AE$699^2))-EXP(AE$686+AE$688*MAX(Public,(AE499-MIN(AE499,WorkArea_Elevation))*Dispersion_E^0.5,AE750)^2/(AE$678^(2*IF(AE559="Instantaneous",AE$557,AE$531))*AE$699^2)))/AE$688))</f>
        <v>0</v>
      </c>
      <c r="AF752" s="81"/>
      <c r="AG752" s="1206">
        <f>IF(OR(AG$688=0,AG$678=""),0,IF(AG750&gt;Zone_1,IF(AG559="Instantaneous",Dispersion_I,Dispersion_D)*(MAX(Public,(AG499-MIN(AG499,WorkArea_Elevation))*Dispersion_E^0.5,Zone_1)^2-MAX(Public,(AG499-MIN(AG499,WorkArea_Elevation))*Dispersion_E^0.5,AG750)^2),IF(AG559="Instantaneous",Dispersion_I,Dispersion_D)*AG$678^(2*IF(AG559="Instantaneous",AG$557,AG$531))*AG$699^2*(EXP(AG$686+AG$688*MAX(Public,(AG499-MIN(AG499,WorkArea_Elevation))*Dispersion_E^0.5,Zone_1)^2/(AG$678^(2*IF(AG559="Instantaneous",AG$557,AG$531))*AG$699^2))-EXP(AG$686+AG$688*MAX(Public,(AG499-MIN(AG499,WorkArea_Elevation))*Dispersion_E^0.5,AG750)^2/(AG$678^(2*IF(AG559="Instantaneous",AG$557,AG$531))*AG$699^2)))/AG$688))</f>
        <v>0</v>
      </c>
      <c r="AH752" s="81"/>
      <c r="AI752" s="1206">
        <f>IF(OR(AI$688=0,AI$678=""),0,IF(AI750&gt;Zone_1,IF(AI559="Instantaneous",Dispersion_I,Dispersion_D)*(MAX(Public,(AI499-MIN(AI499,WorkArea_Elevation))*Dispersion_E^0.5,Zone_1)^2-MAX(Public,(AI499-MIN(AI499,WorkArea_Elevation))*Dispersion_E^0.5,AI750)^2),IF(AI559="Instantaneous",Dispersion_I,Dispersion_D)*AI$678^(2*IF(AI559="Instantaneous",AI$557,AI$531))*AI$699^2*(EXP(AI$686+AI$688*MAX(Public,(AI499-MIN(AI499,WorkArea_Elevation))*Dispersion_E^0.5,Zone_1)^2/(AI$678^(2*IF(AI559="Instantaneous",AI$557,AI$531))*AI$699^2))-EXP(AI$686+AI$688*MAX(Public,(AI499-MIN(AI499,WorkArea_Elevation))*Dispersion_E^0.5,AI750)^2/(AI$678^(2*IF(AI559="Instantaneous",AI$557,AI$531))*AI$699^2)))/AI$688))</f>
        <v>0</v>
      </c>
      <c r="AJ752" s="81"/>
      <c r="AK752" s="81"/>
      <c r="AL752" s="81"/>
      <c r="AM752" s="81"/>
      <c r="AN752" s="81"/>
      <c r="AO752" s="81"/>
      <c r="AP752" s="81"/>
      <c r="AQ752" s="85" t="s">
        <v>3804</v>
      </c>
      <c r="AR752" s="81"/>
    </row>
    <row r="753" spans="1:44" ht="15" customHeight="1" x14ac:dyDescent="0.25">
      <c r="A753" s="2"/>
      <c r="B753" s="23" t="s">
        <v>1054</v>
      </c>
      <c r="C753" s="83"/>
      <c r="D753" s="1861">
        <f>Op_Indoors*D752+IF(AND(D$292="Yes",OR(D687="Yes",F684="Yes")),0.9,0)</f>
        <v>0</v>
      </c>
      <c r="E753" s="83"/>
      <c r="F753" s="1861">
        <f>Op_Indoors*F752+IF(AND(F$292="Yes",OR(F687="Yes",J684="Yes")),0.9,0)</f>
        <v>0</v>
      </c>
      <c r="G753" s="83"/>
      <c r="H753" s="1861">
        <f>Op_Indoors*H752+IF(AND(H$292="Yes",OR(H687="Yes",L684="Yes")),0.9,0)</f>
        <v>0</v>
      </c>
      <c r="I753" s="83"/>
      <c r="J753" s="1861">
        <f>Op_Indoors*J752+IF(AND(J$292="Yes",OR(J687="Yes",L684="Yes")),0.9,0)</f>
        <v>0</v>
      </c>
      <c r="K753" s="83"/>
      <c r="L753" s="1861">
        <f>Op_Indoors*L752+IF(AND(L$292="Yes",OR(L687="Yes",N684="Yes")),0.9,0)</f>
        <v>0</v>
      </c>
      <c r="M753" s="83"/>
      <c r="N753" s="1861">
        <f>Op_Indoors*N752+IF(AND(N$292="Yes",OR(N687="Yes",P684="Yes")),0.9,0)</f>
        <v>0</v>
      </c>
      <c r="O753" s="83"/>
      <c r="P753" s="1861">
        <f>Op_Indoors*P752+IF(AND(P$292="Yes",OR(P687="Yes",R684="Yes")),0.9,0)</f>
        <v>0</v>
      </c>
      <c r="Q753" s="83"/>
      <c r="R753" s="1861">
        <f>Op_Indoors*R752+IF(AND(R$292="Yes",OR(R687="Yes",T684="Yes")),0.9,0)</f>
        <v>0</v>
      </c>
      <c r="S753" s="83"/>
      <c r="T753" s="1861">
        <f>Op_Indoors*T752+IF(AND(T$292="Yes",OR(T687="Yes",V684="Yes")),0.9,0)</f>
        <v>0</v>
      </c>
      <c r="U753" s="83"/>
      <c r="V753" s="1861">
        <f>Op_Indoors*V752+IF(AND(V$292="Yes",OR(V687="Yes",X684="Yes")),0.9,0)</f>
        <v>0</v>
      </c>
      <c r="W753" s="83"/>
      <c r="X753" s="1861">
        <f>Op_Indoors*X752+IF(AND(X$292="Yes",OR(X687="Yes",Z684="Yes")),0.9,0)</f>
        <v>0</v>
      </c>
      <c r="Y753" s="83"/>
      <c r="Z753" s="23"/>
      <c r="AA753" s="2"/>
      <c r="AB753" s="81"/>
      <c r="AC753" s="23" t="s">
        <v>3706</v>
      </c>
      <c r="AD753" s="81"/>
      <c r="AE753" s="1206">
        <f>IF(Zone_1&lt;MAX((AE499-MIN(AE499,WorkArea_Elevation))*Dispersion_E^0.5,Public),IF(AE559="Instantaneous",Dispersion_I,Dispersion_D)*(MAX(AE750,(AE499-MIN(AE499,WorkArea_Elevation))*Dispersion_E^0.5,Public)^2-MAX((AE499-MIN(AE499,WorkArea_Elevation))*Dispersion_E^0.5,Public)^2),IF(AE559="Instantaneous",Dispersion_I,Dispersion_D)*(MAX(AE750,Zone_1)^2-Zone_1^2))</f>
        <v>3.0000000000000005E-3</v>
      </c>
      <c r="AF753" s="81"/>
      <c r="AG753" s="1206">
        <f>IF(Zone_1&lt;MAX((AG499-MIN(AG499,WorkArea_Elevation))*Dispersion_E^0.5,Public),IF(AG559="Instantaneous",Dispersion_I,Dispersion_D)*(MAX(AG750,(AG499-MIN(AG499,WorkArea_Elevation))*Dispersion_E^0.5,Public)^2-MAX((AG499-MIN(AG499,WorkArea_Elevation))*Dispersion_E^0.5,Public)^2),IF(AG559="Instantaneous",Dispersion_I,Dispersion_D)*(MAX(AG750,Zone_1)^2-Zone_1^2))</f>
        <v>3.0000000000000005E-3</v>
      </c>
      <c r="AH753" s="81"/>
      <c r="AI753" s="1206">
        <f>IF(Zone_1&lt;MAX((AI499-MIN(AI499,WorkArea_Elevation))*Dispersion_E^0.5,Public),IF(AI559="Instantaneous",Dispersion_I,Dispersion_D)*(MAX(AI750,(AI499-MIN(AI499,WorkArea_Elevation))*Dispersion_E^0.5,Public)^2-MAX((AI499-MIN(AI499,WorkArea_Elevation))*Dispersion_E^0.5,Public)^2),IF(AI559="Instantaneous",Dispersion_I,Dispersion_D)*(MAX(AI750,Zone_1)^2-Zone_1^2))</f>
        <v>3.0000000000000005E-3</v>
      </c>
      <c r="AJ753" s="81"/>
      <c r="AK753" s="81"/>
      <c r="AL753" s="81"/>
      <c r="AM753" s="81"/>
      <c r="AN753" s="81"/>
      <c r="AO753" s="81"/>
      <c r="AP753" s="81"/>
      <c r="AQ753" s="85" t="s">
        <v>3804</v>
      </c>
      <c r="AR753" s="81"/>
    </row>
    <row r="754" spans="1:44" ht="15" customHeight="1" x14ac:dyDescent="0.25">
      <c r="A754" s="2"/>
      <c r="B754" s="85" t="s">
        <v>1414</v>
      </c>
      <c r="C754" s="83"/>
      <c r="D754" s="1208">
        <v>0</v>
      </c>
      <c r="E754" s="83"/>
      <c r="F754" s="1208">
        <v>0</v>
      </c>
      <c r="G754" s="83"/>
      <c r="H754" s="1208">
        <v>0</v>
      </c>
      <c r="I754" s="83"/>
      <c r="J754" s="1208">
        <v>0</v>
      </c>
      <c r="K754" s="83"/>
      <c r="L754" s="1208">
        <v>0</v>
      </c>
      <c r="M754" s="83"/>
      <c r="N754" s="1208">
        <v>0</v>
      </c>
      <c r="O754" s="83"/>
      <c r="P754" s="1208">
        <v>0</v>
      </c>
      <c r="Q754" s="83"/>
      <c r="R754" s="1208">
        <v>0</v>
      </c>
      <c r="S754" s="83"/>
      <c r="T754" s="1208">
        <v>0</v>
      </c>
      <c r="U754" s="83"/>
      <c r="V754" s="1208">
        <v>0</v>
      </c>
      <c r="W754" s="83"/>
      <c r="X754" s="1208">
        <v>0</v>
      </c>
      <c r="Y754" s="83"/>
      <c r="Z754" s="23"/>
      <c r="AA754" s="2"/>
      <c r="AB754" s="81"/>
      <c r="AC754" s="23" t="s">
        <v>3707</v>
      </c>
      <c r="AD754" s="81"/>
      <c r="AE754" s="1206">
        <f>IF(OR(AE$688=0,AE$678=""),0,IF(Zone_1&lt;MAX((AE499-MIN(AE499,WorkArea_Elevation))*Dispersion_E^0.5,Public),IF(AE559="Instantaneous",Dispersion_I,Dispersion_D)*AE$678^(2*IF(AE559="Instantaneous",AE$557,AE$531))*AE$699^2*(0-EXP(AE$686+AE$688*MAX(AE750,(AE499-MIN(AE499,WorkArea_Elevation))*Dispersion_E^0.5,Public)^2/(AE$678^(2*IF(AE559="Instantaneous",AE$557,AE$531))*AE$699^2)))/AE$688,IF(AE559="Instantaneous",Dispersion_I,Dispersion_D)*AE$678^(2*IF(AE559="Instantaneous",AE$557,AE$531))*AE$699^2*(0-EXP(AE$686+AE$688*MAX(AE750,Zone_1)^2/(AE$678^(2*IF(AE559="Instantaneous",AE$557,AE$531))*AE$699^2)))/AE$688))</f>
        <v>0</v>
      </c>
      <c r="AF754" s="81"/>
      <c r="AG754" s="1206">
        <f>IF(OR(AG$688=0,AG$678=""),0,IF(Zone_1&lt;MAX((AG499-MIN(AG499,WorkArea_Elevation))*Dispersion_E^0.5,Public),IF(AG559="Instantaneous",Dispersion_I,Dispersion_D)*AG$678^(2*IF(AG559="Instantaneous",AG$557,AG$531))*AG$699^2*(0-EXP(AG$686+AG$688*MAX(AG750,(AG499-MIN(AG499,WorkArea_Elevation))*Dispersion_E^0.5,Public)^2/(AG$678^(2*IF(AG559="Instantaneous",AG$557,AG$531))*AG$699^2)))/AG$688,IF(AG559="Instantaneous",Dispersion_I,Dispersion_D)*AG$678^(2*IF(AG559="Instantaneous",AG$557,AG$531))*AG$699^2*(0-EXP(AG$686+AG$688*MAX(AG750,Zone_1)^2/(AG$678^(2*IF(AG559="Instantaneous",AG$557,AG$531))*AG$699^2)))/AG$688))</f>
        <v>0</v>
      </c>
      <c r="AH754" s="81"/>
      <c r="AI754" s="1206">
        <f>IF(OR(AI$688=0,AI$678=""),0,IF(Zone_1&lt;MAX((AI499-MIN(AI499,WorkArea_Elevation))*Dispersion_E^0.5,Public),IF(AI559="Instantaneous",Dispersion_I,Dispersion_D)*AI$678^(2*IF(AI559="Instantaneous",AI$557,AI$531))*AI$699^2*(0-EXP(AI$686+AI$688*MAX(AI750,(AI499-MIN(AI499,WorkArea_Elevation))*Dispersion_E^0.5,Public)^2/(AI$678^(2*IF(AI559="Instantaneous",AI$557,AI$531))*AI$699^2)))/AI$688,IF(AI559="Instantaneous",Dispersion_I,Dispersion_D)*AI$678^(2*IF(AI559="Instantaneous",AI$557,AI$531))*AI$699^2*(0-EXP(AI$686+AI$688*MAX(AI750,Zone_1)^2/(AI$678^(2*IF(AI559="Instantaneous",AI$557,AI$531))*AI$699^2)))/AI$688))</f>
        <v>0</v>
      </c>
      <c r="AJ754" s="81"/>
      <c r="AK754" s="81"/>
      <c r="AL754" s="81"/>
      <c r="AM754" s="81"/>
      <c r="AN754" s="81"/>
      <c r="AO754" s="81"/>
      <c r="AP754" s="81"/>
      <c r="AQ754" s="85" t="s">
        <v>3804</v>
      </c>
      <c r="AR754" s="81"/>
    </row>
    <row r="755" spans="1:44" ht="15" customHeight="1" thickBot="1" x14ac:dyDescent="0.3">
      <c r="A755" s="2"/>
      <c r="B755" s="25" t="s">
        <v>4790</v>
      </c>
      <c r="C755" s="83"/>
      <c r="D755" s="1208" t="str">
        <f>IF(D752=0,"NA",IF(AND(D$292&lt;&gt;"Yes",D752&lt;HD_VeryLow_Indoor),Conseq_VeryLow,IF(D752&lt;HD_Low_Indoor,Conseq_Low,IF(D752&lt;HD_Moderate_Indoor,Conseq_Moderate,IF(D752&lt;HD_High_Indoor,Conseq_High,Conseq_VeryHigh)))))</f>
        <v>NA</v>
      </c>
      <c r="E755" s="83"/>
      <c r="F755" s="1208" t="str">
        <f>IF(F752=0,"NA",IF(AND(F$292&lt;&gt;"Yes",F752&lt;HD_VeryLow_Indoor),Conseq_VeryLow,IF(F752&lt;HD_Low_Indoor,Conseq_Low,IF(F752&lt;HD_Moderate_Indoor,Conseq_Moderate,IF(F752&lt;HD_High_Indoor,Conseq_High,Conseq_VeryHigh)))))</f>
        <v>NA</v>
      </c>
      <c r="G755" s="83"/>
      <c r="H755" s="1208" t="str">
        <f>IF(H752=0,"NA",IF(AND(H$292&lt;&gt;"Yes",H752&lt;HD_VeryLow_Indoor),Conseq_VeryLow,IF(H752&lt;HD_Low_Indoor,Conseq_Low,IF(H752&lt;HD_Moderate_Indoor,Conseq_Moderate,IF(H752&lt;HD_High_Indoor,Conseq_High,Conseq_VeryHigh)))))</f>
        <v>NA</v>
      </c>
      <c r="I755" s="83"/>
      <c r="J755" s="1208" t="str">
        <f>IF(J752=0,"NA",IF(AND(J$292&lt;&gt;"Yes",J752&lt;HD_VeryLow_Indoor),Conseq_VeryLow,IF(J752&lt;HD_Low_Indoor,Conseq_Low,IF(J752&lt;HD_Moderate_Indoor,Conseq_Moderate,IF(J752&lt;HD_High_Indoor,Conseq_High,Conseq_VeryHigh)))))</f>
        <v>NA</v>
      </c>
      <c r="K755" s="83"/>
      <c r="L755" s="1208" t="str">
        <f>IF(L752=0,"NA",IF(AND(L$292&lt;&gt;"Yes",L752&lt;HD_VeryLow_Indoor),Conseq_VeryLow,IF(L752&lt;HD_Low_Indoor,Conseq_Low,IF(L752&lt;HD_Moderate_Indoor,Conseq_Moderate,IF(L752&lt;HD_High_Indoor,Conseq_High,Conseq_VeryHigh)))))</f>
        <v>NA</v>
      </c>
      <c r="M755" s="83"/>
      <c r="N755" s="1208" t="str">
        <f>IF(N752=0,"NA",IF(AND(N$292&lt;&gt;"Yes",N752&lt;HD_VeryLow_Indoor),Conseq_VeryLow,IF(N752&lt;HD_Low_Indoor,Conseq_Low,IF(N752&lt;HD_Moderate_Indoor,Conseq_Moderate,IF(N752&lt;HD_High_Indoor,Conseq_High,Conseq_VeryHigh)))))</f>
        <v>NA</v>
      </c>
      <c r="O755" s="83"/>
      <c r="P755" s="1208" t="str">
        <f>IF(P752=0,"NA",IF(AND(P$292&lt;&gt;"Yes",P752&lt;HD_VeryLow_Indoor),Conseq_VeryLow,IF(P752&lt;HD_Low_Indoor,Conseq_Low,IF(P752&lt;HD_Moderate_Indoor,Conseq_Moderate,IF(P752&lt;HD_High_Indoor,Conseq_High,Conseq_VeryHigh)))))</f>
        <v>NA</v>
      </c>
      <c r="Q755" s="83"/>
      <c r="R755" s="1208" t="str">
        <f>IF(R752=0,"NA",IF(AND(R$292&lt;&gt;"Yes",R752&lt;HD_VeryLow_Indoor),Conseq_VeryLow,IF(R752&lt;HD_Low_Indoor,Conseq_Low,IF(R752&lt;HD_Moderate_Indoor,Conseq_Moderate,IF(R752&lt;HD_High_Indoor,Conseq_High,Conseq_VeryHigh)))))</f>
        <v>NA</v>
      </c>
      <c r="S755" s="83"/>
      <c r="T755" s="1208" t="str">
        <f>IF(T752=0,"NA",IF(AND(T$292&lt;&gt;"Yes",T752&lt;HD_VeryLow_Indoor),Conseq_VeryLow,IF(T752&lt;HD_Low_Indoor,Conseq_Low,IF(T752&lt;HD_Moderate_Indoor,Conseq_Moderate,IF(T752&lt;HD_High_Indoor,Conseq_High,Conseq_VeryHigh)))))</f>
        <v>NA</v>
      </c>
      <c r="U755" s="83"/>
      <c r="V755" s="1208" t="str">
        <f>IF(V752=0,"NA",IF(AND(V$292&lt;&gt;"Yes",V752&lt;HD_VeryLow_Indoor),Conseq_VeryLow,IF(V752&lt;HD_Low_Indoor,Conseq_Low,IF(V752&lt;HD_Moderate_Indoor,Conseq_Moderate,IF(V752&lt;HD_High_Indoor,Conseq_High,Conseq_VeryHigh)))))</f>
        <v>NA</v>
      </c>
      <c r="W755" s="83"/>
      <c r="X755" s="1208" t="str">
        <f>IF(X752=0,"NA",IF(AND(X$292&lt;&gt;"Yes",X752&lt;HD_VeryLow_Indoor),Conseq_VeryLow,IF(X752&lt;HD_Low_Indoor,Conseq_Low,IF(X752&lt;HD_Moderate_Indoor,Conseq_Moderate,IF(X752&lt;HD_High_Indoor,Conseq_High,Conseq_VeryHigh)))))</f>
        <v>NA</v>
      </c>
      <c r="Y755" s="83"/>
      <c r="Z755" s="23"/>
      <c r="AA755" s="2"/>
      <c r="AB755" s="81"/>
      <c r="AC755" s="23" t="s">
        <v>3704</v>
      </c>
      <c r="AD755" s="81"/>
      <c r="AE755" s="1206">
        <f>IF(AND(AE488&gt;0,AE689&gt;0),IF(AE294="Indoors",IF(ConcFract_Indoor*AE712&lt;=AE689,0.1,AE$530*((IF(Enclosed_Ventilation_Rate&gt;1,Enclosed_Ventilation_Rate,1)*Enclosed_Process_Volume*AE488*AE712/88020000000)*1000000*(ConcFract_Indoor/AE689-1/AE712)/(AE488*Wind))^AE$531),IF(OR(AE689=0,AE689&gt;=ConcFract_Indoor*1000000),0,MAX(0,IF(AE559="Instantaneous",AE$556*((AE471/AE488)*(ConcFract_Indoor*1000000/AE689))^AE$557-AE$558,AE$530*(AE478*(ConcFract_Indoor*1000000/AE689)/(AE488*Wind))^AE$531-AE$532)))),0.1)</f>
        <v>0.1</v>
      </c>
      <c r="AF755" s="81"/>
      <c r="AG755" s="1206">
        <f>IF(AND(AG488&gt;0,AG689&gt;0),IF(AG294="Indoors",IF(ConcFract_Indoor*AG712&lt;=AG689,0.1,AG$530*((IF(Enclosed_Ventilation_Rate&gt;1,Enclosed_Ventilation_Rate,1)*Enclosed_Process_Volume*AG488*AG712/88020000000)*1000000*(ConcFract_Indoor/AG689-1/AG712)/(AG488*Wind))^AG$531),IF(OR(AG689=0,AG689&gt;=ConcFract_Indoor*1000000),0,MAX(0,IF(AG559="Instantaneous",AG$556*((AG471/AG488)*(ConcFract_Indoor*1000000/AG689))^AG$557-AG$558+AG498,AG$530*(AG478*(ConcFract_Indoor*1000000/AG689)/(AG488*Wind))^AG$531-AG$532+AG498)))),0.1)</f>
        <v>0.1</v>
      </c>
      <c r="AH755" s="81"/>
      <c r="AI755" s="1206">
        <f>IF(AND(AI488&gt;0,AI689&gt;0),IF(AI294="Indoors",IF(ConcFract_Indoor*AI712&lt;=AI689,0.1,AI$530*((IF(Enclosed_Ventilation_Rate&gt;1,Enclosed_Ventilation_Rate,1)*Enclosed_Process_Volume*AI488*AI712/88020000000)*1000000*(ConcFract_Indoor/AI689-1/AI712)/(AI488*Wind))^AI$531),IF(OR(AI689=0,AI689&gt;=ConcFract_Indoor*1000000),0,MAX(0,IF(AI559="Instantaneous",AI$556*((AI471/AI488)*(ConcFract_Indoor*1000000/AI689))^AI$557-AI$558+AI498,AI$530*(AI478*(ConcFract_Indoor*1000000/AI689)/(AI488*Wind))^AI$531-AI$532+AI498)))),0.1)</f>
        <v>0.1</v>
      </c>
      <c r="AJ755" s="81"/>
      <c r="AK755" s="81"/>
      <c r="AL755" s="81"/>
      <c r="AM755" s="81"/>
      <c r="AN755" s="81"/>
      <c r="AO755" s="81"/>
      <c r="AP755" s="81"/>
      <c r="AQ755" s="85" t="s">
        <v>1068</v>
      </c>
      <c r="AR755" s="81"/>
    </row>
    <row r="756" spans="1:44" ht="15" customHeight="1" thickBot="1" x14ac:dyDescent="0.3">
      <c r="A756" s="2"/>
      <c r="B756" s="25" t="s">
        <v>4225</v>
      </c>
      <c r="C756" s="83"/>
      <c r="D756" s="2135" t="str">
        <f>IF(Conseq_Criteria="Hazard Distance",D755,IF(AND(OR(D623="",AND(Regulatory_Tox&lt;&gt;"Yes",ER3_Min&gt;Toxic_Limit),D687="No"),D688="No"),"NA",IF(D753&lt;N_VeryLow,Conseq_VeryLow,IF(D753&lt;N_Low,Conseq_Low,IF(D753&lt;N_Moderate,Conseq_Moderate,IF(D753&lt;N_High,Conseq_High,IF(D753&lt;N_VeryHigh,Conseq_VeryHigh,Conseq_ExtremeHigh)))))))</f>
        <v>NA</v>
      </c>
      <c r="E756" s="515"/>
      <c r="F756" s="2135" t="str">
        <f>IF(Conseq_Criteria="Hazard Distance",F755,IF(AND(OR(F623="",AND(Regulatory_Tox&lt;&gt;"Yes",ER3_Min&gt;Toxic_Limit),F687="No"),F688="No"),"NA",IF(F753&lt;N_VeryLow,Conseq_VeryLow,IF(F753&lt;N_Low,Conseq_Low,IF(F753&lt;N_Moderate,Conseq_Moderate,IF(F753&lt;N_High,Conseq_High,IF(F753&lt;N_VeryHigh,Conseq_VeryHigh,Conseq_ExtremeHigh)))))))</f>
        <v>NA</v>
      </c>
      <c r="G756" s="83"/>
      <c r="H756" s="2135" t="str">
        <f>IF(Conseq_Criteria="Hazard Distance",H755,IF(AND(OR(H623="",AND(Regulatory_Tox&lt;&gt;"Yes",ER3_Min&gt;Toxic_Limit),H687="No"),H688="No"),"NA",IF(H753&lt;N_VeryLow,Conseq_VeryLow,IF(H753&lt;N_Low,Conseq_Low,IF(H753&lt;N_Moderate,Conseq_Moderate,IF(H753&lt;N_High,Conseq_High,IF(H753&lt;N_VeryHigh,Conseq_VeryHigh,Conseq_ExtremeHigh)))))))</f>
        <v>NA</v>
      </c>
      <c r="I756" s="83"/>
      <c r="J756" s="2135" t="str">
        <f>IF(Conseq_Criteria="Hazard Distance",J755,IF(AND(OR(J623="",AND(Regulatory_Tox&lt;&gt;"Yes",ER3_Min&gt;Toxic_Limit),J687="No"),J688="No"),"NA",IF(J753&lt;N_VeryLow,Conseq_VeryLow,IF(J753&lt;N_Low,Conseq_Low,IF(J753&lt;N_Moderate,Conseq_Moderate,IF(J753&lt;N_High,Conseq_High,IF(J753&lt;N_VeryHigh,Conseq_VeryHigh,Conseq_ExtremeHigh)))))))</f>
        <v>NA</v>
      </c>
      <c r="K756" s="83"/>
      <c r="L756" s="2135" t="str">
        <f>IF(Conseq_Criteria="Hazard Distance",L755,IF(AND(OR(L623="",AND(Regulatory_Tox&lt;&gt;"Yes",ER3_Min&gt;Toxic_Limit),L687="No"),L688="No"),"NA",IF(L753&lt;N_VeryLow,Conseq_VeryLow,IF(L753&lt;N_Low,Conseq_Low,IF(L753&lt;N_Moderate,Conseq_Moderate,IF(L753&lt;N_High,Conseq_High,IF(L753&lt;N_VeryHigh,Conseq_VeryHigh,Conseq_ExtremeHigh)))))))</f>
        <v>NA</v>
      </c>
      <c r="M756" s="83"/>
      <c r="N756" s="2135" t="str">
        <f>IF(Conseq_Criteria="Hazard Distance",N755,IF(AND(OR(N623="",AND(Regulatory_Tox&lt;&gt;"Yes",ER3_Min&gt;Toxic_Limit),N687="No"),N688="No"),"NA",IF(N753&lt;N_VeryLow,Conseq_VeryLow,IF(N753&lt;N_Low,Conseq_Low,IF(N753&lt;N_Moderate,Conseq_Moderate,IF(N753&lt;N_High,Conseq_High,IF(N753&lt;N_VeryHigh,Conseq_VeryHigh,Conseq_ExtremeHigh)))))))</f>
        <v>NA</v>
      </c>
      <c r="O756" s="83"/>
      <c r="P756" s="2135" t="str">
        <f>IF(Conseq_Criteria="Hazard Distance",P755,IF(AND(OR(P623="",AND(Regulatory_Tox&lt;&gt;"Yes",ER3_Min&gt;Toxic_Limit),P687="No"),P688="No"),"NA",IF(P753&lt;N_VeryLow,Conseq_VeryLow,IF(P753&lt;N_Low,Conseq_Low,IF(P753&lt;N_Moderate,Conseq_Moderate,IF(P753&lt;N_High,Conseq_High,IF(P753&lt;N_VeryHigh,Conseq_VeryHigh,Conseq_ExtremeHigh)))))))</f>
        <v>NA</v>
      </c>
      <c r="Q756" s="83"/>
      <c r="R756" s="2135" t="str">
        <f>IF(Conseq_Criteria="Hazard Distance",R755,IF(AND(OR(R623="",AND(Regulatory_Tox&lt;&gt;"Yes",ER3_Min&gt;Toxic_Limit),R687="No"),R688="No"),"NA",IF(R753&lt;N_VeryLow,Conseq_VeryLow,IF(R753&lt;N_Low,Conseq_Low,IF(R753&lt;N_Moderate,Conseq_Moderate,IF(R753&lt;N_High,Conseq_High,IF(R753&lt;N_VeryHigh,Conseq_VeryHigh,Conseq_ExtremeHigh)))))))</f>
        <v>NA</v>
      </c>
      <c r="S756" s="83"/>
      <c r="T756" s="2135" t="str">
        <f>IF(Conseq_Criteria="Hazard Distance",T755,IF(AND(OR(T623="",AND(Regulatory_Tox&lt;&gt;"Yes",ER3_Min&gt;Toxic_Limit),T687="No"),T688="No"),"NA",IF(T753&lt;N_VeryLow,Conseq_VeryLow,IF(T753&lt;N_Low,Conseq_Low,IF(T753&lt;N_Moderate,Conseq_Moderate,IF(T753&lt;N_High,Conseq_High,IF(T753&lt;N_VeryHigh,Conseq_VeryHigh,Conseq_ExtremeHigh)))))))</f>
        <v>NA</v>
      </c>
      <c r="U756" s="83"/>
      <c r="V756" s="2135" t="str">
        <f>IF(Conseq_Criteria="Hazard Distance",V755,IF(AND(OR(V623="",AND(Regulatory_Tox&lt;&gt;"Yes",ER3_Min&gt;Toxic_Limit),V687="No"),V688="No"),"NA",IF(V753&lt;N_VeryLow,Conseq_VeryLow,IF(V753&lt;N_Low,Conseq_Low,IF(V753&lt;N_Moderate,Conseq_Moderate,IF(V753&lt;N_High,Conseq_High,IF(V753&lt;N_VeryHigh,Conseq_VeryHigh,Conseq_ExtremeHigh)))))))</f>
        <v>NA</v>
      </c>
      <c r="W756" s="83"/>
      <c r="X756" s="2135" t="str">
        <f>IF(Conseq_Criteria="Hazard Distance",X755,IF(AND(OR(X623="",AND(Regulatory_Tox&lt;&gt;"Yes",ER3_Min&gt;Toxic_Limit),X687="No"),X688="No"),"NA",IF(X753&lt;N_VeryLow,Conseq_VeryLow,IF(X753&lt;N_Low,Conseq_Low,IF(X753&lt;N_Moderate,Conseq_Moderate,IF(X753&lt;N_High,Conseq_High,IF(X753&lt;N_VeryHigh,Conseq_VeryHigh,Conseq_ExtremeHigh)))))))</f>
        <v>NA</v>
      </c>
      <c r="Y756" s="83"/>
      <c r="Z756" s="89"/>
      <c r="AA756" s="2"/>
      <c r="AB756" s="81"/>
      <c r="AC756" s="23" t="s">
        <v>3708</v>
      </c>
      <c r="AD756" s="81"/>
      <c r="AE756" s="1206">
        <f>IF(AE559="Instantaneous",Dispersion_I,Dispersion_D)*(MAX(AE755,(AE499-MIN(AE499,WorkArea_Elevation))*Dispersion_E^0.5,Public)^2-MAX((AE499-MIN(AE499,WorkArea_Elevation))*Dispersion_E^0.5,Public)^2)</f>
        <v>3.0000000000000005E-3</v>
      </c>
      <c r="AF756" s="81"/>
      <c r="AG756" s="1206">
        <f>IF(AG559="Instantaneous",Dispersion_I,Dispersion_D)*(MAX(AG755,(AG499-MIN(AG499,WorkArea_Elevation))*Dispersion_E^0.5,Public)^2-MAX((AG499-MIN(AG499,WorkArea_Elevation))*Dispersion_E^0.5,Public)^2)</f>
        <v>3.0000000000000005E-3</v>
      </c>
      <c r="AH756" s="81"/>
      <c r="AI756" s="1206">
        <f>IF(AI559="Instantaneous",Dispersion_I,Dispersion_D)*(MAX(AI755,(AI499-MIN(AI499,WorkArea_Elevation))*Dispersion_E^0.5,Public)^2-MAX((AI499-MIN(AI499,WorkArea_Elevation))*Dispersion_E^0.5,Public)^2)</f>
        <v>3.0000000000000005E-3</v>
      </c>
      <c r="AJ756" s="81"/>
      <c r="AK756" s="81"/>
      <c r="AL756" s="81"/>
      <c r="AM756" s="81"/>
      <c r="AN756" s="81"/>
      <c r="AO756" s="81"/>
      <c r="AP756" s="81"/>
      <c r="AQ756" s="85" t="s">
        <v>3804</v>
      </c>
      <c r="AR756" s="81"/>
    </row>
    <row r="757" spans="1:44" ht="15" customHeight="1" x14ac:dyDescent="0.25">
      <c r="A757" s="2"/>
      <c r="B757" s="23" t="s">
        <v>4061</v>
      </c>
      <c r="C757" s="83"/>
      <c r="D757" s="1820">
        <f>IF(OR(D659=0,D679=0),0,MIN(1,EXP(D659+D660/D679^(2*D504))))</f>
        <v>0</v>
      </c>
      <c r="E757" s="83"/>
      <c r="F757" s="1820">
        <f>IF(OR(F659=0,F679=0),0,MIN(1,EXP(F659+F660/F679^(2*F504))))</f>
        <v>0</v>
      </c>
      <c r="G757" s="83"/>
      <c r="H757" s="1820">
        <f>IF(OR(H659=0,H679=0),0,MIN(1,EXP(H659+H660/H679^(2*H504))))</f>
        <v>0</v>
      </c>
      <c r="I757" s="83"/>
      <c r="J757" s="1820">
        <f>IF(OR(J659=0,J679=0),0,MIN(1,EXP(J659+J660/J679^(2*J504))))</f>
        <v>0</v>
      </c>
      <c r="K757" s="83"/>
      <c r="L757" s="1820">
        <f>IF(OR(L659=0,L679=0),0,MIN(1,EXP(L659+L660/L679^(2*L504))))</f>
        <v>0</v>
      </c>
      <c r="M757" s="83"/>
      <c r="N757" s="1820">
        <f>IF(OR(N659=0,N679=0),0,MIN(1,EXP(N659+N660/N679^(2*N504))))</f>
        <v>0</v>
      </c>
      <c r="O757" s="83"/>
      <c r="P757" s="1820">
        <f>IF(OR(P659=0,P679=0),0,MIN(1,EXP(P659+P660/P679^(2*P504))))</f>
        <v>0</v>
      </c>
      <c r="Q757" s="83"/>
      <c r="R757" s="1820">
        <f>IF(OR(R659=0,R679=0),0,MIN(1,EXP(R659+R660/R679^(2*R504))))</f>
        <v>0</v>
      </c>
      <c r="S757" s="83"/>
      <c r="T757" s="1820">
        <f>IF(OR(T659=0,T679=0),0,MIN(1,EXP(T659+T660/T679^(2*T504))))</f>
        <v>0</v>
      </c>
      <c r="U757" s="83"/>
      <c r="V757" s="1820">
        <f>IF(OR(V659=0,V679=0),0,MIN(1,EXP(V659+V660/V679^(2*V504))))</f>
        <v>0</v>
      </c>
      <c r="W757" s="83"/>
      <c r="X757" s="1820">
        <f>IF(OR(X659=0,X679=0),0,MIN(1,EXP(X659+X660/X679^(2*X504))))</f>
        <v>0</v>
      </c>
      <c r="Y757" s="83"/>
      <c r="Z757" s="23"/>
      <c r="AA757" s="2"/>
      <c r="AB757" s="81"/>
      <c r="AC757" s="23" t="s">
        <v>3709</v>
      </c>
      <c r="AD757" s="81"/>
      <c r="AE757" s="1206">
        <f>IF(OR(AE$688=0,AE$678=""),0,IF(AE755&gt;Zone_1,IF(AE559="Instantaneous",Dispersion_I,Dispersion_D)*(MAX(Public,(AE499-MIN(AE499,WorkArea_Elevation))*Dispersion_E^0.5,Zone_1)^2-MAX(Public,(AE499-MIN(AE499,WorkArea_Elevation))*Dispersion_E^0.5,AE755)^2),IF(AE559="Instantaneous",Dispersion_I,Dispersion_D)*AE$678^(2*IF(AE559="Instantaneous",AE$557,AE$531))*AE$700^2*(EXP(AE$686+AE$688*MAX(Public,(AE499-MIN(AE499,WorkArea_Elevation))*Dispersion_E^0.5,Zone_1)^2/(AE$678^(2*IF(AE559="Instantaneous",AE$557,AE$531))*AE$700^2))-EXP(AE$686+AE$688*MAX(Public,(AE499-MIN(AE499,WorkArea_Elevation))*Dispersion_E^0.5,AE755)^2/(AE$678^(2*IF(AE559="Instantaneous",AE$557,AE$531))*AE$700^2)))/AE$688))</f>
        <v>0</v>
      </c>
      <c r="AF757" s="81"/>
      <c r="AG757" s="1206">
        <f>IF(OR(AG$688=0,AG$678=""),0,IF(AG755&gt;Zone_1,IF(AG559="Instantaneous",Dispersion_I,Dispersion_D)*(MAX(Public,(AG499-MIN(AG499,WorkArea_Elevation))*Dispersion_E^0.5,Zone_1)^2-MAX(Public,(AG499-MIN(AG499,WorkArea_Elevation))*Dispersion_E^0.5,AG755)^2),IF(AG559="Instantaneous",Dispersion_I,Dispersion_D)*AG$678^(2*IF(AG559="Instantaneous",AG$557,AG$531))*AG$700^2*(EXP(AG$686+AG$688*MAX(Public,(AG499-MIN(AG499,WorkArea_Elevation))*Dispersion_E^0.5,Zone_1)^2/(AG$678^(2*IF(AG559="Instantaneous",AG$557,AG$531))*AG$700^2))-EXP(AG$686+AG$688*MAX(Public,(AG499-MIN(AG499,WorkArea_Elevation))*Dispersion_E^0.5,AG755)^2/(AG$678^(2*IF(AG559="Instantaneous",AG$557,AG$531))*AG$700^2)))/AG$688))</f>
        <v>0</v>
      </c>
      <c r="AH757" s="81"/>
      <c r="AI757" s="1206">
        <f>IF(OR(AI$688=0,AI$678=""),0,IF(AI755&gt;Zone_1,IF(AI559="Instantaneous",Dispersion_I,Dispersion_D)*(MAX(Public,(AI499-MIN(AI499,WorkArea_Elevation))*Dispersion_E^0.5,Zone_1)^2-MAX(Public,(AI499-MIN(AI499,WorkArea_Elevation))*Dispersion_E^0.5,AI755)^2),IF(AI559="Instantaneous",Dispersion_I,Dispersion_D)*AI$678^(2*IF(AI559="Instantaneous",AI$557,AI$531))*AI$700^2*(EXP(AI$686+AI$688*MAX(Public,(AI499-MIN(AI499,WorkArea_Elevation))*Dispersion_E^0.5,Zone_1)^2/(AI$678^(2*IF(AI559="Instantaneous",AI$557,AI$531))*AI$700^2))-EXP(AI$686+AI$688*MAX(Public,(AI499-MIN(AI499,WorkArea_Elevation))*Dispersion_E^0.5,AI755)^2/(AI$678^(2*IF(AI559="Instantaneous",AI$557,AI$531))*AI$700^2)))/AI$688))</f>
        <v>0</v>
      </c>
      <c r="AJ757" s="81"/>
      <c r="AK757" s="81"/>
      <c r="AL757" s="81"/>
      <c r="AM757" s="81"/>
      <c r="AN757" s="81"/>
      <c r="AO757" s="81"/>
      <c r="AP757" s="81"/>
      <c r="AQ757" s="85" t="s">
        <v>3804</v>
      </c>
      <c r="AR757" s="81"/>
    </row>
    <row r="758" spans="1:44" ht="15" customHeight="1" x14ac:dyDescent="0.25">
      <c r="A758" s="2"/>
      <c r="B758" s="23" t="s">
        <v>2931</v>
      </c>
      <c r="C758" s="83"/>
      <c r="D758" s="1820">
        <f>IF(OR(D659=0,D680=0),0,MIN(1,EXP(D659+D660/D680^(2*D504))))</f>
        <v>0</v>
      </c>
      <c r="E758" s="83"/>
      <c r="F758" s="1820">
        <f>IF(OR(F659=0,F680=0),0,MIN(1,EXP(F659+F660/F680^(2*F504))))</f>
        <v>0</v>
      </c>
      <c r="G758" s="83"/>
      <c r="H758" s="1820">
        <f>IF(OR(H659=0,H680=0),0,MIN(1,EXP(H659+H660/H680^(2*H504))))</f>
        <v>0</v>
      </c>
      <c r="I758" s="83"/>
      <c r="J758" s="1820">
        <f>IF(OR(J659=0,J680=0),0,MIN(1,EXP(J659+J660/J680^(2*J504))))</f>
        <v>0</v>
      </c>
      <c r="K758" s="83"/>
      <c r="L758" s="1820">
        <f>IF(OR(L659=0,L680=0),0,MIN(1,EXP(L659+L660/L680^(2*L504))))</f>
        <v>0</v>
      </c>
      <c r="M758" s="83"/>
      <c r="N758" s="1820">
        <f>IF(OR(N659=0,N680=0),0,MIN(1,EXP(N659+N660/N680^(2*N504))))</f>
        <v>0</v>
      </c>
      <c r="O758" s="83"/>
      <c r="P758" s="1820">
        <f>IF(OR(P659=0,P680=0),0,MIN(1,EXP(P659+P660/P680^(2*P504))))</f>
        <v>0</v>
      </c>
      <c r="Q758" s="83"/>
      <c r="R758" s="1820">
        <f>IF(OR(R659=0,R680=0),0,MIN(1,EXP(R659+R660/R680^(2*R504))))</f>
        <v>0</v>
      </c>
      <c r="S758" s="83"/>
      <c r="T758" s="1820">
        <f>IF(OR(T659=0,T680=0),0,MIN(1,EXP(T659+T660/T680^(2*T504))))</f>
        <v>0</v>
      </c>
      <c r="U758" s="83"/>
      <c r="V758" s="1820">
        <f>IF(OR(V659=0,V680=0),0,MIN(1,EXP(V659+V660/V680^(2*V504))))</f>
        <v>0</v>
      </c>
      <c r="W758" s="83"/>
      <c r="X758" s="1820">
        <f>IF(OR(X659=0,X680=0),0,MIN(1,EXP(X659+X660/X680^(2*X504))))</f>
        <v>0</v>
      </c>
      <c r="Y758" s="83"/>
      <c r="Z758" s="23"/>
      <c r="AA758" s="2"/>
      <c r="AB758" s="81"/>
      <c r="AC758" s="23" t="s">
        <v>3710</v>
      </c>
      <c r="AD758" s="81"/>
      <c r="AE758" s="1206">
        <f>IF(Zone_1&lt;MAX(Public,(AE499-MIN(AE499,WorkArea_Elevation))*Dispersion_E^0.5),IF(AE559="Instantaneous",Dispersion_I,Dispersion_D)*(MAX(AE755,(AE499-MIN(AE499,WorkArea_Elevation))*Dispersion_E^0.5,Public)^2-MAX((AE499-MIN(AE499,WorkArea_Elevation))*Dispersion_E^0.5,Public)^2),IF(AE559="Instantaneous",Dispersion_I,Dispersion_D)*(MAX(AE755,Zone_1)^2-Zone_1^2))</f>
        <v>3.0000000000000005E-3</v>
      </c>
      <c r="AF758" s="81"/>
      <c r="AG758" s="1206">
        <f>IF(Zone_1&lt;MAX(Public,(AG499-MIN(AG499,WorkArea_Elevation))*Dispersion_E^0.5),IF(AG559="Instantaneous",Dispersion_I,Dispersion_D)*(MAX(AG755,(AG499-MIN(AG499,WorkArea_Elevation))*Dispersion_E^0.5,Public)^2-MAX((AG499-MIN(AG499,WorkArea_Elevation))*Dispersion_E^0.5,Public)^2),IF(AG559="Instantaneous",Dispersion_I,Dispersion_D)*(MAX(AG755,Zone_1)^2-Zone_1^2))</f>
        <v>3.0000000000000005E-3</v>
      </c>
      <c r="AH758" s="81"/>
      <c r="AI758" s="1206">
        <f>IF(Zone_1&lt;MAX(Public,(AI499-MIN(AI499,WorkArea_Elevation))*Dispersion_E^0.5),IF(AI559="Instantaneous",Dispersion_I,Dispersion_D)*(MAX(AI755,(AI499-MIN(AI499,WorkArea_Elevation))*Dispersion_E^0.5,Public)^2-MAX((AI499-MIN(AI499,WorkArea_Elevation))*Dispersion_E^0.5,Public)^2),IF(AI559="Instantaneous",Dispersion_I,Dispersion_D)*(MAX(AI755,Zone_1)^2-Zone_1^2))</f>
        <v>3.0000000000000005E-3</v>
      </c>
      <c r="AJ758" s="81"/>
      <c r="AK758" s="81"/>
      <c r="AL758" s="81"/>
      <c r="AM758" s="81"/>
      <c r="AN758" s="81"/>
      <c r="AO758" s="81"/>
      <c r="AP758" s="81"/>
      <c r="AQ758" s="85" t="s">
        <v>3804</v>
      </c>
      <c r="AR758" s="81"/>
    </row>
    <row r="759" spans="1:44" ht="15" customHeight="1" x14ac:dyDescent="0.25">
      <c r="A759" s="2"/>
      <c r="B759" s="23" t="s">
        <v>3162</v>
      </c>
      <c r="C759" s="2"/>
      <c r="D759" s="1820">
        <f>IF(Occ_Bldg2_Direction="Yes",Occupants_atRisk*D757+Occupants_atRisk2*D758,MAX(Occupants_atRisk*D757,Occupants_atRisk2*D758))+D748</f>
        <v>6.0000000000000008E-7</v>
      </c>
      <c r="E759" s="83"/>
      <c r="F759" s="1820">
        <f>IF(Occ_Bldg2_Direction="Yes",Occupants_atRisk*F757+Occupants_atRisk2*F758,MAX(Occupants_atRisk*F757,Occupants_atRisk2*F758))+F748</f>
        <v>6.0000000000000008E-7</v>
      </c>
      <c r="G759" s="83"/>
      <c r="H759" s="1820">
        <f>IF(Occ_Bldg2_Direction="Yes",Occupants_atRisk*H757+Occupants_atRisk2*H758,MAX(Occupants_atRisk*H757,Occupants_atRisk2*H758))+H748</f>
        <v>6.0000000000000008E-7</v>
      </c>
      <c r="I759" s="83"/>
      <c r="J759" s="1820">
        <f>IF(Occ_Bldg2_Direction="Yes",Occupants_atRisk*J757+Occupants_atRisk2*J758,MAX(Occupants_atRisk*J757,Occupants_atRisk2*J758))+J748</f>
        <v>6.0000000000000008E-7</v>
      </c>
      <c r="K759" s="83"/>
      <c r="L759" s="1820">
        <f>IF(Occ_Bldg2_Direction="Yes",Occupants_atRisk*L757+Occupants_atRisk2*L758,MAX(Occupants_atRisk*L757,Occupants_atRisk2*L758))+L748</f>
        <v>6.0000000000000008E-7</v>
      </c>
      <c r="M759" s="83"/>
      <c r="N759" s="1820">
        <f>IF(Occ_Bldg2_Direction="Yes",Occupants_atRisk*N757+Occupants_atRisk2*N758,MAX(Occupants_atRisk*N757,Occupants_atRisk2*N758))+N748</f>
        <v>6.0000000000000008E-7</v>
      </c>
      <c r="O759" s="83"/>
      <c r="P759" s="1820">
        <f>IF(Occ_Bldg2_Direction="Yes",Occupants_atRisk*P757+Occupants_atRisk2*P758,MAX(Occupants_atRisk*P757,Occupants_atRisk2*P758))+P748</f>
        <v>6.0000000000000008E-7</v>
      </c>
      <c r="Q759" s="83"/>
      <c r="R759" s="1820">
        <f>IF(Occ_Bldg2_Direction="Yes",Occupants_atRisk*R757+Occupants_atRisk2*R758,MAX(Occupants_atRisk*R757,Occupants_atRisk2*R758))+R748</f>
        <v>6.0000000000000008E-7</v>
      </c>
      <c r="S759" s="83"/>
      <c r="T759" s="1820">
        <f>IF(Occ_Bldg2_Direction="Yes",Occupants_atRisk*T757+Occupants_atRisk2*T758,MAX(Occupants_atRisk*T757,Occupants_atRisk2*T758))+T748</f>
        <v>6.0000000000000008E-7</v>
      </c>
      <c r="U759" s="83"/>
      <c r="V759" s="1820">
        <f>IF(Occ_Bldg2_Direction="Yes",Occupants_atRisk*V757+Occupants_atRisk2*V758,MAX(Occupants_atRisk*V757,Occupants_atRisk2*V758))+V748</f>
        <v>6.0000000000000008E-7</v>
      </c>
      <c r="W759" s="83"/>
      <c r="X759" s="1820">
        <f>IF(Occ_Bldg2_Direction="Yes",Occupants_atRisk*X757+Occupants_atRisk2*X758,MAX(Occupants_atRisk*X757,Occupants_atRisk2*X758))+X748</f>
        <v>6.0000000000000008E-7</v>
      </c>
      <c r="Y759" s="83"/>
      <c r="Z759" s="23"/>
      <c r="AA759" s="2"/>
      <c r="AB759" s="81"/>
      <c r="AC759" s="23" t="s">
        <v>3711</v>
      </c>
      <c r="AD759" s="81"/>
      <c r="AE759" s="1206">
        <f>IF(OR(AE$688=0,AE$678=""),0,IF(Zone_1&lt;MAX((AE499-MIN(AE499,WorkArea_Elevation))*Dispersion_E^0.5,Public),IF(AE559="Instantaneous",Dispersion_I,Dispersion_D)*AE$678^(2*IF(AE559="Instantaneous",AE$557,AE$531))*AE$700^2*(0-EXP(AE$686+AE$688*MAX(AE755,(AE499-MIN(AE499,WorkArea_Elevation))*Dispersion_E^0.5,Public)^2/(AE$678^(2*IF(AE559="Instantaneous",AE$557,AE$531))*AE$700^2)))/AE$688,IF(AE559="Instantaneous",Dispersion_I,Dispersion_D)*AE$678^(2*IF(AE559="Instantaneous",AE$557,AE$531))*AE$700^2*(0-EXP(AE$686+AE$688*MAX(AE755,Zone_1)^2/(AE$678^(2*IF(AE559="Instantaneous",AE$557,AE$531))*AE$700^2)))/AE$688))</f>
        <v>0</v>
      </c>
      <c r="AF759" s="81"/>
      <c r="AG759" s="1206">
        <f>IF(OR(AG$688=0,AG$678=""),0,IF(Zone_1&lt;MAX((AG499-MIN(AG499,WorkArea_Elevation))*Dispersion_E^0.5,Public),IF(AG559="Instantaneous",Dispersion_I,Dispersion_D)*AG$678^(2*IF(AG559="Instantaneous",AG$557,AG$531))*AG$700^2*(0-EXP(AG$686+AG$688*MAX(AG755,(AG499-MIN(AG499,WorkArea_Elevation))*Dispersion_E^0.5,Public)^2/(AG$678^(2*IF(AG559="Instantaneous",AG$557,AG$531))*AG$700^2)))/AG$688,IF(AG559="Instantaneous",Dispersion_I,Dispersion_D)*AG$678^(2*IF(AG559="Instantaneous",AG$557,AG$531))*AG$700^2*(0-EXP(AG$686+AG$688*MAX(AG755,Zone_1)^2/(AG$678^(2*IF(AG559="Instantaneous",AG$557,AG$531))*AG$700^2)))/AG$688))</f>
        <v>0</v>
      </c>
      <c r="AH759" s="81"/>
      <c r="AI759" s="1206">
        <f>IF(OR(AI$688=0,AI$678=""),0,IF(Zone_1&lt;MAX((AI499-MIN(AI499,WorkArea_Elevation))*Dispersion_E^0.5,Public),IF(AI559="Instantaneous",Dispersion_I,Dispersion_D)*AI$678^(2*IF(AI559="Instantaneous",AI$557,AI$531))*AI$700^2*(0-EXP(AI$686+AI$688*MAX(AI755,(AI499-MIN(AI499,WorkArea_Elevation))*Dispersion_E^0.5,Public)^2/(AI$678^(2*IF(AI559="Instantaneous",AI$557,AI$531))*AI$700^2)))/AI$688,IF(AI559="Instantaneous",Dispersion_I,Dispersion_D)*AI$678^(2*IF(AI559="Instantaneous",AI$557,AI$531))*AI$700^2*(0-EXP(AI$686+AI$688*MAX(AI755,Zone_1)^2/(AI$678^(2*IF(AI559="Instantaneous",AI$557,AI$531))*AI$700^2)))/AI$688))</f>
        <v>0</v>
      </c>
      <c r="AJ759" s="81"/>
      <c r="AK759" s="81"/>
      <c r="AL759" s="81"/>
      <c r="AM759" s="81"/>
      <c r="AN759" s="81"/>
      <c r="AO759" s="81"/>
      <c r="AP759" s="81"/>
      <c r="AQ759" s="85" t="s">
        <v>3804</v>
      </c>
      <c r="AR759" s="81"/>
    </row>
    <row r="760" spans="1:44" ht="15" customHeight="1" thickBot="1" x14ac:dyDescent="0.3">
      <c r="A760" s="2"/>
      <c r="B760" s="25" t="s">
        <v>4791</v>
      </c>
      <c r="C760" s="2"/>
      <c r="D760" s="1286" t="str">
        <f>IF(OR(AND(Regulatory_Tox&lt;&gt;"Yes",ER3_Min&gt;Toxic_Limit),D637="",AND(D679&lt;=IF(D623&lt;&gt;"",D623,1000000),D680&lt;=IF(D623&lt;&gt;"",D623,1000000))),"NA",IF(MAX(D679,D680)/D637&lt;HD_VeryLow_Infiltration,Conseq_VeryLow,IF(MAX(D679,D680)/D637&lt;HD_Low_Infiltration,Conseq_Low,IF(MAX(D679,D680)/D637&lt;HD_Moderate_Infiltration,Conseq_Moderate,IF(MAX(D679,D680)/D637&lt;HD_High_Infiltration,Conseq_High,IF(MAX(D679,D680)/D637&lt;HD_VeryHigh_Infiltration,Conseq_VeryHigh,Conseq_ExtremeHigh))))))</f>
        <v>NA</v>
      </c>
      <c r="E760" s="1024"/>
      <c r="F760" s="1286" t="str">
        <f>IF(OR(AND(Regulatory_Tox&lt;&gt;"Yes",ER3_Min&gt;Toxic_Limit),F637="",AND(F679&lt;=IF(F623&lt;&gt;"",F623,1000000),F680&lt;=IF(F623&lt;&gt;"",F623,1000000))),"NA",IF(MAX(F679,F680)/F637&lt;HD_VeryLow_Infiltration,Conseq_VeryLow,IF(MAX(F679,F680)/F637&lt;HD_Low_Infiltration,Conseq_Low,IF(MAX(F679,F680)/F637&lt;HD_Moderate_Infiltration,Conseq_Moderate,IF(MAX(F679,F680)/F637&lt;HD_High_Infiltration,Conseq_High,IF(MAX(F679,F680)/F637&lt;HD_VeryHigh_Infiltration,Conseq_VeryHigh,Conseq_ExtremeHigh))))))</f>
        <v>NA</v>
      </c>
      <c r="G760" s="1024"/>
      <c r="H760" s="1286" t="str">
        <f>IF(OR(AND(Regulatory_Tox&lt;&gt;"Yes",ER3_Min&gt;Toxic_Limit),H637="",AND(H679&lt;=IF(H623&lt;&gt;"",H623,1000000),H680&lt;=IF(H623&lt;&gt;"",H623,1000000))),"NA",IF(MAX(H679,H680)/H637&lt;HD_VeryLow_Infiltration,Conseq_VeryLow,IF(MAX(H679,H680)/H637&lt;HD_Low_Infiltration,Conseq_Low,IF(MAX(H679,H680)/H637&lt;HD_Moderate_Infiltration,Conseq_Moderate,IF(MAX(H679,H680)/H637&lt;HD_High_Infiltration,Conseq_High,IF(MAX(H679,H680)/H637&lt;HD_VeryHigh_Infiltration,Conseq_VeryHigh,Conseq_ExtremeHigh))))))</f>
        <v>NA</v>
      </c>
      <c r="I760" s="1024"/>
      <c r="J760" s="1286" t="str">
        <f>IF(OR(AND(Regulatory_Tox&lt;&gt;"Yes",ER3_Min&gt;Toxic_Limit),J637="",AND(J679&lt;=IF(J623&lt;&gt;"",J623,1000000),J680&lt;=IF(J623&lt;&gt;"",J623,1000000))),"NA",IF(MAX(J679,J680)/J637&lt;HD_VeryLow_Infiltration,Conseq_VeryLow,IF(MAX(J679,J680)/J637&lt;HD_Low_Infiltration,Conseq_Low,IF(MAX(J679,J680)/J637&lt;HD_Moderate_Infiltration,Conseq_Moderate,IF(MAX(J679,J680)/J637&lt;HD_High_Infiltration,Conseq_High,IF(MAX(J679,J680)/J637&lt;HD_VeryHigh_Infiltration,Conseq_VeryHigh,Conseq_ExtremeHigh))))))</f>
        <v>NA</v>
      </c>
      <c r="K760" s="1024"/>
      <c r="L760" s="1286" t="str">
        <f>IF(OR(AND(Regulatory_Tox&lt;&gt;"Yes",ER3_Min&gt;Toxic_Limit),L637="",AND(L679&lt;=IF(L623&lt;&gt;"",L623,1000000),L680&lt;=IF(L623&lt;&gt;"",L623,1000000))),"NA",IF(MAX(L679,L680)/L637&lt;HD_VeryLow_Infiltration,Conseq_VeryLow,IF(MAX(L679,L680)/L637&lt;HD_Low_Infiltration,Conseq_Low,IF(MAX(L679,L680)/L637&lt;HD_Moderate_Infiltration,Conseq_Moderate,IF(MAX(L679,L680)/L637&lt;HD_High_Infiltration,Conseq_High,IF(MAX(L679,L680)/L637&lt;HD_VeryHigh_Infiltration,Conseq_VeryHigh,Conseq_ExtremeHigh))))))</f>
        <v>NA</v>
      </c>
      <c r="M760" s="1024"/>
      <c r="N760" s="1286" t="str">
        <f>IF(OR(AND(Regulatory_Tox&lt;&gt;"Yes",ER3_Min&gt;Toxic_Limit),N637="",AND(N679&lt;=IF(N623&lt;&gt;"",N623,1000000),N680&lt;=IF(N623&lt;&gt;"",N623,1000000))),"NA",IF(MAX(N679,N680)/N637&lt;HD_VeryLow_Infiltration,Conseq_VeryLow,IF(MAX(N679,N680)/N637&lt;HD_Low_Infiltration,Conseq_Low,IF(MAX(N679,N680)/N637&lt;HD_Moderate_Infiltration,Conseq_Moderate,IF(MAX(N679,N680)/N637&lt;HD_High_Infiltration,Conseq_High,IF(MAX(N679,N680)/N637&lt;HD_VeryHigh_Infiltration,Conseq_VeryHigh,Conseq_ExtremeHigh))))))</f>
        <v>NA</v>
      </c>
      <c r="O760" s="1024"/>
      <c r="P760" s="1286" t="str">
        <f>IF(OR(AND(Regulatory_Tox&lt;&gt;"Yes",ER3_Min&gt;Toxic_Limit),P637="",AND(P679&lt;=IF(P623&lt;&gt;"",P623,1000000),P680&lt;=IF(P623&lt;&gt;"",P623,1000000))),"NA",IF(MAX(P679,P680)/P637&lt;HD_VeryLow_Infiltration,Conseq_VeryLow,IF(MAX(P679,P680)/P637&lt;HD_Low_Infiltration,Conseq_Low,IF(MAX(P679,P680)/P637&lt;HD_Moderate_Infiltration,Conseq_Moderate,IF(MAX(P679,P680)/P637&lt;HD_High_Infiltration,Conseq_High,IF(MAX(P679,P680)/P637&lt;HD_VeryHigh_Infiltration,Conseq_VeryHigh,Conseq_ExtremeHigh))))))</f>
        <v>NA</v>
      </c>
      <c r="Q760" s="1024"/>
      <c r="R760" s="1286" t="str">
        <f>IF(OR(AND(Regulatory_Tox&lt;&gt;"Yes",ER3_Min&gt;Toxic_Limit),R637="",AND(R679&lt;=IF(R623&lt;&gt;"",R623,1000000),R680&lt;=IF(R623&lt;&gt;"",R623,1000000))),"NA",IF(MAX(R679,R680)/R637&lt;HD_VeryLow_Infiltration,Conseq_VeryLow,IF(MAX(R679,R680)/R637&lt;HD_Low_Infiltration,Conseq_Low,IF(MAX(R679,R680)/R637&lt;HD_Moderate_Infiltration,Conseq_Moderate,IF(MAX(R679,R680)/R637&lt;HD_High_Infiltration,Conseq_High,IF(MAX(R679,R680)/R637&lt;HD_VeryHigh_Infiltration,Conseq_VeryHigh,Conseq_ExtremeHigh))))))</f>
        <v>NA</v>
      </c>
      <c r="S760" s="1024"/>
      <c r="T760" s="1286" t="str">
        <f>IF(OR(AND(Regulatory_Tox&lt;&gt;"Yes",ER3_Min&gt;Toxic_Limit),T637="",AND(T679&lt;=IF(T623&lt;&gt;"",T623,1000000),T680&lt;=IF(T623&lt;&gt;"",T623,1000000))),"NA",IF(MAX(T679,T680)/T637&lt;HD_VeryLow_Infiltration,Conseq_VeryLow,IF(MAX(T679,T680)/T637&lt;HD_Low_Infiltration,Conseq_Low,IF(MAX(T679,T680)/T637&lt;HD_Moderate_Infiltration,Conseq_Moderate,IF(MAX(T679,T680)/T637&lt;HD_High_Infiltration,Conseq_High,IF(MAX(T679,T680)/T637&lt;HD_VeryHigh_Infiltration,Conseq_VeryHigh,Conseq_ExtremeHigh))))))</f>
        <v>NA</v>
      </c>
      <c r="U760" s="1024"/>
      <c r="V760" s="1286" t="str">
        <f>IF(OR(AND(Regulatory_Tox&lt;&gt;"Yes",ER3_Min&gt;Toxic_Limit),V637="",AND(V679&lt;=IF(V623&lt;&gt;"",V623,1000000),V680&lt;=IF(V623&lt;&gt;"",V623,1000000))),"NA",IF(MAX(V679,V680)/V637&lt;HD_VeryLow_Infiltration,Conseq_VeryLow,IF(MAX(V679,V680)/V637&lt;HD_Low_Infiltration,Conseq_Low,IF(MAX(V679,V680)/V637&lt;HD_Moderate_Infiltration,Conseq_Moderate,IF(MAX(V679,V680)/V637&lt;HD_High_Infiltration,Conseq_High,IF(MAX(V679,V680)/V637&lt;HD_VeryHigh_Infiltration,Conseq_VeryHigh,Conseq_ExtremeHigh))))))</f>
        <v>NA</v>
      </c>
      <c r="W760" s="1024"/>
      <c r="X760" s="1286" t="str">
        <f>IF(OR(AND(Regulatory_Tox&lt;&gt;"Yes",ER3_Min&gt;Toxic_Limit),X637="",AND(X679&lt;=IF(X623&lt;&gt;"",X623,1000000),X680&lt;=IF(X623&lt;&gt;"",X623,1000000))),"NA",IF(MAX(X679,X680)/X637&lt;HD_VeryLow_Infiltration,Conseq_VeryLow,IF(MAX(X679,X680)/X637&lt;HD_Low_Infiltration,Conseq_Low,IF(MAX(X679,X680)/X637&lt;HD_Moderate_Infiltration,Conseq_Moderate,IF(MAX(X679,X680)/X637&lt;HD_High_Infiltration,Conseq_High,IF(MAX(X679,X680)/X637&lt;HD_VeryHigh_Infiltration,Conseq_VeryHigh,Conseq_ExtremeHigh))))))</f>
        <v>NA</v>
      </c>
      <c r="Y760" s="83"/>
      <c r="Z760" s="23"/>
      <c r="AA760" s="2"/>
      <c r="AB760" s="81"/>
      <c r="AC760" s="23" t="s">
        <v>3712</v>
      </c>
      <c r="AD760" s="81"/>
      <c r="AE760" s="1861">
        <f>Outdoor_Fract*((AE751+AE752)*IF(Offsite_PD1="",Offsite_PD,1000000*Offsite_PD1)+(AE753+AE754)*IF(Offsite_PD2="",Offsite_PD,1000000*Offsite_PD2))/1000000+(1-Outdoor_Fract)*((AE756+AE757)*IF(Offsite_PD1="",Offsite_PD,1000000*Offsite_PD1)+(AE758+AE759)*IF(Offsite_PD2="",Offsite_PD,1000000*Offsite_PD2))/1000000</f>
        <v>9.0000000000000019E-6</v>
      </c>
      <c r="AF760" s="81"/>
      <c r="AG760" s="1861">
        <f>Outdoor_Fract*((AG751+AG752)*IF(Offsite_PD1="",Offsite_PD,1000000*Offsite_PD1)+(AG753+AG754)*IF(Offsite_PD2="",Offsite_PD,1000000*Offsite_PD2))/1000000+(1-Outdoor_Fract)*((AG756+AG757)*IF(Offsite_PD1="",Offsite_PD,1000000*Offsite_PD1)+(AG758+AG759)*IF(Offsite_PD2="",Offsite_PD,1000000*Offsite_PD2))/1000000</f>
        <v>9.0000000000000019E-6</v>
      </c>
      <c r="AH760" s="81"/>
      <c r="AI760" s="1861">
        <f>Outdoor_Fract*((AI751+AI752)*IF(Offsite_PD1="",Offsite_PD,1000000*Offsite_PD1)+(AI753+AI754)*IF(Offsite_PD2="",Offsite_PD,1000000*Offsite_PD2))/1000000+(1-Outdoor_Fract)*((AI756+AI757)*IF(Offsite_PD1="",Offsite_PD,1000000*Offsite_PD1)+(AI758+AI759)*IF(Offsite_PD2="",Offsite_PD,1000000*Offsite_PD2))/1000000</f>
        <v>9.0000000000000019E-6</v>
      </c>
      <c r="AJ760" s="81"/>
      <c r="AK760" s="81"/>
      <c r="AL760" s="81"/>
      <c r="AM760" s="81"/>
      <c r="AN760" s="81"/>
      <c r="AO760" s="81"/>
      <c r="AP760" s="81"/>
      <c r="AQ760" s="23"/>
      <c r="AR760" s="81"/>
    </row>
    <row r="761" spans="1:44" ht="15" customHeight="1" thickBot="1" x14ac:dyDescent="0.3">
      <c r="A761" s="2"/>
      <c r="B761" s="25" t="s">
        <v>4226</v>
      </c>
      <c r="C761" s="83"/>
      <c r="D761" s="2135" t="str">
        <f>IF(Conseq_Criteria="Hazard Distance",D760,IF(OR(AND(Regulatory_Tox&lt;&gt;"Yes",ER3_Min&gt;Toxic_Limit),AND(D679&lt;=IF(D623&lt;&gt;"",D623,1000000),D680&lt;=IF(D623&lt;&gt;"",D623,1000000))),"NA",IF(D759&lt;N_VeryLow,Conseq_VeryLow,IF(D759&lt;N_Low,Conseq_Low,IF(D759&lt;N_Moderate,Conseq_Moderate,IF(D759&lt;N_High,Conseq_High,IF(D759&lt;N_VeryHigh,Conseq_VeryHigh,Conseq_ExtremeHigh)))))))</f>
        <v>NA</v>
      </c>
      <c r="E761" s="83"/>
      <c r="F761" s="2135" t="str">
        <f>IF(Conseq_Criteria="Hazard Distance",F760,IF(OR(AND(Regulatory_Tox&lt;&gt;"Yes",ER3_Min&gt;Toxic_Limit),AND(F679&lt;=IF(F623&lt;&gt;"",F623,1000000),F680&lt;=IF(F623&lt;&gt;"",F623,1000000))),"NA",IF(F759&lt;N_VeryLow,Conseq_VeryLow,IF(F759&lt;N_Low,Conseq_Low,IF(F759&lt;N_Moderate,Conseq_Moderate,IF(F759&lt;N_High,Conseq_High,IF(F759&lt;N_VeryHigh,Conseq_VeryHigh,Conseq_ExtremeHigh)))))))</f>
        <v>NA</v>
      </c>
      <c r="G761" s="83"/>
      <c r="H761" s="2135" t="str">
        <f>IF(Conseq_Criteria="Hazard Distance",H760,IF(OR(AND(Regulatory_Tox&lt;&gt;"Yes",ER3_Min&gt;Toxic_Limit),AND(H679&lt;=IF(H623&lt;&gt;"",H623,1000000),H680&lt;=IF(H623&lt;&gt;"",H623,1000000))),"NA",IF(H759&lt;N_VeryLow,Conseq_VeryLow,IF(H759&lt;N_Low,Conseq_Low,IF(H759&lt;N_Moderate,Conseq_Moderate,IF(H759&lt;N_High,Conseq_High,IF(H759&lt;N_VeryHigh,Conseq_VeryHigh,Conseq_ExtremeHigh)))))))</f>
        <v>NA</v>
      </c>
      <c r="I761" s="83"/>
      <c r="J761" s="2135" t="str">
        <f>IF(Conseq_Criteria="Hazard Distance",J760,IF(OR(AND(Regulatory_Tox&lt;&gt;"Yes",ER3_Min&gt;Toxic_Limit),AND(J679&lt;=IF(J623&lt;&gt;"",J623,1000000),J680&lt;=IF(J623&lt;&gt;"",J623,1000000))),"NA",IF(J759&lt;N_VeryLow,Conseq_VeryLow,IF(J759&lt;N_Low,Conseq_Low,IF(J759&lt;N_Moderate,Conseq_Moderate,IF(J759&lt;N_High,Conseq_High,IF(J759&lt;N_VeryHigh,Conseq_VeryHigh,Conseq_ExtremeHigh)))))))</f>
        <v>NA</v>
      </c>
      <c r="K761" s="83"/>
      <c r="L761" s="2135" t="str">
        <f>IF(Conseq_Criteria="Hazard Distance",L760,IF(OR(AND(Regulatory_Tox&lt;&gt;"Yes",ER3_Min&gt;Toxic_Limit),AND(L679&lt;=IF(L623&lt;&gt;"",L623,1000000),L680&lt;=IF(L623&lt;&gt;"",L623,1000000))),"NA",IF(L759&lt;N_VeryLow,Conseq_VeryLow,IF(L759&lt;N_Low,Conseq_Low,IF(L759&lt;N_Moderate,Conseq_Moderate,IF(L759&lt;N_High,Conseq_High,IF(L759&lt;N_VeryHigh,Conseq_VeryHigh,Conseq_ExtremeHigh)))))))</f>
        <v>NA</v>
      </c>
      <c r="M761" s="83"/>
      <c r="N761" s="2135" t="str">
        <f>IF(Conseq_Criteria="Hazard Distance",N760,IF(OR(AND(Regulatory_Tox&lt;&gt;"Yes",ER3_Min&gt;Toxic_Limit),AND(N679&lt;=IF(N623&lt;&gt;"",N623,1000000),N680&lt;=IF(N623&lt;&gt;"",N623,1000000))),"NA",IF(N759&lt;N_VeryLow,Conseq_VeryLow,IF(N759&lt;N_Low,Conseq_Low,IF(N759&lt;N_Moderate,Conseq_Moderate,IF(N759&lt;N_High,Conseq_High,IF(N759&lt;N_VeryHigh,Conseq_VeryHigh,Conseq_ExtremeHigh)))))))</f>
        <v>NA</v>
      </c>
      <c r="O761" s="83"/>
      <c r="P761" s="2135" t="str">
        <f>IF(Conseq_Criteria="Hazard Distance",P760,IF(OR(AND(Regulatory_Tox&lt;&gt;"Yes",ER3_Min&gt;Toxic_Limit),AND(P679&lt;=IF(P623&lt;&gt;"",P623,1000000),P680&lt;=IF(P623&lt;&gt;"",P623,1000000))),"NA",IF(P759&lt;N_VeryLow,Conseq_VeryLow,IF(P759&lt;N_Low,Conseq_Low,IF(P759&lt;N_Moderate,Conseq_Moderate,IF(P759&lt;N_High,Conseq_High,IF(P759&lt;N_VeryHigh,Conseq_VeryHigh,Conseq_ExtremeHigh)))))))</f>
        <v>NA</v>
      </c>
      <c r="Q761" s="83"/>
      <c r="R761" s="2135" t="str">
        <f>IF(Conseq_Criteria="Hazard Distance",R760,IF(OR(AND(Regulatory_Tox&lt;&gt;"Yes",ER3_Min&gt;Toxic_Limit),AND(R679&lt;=IF(R623&lt;&gt;"",R623,1000000),R680&lt;=IF(R623&lt;&gt;"",R623,1000000))),"NA",IF(R759&lt;N_VeryLow,Conseq_VeryLow,IF(R759&lt;N_Low,Conseq_Low,IF(R759&lt;N_Moderate,Conseq_Moderate,IF(R759&lt;N_High,Conseq_High,IF(R759&lt;N_VeryHigh,Conseq_VeryHigh,Conseq_ExtremeHigh)))))))</f>
        <v>NA</v>
      </c>
      <c r="S761" s="83"/>
      <c r="T761" s="2135" t="str">
        <f>IF(Conseq_Criteria="Hazard Distance",T760,IF(OR(AND(Regulatory_Tox&lt;&gt;"Yes",ER3_Min&gt;Toxic_Limit),AND(T679&lt;=IF(T623&lt;&gt;"",T623,1000000),T680&lt;=IF(T623&lt;&gt;"",T623,1000000))),"NA",IF(T759&lt;N_VeryLow,Conseq_VeryLow,IF(T759&lt;N_Low,Conseq_Low,IF(T759&lt;N_Moderate,Conseq_Moderate,IF(T759&lt;N_High,Conseq_High,IF(T759&lt;N_VeryHigh,Conseq_VeryHigh,Conseq_ExtremeHigh)))))))</f>
        <v>NA</v>
      </c>
      <c r="U761" s="83"/>
      <c r="V761" s="2135" t="str">
        <f>IF(Conseq_Criteria="Hazard Distance",V760,IF(OR(AND(Regulatory_Tox&lt;&gt;"Yes",ER3_Min&gt;Toxic_Limit),AND(V679&lt;=IF(V623&lt;&gt;"",V623,1000000),V680&lt;=IF(V623&lt;&gt;"",V623,1000000))),"NA",IF(V759&lt;N_VeryLow,Conseq_VeryLow,IF(V759&lt;N_Low,Conseq_Low,IF(V759&lt;N_Moderate,Conseq_Moderate,IF(V759&lt;N_High,Conseq_High,IF(V759&lt;N_VeryHigh,Conseq_VeryHigh,Conseq_ExtremeHigh)))))))</f>
        <v>NA</v>
      </c>
      <c r="W761" s="83"/>
      <c r="X761" s="2135" t="str">
        <f>IF(Conseq_Criteria="Hazard Distance",X760,IF(OR(AND(Regulatory_Tox&lt;&gt;"Yes",ER3_Min&gt;Toxic_Limit),AND(X679&lt;=IF(X623&lt;&gt;"",X623,1000000),X680&lt;=IF(X623&lt;&gt;"",X623,1000000))),"NA",IF(X759&lt;N_VeryLow,Conseq_VeryLow,IF(X759&lt;N_Low,Conseq_Low,IF(X759&lt;N_Moderate,Conseq_Moderate,IF(X759&lt;N_High,Conseq_High,IF(X759&lt;N_VeryHigh,Conseq_VeryHigh,Conseq_ExtremeHigh)))))))</f>
        <v>NA</v>
      </c>
      <c r="Y761" s="83"/>
      <c r="Z761" s="104"/>
      <c r="AA761" s="2"/>
      <c r="AB761" s="81"/>
      <c r="AC761" s="23" t="s">
        <v>3627</v>
      </c>
      <c r="AD761" s="81"/>
      <c r="AE761" s="1206">
        <f>IF(AND(AE488&gt;0,AE692&gt;0),IF(AE294="Indoors",IF(AE712&lt;=AE692,0.1,AE$582*((IF(Enclosed_Ventilation_Rate&gt;1,Enclosed_Ventilation_Rate,1)*Enclosed_Process_Volume*AE488*AE712/88020000000)*1000000*(1/AE692-1/AE712)/(AE488*Wind_Night))^AE$583),IF(OR(AE692=0,AE692&gt;=1000000),0,MAX(0,IF(AE559="Instantaneous",AE$608*((AE471/AE488)*(1000000/AE692))^AE$609-AE$610,AE$582*(AE478*(1000000/AE692)/(AE488*Wind_Night))^AE$583-AE$584)))),0.1)</f>
        <v>0.1</v>
      </c>
      <c r="AF761" s="81"/>
      <c r="AG761" s="1206">
        <f>IF(AND(AG488&gt;0,AG692&gt;0),IF(AG294="Indoors",IF(AG712&lt;=AG692,0.1,AG$582*((IF(Enclosed_Ventilation_Rate&gt;1,Enclosed_Ventilation_Rate,1)*Enclosed_Process_Volume*AG488*AG712/88020000000)*1000000*(1/AG692-1/AG712)/(AG488*Wind_Night))^AG$583),IF(OR(AG692=0,AG692&gt;=1000000),0,MAX(0,IF(AG559="Instantaneous",AG$608*((AG471/AG488)*(1000000/AG692))^AG$609-AG$610+AG498,AG$582*(AG478*(1000000/AG692)/(AG488*Wind_Night))^AG$583-AG$584+AG498)))),0.1)</f>
        <v>0.1</v>
      </c>
      <c r="AH761" s="81"/>
      <c r="AI761" s="1206">
        <f>IF(AND(AI488&gt;0,AI692&gt;0),IF(AI294="Indoors",IF(AI712&lt;=AI692,0.1,AI$582*((IF(Enclosed_Ventilation_Rate&gt;1,Enclosed_Ventilation_Rate,1)*Enclosed_Process_Volume*AI488*AI712/88020000000)*1000000*(1/AI692-1/AI712)/(AI488*Wind_Night))^AI$583),IF(OR(AI692=0,AI692&gt;=1000000),0,MAX(0,IF(AI559="Instantaneous",AI$608*((AI471/AI488)*(1000000/AI692))^AI$609-AI$610+AI498,AI$582*(AI478*(1000000/AI692)/(AI488*Wind_Night))^AI$583-AI$584+AI498)))),0.1)</f>
        <v>0.1</v>
      </c>
      <c r="AJ761" s="81"/>
      <c r="AK761" s="81"/>
      <c r="AL761" s="81"/>
      <c r="AM761" s="81"/>
      <c r="AN761" s="81"/>
      <c r="AO761" s="81"/>
      <c r="AP761" s="81"/>
      <c r="AQ761" s="85" t="s">
        <v>1068</v>
      </c>
      <c r="AR761" s="81"/>
    </row>
    <row r="762" spans="1:44" ht="15" customHeight="1" x14ac:dyDescent="0.25">
      <c r="A762" s="2"/>
      <c r="B762" s="23" t="s">
        <v>5128</v>
      </c>
      <c r="C762" s="83"/>
      <c r="D762" s="1861">
        <f>IF(OR(D630=0,D630&gt;76),0,IF(Location="Indoors",IF(2*D683&gt;LFL_Fract_FlashFIre*10000*D630,Enclosed_Process_Volume^(2/3),2*D683/(LFL_Fract_FlashFIre*10000*D630)*Enclosed_Process_Volume^(2/3)),Dispersion_D*D702^2))</f>
        <v>0</v>
      </c>
      <c r="E762" s="83"/>
      <c r="F762" s="1861">
        <f>IF(OR(F630=0,F630&gt;76),0,IF(Location="Indoors",IF(2*F683&gt;LFL_Fract_FlashFIre*10000*F630,Enclosed_Process_Volume^(2/3),2*F683/(LFL_Fract_FlashFIre*10000*F630)*Enclosed_Process_Volume^(2/3)),Dispersion_D*F702^2))</f>
        <v>0</v>
      </c>
      <c r="G762" s="83"/>
      <c r="H762" s="1861">
        <f>IF(OR(H630=0,H630&gt;76),0,IF(Location="Indoors",IF(2*H683&gt;LFL_Fract_FlashFIre*10000*H630,Enclosed_Process_Volume^(2/3),2*H683/(LFL_Fract_FlashFIre*10000*H630)*Enclosed_Process_Volume^(2/3)),Dispersion_D*H702^2))</f>
        <v>0</v>
      </c>
      <c r="I762" s="83"/>
      <c r="J762" s="1861">
        <f>IF(OR(J630=0,J630&gt;76),0,IF(Location="Indoors",IF(2*J683&gt;LFL_Fract_FlashFIre*10000*J630,Enclosed_Process_Volume^(2/3),2*J683/(LFL_Fract_FlashFIre*10000*J630)*Enclosed_Process_Volume^(2/3)),Dispersion_D*J702^2))</f>
        <v>0</v>
      </c>
      <c r="K762" s="83"/>
      <c r="L762" s="1861">
        <f>IF(OR(L630=0,L630&gt;76),0,IF(Location="Indoors",IF(2*L683&gt;LFL_Fract_FlashFIre*10000*L630,Enclosed_Process_Volume^(2/3),2*L683/(LFL_Fract_FlashFIre*10000*L630)*Enclosed_Process_Volume^(2/3)),Dispersion_D*L702^2))</f>
        <v>0</v>
      </c>
      <c r="M762" s="83"/>
      <c r="N762" s="1861">
        <f>IF(OR(N630=0,N630&gt;76),0,IF(Location="Indoors",IF(2*N683&gt;LFL_Fract_FlashFIre*10000*N630,Enclosed_Process_Volume^(2/3),2*N683/(LFL_Fract_FlashFIre*10000*N630)*Enclosed_Process_Volume^(2/3)),Dispersion_D*N702^2))</f>
        <v>0</v>
      </c>
      <c r="O762" s="83"/>
      <c r="P762" s="1861">
        <f>IF(OR(P630=0,P630&gt;76),0,IF(Location="Indoors",IF(2*P683&gt;LFL_Fract_FlashFIre*10000*P630,Enclosed_Process_Volume^(2/3),2*P683/(LFL_Fract_FlashFIre*10000*P630)*Enclosed_Process_Volume^(2/3)),Dispersion_D*P702^2))</f>
        <v>0</v>
      </c>
      <c r="Q762" s="83"/>
      <c r="R762" s="1861">
        <f>IF(OR(R630=0,R630&gt;76),0,IF(Location="Indoors",IF(2*R683&gt;LFL_Fract_FlashFIre*10000*R630,Enclosed_Process_Volume^(2/3),2*R683/(LFL_Fract_FlashFIre*10000*R630)*Enclosed_Process_Volume^(2/3)),Dispersion_D*R702^2))</f>
        <v>0</v>
      </c>
      <c r="S762" s="83"/>
      <c r="T762" s="1861">
        <f>IF(OR(T630=0,T630&gt;76),0,IF(Location="Indoors",IF(2*T683&gt;LFL_Fract_FlashFIre*10000*T630,Enclosed_Process_Volume^(2/3),2*T683/(LFL_Fract_FlashFIre*10000*T630)*Enclosed_Process_Volume^(2/3)),Dispersion_D*T702^2))</f>
        <v>0</v>
      </c>
      <c r="U762" s="83"/>
      <c r="V762" s="1861">
        <f>IF(OR(V630=0,V630&gt;76),0,IF(Location="Indoors",IF(2*V683&gt;LFL_Fract_FlashFIre*10000*V630,Enclosed_Process_Volume^(2/3),2*V683/(LFL_Fract_FlashFIre*10000*V630)*Enclosed_Process_Volume^(2/3)),Dispersion_D*V702^2))</f>
        <v>0</v>
      </c>
      <c r="W762" s="83"/>
      <c r="X762" s="1861">
        <f>IF(OR(X630=0,X630&gt;76),0,IF(Location="Indoors",IF(2*X683&gt;LFL_Fract_FlashFIre*10000*X630,Enclosed_Process_Volume^(2/3),2*X683/(LFL_Fract_FlashFIre*10000*X630)*Enclosed_Process_Volume^(2/3)),Dispersion_D*X702^2))</f>
        <v>0</v>
      </c>
      <c r="Y762" s="83"/>
      <c r="Z762" s="92" t="s">
        <v>3804</v>
      </c>
      <c r="AA762" s="2"/>
      <c r="AB762" s="81"/>
      <c r="AC762" s="23" t="s">
        <v>3630</v>
      </c>
      <c r="AD762" s="81"/>
      <c r="AE762" s="1206">
        <f>IF(AE559="Instantaneous",Dispersion_R,Dispersion_M)*(MAX(AE761,(AE499-MIN(AE499,WorkArea_Elevation))*Dispersion_N^0.5,Public)^2-MAX((AE499-MIN(AE499,WorkArea_Elevation))*Dispersion_N^0.5,Public)^2)</f>
        <v>3.0000000000000005E-3</v>
      </c>
      <c r="AF762" s="81"/>
      <c r="AG762" s="1206">
        <f>IF(AG559="Instantaneous",Dispersion_R,Dispersion_M)*(MAX(AG761,(AG499-MIN(AG499,WorkArea_Elevation))*Dispersion_N^0.5,Public)^2-MAX((AG499-MIN(AG499,WorkArea_Elevation))*Dispersion_N^0.5,Public)^2)</f>
        <v>3.0000000000000005E-3</v>
      </c>
      <c r="AH762" s="81"/>
      <c r="AI762" s="1206">
        <f>IF(AI559="Instantaneous",Dispersion_R,Dispersion_M)*(MAX(AI761,(AI499-MIN(AI499,WorkArea_Elevation))*Dispersion_N^0.5,Public)^2-MAX((AI499-MIN(AI499,WorkArea_Elevation))*Dispersion_N^0.5,Public)^2)</f>
        <v>3.0000000000000005E-3</v>
      </c>
      <c r="AJ762" s="81"/>
      <c r="AK762" s="81"/>
      <c r="AL762" s="81"/>
      <c r="AM762" s="81"/>
      <c r="AN762" s="81"/>
      <c r="AO762" s="81"/>
      <c r="AP762" s="81"/>
      <c r="AQ762" s="85" t="s">
        <v>3804</v>
      </c>
      <c r="AR762" s="81"/>
    </row>
    <row r="763" spans="1:44" ht="15" customHeight="1" x14ac:dyDescent="0.25">
      <c r="A763" s="2"/>
      <c r="B763" s="23" t="s">
        <v>611</v>
      </c>
      <c r="C763" s="83"/>
      <c r="D763" s="1207">
        <f>IF(AND(Enclosed_Process_Volume&gt;0,Location="Indoors"),IF(D690="Yes",Op_Indoors,Op_Indoors*D762/Enclosed_Process_Volume^(2/3)),D762*Onsite_PD/1000000)+IF(AND(D$292="Yes",D690="No",D702&gt;HD_Severe_Impact),0.9,0)</f>
        <v>0</v>
      </c>
      <c r="E763" s="83"/>
      <c r="F763" s="1207">
        <f>IF(AND(Enclosed_Process_Volume&gt;0,Location="Indoors"),IF(F690="Yes",Op_Indoors,Op_Indoors*F762/Enclosed_Process_Volume^(2/3)),F762*Onsite_PD/1000000)+IF(AND(F$292="Yes",F690="No",F702&gt;HD_Severe_Impact),0.9,0)</f>
        <v>0</v>
      </c>
      <c r="G763" s="83"/>
      <c r="H763" s="1207">
        <f>IF(AND(Enclosed_Process_Volume&gt;0,Location="Indoors"),IF(H690="Yes",Op_Indoors,Op_Indoors*H762/Enclosed_Process_Volume^(2/3)),H762*Onsite_PD/1000000)+IF(AND(H$292="Yes",H690="No",H702&gt;HD_Severe_Impact),0.9,0)</f>
        <v>0</v>
      </c>
      <c r="I763" s="83"/>
      <c r="J763" s="1207">
        <f>IF(AND(Enclosed_Process_Volume&gt;0,Location="Indoors"),IF(J690="Yes",Op_Indoors,Op_Indoors*J762/Enclosed_Process_Volume^(2/3)),J762*Onsite_PD/1000000)+IF(AND(J$292="Yes",J690="No",J702&gt;HD_Severe_Impact),0.9,0)</f>
        <v>0</v>
      </c>
      <c r="K763" s="83"/>
      <c r="L763" s="1207">
        <f>IF(AND(Enclosed_Process_Volume&gt;0,Location="Indoors"),IF(L690="Yes",Op_Indoors,Op_Indoors*L762/Enclosed_Process_Volume^(2/3)),L762*Onsite_PD/1000000)+IF(AND(L$292="Yes",L690="No",L702&gt;HD_Severe_Impact),0.9,0)</f>
        <v>0</v>
      </c>
      <c r="M763" s="83"/>
      <c r="N763" s="1207">
        <f>IF(AND(Enclosed_Process_Volume&gt;0,Location="Indoors"),IF(N690="Yes",Op_Indoors,Op_Indoors*N762/Enclosed_Process_Volume^(2/3)),N762*Onsite_PD/1000000)+IF(AND(N$292="Yes",N690="No",N702&gt;HD_Severe_Impact),0.9,0)</f>
        <v>0</v>
      </c>
      <c r="O763" s="83"/>
      <c r="P763" s="1207">
        <f>IF(AND(Enclosed_Process_Volume&gt;0,Location="Indoors"),IF(P690="Yes",Op_Indoors,Op_Indoors*P762/Enclosed_Process_Volume^(2/3)),P762*Onsite_PD/1000000)+IF(AND(P$292="Yes",P690="No",P702&gt;HD_Severe_Impact),0.9,0)</f>
        <v>0</v>
      </c>
      <c r="Q763" s="83"/>
      <c r="R763" s="1207">
        <f>IF(AND(Enclosed_Process_Volume&gt;0,Location="Indoors"),IF(R690="Yes",Op_Indoors,Op_Indoors*R762/Enclosed_Process_Volume^(2/3)),R762*Onsite_PD/1000000)+IF(AND(R$292="Yes",R690="No",R702&gt;HD_Severe_Impact),0.9,0)</f>
        <v>0</v>
      </c>
      <c r="S763" s="83"/>
      <c r="T763" s="1207">
        <f>IF(AND(Enclosed_Process_Volume&gt;0,Location="Indoors"),IF(T690="Yes",Op_Indoors,Op_Indoors*T762/Enclosed_Process_Volume^(2/3)),T762*Onsite_PD/1000000)+IF(AND(T$292="Yes",T690="No",T702&gt;HD_Severe_Impact),0.9,0)</f>
        <v>0</v>
      </c>
      <c r="U763" s="83"/>
      <c r="V763" s="1207">
        <f>IF(AND(Enclosed_Process_Volume&gt;0,Location="Indoors"),IF(V690="Yes",Op_Indoors,Op_Indoors*V762/Enclosed_Process_Volume^(2/3)),V762*Onsite_PD/1000000)+IF(AND(V$292="Yes",V690="No",V702&gt;HD_Severe_Impact),0.9,0)</f>
        <v>0</v>
      </c>
      <c r="W763" s="83"/>
      <c r="X763" s="1207">
        <f>IF(AND(Enclosed_Process_Volume&gt;0,Location="Indoors"),IF(X690="Yes",Op_Indoors,Op_Indoors*X762/Enclosed_Process_Volume^(2/3)),X762*Onsite_PD/1000000)+IF(AND(X$292="Yes",X690="No",X702&gt;HD_Severe_Impact),0.9,0)</f>
        <v>0</v>
      </c>
      <c r="Y763" s="83"/>
      <c r="Z763" s="23"/>
      <c r="AA763" s="2"/>
      <c r="AB763" s="81"/>
      <c r="AC763" s="23" t="s">
        <v>3631</v>
      </c>
      <c r="AD763" s="81"/>
      <c r="AE763" s="1206">
        <f>IF(OR(AE$691=0,AE$685=""),0,IF(AE761&gt;Zone_1,IF(AE559="Instantaneous",Dispersion_R,Dispersion_M)*(MAX(Public,(AE499-MIN(AE499,WorkArea_Elevation))*Dispersion_N^0.5,Zone_1)^2-MAX(Public,(AE499-MIN(AE499,WorkArea_Elevation))*Dispersion_N^0.5,AE761)^2),IF(AE559="Instantaneous",Dispersion_R,Dispersion_M)*AE$685^(2*IF(AE559="Instantaneous",AE$609,AE$583))*AE$701^2*(EXP(AE$690+AE$691*MAX(Public,(AE499-MIN(AE499,WorkArea_Elevation))*Dispersion_N^0.5,Zone_1)^2/(AE$685^(2*IF(AE559="Instantaneous",AE$609,AE$583))*AE$701^2))-EXP(AE$690+AE$691*MAX(Public,(AE499-MIN(AE499,WorkArea_Elevation))*Dispersion_N^0.5,AE761)^2/(AE$685^(2*IF(AE559="Instantaneous",AE$609,AE$583))*AE$701^2)))/AE$691))</f>
        <v>0</v>
      </c>
      <c r="AF763" s="81"/>
      <c r="AG763" s="1206">
        <f>IF(OR(AG$691=0,AG$685=""),0,IF(AG761&gt;Zone_1,IF(AG559="Instantaneous",Dispersion_R,Dispersion_M)*(MAX(Public,(AG499-MIN(AG499,WorkArea_Elevation))*Dispersion_N^0.5,Zone_1)^2-MAX(Public,(AG499-MIN(AG499,WorkArea_Elevation))*Dispersion_N^0.5,AG761)^2),IF(AG559="Instantaneous",Dispersion_R,Dispersion_M)*AG$685^(2*IF(AG559="Instantaneous",AG$609,AG$583))*AG$701^2*(EXP(AG$690+AG$691*MAX(Public,(AG499-MIN(AG499,WorkArea_Elevation))*Dispersion_N^0.5,Zone_1)^2/(AG$685^(2*IF(AG559="Instantaneous",AG$609,AG$583))*AG$701^2))-EXP(AG$690+AG$691*MAX(Public,(AG499-MIN(AG499,WorkArea_Elevation))*Dispersion_N^0.5,AG761)^2/(AG$685^(2*IF(AG559="Instantaneous",AG$609,AG$583))*AG$701^2)))/AG$691))</f>
        <v>0</v>
      </c>
      <c r="AH763" s="81"/>
      <c r="AI763" s="1206">
        <f>IF(OR(AI$691=0,AI$685=""),0,IF(AI761&gt;Zone_1,IF(AI559="Instantaneous",Dispersion_R,Dispersion_M)*(MAX(Public,(AI499-MIN(AI499,WorkArea_Elevation))*Dispersion_N^0.5,Zone_1)^2-MAX(Public,(AI499-MIN(AI499,WorkArea_Elevation))*Dispersion_N^0.5,AI761)^2),IF(AI559="Instantaneous",Dispersion_R,Dispersion_M)*AI$685^(2*IF(AI559="Instantaneous",AI$609,AI$583))*AI$701^2*(EXP(AI$690+AI$691*MAX(Public,(AI499-MIN(AI499,WorkArea_Elevation))*Dispersion_N^0.5,Zone_1)^2/(AI$685^(2*IF(AI559="Instantaneous",AI$609,AI$583))*AI$701^2))-EXP(AI$690+AI$691*MAX(Public,(AI499-MIN(AI499,WorkArea_Elevation))*Dispersion_N^0.5,AI761)^2/(AI$685^(2*IF(AI559="Instantaneous",AI$609,AI$583))*AI$701^2)))/AI$691))</f>
        <v>0</v>
      </c>
      <c r="AJ763" s="81"/>
      <c r="AK763" s="81"/>
      <c r="AL763" s="81"/>
      <c r="AM763" s="81"/>
      <c r="AN763" s="81"/>
      <c r="AO763" s="81"/>
      <c r="AP763" s="81"/>
      <c r="AQ763" s="85" t="s">
        <v>3804</v>
      </c>
      <c r="AR763" s="81"/>
    </row>
    <row r="764" spans="1:44" ht="15" customHeight="1" x14ac:dyDescent="0.25">
      <c r="A764" s="2"/>
      <c r="B764" s="85" t="s">
        <v>1794</v>
      </c>
      <c r="C764" s="83"/>
      <c r="D764" s="1208">
        <v>0</v>
      </c>
      <c r="E764" s="83"/>
      <c r="F764" s="1208">
        <v>0</v>
      </c>
      <c r="G764" s="83"/>
      <c r="H764" s="1208">
        <v>0</v>
      </c>
      <c r="I764" s="83"/>
      <c r="J764" s="1208">
        <v>0</v>
      </c>
      <c r="K764" s="83"/>
      <c r="L764" s="1208">
        <v>0</v>
      </c>
      <c r="M764" s="83"/>
      <c r="N764" s="1208">
        <v>0</v>
      </c>
      <c r="O764" s="83"/>
      <c r="P764" s="1208">
        <v>0</v>
      </c>
      <c r="Q764" s="83"/>
      <c r="R764" s="1208">
        <v>0</v>
      </c>
      <c r="S764" s="83"/>
      <c r="T764" s="1208">
        <v>0</v>
      </c>
      <c r="U764" s="83"/>
      <c r="V764" s="1208">
        <v>0</v>
      </c>
      <c r="W764" s="83"/>
      <c r="X764" s="1208">
        <v>0</v>
      </c>
      <c r="Y764" s="83"/>
      <c r="Z764" s="23"/>
      <c r="AA764" s="2"/>
      <c r="AB764" s="81"/>
      <c r="AC764" s="23" t="s">
        <v>3632</v>
      </c>
      <c r="AD764" s="81"/>
      <c r="AE764" s="1206">
        <f>IF(Zone_1&lt;Public,IF(AE559="Instantaneous",Dispersion_R,Dispersion_M)*(MAX(AE761,(AE499-MIN(AE499,WorkArea_Elevation))*Dispersion_N^0.5,Public)^2-MAX((AE499-MIN(AE499,WorkArea_Elevation))*Dispersion_N^0.5,Public)^2),IF(AE559="Instantaneous",Dispersion_R,Dispersion_M)*(MAX(AE761,Zone_1)^2-Zone_1^2))</f>
        <v>3.0000000000000005E-3</v>
      </c>
      <c r="AF764" s="81"/>
      <c r="AG764" s="1206">
        <f>IF(Zone_1&lt;Public,IF(AG559="Instantaneous",Dispersion_R,Dispersion_M)*(MAX(AG761,(AG499-MIN(AG499,WorkArea_Elevation))*Dispersion_N^0.5,Public)^2-MAX((AG499-MIN(AG499,WorkArea_Elevation))*Dispersion_N^0.5,Public)^2),IF(AG559="Instantaneous",Dispersion_R,Dispersion_M)*(MAX(AG761,Zone_1)^2-Zone_1^2))</f>
        <v>3.0000000000000005E-3</v>
      </c>
      <c r="AH764" s="81"/>
      <c r="AI764" s="1206">
        <f>IF(Zone_1&lt;Public,IF(AI559="Instantaneous",Dispersion_R,Dispersion_M)*(MAX(AI761,(AI499-MIN(AI499,WorkArea_Elevation))*Dispersion_N^0.5,Public)^2-MAX((AI499-MIN(AI499,WorkArea_Elevation))*Dispersion_N^0.5,Public)^2),IF(AI559="Instantaneous",Dispersion_R,Dispersion_M)*(MAX(AI761,Zone_1)^2-Zone_1^2))</f>
        <v>3.0000000000000005E-3</v>
      </c>
      <c r="AJ764" s="81"/>
      <c r="AK764" s="81"/>
      <c r="AL764" s="81"/>
      <c r="AM764" s="81"/>
      <c r="AN764" s="81"/>
      <c r="AO764" s="81"/>
      <c r="AP764" s="81"/>
      <c r="AQ764" s="85" t="s">
        <v>3804</v>
      </c>
      <c r="AR764" s="81"/>
    </row>
    <row r="765" spans="1:44" ht="15" customHeight="1" thickBot="1" x14ac:dyDescent="0.3">
      <c r="A765" s="2"/>
      <c r="B765" s="25" t="s">
        <v>4792</v>
      </c>
      <c r="C765" s="83"/>
      <c r="D765" s="1208" t="str">
        <f>IF(OR(Flash_Pt_Feed="",D630="",AND(Location="Outdoors",D702&lt;HD_Screening_Limit)),"NA",IF(Location="Indoors",IF(AND(Ease_of_Ignition_Feed&lt;&gt;"High",D$292&lt;&gt;"Yes",0.0001*D683/D630&lt;HD_VeryLow_IndoorFF),Conseq_VeryLow,IF(0.0001*D683/D630&lt;HD_Low_IndoorFF,Conseq_Low,IF(0.0001*D683/D630&lt;HD_Moderate_IndoorFF,Conseq_Moderate,Conseq_High))),IF(AND(Ease_of_Ignition_Feed&lt;&gt;"High",D$292&lt;&gt;"Yes",D702&lt;HD_VeryLow_FF),Conseq_VeryLow,IF(D702&lt;HD_Low_FF,Conseq_Low,IF(D702&lt;HD_Moderate_FF,Conseq_Moderate,IF(D702&lt;HD_High_FF,Conseq_High,IF(D702&lt;HD_VeryHigh_FF,Conseq_VeryHigh,Conseq_ExtremeHigh)))))))</f>
        <v>NA</v>
      </c>
      <c r="E765" s="83"/>
      <c r="F765" s="1208" t="str">
        <f>IF(OR(Flash_Pt_Feed="",F630="",AND(Location="Outdoors",F702&lt;HD_Screening_Limit)),"NA",IF(Location="Indoors",IF(AND(Ease_of_Ignition_Feed&lt;&gt;"High",F$292&lt;&gt;"Yes",0.0001*F683/F630&lt;HD_VeryLow_IndoorFF),Conseq_VeryLow,IF(0.0001*F683/F630&lt;HD_Low_IndoorFF,Conseq_Low,IF(0.0001*F683/F630&lt;HD_Moderate_IndoorFF,Conseq_Moderate,Conseq_High))),IF(AND(Ease_of_Ignition_Feed&lt;&gt;"High",F$292&lt;&gt;"Yes",F702&lt;HD_VeryLow_FF),Conseq_VeryLow,IF(F702&lt;HD_Low_FF,Conseq_Low,IF(F702&lt;HD_Moderate_FF,Conseq_Moderate,IF(F702&lt;HD_High_FF,Conseq_High,IF(F702&lt;HD_VeryHigh_FF,Conseq_VeryHigh,Conseq_ExtremeHigh)))))))</f>
        <v>NA</v>
      </c>
      <c r="G765" s="83"/>
      <c r="H765" s="1208" t="str">
        <f>IF(OR(Flash_Pt_Feed="",H630="",AND(Location="Outdoors",H702&lt;HD_Screening_Limit)),"NA",IF(Location="Indoors",IF(AND(Ease_of_Ignition_Feed&lt;&gt;"High",H$292&lt;&gt;"Yes",0.0001*H683/H630&lt;HD_VeryLow_IndoorFF),Conseq_VeryLow,IF(0.0001*H683/H630&lt;HD_Low_IndoorFF,Conseq_Low,IF(0.0001*H683/H630&lt;HD_Moderate_IndoorFF,Conseq_Moderate,Conseq_High))),IF(AND(Ease_of_Ignition_Feed&lt;&gt;"High",H$292&lt;&gt;"Yes",H702&lt;HD_VeryLow_FF),Conseq_VeryLow,IF(H702&lt;HD_Low_FF,Conseq_Low,IF(H702&lt;HD_Moderate_FF,Conseq_Moderate,IF(H702&lt;HD_High_FF,Conseq_High,IF(H702&lt;HD_VeryHigh_FF,Conseq_VeryHigh,Conseq_ExtremeHigh)))))))</f>
        <v>NA</v>
      </c>
      <c r="I765" s="83"/>
      <c r="J765" s="1208" t="str">
        <f>IF(OR(Flash_Pt_Feed="",J630="",AND(Location="Outdoors",J702&lt;HD_Screening_Limit)),"NA",IF(Location="Indoors",IF(AND(Ease_of_Ignition_Feed&lt;&gt;"High",J$292&lt;&gt;"Yes",0.0001*J683/J630&lt;HD_VeryLow_IndoorFF),Conseq_VeryLow,IF(0.0001*J683/J630&lt;HD_Low_IndoorFF,Conseq_Low,IF(0.0001*J683/J630&lt;HD_Moderate_IndoorFF,Conseq_Moderate,Conseq_High))),IF(AND(Ease_of_Ignition_Feed&lt;&gt;"High",J$292&lt;&gt;"Yes",J702&lt;HD_VeryLow_FF),Conseq_VeryLow,IF(J702&lt;HD_Low_FF,Conseq_Low,IF(J702&lt;HD_Moderate_FF,Conseq_Moderate,IF(J702&lt;HD_High_FF,Conseq_High,IF(J702&lt;HD_VeryHigh_FF,Conseq_VeryHigh,Conseq_ExtremeHigh)))))))</f>
        <v>NA</v>
      </c>
      <c r="K765" s="83"/>
      <c r="L765" s="1208" t="str">
        <f>IF(OR(Flash_Pt_Feed="",L630="",AND(Location="Outdoors",L702&lt;HD_Screening_Limit)),"NA",IF(Location="Indoors",IF(AND(Ease_of_Ignition_Feed&lt;&gt;"High",L$292&lt;&gt;"Yes",0.0001*L683/L630&lt;HD_VeryLow_IndoorFF),Conseq_VeryLow,IF(0.0001*L683/L630&lt;HD_Low_IndoorFF,Conseq_Low,IF(0.0001*L683/L630&lt;HD_Moderate_IndoorFF,Conseq_Moderate,Conseq_High))),IF(AND(Ease_of_Ignition_Feed&lt;&gt;"High",L$292&lt;&gt;"Yes",L702&lt;HD_VeryLow_FF),Conseq_VeryLow,IF(L702&lt;HD_Low_FF,Conseq_Low,IF(L702&lt;HD_Moderate_FF,Conseq_Moderate,IF(L702&lt;HD_High_FF,Conseq_High,IF(L702&lt;HD_VeryHigh_FF,Conseq_VeryHigh,Conseq_ExtremeHigh)))))))</f>
        <v>NA</v>
      </c>
      <c r="M765" s="83"/>
      <c r="N765" s="1208" t="str">
        <f>IF(OR(Flash_Pt_Feed="",N630="",AND(Location="Outdoors",N702&lt;HD_Screening_Limit)),"NA",IF(Location="Indoors",IF(AND(Ease_of_Ignition_Feed&lt;&gt;"High",N$292&lt;&gt;"Yes",0.0001*N683/N630&lt;HD_VeryLow_IndoorFF),Conseq_VeryLow,IF(0.0001*N683/N630&lt;HD_Low_IndoorFF,Conseq_Low,IF(0.0001*N683/N630&lt;HD_Moderate_IndoorFF,Conseq_Moderate,Conseq_High))),IF(AND(Ease_of_Ignition_Feed&lt;&gt;"High",N$292&lt;&gt;"Yes",N702&lt;HD_VeryLow_FF),Conseq_VeryLow,IF(N702&lt;HD_Low_FF,Conseq_Low,IF(N702&lt;HD_Moderate_FF,Conseq_Moderate,IF(N702&lt;HD_High_FF,Conseq_High,IF(N702&lt;HD_VeryHigh_FF,Conseq_VeryHigh,Conseq_ExtremeHigh)))))))</f>
        <v>NA</v>
      </c>
      <c r="O765" s="83"/>
      <c r="P765" s="1208" t="str">
        <f>IF(OR(Flash_Pt_Feed="",P630="",AND(Location="Outdoors",P702&lt;HD_Screening_Limit)),"NA",IF(Location="Indoors",IF(AND(Ease_of_Ignition_Feed&lt;&gt;"High",P$292&lt;&gt;"Yes",0.0001*P683/P630&lt;HD_VeryLow_IndoorFF),Conseq_VeryLow,IF(0.0001*P683/P630&lt;HD_Low_IndoorFF,Conseq_Low,IF(0.0001*P683/P630&lt;HD_Moderate_IndoorFF,Conseq_Moderate,Conseq_High))),IF(AND(Ease_of_Ignition_Feed&lt;&gt;"High",P$292&lt;&gt;"Yes",P702&lt;HD_VeryLow_FF),Conseq_VeryLow,IF(P702&lt;HD_Low_FF,Conseq_Low,IF(P702&lt;HD_Moderate_FF,Conseq_Moderate,IF(P702&lt;HD_High_FF,Conseq_High,IF(P702&lt;HD_VeryHigh_FF,Conseq_VeryHigh,Conseq_ExtremeHigh)))))))</f>
        <v>NA</v>
      </c>
      <c r="Q765" s="83"/>
      <c r="R765" s="1208" t="str">
        <f>IF(OR(Flash_Pt_Feed="",R630="",AND(Location="Outdoors",R702&lt;HD_Screening_Limit)),"NA",IF(Location="Indoors",IF(AND(Ease_of_Ignition_Feed&lt;&gt;"High",R$292&lt;&gt;"Yes",0.0001*R683/R630&lt;HD_VeryLow_IndoorFF),Conseq_VeryLow,IF(0.0001*R683/R630&lt;HD_Low_IndoorFF,Conseq_Low,IF(0.0001*R683/R630&lt;HD_Moderate_IndoorFF,Conseq_Moderate,Conseq_High))),IF(AND(Ease_of_Ignition_Feed&lt;&gt;"High",R$292&lt;&gt;"Yes",R702&lt;HD_VeryLow_FF),Conseq_VeryLow,IF(R702&lt;HD_Low_FF,Conseq_Low,IF(R702&lt;HD_Moderate_FF,Conseq_Moderate,IF(R702&lt;HD_High_FF,Conseq_High,IF(R702&lt;HD_VeryHigh_FF,Conseq_VeryHigh,Conseq_ExtremeHigh)))))))</f>
        <v>NA</v>
      </c>
      <c r="S765" s="83"/>
      <c r="T765" s="1208" t="str">
        <f>IF(OR(Flash_Pt_Feed="",T630="",AND(Location="Outdoors",T702&lt;HD_Screening_Limit)),"NA",IF(Location="Indoors",IF(AND(Ease_of_Ignition_Feed&lt;&gt;"High",T$292&lt;&gt;"Yes",0.0001*T683/T630&lt;HD_VeryLow_IndoorFF),Conseq_VeryLow,IF(0.0001*T683/T630&lt;HD_Low_IndoorFF,Conseq_Low,IF(0.0001*T683/T630&lt;HD_Moderate_IndoorFF,Conseq_Moderate,Conseq_High))),IF(AND(Ease_of_Ignition_Feed&lt;&gt;"High",T$292&lt;&gt;"Yes",T702&lt;HD_VeryLow_FF),Conseq_VeryLow,IF(T702&lt;HD_Low_FF,Conseq_Low,IF(T702&lt;HD_Moderate_FF,Conseq_Moderate,IF(T702&lt;HD_High_FF,Conseq_High,IF(T702&lt;HD_VeryHigh_FF,Conseq_VeryHigh,Conseq_ExtremeHigh)))))))</f>
        <v>NA</v>
      </c>
      <c r="U765" s="83"/>
      <c r="V765" s="1208" t="str">
        <f>IF(OR(Flash_Pt_Feed="",V630="",AND(Location="Outdoors",V702&lt;HD_Screening_Limit)),"NA",IF(Location="Indoors",IF(AND(Ease_of_Ignition_Feed&lt;&gt;"High",V$292&lt;&gt;"Yes",0.0001*V683/V630&lt;HD_VeryLow_IndoorFF),Conseq_VeryLow,IF(0.0001*V683/V630&lt;HD_Low_IndoorFF,Conseq_Low,IF(0.0001*V683/V630&lt;HD_Moderate_IndoorFF,Conseq_Moderate,Conseq_High))),IF(AND(Ease_of_Ignition_Feed&lt;&gt;"High",V$292&lt;&gt;"Yes",V702&lt;HD_VeryLow_FF),Conseq_VeryLow,IF(V702&lt;HD_Low_FF,Conseq_Low,IF(V702&lt;HD_Moderate_FF,Conseq_Moderate,IF(V702&lt;HD_High_FF,Conseq_High,IF(V702&lt;HD_VeryHigh_FF,Conseq_VeryHigh,Conseq_ExtremeHigh)))))))</f>
        <v>NA</v>
      </c>
      <c r="W765" s="83"/>
      <c r="X765" s="1208" t="str">
        <f>IF(OR(Flash_Pt_Feed="",X630="",AND(Location="Outdoors",X702&lt;HD_Screening_Limit)),"NA",IF(Location="Indoors",IF(AND(Ease_of_Ignition_Feed&lt;&gt;"High",X$292&lt;&gt;"Yes",0.0001*X683/X630&lt;HD_VeryLow_IndoorFF),Conseq_VeryLow,IF(0.0001*X683/X630&lt;HD_Low_IndoorFF,Conseq_Low,IF(0.0001*X683/X630&lt;HD_Moderate_IndoorFF,Conseq_Moderate,Conseq_High))),IF(AND(Ease_of_Ignition_Feed&lt;&gt;"High",X$292&lt;&gt;"Yes",X702&lt;HD_VeryLow_FF),Conseq_VeryLow,IF(X702&lt;HD_Low_FF,Conseq_Low,IF(X702&lt;HD_Moderate_FF,Conseq_Moderate,IF(X702&lt;HD_High_FF,Conseq_High,IF(X702&lt;HD_VeryHigh_FF,Conseq_VeryHigh,Conseq_ExtremeHigh)))))))</f>
        <v>NA</v>
      </c>
      <c r="Y765" s="83"/>
      <c r="Z765" s="23"/>
      <c r="AA765" s="2"/>
      <c r="AB765" s="81"/>
      <c r="AC765" s="23" t="s">
        <v>3633</v>
      </c>
      <c r="AD765" s="81"/>
      <c r="AE765" s="1206">
        <f>IF(OR(AE$691=0,AE$685=""),0,IF(Zone_1&lt;MAX((AE499-MIN(AE499,WorkArea_Elevation))*Dispersion_N^0.5,Public),IF(AE559="Instantaneous",Dispersion_R,Dispersion_M)*AE$685^(2*IF(AE559="Instantaneous",AE$609,AE$583))*AE$701^2*(0-EXP(AE$690+AE$691*MAX(AE761,(AE499-MIN(AE499,WorkArea_Elevation))*Dispersion_N^0.5,Public)^2/(AE$685^(2*IF(AE559="Instantaneous",AE$609,AE$583))*AE$701^2)))/AE$691,IF(AE559="Instantaneous",Dispersion_R,Dispersion_M)*AE$685^(2*IF(AE559="Instantaneous",AE$609,AE$583))*AE$701^2*(0-EXP(AE$690+AE$691*MAX(AE761,Zone_1)^2/(AE$685^(2*IF(AE559="Instantaneous",AE$609,AE$583))*AE$701^2)))/AE$691))</f>
        <v>0</v>
      </c>
      <c r="AF765" s="81"/>
      <c r="AG765" s="1206">
        <f>IF(OR(AG$691=0,AG$685=""),0,IF(Zone_1&lt;MAX((AG499-MIN(AG499,WorkArea_Elevation))*Dispersion_N^0.5,Public),IF(AG559="Instantaneous",Dispersion_R,Dispersion_M)*AG$685^(2*IF(AG559="Instantaneous",AG$609,AG$583))*AG$701^2*(0-EXP(AG$690+AG$691*MAX(AG761,(AG499-MIN(AG499,WorkArea_Elevation))*Dispersion_N^0.5,Public)^2/(AG$685^(2*IF(AG559="Instantaneous",AG$609,AG$583))*AG$701^2)))/AG$691,IF(AG559="Instantaneous",Dispersion_R,Dispersion_M)*AG$685^(2*IF(AG559="Instantaneous",AG$609,AG$583))*AG$701^2*(0-EXP(AG$690+AG$691*MAX(AG761,Zone_1)^2/(AG$685^(2*IF(AG559="Instantaneous",AG$609,AG$583))*AG$701^2)))/AG$691))</f>
        <v>0</v>
      </c>
      <c r="AH765" s="81"/>
      <c r="AI765" s="1206">
        <f>IF(OR(AI$691=0,AI$685=""),0,IF(Zone_1&lt;MAX((AI499-MIN(AI499,WorkArea_Elevation))*Dispersion_N^0.5,Public),IF(AI559="Instantaneous",Dispersion_R,Dispersion_M)*AI$685^(2*IF(AI559="Instantaneous",AI$609,AI$583))*AI$701^2*(0-EXP(AI$690+AI$691*MAX(AI761,(AI499-MIN(AI499,WorkArea_Elevation))*Dispersion_N^0.5,Public)^2/(AI$685^(2*IF(AI559="Instantaneous",AI$609,AI$583))*AI$701^2)))/AI$691,IF(AI559="Instantaneous",Dispersion_R,Dispersion_M)*AI$685^(2*IF(AI559="Instantaneous",AI$609,AI$583))*AI$701^2*(0-EXP(AI$690+AI$691*MAX(AI761,Zone_1)^2/(AI$685^(2*IF(AI559="Instantaneous",AI$609,AI$583))*AI$701^2)))/AI$691))</f>
        <v>0</v>
      </c>
      <c r="AJ765" s="81"/>
      <c r="AK765" s="81"/>
      <c r="AL765" s="81"/>
      <c r="AM765" s="81"/>
      <c r="AN765" s="81"/>
      <c r="AO765" s="81"/>
      <c r="AP765" s="81"/>
      <c r="AQ765" s="85" t="s">
        <v>3804</v>
      </c>
      <c r="AR765" s="81"/>
    </row>
    <row r="766" spans="1:44" ht="15" customHeight="1" thickBot="1" x14ac:dyDescent="0.3">
      <c r="A766" s="2"/>
      <c r="B766" s="25" t="s">
        <v>4228</v>
      </c>
      <c r="C766" s="83"/>
      <c r="D766" s="2135" t="str">
        <f>IF(Conseq_Criteria="Hazard Distance",D765,IF(OR(D763&lt;N_Screening,AND(Location="Outdoors",D702&lt;HD_Screening_Limit)),"NA",IF(OR(AND(Location="Indoors",D763&lt;N_Low),AND(Location="Outdoors",D702&lt;HD_Severe_Impact)),Conseq_Low,IF(D763&lt;N_Moderate,Conseq_Moderate,IF(D763&lt;N_High,Conseq_High,IF(D763&lt;N_VeryHigh,Conseq_VeryHigh,Conseq_ExtremeHigh))))))</f>
        <v>NA</v>
      </c>
      <c r="E766" s="83"/>
      <c r="F766" s="2135" t="str">
        <f>IF(Conseq_Criteria="Hazard Distance",F765,IF(OR(F763&lt;N_Screening,AND(Location="Outdoors",F702&lt;HD_Screening_Limit)),"NA",IF(OR(AND(Location="Indoors",F763&lt;N_Low),AND(Location="Outdoors",F702&lt;HD_Severe_Impact)),Conseq_Low,IF(F763&lt;N_Moderate,Conseq_Moderate,IF(F763&lt;N_High,Conseq_High,IF(F763&lt;N_VeryHigh,Conseq_VeryHigh,Conseq_ExtremeHigh))))))</f>
        <v>NA</v>
      </c>
      <c r="G766" s="83"/>
      <c r="H766" s="2135" t="str">
        <f>IF(Conseq_Criteria="Hazard Distance",H765,IF(OR(H763&lt;N_Screening,AND(Location="Outdoors",H702&lt;HD_Screening_Limit)),"NA",IF(OR(AND(Location="Indoors",H763&lt;N_Low),AND(Location="Outdoors",H702&lt;HD_Severe_Impact)),Conseq_Low,IF(H763&lt;N_Moderate,Conseq_Moderate,IF(H763&lt;N_High,Conseq_High,IF(H763&lt;N_VeryHigh,Conseq_VeryHigh,Conseq_ExtremeHigh))))))</f>
        <v>NA</v>
      </c>
      <c r="I766" s="83"/>
      <c r="J766" s="2135" t="str">
        <f>IF(Conseq_Criteria="Hazard Distance",J765,IF(OR(J763&lt;N_Screening,AND(Location="Outdoors",J702&lt;HD_Screening_Limit)),"NA",IF(OR(AND(Location="Indoors",J763&lt;N_Low),AND(Location="Outdoors",J702&lt;HD_Severe_Impact)),Conseq_Low,IF(J763&lt;N_Moderate,Conseq_Moderate,IF(J763&lt;N_High,Conseq_High,IF(J763&lt;N_VeryHigh,Conseq_VeryHigh,Conseq_ExtremeHigh))))))</f>
        <v>NA</v>
      </c>
      <c r="K766" s="83"/>
      <c r="L766" s="2135" t="str">
        <f>IF(Conseq_Criteria="Hazard Distance",L765,IF(OR(L763&lt;N_Screening,AND(Location="Outdoors",L702&lt;HD_Screening_Limit)),"NA",IF(OR(AND(Location="Indoors",L763&lt;N_Low),AND(Location="Outdoors",L702&lt;HD_Severe_Impact)),Conseq_Low,IF(L763&lt;N_Moderate,Conseq_Moderate,IF(L763&lt;N_High,Conseq_High,IF(L763&lt;N_VeryHigh,Conseq_VeryHigh,Conseq_ExtremeHigh))))))</f>
        <v>NA</v>
      </c>
      <c r="M766" s="83"/>
      <c r="N766" s="2135" t="str">
        <f>IF(Conseq_Criteria="Hazard Distance",N765,IF(OR(N763&lt;N_Screening,AND(Location="Outdoors",N702&lt;HD_Screening_Limit)),"NA",IF(OR(AND(Location="Indoors",N763&lt;N_Low),AND(Location="Outdoors",N702&lt;HD_Severe_Impact)),Conseq_Low,IF(N763&lt;N_Moderate,Conseq_Moderate,IF(N763&lt;N_High,Conseq_High,IF(N763&lt;N_VeryHigh,Conseq_VeryHigh,Conseq_ExtremeHigh))))))</f>
        <v>NA</v>
      </c>
      <c r="O766" s="83"/>
      <c r="P766" s="2135" t="str">
        <f>IF(Conseq_Criteria="Hazard Distance",P765,IF(OR(P763&lt;N_Screening,AND(Location="Outdoors",P702&lt;HD_Screening_Limit)),"NA",IF(OR(AND(Location="Indoors",P763&lt;N_Low),AND(Location="Outdoors",P702&lt;HD_Severe_Impact)),Conseq_Low,IF(P763&lt;N_Moderate,Conseq_Moderate,IF(P763&lt;N_High,Conseq_High,IF(P763&lt;N_VeryHigh,Conseq_VeryHigh,Conseq_ExtremeHigh))))))</f>
        <v>NA</v>
      </c>
      <c r="Q766" s="83"/>
      <c r="R766" s="2135" t="str">
        <f>IF(Conseq_Criteria="Hazard Distance",R765,IF(OR(R763&lt;N_Screening,AND(Location="Outdoors",R702&lt;HD_Screening_Limit)),"NA",IF(OR(AND(Location="Indoors",R763&lt;N_Low),AND(Location="Outdoors",R702&lt;HD_Severe_Impact)),Conseq_Low,IF(R763&lt;N_Moderate,Conseq_Moderate,IF(R763&lt;N_High,Conseq_High,IF(R763&lt;N_VeryHigh,Conseq_VeryHigh,Conseq_ExtremeHigh))))))</f>
        <v>NA</v>
      </c>
      <c r="S766" s="83"/>
      <c r="T766" s="2135" t="str">
        <f>IF(Conseq_Criteria="Hazard Distance",T765,IF(OR(T763&lt;N_Screening,AND(Location="Outdoors",T702&lt;HD_Screening_Limit)),"NA",IF(OR(AND(Location="Indoors",T763&lt;N_Low),AND(Location="Outdoors",T702&lt;HD_Severe_Impact)),Conseq_Low,IF(T763&lt;N_Moderate,Conseq_Moderate,IF(T763&lt;N_High,Conseq_High,IF(T763&lt;N_VeryHigh,Conseq_VeryHigh,Conseq_ExtremeHigh))))))</f>
        <v>NA</v>
      </c>
      <c r="U766" s="83"/>
      <c r="V766" s="2135" t="str">
        <f>IF(Conseq_Criteria="Hazard Distance",V765,IF(OR(V763&lt;N_Screening,AND(Location="Outdoors",V702&lt;HD_Screening_Limit)),"NA",IF(OR(AND(Location="Indoors",V763&lt;N_Low),AND(Location="Outdoors",V702&lt;HD_Severe_Impact)),Conseq_Low,IF(V763&lt;N_Moderate,Conseq_Moderate,IF(V763&lt;N_High,Conseq_High,IF(V763&lt;N_VeryHigh,Conseq_VeryHigh,Conseq_ExtremeHigh))))))</f>
        <v>NA</v>
      </c>
      <c r="W766" s="83"/>
      <c r="X766" s="2135" t="str">
        <f>IF(Conseq_Criteria="Hazard Distance",X765,IF(OR(X763&lt;N_Screening,AND(Location="Outdoors",X702&lt;HD_Screening_Limit)),"NA",IF(OR(AND(Location="Indoors",X763&lt;N_Low),AND(Location="Outdoors",X702&lt;HD_Severe_Impact)),Conseq_Low,IF(X763&lt;N_Moderate,Conseq_Moderate,IF(X763&lt;N_High,Conseq_High,IF(X763&lt;N_VeryHigh,Conseq_VeryHigh,Conseq_ExtremeHigh))))))</f>
        <v>NA</v>
      </c>
      <c r="Y766" s="83"/>
      <c r="Z766" s="89"/>
      <c r="AA766" s="2"/>
      <c r="AB766" s="81"/>
      <c r="AC766" s="23" t="s">
        <v>3634</v>
      </c>
      <c r="AD766" s="81"/>
      <c r="AE766" s="1206">
        <f>IF(AND(AE488&gt;0,AE692&gt;0),IF(AE294="Indoors",IF(ConcFract_Indoor*AE712&lt;=AE692,0.1,AE$582*((IF(Enclosed_Ventilation_Rate&gt;1,Enclosed_Ventilation_Rate,1)*Enclosed_Process_Volume*AE488*AE712/88020000000)*1000000*(ConcFract_Indoor/AE692-1/AE712)/(AE488*Wind))^AE$583),IF(OR(AE692=0,AE692&gt;=ConcFract_Indoor*1000000),0,MAX(0,IF(AE559="Instantaneous",AE$608*((AE471/AE488)*(ConcFract_Indoor*1000000/AE692))^AE$609-AE$610,AE$582*(AE478*(ConcFract_Indoor*1000000/AE692)/(AE488*Wind_Night))^AE$583-AE$584)))),0.1)</f>
        <v>0.1</v>
      </c>
      <c r="AF766" s="81"/>
      <c r="AG766" s="1206">
        <f>IF(AND(AG488&gt;0,AG692&gt;0),IF(AG294="Indoors",IF(ConcFract_Indoor*AG712&lt;=AG692,0.1,AG$582*((IF(Enclosed_Ventilation_Rate&gt;1,Enclosed_Ventilation_Rate,1)*Enclosed_Process_Volume*AG488*AG712/88020000000)*1000000*(ConcFract_Indoor/AG692-1/AG712)/(AG488*Wind))^AG$583),IF(OR(AG692=0,AG692&gt;=ConcFract_Indoor*1000000),0,MAX(0,IF(AG559="Instantaneous",AG$608*((AG471/AG488)*(ConcFract_Indoor*1000000/AG692))^AG$609-AG$610+AG498,AG$582*(AG478*(ConcFract_Indoor*1000000/AG692)/(AG488*Wind_Night))^AG$583-AG$584+AG498)))),0.1)</f>
        <v>0.1</v>
      </c>
      <c r="AH766" s="81"/>
      <c r="AI766" s="1206">
        <f>IF(AND(AI488&gt;0,AI692&gt;0),IF(AI294="Indoors",IF(ConcFract_Indoor*AI712&lt;=AI692,0.1,AI$582*((IF(Enclosed_Ventilation_Rate&gt;1,Enclosed_Ventilation_Rate,1)*Enclosed_Process_Volume*AI488*AI712/88020000000)*1000000*(ConcFract_Indoor/AI692-1/AI712)/(AI488*Wind))^AI$583),IF(OR(AI692=0,AI692&gt;=ConcFract_Indoor*1000000),0,MAX(0,IF(AI559="Instantaneous",AI$608*((AI471/AI488)*(ConcFract_Indoor*1000000/AI692))^AI$609-AI$610+AI498,AI$582*(AI478*(ConcFract_Indoor*1000000/AI692)/(AI488*Wind_Night))^AI$583-AI$584+AI498)))),0.1)</f>
        <v>0.1</v>
      </c>
      <c r="AJ766" s="81"/>
      <c r="AK766" s="81"/>
      <c r="AL766" s="81"/>
      <c r="AM766" s="81"/>
      <c r="AN766" s="81"/>
      <c r="AO766" s="81"/>
      <c r="AP766" s="81"/>
      <c r="AQ766" s="85" t="s">
        <v>1068</v>
      </c>
      <c r="AR766" s="81"/>
    </row>
    <row r="767" spans="1:44" ht="15" customHeight="1" x14ac:dyDescent="0.25">
      <c r="A767" s="2"/>
      <c r="B767" s="23" t="s">
        <v>2008</v>
      </c>
      <c r="C767" s="83"/>
      <c r="D767" s="1182">
        <f>IF(D700&lt;&gt;"Yes",0,EXP(-Bldg_Type_Coefficient*(Bldg_Type_Correction/D696)^Bldg_Type_Exponent))</f>
        <v>0</v>
      </c>
      <c r="E767" s="83"/>
      <c r="F767" s="1182">
        <f>IF(F700&lt;&gt;"Yes",0,EXP(-Bldg_Type_Coefficient*(Bldg_Type_Correction/F696)^Bldg_Type_Exponent))</f>
        <v>0</v>
      </c>
      <c r="G767" s="83"/>
      <c r="H767" s="1182">
        <f>IF(H700&lt;&gt;"Yes",0,EXP(-Bldg_Type_Coefficient*(Bldg_Type_Correction/H696)^Bldg_Type_Exponent))</f>
        <v>0</v>
      </c>
      <c r="I767" s="83"/>
      <c r="J767" s="1182">
        <f>IF(J700&lt;&gt;"Yes",0,EXP(-Bldg_Type_Coefficient*(Bldg_Type_Correction/J696)^Bldg_Type_Exponent))</f>
        <v>0</v>
      </c>
      <c r="K767" s="83"/>
      <c r="L767" s="1182">
        <f>IF(L700&lt;&gt;"Yes",0,EXP(-Bldg_Type_Coefficient*(Bldg_Type_Correction/L696)^Bldg_Type_Exponent))</f>
        <v>0</v>
      </c>
      <c r="M767" s="83"/>
      <c r="N767" s="1182">
        <f>IF(N700&lt;&gt;"Yes",0,EXP(-Bldg_Type_Coefficient*(Bldg_Type_Correction/N696)^Bldg_Type_Exponent))</f>
        <v>0</v>
      </c>
      <c r="O767" s="83"/>
      <c r="P767" s="1182">
        <f>IF(P700&lt;&gt;"Yes",0,EXP(-Bldg_Type_Coefficient*(Bldg_Type_Correction/P696)^Bldg_Type_Exponent))</f>
        <v>0</v>
      </c>
      <c r="Q767" s="83"/>
      <c r="R767" s="1182">
        <f>IF(R700&lt;&gt;"Yes",0,EXP(-Bldg_Type_Coefficient*(Bldg_Type_Correction/R696)^Bldg_Type_Exponent))</f>
        <v>0</v>
      </c>
      <c r="S767" s="83"/>
      <c r="T767" s="1182">
        <f>IF(T700&lt;&gt;"Yes",0,EXP(-Bldg_Type_Coefficient*(Bldg_Type_Correction/T696)^Bldg_Type_Exponent))</f>
        <v>0</v>
      </c>
      <c r="U767" s="83"/>
      <c r="V767" s="1182">
        <f>IF(V700&lt;&gt;"Yes",0,EXP(-Bldg_Type_Coefficient*(Bldg_Type_Correction/V696)^Bldg_Type_Exponent))</f>
        <v>0</v>
      </c>
      <c r="W767" s="83"/>
      <c r="X767" s="1182">
        <f>IF(X700&lt;&gt;"Yes",0,EXP(-Bldg_Type_Coefficient*(Bldg_Type_Correction/X696)^Bldg_Type_Exponent))</f>
        <v>0</v>
      </c>
      <c r="Y767" s="83"/>
      <c r="Z767" s="92" t="s">
        <v>3804</v>
      </c>
      <c r="AA767" s="2"/>
      <c r="AB767" s="81"/>
      <c r="AC767" s="23" t="s">
        <v>3635</v>
      </c>
      <c r="AD767" s="81"/>
      <c r="AE767" s="1206">
        <f>IF(AE559="Instantaneous",Dispersion_R,Dispersion_M)*(MAX(AE766,(AE499-MIN(AE499,WorkArea_Elevation))*Dispersion_N^0.5,Public)^2-MAX((AE499-MIN(AE499,WorkArea_Elevation))*Dispersion_N^0.5,Public)^2)</f>
        <v>3.0000000000000005E-3</v>
      </c>
      <c r="AF767" s="81"/>
      <c r="AG767" s="1206">
        <f>IF(AG559="Instantaneous",Dispersion_R,Dispersion_M)*(MAX(AG766,(AG499-MIN(AG499,WorkArea_Elevation))*Dispersion_N^0.5,Public)^2-MAX((AG499-MIN(AG499,WorkArea_Elevation))*Dispersion_N^0.5,Public)^2)</f>
        <v>3.0000000000000005E-3</v>
      </c>
      <c r="AH767" s="81"/>
      <c r="AI767" s="1206">
        <f>IF(AI559="Instantaneous",Dispersion_R,Dispersion_M)*(MAX(AI766,(AI499-MIN(AI499,WorkArea_Elevation))*Dispersion_N^0.5,Public)^2-MAX((AI499-MIN(AI499,WorkArea_Elevation))*Dispersion_N^0.5,Public)^2)</f>
        <v>3.0000000000000005E-3</v>
      </c>
      <c r="AJ767" s="81"/>
      <c r="AK767" s="81"/>
      <c r="AL767" s="81"/>
      <c r="AM767" s="81"/>
      <c r="AN767" s="81"/>
      <c r="AO767" s="81"/>
      <c r="AP767" s="81"/>
      <c r="AQ767" s="85" t="s">
        <v>3804</v>
      </c>
      <c r="AR767" s="81"/>
    </row>
    <row r="768" spans="1:44" ht="15" customHeight="1" x14ac:dyDescent="0.25">
      <c r="A768" s="2"/>
      <c r="B768" s="23" t="s">
        <v>2009</v>
      </c>
      <c r="C768" s="83"/>
      <c r="D768" s="1820">
        <f>D767*Occupants_atRisk</f>
        <v>0</v>
      </c>
      <c r="E768" s="83"/>
      <c r="F768" s="1820">
        <f>F767*Occupants_atRisk</f>
        <v>0</v>
      </c>
      <c r="G768" s="83"/>
      <c r="H768" s="1820">
        <f>H767*Occupants_atRisk</f>
        <v>0</v>
      </c>
      <c r="I768" s="83"/>
      <c r="J768" s="1820">
        <f>J767*Occupants_atRisk</f>
        <v>0</v>
      </c>
      <c r="K768" s="83"/>
      <c r="L768" s="1820">
        <f>L767*Occupants_atRisk</f>
        <v>0</v>
      </c>
      <c r="M768" s="83"/>
      <c r="N768" s="1820">
        <f>N767*Occupants_atRisk</f>
        <v>0</v>
      </c>
      <c r="O768" s="83"/>
      <c r="P768" s="1820">
        <f>P767*Occupants_atRisk</f>
        <v>0</v>
      </c>
      <c r="Q768" s="83"/>
      <c r="R768" s="1820">
        <f>R767*Occupants_atRisk</f>
        <v>0</v>
      </c>
      <c r="S768" s="83"/>
      <c r="T768" s="1820">
        <f>T767*Occupants_atRisk</f>
        <v>0</v>
      </c>
      <c r="U768" s="83"/>
      <c r="V768" s="1820">
        <f>V767*Occupants_atRisk</f>
        <v>0</v>
      </c>
      <c r="W768" s="83"/>
      <c r="X768" s="1820">
        <f>X767*Occupants_atRisk</f>
        <v>0</v>
      </c>
      <c r="Y768" s="83"/>
      <c r="Z768" s="23"/>
      <c r="AA768" s="2"/>
      <c r="AB768" s="81"/>
      <c r="AC768" s="23" t="s">
        <v>3636</v>
      </c>
      <c r="AD768" s="81"/>
      <c r="AE768" s="1206">
        <f>IF(OR(AE$691=0,AE$685=""),0,IF(AE766&gt;Zone_1,IF(AE559="Instantaneous",Dispersion_R,Dispersion_M)*(MAX(Public,(AE499-MIN(AE499,WorkArea_Elevation))*Dispersion_N^0.5,Zone_1)^2-MAX(Public,(AE499-MIN(AE499,WorkArea_Elevation))*Dispersion_N^0.5,AE766)^2),IF(AE559="Instantaneous",Dispersion_R,Dispersion_M)*AE$685^(2*IF(AE559="Instantaneous",AE$609,AE$583))*AE$702^2*(EXP(AE$690+AE$691*MAX(Public,(AE499-MIN(AE499,WorkArea_Elevation))*Dispersion_N^0.5,Zone_1)^2/(AE$685^(2*IF(AE559="Instantaneous",AE$609,AE$583))*AE$702^2))-EXP(AE$690+AE$691*MAX(Public,(AE499-MIN(AE499,WorkArea_Elevation))*Dispersion_N^0.5,AE766)^2/(AE$685^(2*IF(AE559="Instantaneous",AE$609,AE$583))*AE$702^2)))/AE$691))</f>
        <v>0</v>
      </c>
      <c r="AF768" s="81"/>
      <c r="AG768" s="1206">
        <f>IF(OR(AG$691=0,AG$685=""),0,IF(AG766&gt;Zone_1,IF(AG559="Instantaneous",Dispersion_R,Dispersion_M)*(MAX(Public,(AG499-MIN(AG499,WorkArea_Elevation))*Dispersion_N^0.5,Zone_1)^2-MAX(Public,(AG499-MIN(AG499,WorkArea_Elevation))*Dispersion_N^0.5,AG766)^2),IF(AG559="Instantaneous",Dispersion_R,Dispersion_M)*AG$685^(2*IF(AG559="Instantaneous",AG$609,AG$583))*AG$702^2*(EXP(AG$690+AG$691*MAX(Public,(AG499-MIN(AG499,WorkArea_Elevation))*Dispersion_N^0.5,Zone_1)^2/(AG$685^(2*IF(AG559="Instantaneous",AG$609,AG$583))*AG$702^2))-EXP(AG$690+AG$691*MAX(Public,(AG499-MIN(AG499,WorkArea_Elevation))*Dispersion_N^0.5,AG766)^2/(AG$685^(2*IF(AG559="Instantaneous",AG$609,AG$583))*AG$702^2)))/AG$691))</f>
        <v>0</v>
      </c>
      <c r="AH768" s="81"/>
      <c r="AI768" s="1206">
        <f>IF(OR(AI$691=0,AI$685=""),0,IF(AI766&gt;Zone_1,IF(AI559="Instantaneous",Dispersion_R,Dispersion_M)*(MAX(Public,(AI499-MIN(AI499,WorkArea_Elevation))*Dispersion_N^0.5,Zone_1)^2-MAX(Public,(AI499-MIN(AI499,WorkArea_Elevation))*Dispersion_N^0.5,AI766)^2),IF(AI559="Instantaneous",Dispersion_R,Dispersion_M)*AI$685^(2*IF(AI559="Instantaneous",AI$609,AI$583))*AI$702^2*(EXP(AI$690+AI$691*MAX(Public,(AI499-MIN(AI499,WorkArea_Elevation))*Dispersion_N^0.5,Zone_1)^2/(AI$685^(2*IF(AI559="Instantaneous",AI$609,AI$583))*AI$702^2))-EXP(AI$690+AI$691*MAX(Public,(AI499-MIN(AI499,WorkArea_Elevation))*Dispersion_N^0.5,AI766)^2/(AI$685^(2*IF(AI559="Instantaneous",AI$609,AI$583))*AI$702^2)))/AI$691))</f>
        <v>0</v>
      </c>
      <c r="AJ768" s="81"/>
      <c r="AK768" s="81"/>
      <c r="AL768" s="81"/>
      <c r="AM768" s="81"/>
      <c r="AN768" s="81"/>
      <c r="AO768" s="81"/>
      <c r="AP768" s="81"/>
      <c r="AQ768" s="85" t="s">
        <v>3804</v>
      </c>
      <c r="AR768" s="81"/>
    </row>
    <row r="769" spans="1:44" ht="15" customHeight="1" x14ac:dyDescent="0.25">
      <c r="A769" s="2"/>
      <c r="B769" s="23" t="s">
        <v>630</v>
      </c>
      <c r="C769" s="83"/>
      <c r="D769" s="3014">
        <f>IF(OR(Occ_Bldg2=0,D700&lt;&gt;"Yes"),0,EXP(-Bldg2_Type_Coefficient*(Bldg2_Type_Correction/D698)^Bldg2_Type_Exponent))</f>
        <v>0</v>
      </c>
      <c r="E769" s="83"/>
      <c r="F769" s="3014">
        <f>IF(OR(Occ_Bldg2=0,F700&lt;&gt;"Yes"),0,EXP(-Bldg2_Type_Coefficient*(Bldg2_Type_Correction/F698)^Bldg2_Type_Exponent))</f>
        <v>0</v>
      </c>
      <c r="G769" s="83"/>
      <c r="H769" s="3014">
        <f>IF(OR(Occ_Bldg2=0,H700&lt;&gt;"Yes"),0,EXP(-Bldg2_Type_Coefficient*(Bldg2_Type_Correction/H698)^Bldg2_Type_Exponent))</f>
        <v>0</v>
      </c>
      <c r="I769" s="83"/>
      <c r="J769" s="3014">
        <f>IF(OR(Occ_Bldg2=0,J700&lt;&gt;"Yes"),0,EXP(-Bldg2_Type_Coefficient*(Bldg2_Type_Correction/J698)^Bldg2_Type_Exponent))</f>
        <v>0</v>
      </c>
      <c r="K769" s="83"/>
      <c r="L769" s="3014">
        <f>IF(OR(Occ_Bldg2=0,L700&lt;&gt;"Yes"),0,EXP(-Bldg2_Type_Coefficient*(Bldg2_Type_Correction/L698)^Bldg2_Type_Exponent))</f>
        <v>0</v>
      </c>
      <c r="M769" s="83"/>
      <c r="N769" s="3014">
        <f>IF(OR(Occ_Bldg2=0,N700&lt;&gt;"Yes"),0,EXP(-Bldg2_Type_Coefficient*(Bldg2_Type_Correction/N698)^Bldg2_Type_Exponent))</f>
        <v>0</v>
      </c>
      <c r="O769" s="83"/>
      <c r="P769" s="3014">
        <f>IF(OR(Occ_Bldg2=0,P700&lt;&gt;"Yes"),0,EXP(-Bldg2_Type_Coefficient*(Bldg2_Type_Correction/P698)^Bldg2_Type_Exponent))</f>
        <v>0</v>
      </c>
      <c r="Q769" s="83"/>
      <c r="R769" s="3014">
        <f>IF(OR(Occ_Bldg2=0,R700&lt;&gt;"Yes"),0,EXP(-Bldg2_Type_Coefficient*(Bldg2_Type_Correction/R698)^Bldg2_Type_Exponent))</f>
        <v>0</v>
      </c>
      <c r="S769" s="83"/>
      <c r="T769" s="3014">
        <f>IF(OR(Occ_Bldg2=0,T700&lt;&gt;"Yes"),0,EXP(-Bldg2_Type_Coefficient*(Bldg2_Type_Correction/T698)^Bldg2_Type_Exponent))</f>
        <v>0</v>
      </c>
      <c r="U769" s="83"/>
      <c r="V769" s="3014">
        <f>IF(OR(Occ_Bldg2=0,V700&lt;&gt;"Yes"),0,EXP(-Bldg2_Type_Coefficient*(Bldg2_Type_Correction/V698)^Bldg2_Type_Exponent))</f>
        <v>0</v>
      </c>
      <c r="W769" s="83"/>
      <c r="X769" s="3014">
        <f>IF(OR(Occ_Bldg2=0,X700&lt;&gt;"Yes"),0,EXP(-Bldg2_Type_Coefficient*(Bldg2_Type_Correction/X698)^Bldg2_Type_Exponent))</f>
        <v>0</v>
      </c>
      <c r="Y769" s="83"/>
      <c r="Z769" s="1311"/>
      <c r="AA769" s="2"/>
      <c r="AB769" s="81"/>
      <c r="AC769" s="23" t="s">
        <v>3637</v>
      </c>
      <c r="AD769" s="81"/>
      <c r="AE769" s="1206">
        <f>IF(Zone_1&lt;MAX((AE499-MIN(AE499,WorkArea_Elevation))*Dispersion_N^0.5,Public),IF(AE559="Instantaneous",Dispersion_R,Dispersion_M)*(MAX(AE766,(AE499-MIN(AE499,WorkArea_Elevation))*Dispersion_N^0.5,Public)^2-MAX((AE499-MIN(AE499,WorkArea_Elevation))*Dispersion_N^0.5,Public)^2),IF(AE559="Instantaneous",Dispersion_R,Dispersion_M)*(MAX(AE766,Zone_1)^2-Zone_1^2))</f>
        <v>3.0000000000000005E-3</v>
      </c>
      <c r="AF769" s="81"/>
      <c r="AG769" s="1206">
        <f>IF(Zone_1&lt;MAX((AG499-MIN(AG499,WorkArea_Elevation))*Dispersion_N^0.5,Public),IF(AG559="Instantaneous",Dispersion_R,Dispersion_M)*(MAX(AG766,(AG499-MIN(AG499,WorkArea_Elevation))*Dispersion_N^0.5,Public)^2-MAX((AG499-MIN(AG499,WorkArea_Elevation))*Dispersion_N^0.5,Public)^2),IF(AG559="Instantaneous",Dispersion_R,Dispersion_M)*(MAX(AG766,Zone_1)^2-Zone_1^2))</f>
        <v>3.0000000000000005E-3</v>
      </c>
      <c r="AH769" s="81"/>
      <c r="AI769" s="1206">
        <f>IF(Zone_1&lt;MAX((AI499-MIN(AI499,WorkArea_Elevation))*Dispersion_N^0.5,Public),IF(AI559="Instantaneous",Dispersion_R,Dispersion_M)*(MAX(AI766,(AI499-MIN(AI499,WorkArea_Elevation))*Dispersion_N^0.5,Public)^2-MAX((AI499-MIN(AI499,WorkArea_Elevation))*Dispersion_N^0.5,Public)^2),IF(AI559="Instantaneous",Dispersion_R,Dispersion_M)*(MAX(AI766,Zone_1)^2-Zone_1^2))</f>
        <v>3.0000000000000005E-3</v>
      </c>
      <c r="AJ769" s="81"/>
      <c r="AK769" s="81"/>
      <c r="AL769" s="81"/>
      <c r="AM769" s="81"/>
      <c r="AN769" s="81"/>
      <c r="AO769" s="81"/>
      <c r="AP769" s="81"/>
      <c r="AQ769" s="85" t="s">
        <v>3804</v>
      </c>
      <c r="AR769" s="81"/>
    </row>
    <row r="770" spans="1:44" ht="15" customHeight="1" x14ac:dyDescent="0.25">
      <c r="A770" s="2"/>
      <c r="B770" s="23" t="s">
        <v>629</v>
      </c>
      <c r="C770" s="83"/>
      <c r="D770" s="1820">
        <f>D769*Occupants_atRisk2</f>
        <v>0</v>
      </c>
      <c r="E770" s="83"/>
      <c r="F770" s="1820">
        <f>F769*Occupants_atRisk2</f>
        <v>0</v>
      </c>
      <c r="G770" s="83"/>
      <c r="H770" s="1820">
        <f>H769*Occupants_atRisk2</f>
        <v>0</v>
      </c>
      <c r="I770" s="83"/>
      <c r="J770" s="1820">
        <f>J769*Occupants_atRisk2</f>
        <v>0</v>
      </c>
      <c r="K770" s="83"/>
      <c r="L770" s="1820">
        <f>L769*Occupants_atRisk2</f>
        <v>0</v>
      </c>
      <c r="M770" s="83"/>
      <c r="N770" s="1820">
        <f>N769*Occupants_atRisk2</f>
        <v>0</v>
      </c>
      <c r="O770" s="83"/>
      <c r="P770" s="1820">
        <f>P769*Occupants_atRisk2</f>
        <v>0</v>
      </c>
      <c r="Q770" s="83"/>
      <c r="R770" s="1820">
        <f>R769*Occupants_atRisk2</f>
        <v>0</v>
      </c>
      <c r="S770" s="83"/>
      <c r="T770" s="1820">
        <f>T769*Occupants_atRisk2</f>
        <v>0</v>
      </c>
      <c r="U770" s="83"/>
      <c r="V770" s="1820">
        <f>V769*Occupants_atRisk2</f>
        <v>0</v>
      </c>
      <c r="W770" s="83"/>
      <c r="X770" s="1820">
        <f>X769*Occupants_atRisk2</f>
        <v>0</v>
      </c>
      <c r="Y770" s="83"/>
      <c r="Z770" s="91"/>
      <c r="AA770" s="2"/>
      <c r="AB770" s="81"/>
      <c r="AC770" s="23" t="s">
        <v>3638</v>
      </c>
      <c r="AD770" s="81"/>
      <c r="AE770" s="1206">
        <f>IF(OR(AE$691=0,AE$685=""),0,IF(Zone_1&lt;MAX((AE499-MIN(AE499,WorkArea_Elevation))*Dispersion_N^0.5,Public),IF(AE559="Instantaneous",Dispersion_R,Dispersion_M)*AE$685^(2*IF(AE559="Instantaneous",AE$609,AE$583))*AE$702^2*(0-EXP(AE$690+AE$691*MAX(AE766,(AE499-MIN(AE499,WorkArea_Elevation))*Dispersion_N^0.5,Public)^2/(AE$685^(2*IF(AE559="Instantaneous",AE$609,AE$583))*AE$702^2)))/AE$691,IF(AE559="Instantaneous",Dispersion_R,Dispersion_M)*AE$685^(2*IF(AE559="Instantaneous",AE$609,AE$583))*AE$702^2*(0-EXP(AE$690+AE$691*MAX(AE766,Zone_1)^2/(AE$685^(2*IF(AE559="Instantaneous",AE$609,AE$583))*AE$702^2)))/AE$691))</f>
        <v>0</v>
      </c>
      <c r="AF770" s="81"/>
      <c r="AG770" s="1206">
        <f>IF(OR(AG$691=0,AG$685=""),0,IF(Zone_1&lt;MAX((AG499-MIN(AG499,WorkArea_Elevation))*Dispersion_N^0.5,Public),IF(AG559="Instantaneous",Dispersion_R,Dispersion_M)*AG$685^(2*IF(AG559="Instantaneous",AG$609,AG$583))*AG$702^2*(0-EXP(AG$690+AG$691*MAX(AG766,(AG499-MIN(AG499,WorkArea_Elevation))*Dispersion_N^0.5,Public)^2/(AG$685^(2*IF(AG559="Instantaneous",AG$609,AG$583))*AG$702^2)))/AG$691,IF(AG559="Instantaneous",Dispersion_R,Dispersion_M)*AG$685^(2*IF(AG559="Instantaneous",AG$609,AG$583))*AG$702^2*(0-EXP(AG$690+AG$691*MAX(AG766,Zone_1)^2/(AG$685^(2*IF(AG559="Instantaneous",AG$609,AG$583))*AG$702^2)))/AG$691))</f>
        <v>0</v>
      </c>
      <c r="AH770" s="81"/>
      <c r="AI770" s="1206">
        <f>IF(OR(AI$691=0,AI$685=""),0,IF(Zone_1&lt;MAX((AI499-MIN(AI499,WorkArea_Elevation))*Dispersion_N^0.5,Public),IF(AI559="Instantaneous",Dispersion_R,Dispersion_M)*AI$685^(2*IF(AI559="Instantaneous",AI$609,AI$583))*AI$702^2*(0-EXP(AI$690+AI$691*MAX(AI766,(AI499-MIN(AI499,WorkArea_Elevation))*Dispersion_N^0.5,Public)^2/(AI$685^(2*IF(AI559="Instantaneous",AI$609,AI$583))*AI$702^2)))/AI$691,IF(AI559="Instantaneous",Dispersion_R,Dispersion_M)*AI$685^(2*IF(AI559="Instantaneous",AI$609,AI$583))*AI$702^2*(0-EXP(AI$690+AI$691*MAX(AI766,Zone_1)^2/(AI$685^(2*IF(AI559="Instantaneous",AI$609,AI$583))*AI$702^2)))/AI$691))</f>
        <v>0</v>
      </c>
      <c r="AJ770" s="81"/>
      <c r="AK770" s="81"/>
      <c r="AL770" s="81"/>
      <c r="AM770" s="81"/>
      <c r="AN770" s="81"/>
      <c r="AO770" s="81"/>
      <c r="AP770" s="81"/>
      <c r="AQ770" s="85" t="s">
        <v>3804</v>
      </c>
      <c r="AR770" s="81"/>
    </row>
    <row r="771" spans="1:44" ht="15" customHeight="1" x14ac:dyDescent="0.25">
      <c r="A771" s="2"/>
      <c r="B771" s="23" t="s">
        <v>5215</v>
      </c>
      <c r="C771" s="83"/>
      <c r="D771" s="3169">
        <f>IF(D695="No",0,3.14*Offsite_Area_Bldg_Factor*IF(Offsite_PD1="",Offsite_PD/1000000,Offsite_PD1)*D694^2*(EXP(-Offsite_Bldg_a*Zone_1^2/D694^2)-EXP(-Offsite_Bldg_a*Public^2/D694^2))/(-Offsite_Bldg_a))</f>
        <v>0</v>
      </c>
      <c r="E771" s="83"/>
      <c r="F771" s="3169">
        <f>IF(F695="No",0,3.14*Offsite_Area_Bldg_Factor*IF(Offsite_PD1="",Offsite_PD/1000000,Offsite_PD1)*F694^2*(EXP(-Offsite_Bldg_a*Zone_1^2/F694^2)-EXP(-Offsite_Bldg_a*Public^2/F694^2))/(-Offsite_Bldg_a))</f>
        <v>0</v>
      </c>
      <c r="G771" s="83"/>
      <c r="H771" s="3169">
        <f>IF(H695="No",0,3.14*Offsite_Area_Bldg_Factor*IF(Offsite_PD1="",Offsite_PD/1000000,Offsite_PD1)*H694^2*(EXP(-Offsite_Bldg_a*Zone_1^2/H694^2)-EXP(-Offsite_Bldg_a*Public^2/H694^2))/(-Offsite_Bldg_a))</f>
        <v>0</v>
      </c>
      <c r="I771" s="83"/>
      <c r="J771" s="3169">
        <f>IF(J695="No",0,3.14*Offsite_Area_Bldg_Factor*IF(Offsite_PD1="",Offsite_PD/1000000,Offsite_PD1)*J694^2*(EXP(-Offsite_Bldg_a*Zone_1^2/J694^2)-EXP(-Offsite_Bldg_a*Public^2/J694^2))/(-Offsite_Bldg_a))</f>
        <v>0</v>
      </c>
      <c r="K771" s="83"/>
      <c r="L771" s="3169">
        <f>IF(L695="No",0,3.14*Offsite_Area_Bldg_Factor*IF(Offsite_PD1="",Offsite_PD/1000000,Offsite_PD1)*L694^2*(EXP(-Offsite_Bldg_a*Zone_1^2/L694^2)-EXP(-Offsite_Bldg_a*Public^2/L694^2))/(-Offsite_Bldg_a))</f>
        <v>0</v>
      </c>
      <c r="M771" s="83"/>
      <c r="N771" s="3169">
        <f>IF(N695="No",0,3.14*Offsite_Area_Bldg_Factor*IF(Offsite_PD1="",Offsite_PD/1000000,Offsite_PD1)*N694^2*(EXP(-Offsite_Bldg_a*Zone_1^2/N694^2)-EXP(-Offsite_Bldg_a*Public^2/N694^2))/(-Offsite_Bldg_a))</f>
        <v>0</v>
      </c>
      <c r="O771" s="83"/>
      <c r="P771" s="3169">
        <f>IF(P695="No",0,3.14*Offsite_Area_Bldg_Factor*IF(Offsite_PD1="",Offsite_PD/1000000,Offsite_PD1)*P694^2*(EXP(-Offsite_Bldg_a*Zone_1^2/P694^2)-EXP(-Offsite_Bldg_a*Public^2/P694^2))/(-Offsite_Bldg_a))</f>
        <v>0</v>
      </c>
      <c r="Q771" s="83"/>
      <c r="R771" s="3169">
        <f>IF(R695="No",0,3.14*Offsite_Area_Bldg_Factor*IF(Offsite_PD1="",Offsite_PD/1000000,Offsite_PD1)*R694^2*(EXP(-Offsite_Bldg_a*Zone_1^2/R694^2)-EXP(-Offsite_Bldg_a*Public^2/R694^2))/(-Offsite_Bldg_a))</f>
        <v>0</v>
      </c>
      <c r="S771" s="83"/>
      <c r="T771" s="3169">
        <f>IF(T695="No",0,3.14*Offsite_Area_Bldg_Factor*IF(Offsite_PD1="",Offsite_PD/1000000,Offsite_PD1)*T694^2*(EXP(-Offsite_Bldg_a*Zone_1^2/T694^2)-EXP(-Offsite_Bldg_a*Public^2/T694^2))/(-Offsite_Bldg_a))</f>
        <v>0</v>
      </c>
      <c r="U771" s="83"/>
      <c r="V771" s="3169">
        <f>IF(V695="No",0,3.14*Offsite_Area_Bldg_Factor*IF(Offsite_PD1="",Offsite_PD/1000000,Offsite_PD1)*V694^2*(EXP(-Offsite_Bldg_a*Zone_1^2/V694^2)-EXP(-Offsite_Bldg_a*Public^2/V694^2))/(-Offsite_Bldg_a))</f>
        <v>0</v>
      </c>
      <c r="W771" s="83"/>
      <c r="X771" s="3169">
        <f>IF(X695="No",0,3.14*Offsite_Area_Bldg_Factor*IF(Offsite_PD1="",Offsite_PD/1000000,Offsite_PD1)*X694^2*(EXP(-Offsite_Bldg_a*Zone_1^2/X694^2)-EXP(-Offsite_Bldg_a*Public^2/X694^2))/(-Offsite_Bldg_a))</f>
        <v>0</v>
      </c>
      <c r="Y771" s="83"/>
      <c r="Z771" s="91"/>
      <c r="AA771" s="83"/>
      <c r="AB771" s="81"/>
      <c r="AC771" s="23" t="s">
        <v>3639</v>
      </c>
      <c r="AD771" s="81"/>
      <c r="AE771" s="1861">
        <f>Outdoor_Fract_Night*((AE762+AE763)*IF(Offsite_PD1="",Offsite_PD,Offsite_PD1)+(AE764+AE765)*IF(Offsite_PD2="",Offsite_PD,Offsite_PD2))/1000000+(1-Outdoor_Fract_Night)*((AE767+AE768)*IF(Offsite_PD1="",Offsite_PD,Offsite_PD1)+(AE769+AE770)*IF(Offsite_PD2="",Offsite_PD,Offsite_PD2))/1000000</f>
        <v>9.0000000000000019E-6</v>
      </c>
      <c r="AF771" s="81"/>
      <c r="AG771" s="1861">
        <f>Outdoor_Fract_Night*((AG762+AG763)*IF(Offsite_PD1="",Offsite_PD,Offsite_PD1)+(AG764+AG765)*IF(Offsite_PD2="",Offsite_PD,Offsite_PD2))/1000000+(1-Outdoor_Fract_Night)*((AG767+AG768)*IF(Offsite_PD1="",Offsite_PD,Offsite_PD1)+(AG769+AG770)*IF(Offsite_PD2="",Offsite_PD,Offsite_PD2))/1000000</f>
        <v>9.0000000000000019E-6</v>
      </c>
      <c r="AH771" s="81"/>
      <c r="AI771" s="1861">
        <f>Outdoor_Fract_Night*((AI762+AI763)*IF(Offsite_PD1="",Offsite_PD,Offsite_PD1)+(AI764+AI765)*IF(Offsite_PD2="",Offsite_PD,Offsite_PD2))/1000000+(1-Outdoor_Fract_Night)*((AI767+AI768)*IF(Offsite_PD1="",Offsite_PD,Offsite_PD1)+(AI769+AI770)*IF(Offsite_PD2="",Offsite_PD,Offsite_PD2))/1000000</f>
        <v>9.0000000000000019E-6</v>
      </c>
      <c r="AJ771" s="81"/>
      <c r="AK771" s="81"/>
      <c r="AL771" s="81"/>
      <c r="AM771" s="81"/>
      <c r="AN771" s="81"/>
      <c r="AO771" s="81"/>
      <c r="AP771" s="81"/>
      <c r="AQ771" s="23"/>
      <c r="AR771" s="81"/>
    </row>
    <row r="772" spans="1:44" ht="15" customHeight="1" x14ac:dyDescent="0.25">
      <c r="A772" s="2"/>
      <c r="B772" s="23" t="s">
        <v>5216</v>
      </c>
      <c r="C772" s="83"/>
      <c r="D772" s="3169">
        <f>IF(D695="No",0,3.14*Offsite_Area_Bldg_Factor*IF(Offsite_PD2="",Offsite_PD/1000000,Offsite_PD2)*D694^2*(0-EXP(-Offsite_Bldg_a*Zone_1^2/D694^2))/(-Offsite_Bldg_a))</f>
        <v>0</v>
      </c>
      <c r="E772" s="83"/>
      <c r="F772" s="3169">
        <f>IF(F695="No",0,3.14*Offsite_Area_Bldg_Factor*IF(Offsite_PD2="",Offsite_PD/1000000,Offsite_PD2)*F694^2*(0-EXP(-Offsite_Bldg_a*Zone_1^2/F694^2))/(-Offsite_Bldg_a))</f>
        <v>0</v>
      </c>
      <c r="G772" s="83"/>
      <c r="H772" s="3169">
        <f>IF(H695="No",0,3.14*Offsite_Area_Bldg_Factor*IF(Offsite_PD2="",Offsite_PD/1000000,Offsite_PD2)*H694^2*(0-EXP(-Offsite_Bldg_a*Zone_1^2/H694^2))/(-Offsite_Bldg_a))</f>
        <v>0</v>
      </c>
      <c r="I772" s="83"/>
      <c r="J772" s="3169">
        <f>IF(J695="No",0,3.14*Offsite_Area_Bldg_Factor*IF(Offsite_PD2="",Offsite_PD/1000000,Offsite_PD2)*J694^2*(0-EXP(-Offsite_Bldg_a*Zone_1^2/J694^2))/(-Offsite_Bldg_a))</f>
        <v>0</v>
      </c>
      <c r="K772" s="83"/>
      <c r="L772" s="3169">
        <f>IF(L695="No",0,3.14*Offsite_Area_Bldg_Factor*IF(Offsite_PD2="",Offsite_PD/1000000,Offsite_PD2)*L694^2*(0-EXP(-Offsite_Bldg_a*Zone_1^2/L694^2))/(-Offsite_Bldg_a))</f>
        <v>0</v>
      </c>
      <c r="M772" s="83"/>
      <c r="N772" s="3169">
        <f>IF(N695="No",0,3.14*Offsite_Area_Bldg_Factor*IF(Offsite_PD2="",Offsite_PD/1000000,Offsite_PD2)*N694^2*(0-EXP(-Offsite_Bldg_a*Zone_1^2/N694^2))/(-Offsite_Bldg_a))</f>
        <v>0</v>
      </c>
      <c r="O772" s="83"/>
      <c r="P772" s="3169">
        <f>IF(P695="No",0,3.14*Offsite_Area_Bldg_Factor*IF(Offsite_PD2="",Offsite_PD/1000000,Offsite_PD2)*P694^2*(0-EXP(-Offsite_Bldg_a*Zone_1^2/P694^2))/(-Offsite_Bldg_a))</f>
        <v>0</v>
      </c>
      <c r="Q772" s="83"/>
      <c r="R772" s="3169">
        <f>IF(R695="No",0,3.14*Offsite_Area_Bldg_Factor*IF(Offsite_PD2="",Offsite_PD/1000000,Offsite_PD2)*R694^2*(0-EXP(-Offsite_Bldg_a*Zone_1^2/R694^2))/(-Offsite_Bldg_a))</f>
        <v>0</v>
      </c>
      <c r="S772" s="83"/>
      <c r="T772" s="3169">
        <f>IF(T695="No",0,3.14*Offsite_Area_Bldg_Factor*IF(Offsite_PD2="",Offsite_PD/1000000,Offsite_PD2)*T694^2*(0-EXP(-Offsite_Bldg_a*Zone_1^2/T694^2))/(-Offsite_Bldg_a))</f>
        <v>0</v>
      </c>
      <c r="U772" s="83"/>
      <c r="V772" s="3169">
        <f>IF(V695="No",0,3.14*Offsite_Area_Bldg_Factor*IF(Offsite_PD2="",Offsite_PD/1000000,Offsite_PD2)*V694^2*(0-EXP(-Offsite_Bldg_a*Zone_1^2/V694^2))/(-Offsite_Bldg_a))</f>
        <v>0</v>
      </c>
      <c r="W772" s="83"/>
      <c r="X772" s="3169">
        <f>IF(X695="No",0,3.14*Offsite_Area_Bldg_Factor*IF(Offsite_PD2="",Offsite_PD/1000000,Offsite_PD2)*X694^2*(0-EXP(-Offsite_Bldg_a*Zone_1^2/X694^2))/(-Offsite_Bldg_a))</f>
        <v>0</v>
      </c>
      <c r="Y772" s="83"/>
      <c r="Z772" s="91"/>
      <c r="AA772" s="83"/>
      <c r="AB772" s="81"/>
      <c r="AC772" s="23" t="s">
        <v>3533</v>
      </c>
      <c r="AD772" s="81"/>
      <c r="AE772" s="1861">
        <f>Lethality_Correction*((1-Fract_1.5_F)*AE760+Fract_1.5_F*AE771)</f>
        <v>4.500000000000001E-6</v>
      </c>
      <c r="AF772" s="81"/>
      <c r="AG772" s="1861">
        <f>Lethality_Correction*((1-Fract_1.5_F)*AG760+Fract_1.5_F*AG771)</f>
        <v>4.500000000000001E-6</v>
      </c>
      <c r="AH772" s="81"/>
      <c r="AI772" s="1861">
        <f>Lethality_Correction*((1-Fract_1.5_F)*AI760+Fract_1.5_F*AI771)</f>
        <v>4.500000000000001E-6</v>
      </c>
      <c r="AJ772" s="81"/>
      <c r="AK772" s="81"/>
      <c r="AL772" s="81"/>
      <c r="AM772" s="81"/>
      <c r="AN772" s="81"/>
      <c r="AO772" s="81"/>
      <c r="AP772" s="81"/>
      <c r="AQ772" s="23"/>
      <c r="AR772" s="81"/>
    </row>
    <row r="773" spans="1:44" ht="15" customHeight="1" thickBot="1" x14ac:dyDescent="0.3">
      <c r="A773" s="2"/>
      <c r="B773" s="512" t="s">
        <v>5217</v>
      </c>
      <c r="C773" s="83"/>
      <c r="D773" s="3169">
        <f>D771+D772</f>
        <v>0</v>
      </c>
      <c r="E773" s="83"/>
      <c r="F773" s="3169">
        <f>F771+F772</f>
        <v>0</v>
      </c>
      <c r="G773" s="83"/>
      <c r="H773" s="3169">
        <f>H771+H772</f>
        <v>0</v>
      </c>
      <c r="I773" s="83"/>
      <c r="J773" s="3169">
        <f>J771+J772</f>
        <v>0</v>
      </c>
      <c r="K773" s="83"/>
      <c r="L773" s="3169">
        <f>L771+L772</f>
        <v>0</v>
      </c>
      <c r="M773" s="83"/>
      <c r="N773" s="3169">
        <f>N771+N772</f>
        <v>0</v>
      </c>
      <c r="O773" s="83"/>
      <c r="P773" s="3169">
        <f>P771+P772</f>
        <v>0</v>
      </c>
      <c r="Q773" s="83"/>
      <c r="R773" s="3169">
        <f>R771+R772</f>
        <v>0</v>
      </c>
      <c r="S773" s="83"/>
      <c r="T773" s="3169">
        <f>T771+T772</f>
        <v>0</v>
      </c>
      <c r="U773" s="83"/>
      <c r="V773" s="3169">
        <f>V771+V772</f>
        <v>0</v>
      </c>
      <c r="W773" s="83"/>
      <c r="X773" s="3169">
        <f>X771+X772</f>
        <v>0</v>
      </c>
      <c r="Y773" s="83"/>
      <c r="Z773" s="91"/>
      <c r="AA773" s="83"/>
      <c r="AB773" s="81"/>
      <c r="AC773" s="25" t="s">
        <v>4788</v>
      </c>
      <c r="AD773" s="81"/>
      <c r="AE773" s="1286">
        <f>IF(AE695="No","NA",IF(AE701-Public&lt;HD_VeryLow_Offsite,Conseq_VeryLow_Offsite+N_OffSite,IF(AE701-Public&lt;HD_Low_Offsite,Conseq_Low+N_OffSite,IF(AE701-Public&lt;HD_Moderate_Offsite,Conseq_Moderate+IF(Conseq_Moderate&lt;Conseq_GT_ExtremeHigh,N_OffSite,0),IF(AE701-Public&lt;HD_High_Offsite,Conseq_High+IF(Conseq_High&lt;Conseq_GT_ExtremeHigh,N_OffSite,0),IF(AE701-Public&lt;HD_VeryHigh_Offsite,Co3nseq_VeryHigh+IF(Conseq_VeryHigh&lt;Conseq_GT_ExtremeHigh,N_OffSite,0),Conseq_ExtremeHigh+IF(Conseq_ExtremeHigh&lt;Conseq_GT_ExtremeHigh,N_OffSite,0)))))))</f>
        <v>3</v>
      </c>
      <c r="AF773" s="81"/>
      <c r="AG773" s="1286">
        <f>IF(AG695="No","NA",IF(AG701-Public&lt;HD_VeryLow_Offsite,Conseq_VeryLow_Offsite+N_OffSite,IF(AG701-Public&lt;HD_Low_Offsite,Conseq_Low+N_OffSite,IF(AG701-Public&lt;HD_Moderate_Offsite,Conseq_Moderate+IF(Conseq_Moderate&lt;Conseq_GT_ExtremeHigh,N_OffSite,0),IF(AG701-Public&lt;HD_High_Offsite,Conseq_High+IF(Conseq_High&lt;Conseq_GT_ExtremeHigh,N_OffSite,0),IF(AG701-Public&lt;HD_VeryHigh_Offsite,Co3nseq_VeryHigh+IF(Conseq_VeryHigh&lt;Conseq_GT_ExtremeHigh,N_OffSite,0),Conseq_ExtremeHigh+IF(Conseq_ExtremeHigh&lt;Conseq_GT_ExtremeHigh,N_OffSite,0)))))))</f>
        <v>3</v>
      </c>
      <c r="AH773" s="81"/>
      <c r="AI773" s="1286">
        <f>IF(AI695="No","NA",IF(AI701-Public&lt;HD_VeryLow_Offsite,Conseq_VeryLow_Offsite+N_OffSite,IF(AI701-Public&lt;HD_Low_Offsite,Conseq_Low+N_OffSite,IF(AI701-Public&lt;HD_Moderate_Offsite,Conseq_Moderate+IF(Conseq_Moderate&lt;Conseq_GT_ExtremeHigh,N_OffSite,0),IF(AI701-Public&lt;HD_High_Offsite,Conseq_High+IF(Conseq_High&lt;Conseq_GT_ExtremeHigh,N_OffSite,0),IF(AI701-Public&lt;HD_VeryHigh_Offsite,Co3nseq_VeryHigh+IF(Conseq_VeryHigh&lt;Conseq_GT_ExtremeHigh,N_OffSite,0),Conseq_ExtremeHigh+IF(Conseq_ExtremeHigh&lt;Conseq_GT_ExtremeHigh,N_OffSite,0)))))))</f>
        <v>3</v>
      </c>
      <c r="AJ773" s="81"/>
      <c r="AK773" s="81"/>
      <c r="AL773" s="81"/>
      <c r="AM773" s="81"/>
      <c r="AN773" s="81"/>
      <c r="AO773" s="81"/>
      <c r="AP773" s="81"/>
      <c r="AQ773" s="23"/>
      <c r="AR773" s="81"/>
    </row>
    <row r="774" spans="1:44" ht="15" customHeight="1" thickBot="1" x14ac:dyDescent="0.3">
      <c r="A774" s="2"/>
      <c r="B774" s="23" t="s">
        <v>2011</v>
      </c>
      <c r="C774" s="83"/>
      <c r="D774" s="3014">
        <f>D768+D763+D770+D773</f>
        <v>0</v>
      </c>
      <c r="E774" s="83"/>
      <c r="F774" s="3014">
        <f>F768+F763+F770+F773</f>
        <v>0</v>
      </c>
      <c r="G774" s="83"/>
      <c r="H774" s="3014">
        <f>H768+H763+H770+H773</f>
        <v>0</v>
      </c>
      <c r="I774" s="83"/>
      <c r="J774" s="3014">
        <f>J768+J763+J770+J773</f>
        <v>0</v>
      </c>
      <c r="K774" s="83"/>
      <c r="L774" s="3014">
        <f>L768+L763+L770+L773</f>
        <v>0</v>
      </c>
      <c r="M774" s="83"/>
      <c r="N774" s="3014">
        <f>N768+N763+N770+N773</f>
        <v>0</v>
      </c>
      <c r="O774" s="83"/>
      <c r="P774" s="3014">
        <f>P768+P763+P770+P773</f>
        <v>0</v>
      </c>
      <c r="Q774" s="83"/>
      <c r="R774" s="3014">
        <f>R768+R763+R770+R773</f>
        <v>0</v>
      </c>
      <c r="S774" s="83"/>
      <c r="T774" s="3014">
        <f>T768+T763+T770+T773</f>
        <v>0</v>
      </c>
      <c r="U774" s="83"/>
      <c r="V774" s="3014">
        <f>V768+V763+V770+V773</f>
        <v>0</v>
      </c>
      <c r="W774" s="83"/>
      <c r="X774" s="3014">
        <f>X768+X763+X770+X773</f>
        <v>0</v>
      </c>
      <c r="Y774" s="83"/>
      <c r="Z774" s="23"/>
      <c r="AA774" s="83"/>
      <c r="AB774" s="81"/>
      <c r="AC774" s="25" t="s">
        <v>4223</v>
      </c>
      <c r="AD774" s="81"/>
      <c r="AE774" s="2540" t="str">
        <f>IF(AE772&lt;N_Screening,IF(AE697="Yes",Conseq_Low_Offsite,IF(AE695="Yes",Conseq_VeryLow_Offsite,"NA")),IF(AE772&lt;N_VeryLow,Conseq_VeryLow+N_OffSite,IF(AE772&lt;N_Low,Conseq_Low+N_OffSite,IF(AE772&lt;N_Moderate,Conseq_Moderate+IF(Conseq_Moderate&lt;Conseq_GT_ExtremeHigh,N_OffSite,0),IF(AE772&lt;N_High,Conseq_High+IF(Conseq_High&lt;Conseq_GT_ExtremeHigh,N_OffSite,0),IF(AE772&lt;N_VeryHigh,Conseq_VeryHigh+IF(Conseq_VeryHigh&lt;Conseq_GT_ExtremeHigh,N_OffSite,0),Conseq_ExtremeHigh+IF(Conseq_ExtremeHigh&lt;Conseq_GT_ExtremeHigh,N_OffSite,0)))))))</f>
        <v>NA</v>
      </c>
      <c r="AF774" s="81"/>
      <c r="AG774" s="2540" t="str">
        <f>IF(AG772&lt;N_Screening,IF(AG697="Yes",Conseq_Low_Offsite,IF(AG695="Yes",Conseq_VeryLow_Offsite,"NA")),IF(AG772&lt;N_VeryLow,Conseq_VeryLow+N_OffSite,IF(AG772&lt;N_Low,Conseq_Low+N_OffSite,IF(AG772&lt;N_Moderate,Conseq_Moderate+IF(Conseq_Moderate&lt;Conseq_GT_ExtremeHigh,N_OffSite,0),IF(AG772&lt;N_High,Conseq_High+IF(Conseq_High&lt;Conseq_GT_ExtremeHigh,N_OffSite,0),IF(AG772&lt;N_VeryHigh,Conseq_VeryHigh+IF(Conseq_VeryHigh&lt;Conseq_GT_ExtremeHigh,N_OffSite,0),Conseq_ExtremeHigh+IF(Conseq_ExtremeHigh&lt;Conseq_GT_ExtremeHigh,N_OffSite,0)))))))</f>
        <v>NA</v>
      </c>
      <c r="AH774" s="81"/>
      <c r="AI774" s="2540" t="str">
        <f>IF(AI772&lt;N_Screening,IF(AI697="Yes",Conseq_Low_Offsite,IF(AI695="Yes",Conseq_VeryLow_Offsite,"NA")),IF(AI772&lt;N_VeryLow,Conseq_VeryLow+N_OffSite,IF(AI772&lt;N_Low,Conseq_Low+N_OffSite,IF(AI772&lt;N_Moderate,Conseq_Moderate+IF(Conseq_Moderate&lt;Conseq_GT_ExtremeHigh,N_OffSite,0),IF(AI772&lt;N_High,Conseq_High+IF(Conseq_High&lt;Conseq_GT_ExtremeHigh,N_OffSite,0),IF(AI772&lt;N_VeryHigh,Conseq_VeryHigh+IF(Conseq_VeryHigh&lt;Conseq_GT_ExtremeHigh,N_OffSite,0),Conseq_ExtremeHigh+IF(Conseq_ExtremeHigh&lt;Conseq_GT_ExtremeHigh,N_OffSite,0)))))))</f>
        <v>NA</v>
      </c>
      <c r="AJ774" s="81"/>
      <c r="AK774" s="81"/>
      <c r="AL774" s="81"/>
      <c r="AM774" s="81"/>
      <c r="AN774" s="81"/>
      <c r="AO774" s="81"/>
      <c r="AP774" s="81"/>
      <c r="AQ774" s="89"/>
      <c r="AR774" s="81"/>
    </row>
    <row r="775" spans="1:44" ht="15" customHeight="1" x14ac:dyDescent="0.25">
      <c r="A775" s="2"/>
      <c r="B775" s="85" t="s">
        <v>4795</v>
      </c>
      <c r="C775" s="83"/>
      <c r="D775" s="1286" t="str">
        <f>IF(D690&lt;&gt;"Yes","NA",IF(MAX(D696/Bldg_Type_Correction,D698/Bldg2_Type_Correction)&lt;HD_Low_Expl,Conseq_Low,IF(MAX(D696/Bldg_Type_Correction,D698/Bldg2_Type_Correction)&lt;HD_Moderate_Expl,Conseq_Moderate,IF(MAX(D696/Bldg_Type_Correction,D698/Bldg2_Type_Correction)&lt;HD_High_Expl,Conseq_High,IF(MAX(D696/Bldg_Type_Correction,D698/Bldg2_Type_Correction)&lt;HD_VeryHigh_Expl,Conseq_VeryHigh,Conseq_ExtremeHigh)))))</f>
        <v>NA</v>
      </c>
      <c r="E775" s="1024"/>
      <c r="F775" s="1286" t="str">
        <f>IF(F690&lt;&gt;"Yes","NA",IF(MAX(F696/Bldg_Type_Correction,F698/Bldg2_Type_Correction)&lt;HD_Low_Expl,Conseq_Low,IF(MAX(F696/Bldg_Type_Correction,F698/Bldg2_Type_Correction)&lt;HD_Moderate_Expl,Conseq_Moderate,IF(MAX(F696/Bldg_Type_Correction,F698/Bldg2_Type_Correction)&lt;HD_High_Expl,Conseq_High,IF(MAX(F696/Bldg_Type_Correction,F698/Bldg2_Type_Correction)&lt;HD_VeryHigh_Expl,Conseq_VeryHigh,Conseq_ExtremeHigh)))))</f>
        <v>NA</v>
      </c>
      <c r="G775" s="1024"/>
      <c r="H775" s="1286" t="str">
        <f>IF(H690&lt;&gt;"Yes","NA",IF(MAX(H696/Bldg_Type_Correction,H698/Bldg2_Type_Correction)&lt;HD_Low_Expl,Conseq_Low,IF(MAX(H696/Bldg_Type_Correction,H698/Bldg2_Type_Correction)&lt;HD_Moderate_Expl,Conseq_Moderate,IF(MAX(H696/Bldg_Type_Correction,H698/Bldg2_Type_Correction)&lt;HD_High_Expl,Conseq_High,IF(MAX(H696/Bldg_Type_Correction,H698/Bldg2_Type_Correction)&lt;HD_VeryHigh_Expl,Conseq_VeryHigh,Conseq_ExtremeHigh)))))</f>
        <v>NA</v>
      </c>
      <c r="I775" s="1024"/>
      <c r="J775" s="1286" t="str">
        <f>IF(J690&lt;&gt;"Yes","NA",IF(MAX(J696/Bldg_Type_Correction,J698/Bldg2_Type_Correction)&lt;HD_Low_Expl,Conseq_Low,IF(MAX(J696/Bldg_Type_Correction,J698/Bldg2_Type_Correction)&lt;HD_Moderate_Expl,Conseq_Moderate,IF(MAX(J696/Bldg_Type_Correction,J698/Bldg2_Type_Correction)&lt;HD_High_Expl,Conseq_High,IF(MAX(J696/Bldg_Type_Correction,J698/Bldg2_Type_Correction)&lt;HD_VeryHigh_Expl,Conseq_VeryHigh,Conseq_ExtremeHigh)))))</f>
        <v>NA</v>
      </c>
      <c r="K775" s="1024"/>
      <c r="L775" s="1286" t="str">
        <f>IF(L690&lt;&gt;"Yes","NA",IF(MAX(L696/Bldg_Type_Correction,L698/Bldg2_Type_Correction)&lt;HD_Low_Expl,Conseq_Low,IF(MAX(L696/Bldg_Type_Correction,L698/Bldg2_Type_Correction)&lt;HD_Moderate_Expl,Conseq_Moderate,IF(MAX(L696/Bldg_Type_Correction,L698/Bldg2_Type_Correction)&lt;HD_High_Expl,Conseq_High,IF(MAX(L696/Bldg_Type_Correction,L698/Bldg2_Type_Correction)&lt;HD_VeryHigh_Expl,Conseq_VeryHigh,Conseq_ExtremeHigh)))))</f>
        <v>NA</v>
      </c>
      <c r="M775" s="1024"/>
      <c r="N775" s="1286" t="str">
        <f>IF(N690&lt;&gt;"Yes","NA",IF(MAX(N696/Bldg_Type_Correction,N698/Bldg2_Type_Correction)&lt;HD_Low_Expl,Conseq_Low,IF(MAX(N696/Bldg_Type_Correction,N698/Bldg2_Type_Correction)&lt;HD_Moderate_Expl,Conseq_Moderate,IF(MAX(N696/Bldg_Type_Correction,N698/Bldg2_Type_Correction)&lt;HD_High_Expl,Conseq_High,IF(MAX(N696/Bldg_Type_Correction,N698/Bldg2_Type_Correction)&lt;HD_VeryHigh_Expl,Conseq_VeryHigh,Conseq_ExtremeHigh)))))</f>
        <v>NA</v>
      </c>
      <c r="O775" s="1024"/>
      <c r="P775" s="1286" t="str">
        <f>IF(P690&lt;&gt;"Yes","NA",IF(MAX(P696/Bldg_Type_Correction,P698/Bldg2_Type_Correction)&lt;HD_Low_Expl,Conseq_Low,IF(MAX(P696/Bldg_Type_Correction,P698/Bldg2_Type_Correction)&lt;HD_Moderate_Expl,Conseq_Moderate,IF(MAX(P696/Bldg_Type_Correction,P698/Bldg2_Type_Correction)&lt;HD_High_Expl,Conseq_High,IF(MAX(P696/Bldg_Type_Correction,P698/Bldg2_Type_Correction)&lt;HD_VeryHigh_Expl,Conseq_VeryHigh,Conseq_ExtremeHigh)))))</f>
        <v>NA</v>
      </c>
      <c r="Q775" s="1024"/>
      <c r="R775" s="1286" t="str">
        <f>IF(R690&lt;&gt;"Yes","NA",IF(MAX(R696/Bldg_Type_Correction,R698/Bldg2_Type_Correction)&lt;HD_Low_Expl,Conseq_Low,IF(MAX(R696/Bldg_Type_Correction,R698/Bldg2_Type_Correction)&lt;HD_Moderate_Expl,Conseq_Moderate,IF(MAX(R696/Bldg_Type_Correction,R698/Bldg2_Type_Correction)&lt;HD_High_Expl,Conseq_High,IF(MAX(R696/Bldg_Type_Correction,R698/Bldg2_Type_Correction)&lt;HD_VeryHigh_Expl,Conseq_VeryHigh,Conseq_ExtremeHigh)))))</f>
        <v>NA</v>
      </c>
      <c r="S775" s="1024"/>
      <c r="T775" s="1286" t="str">
        <f>IF(T690&lt;&gt;"Yes","NA",IF(MAX(T696/Bldg_Type_Correction,T698/Bldg2_Type_Correction)&lt;HD_Low_Expl,Conseq_Low,IF(MAX(T696/Bldg_Type_Correction,T698/Bldg2_Type_Correction)&lt;HD_Moderate_Expl,Conseq_Moderate,IF(MAX(T696/Bldg_Type_Correction,T698/Bldg2_Type_Correction)&lt;HD_High_Expl,Conseq_High,IF(MAX(T696/Bldg_Type_Correction,T698/Bldg2_Type_Correction)&lt;HD_VeryHigh_Expl,Conseq_VeryHigh,Conseq_ExtremeHigh)))))</f>
        <v>NA</v>
      </c>
      <c r="U775" s="1024"/>
      <c r="V775" s="1286" t="str">
        <f>IF(V690&lt;&gt;"Yes","NA",IF(MAX(V696/Bldg_Type_Correction,V698/Bldg2_Type_Correction)&lt;HD_Low_Expl,Conseq_Low,IF(MAX(V696/Bldg_Type_Correction,V698/Bldg2_Type_Correction)&lt;HD_Moderate_Expl,Conseq_Moderate,IF(MAX(V696/Bldg_Type_Correction,V698/Bldg2_Type_Correction)&lt;HD_High_Expl,Conseq_High,IF(MAX(V696/Bldg_Type_Correction,V698/Bldg2_Type_Correction)&lt;HD_VeryHigh_Expl,Conseq_VeryHigh,Conseq_ExtremeHigh)))))</f>
        <v>NA</v>
      </c>
      <c r="W775" s="1024"/>
      <c r="X775" s="1286" t="str">
        <f>IF(X690&lt;&gt;"Yes","NA",IF(MAX(X696/Bldg_Type_Correction,X698/Bldg2_Type_Correction)&lt;HD_Low_Expl,Conseq_Low,IF(MAX(X696/Bldg_Type_Correction,X698/Bldg2_Type_Correction)&lt;HD_Moderate_Expl,Conseq_Moderate,IF(MAX(X696/Bldg_Type_Correction,X698/Bldg2_Type_Correction)&lt;HD_High_Expl,Conseq_High,IF(MAX(X696/Bldg_Type_Correction,X698/Bldg2_Type_Correction)&lt;HD_VeryHigh_Expl,Conseq_VeryHigh,Conseq_ExtremeHigh)))))</f>
        <v>NA</v>
      </c>
      <c r="Y775" s="83"/>
      <c r="Z775" s="23"/>
      <c r="AA775" s="83"/>
      <c r="AB775" s="81"/>
      <c r="AC775" s="23" t="s">
        <v>4735</v>
      </c>
      <c r="AD775" s="81"/>
      <c r="AE775" s="1206">
        <f>Dispersion_D*IF(Public2=0,AE698,MIN(AE698,Public2))^2</f>
        <v>3.0000000000000005E-3</v>
      </c>
      <c r="AF775" s="81"/>
      <c r="AG775" s="1206">
        <f>Dispersion_D*IF(Public2=0,AG698,MIN(AG698,Public2))^2</f>
        <v>3.0000000000000005E-3</v>
      </c>
      <c r="AH775" s="81"/>
      <c r="AI775" s="1206">
        <f>Dispersion_D*IF(Public2=0,AI698,MIN(AI698,Public2))^2</f>
        <v>3.0000000000000005E-3</v>
      </c>
      <c r="AJ775" s="81"/>
      <c r="AK775" s="81"/>
      <c r="AL775" s="81"/>
      <c r="AM775" s="81"/>
      <c r="AN775" s="81"/>
      <c r="AO775" s="81"/>
      <c r="AP775" s="81"/>
      <c r="AQ775" s="85" t="s">
        <v>3804</v>
      </c>
      <c r="AR775" s="81"/>
    </row>
    <row r="776" spans="1:44" ht="15" customHeight="1" thickBot="1" x14ac:dyDescent="0.3">
      <c r="A776" s="2"/>
      <c r="B776" s="25" t="s">
        <v>4229</v>
      </c>
      <c r="C776" s="83"/>
      <c r="D776" s="2135" t="str">
        <f>IF(Conseq_Criteria="Hazard Distance",D775,IF(OR(D690&lt;&gt;"Yes",D774&lt;N_Screening),"NA",IF(D774&lt;N_VeryLow,Conseq_VeryLow,IF(D774&lt;N_Low,Conseq_Low,IF(D774&lt;N_Moderate,Conseq_Moderate,IF(D774&lt;N_High,Conseq_High,IF(D774&lt;N_VeryHigh,Conseq_VeryHigh,IF(D774&lt;N_ExtremeHigh,Conseq_ExtremeHigh,Conseq_GT_ExtremeHigh))))))))</f>
        <v>NA</v>
      </c>
      <c r="E776" s="83"/>
      <c r="F776" s="2135" t="str">
        <f>IF(Conseq_Criteria="Hazard Distance",F775,IF(OR(F690&lt;&gt;"Yes",F774&lt;N_Screening),"NA",IF(F774&lt;N_VeryLow,Conseq_VeryLow,IF(F774&lt;N_Low,Conseq_Low,IF(F774&lt;N_Moderate,Conseq_Moderate,IF(F774&lt;N_High,Conseq_High,IF(F774&lt;N_VeryHigh,Conseq_VeryHigh,IF(F774&lt;N_ExtremeHigh,Conseq_ExtremeHigh,Conseq_GT_ExtremeHigh))))))))</f>
        <v>NA</v>
      </c>
      <c r="G776" s="83"/>
      <c r="H776" s="2135" t="str">
        <f>IF(Conseq_Criteria="Hazard Distance",H775,IF(OR(H690&lt;&gt;"Yes",H774&lt;N_Screening),"NA",IF(H774&lt;N_VeryLow,Conseq_VeryLow,IF(H774&lt;N_Low,Conseq_Low,IF(H774&lt;N_Moderate,Conseq_Moderate,IF(H774&lt;N_High,Conseq_High,IF(H774&lt;N_VeryHigh,Conseq_VeryHigh,IF(H774&lt;N_ExtremeHigh,Conseq_ExtremeHigh,Conseq_GT_ExtremeHigh))))))))</f>
        <v>NA</v>
      </c>
      <c r="I776" s="83"/>
      <c r="J776" s="2135" t="str">
        <f>IF(Conseq_Criteria="Hazard Distance",J775,IF(OR(J690&lt;&gt;"Yes",J774&lt;N_Screening),"NA",IF(J774&lt;N_VeryLow,Conseq_VeryLow,IF(J774&lt;N_Low,Conseq_Low,IF(J774&lt;N_Moderate,Conseq_Moderate,IF(J774&lt;N_High,Conseq_High,IF(J774&lt;N_VeryHigh,Conseq_VeryHigh,IF(J774&lt;N_ExtremeHigh,Conseq_ExtremeHigh,Conseq_GT_ExtremeHigh))))))))</f>
        <v>NA</v>
      </c>
      <c r="K776" s="83"/>
      <c r="L776" s="2135" t="str">
        <f>IF(Conseq_Criteria="Hazard Distance",L775,IF(OR(L690&lt;&gt;"Yes",L774&lt;N_Screening),"NA",IF(L774&lt;N_VeryLow,Conseq_VeryLow,IF(L774&lt;N_Low,Conseq_Low,IF(L774&lt;N_Moderate,Conseq_Moderate,IF(L774&lt;N_High,Conseq_High,IF(L774&lt;N_VeryHigh,Conseq_VeryHigh,IF(L774&lt;N_ExtremeHigh,Conseq_ExtremeHigh,Conseq_GT_ExtremeHigh))))))))</f>
        <v>NA</v>
      </c>
      <c r="M776" s="83"/>
      <c r="N776" s="2135" t="str">
        <f>IF(Conseq_Criteria="Hazard Distance",N775,IF(OR(N690&lt;&gt;"Yes",N774&lt;N_Screening),"NA",IF(N774&lt;N_VeryLow,Conseq_VeryLow,IF(N774&lt;N_Low,Conseq_Low,IF(N774&lt;N_Moderate,Conseq_Moderate,IF(N774&lt;N_High,Conseq_High,IF(N774&lt;N_VeryHigh,Conseq_VeryHigh,IF(N774&lt;N_ExtremeHigh,Conseq_ExtremeHigh,Conseq_GT_ExtremeHigh))))))))</f>
        <v>NA</v>
      </c>
      <c r="O776" s="83"/>
      <c r="P776" s="2135" t="str">
        <f>IF(Conseq_Criteria="Hazard Distance",P775,IF(OR(P690&lt;&gt;"Yes",P774&lt;N_Screening),"NA",IF(P774&lt;N_VeryLow,Conseq_VeryLow,IF(P774&lt;N_Low,Conseq_Low,IF(P774&lt;N_Moderate,Conseq_Moderate,IF(P774&lt;N_High,Conseq_High,IF(P774&lt;N_VeryHigh,Conseq_VeryHigh,IF(P774&lt;N_ExtremeHigh,Conseq_ExtremeHigh,Conseq_GT_ExtremeHigh))))))))</f>
        <v>NA</v>
      </c>
      <c r="Q776" s="83"/>
      <c r="R776" s="2135" t="str">
        <f>IF(Conseq_Criteria="Hazard Distance",R775,IF(OR(R690&lt;&gt;"Yes",R774&lt;N_Screening),"NA",IF(R774&lt;N_VeryLow,Conseq_VeryLow,IF(R774&lt;N_Low,Conseq_Low,IF(R774&lt;N_Moderate,Conseq_Moderate,IF(R774&lt;N_High,Conseq_High,IF(R774&lt;N_VeryHigh,Conseq_VeryHigh,IF(R774&lt;N_ExtremeHigh,Conseq_ExtremeHigh,Conseq_GT_ExtremeHigh))))))))</f>
        <v>NA</v>
      </c>
      <c r="S776" s="83"/>
      <c r="T776" s="2135" t="str">
        <f>IF(Conseq_Criteria="Hazard Distance",T775,IF(OR(T690&lt;&gt;"Yes",T774&lt;N_Screening),"NA",IF(T774&lt;N_VeryLow,Conseq_VeryLow,IF(T774&lt;N_Low,Conseq_Low,IF(T774&lt;N_Moderate,Conseq_Moderate,IF(T774&lt;N_High,Conseq_High,IF(T774&lt;N_VeryHigh,Conseq_VeryHigh,IF(T774&lt;N_ExtremeHigh,Conseq_ExtremeHigh,Conseq_GT_ExtremeHigh))))))))</f>
        <v>NA</v>
      </c>
      <c r="U776" s="83"/>
      <c r="V776" s="2135" t="str">
        <f>IF(Conseq_Criteria="Hazard Distance",V775,IF(OR(V690&lt;&gt;"Yes",V774&lt;N_Screening),"NA",IF(V774&lt;N_VeryLow,Conseq_VeryLow,IF(V774&lt;N_Low,Conseq_Low,IF(V774&lt;N_Moderate,Conseq_Moderate,IF(V774&lt;N_High,Conseq_High,IF(V774&lt;N_VeryHigh,Conseq_VeryHigh,IF(V774&lt;N_ExtremeHigh,Conseq_ExtremeHigh,Conseq_GT_ExtremeHigh))))))))</f>
        <v>NA</v>
      </c>
      <c r="W776" s="83"/>
      <c r="X776" s="2135" t="str">
        <f>IF(Conseq_Criteria="Hazard Distance",X775,IF(OR(X690&lt;&gt;"Yes",X774&lt;N_Screening),"NA",IF(X774&lt;N_VeryLow,Conseq_VeryLow,IF(X774&lt;N_Low,Conseq_Low,IF(X774&lt;N_Moderate,Conseq_Moderate,IF(X774&lt;N_High,Conseq_High,IF(X774&lt;N_VeryHigh,Conseq_VeryHigh,IF(X774&lt;N_ExtremeHigh,Conseq_ExtremeHigh,Conseq_GT_ExtremeHigh))))))))</f>
        <v>NA</v>
      </c>
      <c r="Y776" s="83"/>
      <c r="Z776" s="89"/>
      <c r="AA776" s="83"/>
      <c r="AB776" s="81"/>
      <c r="AC776" s="23" t="s">
        <v>3161</v>
      </c>
      <c r="AD776" s="81"/>
      <c r="AE776" s="1207">
        <f>AE775*Onsite_PD/1000000+IF(AND(AE$305="Yes",AE698&gt;HD_Severe_Impact),0.9,0)</f>
        <v>6.0000000000000008E-7</v>
      </c>
      <c r="AF776" s="81"/>
      <c r="AG776" s="1207">
        <f>AG775*Onsite_PD/1000000+IF(AND(AG$305="Yes",AG698&gt;HD_Severe_Impact),0.9,0)</f>
        <v>6.0000000000000008E-7</v>
      </c>
      <c r="AH776" s="81"/>
      <c r="AI776" s="1207">
        <f>AI775*Onsite_PD/1000000+IF(AND(AI$305="Yes",AI698&gt;HD_Severe_Impact),0.9,0)</f>
        <v>6.0000000000000008E-7</v>
      </c>
      <c r="AJ776" s="81"/>
      <c r="AK776" s="81"/>
      <c r="AL776" s="81"/>
      <c r="AM776" s="81"/>
      <c r="AN776" s="81"/>
      <c r="AO776" s="81"/>
      <c r="AP776" s="81"/>
      <c r="AQ776" s="91"/>
      <c r="AR776" s="81"/>
    </row>
    <row r="777" spans="1:44" ht="15" customHeight="1" x14ac:dyDescent="0.25">
      <c r="A777" s="2"/>
      <c r="B777" s="23" t="s">
        <v>2008</v>
      </c>
      <c r="C777" s="83"/>
      <c r="D777" s="3015">
        <f>IF(D718&lt;&gt;"Yes",0,EXP(-Bldg_Type_Coefficient*(Bldg_Type_Correction/D711)^Bldg_Type_Exponent))</f>
        <v>0</v>
      </c>
      <c r="E777" s="2"/>
      <c r="F777" s="3015">
        <f>IF(F718&lt;&gt;"Yes",0,EXP(-Bldg_Type_Coefficient*(Bldg_Type_Correction/F711)^Bldg_Type_Exponent))</f>
        <v>0</v>
      </c>
      <c r="G777" s="83"/>
      <c r="H777" s="3015">
        <f>IF(H718&lt;&gt;"Yes",0,EXP(-Bldg_Type_Coefficient*(Bldg_Type_Correction/H711)^Bldg_Type_Exponent))</f>
        <v>0</v>
      </c>
      <c r="I777" s="83"/>
      <c r="J777" s="3015">
        <f>IF(J718&lt;&gt;"Yes",0,EXP(-Bldg_Type_Coefficient*(Bldg_Type_Correction/J711)^Bldg_Type_Exponent))</f>
        <v>0</v>
      </c>
      <c r="K777" s="83"/>
      <c r="L777" s="3015">
        <f>IF(L718&lt;&gt;"Yes",0,EXP(-Bldg_Type_Coefficient*(Bldg_Type_Correction/L711)^Bldg_Type_Exponent))</f>
        <v>0</v>
      </c>
      <c r="M777" s="83"/>
      <c r="N777" s="3015">
        <f>IF(N718&lt;&gt;"Yes",0,EXP(-Bldg_Type_Coefficient*(Bldg_Type_Correction/N711)^Bldg_Type_Exponent))</f>
        <v>0</v>
      </c>
      <c r="O777" s="83"/>
      <c r="P777" s="3015">
        <f>IF(P718&lt;&gt;"Yes",0,EXP(-Bldg_Type_Coefficient*(Bldg_Type_Correction/P711)^Bldg_Type_Exponent))</f>
        <v>0</v>
      </c>
      <c r="Q777" s="83"/>
      <c r="R777" s="3015">
        <f>IF(R718&lt;&gt;"Yes",0,EXP(-Bldg_Type_Coefficient*(Bldg_Type_Correction/R711)^Bldg_Type_Exponent))</f>
        <v>0</v>
      </c>
      <c r="S777" s="83"/>
      <c r="T777" s="3015">
        <f>IF(T718&lt;&gt;"Yes",0,EXP(-Bldg_Type_Coefficient*(Bldg_Type_Correction/T711)^Bldg_Type_Exponent))</f>
        <v>0</v>
      </c>
      <c r="U777" s="83"/>
      <c r="V777" s="3015">
        <f>IF(V718&lt;&gt;"Yes",0,EXP(-Bldg_Type_Coefficient*(Bldg_Type_Correction/V711)^Bldg_Type_Exponent))</f>
        <v>0</v>
      </c>
      <c r="W777" s="83"/>
      <c r="X777" s="3015">
        <f>IF(X718&lt;&gt;"Yes",0,EXP(-Bldg_Type_Coefficient*(Bldg_Type_Correction/X711)^Bldg_Type_Exponent))</f>
        <v>0</v>
      </c>
      <c r="Y777" s="83"/>
      <c r="Z777" s="84"/>
      <c r="AA777" s="83"/>
      <c r="AB777" s="81"/>
      <c r="AC777" s="85" t="s">
        <v>1638</v>
      </c>
      <c r="AD777" s="81"/>
      <c r="AE777" s="1208">
        <v>0</v>
      </c>
      <c r="AF777" s="81"/>
      <c r="AG777" s="1208">
        <v>0</v>
      </c>
      <c r="AH777" s="81"/>
      <c r="AI777" s="1208">
        <v>0</v>
      </c>
      <c r="AJ777" s="81"/>
      <c r="AK777" s="81"/>
      <c r="AL777" s="81"/>
      <c r="AM777" s="81"/>
      <c r="AN777" s="81"/>
      <c r="AO777" s="81"/>
      <c r="AP777" s="81"/>
      <c r="AQ777" s="91"/>
      <c r="AR777" s="81"/>
    </row>
    <row r="778" spans="1:44" ht="15" customHeight="1" thickBot="1" x14ac:dyDescent="0.3">
      <c r="A778" s="2"/>
      <c r="B778" s="23" t="s">
        <v>2009</v>
      </c>
      <c r="C778" s="83"/>
      <c r="D778" s="1820">
        <f>D777*Occupants_atRisk</f>
        <v>0</v>
      </c>
      <c r="E778" s="83"/>
      <c r="F778" s="1820">
        <f>F777*Occupants_atRisk</f>
        <v>0</v>
      </c>
      <c r="G778" s="83"/>
      <c r="H778" s="1820">
        <f>H777*Occupants_atRisk</f>
        <v>0</v>
      </c>
      <c r="I778" s="83"/>
      <c r="J778" s="1820">
        <f>J777*Occupants_atRisk</f>
        <v>0</v>
      </c>
      <c r="K778" s="83"/>
      <c r="L778" s="1820">
        <f>L777*Occupants_atRisk</f>
        <v>0</v>
      </c>
      <c r="M778" s="83"/>
      <c r="N778" s="1820">
        <f>N777*Occupants_atRisk</f>
        <v>0</v>
      </c>
      <c r="O778" s="83"/>
      <c r="P778" s="1820">
        <f>P777*Occupants_atRisk</f>
        <v>0</v>
      </c>
      <c r="Q778" s="83"/>
      <c r="R778" s="1820">
        <f>R777*Occupants_atRisk</f>
        <v>0</v>
      </c>
      <c r="S778" s="83"/>
      <c r="T778" s="1820">
        <f>T777*Occupants_atRisk</f>
        <v>0</v>
      </c>
      <c r="U778" s="83"/>
      <c r="V778" s="1820">
        <f>V777*Occupants_atRisk</f>
        <v>0</v>
      </c>
      <c r="W778" s="83"/>
      <c r="X778" s="1820">
        <f>X777*Occupants_atRisk</f>
        <v>0</v>
      </c>
      <c r="Y778" s="83"/>
      <c r="Z778" s="23"/>
      <c r="AA778" s="83"/>
      <c r="AB778" s="81"/>
      <c r="AC778" s="25" t="s">
        <v>4789</v>
      </c>
      <c r="AD778" s="81"/>
      <c r="AE778" s="1208" t="str">
        <f>IF(OR(AND(Regulatory_Tox&lt;&gt;"Yes",ER3_Min&gt;Toxic_Limit),IF(AE636&lt;&gt;"",AE636,0)&gt;AE622,AE698&lt;HD_Screening_Limit),"NA",IF(AND(AE$305&lt;&gt;"Yes",AE698&lt;HD_VeryLow_OnSite),Conseq_VeryLow,IF(AE698&lt;HD_Low_OnSite,Conseq_Low,IF(AE698&lt;HD_Moderate_OnSite,Conseq_Moderate,IF(AE698&lt;HD_High_OnSite,Conseq_High,IF(AE698&lt;HD_VeryHigh_OnSite,Conseq_VeryHigh,Conseq_ExtremeHigh))))))</f>
        <v>NA</v>
      </c>
      <c r="AF778" s="81"/>
      <c r="AG778" s="1208" t="str">
        <f>IF(OR(AND(Regulatory_Tox&lt;&gt;"Yes",ER3_Min&gt;Toxic_Limit),IF(AG636&lt;&gt;"",AG636,0)&gt;AG622,AG698&lt;HD_Screening_Limit),"NA",IF(AND(AG$305&lt;&gt;"Yes",AG698&lt;HD_VeryLow_OnSite),Conseq_VeryLow,IF(AG698&lt;HD_Low_OnSite,Conseq_Low,IF(AG698&lt;HD_Moderate_OnSite,Conseq_Moderate,IF(AG698&lt;HD_High_OnSite,Conseq_High,IF(AG698&lt;HD_VeryHigh_OnSite,Conseq_VeryHigh,Conseq_ExtremeHigh))))))</f>
        <v>NA</v>
      </c>
      <c r="AH778" s="81"/>
      <c r="AI778" s="1208" t="str">
        <f>IF(OR(AND(Regulatory_Tox&lt;&gt;"Yes",ER3_Min&gt;Toxic_Limit),IF(AI636&lt;&gt;"",AI636,0)&gt;AI622,AI698&lt;HD_Screening_Limit),"NA",IF(AND(AI$305&lt;&gt;"Yes",AI698&lt;HD_VeryLow_OnSite),Conseq_VeryLow,IF(AI698&lt;HD_Low_OnSite,Conseq_Low,IF(AI698&lt;HD_Moderate_OnSite,Conseq_Moderate,IF(AI698&lt;HD_High_OnSite,Conseq_High,IF(AI698&lt;HD_VeryHigh_OnSite,Conseq_VeryHigh,Conseq_ExtremeHigh))))))</f>
        <v>NA</v>
      </c>
      <c r="AJ778" s="81"/>
      <c r="AK778" s="81"/>
      <c r="AL778" s="81"/>
      <c r="AM778" s="81"/>
      <c r="AN778" s="81"/>
      <c r="AO778" s="81"/>
      <c r="AP778" s="81"/>
      <c r="AQ778" s="91"/>
      <c r="AR778" s="81"/>
    </row>
    <row r="779" spans="1:44" ht="15" customHeight="1" thickBot="1" x14ac:dyDescent="0.3">
      <c r="A779" s="2"/>
      <c r="B779" s="23" t="s">
        <v>630</v>
      </c>
      <c r="C779" s="83"/>
      <c r="D779" s="321">
        <f>IF(OR(Occ_Bldg2=0,D718&lt;&gt;"Yes"),0,EXP(-Bldg2_Type_Coefficient*(Bldg2_Type_Correction/D715)^Bldg2_Type_Exponent))</f>
        <v>0</v>
      </c>
      <c r="E779" s="83"/>
      <c r="F779" s="321">
        <f>IF(OR(Occ_Bldg2=0,F718&lt;&gt;"Yes"),0,EXP(-Bldg2_Type_Coefficient*(Bldg2_Type_Correction/F715)^Bldg2_Type_Exponent))</f>
        <v>0</v>
      </c>
      <c r="G779" s="83"/>
      <c r="H779" s="321">
        <f>IF(OR(Occ_Bldg2=0,H718&lt;&gt;"Yes"),0,EXP(-Bldg2_Type_Coefficient*(Bldg2_Type_Correction/H715)^Bldg2_Type_Exponent))</f>
        <v>0</v>
      </c>
      <c r="I779" s="83"/>
      <c r="J779" s="321">
        <f>IF(OR(Occ_Bldg2=0,J718&lt;&gt;"Yes"),0,EXP(-Bldg2_Type_Coefficient*(Bldg2_Type_Correction/J715)^Bldg2_Type_Exponent))</f>
        <v>0</v>
      </c>
      <c r="K779" s="83"/>
      <c r="L779" s="321">
        <f>IF(OR(Occ_Bldg2=0,L718&lt;&gt;"Yes"),0,EXP(-Bldg2_Type_Coefficient*(Bldg2_Type_Correction/L715)^Bldg2_Type_Exponent))</f>
        <v>0</v>
      </c>
      <c r="M779" s="83"/>
      <c r="N779" s="321">
        <f>IF(OR(Occ_Bldg2=0,N718&lt;&gt;"Yes"),0,EXP(-Bldg2_Type_Coefficient*(Bldg2_Type_Correction/N715)^Bldg2_Type_Exponent))</f>
        <v>0</v>
      </c>
      <c r="O779" s="83"/>
      <c r="P779" s="321">
        <f>IF(OR(Occ_Bldg2=0,P718&lt;&gt;"Yes"),0,EXP(-Bldg2_Type_Coefficient*(Bldg2_Type_Correction/P715)^Bldg2_Type_Exponent))</f>
        <v>0</v>
      </c>
      <c r="Q779" s="83"/>
      <c r="R779" s="321">
        <f>IF(OR(Occ_Bldg2=0,R718&lt;&gt;"Yes"),0,EXP(-Bldg2_Type_Coefficient*(Bldg2_Type_Correction/R715)^Bldg2_Type_Exponent))</f>
        <v>0</v>
      </c>
      <c r="S779" s="83"/>
      <c r="T779" s="321">
        <f>IF(OR(Occ_Bldg2=0,T718&lt;&gt;"Yes"),0,EXP(-Bldg2_Type_Coefficient*(Bldg2_Type_Correction/T715)^Bldg2_Type_Exponent))</f>
        <v>0</v>
      </c>
      <c r="U779" s="83"/>
      <c r="V779" s="321">
        <f>IF(OR(Occ_Bldg2=0,V718&lt;&gt;"Yes"),0,EXP(-Bldg2_Type_Coefficient*(Bldg2_Type_Correction/V715)^Bldg2_Type_Exponent))</f>
        <v>0</v>
      </c>
      <c r="W779" s="83"/>
      <c r="X779" s="321">
        <f>IF(OR(Occ_Bldg2=0,X718&lt;&gt;"Yes"),0,EXP(-Bldg2_Type_Coefficient*(Bldg2_Type_Correction/X715)^Bldg2_Type_Exponent))</f>
        <v>0</v>
      </c>
      <c r="Y779" s="83"/>
      <c r="Z779" s="23"/>
      <c r="AA779" s="83"/>
      <c r="AB779" s="81"/>
      <c r="AC779" s="25" t="s">
        <v>4224</v>
      </c>
      <c r="AD779" s="81"/>
      <c r="AE779" s="2135" t="str">
        <f>IF(Conseq_Criteria="Hazard Distance",AE778,IF(OR(AND(Regulatory_Tox&lt;&gt;"Yes",ER3_Min&gt;Toxic_Limit),IF(AE636&lt;&gt;"",AE636,0)&gt;AE622,MAX(AE703,AE704,AE501)&lt;IF(AE643&lt;&gt;"",AE643,0),AE699&lt;HD_Screening_Limit),"NA",IF(AND(AE699&lt;HD_Severe_Impact,AE776&lt;N_VeryLow),Conseq_VeryLow,IF(AE776&lt;N_Low,Conseq_Low,IF(AE776&lt;N_Moderate,Conseq_Moderate,IF(AE776&lt;N_High,Conseq_High,IF(AE776&lt;N_VeryHigh,Conseq_VeryHigh,Conseq_ExtremeHigh)))))))</f>
        <v>NA</v>
      </c>
      <c r="AF779" s="81"/>
      <c r="AG779" s="2135" t="str">
        <f>IF(Conseq_Criteria="Hazard Distance",AG778,IF(OR(AND(Regulatory_Tox&lt;&gt;"Yes",ER3_Min&gt;Toxic_Limit),IF(AG636&lt;&gt;"",AG636,0)&gt;AG622,MAX(AG703,AG704,AG501)&lt;IF(AG643&lt;&gt;"",AG643,0),AG699&lt;HD_Screening_Limit),"NA",IF(AND(AG699&lt;HD_Severe_Impact,AG776&lt;N_VeryLow),Conseq_VeryLow,IF(AG776&lt;N_Low,Conseq_Low,IF(AG776&lt;N_Moderate,Conseq_Moderate,IF(AG776&lt;N_High,Conseq_High,IF(AG776&lt;N_VeryHigh,Conseq_VeryHigh,Conseq_ExtremeHigh)))))))</f>
        <v>NA</v>
      </c>
      <c r="AH779" s="81"/>
      <c r="AI779" s="2135" t="str">
        <f>IF(Conseq_Criteria="Hazard Distance",AI778,IF(OR(AND(Regulatory_Tox&lt;&gt;"Yes",ER3_Min&gt;Toxic_Limit),IF(AI636&lt;&gt;"",AI636,0)&gt;AI622,MAX(AI703,AI704,AI501)&lt;IF(AI643&lt;&gt;"",AI643,0),AI699&lt;HD_Screening_Limit),"NA",IF(AND(AI699&lt;HD_Severe_Impact,AI776&lt;N_VeryLow),Conseq_VeryLow,IF(AI776&lt;N_Low,Conseq_Low,IF(AI776&lt;N_Moderate,Conseq_Moderate,IF(AI776&lt;N_High,Conseq_High,IF(AI776&lt;N_VeryHigh,Conseq_VeryHigh,Conseq_ExtremeHigh)))))))</f>
        <v>NA</v>
      </c>
      <c r="AJ779" s="81"/>
      <c r="AK779" s="81"/>
      <c r="AL779" s="81"/>
      <c r="AM779" s="81"/>
      <c r="AN779" s="81"/>
      <c r="AO779" s="81"/>
      <c r="AP779" s="81"/>
      <c r="AQ779" s="104"/>
      <c r="AR779" s="81"/>
    </row>
    <row r="780" spans="1:44" ht="15" customHeight="1" x14ac:dyDescent="0.25">
      <c r="A780" s="2"/>
      <c r="B780" s="23" t="s">
        <v>629</v>
      </c>
      <c r="C780" s="83"/>
      <c r="D780" s="1820">
        <f>D779*Occupants_atRisk2</f>
        <v>0</v>
      </c>
      <c r="E780" s="83"/>
      <c r="F780" s="1820">
        <f>F779*Occupants_atRisk2</f>
        <v>0</v>
      </c>
      <c r="G780" s="83"/>
      <c r="H780" s="1820">
        <f>H779*Occupants_atRisk2</f>
        <v>0</v>
      </c>
      <c r="I780" s="83"/>
      <c r="J780" s="1820">
        <f>J779*Occupants_atRisk2</f>
        <v>0</v>
      </c>
      <c r="K780" s="83"/>
      <c r="L780" s="1820">
        <f>L779*Occupants_atRisk2</f>
        <v>0</v>
      </c>
      <c r="M780" s="83"/>
      <c r="N780" s="1820">
        <f>N779*Occupants_atRisk2</f>
        <v>0</v>
      </c>
      <c r="O780" s="83"/>
      <c r="P780" s="1820">
        <f>P779*Occupants_atRisk2</f>
        <v>0</v>
      </c>
      <c r="Q780" s="83"/>
      <c r="R780" s="1820">
        <f>R779*Occupants_atRisk2</f>
        <v>0</v>
      </c>
      <c r="S780" s="83"/>
      <c r="T780" s="1820">
        <f>T779*Occupants_atRisk2</f>
        <v>0</v>
      </c>
      <c r="U780" s="83"/>
      <c r="V780" s="1820">
        <f>V779*Occupants_atRisk2</f>
        <v>0</v>
      </c>
      <c r="W780" s="83"/>
      <c r="X780" s="1820">
        <f>X779*Occupants_atRisk2</f>
        <v>0</v>
      </c>
      <c r="Y780" s="83"/>
      <c r="Z780" s="23"/>
      <c r="AA780" s="83"/>
      <c r="AB780" s="81"/>
      <c r="AC780" s="23" t="s">
        <v>4723</v>
      </c>
      <c r="AD780" s="81"/>
      <c r="AE780" s="3013">
        <f>IF(AE715="No",IF(AE716="No",0,IF(AE711&gt;1000000*(0.21-Asp_Limit)/0.21,1,AE711*0.21/(1000000*(0.21-Asp_Limit)))),IF(AE671=0,0,MIN(1,AE711/AE671)))</f>
        <v>0</v>
      </c>
      <c r="AF780" s="81"/>
      <c r="AG780" s="3013">
        <f>IF(AG715="No",IF(AG716="No",0,IF(AG711&gt;1000000*(0.21-Asp_Limit)/0.21,1,AG711*0.21/(1000000*(0.21-Asp_Limit)))),IF(AG671=0,0,MIN(1,AG711/AG671)))</f>
        <v>0</v>
      </c>
      <c r="AH780" s="81"/>
      <c r="AI780" s="3013">
        <f>IF(AI715="No",IF(AI716="No",0,IF(AI711&gt;1000000*(0.21-Asp_Limit)/0.21,1,AI711*0.21/(1000000*(0.21-Asp_Limit)))),IF(AI671=0,0,MIN(1,AI711/AI671)))</f>
        <v>0</v>
      </c>
      <c r="AJ780" s="81"/>
      <c r="AK780" s="81"/>
      <c r="AL780" s="81"/>
      <c r="AM780" s="81"/>
      <c r="AN780" s="81"/>
      <c r="AO780" s="81"/>
      <c r="AP780" s="81"/>
      <c r="AQ780" s="23"/>
      <c r="AR780" s="81"/>
    </row>
    <row r="781" spans="1:44" ht="15" customHeight="1" x14ac:dyDescent="0.25">
      <c r="A781" s="2"/>
      <c r="B781" s="23" t="s">
        <v>5215</v>
      </c>
      <c r="C781" s="83"/>
      <c r="D781" s="321">
        <f>IF(D709="No",0,3.14*Offsite_Area_Bldg_Factor*IF(Offsite_PD1="",Offsite_PD/1000000,Offsite_PD1)*D708^2*(EXP(-Offsite_Bldg_a*Zone_1^2/D708^2)-EXP(-Offsite_Bldg_a*Public^2/D708^2))/(-Offsite_Bldg_a))</f>
        <v>0</v>
      </c>
      <c r="E781" s="83"/>
      <c r="F781" s="321">
        <f>IF(F709="No",0,3.14*Offsite_Area_Bldg_Factor*IF(Offsite_PD1="",Offsite_PD/1000000,Offsite_PD1)*F708^2*(EXP(-Offsite_Bldg_a*Zone_1^2/F708^2)-EXP(-Offsite_Bldg_a*Public^2/F708^2))/(-Offsite_Bldg_a))</f>
        <v>0</v>
      </c>
      <c r="G781" s="83"/>
      <c r="H781" s="321">
        <f>IF(H709="No",0,3.14*Offsite_Area_Bldg_Factor*IF(Offsite_PD1="",Offsite_PD/1000000,Offsite_PD1)*H708^2*(EXP(-Offsite_Bldg_a*Zone_1^2/H708^2)-EXP(-Offsite_Bldg_a*Public^2/H708^2))/(-Offsite_Bldg_a))</f>
        <v>0</v>
      </c>
      <c r="I781" s="83"/>
      <c r="J781" s="321">
        <f>IF(J709="No",0,3.14*Offsite_Area_Bldg_Factor*IF(Offsite_PD1="",Offsite_PD/1000000,Offsite_PD1)*J708^2*(EXP(-Offsite_Bldg_a*Zone_1^2/J708^2)-EXP(-Offsite_Bldg_a*Public^2/J708^2))/(-Offsite_Bldg_a))</f>
        <v>0</v>
      </c>
      <c r="K781" s="83"/>
      <c r="L781" s="321">
        <f>IF(L709="No",0,3.14*Offsite_Area_Bldg_Factor*IF(Offsite_PD1="",Offsite_PD/1000000,Offsite_PD1)*L708^2*(EXP(-Offsite_Bldg_a*Zone_1^2/L708^2)-EXP(-Offsite_Bldg_a*Public^2/L708^2))/(-Offsite_Bldg_a))</f>
        <v>0</v>
      </c>
      <c r="M781" s="83"/>
      <c r="N781" s="321">
        <f>IF(N709="No",0,3.14*Offsite_Area_Bldg_Factor*IF(Offsite_PD1="",Offsite_PD/1000000,Offsite_PD1)*N708^2*(EXP(-Offsite_Bldg_a*Zone_1^2/N708^2)-EXP(-Offsite_Bldg_a*Public^2/N708^2))/(-Offsite_Bldg_a))</f>
        <v>0</v>
      </c>
      <c r="O781" s="83"/>
      <c r="P781" s="321">
        <f>IF(P709="No",0,3.14*Offsite_Area_Bldg_Factor*IF(Offsite_PD1="",Offsite_PD/1000000,Offsite_PD1)*P708^2*(EXP(-Offsite_Bldg_a*Zone_1^2/P708^2)-EXP(-Offsite_Bldg_a*Public^2/P708^2))/(-Offsite_Bldg_a))</f>
        <v>0</v>
      </c>
      <c r="Q781" s="83"/>
      <c r="R781" s="321">
        <f>IF(R709="No",0,3.14*Offsite_Area_Bldg_Factor*IF(Offsite_PD1="",Offsite_PD/1000000,Offsite_PD1)*R708^2*(EXP(-Offsite_Bldg_a*Zone_1^2/R708^2)-EXP(-Offsite_Bldg_a*Public^2/R708^2))/(-Offsite_Bldg_a))</f>
        <v>0</v>
      </c>
      <c r="S781" s="83"/>
      <c r="T781" s="321">
        <f>IF(T709="No",0,3.14*Offsite_Area_Bldg_Factor*IF(Offsite_PD1="",Offsite_PD/1000000,Offsite_PD1)*T708^2*(EXP(-Offsite_Bldg_a*Zone_1^2/T708^2)-EXP(-Offsite_Bldg_a*Public^2/T708^2))/(-Offsite_Bldg_a))</f>
        <v>0</v>
      </c>
      <c r="U781" s="83"/>
      <c r="V781" s="321">
        <f>IF(V709="No",0,3.14*Offsite_Area_Bldg_Factor*IF(Offsite_PD1="",Offsite_PD/1000000,Offsite_PD1)*V708^2*(EXP(-Offsite_Bldg_a*Zone_1^2/V708^2)-EXP(-Offsite_Bldg_a*Public^2/V708^2))/(-Offsite_Bldg_a))</f>
        <v>0</v>
      </c>
      <c r="W781" s="83"/>
      <c r="X781" s="321">
        <f>IF(X709="No",0,3.14*Offsite_Area_Bldg_Factor*IF(Offsite_PD1="",Offsite_PD/1000000,Offsite_PD1)*X708^2*(EXP(-Offsite_Bldg_a*Zone_1^2/X708^2)-EXP(-Offsite_Bldg_a*Public^2/X708^2))/(-Offsite_Bldg_a))</f>
        <v>0</v>
      </c>
      <c r="Y781" s="83"/>
      <c r="Z781" s="23"/>
      <c r="AA781" s="2"/>
      <c r="AB781" s="81"/>
      <c r="AC781" s="23" t="s">
        <v>1054</v>
      </c>
      <c r="AD781" s="81"/>
      <c r="AE781" s="1861">
        <f>Op_Indoors*AE780+IF(AND(AE$305="Yes",OR(AE715="Yes",AE716="Yes")),0.9,0)</f>
        <v>0</v>
      </c>
      <c r="AF781" s="81"/>
      <c r="AG781" s="1861">
        <f>Op_Indoors*AG780+IF(AND(AG$305="Yes",OR(AG715="Yes",AG716="Yes")),0.9,0)</f>
        <v>0</v>
      </c>
      <c r="AH781" s="81"/>
      <c r="AI781" s="1861">
        <f>Op_Indoors*AI780+IF(AND(AI$305="Yes",OR(AI715="Yes",AI716="Yes")),0.9,0)</f>
        <v>0</v>
      </c>
      <c r="AJ781" s="81"/>
      <c r="AK781" s="81"/>
      <c r="AL781" s="81"/>
      <c r="AM781" s="81"/>
      <c r="AN781" s="81"/>
      <c r="AO781" s="81"/>
      <c r="AP781" s="81"/>
      <c r="AQ781" s="23"/>
      <c r="AR781" s="81"/>
    </row>
    <row r="782" spans="1:44" ht="15" customHeight="1" x14ac:dyDescent="0.25">
      <c r="A782" s="2"/>
      <c r="B782" s="23" t="s">
        <v>5216</v>
      </c>
      <c r="C782" s="83"/>
      <c r="D782" s="1820">
        <f>IF(D709="No",0,3.14*Offsite_Area_Bldg_Factor*IF(Offsite_PD2="",Offsite_PD/1000000,Offsite_PD2)*D708^2*(0-EXP(-Offsite_Bldg_a*Zone_1^2/D708^2))/(-Offsite_Bldg_a))</f>
        <v>0</v>
      </c>
      <c r="E782" s="83"/>
      <c r="F782" s="1820">
        <f>IF(F709="No",0,3.14*Offsite_Area_Bldg_Factor*IF(Offsite_PD2="",Offsite_PD/1000000,Offsite_PD2)*F708^2*(0-EXP(-Offsite_Bldg_a*Zone_1^2/F708^2))/(-Offsite_Bldg_a))</f>
        <v>0</v>
      </c>
      <c r="G782" s="83"/>
      <c r="H782" s="1820">
        <f>IF(H709="No",0,3.14*Offsite_Area_Bldg_Factor*IF(Offsite_PD2="",Offsite_PD/1000000,Offsite_PD2)*H708^2*(0-EXP(-Offsite_Bldg_a*Zone_1^2/H708^2))/(-Offsite_Bldg_a))</f>
        <v>0</v>
      </c>
      <c r="I782" s="83"/>
      <c r="J782" s="1820">
        <f>IF(J709="No",0,3.14*Offsite_Area_Bldg_Factor*IF(Offsite_PD2="",Offsite_PD/1000000,Offsite_PD2)*J708^2*(0-EXP(-Offsite_Bldg_a*Zone_1^2/J708^2))/(-Offsite_Bldg_a))</f>
        <v>0</v>
      </c>
      <c r="K782" s="83"/>
      <c r="L782" s="1820">
        <f>IF(L709="No",0,3.14*Offsite_Area_Bldg_Factor*IF(Offsite_PD2="",Offsite_PD/1000000,Offsite_PD2)*L708^2*(0-EXP(-Offsite_Bldg_a*Zone_1^2/L708^2))/(-Offsite_Bldg_a))</f>
        <v>0</v>
      </c>
      <c r="M782" s="83"/>
      <c r="N782" s="1820">
        <f>IF(N709="No",0,3.14*Offsite_Area_Bldg_Factor*IF(Offsite_PD2="",Offsite_PD/1000000,Offsite_PD2)*N708^2*(0-EXP(-Offsite_Bldg_a*Zone_1^2/N708^2))/(-Offsite_Bldg_a))</f>
        <v>0</v>
      </c>
      <c r="O782" s="83"/>
      <c r="P782" s="1820">
        <f>IF(P709="No",0,3.14*Offsite_Area_Bldg_Factor*IF(Offsite_PD2="",Offsite_PD/1000000,Offsite_PD2)*P708^2*(0-EXP(-Offsite_Bldg_a*Zone_1^2/P708^2))/(-Offsite_Bldg_a))</f>
        <v>0</v>
      </c>
      <c r="Q782" s="83"/>
      <c r="R782" s="1820">
        <f>IF(R709="No",0,3.14*Offsite_Area_Bldg_Factor*IF(Offsite_PD2="",Offsite_PD/1000000,Offsite_PD2)*R708^2*(0-EXP(-Offsite_Bldg_a*Zone_1^2/R708^2))/(-Offsite_Bldg_a))</f>
        <v>0</v>
      </c>
      <c r="S782" s="83"/>
      <c r="T782" s="1820">
        <f>IF(T709="No",0,3.14*Offsite_Area_Bldg_Factor*IF(Offsite_PD2="",Offsite_PD/1000000,Offsite_PD2)*T708^2*(0-EXP(-Offsite_Bldg_a*Zone_1^2/T708^2))/(-Offsite_Bldg_a))</f>
        <v>0</v>
      </c>
      <c r="U782" s="83"/>
      <c r="V782" s="1820">
        <f>IF(V709="No",0,3.14*Offsite_Area_Bldg_Factor*IF(Offsite_PD2="",Offsite_PD/1000000,Offsite_PD2)*V708^2*(0-EXP(-Offsite_Bldg_a*Zone_1^2/V708^2))/(-Offsite_Bldg_a))</f>
        <v>0</v>
      </c>
      <c r="W782" s="83"/>
      <c r="X782" s="1820">
        <f>IF(X709="No",0,3.14*Offsite_Area_Bldg_Factor*IF(Offsite_PD2="",Offsite_PD/1000000,Offsite_PD2)*X708^2*(0-EXP(-Offsite_Bldg_a*Zone_1^2/X708^2))/(-Offsite_Bldg_a))</f>
        <v>0</v>
      </c>
      <c r="Y782" s="83"/>
      <c r="Z782" s="23"/>
      <c r="AA782" s="83"/>
      <c r="AB782" s="81"/>
      <c r="AC782" s="85" t="s">
        <v>1414</v>
      </c>
      <c r="AD782" s="81"/>
      <c r="AE782" s="1208">
        <v>0</v>
      </c>
      <c r="AF782" s="81"/>
      <c r="AG782" s="1208">
        <v>0</v>
      </c>
      <c r="AH782" s="81"/>
      <c r="AI782" s="1208">
        <v>0</v>
      </c>
      <c r="AJ782" s="81"/>
      <c r="AK782" s="81"/>
      <c r="AL782" s="81"/>
      <c r="AM782" s="81"/>
      <c r="AN782" s="81"/>
      <c r="AO782" s="81"/>
      <c r="AP782" s="81"/>
      <c r="AQ782" s="23"/>
      <c r="AR782" s="81"/>
    </row>
    <row r="783" spans="1:44" ht="15" customHeight="1" thickBot="1" x14ac:dyDescent="0.3">
      <c r="A783" s="2"/>
      <c r="B783" s="512" t="s">
        <v>5217</v>
      </c>
      <c r="C783" s="83"/>
      <c r="D783" s="3169">
        <f>D781+D782</f>
        <v>0</v>
      </c>
      <c r="E783" s="83"/>
      <c r="F783" s="3169">
        <f>F781+F782</f>
        <v>0</v>
      </c>
      <c r="G783" s="83"/>
      <c r="H783" s="3169">
        <f>H781+H782</f>
        <v>0</v>
      </c>
      <c r="I783" s="83"/>
      <c r="J783" s="3169">
        <f>J781+J782</f>
        <v>0</v>
      </c>
      <c r="K783" s="83"/>
      <c r="L783" s="3169">
        <f>L781+L782</f>
        <v>0</v>
      </c>
      <c r="M783" s="83"/>
      <c r="N783" s="3169">
        <f>N781+N782</f>
        <v>0</v>
      </c>
      <c r="O783" s="83"/>
      <c r="P783" s="3169">
        <f>P781+P782</f>
        <v>0</v>
      </c>
      <c r="Q783" s="83"/>
      <c r="R783" s="3169">
        <f>R781+R782</f>
        <v>0</v>
      </c>
      <c r="S783" s="83"/>
      <c r="T783" s="3169">
        <f>T781+T782</f>
        <v>0</v>
      </c>
      <c r="U783" s="83"/>
      <c r="V783" s="3169">
        <f>V781+V782</f>
        <v>0</v>
      </c>
      <c r="W783" s="83"/>
      <c r="X783" s="3169">
        <f>X781+X782</f>
        <v>0</v>
      </c>
      <c r="Y783" s="83"/>
      <c r="Z783" s="23"/>
      <c r="AA783" s="83"/>
      <c r="AB783" s="81"/>
      <c r="AC783" s="25" t="s">
        <v>4797</v>
      </c>
      <c r="AD783" s="81"/>
      <c r="AE783" s="1208" t="str">
        <f>IF(AE780=0,"NA",IF(AND(AE$305&lt;&gt;"Yes",AE780&lt;HD_VeryLow_Indoor),Conseq_VeryLow,IF(AE780&lt;HD_Low_Indoor,Conseq_Low,IF(AE780&lt;HD_Moderate_Indoor,Conseq_Moderate,IF(AE780&lt;HD_High_Indoor,Conseq_High,Conseq_VeryHigh)))))</f>
        <v>NA</v>
      </c>
      <c r="AF783" s="81"/>
      <c r="AG783" s="1208" t="str">
        <f>IF(AG780=0,"NA",IF(AND(AG$305&lt;&gt;"Yes",AG780&lt;HD_VeryLow_Indoor),Conseq_VeryLow,IF(AG780&lt;HD_Low_Indoor,Conseq_Low,IF(AG780&lt;HD_Moderate_Indoor,Conseq_Moderate,IF(AG780&lt;HD_High_Indoor,Conseq_High,Conseq_VeryHigh)))))</f>
        <v>NA</v>
      </c>
      <c r="AH783" s="81"/>
      <c r="AI783" s="1208" t="str">
        <f>IF(AI780=0,"NA",IF(AND(AI$305&lt;&gt;"Yes",AI780&lt;HD_VeryLow_Indoor),Conseq_VeryLow,IF(AI780&lt;HD_Low_Indoor,Conseq_Low,IF(AI780&lt;HD_Moderate_Indoor,Conseq_Moderate,IF(AI780&lt;HD_High_Indoor,Conseq_High,Conseq_VeryHigh)))))</f>
        <v>NA</v>
      </c>
      <c r="AJ783" s="81"/>
      <c r="AK783" s="81"/>
      <c r="AL783" s="81"/>
      <c r="AM783" s="81"/>
      <c r="AN783" s="81"/>
      <c r="AO783" s="81"/>
      <c r="AP783" s="81"/>
      <c r="AQ783" s="23"/>
      <c r="AR783" s="81"/>
    </row>
    <row r="784" spans="1:44" ht="15" customHeight="1" thickBot="1" x14ac:dyDescent="0.3">
      <c r="A784" s="2"/>
      <c r="B784" s="23" t="s">
        <v>1979</v>
      </c>
      <c r="C784" s="83"/>
      <c r="D784" s="1182">
        <f>D763+D783+IF(Occ_Bldg2_Direction="Yes",D778+D780,IF(D778&gt;D780,D778,D780))</f>
        <v>0</v>
      </c>
      <c r="E784" s="83"/>
      <c r="F784" s="1182">
        <f>F763+F783+IF(Occ_Bldg2_Direction="Yes",F778+F780,IF(F778&gt;F780,F778,F780))</f>
        <v>0</v>
      </c>
      <c r="G784" s="83"/>
      <c r="H784" s="1182">
        <f>H763+H783+IF(Occ_Bldg2_Direction="Yes",H778+H780,IF(H778&gt;H780,H778,H780))</f>
        <v>0</v>
      </c>
      <c r="I784" s="83"/>
      <c r="J784" s="1182">
        <f>J763+J783+IF(Occ_Bldg2_Direction="Yes",J778+J780,IF(J778&gt;J780,J778,J780))</f>
        <v>0</v>
      </c>
      <c r="K784" s="83"/>
      <c r="L784" s="1182">
        <f>L763+L783+IF(Occ_Bldg2_Direction="Yes",L778+L780,IF(L778&gt;L780,L778,L780))</f>
        <v>0</v>
      </c>
      <c r="M784" s="83"/>
      <c r="N784" s="1182">
        <f>N763+N783+IF(Occ_Bldg2_Direction="Yes",N778+N780,IF(N778&gt;N780,N778,N780))</f>
        <v>0</v>
      </c>
      <c r="O784" s="83"/>
      <c r="P784" s="1182">
        <f>P763+P783+IF(Occ_Bldg2_Direction="Yes",P778+P780,IF(P778&gt;P780,P778,P780))</f>
        <v>0</v>
      </c>
      <c r="Q784" s="83"/>
      <c r="R784" s="1182">
        <f>R763+R783+IF(Occ_Bldg2_Direction="Yes",R778+R780,IF(R778&gt;R780,R778,R780))</f>
        <v>0</v>
      </c>
      <c r="S784" s="83"/>
      <c r="T784" s="1182">
        <f>T763+T783+IF(Occ_Bldg2_Direction="Yes",T778+T780,IF(T778&gt;T780,T778,T780))</f>
        <v>0</v>
      </c>
      <c r="U784" s="83"/>
      <c r="V784" s="1182">
        <f>V763+V783+IF(Occ_Bldg2_Direction="Yes",V778+V780,IF(V778&gt;V780,V778,V780))</f>
        <v>0</v>
      </c>
      <c r="W784" s="83"/>
      <c r="X784" s="1182">
        <f>X763+X783+IF(Occ_Bldg2_Direction="Yes",X778+X780,IF(X778&gt;X780,X778,X780))</f>
        <v>0</v>
      </c>
      <c r="Y784" s="83"/>
      <c r="Z784" s="107"/>
      <c r="AA784" s="83"/>
      <c r="AB784" s="81"/>
      <c r="AC784" s="25" t="s">
        <v>4225</v>
      </c>
      <c r="AD784" s="81"/>
      <c r="AE784" s="2135" t="str">
        <f>IF(Conseq_Criteria="Hazard Distance",AE783,IF(AND(OR(AE650="",AND(Regulatory_Tox&lt;&gt;"Yes",ER3_Min&gt;Toxic_Limit),AE715="No"),AE716="No"),"NA",IF(AE781&lt;N_VeryLow,Conseq_VeryLow,IF(AE781&lt;N_Low,Conseq_Low,IF(AE781&lt;N_Moderate,Conseq_Moderate,IF(AE781&lt;N_High,Conseq_High,IF(AE781&lt;N_VeryHigh,Conseq_VeryHigh,Conseq_ExtremeHigh)))))))</f>
        <v>NA</v>
      </c>
      <c r="AF784" s="81"/>
      <c r="AG784" s="2135" t="str">
        <f>IF(Conseq_Criteria="Hazard Distance",AG783,IF(AND(OR(AG650="",AND(Regulatory_Tox&lt;&gt;"Yes",ER3_Min&gt;Toxic_Limit),AG715="No"),AG716="No"),"NA",IF(AG781&lt;N_VeryLow,Conseq_VeryLow,IF(AG781&lt;N_Low,Conseq_Low,IF(AG781&lt;N_Moderate,Conseq_Moderate,IF(AG781&lt;N_High,Conseq_High,IF(AG781&lt;N_VeryHigh,Conseq_VeryHigh,Conseq_ExtremeHigh)))))))</f>
        <v>NA</v>
      </c>
      <c r="AH784" s="81"/>
      <c r="AI784" s="2135" t="str">
        <f>IF(Conseq_Criteria="Hazard Distance",AI783,IF(AND(OR(AI650="",AND(Regulatory_Tox&lt;&gt;"Yes",ER3_Min&gt;Toxic_Limit),AI715="No"),AI716="No"),"NA",IF(AI781&lt;N_VeryLow,Conseq_VeryLow,IF(AI781&lt;N_Low,Conseq_Low,IF(AI781&lt;N_Moderate,Conseq_Moderate,IF(AI781&lt;N_High,Conseq_High,IF(AI781&lt;N_VeryHigh,Conseq_VeryHigh,Conseq_ExtremeHigh)))))))</f>
        <v>NA</v>
      </c>
      <c r="AJ784" s="81"/>
      <c r="AK784" s="81"/>
      <c r="AL784" s="81"/>
      <c r="AM784" s="81"/>
      <c r="AN784" s="81"/>
      <c r="AO784" s="81"/>
      <c r="AP784" s="81"/>
      <c r="AQ784" s="89"/>
      <c r="AR784" s="81"/>
    </row>
    <row r="785" spans="1:44" ht="15" customHeight="1" thickBot="1" x14ac:dyDescent="0.3">
      <c r="A785" s="2"/>
      <c r="B785" s="25" t="s">
        <v>4796</v>
      </c>
      <c r="C785" s="83"/>
      <c r="D785" s="3016" t="str">
        <f>IF(D701&lt;&gt;"Yes","NA",IF(MAX(D711/Bldg_Type_Correction,D715/Bldg2_Type_Correction)&lt;HD_Low_Expl,Conseq_Low,IF(MAX(D711/Bldg_Type_Correction,D715/Bldg2_Type_Correction)&lt;HD_Moderate_Expl,Conseq_Moderate,IF(MAX(D711/Bldg_Type_Correction,D715/Bldg2_Type_Correction)&lt;HD_High_Expl,Conseq_High,IF(MAX(D711/Bldg_Type_Correction,D715/Bldg2_Type_Correction)&lt;HD_VeryHigh_Expl,Conseq_VeryHigh,Conseq_ExtremeHigh)))))</f>
        <v>NA</v>
      </c>
      <c r="E785" s="1024"/>
      <c r="F785" s="3016" t="str">
        <f>IF(F701&lt;&gt;"Yes","NA",IF(MAX(F711/Bldg_Type_Correction,F715/Bldg2_Type_Correction)&lt;HD_Low_Expl,Conseq_Low,IF(MAX(F711/Bldg_Type_Correction,F715/Bldg2_Type_Correction)&lt;HD_Moderate_Expl,Conseq_Moderate,IF(MAX(F711/Bldg_Type_Correction,F715/Bldg2_Type_Correction)&lt;HD_High_Expl,Conseq_High,IF(MAX(F711/Bldg_Type_Correction,F715/Bldg2_Type_Correction)&lt;HD_VeryHigh_Expl,Conseq_VeryHigh,Conseq_ExtremeHigh)))))</f>
        <v>NA</v>
      </c>
      <c r="G785" s="1024"/>
      <c r="H785" s="3016" t="str">
        <f>IF(H701&lt;&gt;"Yes","NA",IF(MAX(H711/Bldg_Type_Correction,H715/Bldg2_Type_Correction)&lt;HD_Low_Expl,Conseq_Low,IF(MAX(H711/Bldg_Type_Correction,H715/Bldg2_Type_Correction)&lt;HD_Moderate_Expl,Conseq_Moderate,IF(MAX(H711/Bldg_Type_Correction,H715/Bldg2_Type_Correction)&lt;HD_High_Expl,Conseq_High,IF(MAX(H711/Bldg_Type_Correction,H715/Bldg2_Type_Correction)&lt;HD_VeryHigh_Expl,Conseq_VeryHigh,Conseq_ExtremeHigh)))))</f>
        <v>NA</v>
      </c>
      <c r="I785" s="1024"/>
      <c r="J785" s="3016" t="str">
        <f>IF(J701&lt;&gt;"Yes","NA",IF(MAX(J711/Bldg_Type_Correction,J715/Bldg2_Type_Correction)&lt;HD_Low_Expl,Conseq_Low,IF(MAX(J711/Bldg_Type_Correction,J715/Bldg2_Type_Correction)&lt;HD_Moderate_Expl,Conseq_Moderate,IF(MAX(J711/Bldg_Type_Correction,J715/Bldg2_Type_Correction)&lt;HD_High_Expl,Conseq_High,IF(MAX(J711/Bldg_Type_Correction,J715/Bldg2_Type_Correction)&lt;HD_VeryHigh_Expl,Conseq_VeryHigh,Conseq_ExtremeHigh)))))</f>
        <v>NA</v>
      </c>
      <c r="K785" s="1024"/>
      <c r="L785" s="3016" t="str">
        <f>IF(L701&lt;&gt;"Yes","NA",IF(MAX(L711/Bldg_Type_Correction,L715/Bldg2_Type_Correction)&lt;HD_Low_Expl,Conseq_Low,IF(MAX(L711/Bldg_Type_Correction,L715/Bldg2_Type_Correction)&lt;HD_Moderate_Expl,Conseq_Moderate,IF(MAX(L711/Bldg_Type_Correction,L715/Bldg2_Type_Correction)&lt;HD_High_Expl,Conseq_High,IF(MAX(L711/Bldg_Type_Correction,L715/Bldg2_Type_Correction)&lt;HD_VeryHigh_Expl,Conseq_VeryHigh,Conseq_ExtremeHigh)))))</f>
        <v>NA</v>
      </c>
      <c r="M785" s="1024"/>
      <c r="N785" s="3016" t="str">
        <f>IF(N701&lt;&gt;"Yes","NA",IF(MAX(N711/Bldg_Type_Correction,N715/Bldg2_Type_Correction)&lt;HD_Low_Expl,Conseq_Low,IF(MAX(N711/Bldg_Type_Correction,N715/Bldg2_Type_Correction)&lt;HD_Moderate_Expl,Conseq_Moderate,IF(MAX(N711/Bldg_Type_Correction,N715/Bldg2_Type_Correction)&lt;HD_High_Expl,Conseq_High,IF(MAX(N711/Bldg_Type_Correction,N715/Bldg2_Type_Correction)&lt;HD_VeryHigh_Expl,Conseq_VeryHigh,Conseq_ExtremeHigh)))))</f>
        <v>NA</v>
      </c>
      <c r="O785" s="1024"/>
      <c r="P785" s="3016" t="str">
        <f>IF(P701&lt;&gt;"Yes","NA",IF(MAX(P711/Bldg_Type_Correction,P715/Bldg2_Type_Correction)&lt;HD_Low_Expl,Conseq_Low,IF(MAX(P711/Bldg_Type_Correction,P715/Bldg2_Type_Correction)&lt;HD_Moderate_Expl,Conseq_Moderate,IF(MAX(P711/Bldg_Type_Correction,P715/Bldg2_Type_Correction)&lt;HD_High_Expl,Conseq_High,IF(MAX(P711/Bldg_Type_Correction,P715/Bldg2_Type_Correction)&lt;HD_VeryHigh_Expl,Conseq_VeryHigh,Conseq_ExtremeHigh)))))</f>
        <v>NA</v>
      </c>
      <c r="Q785" s="1024"/>
      <c r="R785" s="3016" t="str">
        <f>IF(R701&lt;&gt;"Yes","NA",IF(MAX(R711/Bldg_Type_Correction,R715/Bldg2_Type_Correction)&lt;HD_Low_Expl,Conseq_Low,IF(MAX(R711/Bldg_Type_Correction,R715/Bldg2_Type_Correction)&lt;HD_Moderate_Expl,Conseq_Moderate,IF(MAX(R711/Bldg_Type_Correction,R715/Bldg2_Type_Correction)&lt;HD_High_Expl,Conseq_High,IF(MAX(R711/Bldg_Type_Correction,R715/Bldg2_Type_Correction)&lt;HD_VeryHigh_Expl,Conseq_VeryHigh,Conseq_ExtremeHigh)))))</f>
        <v>NA</v>
      </c>
      <c r="S785" s="1024"/>
      <c r="T785" s="3025" t="str">
        <f>IF(T701&lt;&gt;"Yes","NA",IF(MAX(T711/Bldg_Type_Correction,T715/Bldg2_Type_Correction)&lt;HD_Low_Expl,Conseq_Low,IF(MAX(T711/Bldg_Type_Correction,T715/Bldg2_Type_Correction)&lt;HD_Moderate_Expl,Conseq_Moderate,IF(MAX(T711/Bldg_Type_Correction,T715/Bldg2_Type_Correction)&lt;HD_High_Expl,Conseq_High,IF(MAX(T711/Bldg_Type_Correction,T715/Bldg2_Type_Correction)&lt;HD_VeryHigh_Expl,Conseq_VeryHigh,Conseq_ExtremeHigh)))))</f>
        <v>NA</v>
      </c>
      <c r="U785" s="1024"/>
      <c r="V785" s="3016" t="str">
        <f>IF(V701&lt;&gt;"Yes","NA",IF(MAX(V711/Bldg_Type_Correction,V715/Bldg2_Type_Correction)&lt;HD_Low_Expl,Conseq_Low,IF(MAX(V711/Bldg_Type_Correction,V715/Bldg2_Type_Correction)&lt;HD_Moderate_Expl,Conseq_Moderate,IF(MAX(V711/Bldg_Type_Correction,V715/Bldg2_Type_Correction)&lt;HD_High_Expl,Conseq_High,IF(MAX(V711/Bldg_Type_Correction,V715/Bldg2_Type_Correction)&lt;HD_VeryHigh_Expl,Conseq_VeryHigh,Conseq_ExtremeHigh)))))</f>
        <v>NA</v>
      </c>
      <c r="W785" s="1024"/>
      <c r="X785" s="3016" t="str">
        <f>IF(X701&lt;&gt;"Yes","NA",IF(MAX(X711/Bldg_Type_Correction,X715/Bldg2_Type_Correction)&lt;HD_Low_Expl,Conseq_Low,IF(MAX(X711/Bldg_Type_Correction,X715/Bldg2_Type_Correction)&lt;HD_Moderate_Expl,Conseq_Moderate,IF(MAX(X711/Bldg_Type_Correction,X715/Bldg2_Type_Correction)&lt;HD_High_Expl,Conseq_High,IF(MAX(X711/Bldg_Type_Correction,X715/Bldg2_Type_Correction)&lt;HD_VeryHigh_Expl,Conseq_VeryHigh,Conseq_ExtremeHigh)))))</f>
        <v>NA</v>
      </c>
      <c r="Y785" s="83"/>
      <c r="Z785" s="107"/>
      <c r="AA785" s="83"/>
      <c r="AB785" s="81"/>
      <c r="AC785" s="23" t="s">
        <v>4061</v>
      </c>
      <c r="AD785" s="81"/>
      <c r="AE785" s="1820">
        <f>IF(OR(AE$686=0,AE707=0),0,MIN(1,EXP(AE$686+AE$687/AE707^(2*AE531))))</f>
        <v>0</v>
      </c>
      <c r="AF785" s="81"/>
      <c r="AG785" s="1820">
        <f>IF(OR(AG$686=0,AG707=0),0,MIN(1,EXP(AG$686+AG$687/AG707^(2*AG531))))</f>
        <v>0</v>
      </c>
      <c r="AH785" s="81"/>
      <c r="AI785" s="1820">
        <f>IF(OR(AI$686=0,AI707=0),0,MIN(1,EXP(AI$686+AI$687/AI707^(2*AI531))))</f>
        <v>0</v>
      </c>
      <c r="AJ785" s="81"/>
      <c r="AK785" s="81"/>
      <c r="AL785" s="81"/>
      <c r="AM785" s="81"/>
      <c r="AN785" s="81"/>
      <c r="AO785" s="81"/>
      <c r="AP785" s="81"/>
      <c r="AQ785" s="23"/>
      <c r="AR785" s="81"/>
    </row>
    <row r="786" spans="1:44" ht="15" customHeight="1" thickBot="1" x14ac:dyDescent="0.3">
      <c r="A786" s="2"/>
      <c r="B786" s="25" t="s">
        <v>4230</v>
      </c>
      <c r="C786" s="83"/>
      <c r="D786" s="3017" t="str">
        <f>IF(Conseq_Criteria="Hazard Distance",D785,IF(OR(D701&lt;&gt;"Yes",D784&lt;N_Screening),"NA",IF(D784&lt;N_VeryLow,Conseq_VeryLow,IF(D784&lt;N_Low,Conseq_Low,IF(D784&lt;N_Moderate,Conseq_Moderate,IF(D784&lt;N_High,Conseq_High,IF(D784&lt;N_VeryHigh,Conseq_VeryHigh,Conseq_ExtremeHigh)))))))</f>
        <v>NA</v>
      </c>
      <c r="E786" s="83"/>
      <c r="F786" s="3017" t="str">
        <f>IF(Conseq_Criteria="Hazard Distance",F785,IF(OR(F701&lt;&gt;"Yes",F784&lt;N_Screening),"NA",IF(F784&lt;N_VeryLow,Conseq_VeryLow,IF(F784&lt;N_Low,Conseq_Low,IF(F784&lt;N_Moderate,Conseq_Moderate,IF(F784&lt;N_High,Conseq_High,IF(F784&lt;N_VeryHigh,Conseq_VeryHigh,Conseq_ExtremeHigh)))))))</f>
        <v>NA</v>
      </c>
      <c r="G786" s="83"/>
      <c r="H786" s="3017" t="str">
        <f>IF(Conseq_Criteria="Hazard Distance",H785,IF(OR(H701&lt;&gt;"Yes",H784&lt;N_Screening),"NA",IF(H784&lt;N_VeryLow,Conseq_VeryLow,IF(H784&lt;N_Low,Conseq_Low,IF(H784&lt;N_Moderate,Conseq_Moderate,IF(H784&lt;N_High,Conseq_High,IF(H784&lt;N_VeryHigh,Conseq_VeryHigh,Conseq_ExtremeHigh)))))))</f>
        <v>NA</v>
      </c>
      <c r="I786" s="83"/>
      <c r="J786" s="3017" t="str">
        <f>IF(Conseq_Criteria="Hazard Distance",J785,IF(OR(J701&lt;&gt;"Yes",J784&lt;N_Screening),"NA",IF(J784&lt;N_VeryLow,Conseq_VeryLow,IF(J784&lt;N_Low,Conseq_Low,IF(J784&lt;N_Moderate,Conseq_Moderate,IF(J784&lt;N_High,Conseq_High,IF(J784&lt;N_VeryHigh,Conseq_VeryHigh,Conseq_ExtremeHigh)))))))</f>
        <v>NA</v>
      </c>
      <c r="K786" s="83"/>
      <c r="L786" s="3017" t="str">
        <f>IF(Conseq_Criteria="Hazard Distance",L785,IF(OR(L701&lt;&gt;"Yes",L784&lt;N_Screening),"NA",IF(L784&lt;N_VeryLow,Conseq_VeryLow,IF(L784&lt;N_Low,Conseq_Low,IF(L784&lt;N_Moderate,Conseq_Moderate,IF(L784&lt;N_High,Conseq_High,IF(L784&lt;N_VeryHigh,Conseq_VeryHigh,Conseq_ExtremeHigh)))))))</f>
        <v>NA</v>
      </c>
      <c r="M786" s="83"/>
      <c r="N786" s="3017" t="str">
        <f>IF(Conseq_Criteria="Hazard Distance",N785,IF(OR(N701&lt;&gt;"Yes",N784&lt;N_Screening),"NA",IF(N784&lt;N_VeryLow,Conseq_VeryLow,IF(N784&lt;N_Low,Conseq_Low,IF(N784&lt;N_Moderate,Conseq_Moderate,IF(N784&lt;N_High,Conseq_High,IF(N784&lt;N_VeryHigh,Conseq_VeryHigh,Conseq_ExtremeHigh)))))))</f>
        <v>NA</v>
      </c>
      <c r="O786" s="83"/>
      <c r="P786" s="3017" t="str">
        <f>IF(Conseq_Criteria="Hazard Distance",P785,IF(OR(P701&lt;&gt;"Yes",P784&lt;N_Screening),"NA",IF(P784&lt;N_VeryLow,Conseq_VeryLow,IF(P784&lt;N_Low,Conseq_Low,IF(P784&lt;N_Moderate,Conseq_Moderate,IF(P784&lt;N_High,Conseq_High,IF(P784&lt;N_VeryHigh,Conseq_VeryHigh,Conseq_ExtremeHigh)))))))</f>
        <v>NA</v>
      </c>
      <c r="Q786" s="83"/>
      <c r="R786" s="3017" t="str">
        <f>IF(Conseq_Criteria="Hazard Distance",R785,IF(OR(R701&lt;&gt;"Yes",R784&lt;N_Screening),"NA",IF(R784&lt;N_VeryLow,Conseq_VeryLow,IF(R784&lt;N_Low,Conseq_Low,IF(R784&lt;N_Moderate,Conseq_Moderate,IF(R784&lt;N_High,Conseq_High,IF(R784&lt;N_VeryHigh,Conseq_VeryHigh,Conseq_ExtremeHigh)))))))</f>
        <v>NA</v>
      </c>
      <c r="S786" s="83"/>
      <c r="T786" s="3012" t="str">
        <f>IF(Conseq_Criteria="Hazard Distance",T785,IF(OR(T701&lt;&gt;"Yes",T784&lt;N_Screening),"NA",IF(T784&lt;N_VeryLow,Conseq_VeryLow,IF(T784&lt;N_Low,Conseq_Low,IF(T784&lt;N_Moderate,Conseq_Moderate,IF(T784&lt;N_High,Conseq_High,IF(T784&lt;N_VeryHigh,Conseq_VeryHigh,Conseq_ExtremeHigh)))))))</f>
        <v>NA</v>
      </c>
      <c r="U786" s="83"/>
      <c r="V786" s="3017" t="str">
        <f>IF(Conseq_Criteria="Hazard Distance",V785,IF(OR(V701&lt;&gt;"Yes",V784&lt;N_Screening),"NA",IF(V784&lt;N_VeryLow,Conseq_VeryLow,IF(V784&lt;N_Low,Conseq_Low,IF(V784&lt;N_Moderate,Conseq_Moderate,IF(V784&lt;N_High,Conseq_High,IF(V784&lt;N_VeryHigh,Conseq_VeryHigh,Conseq_ExtremeHigh)))))))</f>
        <v>NA</v>
      </c>
      <c r="W786" s="83"/>
      <c r="X786" s="3017" t="str">
        <f>IF(Conseq_Criteria="Hazard Distance",X785,IF(OR(X701&lt;&gt;"Yes",X784&lt;N_Screening),"NA",IF(X784&lt;N_VeryLow,Conseq_VeryLow,IF(X784&lt;N_Low,Conseq_Low,IF(X784&lt;N_Moderate,Conseq_Moderate,IF(X784&lt;N_High,Conseq_High,IF(X784&lt;N_VeryHigh,Conseq_VeryHigh,Conseq_ExtremeHigh)))))))</f>
        <v>NA</v>
      </c>
      <c r="Y786" s="83"/>
      <c r="Z786" s="89"/>
      <c r="AA786" s="83"/>
      <c r="AB786" s="81"/>
      <c r="AC786" s="23" t="s">
        <v>2931</v>
      </c>
      <c r="AD786" s="81"/>
      <c r="AE786" s="1820">
        <f>IF(OR(AE$686=0,AE708=0),0,MIN(1,EXP(AE$686+AE$687/AE708^(2*AE531))))</f>
        <v>0</v>
      </c>
      <c r="AF786" s="81"/>
      <c r="AG786" s="1820">
        <f>IF(OR(AG$686=0,AG708=0),0,MIN(1,EXP(AG$686+AG$687/AG708^(2*AG531))))</f>
        <v>0</v>
      </c>
      <c r="AH786" s="81"/>
      <c r="AI786" s="1820">
        <f>IF(OR(AI$686=0,AI708=0),0,MIN(1,EXP(AI$686+AI$687/AI708^(2*AI531))))</f>
        <v>0</v>
      </c>
      <c r="AJ786" s="81"/>
      <c r="AK786" s="81"/>
      <c r="AL786" s="81"/>
      <c r="AM786" s="81"/>
      <c r="AN786" s="81"/>
      <c r="AO786" s="81"/>
      <c r="AP786" s="81"/>
      <c r="AQ786" s="23"/>
      <c r="AR786" s="81"/>
    </row>
    <row r="787" spans="1:44" ht="15" customHeight="1" x14ac:dyDescent="0.25">
      <c r="A787" s="2"/>
      <c r="B787" s="2"/>
      <c r="C787" s="83"/>
      <c r="D787" s="2"/>
      <c r="E787" s="83"/>
      <c r="F787" s="2"/>
      <c r="G787" s="83"/>
      <c r="H787" s="2"/>
      <c r="I787" s="83"/>
      <c r="J787" s="2"/>
      <c r="K787" s="83"/>
      <c r="L787" s="2"/>
      <c r="M787" s="83"/>
      <c r="N787" s="2"/>
      <c r="O787" s="83"/>
      <c r="P787" s="83"/>
      <c r="Q787" s="83"/>
      <c r="R787" s="83"/>
      <c r="S787" s="83"/>
      <c r="T787" s="83"/>
      <c r="U787" s="83"/>
      <c r="V787" s="2"/>
      <c r="W787" s="83"/>
      <c r="X787" s="83"/>
      <c r="Y787" s="83"/>
      <c r="Z787" s="83"/>
      <c r="AA787" s="83"/>
      <c r="AB787" s="81"/>
      <c r="AC787" s="23" t="s">
        <v>3162</v>
      </c>
      <c r="AD787" s="81"/>
      <c r="AE787" s="1820">
        <f>IF(Occ_Bldg2_Direction="Yes",Occupants_atRisk*AE785+Occupants_atRisk2*AE786,MAX(Occupants_atRisk*AE785,Occupants_atRisk2*AE786))+AE776</f>
        <v>6.0000000000000008E-7</v>
      </c>
      <c r="AF787" s="81"/>
      <c r="AG787" s="1820">
        <f>IF(Occ_Bldg2_Direction="Yes",Occupants_atRisk*AG785+Occupants_atRisk2*AG786,MAX(Occupants_atRisk*AG785,Occupants_atRisk2*AG786))+AG776</f>
        <v>6.0000000000000008E-7</v>
      </c>
      <c r="AH787" s="81"/>
      <c r="AI787" s="1820">
        <f>IF(Occ_Bldg2_Direction="Yes",Occupants_atRisk*AI785+Occupants_atRisk2*AI786,MAX(Occupants_atRisk*AI785,Occupants_atRisk2*AI786))+AI776</f>
        <v>6.0000000000000008E-7</v>
      </c>
      <c r="AJ787" s="81"/>
      <c r="AK787" s="81"/>
      <c r="AL787" s="81"/>
      <c r="AM787" s="81"/>
      <c r="AN787" s="81"/>
      <c r="AO787" s="81"/>
      <c r="AP787" s="81"/>
      <c r="AQ787" s="23"/>
      <c r="AR787" s="81"/>
    </row>
    <row r="788" spans="1:44" ht="15" customHeight="1" thickBot="1" x14ac:dyDescent="0.3">
      <c r="AB788" s="81"/>
      <c r="AC788" s="25" t="s">
        <v>4791</v>
      </c>
      <c r="AD788" s="81"/>
      <c r="AE788" s="1286" t="str">
        <f>IF(OR(AND(Regulatory_Tox&lt;&gt;"Yes",ER3_Min&gt;Toxic_Limit),AE671="",AND(AE707&lt;=IF(AE650&lt;&gt;"",AE650,1000000),AE708&lt;=IF(AE650&lt;&gt;"",AE650,1000000))),"NA",IF(MAX(AE707,AE708)/AE671&lt;HD_VeryLow_Infiltration,Conseq_VeryLow,IF(MAX(AE707,AE708)/AE671&lt;HD_Low_Infiltration,Conseq_Low,IF(MAX(AE707,AE708)/AE671&lt;HD_Moderate_Infiltration,Conseq_Moderate,IF(MAX(AE707,AE708)/AE671&lt;HD_High_Infiltration,Conseq_High,IF(MAX(AE707,AE708)/AE671&lt;HD_VeryHigh_Infiltration,Conseq_VeryHigh,Conseq_ExtremeHigh))))))</f>
        <v>NA</v>
      </c>
      <c r="AF788" s="81"/>
      <c r="AG788" s="1286" t="str">
        <f>IF(OR(AND(Regulatory_Tox&lt;&gt;"Yes",ER3_Min&gt;Toxic_Limit),AG671="",AND(AG707&lt;=IF(AG650&lt;&gt;"",AG650,1000000),AG708&lt;=IF(AG650&lt;&gt;"",AG650,1000000))),"NA",IF(MAX(AG707,AG708)/AG671&lt;HD_VeryLow_Infiltration,Conseq_VeryLow,IF(MAX(AG707,AG708)/AG671&lt;HD_Low_Infiltration,Conseq_Low,IF(MAX(AG707,AG708)/AG671&lt;HD_Moderate_Infiltration,Conseq_Moderate,IF(MAX(AG707,AG708)/AG671&lt;HD_High_Infiltration,Conseq_High,IF(MAX(AG707,AG708)/AG671&lt;HD_VeryHigh_Infiltration,Conseq_VeryHigh,Conseq_ExtremeHigh))))))</f>
        <v>NA</v>
      </c>
      <c r="AH788" s="81"/>
      <c r="AI788" s="1286" t="str">
        <f>IF(OR(AND(Regulatory_Tox&lt;&gt;"Yes",ER3_Min&gt;Toxic_Limit),AI671="",AND(AI707&lt;=IF(AI650&lt;&gt;"",AI650,1000000),AI708&lt;=IF(AI650&lt;&gt;"",AI650,1000000))),"NA",IF(MAX(AI707,AI708)/AI671&lt;HD_VeryLow_Infiltration,Conseq_VeryLow,IF(MAX(AI707,AI708)/AI671&lt;HD_Low_Infiltration,Conseq_Low,IF(MAX(AI707,AI708)/AI671&lt;HD_Moderate_Infiltration,Conseq_Moderate,IF(MAX(AI707,AI708)/AI671&lt;HD_High_Infiltration,Conseq_High,IF(MAX(AI707,AI708)/AI671&lt;HD_VeryHigh_Infiltration,Conseq_VeryHigh,Conseq_ExtremeHigh))))))</f>
        <v>NA</v>
      </c>
      <c r="AJ788" s="81"/>
      <c r="AK788" s="81"/>
      <c r="AL788" s="81"/>
      <c r="AM788" s="81"/>
      <c r="AN788" s="81"/>
      <c r="AO788" s="81"/>
      <c r="AP788" s="81"/>
      <c r="AQ788" s="23"/>
      <c r="AR788" s="81"/>
    </row>
    <row r="789" spans="1:44" ht="15" customHeight="1" thickBot="1" x14ac:dyDescent="0.3">
      <c r="AB789" s="81"/>
      <c r="AC789" s="25" t="s">
        <v>4226</v>
      </c>
      <c r="AD789" s="81"/>
      <c r="AE789" s="2135" t="str">
        <f>IF(Conseq_Criteria="Hazard Distance",AE788,IF(OR(AND(Regulatory_Tox&lt;&gt;"Yes",ER3_Min&gt;Toxic_Limit),AND(AE707&lt;=IF(AE650&gt;"",AE650,1000000),AE708&lt;=IF(AE650&gt;"",AE650,1000000))),"NA",IF(AE787&lt;N_VeryLow,Conseq_VeryLow,IF(AE787&lt;N_Low,Conseq_Low,IF(AE787&lt;N_Moderate,Conseq_Moderate,IF(AE787&lt;N_High,Conseq_High,IF(AE787&lt;N_VeryHigh,Conseq_VeryHigh,Conseq_ExtremeHigh)))))))</f>
        <v>NA</v>
      </c>
      <c r="AF789" s="81"/>
      <c r="AG789" s="2135" t="str">
        <f>IF(Conseq_Criteria="Hazard Distance",AG788,IF(OR(AND(Regulatory_Tox&lt;&gt;"Yes",ER3_Min&gt;Toxic_Limit),AND(AG707&lt;=IF(AG650&gt;"",AG650,1000000),AG708&lt;=IF(AG650&gt;"",AG650,1000000))),"NA",IF(AG787&lt;N_VeryLow,Conseq_VeryLow,IF(AG787&lt;N_Low,Conseq_Low,IF(AG787&lt;N_Moderate,Conseq_Moderate,IF(AG787&lt;N_High,Conseq_High,IF(AG787&lt;N_VeryHigh,Conseq_VeryHigh,Conseq_ExtremeHigh)))))))</f>
        <v>NA</v>
      </c>
      <c r="AH789" s="81"/>
      <c r="AI789" s="2135" t="str">
        <f>IF(Conseq_Criteria="Hazard Distance",AI788,IF(OR(AND(Regulatory_Tox&lt;&gt;"Yes",ER3_Min&gt;Toxic_Limit),AND(AI707&lt;=IF(AI650&gt;"",AI650,1000000),AI708&lt;=IF(AI650&gt;"",AI650,1000000))),"NA",IF(AI787&lt;N_VeryLow,Conseq_VeryLow,IF(AI787&lt;N_Low,Conseq_Low,IF(AI787&lt;N_Moderate,Conseq_Moderate,IF(AI787&lt;N_High,Conseq_High,IF(AI787&lt;N_VeryHigh,Conseq_VeryHigh,Conseq_ExtremeHigh)))))))</f>
        <v>NA</v>
      </c>
      <c r="AJ789" s="81"/>
      <c r="AK789" s="81"/>
      <c r="AL789" s="81"/>
      <c r="AM789" s="81"/>
      <c r="AN789" s="81"/>
      <c r="AO789" s="81"/>
      <c r="AP789" s="81"/>
      <c r="AQ789" s="104"/>
      <c r="AR789" s="81"/>
    </row>
    <row r="790" spans="1:44" ht="15" customHeight="1" x14ac:dyDescent="0.25">
      <c r="F790" s="1228"/>
      <c r="H790" s="1228"/>
      <c r="J790" s="1228"/>
      <c r="AB790" s="81"/>
      <c r="AC790" s="23" t="s">
        <v>5128</v>
      </c>
      <c r="AD790" s="81"/>
      <c r="AE790" s="1861">
        <f>IF(OR(AE657="",AE731&lt;1),0,IF(AND(AE294="Outdoors",MAX(AE501,AE703,AE704)&lt;LFL_Fract_FlashFIre*10000*AE657),0,IF(AE294="Indoors",IF(2*AE711&gt;LFL_Fract_FlashFIre*10000*AE657,Enclosed_Process_Volume^(2/3),2*AE711/(LFL_Fract_FlashFIre*10000*AE657)*Enclosed_Process_Volume^(2/3)),Dispersion_D*(AE730^2-((AE499-MIN(AE499,WorkArea_Elevation))*Dispersion_E^0.5)^2))))</f>
        <v>0</v>
      </c>
      <c r="AF790" s="81"/>
      <c r="AG790" s="1861">
        <f>IF(OR(AG657="",AG731&lt;1),0,IF(AND(AG294="Outdoors",MAX(AG501,AG703,AG704)&lt;LFL_Fract_FlashFIre*10000*AG657),0,IF(AG294="Indoors",IF(2*AG711&gt;LFL_Fract_FlashFIre*10000*AG657,Enclosed_Process_Volume^(2/3),2*AG711/(LFL_Fract_FlashFIre*10000*AG657)*Enclosed_Process_Volume^(2/3)),Dispersion_D*(AG730^2-((AG499-MIN(AG499,WorkArea_Elevation))*Dispersion_E^0.5)^2))))</f>
        <v>0</v>
      </c>
      <c r="AH790" s="81"/>
      <c r="AI790" s="1861">
        <f>IF(OR(AI657="",AI731&lt;1),0,IF(AND(AI294="Outdoors",MAX(AI501,AI703,AI704)&lt;LFL_Fract_FlashFIre*10000*AI657),0,IF(AI294="Indoors",IF(2*AI711&gt;LFL_Fract_FlashFIre*10000*AI657,Enclosed_Process_Volume^(2/3),2*AI711/(LFL_Fract_FlashFIre*10000*AI657)*Enclosed_Process_Volume^(2/3)),Dispersion_D*(AI730^2-((AI499-MIN(AI499,WorkArea_Elevation))*Dispersion_E^0.5)^2))))</f>
        <v>0</v>
      </c>
      <c r="AJ790" s="81"/>
      <c r="AK790" s="81"/>
      <c r="AL790" s="81"/>
      <c r="AM790" s="81"/>
      <c r="AN790" s="81"/>
      <c r="AO790" s="81"/>
      <c r="AP790" s="81"/>
      <c r="AQ790" s="92" t="s">
        <v>3804</v>
      </c>
      <c r="AR790" s="81"/>
    </row>
    <row r="791" spans="1:44" ht="15" customHeight="1" x14ac:dyDescent="0.25">
      <c r="F791" s="1229"/>
      <c r="H791" s="1229"/>
      <c r="J791" s="1229"/>
      <c r="AB791" s="81"/>
      <c r="AC791" s="23" t="s">
        <v>611</v>
      </c>
      <c r="AD791" s="81"/>
      <c r="AE791" s="1207">
        <f>IF(AND(Enclosed_Process_Volume&gt;0,Location="Indoors"),IF(AE718="Yes",Op_Indoors,Op_Indoors*AE790/Enclosed_Process_Volume^(2/3)),AE790*Onsite_PD/1000000)+IF(AND(AE$305="Yes",AE718="No",AE730&gt;HD_Severe_Impact),0.9,0)</f>
        <v>0</v>
      </c>
      <c r="AF791" s="81"/>
      <c r="AG791" s="1207">
        <f>IF(AND(Enclosed_Process_Volume&gt;0,Location="Indoors"),IF(AG718="Yes",Op_Indoors,Op_Indoors*AG790/Enclosed_Process_Volume^(2/3)),AG790*Onsite_PD/1000000)+IF(AND(AG$305="Yes",AG718="No",AG730&gt;HD_Severe_Impact),0.9,0)</f>
        <v>0</v>
      </c>
      <c r="AH791" s="81"/>
      <c r="AI791" s="1207">
        <f>IF(AND(Enclosed_Process_Volume&gt;0,Location="Indoors"),IF(AI718="Yes",Op_Indoors,Op_Indoors*AI790/Enclosed_Process_Volume^(2/3)),AI790*Onsite_PD/1000000)+IF(AND(AI$305="Yes",AI718="No",AI730&gt;HD_Severe_Impact),0.9,0)</f>
        <v>0</v>
      </c>
      <c r="AJ791" s="81"/>
      <c r="AK791" s="81"/>
      <c r="AL791" s="81"/>
      <c r="AM791" s="81"/>
      <c r="AN791" s="81"/>
      <c r="AO791" s="81"/>
      <c r="AP791" s="81"/>
      <c r="AQ791" s="23"/>
      <c r="AR791" s="81"/>
    </row>
    <row r="792" spans="1:44" ht="15" customHeight="1" x14ac:dyDescent="0.25">
      <c r="AB792" s="81"/>
      <c r="AC792" s="85" t="s">
        <v>1794</v>
      </c>
      <c r="AD792" s="81"/>
      <c r="AE792" s="1208">
        <v>0</v>
      </c>
      <c r="AF792" s="81"/>
      <c r="AG792" s="1208">
        <v>0</v>
      </c>
      <c r="AH792" s="81"/>
      <c r="AI792" s="1208">
        <v>0</v>
      </c>
      <c r="AJ792" s="81"/>
      <c r="AK792" s="1025"/>
      <c r="AL792" s="81"/>
      <c r="AM792" s="81"/>
      <c r="AN792" s="81"/>
      <c r="AO792" s="81"/>
      <c r="AP792" s="81"/>
      <c r="AQ792" s="23"/>
      <c r="AR792" s="81"/>
    </row>
    <row r="793" spans="1:44" ht="15" customHeight="1" thickBot="1" x14ac:dyDescent="0.3">
      <c r="AB793" s="81"/>
      <c r="AC793" s="25" t="s">
        <v>4792</v>
      </c>
      <c r="AD793" s="81"/>
      <c r="AE793" s="1208" t="str">
        <f>IF(OR(Flash_Pt_Feed="",AE657="",AND(AE294="Outdoors",AE730&lt;HD_Screening_Limit)),"NA",IF(AE294="Indoors",IF(AND(Ease_of_Ignition_Feed&lt;&gt;"High",AE$305&lt;&gt;"Yes",0.0001*AE711/AE657&lt;HD_VeryLow_IndoorFF),Conseq_VeryLow,IF(0.0001*AE711/AE657&lt;HD_Low_IndoorFF,Conseq_Low,IF(0.0001*AE711/AE657&lt;HD_Moderate_IndoorFF,Conseq_Moderate,Conseq_High))),IF(AND(Ease_of_Ignition_Feed&lt;&gt;"High",AE$305&lt;&gt;"Yes",AE730&lt;HD_VeryLow_FF),Conseq_VeryLow,IF(AE730&lt;HD_Low_FF,Conseq_Low,IF(AE730&lt;HD_Moderate_FF,Conseq_Moderate,IF(AE730&lt;HD_High_FF,Conseq_High,IF(AE730&lt;HD_VeryHigh_FF,Conseq_VeryHigh,Conseq_ExtremeHigh)))))))</f>
        <v>NA</v>
      </c>
      <c r="AF793" s="81"/>
      <c r="AG793" s="1208" t="str">
        <f>IF(OR(Flash_Pt_Feed="",AG657="",AND(AG294="Outdoors",AG730&lt;HD_Screening_Limit)),"NA",IF(AG294="Indoors",IF(AND(Ease_of_Ignition_Feed&lt;&gt;"High",AG$305&lt;&gt;"Yes",0.0001*AG711/AG657&lt;HD_VeryLow_IndoorFF),Conseq_VeryLow,IF(0.0001*AG711/AG657&lt;HD_Low_IndoorFF,Conseq_Low,IF(0.0001*AG711/AG657&lt;HD_Moderate_IndoorFF,Conseq_Moderate,Conseq_High))),IF(AND(Ease_of_Ignition_Feed&lt;&gt;"High",AG$305&lt;&gt;"Yes",AG730&lt;HD_VeryLow_FF),Conseq_VeryLow,IF(AG730&lt;HD_Low_FF,Conseq_Low,IF(AG730&lt;HD_Moderate_FF,Conseq_Moderate,IF(AG730&lt;HD_High_FF,Conseq_High,IF(AG730&lt;HD_VeryHigh_FF,Conseq_VeryHigh,Conseq_ExtremeHigh)))))))</f>
        <v>NA</v>
      </c>
      <c r="AH793" s="81"/>
      <c r="AI793" s="1208" t="str">
        <f>IF(OR(Flash_Pt_Feed="",AI657="",AND(AI294="Outdoors",AI730&lt;HD_Screening_Limit)),"NA",IF(AI294="Indoors",IF(AND(Ease_of_Ignition_Feed&lt;&gt;"High",AI$305&lt;&gt;"Yes",0.0001*AI711/AI657&lt;HD_VeryLow_IndoorFF),Conseq_VeryLow,IF(0.0001*AI711/AI657&lt;HD_Low_IndoorFF,Conseq_Low,IF(0.0001*AI711/AI657&lt;HD_Moderate_IndoorFF,Conseq_Moderate,Conseq_High))),IF(AND(Ease_of_Ignition_Feed&lt;&gt;"High",AI$305&lt;&gt;"Yes",AI730&lt;HD_VeryLow_FF),Conseq_VeryLow,IF(AI730&lt;HD_Low_FF,Conseq_Low,IF(AI730&lt;HD_Moderate_FF,Conseq_Moderate,IF(AI730&lt;HD_High_FF,Conseq_High,IF(AI730&lt;HD_VeryHigh_FF,Conseq_VeryHigh,Conseq_ExtremeHigh)))))))</f>
        <v>NA</v>
      </c>
      <c r="AJ793" s="81"/>
      <c r="AK793" s="1025"/>
      <c r="AL793" s="81"/>
      <c r="AM793" s="81"/>
      <c r="AN793" s="81"/>
      <c r="AO793" s="81"/>
      <c r="AP793" s="81"/>
      <c r="AQ793" s="23"/>
      <c r="AR793" s="81"/>
    </row>
    <row r="794" spans="1:44" ht="15" customHeight="1" thickBot="1" x14ac:dyDescent="0.3">
      <c r="AB794" s="81"/>
      <c r="AC794" s="25" t="s">
        <v>4228</v>
      </c>
      <c r="AD794" s="81"/>
      <c r="AE794" s="2135" t="str">
        <f>IF(Conseq_Criteria="Hazard Distance",AE793,IF(OR(AE791&lt;N_Screening,AND(AE294="Outdoors",AE730&lt;HD_Screening_Limit)),"NA",IF(OR(AND(AE294="Indoors",AE791&lt;N_Low),AND(AE294="Outdoors",AE730&lt;HD_Severe_Impact)),Conseq_Low,IF(AE791&lt;N_Moderate,Conseq_Moderate,IF(AE791&lt;N_High,Conseq_High,IF(AE791&lt;N_VeryHigh,Conseq_VeryHigh,Conseq_ExtremeHigh))))))</f>
        <v>NA</v>
      </c>
      <c r="AF794" s="81"/>
      <c r="AG794" s="2135" t="str">
        <f>IF(Conseq_Criteria="Hazard Distance",AG793,IF(OR(AG791&lt;N_Screening,AND(AG294="Outdoors",AG730&lt;HD_Screening_Limit)),"NA",IF(OR(AND(AG294="Indoors",AG791&lt;N_Low),AND(AG294="Outdoors",AG730&lt;HD_Severe_Impact)),Conseq_Low,IF(AG791&lt;N_Moderate,Conseq_Moderate,IF(AG791&lt;N_High,Conseq_High,IF(AG791&lt;N_VeryHigh,Conseq_VeryHigh,Conseq_ExtremeHigh))))))</f>
        <v>NA</v>
      </c>
      <c r="AH794" s="81"/>
      <c r="AI794" s="2135" t="str">
        <f>IF(Conseq_Criteria="Hazard Distance",AI793,IF(OR(AI791&lt;N_Screening,AND(AI294="Outdoors",AI730&lt;HD_Screening_Limit)),"NA",IF(OR(AND(AI294="Indoors",AI791&lt;N_Low),AND(AI294="Outdoors",AI730&lt;HD_Severe_Impact)),Conseq_Low,IF(AI791&lt;N_Moderate,Conseq_Moderate,IF(AI791&lt;N_High,Conseq_High,IF(AI791&lt;N_VeryHigh,Conseq_VeryHigh,Conseq_ExtremeHigh))))))</f>
        <v>NA</v>
      </c>
      <c r="AJ794" s="81"/>
      <c r="AK794" s="81"/>
      <c r="AL794" s="81"/>
      <c r="AM794" s="81"/>
      <c r="AN794" s="81"/>
      <c r="AO794" s="81"/>
      <c r="AP794" s="81"/>
      <c r="AQ794" s="89"/>
      <c r="AR794" s="81"/>
    </row>
    <row r="795" spans="1:44" ht="15" customHeight="1" x14ac:dyDescent="0.25">
      <c r="AB795" s="81"/>
      <c r="AC795" s="23" t="s">
        <v>2008</v>
      </c>
      <c r="AD795" s="81"/>
      <c r="AE795" s="1182">
        <f>IF(AE728&lt;&gt;"Yes",0,EXP(-Bldg_Type_Coefficient*(Bldg_Type_Correction/AE724)^Bldg_Type_Exponent))</f>
        <v>0</v>
      </c>
      <c r="AF795" s="81"/>
      <c r="AG795" s="1182">
        <f>IF(AG728&lt;&gt;"Yes",0,EXP(-Bldg_Type_Coefficient*(Bldg_Type_Correction/AG724)^Bldg_Type_Exponent))</f>
        <v>0</v>
      </c>
      <c r="AH795" s="81"/>
      <c r="AI795" s="1182">
        <f>IF(AI728&lt;&gt;"Yes",0,EXP(-Bldg_Type_Coefficient*(Bldg_Type_Correction/AI724)^Bldg_Type_Exponent))</f>
        <v>0</v>
      </c>
      <c r="AJ795" s="81"/>
      <c r="AK795" s="81"/>
      <c r="AL795" s="81"/>
      <c r="AM795" s="81"/>
      <c r="AN795" s="81"/>
      <c r="AO795" s="81"/>
      <c r="AP795" s="81"/>
      <c r="AQ795" s="92" t="s">
        <v>3804</v>
      </c>
      <c r="AR795" s="81"/>
    </row>
    <row r="796" spans="1:44" ht="15" customHeight="1" x14ac:dyDescent="0.25">
      <c r="AB796" s="81"/>
      <c r="AC796" s="23" t="s">
        <v>2009</v>
      </c>
      <c r="AD796" s="81"/>
      <c r="AE796" s="1820">
        <f>AE795*Occupants_atRisk</f>
        <v>0</v>
      </c>
      <c r="AF796" s="81"/>
      <c r="AG796" s="1820">
        <f>AG795*Occupants_atRisk</f>
        <v>0</v>
      </c>
      <c r="AH796" s="81"/>
      <c r="AI796" s="1820">
        <f>AI795*Occupants_atRisk</f>
        <v>0</v>
      </c>
      <c r="AJ796" s="81"/>
      <c r="AK796" s="81"/>
      <c r="AL796" s="81"/>
      <c r="AM796" s="81"/>
      <c r="AN796" s="81"/>
      <c r="AO796" s="81"/>
      <c r="AP796" s="81"/>
      <c r="AQ796" s="23"/>
      <c r="AR796" s="81"/>
    </row>
    <row r="797" spans="1:44" ht="15" customHeight="1" x14ac:dyDescent="0.25">
      <c r="AB797" s="81"/>
      <c r="AC797" s="23" t="s">
        <v>630</v>
      </c>
      <c r="AD797" s="81"/>
      <c r="AE797" s="3014">
        <f>IF(OR(Occ_Bldg2=0,AE728&lt;&gt;"Yes"),0,EXP(-Bldg2_Type_Coefficient*(Bldg2_Type_Correction/AE726)^Bldg2_Type_Exponent))</f>
        <v>0</v>
      </c>
      <c r="AF797" s="81"/>
      <c r="AG797" s="3014">
        <f>IF(OR(Occ_Bldg2=0,AG728&lt;&gt;"Yes"),0,EXP(-Bldg2_Type_Coefficient*(Bldg2_Type_Correction/AG726)^Bldg2_Type_Exponent))</f>
        <v>0</v>
      </c>
      <c r="AH797" s="81"/>
      <c r="AI797" s="3014">
        <f>IF(OR(Occ_Bldg2=0,AI728&lt;&gt;"Yes"),0,EXP(-Bldg2_Type_Coefficient*(Bldg2_Type_Correction/AI726)^Bldg2_Type_Exponent))</f>
        <v>0</v>
      </c>
      <c r="AJ797" s="81"/>
      <c r="AK797" s="81"/>
      <c r="AL797" s="81"/>
      <c r="AM797" s="81"/>
      <c r="AN797" s="81"/>
      <c r="AO797" s="81"/>
      <c r="AP797" s="81"/>
      <c r="AQ797" s="1311"/>
      <c r="AR797" s="81"/>
    </row>
    <row r="798" spans="1:44" ht="15" customHeight="1" x14ac:dyDescent="0.25">
      <c r="AB798" s="81"/>
      <c r="AC798" s="23" t="s">
        <v>629</v>
      </c>
      <c r="AD798" s="81"/>
      <c r="AE798" s="1820">
        <f>AE797*Occupants_atRisk2</f>
        <v>0</v>
      </c>
      <c r="AF798" s="81"/>
      <c r="AG798" s="1820">
        <f>AG797*Occupants_atRisk2</f>
        <v>0</v>
      </c>
      <c r="AH798" s="81"/>
      <c r="AI798" s="1820">
        <f>AI797*Occupants_atRisk2</f>
        <v>0</v>
      </c>
      <c r="AJ798" s="81"/>
      <c r="AK798" s="81"/>
      <c r="AL798" s="81"/>
      <c r="AM798" s="81"/>
      <c r="AN798" s="81"/>
      <c r="AO798" s="81"/>
      <c r="AP798" s="81"/>
      <c r="AQ798" s="91"/>
      <c r="AR798" s="81"/>
    </row>
    <row r="799" spans="1:44" ht="15" customHeight="1" x14ac:dyDescent="0.25">
      <c r="AB799" s="81"/>
      <c r="AC799" s="851" t="s">
        <v>5215</v>
      </c>
      <c r="AD799" s="81"/>
      <c r="AE799" s="3169">
        <f>IF(AE723="No",0,3.14*Offsite_Area_Bldg_Factor*IF(Offsite_PD1="",Offsite_PD/1000000,Offsite_PD1)*AE722^2*(EXP(-Offsite_Bldg_a*Zone_1^2/AE722^2)-EXP(-Offsite_Bldg_a*Public^2/AE722^2))/(-Offsite_Bldg_a))</f>
        <v>0</v>
      </c>
      <c r="AF799" s="81"/>
      <c r="AG799" s="3169">
        <f>IF(AG723="No",0,3.14*Offsite_Area_Bldg_Factor*IF(Offsite_PD1="",Offsite_PD/1000000,Offsite_PD1)*AG722^2*(EXP(-Offsite_Bldg_a*Zone_1^2/AG722^2)-EXP(-Offsite_Bldg_a*Public^2/AG722^2))/(-Offsite_Bldg_a))</f>
        <v>0</v>
      </c>
      <c r="AH799" s="81"/>
      <c r="AI799" s="3169">
        <f>IF(AI723="No",0,3.14*Offsite_Area_Bldg_Factor*IF(Offsite_PD1="",Offsite_PD/1000000,Offsite_PD1)*AI722^2*(EXP(-Offsite_Bldg_a*Zone_1^2/AI722^2)-EXP(-Offsite_Bldg_a*Public^2/AI722^2))/(-Offsite_Bldg_a))</f>
        <v>0</v>
      </c>
      <c r="AJ799" s="81"/>
      <c r="AK799" s="81"/>
      <c r="AL799" s="81"/>
      <c r="AM799" s="81"/>
      <c r="AN799" s="81"/>
      <c r="AO799" s="81"/>
      <c r="AP799" s="81"/>
      <c r="AQ799" s="91"/>
      <c r="AR799" s="81"/>
    </row>
    <row r="800" spans="1:44" ht="15" customHeight="1" x14ac:dyDescent="0.25">
      <c r="AB800" s="81"/>
      <c r="AC800" s="851" t="s">
        <v>5216</v>
      </c>
      <c r="AD800" s="81"/>
      <c r="AE800" s="3169">
        <f>IF(AE723="No",0,3.14*Offsite_Area_Bldg_Factor*IF(Offsite_PD2="",Offsite_PD/1000000,Offsite_PD2)*AE722^2*(0-EXP(-Offsite_Bldg_a*Zone_1^2/AE722^2))/(-Offsite_Bldg_a))</f>
        <v>0</v>
      </c>
      <c r="AF800" s="81"/>
      <c r="AG800" s="3169">
        <f>IF(AG723="No",0,3.14*Offsite_Area_Bldg_Factor*IF(Offsite_PD2="",Offsite_PD/1000000,Offsite_PD2)*AG722^2*(0-EXP(-Offsite_Bldg_a*Zone_1^2/AG722^2))/(-Offsite_Bldg_a))</f>
        <v>0</v>
      </c>
      <c r="AH800" s="81"/>
      <c r="AI800" s="3169">
        <f>IF(AI723="No",0,3.14*Offsite_Area_Bldg_Factor*IF(Offsite_PD2="",Offsite_PD/1000000,Offsite_PD2)*AI722^2*(0-EXP(-Offsite_Bldg_a*Zone_1^2/AI722^2))/(-Offsite_Bldg_a))</f>
        <v>0</v>
      </c>
      <c r="AJ800" s="81"/>
      <c r="AK800" s="81"/>
      <c r="AL800" s="81"/>
      <c r="AM800" s="81"/>
      <c r="AN800" s="81"/>
      <c r="AO800" s="81"/>
      <c r="AP800" s="81"/>
      <c r="AQ800" s="91"/>
      <c r="AR800" s="81"/>
    </row>
    <row r="801" spans="28:44" ht="15" customHeight="1" x14ac:dyDescent="0.25">
      <c r="AB801" s="81"/>
      <c r="AC801" s="846" t="s">
        <v>5217</v>
      </c>
      <c r="AD801" s="81"/>
      <c r="AE801" s="3169">
        <f>AE799+AE800</f>
        <v>0</v>
      </c>
      <c r="AF801" s="81"/>
      <c r="AG801" s="3169">
        <f>AG799+AG800</f>
        <v>0</v>
      </c>
      <c r="AH801" s="81"/>
      <c r="AI801" s="3169">
        <f>AI799+AI800</f>
        <v>0</v>
      </c>
      <c r="AJ801" s="81"/>
      <c r="AK801" s="81"/>
      <c r="AL801" s="81"/>
      <c r="AM801" s="81"/>
      <c r="AN801" s="81"/>
      <c r="AO801" s="81"/>
      <c r="AP801" s="81"/>
      <c r="AQ801" s="91"/>
      <c r="AR801" s="81"/>
    </row>
    <row r="802" spans="28:44" ht="15" customHeight="1" x14ac:dyDescent="0.25">
      <c r="AB802" s="81"/>
      <c r="AC802" s="851" t="s">
        <v>2011</v>
      </c>
      <c r="AD802" s="81"/>
      <c r="AE802" s="3014">
        <f>AE796+AE791+AE798+AE801</f>
        <v>0</v>
      </c>
      <c r="AF802" s="81"/>
      <c r="AG802" s="3014">
        <f>AG796+AG791+AG798+AG801</f>
        <v>0</v>
      </c>
      <c r="AH802" s="81"/>
      <c r="AI802" s="3014">
        <f>AI796+AI791+AI798+AI801</f>
        <v>0</v>
      </c>
      <c r="AJ802" s="81"/>
      <c r="AK802" s="81"/>
      <c r="AL802" s="81"/>
      <c r="AM802" s="81"/>
      <c r="AN802" s="81"/>
      <c r="AO802" s="81"/>
      <c r="AP802" s="81"/>
      <c r="AQ802" s="23"/>
      <c r="AR802" s="81"/>
    </row>
    <row r="803" spans="28:44" ht="15" customHeight="1" thickBot="1" x14ac:dyDescent="0.3">
      <c r="AB803" s="81"/>
      <c r="AC803" s="849" t="s">
        <v>4795</v>
      </c>
      <c r="AD803" s="81"/>
      <c r="AE803" s="1286" t="str">
        <f>IF(AE718&lt;&gt;"Yes","NA",IF(MAX(AE724/Bldg_Type_Correction,AE726/Bldg2_Type_Correction)&lt;HD_Low_Expl,Conseq_Low,IF(MAX(AE724/Bldg_Type_Correction,AE726/Bldg2_Type_Correction)&lt;HD_Moderate_Expl,Conseq_Moderate,IF(MAX(AE724/Bldg_Type_Correction,AE726/Bldg2_Type_Correction)&lt;HD_High_Expl,Conseq_High,IF(MAX(AE724/Bldg_Type_Correction,AE726/Bldg2_Type_Correction)&lt;HD_VeryHigh_Expl,Conseq_VeryHigh,Conseq_ExtremeHigh)))))</f>
        <v>NA</v>
      </c>
      <c r="AF803" s="81"/>
      <c r="AG803" s="1286" t="str">
        <f>IF(AG718&lt;&gt;"Yes","NA",IF(MAX(AG724/Bldg_Type_Correction,AG726/Bldg2_Type_Correction)&lt;HD_Low_Expl,Conseq_Low,IF(MAX(AG724/Bldg_Type_Correction,AG726/Bldg2_Type_Correction)&lt;HD_Moderate_Expl,Conseq_Moderate,IF(MAX(AG724/Bldg_Type_Correction,AG726/Bldg2_Type_Correction)&lt;HD_High_Expl,Conseq_High,IF(MAX(AG724/Bldg_Type_Correction,AG726/Bldg2_Type_Correction)&lt;HD_VeryHigh_Expl,Conseq_VeryHigh,Conseq_ExtremeHigh)))))</f>
        <v>NA</v>
      </c>
      <c r="AH803" s="81"/>
      <c r="AI803" s="1286" t="str">
        <f>IF(AI718&lt;&gt;"Yes","NA",IF(MAX(AI724/Bldg_Type_Correction,AI726/Bldg2_Type_Correction)&lt;HD_Low_Expl,Conseq_Low,IF(MAX(AI724/Bldg_Type_Correction,AI726/Bldg2_Type_Correction)&lt;HD_Moderate_Expl,Conseq_Moderate,IF(MAX(AI724/Bldg_Type_Correction,AI726/Bldg2_Type_Correction)&lt;HD_High_Expl,Conseq_High,IF(MAX(AI724/Bldg_Type_Correction,AI726/Bldg2_Type_Correction)&lt;HD_VeryHigh_Expl,Conseq_VeryHigh,Conseq_ExtremeHigh)))))</f>
        <v>NA</v>
      </c>
      <c r="AJ803" s="81"/>
      <c r="AK803" s="81"/>
      <c r="AL803" s="81"/>
      <c r="AM803" s="81"/>
      <c r="AN803" s="81"/>
      <c r="AO803" s="81"/>
      <c r="AP803" s="81"/>
      <c r="AQ803" s="23"/>
      <c r="AR803" s="81"/>
    </row>
    <row r="804" spans="28:44" ht="15" customHeight="1" thickBot="1" x14ac:dyDescent="0.3">
      <c r="AB804" s="81"/>
      <c r="AC804" s="849" t="s">
        <v>4229</v>
      </c>
      <c r="AD804" s="81"/>
      <c r="AE804" s="2135" t="str">
        <f>IF(Conseq_Criteria="Hazard Distance",AE803,IF(OR(AE718&gt;"Yes",AE802&lt;N_Screening),"NA",IF(AE802&lt;N_VeryLow,Conseq_VeryLow,IF(AE802&lt;N_Low,Conseq_Low,IF(AE802&lt;N_Moderate,Conseq_Moderate,IF(AE802&lt;N_High,Conseq_High,IF(AE802&lt;N_VeryHigh,Conseq_VeryHigh,Conseq_ExtremeHigh)))))))</f>
        <v>NA</v>
      </c>
      <c r="AF804" s="81"/>
      <c r="AG804" s="2135" t="str">
        <f>IF(Conseq_Criteria="Hazard Distance",AG803,IF(OR(AG718&gt;"Yes",AG802&lt;N_Screening),"NA",IF(AG802&lt;N_VeryLow,Conseq_VeryLow,IF(AG802&lt;N_Low,Conseq_Low,IF(AG802&lt;N_Moderate,Conseq_Moderate,IF(AG802&lt;N_High,Conseq_High,IF(AG802&lt;N_VeryHigh,Conseq_VeryHigh,Conseq_ExtremeHigh)))))))</f>
        <v>NA</v>
      </c>
      <c r="AH804" s="81"/>
      <c r="AI804" s="2135" t="str">
        <f>IF(Conseq_Criteria="Hazard Distance",AI803,IF(OR(AI718&gt;"Yes",AI802&lt;N_Screening),"NA",IF(AI802&lt;N_VeryLow,Conseq_VeryLow,IF(AI802&lt;N_Low,Conseq_Low,IF(AI802&lt;N_Moderate,Conseq_Moderate,IF(AI802&lt;N_High,Conseq_High,IF(AI802&lt;N_VeryHigh,Conseq_VeryHigh,Conseq_ExtremeHigh)))))))</f>
        <v>NA</v>
      </c>
      <c r="AJ804" s="81"/>
      <c r="AK804" s="81"/>
      <c r="AL804" s="81"/>
      <c r="AM804" s="81"/>
      <c r="AN804" s="81"/>
      <c r="AO804" s="81"/>
      <c r="AP804" s="81"/>
      <c r="AQ804" s="89"/>
      <c r="AR804" s="81"/>
    </row>
    <row r="805" spans="28:44" ht="15" customHeight="1" x14ac:dyDescent="0.25">
      <c r="AB805" s="81"/>
      <c r="AC805" s="851" t="s">
        <v>2008</v>
      </c>
      <c r="AD805" s="81"/>
      <c r="AE805" s="1182">
        <f>IF(AE746&lt;&gt;"Yes",0,EXP(-Bldg_Type_Coefficient*(Bldg_Type_Correction/AE739)^Bldg_Type_Exponent))</f>
        <v>0</v>
      </c>
      <c r="AF805" s="81"/>
      <c r="AG805" s="1182">
        <f>IF(AG746&lt;&gt;"Yes",0,EXP(-Bldg_Type_Coefficient*(Bldg_Type_Correction/AG739)^Bldg_Type_Exponent))</f>
        <v>0</v>
      </c>
      <c r="AH805" s="81"/>
      <c r="AI805" s="1182">
        <f>IF(AI746&lt;&gt;"Yes",0,EXP(-Bldg_Type_Coefficient*(Bldg_Type_Correction/AI739)^Bldg_Type_Exponent))</f>
        <v>0</v>
      </c>
      <c r="AJ805" s="81"/>
      <c r="AK805" s="81"/>
      <c r="AL805" s="81"/>
      <c r="AM805" s="81"/>
      <c r="AN805" s="81"/>
      <c r="AO805" s="81"/>
      <c r="AP805" s="81"/>
      <c r="AQ805" s="84"/>
      <c r="AR805" s="81"/>
    </row>
    <row r="806" spans="28:44" ht="15" customHeight="1" x14ac:dyDescent="0.25">
      <c r="AB806" s="81"/>
      <c r="AC806" s="851" t="s">
        <v>2009</v>
      </c>
      <c r="AD806" s="81"/>
      <c r="AE806" s="1820">
        <f>AE805*Occupants_atRisk</f>
        <v>0</v>
      </c>
      <c r="AF806" s="81"/>
      <c r="AG806" s="1820">
        <f>AG805*Occupants_atRisk</f>
        <v>0</v>
      </c>
      <c r="AH806" s="81"/>
      <c r="AI806" s="1820">
        <f>AI805*Occupants_atRisk</f>
        <v>0</v>
      </c>
      <c r="AJ806" s="81"/>
      <c r="AK806" s="81"/>
      <c r="AL806" s="81"/>
      <c r="AM806" s="81"/>
      <c r="AN806" s="81"/>
      <c r="AO806" s="81"/>
      <c r="AP806" s="81"/>
      <c r="AQ806" s="23"/>
      <c r="AR806" s="81"/>
    </row>
    <row r="807" spans="28:44" ht="15" customHeight="1" x14ac:dyDescent="0.25">
      <c r="AB807" s="81"/>
      <c r="AC807" s="851" t="s">
        <v>630</v>
      </c>
      <c r="AD807" s="81"/>
      <c r="AE807" s="321">
        <f>IF(OR(Occ_Bldg2=0,AE746&lt;&gt;"Yes"),0,EXP(-Bldg2_Type_Coefficient*(Bldg2_Type_Correction/AE743)^Bldg2_Type_Exponent))</f>
        <v>0</v>
      </c>
      <c r="AF807" s="81"/>
      <c r="AG807" s="321">
        <f>IF(OR(Occ_Bldg2=0,AG746&lt;&gt;"Yes"),0,EXP(-Bldg2_Type_Coefficient*(Bldg2_Type_Correction/AG743)^Bldg2_Type_Exponent))</f>
        <v>0</v>
      </c>
      <c r="AH807" s="81"/>
      <c r="AI807" s="321">
        <f>IF(OR(Occ_Bldg2=0,AI746&lt;&gt;"Yes"),0,EXP(-Bldg2_Type_Coefficient*(Bldg2_Type_Correction/AI743)^Bldg2_Type_Exponent))</f>
        <v>0</v>
      </c>
      <c r="AJ807" s="81"/>
      <c r="AK807" s="81"/>
      <c r="AL807" s="81"/>
      <c r="AM807" s="81"/>
      <c r="AN807" s="81"/>
      <c r="AO807" s="81"/>
      <c r="AP807" s="81"/>
      <c r="AQ807" s="23"/>
      <c r="AR807" s="81"/>
    </row>
    <row r="808" spans="28:44" ht="15" customHeight="1" x14ac:dyDescent="0.25">
      <c r="AB808" s="81"/>
      <c r="AC808" s="851" t="s">
        <v>629</v>
      </c>
      <c r="AD808" s="81"/>
      <c r="AE808" s="1820">
        <f>AE807*Occupants_atRisk2</f>
        <v>0</v>
      </c>
      <c r="AF808" s="81"/>
      <c r="AG808" s="1820">
        <f>AG807*Occupants_atRisk2</f>
        <v>0</v>
      </c>
      <c r="AH808" s="81"/>
      <c r="AI808" s="1820">
        <f>AI807*Occupants_atRisk2</f>
        <v>0</v>
      </c>
      <c r="AJ808" s="81"/>
      <c r="AK808" s="81"/>
      <c r="AL808" s="81"/>
      <c r="AM808" s="81"/>
      <c r="AN808" s="81"/>
      <c r="AO808" s="81"/>
      <c r="AP808" s="81"/>
      <c r="AQ808" s="23"/>
      <c r="AR808" s="81"/>
    </row>
    <row r="809" spans="28:44" ht="15" customHeight="1" x14ac:dyDescent="0.25">
      <c r="AB809" s="81"/>
      <c r="AC809" s="851" t="s">
        <v>5215</v>
      </c>
      <c r="AD809" s="81"/>
      <c r="AE809" s="321">
        <f>IF(AE737="No",0,3.14*Offsite_Area_Bldg_Factor*IF(Offsite_PD1="",Offsite_PD/1000000,Offsite_PD1)*AE736^2*(EXP(-Offsite_Bldg_a*Zone_1^2/AE736^2)-EXP(-Offsite_Bldg_a*Public^2/AE736^2))/(-Offsite_Bldg_a))</f>
        <v>0</v>
      </c>
      <c r="AF809" s="81"/>
      <c r="AG809" s="321">
        <f>IF(AG737="No",0,3.14*Offsite_Area_Bldg_Factor*IF(Offsite_PD1="",Offsite_PD/1000000,Offsite_PD1)*AG736^2*(EXP(-Offsite_Bldg_a*Zone_1^2/AG736^2)-EXP(-Offsite_Bldg_a*Public^2/AG736^2))/(-Offsite_Bldg_a))</f>
        <v>0</v>
      </c>
      <c r="AH809" s="81"/>
      <c r="AI809" s="321">
        <f>IF(AI737="No",0,3.14*Offsite_Area_Bldg_Factor*IF(Offsite_PD1="",Offsite_PD/1000000,Offsite_PD1)*AI736^2*(EXP(-Offsite_Bldg_a*Zone_1^2/AI736^2)-EXP(-Offsite_Bldg_a*Public^2/AI736^2))/(-Offsite_Bldg_a))</f>
        <v>0</v>
      </c>
      <c r="AJ809" s="81"/>
      <c r="AK809" s="81"/>
      <c r="AL809" s="81"/>
      <c r="AM809" s="81"/>
      <c r="AN809" s="81"/>
      <c r="AO809" s="81"/>
      <c r="AP809" s="81"/>
      <c r="AQ809" s="23"/>
      <c r="AR809" s="81"/>
    </row>
    <row r="810" spans="28:44" ht="15" customHeight="1" x14ac:dyDescent="0.25">
      <c r="AB810" s="81"/>
      <c r="AC810" s="851" t="s">
        <v>5216</v>
      </c>
      <c r="AD810" s="81"/>
      <c r="AE810" s="1820" cm="1">
        <f t="array" ref="AE810">IF(AE737="No",0,3.14*Offsite_Area_Bldg_Factor*IF(Offsite_PD2="",Offsite_PD/1000000,Offsite_PD2)*AE736^2*(0-EXP(-Offsite_Bldg_a*Zone_1^2/AE736^2))/(-AI786:AI787Offsite_Bldg_a))</f>
        <v>0</v>
      </c>
      <c r="AF810" s="81"/>
      <c r="AG810" s="1820" cm="1">
        <f t="array" ref="AG810">IF(AG737="No",0,3.14*Offsite_Area_Bldg_Factor*IF(Offsite_PD2="",Offsite_PD/1000000,Offsite_PD2)*AG736^2*(0-EXP(-Offsite_Bldg_a*Zone_1^2/AG736^2))/(-AK786:AI787Offsite_Bldg_a))</f>
        <v>0</v>
      </c>
      <c r="AH810" s="81"/>
      <c r="AI810" s="1820" cm="1">
        <f t="array" ref="AI810">IF(AI737="No",0,3.14*Offsite_Area_Bldg_Factor*IF(Offsite_PD2="",Offsite_PD/1000000,Offsite_PD2)*AI736^2*(0-EXP(-Offsite_Bldg_a*Zone_1^2/AI736^2))/(-AM786:AI787Offsite_Bldg_a))</f>
        <v>0</v>
      </c>
      <c r="AJ810" s="81"/>
      <c r="AK810" s="81"/>
      <c r="AL810" s="81"/>
      <c r="AM810" s="81"/>
      <c r="AN810" s="81"/>
      <c r="AO810" s="81"/>
      <c r="AP810" s="81"/>
      <c r="AQ810" s="23"/>
      <c r="AR810" s="81"/>
    </row>
    <row r="811" spans="28:44" ht="15" customHeight="1" x14ac:dyDescent="0.25">
      <c r="AB811" s="81"/>
      <c r="AC811" s="846" t="s">
        <v>5217</v>
      </c>
      <c r="AD811" s="81"/>
      <c r="AE811" s="3169">
        <f>AE809+AE810</f>
        <v>0</v>
      </c>
      <c r="AF811" s="81"/>
      <c r="AG811" s="3169">
        <f>AG809+AG810</f>
        <v>0</v>
      </c>
      <c r="AH811" s="81"/>
      <c r="AI811" s="3169">
        <f>AI809+AI810</f>
        <v>0</v>
      </c>
      <c r="AJ811" s="81"/>
      <c r="AK811" s="81"/>
      <c r="AL811" s="81"/>
      <c r="AM811" s="81"/>
      <c r="AN811" s="81"/>
      <c r="AO811" s="81"/>
      <c r="AP811" s="81"/>
      <c r="AQ811" s="23"/>
      <c r="AR811" s="81"/>
    </row>
    <row r="812" spans="28:44" ht="15" customHeight="1" x14ac:dyDescent="0.25">
      <c r="AB812" s="81"/>
      <c r="AC812" s="23" t="s">
        <v>1979</v>
      </c>
      <c r="AD812" s="81"/>
      <c r="AE812" s="1182">
        <f>AE791+AE811+IF(Occ_Bldg2_Direction="Yes",AE806+AE808,IF(AE806&gt;AE808,AE806,AE808))</f>
        <v>0</v>
      </c>
      <c r="AF812" s="81"/>
      <c r="AG812" s="1182">
        <f>AG791+AG811+IF(Occ_Bldg2_Direction="Yes",AG806+AG808,IF(AG806&gt;AG808,AG806,AG808))</f>
        <v>0</v>
      </c>
      <c r="AH812" s="81"/>
      <c r="AI812" s="1182">
        <f>AI791+AI811+IF(Occ_Bldg2_Direction="Yes",AI806+AI808,IF(AI806&gt;AI808,AI806,AI808))</f>
        <v>0</v>
      </c>
      <c r="AJ812" s="81"/>
      <c r="AK812" s="81"/>
      <c r="AL812" s="81"/>
      <c r="AM812" s="81"/>
      <c r="AN812" s="81"/>
      <c r="AO812" s="81"/>
      <c r="AP812" s="81"/>
      <c r="AQ812" s="107"/>
      <c r="AR812" s="81"/>
    </row>
    <row r="813" spans="28:44" ht="15" customHeight="1" thickBot="1" x14ac:dyDescent="0.3">
      <c r="AB813" s="81"/>
      <c r="AC813" s="25" t="s">
        <v>4796</v>
      </c>
      <c r="AD813" s="81"/>
      <c r="AE813" s="3025" t="str">
        <f>IF(AE729&lt;&gt;"Yes","NA",IF(MAX(AE739/Bldg_Type_Correction,AE743/Bldg2_Type_Correction)&lt;HD_Low_Expl,Conseq_Low,IF(MAX(AE739/Bldg_Type_Correction,AE743/Bldg2_Type_Correction)&lt;HD_Moderate_Expl,Conseq_Moderate,IF(MAX(AE739/Bldg_Type_Correction,AE743/Bldg2_Type_Correction)&lt;HD_High_Expl,Conseq_High,IF(MAX(AE739/Bldg_Type_Correction,AE743/Bldg2_Type_Correction)&lt;HD_VeryHigh_Expl,Conseq_VeryHigh,Conseq_ExtremeHigh)))))</f>
        <v>NA</v>
      </c>
      <c r="AF813" s="81"/>
      <c r="AG813" s="3025" t="str">
        <f>IF(AG729&lt;&gt;"Yes","NA",IF(MAX(AG739/Bldg_Type_Correction,AG743/Bldg2_Type_Correction)&lt;HD_Low_Expl,Conseq_Low,IF(MAX(AG739/Bldg_Type_Correction,AG743/Bldg2_Type_Correction)&lt;HD_Moderate_Expl,Conseq_Moderate,IF(MAX(AG739/Bldg_Type_Correction,AG743/Bldg2_Type_Correction)&lt;HD_High_Expl,Conseq_High,IF(MAX(AG739/Bldg_Type_Correction,AG743/Bldg2_Type_Correction)&lt;HD_VeryHigh_Expl,Conseq_VeryHigh,Conseq_ExtremeHigh)))))</f>
        <v>NA</v>
      </c>
      <c r="AH813" s="81"/>
      <c r="AI813" s="3025" t="str">
        <f>IF(AI729&lt;&gt;"Yes","NA",IF(MAX(AI739/Bldg_Type_Correction,AI743/Bldg2_Type_Correction)&lt;HD_Low_Expl,Conseq_Low,IF(MAX(AI739/Bldg_Type_Correction,AI743/Bldg2_Type_Correction)&lt;HD_Moderate_Expl,Conseq_Moderate,IF(MAX(AI739/Bldg_Type_Correction,AI743/Bldg2_Type_Correction)&lt;HD_High_Expl,Conseq_High,IF(MAX(AI739/Bldg_Type_Correction,AI743/Bldg2_Type_Correction)&lt;HD_VeryHigh_Expl,Conseq_VeryHigh,Conseq_ExtremeHigh)))))</f>
        <v>NA</v>
      </c>
      <c r="AJ813" s="81"/>
      <c r="AK813" s="81"/>
      <c r="AL813" s="81"/>
      <c r="AM813" s="81"/>
      <c r="AN813" s="81"/>
      <c r="AO813" s="81"/>
      <c r="AP813" s="81"/>
      <c r="AQ813" s="107"/>
      <c r="AR813" s="81"/>
    </row>
    <row r="814" spans="28:44" ht="15" customHeight="1" thickBot="1" x14ac:dyDescent="0.3">
      <c r="AB814" s="81"/>
      <c r="AC814" s="25" t="s">
        <v>4230</v>
      </c>
      <c r="AD814" s="81"/>
      <c r="AE814" s="3012" t="str">
        <f>IF(Conseq_Criteria="Hazard Distance",AE813,IF(OR(AE729&gt;"Yes",AE812&lt;N_Screening),"NA",IF(AE812&lt;N_VeryLow,Conseq_VeryLow,IF(AE812&lt;N_Low,Conseq_Low,IF(AE812&lt;N_Moderate,Conseq_Moderate,IF(AE812&lt;N_High,Conseq_High,IF(AE812&lt;N_VeryHigh,Conseq_VeryHigh,Conseq_ExtremeHigh)))))))</f>
        <v>NA</v>
      </c>
      <c r="AF814" s="81"/>
      <c r="AG814" s="3012" t="str">
        <f>IF(Conseq_Criteria="Hazard Distance",AG813,IF(OR(AG729&gt;"Yes",AG812&lt;N_Screening),"NA",IF(AG812&lt;N_VeryLow,Conseq_VeryLow,IF(AG812&lt;N_Low,Conseq_Low,IF(AG812&lt;N_Moderate,Conseq_Moderate,IF(AG812&lt;N_High,Conseq_High,IF(AG812&lt;N_VeryHigh,Conseq_VeryHigh,Conseq_ExtremeHigh)))))))</f>
        <v>NA</v>
      </c>
      <c r="AH814" s="81"/>
      <c r="AI814" s="3012" t="str">
        <f>IF(Conseq_Criteria="Hazard Distance",AI813,IF(OR(AI729&gt;"Yes",AI812&lt;N_Screening),"NA",IF(AI812&lt;N_VeryLow,Conseq_VeryLow,IF(AI812&lt;N_Low,Conseq_Low,IF(AI812&lt;N_Moderate,Conseq_Moderate,IF(AI812&lt;N_High,Conseq_High,IF(AI812&lt;N_VeryHigh,Conseq_VeryHigh,Conseq_ExtremeHigh)))))))</f>
        <v>NA</v>
      </c>
      <c r="AJ814" s="81"/>
      <c r="AK814" s="81"/>
      <c r="AL814" s="81"/>
      <c r="AM814" s="81"/>
      <c r="AN814" s="81"/>
      <c r="AO814" s="81"/>
      <c r="AP814" s="81"/>
      <c r="AQ814" s="89"/>
      <c r="AR814" s="81"/>
    </row>
    <row r="815" spans="28:44" ht="15" customHeight="1" x14ac:dyDescent="0.25">
      <c r="AB815" s="81"/>
      <c r="AC815" s="81"/>
      <c r="AD815" s="81"/>
      <c r="AE815" s="81"/>
      <c r="AF815" s="81"/>
      <c r="AG815" s="81"/>
      <c r="AH815" s="81"/>
      <c r="AI815" s="81"/>
      <c r="AJ815" s="81"/>
      <c r="AK815" s="81"/>
      <c r="AL815" s="81"/>
      <c r="AM815" s="81"/>
      <c r="AN815" s="81"/>
      <c r="AO815" s="81"/>
      <c r="AP815" s="81"/>
      <c r="AQ815" s="81"/>
      <c r="AR815" s="81"/>
    </row>
    <row r="816" spans="28:44" ht="15" customHeight="1" x14ac:dyDescent="0.25">
      <c r="AC816" s="19"/>
      <c r="AD816" s="19"/>
      <c r="AE816" s="19"/>
      <c r="AF816" s="19"/>
      <c r="AG816" s="19"/>
      <c r="AH816" s="19"/>
      <c r="AI816" s="19"/>
      <c r="AJ816" s="19"/>
      <c r="AK816" s="19"/>
      <c r="AL816" s="19"/>
      <c r="AM816" s="19"/>
      <c r="AQ816" s="26"/>
      <c r="AR816" s="26"/>
    </row>
    <row r="817" spans="29:44" ht="15" customHeight="1" x14ac:dyDescent="0.25">
      <c r="AC817" s="19"/>
      <c r="AD817" s="19"/>
      <c r="AE817" s="19"/>
      <c r="AF817" s="19"/>
      <c r="AG817" s="19"/>
      <c r="AH817" s="19"/>
      <c r="AI817" s="19"/>
      <c r="AJ817" s="19"/>
      <c r="AK817" s="19"/>
      <c r="AL817" s="19"/>
      <c r="AM817" s="19"/>
      <c r="AQ817" s="26"/>
      <c r="AR817" s="26"/>
    </row>
    <row r="818" spans="29:44" ht="15" customHeight="1" x14ac:dyDescent="0.25">
      <c r="AC818" s="19"/>
      <c r="AD818" s="19"/>
      <c r="AE818" s="19"/>
      <c r="AF818" s="19"/>
      <c r="AG818" s="19"/>
      <c r="AH818" s="19"/>
      <c r="AI818" s="19"/>
      <c r="AJ818" s="19"/>
      <c r="AK818" s="19"/>
      <c r="AL818" s="19"/>
      <c r="AM818" s="19"/>
      <c r="AQ818" s="26"/>
    </row>
    <row r="819" spans="29:44" ht="15" customHeight="1" x14ac:dyDescent="0.25">
      <c r="AC819" s="26"/>
      <c r="AD819" s="26"/>
      <c r="AE819" s="26"/>
      <c r="AF819" s="26"/>
      <c r="AG819" s="26"/>
      <c r="AH819" s="26"/>
      <c r="AI819" s="26"/>
      <c r="AJ819" s="26"/>
      <c r="AK819" s="26"/>
      <c r="AL819" s="26"/>
      <c r="AM819" s="26"/>
      <c r="AQ819" s="26"/>
    </row>
    <row r="820" spans="29:44" ht="15" customHeight="1" x14ac:dyDescent="0.25">
      <c r="AC820" s="26"/>
      <c r="AD820" s="26"/>
      <c r="AE820" s="26"/>
      <c r="AF820" s="26"/>
      <c r="AG820" s="26"/>
      <c r="AH820" s="26"/>
      <c r="AI820" s="26"/>
      <c r="AJ820" s="26"/>
      <c r="AK820" s="26"/>
      <c r="AL820" s="26"/>
      <c r="AM820" s="26"/>
      <c r="AQ820" s="26"/>
    </row>
    <row r="821" spans="29:44" ht="15" customHeight="1" x14ac:dyDescent="0.25">
      <c r="AC821" s="26"/>
      <c r="AD821" s="26"/>
      <c r="AE821" s="26"/>
      <c r="AF821" s="26"/>
      <c r="AG821" s="26"/>
      <c r="AH821" s="26"/>
      <c r="AI821" s="26"/>
      <c r="AJ821" s="26"/>
      <c r="AK821" s="26"/>
      <c r="AL821" s="26"/>
      <c r="AM821" s="26"/>
      <c r="AQ821" s="26"/>
    </row>
    <row r="822" spans="29:44" ht="15" customHeight="1" x14ac:dyDescent="0.25">
      <c r="AC822" s="26"/>
      <c r="AD822" s="26"/>
      <c r="AE822" s="26"/>
      <c r="AF822" s="26"/>
      <c r="AG822" s="26"/>
      <c r="AH822" s="26"/>
      <c r="AI822" s="26"/>
      <c r="AJ822" s="26"/>
      <c r="AK822" s="26"/>
      <c r="AL822" s="26"/>
      <c r="AM822" s="26"/>
      <c r="AQ822" s="26"/>
    </row>
    <row r="823" spans="29:44" ht="15" customHeight="1" x14ac:dyDescent="0.25">
      <c r="AC823" s="26"/>
      <c r="AD823" s="26"/>
      <c r="AE823" s="26"/>
      <c r="AF823" s="26"/>
      <c r="AG823" s="26"/>
      <c r="AH823" s="26"/>
      <c r="AI823" s="26"/>
      <c r="AJ823" s="26"/>
      <c r="AK823" s="26"/>
      <c r="AL823" s="26"/>
      <c r="AM823" s="26"/>
    </row>
    <row r="824" spans="29:44" ht="15" customHeight="1" x14ac:dyDescent="0.25">
      <c r="AC824" s="26"/>
      <c r="AD824" s="26"/>
      <c r="AE824" s="26"/>
      <c r="AF824" s="26"/>
      <c r="AG824" s="26"/>
      <c r="AH824" s="26"/>
      <c r="AI824" s="26"/>
      <c r="AJ824" s="26"/>
      <c r="AK824" s="26"/>
      <c r="AL824" s="26"/>
      <c r="AM824" s="26"/>
    </row>
    <row r="825" spans="29:44" ht="15" customHeight="1" x14ac:dyDescent="0.25">
      <c r="AC825" s="26"/>
      <c r="AD825" s="26"/>
      <c r="AE825" s="26"/>
      <c r="AF825" s="26"/>
      <c r="AG825" s="26"/>
      <c r="AH825" s="26"/>
      <c r="AI825" s="26"/>
      <c r="AJ825" s="26"/>
      <c r="AK825" s="26"/>
      <c r="AL825" s="26"/>
      <c r="AM825" s="26"/>
    </row>
    <row r="826" spans="29:44" ht="15" customHeight="1" x14ac:dyDescent="0.25">
      <c r="AC826" s="26"/>
      <c r="AD826" s="26"/>
      <c r="AE826" s="26"/>
      <c r="AF826" s="26"/>
      <c r="AG826" s="26"/>
      <c r="AH826" s="26"/>
      <c r="AI826" s="26"/>
      <c r="AJ826" s="26"/>
      <c r="AK826" s="26"/>
      <c r="AL826" s="26"/>
      <c r="AM826" s="26"/>
    </row>
    <row r="827" spans="29:44" ht="15" customHeight="1" x14ac:dyDescent="0.25">
      <c r="AC827" s="26"/>
      <c r="AD827" s="26"/>
      <c r="AE827" s="26"/>
      <c r="AF827" s="26"/>
      <c r="AG827" s="26"/>
      <c r="AH827" s="26"/>
      <c r="AI827" s="26"/>
      <c r="AJ827" s="26"/>
      <c r="AK827" s="26"/>
      <c r="AL827" s="26"/>
      <c r="AM827" s="26"/>
    </row>
    <row r="833" spans="40:42" ht="15" customHeight="1" x14ac:dyDescent="0.25">
      <c r="AN833" s="26"/>
      <c r="AO833" s="26"/>
      <c r="AP833" s="26"/>
    </row>
    <row r="834" spans="40:42" ht="15" customHeight="1" x14ac:dyDescent="0.25">
      <c r="AN834" s="26"/>
      <c r="AO834" s="26"/>
      <c r="AP834" s="26"/>
    </row>
    <row r="835" spans="40:42" ht="15" customHeight="1" x14ac:dyDescent="0.25">
      <c r="AN835" s="26"/>
      <c r="AO835" s="26"/>
      <c r="AP835" s="26"/>
    </row>
    <row r="836" spans="40:42" ht="15" customHeight="1" x14ac:dyDescent="0.25">
      <c r="AN836" s="26"/>
      <c r="AO836" s="26"/>
      <c r="AP836" s="26"/>
    </row>
    <row r="837" spans="40:42" ht="15" customHeight="1" x14ac:dyDescent="0.25">
      <c r="AN837" s="26"/>
      <c r="AO837" s="26"/>
      <c r="AP837" s="26"/>
    </row>
    <row r="838" spans="40:42" ht="15" customHeight="1" x14ac:dyDescent="0.25">
      <c r="AN838" s="26"/>
      <c r="AO838" s="26"/>
      <c r="AP838" s="26"/>
    </row>
    <row r="839" spans="40:42" ht="15" customHeight="1" x14ac:dyDescent="0.25">
      <c r="AN839" s="26"/>
      <c r="AO839" s="26"/>
      <c r="AP839" s="26"/>
    </row>
    <row r="840" spans="40:42" ht="15" customHeight="1" x14ac:dyDescent="0.25">
      <c r="AN840" s="26"/>
      <c r="AO840" s="26"/>
      <c r="AP840" s="26"/>
    </row>
    <row r="841" spans="40:42" ht="15" customHeight="1" x14ac:dyDescent="0.25">
      <c r="AN841" s="26"/>
      <c r="AO841" s="26"/>
      <c r="AP841" s="26"/>
    </row>
    <row r="842" spans="40:42" ht="15" customHeight="1" x14ac:dyDescent="0.25">
      <c r="AN842" s="26"/>
      <c r="AO842" s="26"/>
      <c r="AP842" s="26"/>
    </row>
  </sheetData>
  <sheetProtection sheet="1" objects="1" scenarios="1"/>
  <mergeCells count="48">
    <mergeCell ref="X413:X414"/>
    <mergeCell ref="AC427:AC428"/>
    <mergeCell ref="N413:N414"/>
    <mergeCell ref="P413:P414"/>
    <mergeCell ref="R413:R414"/>
    <mergeCell ref="T413:T414"/>
    <mergeCell ref="V413:V414"/>
    <mergeCell ref="T415:T416"/>
    <mergeCell ref="B413:B414"/>
    <mergeCell ref="D413:D414"/>
    <mergeCell ref="F413:F414"/>
    <mergeCell ref="J413:J414"/>
    <mergeCell ref="L413:L414"/>
    <mergeCell ref="H413:H414"/>
    <mergeCell ref="CH276:CJ276"/>
    <mergeCell ref="CH285:CJ285"/>
    <mergeCell ref="CH2:CL2"/>
    <mergeCell ref="BS2:CE2"/>
    <mergeCell ref="BW4:BW5"/>
    <mergeCell ref="BY4:BY5"/>
    <mergeCell ref="CC4:CC5"/>
    <mergeCell ref="BU4:BU5"/>
    <mergeCell ref="CH4:CH5"/>
    <mergeCell ref="CJ4:CJ5"/>
    <mergeCell ref="CA4:CA5"/>
    <mergeCell ref="CC8:CC11"/>
    <mergeCell ref="BS4:BS5"/>
    <mergeCell ref="B2:Z2"/>
    <mergeCell ref="BB4:BB5"/>
    <mergeCell ref="AZ4:AZ5"/>
    <mergeCell ref="AV4:AV5"/>
    <mergeCell ref="AC2:AQ2"/>
    <mergeCell ref="AT2:BP2"/>
    <mergeCell ref="BL4:BL5"/>
    <mergeCell ref="AX4:AX5"/>
    <mergeCell ref="BJ4:BJ5"/>
    <mergeCell ref="BH4:BH5"/>
    <mergeCell ref="BD4:BD5"/>
    <mergeCell ref="BF4:BF5"/>
    <mergeCell ref="BN4:BN5"/>
    <mergeCell ref="AT4:AT5"/>
    <mergeCell ref="BW307:BW335"/>
    <mergeCell ref="CC307:CC335"/>
    <mergeCell ref="AE427:AE428"/>
    <mergeCell ref="AG427:AG428"/>
    <mergeCell ref="AI427:AI428"/>
    <mergeCell ref="BW413:BW436"/>
    <mergeCell ref="CC413:CC437"/>
  </mergeCells>
  <phoneticPr fontId="3" type="noConversion"/>
  <conditionalFormatting sqref="AV8:AV9">
    <cfRule type="expression" dxfId="179" priority="321">
      <formula>IF($AV$8=$AV$7,TRUE,FALSE)</formula>
    </cfRule>
  </conditionalFormatting>
  <conditionalFormatting sqref="AX8">
    <cfRule type="expression" dxfId="178" priority="320">
      <formula>IF($AX$8=$AX$7,TRUE,FALSE)</formula>
    </cfRule>
  </conditionalFormatting>
  <conditionalFormatting sqref="AZ8">
    <cfRule type="expression" dxfId="177" priority="319">
      <formula>IF($AZ$8=$AZ$7,TRUE,FALSE)</formula>
    </cfRule>
  </conditionalFormatting>
  <conditionalFormatting sqref="BB8">
    <cfRule type="expression" dxfId="176" priority="318">
      <formula>IF($BB$8=$BB$7,TRUE,FALSE)</formula>
    </cfRule>
  </conditionalFormatting>
  <conditionalFormatting sqref="BD8">
    <cfRule type="expression" dxfId="175" priority="317">
      <formula>IF($BD$8=$BD$7,TRUE,FALSE)</formula>
    </cfRule>
  </conditionalFormatting>
  <conditionalFormatting sqref="BF8">
    <cfRule type="expression" dxfId="174" priority="316">
      <formula>IF($BF$8=$BF$7,TRUE,FALSE)</formula>
    </cfRule>
  </conditionalFormatting>
  <conditionalFormatting sqref="BH8">
    <cfRule type="expression" dxfId="173" priority="315">
      <formula>IF($BH$8=$BH$7,TRUE,FALSE)</formula>
    </cfRule>
  </conditionalFormatting>
  <conditionalFormatting sqref="BJ8">
    <cfRule type="expression" dxfId="172" priority="314">
      <formula>IF($BJ$8=$BJ$7,TRUE,FALSE)</formula>
    </cfRule>
  </conditionalFormatting>
  <conditionalFormatting sqref="BL8">
    <cfRule type="expression" dxfId="171" priority="313">
      <formula>IF($BL$8=$BL$7,TRUE,FALSE)</formula>
    </cfRule>
  </conditionalFormatting>
  <conditionalFormatting sqref="BN8">
    <cfRule type="expression" dxfId="170" priority="312">
      <formula>IF($BN$8=$BN$7,TRUE,FALSE)</formula>
    </cfRule>
  </conditionalFormatting>
  <conditionalFormatting sqref="AX9">
    <cfRule type="expression" dxfId="169" priority="311">
      <formula>IF($AV$8=$AV$7,TRUE,FALSE)</formula>
    </cfRule>
  </conditionalFormatting>
  <conditionalFormatting sqref="AZ9">
    <cfRule type="expression" dxfId="168" priority="310">
      <formula>IF($AV$8=$AV$7,TRUE,FALSE)</formula>
    </cfRule>
  </conditionalFormatting>
  <conditionalFormatting sqref="BB9">
    <cfRule type="expression" dxfId="167" priority="309">
      <formula>IF($AV$8=$AV$7,TRUE,FALSE)</formula>
    </cfRule>
  </conditionalFormatting>
  <conditionalFormatting sqref="BN9">
    <cfRule type="expression" dxfId="166" priority="303">
      <formula>IF($AV$8=$AV$7,TRUE,FALSE)</formula>
    </cfRule>
  </conditionalFormatting>
  <conditionalFormatting sqref="BD9">
    <cfRule type="expression" dxfId="165" priority="302">
      <formula>IF($AV$8=$AV$7,TRUE,FALSE)</formula>
    </cfRule>
  </conditionalFormatting>
  <conditionalFormatting sqref="BF9">
    <cfRule type="expression" dxfId="164" priority="301">
      <formula>IF($AV$8=$AV$7,TRUE,FALSE)</formula>
    </cfRule>
  </conditionalFormatting>
  <conditionalFormatting sqref="BH9">
    <cfRule type="expression" dxfId="163" priority="300">
      <formula>IF($AV$8=$AV$7,TRUE,FALSE)</formula>
    </cfRule>
  </conditionalFormatting>
  <conditionalFormatting sqref="BL9">
    <cfRule type="expression" dxfId="162" priority="299">
      <formula>IF($AV$8=$AV$7,TRUE,FALSE)</formula>
    </cfRule>
  </conditionalFormatting>
  <conditionalFormatting sqref="BJ9">
    <cfRule type="expression" dxfId="161" priority="298">
      <formula>IF($AV$8=$AV$7,TRUE,FALSE)</formula>
    </cfRule>
  </conditionalFormatting>
  <conditionalFormatting sqref="BU82">
    <cfRule type="expression" dxfId="160" priority="280">
      <formula>IF(OR(1-BU82&lt;-0.1,1-BU82&gt;0.1),TRUE,FALSE)</formula>
    </cfRule>
  </conditionalFormatting>
  <conditionalFormatting sqref="BW82">
    <cfRule type="expression" dxfId="159" priority="279">
      <formula>IF(OR(1-BW82&lt;-0.1,1-BW82&gt;0.1),TRUE,FALSE)</formula>
    </cfRule>
  </conditionalFormatting>
  <conditionalFormatting sqref="BY82">
    <cfRule type="expression" dxfId="158" priority="278">
      <formula>IF(OR(1-BY82&lt;-0.1,1-BY82&gt;0.1),TRUE,FALSE)</formula>
    </cfRule>
  </conditionalFormatting>
  <conditionalFormatting sqref="CA82">
    <cfRule type="expression" dxfId="157" priority="277">
      <formula>IF(OR(1-CA82&lt;-0.1,1-CA82&gt;0.1),TRUE,FALSE)</formula>
    </cfRule>
  </conditionalFormatting>
  <conditionalFormatting sqref="CC82">
    <cfRule type="expression" dxfId="156" priority="276">
      <formula>IF(OR(1-CC82&lt;-0.1,1-CC82&gt;0.1),TRUE,FALSE)</formula>
    </cfRule>
  </conditionalFormatting>
  <conditionalFormatting sqref="D82">
    <cfRule type="expression" dxfId="155" priority="275">
      <formula>IF(OR(1-D82&lt;-0.1,1-D82&gt;0.1),TRUE,FALSE)</formula>
    </cfRule>
  </conditionalFormatting>
  <conditionalFormatting sqref="H82">
    <cfRule type="expression" dxfId="154" priority="274">
      <formula>IF(OR(1-H82&lt;-0.1,1-H82&gt;0.1),TRUE,FALSE)</formula>
    </cfRule>
  </conditionalFormatting>
  <conditionalFormatting sqref="T82">
    <cfRule type="expression" dxfId="153" priority="268">
      <formula>IF(OR(1-T82&lt;-0.1,1-T82&gt;0.1),TRUE,FALSE)</formula>
    </cfRule>
  </conditionalFormatting>
  <conditionalFormatting sqref="L82">
    <cfRule type="expression" dxfId="152" priority="272">
      <formula>IF(OR(1-L82&lt;-0.1,1-L82&gt;0.1),TRUE,FALSE)</formula>
    </cfRule>
  </conditionalFormatting>
  <conditionalFormatting sqref="N82">
    <cfRule type="expression" dxfId="151" priority="271">
      <formula>IF(OR(1-N82&lt;-0.1,1-N82&gt;0.1),TRUE,FALSE)</formula>
    </cfRule>
  </conditionalFormatting>
  <conditionalFormatting sqref="P82">
    <cfRule type="expression" dxfId="150" priority="270">
      <formula>IF(OR(1-P82&lt;-0.1,1-P82&gt;0.1),TRUE,FALSE)</formula>
    </cfRule>
  </conditionalFormatting>
  <conditionalFormatting sqref="R82">
    <cfRule type="expression" dxfId="149" priority="269">
      <formula>IF(OR(1-R82&lt;-0.1,1-R82&gt;0.1),TRUE,FALSE)</formula>
    </cfRule>
  </conditionalFormatting>
  <conditionalFormatting sqref="V82">
    <cfRule type="expression" dxfId="148" priority="267">
      <formula>IF(OR(1-V82&lt;-0.1,1-V82&gt;0.1),TRUE,FALSE)</formula>
    </cfRule>
  </conditionalFormatting>
  <conditionalFormatting sqref="X82">
    <cfRule type="expression" dxfId="147" priority="266">
      <formula>IF(OR(1-X82&lt;-0.1,1-X82&gt;0.1),TRUE,FALSE)</formula>
    </cfRule>
  </conditionalFormatting>
  <conditionalFormatting sqref="AE82">
    <cfRule type="expression" dxfId="146" priority="265">
      <formula>IF(OR(1-AE82&lt;-0.1,1-AE82&gt;0.1),TRUE,FALSE)</formula>
    </cfRule>
  </conditionalFormatting>
  <conditionalFormatting sqref="AO82">
    <cfRule type="expression" dxfId="145" priority="264">
      <formula>IF(OR(1-AO82&lt;-0.1,1-AO82&gt;0.1),TRUE,FALSE)</formula>
    </cfRule>
  </conditionalFormatting>
  <conditionalFormatting sqref="AG82">
    <cfRule type="expression" dxfId="144" priority="263">
      <formula>IF(OR(1-AG82&lt;-0.1,1-AG82&gt;0.1),TRUE,FALSE)</formula>
    </cfRule>
  </conditionalFormatting>
  <conditionalFormatting sqref="AI82">
    <cfRule type="expression" dxfId="143" priority="262">
      <formula>IF(OR(1-AI82&lt;-0.1,1-AI82&gt;0.1),TRUE,FALSE)</formula>
    </cfRule>
  </conditionalFormatting>
  <conditionalFormatting sqref="AK82">
    <cfRule type="expression" dxfId="142" priority="261">
      <formula>IF(OR(1-AK82&lt;-0.1,1-AK82&gt;0.1),TRUE,FALSE)</formula>
    </cfRule>
  </conditionalFormatting>
  <conditionalFormatting sqref="AM82">
    <cfRule type="expression" dxfId="141" priority="260">
      <formula>IF(OR(1-AM82&lt;-0.1,1-AM82&gt;0.1),TRUE,FALSE)</formula>
    </cfRule>
  </conditionalFormatting>
  <conditionalFormatting sqref="AV65">
    <cfRule type="expression" dxfId="140" priority="257">
      <formula>IF(OR(1-AV65&lt;-0.1,1-AV65&gt;0.1),TRUE,FALSE)</formula>
    </cfRule>
  </conditionalFormatting>
  <conditionalFormatting sqref="AX65">
    <cfRule type="expression" dxfId="139" priority="256">
      <formula>IF(OR(1-AX65&lt;-0.1,1-AX65&gt;0.1),TRUE,FALSE)</formula>
    </cfRule>
  </conditionalFormatting>
  <conditionalFormatting sqref="AZ65">
    <cfRule type="expression" dxfId="138" priority="255">
      <formula>IF(OR(1-AZ65&lt;-0.1,1-AZ65&gt;0.1),TRUE,FALSE)</formula>
    </cfRule>
  </conditionalFormatting>
  <conditionalFormatting sqref="BB65">
    <cfRule type="expression" dxfId="137" priority="254">
      <formula>IF(OR(1-BB65&lt;-0.1,1-BB65&gt;0.1),TRUE,FALSE)</formula>
    </cfRule>
  </conditionalFormatting>
  <conditionalFormatting sqref="BD65">
    <cfRule type="expression" dxfId="136" priority="253">
      <formula>IF(OR(1-BD65&lt;-0.1,1-BD65&gt;0.1),TRUE,FALSE)</formula>
    </cfRule>
  </conditionalFormatting>
  <conditionalFormatting sqref="BF65">
    <cfRule type="expression" dxfId="135" priority="252">
      <formula>IF(OR(1-BF65&lt;-0.1,1-BF65&gt;0.1),TRUE,FALSE)</formula>
    </cfRule>
  </conditionalFormatting>
  <conditionalFormatting sqref="BH65">
    <cfRule type="expression" dxfId="134" priority="251">
      <formula>IF(OR(1-BH65&lt;-0.1,1-BH65&gt;0.1),TRUE,FALSE)</formula>
    </cfRule>
  </conditionalFormatting>
  <conditionalFormatting sqref="BJ65">
    <cfRule type="expression" dxfId="133" priority="250">
      <formula>IF(OR(1-BJ65&lt;-0.1,1-BJ65&gt;0.1),TRUE,FALSE)</formula>
    </cfRule>
  </conditionalFormatting>
  <conditionalFormatting sqref="BL65">
    <cfRule type="expression" dxfId="132" priority="249">
      <formula>IF(OR(1-BL65&lt;-0.1,1-BL65&gt;0.1),TRUE,FALSE)</formula>
    </cfRule>
  </conditionalFormatting>
  <conditionalFormatting sqref="BN65">
    <cfRule type="expression" dxfId="131" priority="248">
      <formula>IF(OR(1-BN65&lt;-0.1,1-BN65&gt;0.1),TRUE,FALSE)</formula>
    </cfRule>
  </conditionalFormatting>
  <conditionalFormatting sqref="BU35">
    <cfRule type="expression" dxfId="130" priority="247">
      <formula>IF(OR(BU35&lt;-0.1,BU35&gt;0.1),TRUE,FALSE)</formula>
    </cfRule>
  </conditionalFormatting>
  <conditionalFormatting sqref="BW35">
    <cfRule type="expression" dxfId="129" priority="246">
      <formula>IF(OR(BW35&lt;-0.1,BW35&gt;0.1),TRUE,FALSE)</formula>
    </cfRule>
  </conditionalFormatting>
  <conditionalFormatting sqref="BY35">
    <cfRule type="expression" dxfId="128" priority="245">
      <formula>IF(OR(BY35&lt;-0.1,BY35&gt;0.1),TRUE,FALSE)</formula>
    </cfRule>
  </conditionalFormatting>
  <conditionalFormatting sqref="BU43">
    <cfRule type="expression" dxfId="127" priority="242">
      <formula>IF(OR(BU43&lt;-0.1,BU43&gt;0.1),TRUE,FALSE)</formula>
    </cfRule>
  </conditionalFormatting>
  <conditionalFormatting sqref="BW43">
    <cfRule type="expression" dxfId="126" priority="241">
      <formula>IF(OR(BW43&lt;-0.1,BW43&gt;0.1),TRUE,FALSE)</formula>
    </cfRule>
  </conditionalFormatting>
  <conditionalFormatting sqref="BY43">
    <cfRule type="expression" dxfId="125" priority="240">
      <formula>IF(OR(BY43&lt;-0.1,BY43&gt;0.1),TRUE,FALSE)</formula>
    </cfRule>
  </conditionalFormatting>
  <conditionalFormatting sqref="CA43">
    <cfRule type="expression" dxfId="124" priority="239">
      <formula>IF(OR(CA43&lt;-0.1,CA43&gt;0.1),TRUE,FALSE)</formula>
    </cfRule>
  </conditionalFormatting>
  <conditionalFormatting sqref="CC43">
    <cfRule type="expression" dxfId="123" priority="238">
      <formula>IF(OR(CC43&lt;-0.1,CC43&gt;0.1),TRUE,FALSE)</formula>
    </cfRule>
  </conditionalFormatting>
  <conditionalFormatting sqref="AV33">
    <cfRule type="expression" dxfId="122" priority="237">
      <formula>IF(OR(AV33&lt;-0.1,AV33&gt;0.1),TRUE,FALSE)</formula>
    </cfRule>
  </conditionalFormatting>
  <conditionalFormatting sqref="AX33">
    <cfRule type="expression" dxfId="121" priority="236">
      <formula>IF(OR(AX33&lt;-0.1,AX33&gt;0.1),TRUE,FALSE)</formula>
    </cfRule>
  </conditionalFormatting>
  <conditionalFormatting sqref="AZ33">
    <cfRule type="expression" dxfId="120" priority="235">
      <formula>IF(OR(AZ33&lt;-0.1,AZ33&gt;0.1),TRUE,FALSE)</formula>
    </cfRule>
  </conditionalFormatting>
  <conditionalFormatting sqref="BB33">
    <cfRule type="expression" dxfId="119" priority="234">
      <formula>IF(OR(BB33&lt;-0.1,BB33&gt;0.1),TRUE,FALSE)</formula>
    </cfRule>
  </conditionalFormatting>
  <conditionalFormatting sqref="AV41">
    <cfRule type="expression" dxfId="118" priority="225">
      <formula>IF(OR(AV41&lt;-0.1,AV41&gt;0.1),TRUE,FALSE)</formula>
    </cfRule>
  </conditionalFormatting>
  <conditionalFormatting sqref="AX41">
    <cfRule type="expression" dxfId="117" priority="224">
      <formula>IF(OR(AX41&lt;-0.1,AX41&gt;0.1),TRUE,FALSE)</formula>
    </cfRule>
  </conditionalFormatting>
  <conditionalFormatting sqref="AZ41">
    <cfRule type="expression" dxfId="116" priority="223">
      <formula>IF(OR(AZ41&lt;-0.1,AZ41&gt;0.1),TRUE,FALSE)</formula>
    </cfRule>
  </conditionalFormatting>
  <conditionalFormatting sqref="BB41">
    <cfRule type="expression" dxfId="115" priority="222">
      <formula>IF(OR(BB41&lt;-0.1,BB41&gt;0.1),TRUE,FALSE)</formula>
    </cfRule>
  </conditionalFormatting>
  <conditionalFormatting sqref="BD41">
    <cfRule type="expression" dxfId="114" priority="221">
      <formula>IF(OR(BD41&lt;-0.1,BD41&gt;0.1),TRUE,FALSE)</formula>
    </cfRule>
  </conditionalFormatting>
  <conditionalFormatting sqref="BD33">
    <cfRule type="expression" dxfId="113" priority="220">
      <formula>IF(OR(BD33&lt;-0.1,BD33&gt;0.1),TRUE,FALSE)</formula>
    </cfRule>
  </conditionalFormatting>
  <conditionalFormatting sqref="BF33">
    <cfRule type="expression" dxfId="112" priority="219">
      <formula>IF(OR(BF33&lt;-0.1,BF33&gt;0.1),TRUE,FALSE)</formula>
    </cfRule>
  </conditionalFormatting>
  <conditionalFormatting sqref="BH33">
    <cfRule type="expression" dxfId="111" priority="218">
      <formula>IF(OR(BH33&lt;-0.1,BH33&gt;0.1),TRUE,FALSE)</formula>
    </cfRule>
  </conditionalFormatting>
  <conditionalFormatting sqref="BJ33">
    <cfRule type="expression" dxfId="110" priority="217">
      <formula>IF(OR(BJ33&lt;-0.1,BJ33&gt;0.1),TRUE,FALSE)</formula>
    </cfRule>
  </conditionalFormatting>
  <conditionalFormatting sqref="BL33">
    <cfRule type="expression" dxfId="109" priority="216">
      <formula>IF(OR(BL33&lt;-0.1,BL33&gt;0.1),TRUE,FALSE)</formula>
    </cfRule>
  </conditionalFormatting>
  <conditionalFormatting sqref="AV47">
    <cfRule type="expression" dxfId="108" priority="215">
      <formula>IF(OR(AV47&lt;-0.1,AV47&gt;0.1),TRUE,FALSE)</formula>
    </cfRule>
  </conditionalFormatting>
  <conditionalFormatting sqref="AE35">
    <cfRule type="expression" dxfId="107" priority="206">
      <formula>IF(OR(AE35&lt;-0.1,AE35&gt;0.1),TRUE,FALSE)</formula>
    </cfRule>
  </conditionalFormatting>
  <conditionalFormatting sqref="AG35">
    <cfRule type="expression" dxfId="106" priority="205">
      <formula>IF(OR(AG35&lt;-0.1,AG35&gt;0.1),TRUE,FALSE)</formula>
    </cfRule>
  </conditionalFormatting>
  <conditionalFormatting sqref="AI35">
    <cfRule type="expression" dxfId="105" priority="204">
      <formula>IF(OR(AI35&lt;-0.1,AI35&gt;0.1),TRUE,FALSE)</formula>
    </cfRule>
  </conditionalFormatting>
  <conditionalFormatting sqref="AM35">
    <cfRule type="expression" dxfId="104" priority="202">
      <formula>IF(OR(AM35&lt;-0.1,AM35&gt;0.1),TRUE,FALSE)</formula>
    </cfRule>
  </conditionalFormatting>
  <conditionalFormatting sqref="AO35">
    <cfRule type="expression" dxfId="103" priority="201">
      <formula>IF(OR(AO35&lt;-0.1,AO35&gt;0.1),TRUE,FALSE)</formula>
    </cfRule>
  </conditionalFormatting>
  <conditionalFormatting sqref="AE43">
    <cfRule type="expression" dxfId="102" priority="200">
      <formula>IF(OR(AE43&lt;-0.1,AE43&gt;0.1),TRUE,FALSE)</formula>
    </cfRule>
  </conditionalFormatting>
  <conditionalFormatting sqref="AG43">
    <cfRule type="expression" dxfId="101" priority="199">
      <formula>IF(OR(AG43&lt;-0.1,AG43&gt;0.1),TRUE,FALSE)</formula>
    </cfRule>
  </conditionalFormatting>
  <conditionalFormatting sqref="AI43">
    <cfRule type="expression" dxfId="100" priority="198">
      <formula>IF(OR(AI43&lt;-0.1,AI43&gt;0.1),TRUE,FALSE)</formula>
    </cfRule>
  </conditionalFormatting>
  <conditionalFormatting sqref="AM43">
    <cfRule type="expression" dxfId="99" priority="196">
      <formula>IF(OR(AM43&lt;-0.1,AM43&gt;0.1),TRUE,FALSE)</formula>
    </cfRule>
  </conditionalFormatting>
  <conditionalFormatting sqref="AO43">
    <cfRule type="expression" dxfId="98" priority="195">
      <formula>IF(OR(AO43&lt;-0.1,AO43&gt;0.1),TRUE,FALSE)</formula>
    </cfRule>
  </conditionalFormatting>
  <conditionalFormatting sqref="AE62">
    <cfRule type="expression" dxfId="97" priority="194">
      <formula>IF(AND($AE$63&gt;1,OR(AE62&lt;-0.1,AE62&gt;0.1)),TRUE,FALSE)</formula>
    </cfRule>
  </conditionalFormatting>
  <conditionalFormatting sqref="X35">
    <cfRule type="expression" dxfId="96" priority="149">
      <formula>IF(OR(X35&lt;-0.1,X35&gt;0.1),TRUE,FALSE)</formula>
    </cfRule>
  </conditionalFormatting>
  <conditionalFormatting sqref="V35">
    <cfRule type="expression" dxfId="95" priority="150">
      <formula>IF(OR(V35&lt;-0.1,V35&gt;0.1),TRUE,FALSE)</formula>
    </cfRule>
  </conditionalFormatting>
  <conditionalFormatting sqref="R35">
    <cfRule type="expression" dxfId="94" priority="152">
      <formula>IF(OR(R35&lt;-0.1,R35&gt;0.1),TRUE,FALSE)</formula>
    </cfRule>
  </conditionalFormatting>
  <conditionalFormatting sqref="P35">
    <cfRule type="expression" dxfId="93" priority="153">
      <formula>IF(OR(P35&lt;-0.1,P35&gt;0.1),TRUE,FALSE)</formula>
    </cfRule>
  </conditionalFormatting>
  <conditionalFormatting sqref="N35">
    <cfRule type="expression" dxfId="92" priority="154">
      <formula>IF(OR(N35&lt;-0.1,N35&gt;0.1),TRUE,FALSE)</formula>
    </cfRule>
  </conditionalFormatting>
  <conditionalFormatting sqref="H35">
    <cfRule type="expression" dxfId="91" priority="157">
      <formula>IF(OR(H35&lt;-0.1,H35&gt;0.1),TRUE,FALSE)</formula>
    </cfRule>
  </conditionalFormatting>
  <conditionalFormatting sqref="D35">
    <cfRule type="expression" dxfId="90" priority="158">
      <formula>IF(OR(D35&lt;-0.1,D35&gt;0.1),TRUE,FALSE)</formula>
    </cfRule>
  </conditionalFormatting>
  <conditionalFormatting sqref="T35">
    <cfRule type="expression" dxfId="89" priority="151">
      <formula>IF(OR(T35&lt;-0.1,T35&gt;0.1),TRUE,FALSE)</formula>
    </cfRule>
  </conditionalFormatting>
  <conditionalFormatting sqref="D43">
    <cfRule type="expression" dxfId="88" priority="148">
      <formula>IF(OR(D43&lt;-0.1,D43&gt;0.1),TRUE,FALSE)</formula>
    </cfRule>
  </conditionalFormatting>
  <conditionalFormatting sqref="D62">
    <cfRule type="expression" dxfId="87" priority="138">
      <formula>IF(AND($D$63&gt;1,OR(D62&lt;-0.1,D62&gt;0.1)),TRUE,FALSE)</formula>
    </cfRule>
  </conditionalFormatting>
  <conditionalFormatting sqref="AZ47">
    <cfRule type="expression" dxfId="86" priority="103">
      <formula>IF(OR(AZ47&lt;-0.1,AZ47&gt;0.1),TRUE,FALSE)</formula>
    </cfRule>
  </conditionalFormatting>
  <conditionalFormatting sqref="BJ47">
    <cfRule type="expression" dxfId="85" priority="97">
      <formula>IF(OR(BJ47&lt;-0.1,BJ47&gt;0.1),TRUE,FALSE)</formula>
    </cfRule>
  </conditionalFormatting>
  <conditionalFormatting sqref="BL47">
    <cfRule type="expression" dxfId="84" priority="96">
      <formula>IF(OR(BL47&lt;-0.1,BL47&gt;0.1),TRUE,FALSE)</formula>
    </cfRule>
  </conditionalFormatting>
  <conditionalFormatting sqref="AX47">
    <cfRule type="expression" dxfId="83" priority="104">
      <formula>IF(OR(AX47&lt;-0.1,AX47&gt;0.1),TRUE,FALSE)</formula>
    </cfRule>
  </conditionalFormatting>
  <conditionalFormatting sqref="BB47">
    <cfRule type="expression" dxfId="82" priority="102">
      <formula>IF(OR(BB47&lt;-0.1,BB47&gt;0.1),TRUE,FALSE)</formula>
    </cfRule>
  </conditionalFormatting>
  <conditionalFormatting sqref="BD47">
    <cfRule type="expression" dxfId="81" priority="101">
      <formula>IF(OR(BD47&lt;-0.1,BD47&gt;0.1),TRUE,FALSE)</formula>
    </cfRule>
  </conditionalFormatting>
  <conditionalFormatting sqref="BF47">
    <cfRule type="expression" dxfId="80" priority="100">
      <formula>IF(OR(BF47&lt;-0.1,BF47&gt;0.1),TRUE,FALSE)</formula>
    </cfRule>
  </conditionalFormatting>
  <conditionalFormatting sqref="BH47">
    <cfRule type="expression" dxfId="79" priority="99">
      <formula>IF(OR(BH47&lt;-0.1,BH47&gt;0.1),TRUE,FALSE)</formula>
    </cfRule>
  </conditionalFormatting>
  <conditionalFormatting sqref="J82">
    <cfRule type="expression" dxfId="78" priority="83">
      <formula>IF(OR(1-J82&lt;-0.1,1-J82&gt;0.1),TRUE,FALSE)</formula>
    </cfRule>
  </conditionalFormatting>
  <conditionalFormatting sqref="F455 H455">
    <cfRule type="expression" dxfId="77" priority="66">
      <formula>IF(OR(1-F455&lt;-0.1,1-F455&gt;0.1),TRUE,FALSE)</formula>
    </cfRule>
  </conditionalFormatting>
  <conditionalFormatting sqref="F426 H426">
    <cfRule type="expression" dxfId="76" priority="65">
      <formula>IF(OR(F426&lt;-0.1,F426&gt;0.1),TRUE,FALSE)</formula>
    </cfRule>
  </conditionalFormatting>
  <conditionalFormatting sqref="J35">
    <cfRule type="expression" dxfId="75" priority="80">
      <formula>IF(OR(J35&lt;-0.1,J35&gt;0.1),TRUE,FALSE)</formula>
    </cfRule>
  </conditionalFormatting>
  <conditionalFormatting sqref="D455">
    <cfRule type="expression" dxfId="74" priority="68">
      <formula>IF(OR(1-D455&lt;-0.1,1-D455&gt;0.1),TRUE,FALSE)</formula>
    </cfRule>
  </conditionalFormatting>
  <conditionalFormatting sqref="D426">
    <cfRule type="expression" dxfId="73" priority="67">
      <formula>IF(OR(D426&lt;-0.1,D426&gt;0.1),TRUE,FALSE)</formula>
    </cfRule>
  </conditionalFormatting>
  <conditionalFormatting sqref="J455">
    <cfRule type="expression" dxfId="72" priority="64">
      <formula>IF(OR(1-J455&lt;-0.1,1-J455&gt;0.1),TRUE,FALSE)</formula>
    </cfRule>
  </conditionalFormatting>
  <conditionalFormatting sqref="J426">
    <cfRule type="expression" dxfId="71" priority="63">
      <formula>IF(OR(J426&lt;-0.1,J426&gt;0.1),TRUE,FALSE)</formula>
    </cfRule>
  </conditionalFormatting>
  <conditionalFormatting sqref="L455">
    <cfRule type="expression" dxfId="70" priority="62">
      <formula>IF(OR(1-L455&lt;-0.1,1-L455&gt;0.1),TRUE,FALSE)</formula>
    </cfRule>
  </conditionalFormatting>
  <conditionalFormatting sqref="L426">
    <cfRule type="expression" dxfId="69" priority="61">
      <formula>IF(OR(L426&lt;-0.1,L426&gt;0.1),TRUE,FALSE)</formula>
    </cfRule>
  </conditionalFormatting>
  <conditionalFormatting sqref="N455">
    <cfRule type="expression" dxfId="68" priority="60">
      <formula>IF(OR(1-N455&lt;-0.1,1-N455&gt;0.1),TRUE,FALSE)</formula>
    </cfRule>
  </conditionalFormatting>
  <conditionalFormatting sqref="N426">
    <cfRule type="expression" dxfId="67" priority="59">
      <formula>IF(OR(N426&lt;-0.1,N426&gt;0.1),TRUE,FALSE)</formula>
    </cfRule>
  </conditionalFormatting>
  <conditionalFormatting sqref="P455">
    <cfRule type="expression" dxfId="66" priority="58">
      <formula>IF(OR(1-P455&lt;-0.1,1-P455&gt;0.1),TRUE,FALSE)</formula>
    </cfRule>
  </conditionalFormatting>
  <conditionalFormatting sqref="P426">
    <cfRule type="expression" dxfId="65" priority="57">
      <formula>IF(OR(P426&lt;-0.1,P426&gt;0.1),TRUE,FALSE)</formula>
    </cfRule>
  </conditionalFormatting>
  <conditionalFormatting sqref="R455">
    <cfRule type="expression" dxfId="64" priority="56">
      <formula>IF(OR(1-R455&lt;-0.1,1-R455&gt;0.1),TRUE,FALSE)</formula>
    </cfRule>
  </conditionalFormatting>
  <conditionalFormatting sqref="R426">
    <cfRule type="expression" dxfId="63" priority="55">
      <formula>IF(OR(R426&lt;-0.1,R426&gt;0.1),TRUE,FALSE)</formula>
    </cfRule>
  </conditionalFormatting>
  <conditionalFormatting sqref="T455">
    <cfRule type="expression" dxfId="62" priority="54">
      <formula>IF(OR(1-T455&lt;-0.1,1-T455&gt;0.1),TRUE,FALSE)</formula>
    </cfRule>
  </conditionalFormatting>
  <conditionalFormatting sqref="T426">
    <cfRule type="expression" dxfId="61" priority="53">
      <formula>IF(OR(T426&lt;-0.1,T426&gt;0.1),TRUE,FALSE)</formula>
    </cfRule>
  </conditionalFormatting>
  <conditionalFormatting sqref="V455">
    <cfRule type="expression" dxfId="60" priority="52">
      <formula>IF(OR(1-V455&lt;-0.1,1-V455&gt;0.1),TRUE,FALSE)</formula>
    </cfRule>
  </conditionalFormatting>
  <conditionalFormatting sqref="V426">
    <cfRule type="expression" dxfId="59" priority="51">
      <formula>IF(OR(V426&lt;-0.1,V426&gt;0.1),TRUE,FALSE)</formula>
    </cfRule>
  </conditionalFormatting>
  <conditionalFormatting sqref="X455">
    <cfRule type="expression" dxfId="58" priority="50">
      <formula>IF(OR(1-X455&lt;-0.1,1-X455&gt;0.1),TRUE,FALSE)</formula>
    </cfRule>
  </conditionalFormatting>
  <conditionalFormatting sqref="X426">
    <cfRule type="expression" dxfId="57" priority="49">
      <formula>IF(OR(X426&lt;-0.1,X426&gt;0.1),TRUE,FALSE)</formula>
    </cfRule>
  </conditionalFormatting>
  <conditionalFormatting sqref="AE469">
    <cfRule type="expression" dxfId="56" priority="48">
      <formula>IF(OR(1-AE469&lt;-0.1,1-AE469&gt;0.1),TRUE,FALSE)</formula>
    </cfRule>
  </conditionalFormatting>
  <conditionalFormatting sqref="AE441">
    <cfRule type="expression" dxfId="55" priority="47">
      <formula>IF(OR(AE441&lt;-0.1,AE441&gt;0.1),TRUE,FALSE)</formula>
    </cfRule>
  </conditionalFormatting>
  <conditionalFormatting sqref="AG469">
    <cfRule type="expression" dxfId="54" priority="46">
      <formula>IF(OR(1-AG469&lt;-0.1,1-AG469&gt;0.1),TRUE,FALSE)</formula>
    </cfRule>
  </conditionalFormatting>
  <conditionalFormatting sqref="AG441">
    <cfRule type="expression" dxfId="53" priority="45">
      <formula>IF(OR(AG441&lt;-0.1,AG441&gt;0.1),TRUE,FALSE)</formula>
    </cfRule>
  </conditionalFormatting>
  <conditionalFormatting sqref="AI469">
    <cfRule type="expression" dxfId="52" priority="44">
      <formula>IF(OR(1-AI469&lt;-0.1,1-AI469&gt;0.1),TRUE,FALSE)</formula>
    </cfRule>
  </conditionalFormatting>
  <conditionalFormatting sqref="AI441">
    <cfRule type="expression" dxfId="51" priority="43">
      <formula>IF(OR(AI441&lt;-0.1,AI441&gt;0.1),TRUE,FALSE)</formula>
    </cfRule>
  </conditionalFormatting>
  <conditionalFormatting sqref="BU62">
    <cfRule type="expression" dxfId="50" priority="42">
      <formula>IF(AND($BU$63&gt;1,OR(BU62&lt;-0.1,BU62&gt;0.1)),TRUE,FALSE)</formula>
    </cfRule>
  </conditionalFormatting>
  <conditionalFormatting sqref="BW62">
    <cfRule type="expression" dxfId="49" priority="41">
      <formula>IF(AND($BW$63&gt;1,OR(BW62&lt;-0.1,BW62&gt;0.1)),TRUE,FALSE)</formula>
    </cfRule>
  </conditionalFormatting>
  <conditionalFormatting sqref="BY62">
    <cfRule type="expression" dxfId="48" priority="40">
      <formula>IF(AND($BY$63&gt;1,OR(BY62&lt;-0.1,BY62&gt;0.1)),TRUE,FALSE)</formula>
    </cfRule>
  </conditionalFormatting>
  <conditionalFormatting sqref="CA62">
    <cfRule type="expression" dxfId="47" priority="39">
      <formula>IF(AND($CA$63&gt;1,OR(CA62&lt;-0.1,CA62&gt;0.1)),TRUE,FALSE)</formula>
    </cfRule>
  </conditionalFormatting>
  <conditionalFormatting sqref="CC62">
    <cfRule type="expression" dxfId="46" priority="38">
      <formula>IF(AND($CC$63&gt;1,OR(CC62&lt;-0.1,CC62&gt;0.1)),TRUE,FALSE)</formula>
    </cfRule>
  </conditionalFormatting>
  <conditionalFormatting sqref="AG62">
    <cfRule type="expression" dxfId="45" priority="37">
      <formula>IF(AND($AG$63&gt;1,OR(AG62&lt;-0.1,AG62&gt;0.1)),TRUE,FALSE)</formula>
    </cfRule>
  </conditionalFormatting>
  <conditionalFormatting sqref="AI62">
    <cfRule type="expression" dxfId="44" priority="36">
      <formula>IF(AND($AI$63&gt;1,OR(AI62&lt;-0.1,AI62&gt;0.1)),TRUE,FALSE)</formula>
    </cfRule>
  </conditionalFormatting>
  <conditionalFormatting sqref="AK62">
    <cfRule type="expression" dxfId="43" priority="35">
      <formula>IF(AND($AK$63&gt;1,OR(AK62&lt;-0.1,AK62&gt;0.1)),TRUE,FALSE)</formula>
    </cfRule>
  </conditionalFormatting>
  <conditionalFormatting sqref="AM62">
    <cfRule type="expression" dxfId="42" priority="34">
      <formula>IF(AND($AM$63&gt;1,OR(AM62&lt;-0.1,AM62&gt;0.1)),TRUE,FALSE)</formula>
    </cfRule>
  </conditionalFormatting>
  <conditionalFormatting sqref="AO62">
    <cfRule type="expression" dxfId="41" priority="33">
      <formula>IF(AND($AO$63&gt;1,OR(AO62&lt;-0.1,AO62&gt;0.1)),TRUE,FALSE)</formula>
    </cfRule>
  </conditionalFormatting>
  <conditionalFormatting sqref="H62">
    <cfRule type="expression" dxfId="40" priority="32">
      <formula>IF(AND($F$63&gt;1,OR(H62&lt;-0.1,H62&gt;0.1)),TRUE,FALSE)</formula>
    </cfRule>
  </conditionalFormatting>
  <conditionalFormatting sqref="J62">
    <cfRule type="expression" dxfId="39" priority="31">
      <formula>IF(AND($J$63&gt;1,OR(J62&lt;-0.1,J62&gt;0.1)),TRUE,FALSE)</formula>
    </cfRule>
  </conditionalFormatting>
  <conditionalFormatting sqref="N62">
    <cfRule type="expression" dxfId="38" priority="29">
      <formula>IF(AND($N$63&gt;1,OR(N62&lt;-0.1,N62&gt;0.1)),TRUE,FALSE)</formula>
    </cfRule>
  </conditionalFormatting>
  <conditionalFormatting sqref="P62">
    <cfRule type="expression" dxfId="37" priority="28">
      <formula>IF(AND($P$63&gt;1,OR(P62&lt;-0.1,P62&gt;0.1)),TRUE,FALSE)</formula>
    </cfRule>
  </conditionalFormatting>
  <conditionalFormatting sqref="R62">
    <cfRule type="expression" dxfId="36" priority="27">
      <formula>IF(AND($R$63&gt;1,OR(R62&lt;-0.1,R62&gt;0.1)),TRUE,FALSE)</formula>
    </cfRule>
  </conditionalFormatting>
  <conditionalFormatting sqref="T62">
    <cfRule type="expression" dxfId="35" priority="26">
      <formula>IF(AND($T$63&gt;1,OR(T62&lt;-0.1,T62&gt;0.1)),TRUE,FALSE)</formula>
    </cfRule>
  </conditionalFormatting>
  <conditionalFormatting sqref="V62">
    <cfRule type="expression" dxfId="34" priority="25">
      <formula>IF(AND($V$63&gt;1,OR(V62&lt;-0.1,V62&gt;0.1)),TRUE,FALSE)</formula>
    </cfRule>
  </conditionalFormatting>
  <conditionalFormatting sqref="X62">
    <cfRule type="expression" dxfId="33" priority="24">
      <formula>IF(AND($X$63&gt;1,OR(X62&lt;-0.1,X62&gt;0.1)),TRUE,FALSE)</formula>
    </cfRule>
  </conditionalFormatting>
  <conditionalFormatting sqref="L35">
    <cfRule type="expression" dxfId="32" priority="18">
      <formula>IF(OR(L35&lt;-0.1,L35&gt;0.1),TRUE,FALSE)</formula>
    </cfRule>
  </conditionalFormatting>
  <conditionalFormatting sqref="L62">
    <cfRule type="expression" dxfId="31" priority="15">
      <formula>IF(AND($D$63&gt;1,OR(L62&lt;-0.1,L62&gt;0.1)),TRUE,FALSE)</formula>
    </cfRule>
  </conditionalFormatting>
  <conditionalFormatting sqref="L43">
    <cfRule type="expression" dxfId="30" priority="14">
      <formula>IF(OR(L43&lt;-0.1,L43&gt;0.1),TRUE,FALSE)</formula>
    </cfRule>
  </conditionalFormatting>
  <conditionalFormatting sqref="H43">
    <cfRule type="expression" dxfId="29" priority="12">
      <formula>IF(OR(H43&lt;-0.1,H43&gt;0.1),TRUE,FALSE)</formula>
    </cfRule>
  </conditionalFormatting>
  <conditionalFormatting sqref="AK35">
    <cfRule type="expression" dxfId="28" priority="11">
      <formula>IF(OR(AK35&lt;-0.1,AK35&gt;0.1),TRUE,FALSE)</formula>
    </cfRule>
  </conditionalFormatting>
  <conditionalFormatting sqref="AK43">
    <cfRule type="expression" dxfId="27" priority="8">
      <formula>IF(OR(AK43&lt;-0.1,AK43&gt;0.1),TRUE,FALSE)</formula>
    </cfRule>
  </conditionalFormatting>
  <conditionalFormatting sqref="F82">
    <cfRule type="expression" dxfId="26" priority="7">
      <formula>IF(OR(1-F82&lt;-0.1,1-F82&gt;0.1),TRUE,FALSE)</formula>
    </cfRule>
  </conditionalFormatting>
  <conditionalFormatting sqref="F43">
    <cfRule type="expression" dxfId="25" priority="5">
      <formula>IF(OR(F43&lt;-0.1,F43&gt;0.1),TRUE,FALSE)</formula>
    </cfRule>
  </conditionalFormatting>
  <conditionalFormatting sqref="F62">
    <cfRule type="expression" dxfId="24" priority="4">
      <formula>IF(AND($D$63&gt;1,OR(F62&lt;-0.1,F62&gt;0.1)),TRUE,FALSE)</formula>
    </cfRule>
  </conditionalFormatting>
  <conditionalFormatting sqref="F35">
    <cfRule type="expression" dxfId="23" priority="3">
      <formula>IF(OR(F35&lt;-0.1,F35&gt;0.1),TRUE,FALSE)</formula>
    </cfRule>
  </conditionalFormatting>
  <conditionalFormatting sqref="CA35">
    <cfRule type="expression" dxfId="22" priority="2">
      <formula>IF(OR(CA35&lt;-0.1,CA35&gt;0.1),TRUE,FALSE)</formula>
    </cfRule>
  </conditionalFormatting>
  <conditionalFormatting sqref="CC35">
    <cfRule type="expression" dxfId="21" priority="1">
      <formula>IF(OR(CC35&lt;-0.1,CC35&gt;0.1),TRUE,FALSE)</formula>
    </cfRule>
  </conditionalFormatting>
  <printOptions headings="1"/>
  <pageMargins left="0.25" right="0" top="0.25" bottom="0.25" header="0" footer="0"/>
  <pageSetup paperSize="17" pageOrder="overThenDown" orientation="landscape"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tabColor rgb="FF00B0F0"/>
    <pageSetUpPr autoPageBreaks="0"/>
  </sheetPr>
  <dimension ref="A1:N233"/>
  <sheetViews>
    <sheetView showRowColHeaders="0" zoomScale="90" zoomScaleNormal="90" workbookViewId="0">
      <selection activeCell="D14" sqref="D14"/>
    </sheetView>
  </sheetViews>
  <sheetFormatPr defaultColWidth="9.1796875" defaultRowHeight="12.5" x14ac:dyDescent="0.25"/>
  <cols>
    <col min="1" max="1" width="9.81640625" style="337" customWidth="1"/>
    <col min="2" max="2" width="41.453125" style="337" customWidth="1"/>
    <col min="3" max="5" width="9.81640625" style="337" customWidth="1"/>
    <col min="6" max="6" width="40.81640625" style="337" customWidth="1"/>
    <col min="7" max="7" width="12.453125" style="337" bestFit="1" customWidth="1"/>
    <col min="8" max="9" width="9.1796875" style="337"/>
    <col min="10" max="10" width="9.81640625" style="337" customWidth="1"/>
    <col min="11" max="11" width="13.1796875" style="337" bestFit="1" customWidth="1"/>
    <col min="12" max="12" width="9.1796875" style="337"/>
    <col min="13" max="13" width="13" style="337" bestFit="1" customWidth="1"/>
    <col min="14" max="14" width="9.1796875" style="337"/>
    <col min="15" max="15" width="13" style="337" bestFit="1" customWidth="1"/>
    <col min="16" max="16384" width="9.1796875" style="337"/>
  </cols>
  <sheetData>
    <row r="1" spans="1:10" ht="13" x14ac:dyDescent="0.25">
      <c r="A1" s="3"/>
      <c r="B1" s="3"/>
      <c r="C1" s="3"/>
      <c r="D1" s="3"/>
      <c r="E1" s="3"/>
      <c r="F1" s="3"/>
      <c r="G1" s="3"/>
      <c r="H1" s="3"/>
      <c r="I1" s="3"/>
      <c r="J1" s="3"/>
    </row>
    <row r="2" spans="1:10" ht="13" x14ac:dyDescent="0.25">
      <c r="A2" s="3"/>
      <c r="B2" s="4296" t="str">
        <f>"BASIS AND SPECIAL CALCULATIONS "&amp;Equipment_Tag&amp;" CONTAINING "&amp;Chemical</f>
        <v xml:space="preserve">BASIS AND SPECIAL CALCULATIONS  CONTAINING </v>
      </c>
      <c r="C2" s="4324"/>
      <c r="D2" s="4324"/>
      <c r="E2" s="4324"/>
      <c r="F2" s="4324"/>
      <c r="G2" s="4324"/>
      <c r="H2" s="4304"/>
      <c r="I2" s="3"/>
      <c r="J2" s="3"/>
    </row>
    <row r="3" spans="1:10" ht="13" x14ac:dyDescent="0.25">
      <c r="A3" s="3"/>
      <c r="B3" s="3"/>
      <c r="C3" s="3"/>
      <c r="D3" s="3"/>
      <c r="E3" s="3"/>
      <c r="F3" s="3"/>
      <c r="G3" s="3"/>
      <c r="H3" s="3"/>
      <c r="I3" s="3"/>
      <c r="J3" s="3"/>
    </row>
    <row r="4" spans="1:10" ht="13.5" thickBot="1" x14ac:dyDescent="0.3">
      <c r="A4" s="3"/>
      <c r="B4" s="4312" t="s">
        <v>821</v>
      </c>
      <c r="C4" s="4325"/>
      <c r="D4" s="4326"/>
      <c r="E4" s="3"/>
      <c r="F4" s="245" t="s">
        <v>1828</v>
      </c>
      <c r="G4" s="247">
        <f>Location</f>
        <v>0</v>
      </c>
      <c r="H4" s="246"/>
      <c r="I4" s="3"/>
      <c r="J4" s="3"/>
    </row>
    <row r="5" spans="1:10" ht="13" x14ac:dyDescent="0.25">
      <c r="A5" s="3"/>
      <c r="B5" s="2353" t="s">
        <v>4592</v>
      </c>
      <c r="C5" s="4284">
        <f>IF(OR(Screwed_Connect="No Penalty",Screwed_Connect=""),0,1)</f>
        <v>0</v>
      </c>
      <c r="D5" s="4285"/>
      <c r="E5" s="3"/>
      <c r="F5" s="3"/>
      <c r="G5" s="3"/>
      <c r="H5" s="3"/>
      <c r="I5" s="3"/>
      <c r="J5" s="3"/>
    </row>
    <row r="6" spans="1:10" ht="13" x14ac:dyDescent="0.25">
      <c r="A6" s="3"/>
      <c r="B6" s="2354" t="s">
        <v>4592</v>
      </c>
      <c r="C6" s="4293">
        <f>IF(OR(Screwed_Connect="No Penalty",Screwed_Connect="",Screwed_Connect="Through Very Small"),0,1)</f>
        <v>0</v>
      </c>
      <c r="D6" s="4294"/>
      <c r="E6" s="3"/>
      <c r="F6" s="4296" t="s">
        <v>155</v>
      </c>
      <c r="G6" s="4311"/>
      <c r="H6" s="4305"/>
      <c r="I6" s="3"/>
      <c r="J6" s="3"/>
    </row>
    <row r="7" spans="1:10" ht="12.75" customHeight="1" x14ac:dyDescent="0.25">
      <c r="A7" s="3"/>
      <c r="B7" s="2354" t="s">
        <v>4592</v>
      </c>
      <c r="C7" s="4293">
        <f>IF(OR(Screwed_Connect="No Penalty",Screwed_Connect="",Screwed_Connect="Through Very Small",Screwed_Connect="Through Medium"),0,1)</f>
        <v>0</v>
      </c>
      <c r="D7" s="4294"/>
      <c r="E7" s="3"/>
      <c r="F7" s="434" t="s">
        <v>154</v>
      </c>
      <c r="G7" s="435">
        <f>Max_ContainedMass+Feedrate*Max_Duration</f>
        <v>0</v>
      </c>
      <c r="H7" s="436" t="s">
        <v>1497</v>
      </c>
      <c r="I7" s="3"/>
      <c r="J7" s="3"/>
    </row>
    <row r="8" spans="1:10" ht="12.75" customHeight="1" x14ac:dyDescent="0.25">
      <c r="A8" s="3"/>
      <c r="B8" s="2354" t="s">
        <v>4592</v>
      </c>
      <c r="C8" s="4293">
        <f>IF(OR(Screwed_Connect="No Penalty",Screwed_Connect="",Screwed_Connect="Through Very Small",Screwed_Connect="Through Medium",Screwed_Connect="Through Very Large"),0,1)</f>
        <v>0</v>
      </c>
      <c r="D8" s="4294"/>
      <c r="E8" s="3"/>
      <c r="F8" s="434" t="s">
        <v>1924</v>
      </c>
      <c r="G8" s="437">
        <f>IF(State&lt;&gt;"Vapor",IF(Inventory&lt;Effective_Fill_Fract*Volume*Liq_rho,Inventory,Effective_Fill_Fract*Volume*Liq_rho),Volume*Mw_Mix*(1+P)/(82.06*(273+T)))</f>
        <v>0</v>
      </c>
      <c r="H8" s="436" t="s">
        <v>1497</v>
      </c>
      <c r="I8" s="3"/>
      <c r="J8" s="3"/>
    </row>
    <row r="9" spans="1:10" ht="13" x14ac:dyDescent="0.25">
      <c r="A9" s="3"/>
      <c r="B9" s="977"/>
      <c r="C9" s="433" t="s">
        <v>4605</v>
      </c>
      <c r="D9" s="2355">
        <f>IF(OR(AND(Corrosive="Severe (&gt;1 mil/yr)",OR(Matl_Construction="Non-Metalic (FRP, etc.)",Matl_Construction="Glass-Lined Steel",Matl_Construction="Plastic-Lined Steel",Matl_Construction="Stainless Steel")),AND(Corrosive="Stress Cracking",Matl_Construction="Stainless Steel"),AND(Corrosive&lt;&gt;"No",Corrosive&lt;&gt;"",Corrosive&lt;&gt;"Stress Cracking",OR(Matl_Construction="Cast Iron",Matl_Construction="Carbon Steel",Matl_Construction="Low Temp Carbon Steel"))),1,0)</f>
        <v>0</v>
      </c>
      <c r="E9" s="3"/>
      <c r="F9" s="438" t="s">
        <v>1564</v>
      </c>
      <c r="G9" s="437">
        <f>IF(State&lt;&gt;"Vapor",Volume*Liq_rho,Volume*Mw_Mix*(1+P)/(82.06*(273+T)))</f>
        <v>0</v>
      </c>
      <c r="H9" s="439" t="s">
        <v>1497</v>
      </c>
      <c r="I9" s="3"/>
      <c r="J9" s="3"/>
    </row>
    <row r="10" spans="1:10" ht="13" x14ac:dyDescent="0.25">
      <c r="A10" s="3"/>
      <c r="B10" s="2356"/>
      <c r="C10" s="507" t="s">
        <v>1059</v>
      </c>
      <c r="D10" s="2357" t="str">
        <f>IF(OR(AND(Insulation&lt;&gt;"No",Matl_Construction&lt;&gt;"Non-Metalic (FRP, etc.)",Matl_Construction&lt;&gt;"Stainless Steel",Matl_Construction&lt;&gt;"Corrosion Resistant Alloy",T&gt;-4,T&lt;120),AND(Insulation&lt;&gt;"No",Matl_Construction="Stainless Steel",T&gt;65,T&lt;205)),"Yes","No")</f>
        <v>Yes</v>
      </c>
      <c r="E10" s="3"/>
      <c r="F10" s="3"/>
      <c r="G10" s="3"/>
      <c r="H10" s="3"/>
      <c r="I10" s="3"/>
      <c r="J10" s="3"/>
    </row>
    <row r="11" spans="1:10" ht="13" x14ac:dyDescent="0.25">
      <c r="A11" s="3"/>
      <c r="B11" s="977"/>
      <c r="C11" s="433" t="s">
        <v>178</v>
      </c>
      <c r="D11" s="2358">
        <f>IF(AND(Corrosion_Insulation="Yes",OR(Insulation="Yes",Insulation="Fireproof")),1,0)</f>
        <v>0</v>
      </c>
      <c r="E11" s="3"/>
      <c r="F11" s="4312" t="s">
        <v>1358</v>
      </c>
      <c r="G11" s="4327"/>
      <c r="H11" s="4313"/>
      <c r="I11" s="3"/>
      <c r="J11" s="3"/>
    </row>
    <row r="12" spans="1:10" ht="15" x14ac:dyDescent="0.25">
      <c r="A12" s="3"/>
      <c r="B12" s="977"/>
      <c r="C12" s="433" t="s">
        <v>4182</v>
      </c>
      <c r="D12" s="1755">
        <f>IF(AND(D&gt;Hole_Medium,OR(Penalty_Screwed="Extremely Large",Penalty_Screwed="Very Large")),0,IF(NOT(ISNUMBER(Flanges)),1,IF(OR(Equipment="Adsorber/Scrubber",Equipment="Distillation",Equipment="Filter/Centrifuge",Equipment="Stirred Reactor/Crystallizer",Equipment="Tank Truck/Rail Car/Tote",Equipment="Vessel/Tank"),Flanges/2,Flanges)))</f>
        <v>1</v>
      </c>
      <c r="E12" s="3"/>
      <c r="F12" s="1855" t="s">
        <v>3678</v>
      </c>
      <c r="G12" s="2140">
        <f>IF(Equipment="Pump",Pump_S,IF(OR(Geometry="Flat Bottom",Geometry="Non-Anchored Flat Bottom"),Tank_Sur1*(Volume/1000)^Tank_Sur3,Tank_Sur2*(Volume/1000)^Tank_Sur3))</f>
        <v>0</v>
      </c>
      <c r="H12" s="1856" t="s">
        <v>2196</v>
      </c>
      <c r="I12" s="3"/>
      <c r="J12" s="3"/>
    </row>
    <row r="13" spans="1:10" ht="13" x14ac:dyDescent="0.25">
      <c r="A13" s="3"/>
      <c r="B13" s="977"/>
      <c r="C13" s="433" t="s">
        <v>1509</v>
      </c>
      <c r="D13" s="1755">
        <f>ROUND(-LOG(0.5*(IF(OR(Equipment="Pump",Equipment="Piping",Equipment="Compressor or Blower",Equipment="Turbine or Gas Expander"),0.00001*Pipe_Length*Hole_VerySmall^-0.5*(D+0.001)^-0.3,0)+IF(Equipment="Piping",0,0.00016*Hole_VerySmall^-0.4)+0.000001*(D+0.001)^0.4*Hole_VerySmall^-0.7*Adjusted_Flanges)),0)-Penalty_Screwed-Penalty_Corrosive-Penalty_Insulation</f>
        <v>4</v>
      </c>
      <c r="E13" s="3"/>
      <c r="F13" s="1857" t="s">
        <v>3677</v>
      </c>
      <c r="G13" s="1852">
        <f>IF(Fill="",Fill_Max_Limit,Fill)</f>
        <v>0.8</v>
      </c>
      <c r="H13" s="436"/>
      <c r="I13" s="3"/>
      <c r="J13" s="3"/>
    </row>
    <row r="14" spans="1:10" ht="13" x14ac:dyDescent="0.25">
      <c r="A14" s="3"/>
      <c r="B14" s="977"/>
      <c r="C14" s="433" t="s">
        <v>718</v>
      </c>
      <c r="D14" s="1755">
        <f>ROUND(-LOG(0.5*(IF(OR(Equipment="Pump",Equipment="Piping",Equipment="Compressor or Blower",Equipment="Turbine or Gas Expander"),0.00001*Pipe_Length*Hole_Medium^-0.5*(D+0.001)^-0.3,0)+IF(Equipment="Piping",0,0.00016*Hole_Medium^-0.4)+0.000001*(D+0.001)^0.4*Hole_Medium^-0.7*Adjusted_Flanges)),0)-Penalty_Screwed-Penalty_Corrosive-Penalty_Insulation</f>
        <v>4</v>
      </c>
      <c r="E14" s="3"/>
      <c r="F14" s="1857" t="s">
        <v>3682</v>
      </c>
      <c r="G14" s="1852">
        <f>IF(Fill2="",Fill_Min_Limit,Fill2)</f>
        <v>0.2</v>
      </c>
      <c r="H14" s="436"/>
      <c r="I14" s="3"/>
      <c r="J14" s="3"/>
    </row>
    <row r="15" spans="1:10" ht="13" x14ac:dyDescent="0.25">
      <c r="A15" s="3"/>
      <c r="B15" s="977"/>
      <c r="C15" s="433" t="s">
        <v>1061</v>
      </c>
      <c r="D15" s="1755">
        <f>ROUND(-LOG(0.5*(IF(OR(Equipment="Pump",Equipment="Piping",Equipment="Compressor or Blower",Equipment="Turbine or Gas Expander"),0.00001*Pipe_Length*Hole_VeryLarge^-0.5*(D+0.001)^-0.3,0)+IF(Equipment="Piping",0,0.00016*Hole_VeryLarge^-0.4)+0.000001*(D+0.001)^0.4*Hole_VeryLarge^-0.7*Adjusted_Flanges)),0)-Penalty_Screwed-Penalty_Corrosive-Penalty_Insulation</f>
        <v>4</v>
      </c>
      <c r="E15" s="3"/>
      <c r="F15" s="1858" t="s">
        <v>2027</v>
      </c>
      <c r="G15" s="1851">
        <f>IF(State="Vapor",0.01,IF(OR(Equipment="Adsorber/Scrubber",Equipment="Distillation"),IF(Fill&lt;&gt;"",Fill,Fill_Min),IF(OR(Equipment="Piping",Equipment="Pump"),0.99,Fill_Max)))</f>
        <v>0.8</v>
      </c>
      <c r="H15" s="1092"/>
      <c r="I15" s="3"/>
      <c r="J15" s="3"/>
    </row>
    <row r="16" spans="1:10" ht="15" x14ac:dyDescent="0.25">
      <c r="A16" s="3"/>
      <c r="B16" s="977"/>
      <c r="C16" s="433" t="s">
        <v>1876</v>
      </c>
      <c r="D16" s="1755">
        <f>ROUND(-LOG(0.5*(IF(OR(Equipment="Pump",Equipment="Piping",Equipment="Compressor or Blower",Equipment="Turbine or Gas Expander"),0.00001*Pipe_Length*Hole_ExtremelyLarge^-0.5*(D+0.001)^-0.3,0)+IF(Equipment="Piping",0,0.00016*Hole_ExtremelyLarge^-0.4)+0.000001*(D+0.001)^0.4*Hole_ExtremelyLarge^-0.7*Adjusted_Flanges)),0)-Penalty_Screwed-Penalty_Corrosive-Penalty_Insulation</f>
        <v>5</v>
      </c>
      <c r="E16" s="3"/>
      <c r="F16" s="1858" t="s">
        <v>3676</v>
      </c>
      <c r="G16" s="2140">
        <f>IF(Equipment="Pump",Pump_S,Sur_Area*Effective_Fill_Fract^IF(OR(Geometry="Flat Bottom",Geometry="Non-Anchored Flat Bottom"),1,IF(Geometry="Horizontal",0.5, 0.67)))</f>
        <v>8.6113311673405284E-3</v>
      </c>
      <c r="H16" s="436" t="s">
        <v>2196</v>
      </c>
      <c r="I16" s="3"/>
      <c r="J16" s="3"/>
    </row>
    <row r="17" spans="1:11" ht="13" x14ac:dyDescent="0.25">
      <c r="A17" s="3"/>
      <c r="B17" s="2359"/>
      <c r="D17" s="537"/>
      <c r="E17" s="3"/>
      <c r="F17" s="1858" t="s">
        <v>1719</v>
      </c>
      <c r="G17" s="2141">
        <f>IF(Equipment="Pump",2*Pump_V*Liq_rho,ContainedMass)</f>
        <v>0</v>
      </c>
      <c r="H17" s="436" t="s">
        <v>1497</v>
      </c>
      <c r="I17" s="3"/>
      <c r="J17" s="3"/>
    </row>
    <row r="18" spans="1:11" ht="13" x14ac:dyDescent="0.25">
      <c r="A18" s="3"/>
      <c r="B18" s="977"/>
      <c r="C18" s="433" t="s">
        <v>406</v>
      </c>
      <c r="D18" s="2358" t="str">
        <f>IF(OR(AND(Embrittle_T_Input&lt;&gt;"",OR(T&lt;Embrittle_T,TBp&lt;Embrittle_T)),AND(OR(T&lt;-10,TBp&lt;-10),OR(Matl_Construction="Cast Iron",Matl_Construction="Carbon Steel"))),"Yes","No")</f>
        <v>No</v>
      </c>
      <c r="E18" s="3"/>
      <c r="F18" s="1859" t="s">
        <v>3999</v>
      </c>
      <c r="G18" s="2141">
        <f>Tank_Mass1*(Volume/1000)^Tank_Mass2*MAWP^Tank_Mass3</f>
        <v>0</v>
      </c>
      <c r="H18" s="1860" t="s">
        <v>1497</v>
      </c>
      <c r="I18" s="3"/>
      <c r="J18" s="3"/>
      <c r="K18" s="1126"/>
    </row>
    <row r="19" spans="1:11" ht="13" x14ac:dyDescent="0.25">
      <c r="A19" s="3"/>
      <c r="B19" s="2356"/>
      <c r="C19" s="456"/>
      <c r="D19" s="1816"/>
      <c r="E19" s="3"/>
      <c r="F19" s="3"/>
      <c r="G19" s="3"/>
      <c r="H19" s="3"/>
      <c r="I19" s="3"/>
      <c r="J19" s="3"/>
    </row>
    <row r="20" spans="1:11" ht="13" x14ac:dyDescent="0.25">
      <c r="A20" s="3"/>
      <c r="B20" s="4330" t="s">
        <v>1459</v>
      </c>
      <c r="C20" s="3848"/>
      <c r="D20" s="4331"/>
      <c r="E20" s="3"/>
      <c r="F20" s="4296" t="s">
        <v>488</v>
      </c>
      <c r="G20" s="4311"/>
      <c r="H20" s="4305"/>
      <c r="I20" s="3"/>
      <c r="J20" s="3"/>
    </row>
    <row r="21" spans="1:11" ht="13" x14ac:dyDescent="0.25">
      <c r="A21" s="3"/>
      <c r="B21" s="977"/>
      <c r="C21" s="433" t="s">
        <v>2190</v>
      </c>
      <c r="D21" s="2358">
        <f>IF(Equipment="Fired Equipment - Process Heat Transfer",1,IF(Ease_of_Ignition_Feed="High",0,IF(OR(Ease_of_Ignition_Feed="Elevated",Location="Indoors"),2,3)))</f>
        <v>3</v>
      </c>
      <c r="E21" s="3"/>
      <c r="F21" s="442" t="s">
        <v>1207</v>
      </c>
      <c r="G21" s="504">
        <f>Relief_Set</f>
        <v>0</v>
      </c>
      <c r="H21" s="487" t="s">
        <v>1067</v>
      </c>
      <c r="I21" s="3"/>
      <c r="J21" s="3"/>
    </row>
    <row r="22" spans="1:11" ht="13" x14ac:dyDescent="0.25">
      <c r="A22" s="3"/>
      <c r="B22" s="977"/>
      <c r="C22" s="433" t="s">
        <v>3077</v>
      </c>
      <c r="D22" s="2358" t="str">
        <f>IF(OR(Matl_Construction="Glass-Lined Steel",Matl_Construction="Plastic-Lined Steel",Matl_Construction="Ceramic or Graphite",Matl_Construction="Non-Metalic (FRP, etc.)"),"Yes","No")</f>
        <v>No</v>
      </c>
      <c r="E22" s="3"/>
      <c r="F22" s="443" t="s">
        <v>2288</v>
      </c>
      <c r="G22" s="510">
        <f>Tpeak_atRelief</f>
        <v>0</v>
      </c>
      <c r="H22" s="506" t="s">
        <v>1836</v>
      </c>
      <c r="I22" s="3"/>
      <c r="J22" s="3"/>
    </row>
    <row r="23" spans="1:11" ht="13.5" thickBot="1" x14ac:dyDescent="0.35">
      <c r="A23" s="3"/>
      <c r="B23" s="579"/>
      <c r="C23" s="580"/>
      <c r="D23" s="581"/>
      <c r="E23" s="3"/>
      <c r="F23" s="443" t="s">
        <v>1434</v>
      </c>
      <c r="G23" s="508">
        <f>T_atRelief</f>
        <v>0</v>
      </c>
      <c r="H23" s="506" t="s">
        <v>1836</v>
      </c>
      <c r="I23" s="3"/>
      <c r="J23" s="3"/>
    </row>
    <row r="24" spans="1:11" ht="13" x14ac:dyDescent="0.25">
      <c r="A24" s="3"/>
      <c r="B24" s="3"/>
      <c r="C24" s="3"/>
      <c r="D24" s="3"/>
      <c r="E24" s="3"/>
      <c r="F24" s="443" t="s">
        <v>2285</v>
      </c>
      <c r="G24" s="505">
        <f>2*Burst_P</f>
        <v>0</v>
      </c>
      <c r="H24" s="488" t="s">
        <v>1067</v>
      </c>
      <c r="I24" s="3"/>
      <c r="J24" s="3"/>
    </row>
    <row r="25" spans="1:11" ht="13" x14ac:dyDescent="0.25">
      <c r="A25" s="3"/>
      <c r="B25" s="1744" t="s">
        <v>733</v>
      </c>
      <c r="C25" s="1744" t="str">
        <f>IF(OR(Equipment="Adsorber/Scrubber",Equipment="Distillation",Equipment="Drum/IBC Handling",Equipment="Extraction",Equipment="Filter/Centrifuge",Equipment="Heat Exchanger",Equipment="Fired Equipment - Process Heater",Equipment="Stirred Reactor/Crystallizer",Equipment="Tank Truck/Rail Car/Tote",Equipment="Vessel/Tank"),"Yes","No")</f>
        <v>No</v>
      </c>
      <c r="D25" s="3"/>
      <c r="E25" s="3"/>
      <c r="F25" s="444" t="s">
        <v>2287</v>
      </c>
      <c r="G25" s="504">
        <f>IF(AND(MAWP&lt;0.95,Geometry="Flat Bottom Non-Anchored"),Failure_API_NoAnchored*MAWP,IF(MAWP&lt;0.95,Failure_API_Anchored*MAWP,Failure_ASME*MAWP))</f>
        <v>0</v>
      </c>
      <c r="H25" s="488" t="s">
        <v>1067</v>
      </c>
      <c r="I25" s="3"/>
      <c r="J25" s="3"/>
    </row>
    <row r="26" spans="1:11" ht="13" x14ac:dyDescent="0.3">
      <c r="A26" s="3"/>
      <c r="B26" s="1743" t="s">
        <v>3588</v>
      </c>
      <c r="C26" s="1743" t="str">
        <f>IF(OR(High_Speed="Yes",Equipment="Blender/Mixer (Solids)",Equipment="Compressor or Blower",Equipment="Extraction",Equipment="Filter/Centrifuge",Equipment="Mill/Grinder (solids)",Equipment="Screener or Sieve (Solids)",Equipment="Pump",Equipment="Stirred Reactor/Crystallizer",Equipment="Turbine or Gas Expander"),"Yes","No")</f>
        <v>No</v>
      </c>
      <c r="D26" s="3"/>
      <c r="E26" s="3"/>
      <c r="F26" s="443" t="s">
        <v>2286</v>
      </c>
      <c r="G26" s="509">
        <f>Tpeak_atBurst</f>
        <v>0</v>
      </c>
      <c r="H26" s="506" t="s">
        <v>1836</v>
      </c>
      <c r="I26" s="3"/>
      <c r="J26" s="3"/>
    </row>
    <row r="27" spans="1:11" ht="13" x14ac:dyDescent="0.3">
      <c r="A27" s="3"/>
      <c r="B27" s="2138" t="s">
        <v>4007</v>
      </c>
      <c r="C27" s="2138" t="str">
        <f>IF(OR(Matl_Construction="Cast Iron",Matl_Construction="Ceramic or Graphite",Matl_Construction="Other Brittle Material"),"Yes","No")</f>
        <v>No</v>
      </c>
      <c r="D27" s="3"/>
      <c r="E27" s="3"/>
      <c r="F27" s="445" t="s">
        <v>1436</v>
      </c>
      <c r="G27" s="508">
        <f>T_atBurst</f>
        <v>0</v>
      </c>
      <c r="H27" s="445" t="s">
        <v>1836</v>
      </c>
      <c r="I27" s="3"/>
      <c r="J27" s="3"/>
    </row>
    <row r="28" spans="1:11" ht="13" x14ac:dyDescent="0.25">
      <c r="A28" s="3"/>
      <c r="B28" s="292" t="s">
        <v>2830</v>
      </c>
      <c r="C28" s="193" t="str">
        <f>IF(OR(Relief_Type="Pilot Operated Valve",Relief_Type="ERV",Relief_Type="PVRV",Relief_Type="Pressure Relief Line"),"Yes","No")</f>
        <v>No</v>
      </c>
      <c r="D28" s="3"/>
      <c r="E28" s="3"/>
      <c r="F28" s="3"/>
      <c r="G28" s="3"/>
      <c r="H28" s="3"/>
      <c r="I28" s="3"/>
      <c r="J28" s="3"/>
    </row>
    <row r="29" spans="1:11" ht="13" x14ac:dyDescent="0.25">
      <c r="A29" s="3"/>
      <c r="B29" s="2139" t="s">
        <v>4193</v>
      </c>
      <c r="C29" s="2139" t="str">
        <f>IF(OR(Relief_Type="Rupture Disk",Relief_Type="Graphite Disk",Relief_Type="Combination Disks"),"Yes","No")</f>
        <v>No</v>
      </c>
      <c r="D29" s="3"/>
      <c r="E29" s="3"/>
      <c r="F29" s="4296" t="s">
        <v>4139</v>
      </c>
      <c r="G29" s="4324"/>
      <c r="H29" s="4304"/>
      <c r="I29" s="3"/>
      <c r="J29" s="3"/>
    </row>
    <row r="30" spans="1:11" ht="13" x14ac:dyDescent="0.25">
      <c r="A30" s="3"/>
      <c r="B30" s="3"/>
      <c r="C30" s="3"/>
      <c r="D30" s="3"/>
      <c r="E30" s="3"/>
      <c r="F30" s="434" t="s">
        <v>1544</v>
      </c>
      <c r="G30" s="212">
        <f>IF(OR(Relief_Type="Safety Valve",Relief_Type="Pilot Operated Valve",Relief_Type="Combination PSV"),Cd_Rounded,Cd)</f>
        <v>0.61</v>
      </c>
      <c r="H30" s="446"/>
      <c r="I30" s="3"/>
      <c r="J30" s="3"/>
    </row>
    <row r="31" spans="1:11" ht="13" x14ac:dyDescent="0.25">
      <c r="A31" s="3"/>
      <c r="B31" s="4290" t="s">
        <v>972</v>
      </c>
      <c r="C31" s="4291"/>
      <c r="D31" s="4292"/>
      <c r="E31" s="3"/>
      <c r="F31" s="438" t="s">
        <v>1846</v>
      </c>
      <c r="G31" s="962">
        <f>IF(Relief_Size&gt;0,1.2*G30*(Relief_Size^2)*(Liq_rho_atTBp*IF(Relief_Set_Input="",MAWP,Relief_Set))^0.5,IF(State="Liquid",Relief_Flowrate,0))</f>
        <v>0</v>
      </c>
      <c r="H31" s="439" t="s">
        <v>1069</v>
      </c>
      <c r="I31" s="3"/>
      <c r="J31" s="3"/>
    </row>
    <row r="32" spans="1:11" ht="13" x14ac:dyDescent="0.25">
      <c r="A32" s="3"/>
      <c r="B32" s="450" t="s">
        <v>1027</v>
      </c>
      <c r="C32" s="4286" t="str">
        <f>IF(State="Vapor",IF(T&gt;Thermal_Vapor_Severe,"High",IF(T&gt;Thermal_Vapor_High,"Moderate","NA")),IF(OR(T&gt;Thermal_Liquid_Severe,Ease_of_Ignition_Feed="High"),"High",IF(OR(T&lt;Thermal_Liquid_Low,T&gt;Thermal_Liquid_High),"Moderate","NA")))</f>
        <v>NA</v>
      </c>
      <c r="D32" s="4287"/>
      <c r="E32" s="3"/>
      <c r="F32" s="3"/>
      <c r="G32" s="3"/>
      <c r="H32" s="3"/>
      <c r="I32" s="3"/>
      <c r="J32" s="3"/>
    </row>
    <row r="33" spans="1:12" ht="13" x14ac:dyDescent="0.25">
      <c r="A33" s="3"/>
      <c r="B33" s="450" t="s">
        <v>973</v>
      </c>
      <c r="C33" s="4288" t="str">
        <f>Dermal_Tox_Feed</f>
        <v/>
      </c>
      <c r="D33" s="4289"/>
      <c r="E33" s="3"/>
      <c r="F33" s="1125" t="s">
        <v>1847</v>
      </c>
      <c r="G33" s="2142">
        <f>IF(AND(State="Vapor",Relief_Size_Input=""),Relief_Flowrate,IF(1/(1.1*(1+IF(Relief_Set_Input="",MAWP,Relief_Set)))&lt;0.528,0.0595*G30*(Relief_Size^2)*(IF(Relief_Set_Input="",MAWP,Relief_Set)+1)*(Mw_Mix/(273+T_atRelief))^0.5,0.231*G30*(Relief_Size^2)*(IF(Relief_Set_Input="",MAWP,Relief_Set)+1)*((1/(1+IF(Relief_Set_Input="",MAWP,Relief_Set))^1.429-(1/(1+IF(Relief_Set_Input="",MAWP,Relief_Set)))^1.714)*Mw_Mix/(273+T_atRelief))^0.5))</f>
        <v>0</v>
      </c>
      <c r="H33" s="1044" t="s">
        <v>1069</v>
      </c>
      <c r="I33" s="3"/>
      <c r="J33" s="3"/>
    </row>
    <row r="34" spans="1:12" ht="13" x14ac:dyDescent="0.25">
      <c r="A34" s="3"/>
      <c r="B34" s="451" t="s">
        <v>2537</v>
      </c>
      <c r="C34" s="4288" t="str">
        <f>IF(OR(Ease_of_Ignition_Feed="High",C32="High",C33="Very Toxic"),"Potential Fatality",IF(OR(C32="Moderate",C33="Toxic",C33="Corrosive"),"Serious Injury",IF(OR(C32="Low",C33="Harmful"),"Minor Injury","NA")))</f>
        <v>NA</v>
      </c>
      <c r="D34" s="4289"/>
      <c r="E34" s="3"/>
      <c r="F34" s="1125" t="s">
        <v>1718</v>
      </c>
      <c r="G34" s="2142">
        <f>IF(AND(Mw_Mix&gt;0,Relief_Discharge_Size&gt;0),IF(12.7*Relief_Vapor_Capacity/(Relief_Discharge_Size^2*Mw_Mix/((273+T_atRelief)*82.06))&lt;115*((T_atRelief+273)/Mw_Mix)^0.5,12.7*Relief_Vapor_Capacity/(Relief_Discharge_Size^2*Mw_Mix/((273+T_atRelief)*82.06)),115*((T_atRelief+273)/Mw_Mix)^0.5),0)</f>
        <v>0</v>
      </c>
      <c r="H34" s="1045" t="s">
        <v>1714</v>
      </c>
      <c r="I34" s="3"/>
      <c r="J34" s="3"/>
    </row>
    <row r="35" spans="1:12" ht="13" x14ac:dyDescent="0.25">
      <c r="A35" s="3"/>
      <c r="B35" s="450" t="s">
        <v>3192</v>
      </c>
      <c r="C35" s="4286" t="str">
        <f>IF(Heating_Media_State="Vapor",IF(Heating_T&gt;Thermal_Vapor_Severe,"High",IF(Heating_T&gt;Thermal_Vapor_High,"Moderate","NA")),IF(OR(Heating_T&gt;Thermal_Liquid_Severe,Ease_of_Ignition_Feed="High"),"High",IF(OR(Coolant_Temp&lt;Thermal_Liquid_Low,Heating_T&gt;Thermal_Liquid_High),"Moderate","NA")))</f>
        <v>NA</v>
      </c>
      <c r="D35" s="4287"/>
      <c r="E35" s="3"/>
      <c r="F35" s="2349" t="s">
        <v>4590</v>
      </c>
      <c r="G35" s="2350">
        <f>IF(IF(Fv_Relief_Depressurize=0,IF(Relief_Set_Input="",MAWP,Relief_Set),1)+1-Psat&gt;0,(IF(Fv_Relief_Depressurize=0,IF(Relief_Set_Input="",MAWP,Relief_Set),1)+1-Psat)*Volume/(82.05*(T+273.15)),0)*MW_Pad</f>
        <v>0</v>
      </c>
      <c r="H35" s="2052" t="s">
        <v>1497</v>
      </c>
      <c r="I35" s="3"/>
      <c r="J35" s="3"/>
    </row>
    <row r="36" spans="1:12" ht="13" x14ac:dyDescent="0.25">
      <c r="A36" s="3"/>
      <c r="B36" s="450" t="s">
        <v>3193</v>
      </c>
      <c r="C36" s="4286" t="str">
        <f>Dermal_Tox_HT</f>
        <v/>
      </c>
      <c r="D36" s="4287"/>
      <c r="E36" s="3"/>
      <c r="F36" s="1125" t="s">
        <v>2292</v>
      </c>
      <c r="G36" s="1127">
        <f>IF(OR(Relief_Type="Rupture Disk",Relief_Type="Graphite Disk",Relief_Type="Combination Disks"),Fv_Relief,0)</f>
        <v>0</v>
      </c>
      <c r="H36" s="1046"/>
      <c r="I36" s="3"/>
      <c r="J36" s="3"/>
    </row>
    <row r="37" spans="1:12" ht="13" x14ac:dyDescent="0.25">
      <c r="A37" s="3"/>
      <c r="B37" s="451" t="s">
        <v>3194</v>
      </c>
      <c r="C37" s="4288" t="str">
        <f>IF(OR(C35="High",C36="Very Toxic"),"Potential Fatality",IF(OR(C35="Moderate",C36="Toxic",C36="Corrosive"),"Serious Injury",IF(OR(C35="Low",C36="Harmful"),"Minor Injury","NA")))</f>
        <v>NA</v>
      </c>
      <c r="D37" s="4289"/>
      <c r="E37" s="3"/>
      <c r="F37" s="3"/>
      <c r="G37" s="3"/>
      <c r="H37" s="3"/>
      <c r="I37" s="3"/>
      <c r="J37" s="3"/>
    </row>
    <row r="38" spans="1:12" ht="13" x14ac:dyDescent="0.25">
      <c r="A38" s="3"/>
      <c r="B38" s="3"/>
      <c r="C38" s="3"/>
      <c r="D38" s="3"/>
      <c r="E38" s="3"/>
      <c r="F38" s="447" t="s">
        <v>2737</v>
      </c>
      <c r="G38" s="437">
        <f>IF(HT_Mw="",0,IF(1/(1.1*(1+MAWP))&lt;0.528,0.0595*G30*(Relief_Size^2)*(MAWP+1)*(HT_Mw/(273+T_atRelief))^0.5,0.231*G30*(Relief_Size^2)*(MAWP+1)*((1/(1+MAWP)^1.429-(1/(1+MAWP))^1.714)*HT_Mw/(273+T_atRelief))^0.5))</f>
        <v>0</v>
      </c>
      <c r="H38" s="448" t="s">
        <v>1069</v>
      </c>
      <c r="I38" s="3"/>
      <c r="J38" s="3"/>
    </row>
    <row r="39" spans="1:12" ht="13" x14ac:dyDescent="0.25">
      <c r="A39" s="3"/>
      <c r="B39" s="3"/>
      <c r="C39" s="3"/>
      <c r="D39" s="3"/>
      <c r="E39" s="3"/>
      <c r="F39" s="440" t="s">
        <v>1718</v>
      </c>
      <c r="G39" s="437">
        <f>IF(AND(HT_Mw&lt;&gt;"",Relief_Discharge_Size&gt;0),12.7*Relief_HT_Capacity*(1+P)/(Relief_Discharge_Size^2*HT_Mw/((273+T_atRelief)*82.06)),0)</f>
        <v>0</v>
      </c>
      <c r="H39" s="440" t="s">
        <v>1714</v>
      </c>
      <c r="I39" s="3"/>
      <c r="J39" s="3"/>
    </row>
    <row r="40" spans="1:12" ht="13" x14ac:dyDescent="0.25">
      <c r="A40" s="3"/>
      <c r="B40" s="4312" t="s">
        <v>1791</v>
      </c>
      <c r="C40" s="4328"/>
      <c r="D40" s="4313"/>
      <c r="E40" s="3"/>
      <c r="F40" s="3"/>
      <c r="G40" s="3"/>
      <c r="H40" s="3"/>
      <c r="I40" s="3"/>
      <c r="J40" s="3"/>
    </row>
    <row r="41" spans="1:12" ht="13.5" thickBot="1" x14ac:dyDescent="0.3">
      <c r="A41" s="3"/>
      <c r="B41" s="3249" t="s">
        <v>844</v>
      </c>
      <c r="C41" s="3250">
        <f>IF(AND(State="Vapor",Vap_rho&gt;0),IF(1/(1+P)&lt;0.528,0.756*(P+1)*(Mw_Mix/(273+T))^0.5,2.93*(P+1)*(((1/(1+P))^1.429-(1/(1+P))^1.714)*Mw_Mix/(273+T))^0.5)*82.06*(273+T)/Mw_Mix,IF(Liq_rho&gt;0,15.3*(P/Liq_rho+Dh/10.34)^0.5,0))</f>
        <v>1.5300000000000002</v>
      </c>
      <c r="D41" s="3252" t="s">
        <v>1714</v>
      </c>
      <c r="E41" s="3"/>
      <c r="F41" s="1040" t="s">
        <v>2221</v>
      </c>
      <c r="G41" s="1041">
        <f>IF(Psat&lt;1+P,(Mw_Mix*Psat+MW_Pad*(1.01+P-Psat))/(1+P),Mw_Mix)</f>
        <v>29.289710289710289</v>
      </c>
      <c r="H41" s="1042"/>
      <c r="I41" s="3"/>
      <c r="J41" s="3"/>
    </row>
    <row r="42" spans="1:12" ht="13" x14ac:dyDescent="0.25">
      <c r="A42" s="3"/>
      <c r="B42" s="2565" t="s">
        <v>2787</v>
      </c>
      <c r="C42" s="3238">
        <f>IF(Discharge_Velocity&gt;0,IF(170*(1-Fv)/Discharge_Velocity^2&gt;0.01,170*(1-Fv)/Discharge_Velocity^2,0.01),"")</f>
        <v>72.621641249092207</v>
      </c>
      <c r="D42" s="2052" t="s">
        <v>893</v>
      </c>
      <c r="E42" s="3"/>
      <c r="F42" s="1039" t="s">
        <v>2226</v>
      </c>
      <c r="G42" s="1043">
        <f>IF(1/(1.1*(1+MAWP))&lt;0.528,0.0595*G30*(Relief_Size^2)*(MAWP+1)*(Mw_HeadSpace/(273+T))^0.5,0.231*G30*(Relief_Size^2)*(MAWP+1)*((1/(1+MAWP)^1.429-(1/(1+MAWP))^1.714)*Mw_HeadSpace/(273+T))^0.5)</f>
        <v>0</v>
      </c>
      <c r="H42" s="1039" t="s">
        <v>1069</v>
      </c>
      <c r="I42" s="3"/>
      <c r="J42" s="3"/>
    </row>
    <row r="43" spans="1:12" ht="13" x14ac:dyDescent="0.25">
      <c r="A43" s="3"/>
      <c r="B43" s="2565" t="s">
        <v>2433</v>
      </c>
      <c r="C43" s="3238">
        <f>IF(State="Vapor",0.9*Discharge_Velocity*Vap_rho^0.5,IF(0.45*(1-Fv)*Discharge_Velocity*Equipment_Elevation^0.5&gt;1,0.45*(1-Fv)*Discharge_Velocity*Equipment_Elevation^0.5,1))</f>
        <v>1</v>
      </c>
      <c r="D43" s="2052" t="s">
        <v>1068</v>
      </c>
      <c r="E43" s="3"/>
      <c r="F43" s="1039" t="s">
        <v>2725</v>
      </c>
      <c r="G43" s="2143">
        <f>IF(Relief_Discharge_Size&gt;0,12.7*Relief_Vapor_Capacity_Pad/(Relief_Discharge_Size^2*Mw_HeadSpace/((273+T)*82.06)),0)</f>
        <v>0</v>
      </c>
      <c r="H43" s="1039" t="s">
        <v>1714</v>
      </c>
      <c r="I43" s="3"/>
      <c r="J43" s="3"/>
      <c r="L43" s="692"/>
    </row>
    <row r="44" spans="1:12" ht="15" x14ac:dyDescent="0.25">
      <c r="A44" s="3"/>
      <c r="B44" s="2565" t="s">
        <v>1062</v>
      </c>
      <c r="C44" s="3239">
        <f>IF(State="Liquid",0.4*C43^2,0)</f>
        <v>0.4</v>
      </c>
      <c r="D44" s="2052" t="s">
        <v>2196</v>
      </c>
      <c r="E44" s="3"/>
      <c r="F44" s="3"/>
      <c r="G44" s="3"/>
      <c r="H44" s="3"/>
      <c r="I44" s="3"/>
      <c r="J44" s="3"/>
    </row>
    <row r="45" spans="1:12" ht="13.5" thickBot="1" x14ac:dyDescent="0.3">
      <c r="A45" s="3"/>
      <c r="B45" s="2565" t="s">
        <v>5223</v>
      </c>
      <c r="C45" s="3258">
        <f>IF(AND(Vap_rho&gt;0,Liq_rho&gt;0),1/(Fv/Vap_rho+(1-Fv)/Liq_rho),Liq_rho)</f>
        <v>0.1</v>
      </c>
      <c r="D45" s="2052" t="s">
        <v>5225</v>
      </c>
      <c r="E45" s="3"/>
      <c r="F45" s="4295" t="s">
        <v>1865</v>
      </c>
      <c r="G45" s="3576"/>
      <c r="H45" s="3576"/>
      <c r="I45" s="1319" t="s">
        <v>3187</v>
      </c>
      <c r="J45" s="3"/>
    </row>
    <row r="46" spans="1:12" ht="13" x14ac:dyDescent="0.25">
      <c r="A46" s="3"/>
      <c r="B46" s="2565" t="s">
        <v>5224</v>
      </c>
      <c r="C46" s="3251">
        <f>IF(AND(C45&gt;0,D&gt;0),12.7*'Release Calculations'!N11/(D^2*C45),Discharge_Velocity)</f>
        <v>1.5300000000000002</v>
      </c>
      <c r="D46" s="3253" t="s">
        <v>1714</v>
      </c>
      <c r="E46" s="3"/>
      <c r="F46" s="4329" t="str">
        <f>IF(Bldg_Type&lt;&gt;"","Threshold Overpressure for Building "&amp;Bldg_Type&amp;",  psi ","Threshold Overpressure for Building Typical,  psi ")</f>
        <v xml:space="preserve">Threshold Overpressure for Building Typical,  psi </v>
      </c>
      <c r="G46" s="3542"/>
      <c r="H46" s="1836">
        <f>IF(Bldg_Type=BldgType_Desc3,BldgType_Limit3,IF(Bldg_Type=BldgType_Desc2,BldgType_Limit2,BldgType_Limit))</f>
        <v>1</v>
      </c>
      <c r="I46" s="1319" t="s">
        <v>3188</v>
      </c>
      <c r="J46" s="3"/>
      <c r="K46" s="337" cm="1">
        <f t="array" ref="K46">IF(Bldg_Type=BldgType_Desc3,BldgType_Limit3,IF(Bldg_Type=BldgType_Desc2,BldgType_Limit2,BldgType_Limit))</f>
        <v>1</v>
      </c>
    </row>
    <row r="47" spans="1:12" ht="13" x14ac:dyDescent="0.25">
      <c r="A47" s="3"/>
      <c r="B47" s="3"/>
      <c r="C47" s="3"/>
      <c r="D47" s="3"/>
      <c r="E47" s="3"/>
      <c r="F47" s="4316" t="str">
        <f>IF(Bldg2_Type&lt;&gt;"","Threshold Overpressure for Building 2 "&amp;Bldg2_Type&amp;",  psi ","Threshold Overpressure for Building 2 Typical,  psi ")</f>
        <v xml:space="preserve">Threshold Overpressure for Building 2 Typical,  psi </v>
      </c>
      <c r="G47" s="3562"/>
      <c r="H47" s="3276">
        <f>IF(Bldg2_Type=BldgType_Desc3,BldgType_Limit3,IF(Bldg2_Type=BldgType_Desc2,BldgType_Limit2,BldgType_Limit))</f>
        <v>1</v>
      </c>
      <c r="I47" s="1319"/>
      <c r="J47" s="3"/>
    </row>
    <row r="48" spans="1:12" ht="13" x14ac:dyDescent="0.25">
      <c r="A48" s="3"/>
      <c r="B48" s="4290" t="s">
        <v>3221</v>
      </c>
      <c r="C48" s="4291"/>
      <c r="D48" s="4292"/>
      <c r="E48" s="3"/>
      <c r="F48" s="4316" t="str">
        <f>IF(Offsite_Building_Type&lt;&gt;"","Threshold Overpressure for Offsite Buildings "&amp;Offsite_Building_Type&amp;",  psi ","Threshold Overpressure for Offsite Buildings Typical,  psi ")</f>
        <v xml:space="preserve">Threshold Overpressure for Offsite Buildings Typical,  psi </v>
      </c>
      <c r="G48" s="3562"/>
      <c r="H48" s="3276">
        <f>IF(Offsite_Building_Type=BldgType_Desc3,BldgType_Limit3,IF(Offsite_Building_Type=BldgType_Desc2,BldgType_Limit2,BldgType_Limit))</f>
        <v>1</v>
      </c>
      <c r="I48" s="1319"/>
      <c r="J48" s="3"/>
    </row>
    <row r="49" spans="1:10" ht="13" x14ac:dyDescent="0.25">
      <c r="A49" s="3"/>
      <c r="B49" s="1940" t="s">
        <v>1025</v>
      </c>
      <c r="C49" s="2144">
        <f>IF(OR(State&lt;&gt;"Liquid",Liq_rho=0,D=0),0,IF(0.25*Feedrate*Pipe_Length/(D^2)&lt;189*(Feedrate/D^2),0.25*Feedrate*Pipe_Length/(D^2)+MAX(Max_Feed_P,P),189*(Feedrate/D^2)+MAX(Max_Feed_P,P)))</f>
        <v>0</v>
      </c>
      <c r="D49" s="1941" t="s">
        <v>1067</v>
      </c>
      <c r="E49" s="3"/>
      <c r="F49" s="4316" t="str">
        <f>IF(Bldg_Type&lt;&gt;"","Coefficient for Building "&amp;Bldg_Type&amp;",  Vulnerability ","Coefficient for Building Typical,  Vulnerability ")</f>
        <v xml:space="preserve">Coefficient for Building Typical,  Vulnerability </v>
      </c>
      <c r="G49" s="3562"/>
      <c r="H49" s="3276">
        <f>IF(Bldg_Type=BldgType_Desc3,Bldg_Vulnerable3,IF(Bldg_Type=BldgType_Desc2,Bldg_Vulnerable2,Bldg_Vulnerable))</f>
        <v>4.5</v>
      </c>
      <c r="I49" s="1319"/>
      <c r="J49" s="3"/>
    </row>
    <row r="50" spans="1:10" ht="13" x14ac:dyDescent="0.25">
      <c r="A50" s="3"/>
      <c r="B50" s="1940" t="s">
        <v>3222</v>
      </c>
      <c r="C50" s="2145" t="str">
        <f>IF(OR(Tracing="Yes",AND(Heating_T_Input&lt;&gt;"",Heating_T&gt;T+Thermal_Expand_DT),T&lt;Ambient_Temp-Thermal_Expand_DT,AND(Location="Outdoors",Insulation="No",Pipe_Length&gt;Thermal_Expand_Length)),"Yes","No")</f>
        <v>Yes</v>
      </c>
      <c r="D50" s="1860"/>
      <c r="E50" s="3"/>
      <c r="F50" s="4316" t="str">
        <f>IF(Bldg2_Type&lt;&gt;"","Coefficient for Building 2 "&amp;Bldg2_Type&amp;",  Vulnerability ","Coefficient for Building 2 Typical,  Vulnerability ")</f>
        <v xml:space="preserve">Coefficient for Building 2 Typical,  Vulnerability </v>
      </c>
      <c r="G50" s="3562"/>
      <c r="H50" s="3276">
        <f>IF(Bldg2_Type=BldgType_Desc3,Bldg_Vulnerable3,IF(Bldg2_Type=BldgType_Desc2,Bldg_Vulnerable2,Bldg_Vulnerable))</f>
        <v>4.5</v>
      </c>
      <c r="I50" s="3"/>
      <c r="J50" s="3"/>
    </row>
    <row r="51" spans="1:10" ht="13" x14ac:dyDescent="0.25">
      <c r="A51" s="3"/>
      <c r="B51" s="3"/>
      <c r="C51" s="3"/>
      <c r="D51" s="3"/>
      <c r="E51" s="3"/>
      <c r="F51" s="4316" t="str">
        <f>IF(Bldg2_Type&lt;&gt;"","Coefficient for Building 2 "&amp;Bldg2_Type&amp;",  Vulnerability ","Coefficient for Building 2 Typical,  Vulnerability ")</f>
        <v xml:space="preserve">Coefficient for Building 2 Typical,  Vulnerability </v>
      </c>
      <c r="G51" s="3562"/>
      <c r="H51" s="3276">
        <f>IF(Offsite_Building_Type=BldgType_Desc3,Bldg_Vulnerable3,IF(Offsite_Building_Type=BldgType_Desc2,Bldg_Vulnerable2,Bldg_Vulnerable))</f>
        <v>4.5</v>
      </c>
      <c r="I51" s="3"/>
      <c r="J51" s="3"/>
    </row>
    <row r="52" spans="1:10" ht="13" x14ac:dyDescent="0.25">
      <c r="A52" s="3"/>
      <c r="B52" s="4290" t="s">
        <v>1873</v>
      </c>
      <c r="C52" s="4291"/>
      <c r="D52" s="4292"/>
      <c r="E52" s="3"/>
      <c r="F52" s="4316" t="str">
        <f>IF(Bldg_Type&lt;&gt;"","Exponent for Building "&amp;Bldg_Type&amp;",  Damage","Coefficient for Building Typical,  Damage ")</f>
        <v xml:space="preserve">Coefficient for Building Typical,  Damage </v>
      </c>
      <c r="G52" s="3562"/>
      <c r="H52" s="3276">
        <f>IF(Bldg_Type=BldgType_Desc3,BldgType_Exp3,IF(Bldg_Type=BldgType_Desc2,BldgType_Exp2,BldgType_Exp))</f>
        <v>2</v>
      </c>
      <c r="I52" s="3"/>
      <c r="J52" s="3"/>
    </row>
    <row r="53" spans="1:10" ht="13" x14ac:dyDescent="0.25">
      <c r="A53" s="3"/>
      <c r="B53" s="2051" t="s">
        <v>3590</v>
      </c>
      <c r="C53" s="2146">
        <f>IF(Relief_Discharge_Size&gt;1,IF(State="Vapor",Discharge_Velocity,12.7*Feedrate/(Relief_Discharge_Size^2*0.61*IF(Liq_rho=0,1,Liq_rho))),Discharge_Velocity)</f>
        <v>1.5300000000000002</v>
      </c>
      <c r="D53" s="1856" t="s">
        <v>1714</v>
      </c>
      <c r="E53" s="3"/>
      <c r="F53" s="4316" t="str">
        <f>IF(Bldg2_Type&lt;&gt;"","Exponent for Building "&amp;Bldg2_Type&amp;",  Damage","Coefficient for Building Typical,  Damage ")</f>
        <v xml:space="preserve">Coefficient for Building Typical,  Damage </v>
      </c>
      <c r="G53" s="3562"/>
      <c r="H53" s="3276">
        <f>IF(Bldg2_Type=BldgType_Desc3,BldgType_Exp3,IF(Bldg2_Type=BldgType_Desc2,BldgType_Exp2,BldgType_Exp))</f>
        <v>2</v>
      </c>
      <c r="I53" s="3"/>
      <c r="J53" s="3"/>
    </row>
    <row r="54" spans="1:10" ht="13" x14ac:dyDescent="0.25">
      <c r="A54" s="3"/>
      <c r="B54" s="2051" t="s">
        <v>3591</v>
      </c>
      <c r="C54" s="2146">
        <f>IF(Relief_Velocity&gt;0,IF(170*(1-Fv)/Relief_Velocity^2&gt;0.01,170*(1-Fv)/Relief_Velocity^2,0.01),"")</f>
        <v>72.621641249092207</v>
      </c>
      <c r="D54" s="436"/>
      <c r="E54" s="3"/>
      <c r="F54" s="4316" t="str">
        <f>IF(Bldg2_Type&lt;&gt;"","Exponent for Building "&amp;Bldg2_Type&amp;",  Damage","Coefficient for Building Typical,  Damage ")</f>
        <v xml:space="preserve">Coefficient for Building Typical,  Damage </v>
      </c>
      <c r="G54" s="3562"/>
      <c r="H54" s="3276">
        <f>IF(Offsite_Building_Type=BldgType_Desc3,BldgType_Exp3,IF(Offsite_Building_Type=BldgType_Desc2,BldgType_Exp2,BldgType_Exp))</f>
        <v>2</v>
      </c>
      <c r="I54" s="3"/>
      <c r="J54" s="3"/>
    </row>
    <row r="55" spans="1:10" ht="13" x14ac:dyDescent="0.25">
      <c r="A55" s="3"/>
      <c r="B55" s="2052" t="s">
        <v>3592</v>
      </c>
      <c r="C55" s="2146">
        <f>IF(Relief_Discharge_Size&gt;1,IF(State="Vapor",Discharge_Velocity,12.7*Backflow/(Relief_Discharge_Size^2*0.61*IF(Liq_rho=0,1,Liq_rho))),Discharge_Velocity)</f>
        <v>1.5300000000000002</v>
      </c>
      <c r="D55" s="436"/>
      <c r="E55" s="3"/>
      <c r="F55" s="3273"/>
      <c r="G55" s="3273" t="s">
        <v>5308</v>
      </c>
      <c r="H55" s="3276">
        <f>Offsite_Bldg_Type_Coefficient*Offsite_Bldg_Type_Correction^2</f>
        <v>4.5</v>
      </c>
      <c r="I55" s="3"/>
      <c r="J55" s="3"/>
    </row>
    <row r="56" spans="1:10" ht="13" x14ac:dyDescent="0.25">
      <c r="A56" s="3"/>
      <c r="B56" s="2052" t="s">
        <v>3593</v>
      </c>
      <c r="C56" s="2146">
        <f>IF(Backflow_Velocity&gt;0,IF(170*(1-Fv)/Backflow_Velocity^2&gt;0.01,170*(1-Fv)/Backflow_Velocity^2,0.01),"")</f>
        <v>72.621641249092207</v>
      </c>
      <c r="D56" s="436"/>
      <c r="E56" s="3"/>
      <c r="F56" s="4316" t="s">
        <v>5214</v>
      </c>
      <c r="G56" s="3562"/>
      <c r="H56" s="3276">
        <f>IF(Offsite_Area_Fraction="",Offsite_Area_Fraction_Default,Offsite_Area_Fraction)</f>
        <v>0.5</v>
      </c>
      <c r="I56" s="3"/>
      <c r="J56" s="3"/>
    </row>
    <row r="57" spans="1:10" ht="13" x14ac:dyDescent="0.25">
      <c r="A57" s="3"/>
      <c r="B57" s="2052" t="s">
        <v>3594</v>
      </c>
      <c r="C57" s="2147">
        <f>IF(State="Vapor",0.09*Relief_Discharge_Size*Relief_Velocity*Vap_rho_atTBp^0.5,0.45*(1-Fv)*Relief_Velocity*Equipment_Elevation^0.5)</f>
        <v>0.75421396168461385</v>
      </c>
      <c r="D57" s="436" t="s">
        <v>1068</v>
      </c>
      <c r="E57" s="3"/>
      <c r="F57" s="4316" t="s">
        <v>3034</v>
      </c>
      <c r="G57" s="3562"/>
      <c r="H57" s="3043">
        <f>IF(Flame_Speed_Feed="High",IF(Congestion="Low",0.5,"&gt;1"),IF(Congestion="Low",0.35,IF(Congestion="High",1,0.5)))</f>
        <v>0.5</v>
      </c>
      <c r="I57" s="1844">
        <f>IF(Flame_Speed_HT="High",IF(Congestion="Low",0.5,"&gt;1"),IF(Congestion="Low",0.35,IF(Congestion="High",1,0.5)))</f>
        <v>0.5</v>
      </c>
      <c r="J57" s="3"/>
    </row>
    <row r="58" spans="1:10" ht="13" x14ac:dyDescent="0.25">
      <c r="A58" s="3"/>
      <c r="B58" s="2150" t="s">
        <v>3595</v>
      </c>
      <c r="C58" s="1452">
        <f>IF(State="Vapor",0.09*Relief_Discharge_Size*Backflow_Velocity*Vap_rho_atTBp^0.5,0.45*(1-Fv)*Backflow_Velocity*Equipment_Elevation^0.5)</f>
        <v>0.75421396168461385</v>
      </c>
      <c r="D58" s="436" t="s">
        <v>1068</v>
      </c>
      <c r="E58" s="3"/>
      <c r="F58" s="4316" t="s">
        <v>3035</v>
      </c>
      <c r="G58" s="3562"/>
      <c r="H58" s="276">
        <f>IF(AND(State="Solid",Dust_Class_Feed="Class 1"),IF(Congestion="Low",0,IF(Congestion="Medium",0.35,0.5)),IF(Flame_Speed_Feed="High",IF(Congestion="Low",0.5,"&gt;1"),IF(Flame_Speed_Feed="High",IF(Congestion="Low",0.5,"&gt;1"),IF(Congestion="Low",0.35,IF(Congestion="High",1,0.5)))))</f>
        <v>0.5</v>
      </c>
      <c r="I58" s="1845">
        <f>IF(Flame_Speed_HT="High",IF(Congestion="Low",0.5,"&gt;1"),IF(Flame_Speed_HT="High",IF(Congestion="Low",0.5,"&gt;1"),IF(Congestion="Low",0.35,IF(Congestion="High",1,0.5))))</f>
        <v>0.5</v>
      </c>
      <c r="J58" s="3"/>
    </row>
    <row r="59" spans="1:10" ht="13" x14ac:dyDescent="0.25">
      <c r="A59" s="3"/>
      <c r="B59" s="2052" t="s">
        <v>4138</v>
      </c>
      <c r="C59" s="2148">
        <f>0.09*Relief_Discharge_Size*Relief_Vapor_Velocity*Vap_rho_atTBp^0.5</f>
        <v>0</v>
      </c>
      <c r="D59" s="436"/>
      <c r="E59" s="3"/>
      <c r="F59" s="4316" t="s">
        <v>1627</v>
      </c>
      <c r="G59" s="3562"/>
      <c r="H59" s="3043" t="str">
        <f>IF(OR(Equipment="Drum/IBC Handling",Equipment="Fired Equipment - Combustion Unit",Equipment="Storage Hopper (Solids)",Equipment="Stirred Reactor/Crystallizer",Equipment="Tank Truck/Rail Car/Tote",Equipment="Vessel/Tank"),"Low","Medium")</f>
        <v>Medium</v>
      </c>
      <c r="I59" s="3275"/>
      <c r="J59" s="3"/>
    </row>
    <row r="60" spans="1:10" ht="13" x14ac:dyDescent="0.25">
      <c r="A60" s="3"/>
      <c r="B60" s="2051" t="s">
        <v>4146</v>
      </c>
      <c r="C60" s="2148">
        <f>IF(OR(Heating_Media_Name="",Heating_P=0),0,IF(AND(Heating_Media_State="Vapor",HT_Vap_rho&gt;0),IF(1/(1+Heating_P)&lt;0.528,0.756*(Heating_P+1)*(HT_Mw/(273+T))^0.5,2.93*(Heating_P+1)*(((1/(1+Heating_P))^1.429-(1/(1+Heating_P))^1.714)*HT_Mw/(273+T))^0.5)/HT_Vap_rho,IF(HT_Liq_rho&gt;0,15.3*(Heating_P/HT_Liq_rho)^0.5,0)))</f>
        <v>0</v>
      </c>
      <c r="D60" s="1856" t="s">
        <v>1714</v>
      </c>
      <c r="E60" s="3"/>
      <c r="F60" s="4316" t="s">
        <v>3036</v>
      </c>
      <c r="G60" s="3562"/>
      <c r="H60" s="3277">
        <f>IF(Equipment="Fired Equipment - Fire Tube Combustion Unit","&gt;1",IF(OR(Dust_Class_Feed="Class 3",Flame_Speed_Feed="High"),IF(Obstacle_Density="Low",0.5,"&gt;1"),IF(AND(State="Solid",Dust_Class_Feed="Class 1"),IF(Obstacle_Density="Low",0,IF(Obstacle_Density="Medium",0.35,0.5)),IF(Obstacle_Density="Low",0.35,IF(Obstacle_Density="High",1,0.5)))))</f>
        <v>0.5</v>
      </c>
      <c r="I60" s="3275">
        <f>IF(Flame_Speed_Feed="High",IF(Obstacle_Density="Low",0.5,"&gt;1"),IF(Obstacle_Density="Low",0.35,IF(Obstacle_Density="High",1,0.5)))</f>
        <v>0.5</v>
      </c>
      <c r="J60" s="3"/>
    </row>
    <row r="61" spans="1:10" ht="13.5" thickBot="1" x14ac:dyDescent="0.3">
      <c r="A61" s="3"/>
      <c r="B61" s="2058" t="s">
        <v>4147</v>
      </c>
      <c r="C61" s="2148">
        <f>IF(Heating_Media_State="Vapor",0.9*C60*HT_Vap_rho^0.5,IF(0.45*(1-Fv_HT)*C60*Equipment_Elevation^0.5&gt;1,0.45*(1-Fv_HT)*C60*Equipment_Elevation^0.5,1))</f>
        <v>1</v>
      </c>
      <c r="D61" s="1860" t="s">
        <v>1068</v>
      </c>
      <c r="E61" s="3"/>
      <c r="F61" s="1867"/>
      <c r="G61" s="3274" t="s">
        <v>4009</v>
      </c>
      <c r="H61" s="3278" t="str">
        <f>IF(OR(CP_Detonable="Yes",AND(DHR&lt;Detonation_Limit,Rx_Parameter&gt;RxParameter_Limit)),"Yes","No")</f>
        <v>No</v>
      </c>
      <c r="I61" s="3"/>
      <c r="J61" s="3"/>
    </row>
    <row r="62" spans="1:10" ht="13" x14ac:dyDescent="0.25">
      <c r="A62" s="3"/>
      <c r="B62" s="3"/>
      <c r="C62" s="3"/>
      <c r="D62" s="3"/>
      <c r="E62" s="3"/>
      <c r="F62" s="3"/>
      <c r="G62" s="3"/>
      <c r="H62" s="3"/>
      <c r="I62" s="3"/>
      <c r="J62" s="3"/>
    </row>
    <row r="63" spans="1:10" ht="13" x14ac:dyDescent="0.25">
      <c r="A63" s="3"/>
      <c r="B63" s="4290" t="s">
        <v>2682</v>
      </c>
      <c r="C63" s="4291"/>
      <c r="D63" s="4292"/>
      <c r="E63" s="3"/>
      <c r="F63" s="4296" t="s">
        <v>1740</v>
      </c>
      <c r="G63" s="4311"/>
      <c r="H63" s="4305"/>
      <c r="I63" s="3"/>
      <c r="J63" s="3"/>
    </row>
    <row r="64" spans="1:10" ht="13" x14ac:dyDescent="0.25">
      <c r="A64" s="3"/>
      <c r="B64" s="434" t="s">
        <v>1070</v>
      </c>
      <c r="C64" s="445" t="str">
        <f>IF(AND(Overflow_Location="Does Not Vent to Atmosphere",Relief_Set_Input=""),"None","")</f>
        <v/>
      </c>
      <c r="D64" s="455"/>
      <c r="E64" s="3"/>
      <c r="F64" s="4314" t="s">
        <v>4720</v>
      </c>
      <c r="G64" s="4315"/>
      <c r="H64" s="112">
        <v>0.5</v>
      </c>
      <c r="I64" s="3"/>
      <c r="J64" s="3"/>
    </row>
    <row r="65" spans="1:13" ht="13" x14ac:dyDescent="0.25">
      <c r="A65" s="3"/>
      <c r="B65" s="434" t="s">
        <v>1620</v>
      </c>
      <c r="C65" s="440">
        <f>IF(Relief_Discharge_Location="",Location,IF(Relief_Discharge_Location="Indoors","Indoors","Outdoors"))</f>
        <v>0</v>
      </c>
      <c r="D65" s="455"/>
      <c r="E65" s="3"/>
      <c r="F65" s="4314" t="s">
        <v>3022</v>
      </c>
      <c r="G65" s="4315"/>
      <c r="H65" s="112">
        <f>VCE_Efficiency</f>
        <v>0.5</v>
      </c>
      <c r="I65" s="1351">
        <f>VCE_Efficiency_HT</f>
        <v>0.5</v>
      </c>
      <c r="J65" s="3"/>
    </row>
    <row r="66" spans="1:13" ht="13" x14ac:dyDescent="0.25">
      <c r="A66" s="3"/>
      <c r="B66" s="3"/>
      <c r="C66" s="3"/>
      <c r="D66" s="3"/>
      <c r="E66" s="3"/>
      <c r="F66" s="4314" t="s">
        <v>3023</v>
      </c>
      <c r="G66" s="4315"/>
      <c r="H66" s="112">
        <f>ROUND(IF(VCE_Efficiency=1,(BST_mach1_Coeff*14.7/1)^(1/BST_mach1_Exp),IF(VCE_Efficiency=0.5,(BST_mach0.5_Coeff*14.7/1)^(1/BST_mach0.5_Exp),IF(VCE_Efficiency=0.35,(BST_mach0.35_Coeff*14.7/1)^(1/BST_mach0.35_Exp),(BST_gt1_Coeff*14.7/1)^(1/BST_gt1_Exp)))),1)</f>
        <v>2.5</v>
      </c>
      <c r="I66" s="112">
        <f>ROUND(IF(VCE_Efficiency_HT=1,(BST_mach1_Coeff*14.7/1)^(1/BST_mach1_Exp),IF(VCE_Efficiency_HT=0.5,(BST_mach0.5_Coeff*14.7/1)^(1/BST_mach0.5_Exp),IF(VCE_Efficiency_HT=0.35,(BST_mach0.35_Coeff*14.7/1)^(1/BST_mach0.35_Exp),(BST_gt1_Coeff*14.7/1)^(1/BST_gt1_Exp)))),1)</f>
        <v>2.5</v>
      </c>
      <c r="J66" s="3"/>
    </row>
    <row r="67" spans="1:13" ht="13" x14ac:dyDescent="0.3">
      <c r="A67" s="3"/>
      <c r="B67" s="4290" t="s">
        <v>2748</v>
      </c>
      <c r="C67" s="4291"/>
      <c r="D67" s="4292"/>
      <c r="E67" s="3"/>
      <c r="F67" s="1797"/>
      <c r="G67" s="1798" t="s">
        <v>3730</v>
      </c>
      <c r="H67" s="1799">
        <f>IF(VCE_Efficiency=1,BST_mach1_Coeff,IF(VCE_Efficiency=0.5,BST_mach0.5_Coeff,IF(VCE_Efficiency=0.35,BST_mach0.35_Coeff,BST_gt1_Coeff)))</f>
        <v>0.18</v>
      </c>
      <c r="I67" s="1799">
        <f>IF(VCE_Efficiency_HT=1,BST_mach1_Coeff,IF(VCE_Efficiency_HT=0.5,BST_mach0.5_Coeff,IF(VCE_Efficiency_HT=0.35,BST_mach0.35_Coeff,BST_gt1_Coeff)))</f>
        <v>0.18</v>
      </c>
      <c r="J67" s="3"/>
      <c r="M67" s="692"/>
    </row>
    <row r="68" spans="1:13" ht="13" x14ac:dyDescent="0.3">
      <c r="A68" s="3"/>
      <c r="B68" s="434" t="s">
        <v>2749</v>
      </c>
      <c r="C68" s="453">
        <f>IF(AND(State="Vapor",Vap_rho&gt;0),IF(1/(1+Burst_P)&lt;0.528,0.756*(Burst_P+1)*(Mw_Mix/(273+T))^0.5,2.93*(Burst_P+1)*(((1/(1+Burst_P))^1.429-(1/(1+Burst_P))^1.714)*Mw_Mix/(273+T))^0.5)*82.06*(273+T)/Mw_Mix,IF(Liq_rho&gt;0,15.3*(Burst_P/Liq_rho+0.5*Dh/10.34)^0.5,0))</f>
        <v>0</v>
      </c>
      <c r="D68" s="436" t="s">
        <v>1714</v>
      </c>
      <c r="E68" s="3"/>
      <c r="F68" s="1797"/>
      <c r="G68" s="1798" t="s">
        <v>3731</v>
      </c>
      <c r="H68" s="1799">
        <f>IF(VCE_Efficiency=1,BST_mach1_Exp,IF(VCE_Efficiency=0.5,BST_mach0.5_Exp,IF(VCE_Efficiency=0.35,BST_mach0.35_Exp,BST_gt1_Exp)))</f>
        <v>1.06</v>
      </c>
      <c r="I68" s="1799">
        <f>IF(VCE_Efficiency_HT=1,BST_mach1_Exp,IF(VCE_Efficiency_HT=0.5,BST_mach0.5_Exp,IF(VCE_Efficiency_HT=0.35,BST_mach0.35_Exp,BST_gt1_Exp)))</f>
        <v>1.06</v>
      </c>
      <c r="J68" s="3"/>
    </row>
    <row r="69" spans="1:13" ht="13" x14ac:dyDescent="0.3">
      <c r="A69" s="3"/>
      <c r="B69" s="434" t="s">
        <v>2750</v>
      </c>
      <c r="C69" s="437">
        <f>IF(AND(State="Vapor",Vap_rho&gt;0),IF(1/(1+Burst_P)&lt;0.528,0.756*(Burst_P+1)*(Mw_Mix/(273+T_atBurst))^0.5,2.93*(Burst_P+1)*(((1/(1+Burst_P))^1.429-(1/(1+Burst_P))^1.714)*Mw_Mix/(273+T_atBurst))^0.5)*82.06*(273+T_atBurst)/Mw_Mix,IF(Liq_rho&gt;0,15.3*(Burst_P/Liq_rho+0.5*Dh/10.34)^0.5,0))</f>
        <v>0</v>
      </c>
      <c r="D69" s="436" t="s">
        <v>1714</v>
      </c>
      <c r="E69" s="3"/>
      <c r="F69" s="1797"/>
      <c r="G69" s="1798" t="s">
        <v>3732</v>
      </c>
      <c r="H69" s="1799">
        <f>IF(VCE_Efficiency=1,BST_mach1_Limit,IF(VCE_Efficiency=0.5,BST_mach0.5_Limit,IF(VCE_Efficiency=0.35,BST_mach0.35_Limit,BST_gt1_Limit)))</f>
        <v>0.45</v>
      </c>
      <c r="I69" s="1799">
        <f>IF(VCE_Efficiency_HT=1,BST_mach1_Limit,IF(VCE_Efficiency_HT=0.5,BST_mach0.5_Limit,IF(VCE_Efficiency_HT=0.35,BST_mach0.35_Limit,BST_gt1_Limit)))</f>
        <v>0.45</v>
      </c>
      <c r="J69" s="3"/>
    </row>
    <row r="70" spans="1:13" ht="13" x14ac:dyDescent="0.25">
      <c r="A70" s="3"/>
      <c r="B70" s="434" t="s">
        <v>2751</v>
      </c>
      <c r="C70" s="454">
        <f>IF(AND(State="Vapor",Vap_rho&gt;0),IF(1/(1+Fire_Burst)&lt;0.528,0.756*(Fire_Burst+1)*(Mw_Mix/(273+T_atFire_Burst))^0.5,2.93*(Fire_Burst+1)*(((1/(1+Fire_Burst))^1.429-(1/(1+Fire_Burst))^1.714)*Mw_Mix/(273+T_atFire_Burst))^0.5)*82.06*(273+T_atFire_Burst)/Mw_Mix,IF(Liq_rho&gt;0,15.3*(Fire_Burst/Liq_rho+0.5*Dh/10.34)^0.5,0))</f>
        <v>0</v>
      </c>
      <c r="D70" s="436" t="s">
        <v>1714</v>
      </c>
      <c r="E70" s="3"/>
      <c r="F70" s="3"/>
      <c r="G70" s="3"/>
      <c r="H70" s="3"/>
      <c r="I70" s="3"/>
      <c r="J70" s="3"/>
    </row>
    <row r="71" spans="1:13" ht="13" x14ac:dyDescent="0.25">
      <c r="A71" s="3"/>
      <c r="B71" s="2565" t="s">
        <v>4578</v>
      </c>
      <c r="C71" s="3109" t="str">
        <f>IF(Rupture_Velocity&gt;0,IF(170*(1-Fv)/Rupture_Velocity^2&gt;0.01,170*(1-Fv)/Rupture_Velocity^2,0.01),"")</f>
        <v/>
      </c>
      <c r="E71" s="3"/>
      <c r="F71" s="4296" t="s">
        <v>1741</v>
      </c>
      <c r="G71" s="4311"/>
      <c r="H71" s="4305"/>
      <c r="I71" s="3"/>
      <c r="J71" s="3"/>
    </row>
    <row r="72" spans="1:13" ht="15" x14ac:dyDescent="0.25">
      <c r="A72" s="3"/>
      <c r="B72" s="2565" t="s">
        <v>4579</v>
      </c>
      <c r="C72" s="3109" t="str">
        <f>IF(Rupture_Velocity_Sat&gt;0,IF(170*(1-Fv_Rupture)/Rupture_Velocity_Sat^2&gt;0.01,170*(1-Fv_Rupture)/Rupture_Velocity_Sat^2,0.01),"")</f>
        <v/>
      </c>
      <c r="E72" s="3"/>
      <c r="F72" s="1136" t="s">
        <v>1095</v>
      </c>
      <c r="G72" s="1137">
        <f>Enclosed_Process_Volume</f>
        <v>0</v>
      </c>
      <c r="H72" s="181" t="s">
        <v>2935</v>
      </c>
      <c r="I72" s="3"/>
      <c r="J72" s="3"/>
    </row>
    <row r="73" spans="1:13" ht="13" x14ac:dyDescent="0.25">
      <c r="A73" s="3"/>
      <c r="B73" s="434" t="s">
        <v>958</v>
      </c>
      <c r="C73" s="437">
        <f>IF(State="Vapor",0.3*2*(Volume/6280)^0.333*Rupture_Velocity*Vap_rho_atTBp^0.5,0.45*(1-Fv)*Rupture_Velocity*(Equipment_Elevation+Dh/2)^0.5)</f>
        <v>0</v>
      </c>
      <c r="D73" s="436" t="s">
        <v>1068</v>
      </c>
      <c r="E73" s="3"/>
      <c r="F73" s="1138" t="s">
        <v>587</v>
      </c>
      <c r="G73" s="458">
        <f>IF(OR(AND(Dust_Explosion&lt;&gt;"Yes",LFL_Mix=""),AND(Relief_Release&lt;&gt;"Indoors",Location="Outdoors")),0,IF(ExplEng_perVolume*Enclosed_Process_Volume&lt;ExplEng_Limit,ExplEng_perVolume*Enclosed_Process_Volume,ExplEng_Limit))</f>
        <v>0</v>
      </c>
      <c r="H73" s="181" t="s">
        <v>1761</v>
      </c>
      <c r="I73" s="3"/>
      <c r="J73" s="3"/>
    </row>
    <row r="74" spans="1:13" ht="13" x14ac:dyDescent="0.25">
      <c r="A74" s="3"/>
      <c r="B74" s="438" t="s">
        <v>1062</v>
      </c>
      <c r="C74" s="454">
        <f>0.4*((C73+(Volume/6280)^0.333)^2-(Volume/6280)^0.666)</f>
        <v>0</v>
      </c>
      <c r="D74" s="439" t="s">
        <v>1271</v>
      </c>
      <c r="E74" s="3"/>
      <c r="F74" s="4314" t="s">
        <v>3028</v>
      </c>
      <c r="G74" s="4315"/>
      <c r="H74" s="112">
        <f>BldgExp_Strength</f>
        <v>0.5</v>
      </c>
      <c r="I74" s="1351">
        <f>BldgExp_Strength_HT</f>
        <v>0.5</v>
      </c>
      <c r="J74" s="3"/>
    </row>
    <row r="75" spans="1:13" ht="13" x14ac:dyDescent="0.25">
      <c r="A75" s="3"/>
      <c r="B75" s="3"/>
      <c r="C75" s="3"/>
      <c r="D75" s="3"/>
      <c r="E75" s="3"/>
      <c r="F75" s="4314" t="s">
        <v>3029</v>
      </c>
      <c r="G75" s="4315"/>
      <c r="H75" s="112">
        <f>ROUND(IF(BldgExp_Strength=0,0,IF(BldgExp_Strength=1,(BST_mach1_Coeff*14.7/0.3)^(1/BST_mach1_Exp),IF(BldgExp_Strength=0.5,(BST_mach0.5_Coeff*14.7/0.3)^(1/BST_mach0.5_Exp),IF(BldgExp_Strength=0.35,(BST_mach0.35_Coeff*14.7/0.3)^(1/BST_mach0.35_Exp),(BST_gt1_Coeff*14.7/0.3)^(1/BST_gt1_Exp))))),1)</f>
        <v>7.8</v>
      </c>
      <c r="I75" s="112">
        <f>ROUND(IF(BldgExp_Strength_HT=0,0,IF(BldgExp_Strength_HT=1,(BST_mach1_Coeff*14.7/0.3)^(1/BST_mach1_Exp),IF(BldgExp_Strength_HT=0.5,(BST_mach0.5_Coeff*14.7/0.3)^(1/BST_mach0.5_Exp),IF(BldgExp_Strength_HT=0.35,(BST_mach0.35_Coeff*14.7/0.3)^(1/BST_mach0.35_Exp),(BST_gt1_Coeff*14.7/0.3)^(1/BST_gt1_Exp))))),1)</f>
        <v>7.8</v>
      </c>
      <c r="J75" s="3"/>
    </row>
    <row r="76" spans="1:13" ht="13" x14ac:dyDescent="0.25">
      <c r="A76" s="3"/>
      <c r="B76" s="4290" t="s">
        <v>1103</v>
      </c>
      <c r="C76" s="4291"/>
      <c r="D76" s="4292"/>
      <c r="E76" s="3"/>
      <c r="F76" s="4314" t="s">
        <v>3023</v>
      </c>
      <c r="G76" s="4315"/>
      <c r="H76" s="112">
        <f>ROUND(IF(BldgExp_Strength=0,0,IF(BldgExp_Strength=1,(BST_mach1_Coeff*14.7/1)^(1/BST_mach1_Exp),IF(BldgExp_Strength=0.5,(BST_mach0.5_Coeff*14.7/1)^(1/BST_mach0.5_Exp),IF(BldgExp_Strength=0.35,(BST_mach0.35_Coeff*14.7/1)^(1/BST_mach0.35_Exp),(BST_gt1_Coeff*14.7/1)^(1/BST_gt1_Exp))))),1)</f>
        <v>2.5</v>
      </c>
      <c r="I76" s="112">
        <f>ROUND(IF(BldgExp_Strength_HT=0,0,IF(BldgExp_Strength_HT=1,(BST_mach1_Coeff*14.7/1)^(1/BST_mach1_Exp),IF(BldgExp_Strength_HT=0.5,(BST_mach0.5_Coeff*14.7/1)^(1/BST_mach0.5_Exp),IF(BldgExp_Strength_HT=0.35,(BST_mach0.35_Coeff*14.7/1)^(1/BST_mach0.35_Exp),(BST_gt1_Coeff*14.7/1)^(1/BST_gt1_Exp))))),1)</f>
        <v>2.5</v>
      </c>
      <c r="J76" s="3"/>
    </row>
    <row r="77" spans="1:13" ht="13" x14ac:dyDescent="0.25">
      <c r="A77" s="3"/>
      <c r="B77" s="434" t="s">
        <v>604</v>
      </c>
      <c r="C77" s="435">
        <f>IF(AND(State="Solid",P_Input&gt;0),Feedrate,0)</f>
        <v>0</v>
      </c>
      <c r="D77" s="436" t="s">
        <v>1069</v>
      </c>
      <c r="E77" s="3"/>
      <c r="F77" s="1138" t="s">
        <v>1966</v>
      </c>
      <c r="G77" s="1352">
        <f>H75*(2*4.18*Bldg_Explosion_Energy/101.3)^0.333</f>
        <v>0</v>
      </c>
      <c r="H77" s="181" t="s">
        <v>1068</v>
      </c>
      <c r="I77" s="181">
        <f>I75*(2*4.18*Bldg_Explosion_Energy/101.3)^0.333</f>
        <v>0</v>
      </c>
      <c r="J77" s="3"/>
    </row>
    <row r="78" spans="1:13" ht="13" x14ac:dyDescent="0.25">
      <c r="A78" s="3"/>
      <c r="B78" s="434" t="s">
        <v>131</v>
      </c>
      <c r="C78" s="441">
        <f>ContainedMass</f>
        <v>0</v>
      </c>
      <c r="D78" s="436" t="s">
        <v>1497</v>
      </c>
      <c r="E78" s="3"/>
      <c r="F78" s="1139" t="s">
        <v>1864</v>
      </c>
      <c r="G78" s="1353">
        <f>H76*(2*4.18*Bldg_Explosion_Energy/101.3)^0.333</f>
        <v>0</v>
      </c>
      <c r="H78" s="112" t="s">
        <v>1068</v>
      </c>
      <c r="I78" s="112">
        <f>I76*(2*4.18*Bldg_Explosion_Energy/101.3)^0.333</f>
        <v>0</v>
      </c>
      <c r="J78" s="3"/>
    </row>
    <row r="79" spans="1:13" ht="13" x14ac:dyDescent="0.25">
      <c r="A79" s="3"/>
      <c r="B79" s="434" t="s">
        <v>1994</v>
      </c>
      <c r="C79" s="441">
        <f>Inventory</f>
        <v>0</v>
      </c>
      <c r="D79" s="436" t="s">
        <v>1497</v>
      </c>
      <c r="E79" s="3"/>
      <c r="F79" s="1140"/>
      <c r="G79" s="1141" t="s">
        <v>3033</v>
      </c>
      <c r="H79" s="181">
        <f>IF(Bldg_Explosion_Energy&lt;0.1,0,Occ_Bldg/(2*4.18*Bldg_Explosion_Energy/101.3)^0.333)</f>
        <v>0</v>
      </c>
      <c r="I79" s="3"/>
      <c r="J79" s="3"/>
    </row>
    <row r="80" spans="1:13" ht="13" x14ac:dyDescent="0.25">
      <c r="A80" s="3"/>
      <c r="B80" s="434" t="s">
        <v>1669</v>
      </c>
      <c r="C80" s="440">
        <f>IF(C77&gt;0,IF(ContainedMass/C77&lt;Max_Duration,ContainedMass/C77,Max_Duration),0)</f>
        <v>0</v>
      </c>
      <c r="D80" s="436" t="s">
        <v>1760</v>
      </c>
      <c r="E80" s="3"/>
      <c r="F80" s="1140"/>
      <c r="G80" s="1141" t="s">
        <v>1965</v>
      </c>
      <c r="H80" s="2149">
        <f>IF(H79&gt;0,IF(BldgExp_Strength=1,IF(BST_mach1_Coeff/H79^BST_mach1_Exp&lt;BST_mach1_Limit,14.7*BST_mach1_Coeff/H79^BST_mach1_Exp,14.7*BST_mach1_Limit),IF(BldgExp_Strength=0.5,IF(BST_mach0.5_Coeff/H79^BST_mach0.5_Exp&lt;BST_mach0.5_Limit,14.7*BST_mach0.5_Coeff/H79^BST_mach0.5_Exp,14.7*BST_mach0.5_Limit),IF(BldgExp_Strength=0.35,IF(BST_mach0.35_Coeff/H79^BST_mach0.35_Exp&lt;BST_mach0.35_Limit,14.7*BST_mach0.35_Coeff/H79^BST_mach0.35_Exp,14.7*BST_mach0.35_Limit),IF(BST_gt1_Coeff/H79^BST_gt1_Exp&lt;BST_gt1_Limit,14.7*BST_gt1_Coeff/H79^BST_gt1_Exp,14.7*BST_gt1_Limit)))),0)</f>
        <v>0</v>
      </c>
      <c r="I80" s="2149">
        <f>IF(H79&gt;0,IF(BldgExp_Strength_HT=1,IF(BST_mach1_Coeff/H79^BST_mach1_Exp&lt;BST_mach1_Limit,14.7*BST_mach1_Coeff/H79^BST_mach1_Exp,14.7*BST_mach1_Limit),IF(BldgExp_Strength_HT=0.5,IF(BST_mach0.5_Coeff/H79^BST_mach0.5_Exp&lt;BST_mach0.5_Limit,14.7*BST_mach0.5_Coeff/H79^BST_mach0.5_Exp,14.7*BST_mach0.5_Limit),IF(BldgExp_Strength_HT=0.35,IF(BST_mach0.35_Coeff/H79^BST_mach0.35_Exp&lt;BST_mach0.35_Limit,14.7*BST_mach0.35_Coeff/H79^BST_mach0.35_Exp,14.7*BST_mach0.35_Limit),IF(BST_gt1_Coeff/H79^BST_gt1_Exp&lt;BST_gt1_Limit,14.7*BST_gt1_Coeff/H79^BST_gt1_Exp,14.7*BST_gt1_Limit)))),0)</f>
        <v>0</v>
      </c>
      <c r="J80" s="3"/>
    </row>
    <row r="81" spans="1:10" ht="13" x14ac:dyDescent="0.25">
      <c r="A81" s="3"/>
      <c r="B81" s="434" t="s">
        <v>1668</v>
      </c>
      <c r="C81" s="440">
        <f>IF(AND(Inventory&gt;ContainedMass,C77&gt;0),IF((Inventory-ContainedMass)/C77&lt;Max_Duration-C80,(Inventory-ContainedMass)/C77,Max_Duration-C80),0)</f>
        <v>0</v>
      </c>
      <c r="D81" s="436" t="s">
        <v>1760</v>
      </c>
      <c r="E81" s="3"/>
      <c r="F81" s="1140"/>
      <c r="G81" s="1141" t="s">
        <v>3030</v>
      </c>
      <c r="H81" s="181">
        <f>IF(Bldg_Explosion_Energy&lt;0.1,0,IF(Occ_Bldg_Cntr=0,H79,Occ_Bldg_Cntr/(2*4.18*Bldg_Explosion_Energy/101.3)^0.333))</f>
        <v>0</v>
      </c>
      <c r="I81" s="3"/>
      <c r="J81" s="3"/>
    </row>
    <row r="82" spans="1:10" ht="13" x14ac:dyDescent="0.25">
      <c r="A82" s="3"/>
      <c r="B82" s="434" t="s">
        <v>4686</v>
      </c>
      <c r="C82" s="440">
        <f>Max_Duration-C81-C80</f>
        <v>3600</v>
      </c>
      <c r="D82" s="436" t="s">
        <v>1760</v>
      </c>
      <c r="E82" s="3"/>
      <c r="F82" s="1140"/>
      <c r="G82" s="1141" t="s">
        <v>1533</v>
      </c>
      <c r="H82" s="2149">
        <f>IF(H81&gt;0,IF(BldgExp_Strength=1,IF(BST_mach1_Coeff/H81^BST_mach1_Exp&lt;BST_mach1_Limit,14.7*BST_mach1_Coeff/H81^BST_mach1_Exp,14.7*BST_mach1_Limit),IF(BldgExp_Strength=0.5,IF(BST_mach0.5_Coeff/H81^BST_mach0.5_Exp&lt;BST_mach0.5_Limit,14.7*BST_mach0.5_Coeff/H81^BST_mach0.5_Exp,14.7*BST_mach0.5_Limit),IF(BldgExp_Strength=0.35,IF(BST_mach0.35_Coeff/H81^BST_mach0.35_Exp&lt;BST_mach0.35_Limit,14.7*BST_mach0.35_Coeff/H81^BST_mach0.35_Exp,14.7*BST_mach0.35_Limit),IF(BST_gt1_Coeff/H81^BST_gt1_Exp&lt;BST_gt1_Limit,14.7*BST_gt1_Coeff/H81^BST_gt1_Exp,14.7*BST_gt1_Limit)))),Bldg_Explosion_Press)</f>
        <v>0</v>
      </c>
      <c r="I82" s="2149">
        <f>IF(H81&gt;0,IF(BldgExp_Strength_HT=1,IF(BST_mach1_Coeff/H81^BST_mach1_Exp&lt;BST_mach1_Limit,14.7*BST_mach1_Coeff/H81^BST_mach1_Exp,14.7*BST_mach1_Limit),IF(BldgExp_Strength_HT=0.5,IF(BST_mach0.5_Coeff/H81^BST_mach0.5_Exp&lt;BST_mach0.5_Limit,14.7*BST_mach0.5_Coeff/H81^BST_mach0.5_Exp,14.7*BST_mach0.5_Limit),IF(BldgExp_Strength_HT=0.35,IF(BST_mach0.35_Coeff/H81^BST_mach0.35_Exp&lt;BST_mach0.35_Limit,14.7*BST_mach0.35_Coeff/H81^BST_mach0.35_Exp,14.7*BST_mach0.35_Limit),IF(BST_gt1_Coeff/H81^BST_gt1_Exp&lt;BST_gt1_Limit,14.7*BST_gt1_Coeff/H81^BST_gt1_Exp,14.7*BST_gt1_Limit)))),Bldg_Explosion_Press_HT)</f>
        <v>0</v>
      </c>
      <c r="J82" s="3"/>
    </row>
    <row r="83" spans="1:10" ht="13" x14ac:dyDescent="0.25">
      <c r="A83" s="3"/>
      <c r="B83" s="434" t="s">
        <v>1037</v>
      </c>
      <c r="C83" s="441">
        <f>IF(Max_Duration*Leakrate_Solids&lt;Inventory,Max_Duration*Leakrate_Solids,Inventory)</f>
        <v>0</v>
      </c>
      <c r="D83" s="436" t="s">
        <v>1497</v>
      </c>
      <c r="E83" s="1150"/>
      <c r="F83" s="1140"/>
      <c r="G83" s="1141" t="s">
        <v>3031</v>
      </c>
      <c r="H83" s="181">
        <f>IF(OR(Bldg_Explosion_Energy&lt;0.1,Occ_Bldg2=0),0,Occ_Bldg2/(2*4.18*Bldg_Explosion_Energy/101.3)^0.333)</f>
        <v>0</v>
      </c>
      <c r="I83" s="3"/>
      <c r="J83" s="3"/>
    </row>
    <row r="84" spans="1:10" ht="13" x14ac:dyDescent="0.25">
      <c r="A84" s="3"/>
      <c r="B84" s="434" t="s">
        <v>1542</v>
      </c>
      <c r="C84" s="2152">
        <f>C80+C81</f>
        <v>0</v>
      </c>
      <c r="D84" s="436" t="s">
        <v>1760</v>
      </c>
      <c r="E84" s="3"/>
      <c r="F84" s="1140"/>
      <c r="G84" s="1141" t="s">
        <v>626</v>
      </c>
      <c r="H84" s="2149">
        <f>IF(H83&gt;0,IF(BldgExp_Strength=1,IF(BST_mach1_Coeff/H83^BST_mach1_Exp&lt;BST_mach1_Limit,14.7*BST_mach1_Coeff/H83^BST_mach1_Exp,14.7*BST_mach1_Limit),IF(BldgExp_Strength=0.5,IF(BST_mach0.5_Coeff/H83^BST_mach0.5_Exp&lt;BST_mach0.5_Limit,14.7*BST_mach0.5_Coeff/H83^BST_mach0.5_Exp,14.7*BST_mach0.5_Limit),IF(BldgExp_Strength=0.35,IF(BST_mach0.35_Coeff/H83^BST_mach0.35_Exp&lt;BST_mach0.35_Limit,14.7*BST_mach0.35_Coeff/H83^BST_mach0.35_Exp,14.7*BST_mach0.35_Limit),IF(BST_gt1_Coeff/H83^BST_gt1_Exp&lt;BST_gt1_Limit,14.7*BST_gt1_Coeff/H83^BST_gt1_Exp,14.7*BST_gt1_Limit)))),0)</f>
        <v>0</v>
      </c>
      <c r="I84" s="2149">
        <f>IF(H83&gt;0,IF(BldgExp_Strength_HT=1,IF(BST_mach1_Coeff/H83^BST_mach1_Exp&lt;BST_mach1_Limit,14.7*BST_mach1_Coeff/H83^BST_mach1_Exp,14.7*BST_mach1_Limit),IF(BldgExp_Strength_HT=0.5,IF(BST_mach0.5_Coeff/H83^BST_mach0.5_Exp&lt;BST_mach0.5_Limit,14.7*BST_mach0.5_Coeff/H83^BST_mach0.5_Exp,14.7*BST_mach0.5_Limit),IF(BldgExp_Strength_HT=0.35,IF(BST_mach0.35_Coeff/H83^BST_mach0.35_Exp&lt;BST_mach0.35_Limit,14.7*BST_mach0.35_Coeff/H83^BST_mach0.35_Exp,14.7*BST_mach0.35_Limit),IF(BST_gt1_Coeff/H83^BST_gt1_Exp&lt;BST_gt1_Limit,14.7*BST_gt1_Coeff/H83^BST_gt1_Exp,14.7*BST_gt1_Limit)))),0)</f>
        <v>0</v>
      </c>
      <c r="J84" s="3"/>
    </row>
    <row r="85" spans="1:10" ht="13" x14ac:dyDescent="0.25">
      <c r="A85" s="3"/>
      <c r="B85" s="434" t="s">
        <v>738</v>
      </c>
      <c r="C85" s="440">
        <f>IF(Dust_Deflagration="Yes",Dust_Fireball*(Volume/1000)^0.33,0)</f>
        <v>0</v>
      </c>
      <c r="D85" s="436" t="s">
        <v>1068</v>
      </c>
      <c r="E85" s="3"/>
      <c r="F85" s="1140"/>
      <c r="G85" s="1141" t="s">
        <v>3032</v>
      </c>
      <c r="H85" s="181">
        <f>IF(Bldg_Explosion_Energy&lt;0.1,0,IF(Occ_Bldg2_Cntr=0,H83,Occ_Bldg2_Cntr/(2*4.18*Bldg_Explosion_Energy/101.3)^0.333))</f>
        <v>0</v>
      </c>
      <c r="I85" s="3"/>
      <c r="J85" s="3"/>
    </row>
    <row r="86" spans="1:10" ht="13" x14ac:dyDescent="0.25">
      <c r="A86" s="3"/>
      <c r="B86" s="434" t="s">
        <v>1811</v>
      </c>
      <c r="C86" s="440">
        <f>3.142*C85^2/4</f>
        <v>0</v>
      </c>
      <c r="D86" s="436" t="s">
        <v>1271</v>
      </c>
      <c r="E86" s="3"/>
      <c r="F86" s="1140"/>
      <c r="G86" s="1141" t="s">
        <v>2934</v>
      </c>
      <c r="H86" s="2149">
        <f>IF(H85&gt;0,IF(BldgExp_Strength=1,IF(BST_mach1_Coeff/H85^BST_mach1_Exp&lt;BST_mach1_Limit,14.7*BST_mach1_Coeff/H85^BST_mach1_Exp,14.7*BST_mach1_Limit),IF(BldgExp_Strength=0.5,IF(BST_mach0.5_Coeff/H85^BST_mach0.5_Exp&lt;BST_mach0.5_Limit,14.7*BST_mach0.5_Coeff/H85^BST_mach0.5_Exp,14.7*BST_mach0.5_Limit),IF(BldgExp_Strength=0.35,IF(BST_mach0.35_Coeff/H85^BST_mach0.35_Exp&lt;BST_mach0.35_Limit,14.7*BST_mach0.35_Coeff/H85^BST_mach0.35_Exp,14.7*BST_mach0.35_Limit),IF(BST_gt1_Coeff/H85^BST_gt1_Exp&lt;BST_gt1_Limit,14.7*BST_gt1_Coeff/H85^BST_gt1_Exp,14.7*BST_gt1_Limit)))),Bldg2_Explosion_Press)</f>
        <v>0</v>
      </c>
      <c r="I86" s="2149">
        <f>IF(H85&gt;0,IF(BldgExp_Strength_HT=1,IF(BST_mach1_Coeff/H85^BST_mach1_Exp&lt;BST_mach1_Limit,14.7*BST_mach1_Coeff/H85^BST_mach1_Exp,14.7*BST_mach1_Limit),IF(BldgExp_Strength_HT=0.5,IF(BST_mach0.5_Coeff/H85^BST_mach0.5_Exp&lt;BST_mach0.5_Limit,14.7*BST_mach0.5_Coeff/H85^BST_mach0.5_Exp,14.7*BST_mach0.5_Limit),IF(BldgExp_Strength_HT=0.35,IF(BST_mach0.35_Coeff/H85^BST_mach0.35_Exp&lt;BST_mach0.35_Limit,14.7*BST_mach0.35_Coeff/H85^BST_mach0.35_Exp,14.7*BST_mach0.35_Limit),IF(BST_gt1_Coeff/H85^BST_gt1_Exp&lt;BST_gt1_Limit,14.7*BST_gt1_Coeff/H85^BST_gt1_Exp,14.7*BST_gt1_Limit)))),Bldg2_Explosion_Press_HT)</f>
        <v>0</v>
      </c>
      <c r="J86" s="3"/>
    </row>
    <row r="87" spans="1:10" ht="13" x14ac:dyDescent="0.25">
      <c r="A87" s="3"/>
      <c r="B87" s="457" t="s">
        <v>293</v>
      </c>
      <c r="C87" s="459" t="str">
        <f>IF(OR(Attended="Yes",AND(Attended&lt;&gt;"No",OR(Equipment="Bag/Pak Dumping (Solids)",Equipment="Drum/IBC Handling"))),"Yes","No")</f>
        <v>No</v>
      </c>
      <c r="D87" s="436"/>
      <c r="E87" s="3"/>
      <c r="F87" s="3"/>
      <c r="G87" s="3"/>
      <c r="H87" s="3"/>
      <c r="I87" s="3"/>
      <c r="J87" s="3"/>
    </row>
    <row r="88" spans="1:10" ht="13" x14ac:dyDescent="0.25">
      <c r="A88" s="3"/>
      <c r="B88" s="434" t="s">
        <v>1812</v>
      </c>
      <c r="C88" s="461">
        <f>IF(Dust_Deflag_External="No",0,IF(Location="Indoors",IF(C86&lt;Enclosed_Process_Volume^0.67,C86*Op_Indoors/Enclosed_Process_Volume^0.67,Op_Indoors),C86*Onsite_PD/1000000))</f>
        <v>0</v>
      </c>
      <c r="D88" s="436"/>
      <c r="E88" s="3"/>
      <c r="F88" s="4296" t="s">
        <v>1639</v>
      </c>
      <c r="G88" s="4297"/>
      <c r="H88" s="4298"/>
      <c r="I88" s="3"/>
      <c r="J88" s="3"/>
    </row>
    <row r="89" spans="1:10" ht="13" x14ac:dyDescent="0.25">
      <c r="A89" s="3"/>
      <c r="B89" s="462" t="s">
        <v>148</v>
      </c>
      <c r="C89" s="463">
        <f>IF(AND(C$87&lt;&gt;"Yes",C88&lt;0.01),2,IF(AND(C$87&lt;&gt;"Yes",C88&lt;0.1),1,0))</f>
        <v>2</v>
      </c>
      <c r="D89" s="436"/>
      <c r="E89" s="3"/>
      <c r="F89" s="1142" t="s">
        <v>1628</v>
      </c>
      <c r="G89" s="459">
        <f>IF(Equipment="Drum Oven",DrumOven_Volume,Volume/1000)</f>
        <v>0</v>
      </c>
      <c r="H89" s="112" t="s">
        <v>1270</v>
      </c>
      <c r="I89" s="3"/>
      <c r="J89" s="3"/>
    </row>
    <row r="90" spans="1:10" ht="13" x14ac:dyDescent="0.25">
      <c r="A90" s="3"/>
      <c r="B90" s="457" t="s">
        <v>4595</v>
      </c>
      <c r="C90" s="442" t="str">
        <f>IF(OR(C88&lt;N_Screening,AND(Location="Outdoors",C85&lt;HD_Screening_Limit)),"NA",IF(C88&lt;N_VeryLow,Conseq_VeryLow,IF(C88&lt;N_Low,Conseq_Low,IF(C88&lt;N_Moderate,Conseq_Moderate,IF(C88&lt;N_High,Conseq_High,IF(C88&lt;N_VeryHigh,Conseq_VeryHigh,IF(C88&lt;N_ExtremeHigh,Conseq_ExtremeHigh,Conseq_GT_ExtremeHigh)))))))</f>
        <v>NA</v>
      </c>
      <c r="D90" s="436"/>
      <c r="E90" s="3"/>
      <c r="F90" s="1138" t="s">
        <v>1640</v>
      </c>
      <c r="G90" s="458">
        <f>ExplEng_perVolume*Deflagration_Volume</f>
        <v>0</v>
      </c>
      <c r="H90" s="181" t="s">
        <v>1761</v>
      </c>
      <c r="I90" s="3"/>
      <c r="J90" s="3"/>
    </row>
    <row r="91" spans="1:10" ht="13" x14ac:dyDescent="0.25">
      <c r="A91" s="3"/>
      <c r="B91" s="458" t="s">
        <v>4596</v>
      </c>
      <c r="C91" s="459" t="str">
        <f>IF(OR(State&lt;&gt;"Solid",Chem_ExposureHazard="NA"),"NA",IF(Chem_ExposureHazard="Potential Fatality",Conseq_Moderate,IF(Chem_ExposureHazard="Serious Injury",Conseq_Low,Conseq_VeryLow)))</f>
        <v>NA</v>
      </c>
      <c r="D91" s="439"/>
      <c r="E91" s="3"/>
      <c r="F91" s="4314" t="s">
        <v>713</v>
      </c>
      <c r="G91" s="4315"/>
      <c r="H91" s="112">
        <f>EquipExp_Strength</f>
        <v>0.5</v>
      </c>
      <c r="I91" s="3"/>
      <c r="J91" s="3"/>
    </row>
    <row r="92" spans="1:10" ht="13" x14ac:dyDescent="0.25">
      <c r="A92" s="3"/>
      <c r="B92" s="3"/>
      <c r="C92" s="3"/>
      <c r="D92" s="3"/>
      <c r="E92" s="3"/>
      <c r="F92" s="4314" t="s">
        <v>3029</v>
      </c>
      <c r="G92" s="4315"/>
      <c r="H92" s="2151">
        <f>ROUND(IF(EquipExp_Strength=0,0,IF(EquipExp_Strength=1,(BST_mach1_Coeff*14.7/0.3)^(1/BST_mach1_Exp),IF(EquipExp_Strength=0.5,(BST_mach0.5_Coeff*14.7/0.3)^(1/BST_mach0.5_Exp),IF(EquipExp_Strength=0.35,(BST_mach0.35_Coeff*14.7/0.3)^(1/BST_mach0.35_Exp),(BST_gt1_Coeff*14.7/0.3)^(1/BST_gt1_Exp))))),1)</f>
        <v>7.8</v>
      </c>
      <c r="I92" s="3"/>
      <c r="J92" s="3"/>
    </row>
    <row r="93" spans="1:10" ht="13" x14ac:dyDescent="0.25">
      <c r="A93" s="3"/>
      <c r="B93" s="186" t="s">
        <v>1529</v>
      </c>
      <c r="C93" s="4302">
        <f>Equipment</f>
        <v>0</v>
      </c>
      <c r="D93" s="4303"/>
      <c r="E93" s="3"/>
      <c r="F93" s="4314" t="s">
        <v>3023</v>
      </c>
      <c r="G93" s="4315"/>
      <c r="H93" s="112">
        <f>ROUND(IF(EquipExp_Strength=0,0,IF(EquipExp_Strength=1,(BST_mach1_Coeff*14.7/1)^(1/BST_mach1_Exp),IF(EquipExp_Strength=0.5,(BST_mach0.5_Coeff*14.7/1)^(1/BST_mach0.5_Exp),IF(EquipExp_Strength=0.35,(BST_mach0.35_Coeff*14.7/1)^(1/BST_mach0.35_Exp),(BST_gt1_Coeff*14.7/1)^(1/BST_gt1_Exp))))),1)</f>
        <v>2.5</v>
      </c>
      <c r="I93" s="3"/>
      <c r="J93" s="3"/>
    </row>
    <row r="94" spans="1:10" ht="13" x14ac:dyDescent="0.25">
      <c r="A94" s="3"/>
      <c r="B94" s="3"/>
      <c r="C94" s="3"/>
      <c r="D94" s="3"/>
      <c r="E94" s="3"/>
      <c r="F94" s="4314" t="str">
        <f>"Scaled Direct Blast Distance, R to "&amp;Blast_Direct&amp;" psi =  "</f>
        <v xml:space="preserve">Scaled Direct Blast Distance, R to 10 psi =  </v>
      </c>
      <c r="G94" s="4315"/>
      <c r="H94" s="2151">
        <f>ROUND(IF(OR(EquipExp_Strength=0,AND(EquipExp_Strength=1,Blast_Direct&gt;14.7*BST_mach1_Limit),AND(EquipExp_Strength=0.5,Blast_Direct&gt;14.7*BST_mach0.5_Limit),AND(EquipExp_Strength=0.35,Blast_Direct&gt;14.7*BST_mach0.35_Limit)),0,IF(EquipExp_Strength=1,(BST_mach1_Coeff*14.7/10)^(1/BST_mach1_Exp),IF(EquipExp_Strength=0.5,(BST_mach0.5_Coeff*14.7/10)^(1/BST_mach0.5_Exp),IF(EquipExp_Strength=0.35,(BST_mach0.35_Coeff*14.7/10)^(1/BST_mach0.35_Exp),(BST_gt1_Coeff*14.7/10)^(1/BST_gt1_Exp))))),2)</f>
        <v>0</v>
      </c>
      <c r="I94" s="3"/>
      <c r="J94" s="3"/>
    </row>
    <row r="95" spans="1:10" ht="13" x14ac:dyDescent="0.25">
      <c r="A95" s="3"/>
      <c r="B95" s="4296" t="s">
        <v>1621</v>
      </c>
      <c r="C95" s="4304"/>
      <c r="D95" s="39" t="str">
        <f>IF(AND(State="Solid",Dust_MIE_Feed&lt;&gt;""),IF(AND(OR(Dust_MIE_Feed&lt;Dust_Screening_Limit,Dust_Hybrid_Feed="Yes"),OR(Fluidized_Equipment="Yes",Dust_Size_Feed&lt;Dust_Size_Limit)),"Yes","No"),"No")</f>
        <v>No</v>
      </c>
      <c r="E95" s="3"/>
      <c r="F95" s="1138" t="s">
        <v>1655</v>
      </c>
      <c r="G95" s="2153">
        <f>H92*(2*4.18*Deflagration_Energy/101.3)^0.333</f>
        <v>0</v>
      </c>
      <c r="H95" s="112" t="s">
        <v>1068</v>
      </c>
      <c r="I95" s="3"/>
      <c r="J95" s="3"/>
    </row>
    <row r="96" spans="1:10" ht="13" x14ac:dyDescent="0.25">
      <c r="A96" s="3"/>
      <c r="B96" s="4296" t="s">
        <v>925</v>
      </c>
      <c r="C96" s="4305"/>
      <c r="D96" s="39" t="str">
        <f>IF(Dust_MIE_Feed&lt;&gt;"",IF(AND(Dust_Deflagration="Yes",OR(Dust_MIE_Feed&lt;Dust_High_MIE,Dust_Hybrid_Feed="Yes")),"Yes","No"),"No")</f>
        <v>No</v>
      </c>
      <c r="E96" s="3"/>
      <c r="F96" s="1139" t="s">
        <v>641</v>
      </c>
      <c r="G96" s="2154">
        <f>H93*(2*4.18*Deflagration_Energy/101.3)^0.333</f>
        <v>0</v>
      </c>
      <c r="H96" s="112" t="s">
        <v>1068</v>
      </c>
      <c r="I96" s="3"/>
      <c r="J96" s="3"/>
    </row>
    <row r="97" spans="1:10" ht="13" x14ac:dyDescent="0.25">
      <c r="A97" s="3"/>
      <c r="B97" s="3"/>
      <c r="C97" s="3"/>
      <c r="D97" s="3"/>
      <c r="E97" s="3"/>
      <c r="F97" s="1139" t="s">
        <v>1629</v>
      </c>
      <c r="G97" s="2153">
        <f>H94*(2*4.18*Deflagration_Energy/101.3)^0.333</f>
        <v>0</v>
      </c>
      <c r="H97" s="112" t="s">
        <v>1068</v>
      </c>
      <c r="I97" s="3"/>
      <c r="J97" s="3"/>
    </row>
    <row r="98" spans="1:10" ht="13" x14ac:dyDescent="0.25">
      <c r="A98" s="3"/>
      <c r="B98" s="4306" t="s">
        <v>1832</v>
      </c>
      <c r="C98" s="4307"/>
      <c r="D98" s="4">
        <f>IF(Dust_MIE_Feed="",1,IF(AND(Dust_MIE_Feed&gt;Dust_High_MIE,High_Tip_Speed&lt;&gt;"Yes",Dust_Hybrid_Feed&lt;&gt;"Yes"),2,IF(AND(Dust_MIE_Feed&gt;Dust_High_MIE,High_Tip_Speed="Yes",Dust_Hybrid_Feed&lt;&gt;"Yes"),1,IF(AND(Dust_MIE_Feed&gt;Dust_Low_MIE,Dust_Hybrid_Feed&lt;&gt;"Yes",Low_Tip_Speed&lt;&gt;"Yes",High_Tip_Speed&lt;&gt;"Yes"),2,IF(AND(Dust_MIE_Feed&gt;Dust_Low_MIE,Dust_Hybrid_Feed&lt;&gt;"Yes",Low_Tip_Speed&lt;&gt;"Yes",High_Tip_Speed&lt;&gt;"Yes"),2,IF(High_Tip_Speed&lt;&gt;"Yes",1,0))))))</f>
        <v>1</v>
      </c>
      <c r="E98" s="3"/>
      <c r="F98" s="1140"/>
      <c r="G98" s="1141" t="s">
        <v>3033</v>
      </c>
      <c r="H98" s="181">
        <f>IF(OR(AND(State="Solid",Obstacle_Density="Low",Dust_Class_Feed="Class 1"),Deflagration_Energy&lt;0.1),0,Occ_Bldg/(2*4.18*Deflagration_Energy/101.3)^0.333)</f>
        <v>0</v>
      </c>
      <c r="I98" s="3"/>
      <c r="J98" s="3"/>
    </row>
    <row r="99" spans="1:10" ht="13" x14ac:dyDescent="0.25">
      <c r="A99" s="3"/>
      <c r="B99" s="4306" t="s">
        <v>4024</v>
      </c>
      <c r="C99" s="4307"/>
      <c r="D99" s="2155">
        <f>IF(Dust_MIE_Feed="",1,IF(AND(Dust_Hybrid_Feed&lt;&gt;"Yes",Dust_MIE_Feed&gt;Dust_Low_MIE),2,1))</f>
        <v>1</v>
      </c>
      <c r="E99" s="3"/>
      <c r="F99" s="1140"/>
      <c r="G99" s="1141" t="s">
        <v>3037</v>
      </c>
      <c r="H99" s="2149">
        <f>IF(H98&gt;0,IF(EquipExp_Strength=1,IF(BST_mach1_Coeff/H98^BST_mach1_Exp&lt;BST_mach1_Limit,14.7*BST_mach1_Coeff/H98^BST_mach1_Exp,14.7*BST_mach1_Limit),IF(EquipExp_Strength=0.5,IF(BST_mach0.5_Coeff/H98^BST_mach0.5_Exp&lt;BST_mach0.5_Limit,14.7*BST_mach0.5_Coeff/H98^BST_mach0.5_Exp,14.7*BST_mach0.5_Limit),IF(EquipExp_Strength=0.35,IF(BST_mach0.35_Coeff/H98^BST_mach0.35_Exp&lt;BST_mach0.35_Limit,14.7*BST_mach0.35_Coeff/H98^BST_mach0.35_Exp,14.7*BST_mach0.35_Limit),IF(BST_gt1_Coeff/H98^BST_gt1_Exp&lt;BST_gt1_Limit,14.7*BST_gt1_Coeff/H98^BST_gt1_Exp,14.7*BST_gt1_Limit)))),0)</f>
        <v>0</v>
      </c>
      <c r="I99" s="3"/>
      <c r="J99" s="3"/>
    </row>
    <row r="100" spans="1:10" ht="13" x14ac:dyDescent="0.25">
      <c r="A100" s="3"/>
      <c r="B100" s="3"/>
      <c r="C100" s="3"/>
      <c r="D100" s="3"/>
      <c r="E100" s="3"/>
      <c r="F100" s="1140"/>
      <c r="G100" s="1141" t="s">
        <v>3030</v>
      </c>
      <c r="H100" s="181">
        <f>IF(OR(AND(State="Solid",Obstacle_Density="Low",Dust_Class_Feed="Class 1"),Deflagration_Energy&lt;0.1),0,IF(Occ_Bldg_Cntr=0,H98,Occ_Bldg_Cntr/(2*4.18*Deflagration_Energy/101.3)^0.333))</f>
        <v>0</v>
      </c>
      <c r="I100" s="3"/>
      <c r="J100" s="3"/>
    </row>
    <row r="101" spans="1:10" ht="13" x14ac:dyDescent="0.25">
      <c r="A101" s="3"/>
      <c r="B101" s="3"/>
      <c r="C101" s="3"/>
      <c r="D101" s="3"/>
      <c r="E101" s="3"/>
      <c r="F101" s="1140"/>
      <c r="G101" s="1141" t="s">
        <v>3038</v>
      </c>
      <c r="H101" s="2149">
        <f>IF(H100&gt;0,IF(EquipExp_Strength=1,IF(BST_mach1_Coeff/H100^BST_mach1_Exp&lt;BST_mach1_Limit,14.7*BST_mach1_Coeff/H100^BST_mach1_Exp,14.7*BST_mach1_Limit),IF(EquipExp_Strength=0.5,IF(BST_mach0.5_Coeff/H100^BST_mach0.5_Exp&lt;BST_mach0.5_Limit,14.7*BST_mach0.5_Coeff/H100^BST_mach0.5_Exp,14.7*BST_mach0.5_Limit),IF(EquipExp_Strength=0.35,IF(BST_mach0.35_Coeff/H100^BST_mach0.35_Exp&lt;BST_mach0.35_Limit,14.7*BST_mach0.35_Coeff/H100^BST_mach0.35_Exp,14.7*BST_mach0.35_Limit),IF(BST_gt1_Coeff/H100^BST_gt1_Exp&lt;BST_gt1_Limit,14.7*BST_gt1_Coeff/H100^BST_gt1_Exp,14.7*BST_gt1_Limit)))),Bldg_Explosion_Press)</f>
        <v>0</v>
      </c>
      <c r="I101" s="3"/>
      <c r="J101" s="3"/>
    </row>
    <row r="102" spans="1:10" ht="13" x14ac:dyDescent="0.25">
      <c r="A102" s="3"/>
      <c r="B102" s="4312" t="s">
        <v>1155</v>
      </c>
      <c r="C102" s="4313"/>
      <c r="D102" s="115" t="str">
        <f>IF(AND(High_Speed&lt;&gt;"Yes",OR(Equipment="Blender/Mixer (Solids)",Equipment="Conveyor-Mechanical (Solids)",Equipment="Dryer-Mechanical (Solids)",Equipment="Screener or Sieve (Solids)")),"Yes","No")</f>
        <v>No</v>
      </c>
      <c r="E102" s="3"/>
      <c r="F102" s="1140"/>
      <c r="G102" s="1141" t="s">
        <v>3031</v>
      </c>
      <c r="H102" s="181">
        <f>IF(OR(AND(State="Solid",Obstacle_Density="Low",Dust_Class_Feed="Class 1"),Deflagration_Energy&lt;0.1,Occ_Bldg2=0),0,Occ_Bldg2/(2*4.18*Deflagration_Energy/101.3)^0.333)</f>
        <v>0</v>
      </c>
      <c r="I102" s="3"/>
      <c r="J102" s="3"/>
    </row>
    <row r="103" spans="1:10" ht="13" x14ac:dyDescent="0.25">
      <c r="A103" s="3"/>
      <c r="B103" s="4336" t="s">
        <v>1353</v>
      </c>
      <c r="C103" s="4337"/>
      <c r="D103" s="115" t="str">
        <f>IF(OR(High_Speed="Yes",Equipment="Pump",Equipment="Compressor or Blower",Equipment="Filter/Centrifuge",Equipment="Mill/Grinder (solids)",Equipment="Turbine or Gas Expander)"),"Yes","No")</f>
        <v>No</v>
      </c>
      <c r="E103" s="3"/>
      <c r="F103" s="1140"/>
      <c r="G103" s="1141" t="s">
        <v>3039</v>
      </c>
      <c r="H103" s="2149">
        <f>IF(H102&gt;0,IF(EquipExp_Strength=1,IF(BST_mach1_Coeff/H102^BST_mach1_Exp&lt;BST_mach1_Limit,14.7*BST_mach1_Coeff/H102^BST_mach1_Exp,14.7*BST_mach1_Limit),IF(EquipExp_Strength=0.5,IF(BST_mach0.5_Coeff/H102^BST_mach0.5_Exp&lt;BST_mach0.5_Limit,14.7*BST_mach0.5_Coeff/H102^BST_mach0.5_Exp,14.7*BST_mach0.5_Limit),IF(EquipExp_Strength=0.35,IF(BST_mach0.35_Coeff/H102^BST_mach0.35_Exp&lt;BST_mach0.35_Limit,14.7*BST_mach0.35_Coeff/H102^BST_mach0.35_Exp,14.7*BST_mach0.35_Limit),IF(BST_gt1_Coeff/H102^BST_gt1_Exp&lt;BST_gt1_Limit,14.7*BST_gt1_Coeff/H102^BST_gt1_Exp,14.7*BST_gt1_Limit)))),0)</f>
        <v>0</v>
      </c>
      <c r="I103" s="3"/>
      <c r="J103" s="3"/>
    </row>
    <row r="104" spans="1:10" ht="13" x14ac:dyDescent="0.25">
      <c r="A104" s="3"/>
      <c r="B104" s="4308" t="s">
        <v>1482</v>
      </c>
      <c r="C104" s="4309"/>
      <c r="D104" s="115" t="str">
        <f>IF(OR(High_Speed="Yes",Equipment="Bag/Pak Dumping (Solids)",Equipment="Mill/Grinder-Fluidized (Solids)",Equipment="Dryer-Spray or Fluid Bed (Solids)",Equipment="Dust Filter or Baghouse (Solids)",Equipment="Conveyor-Pneumatic (Solids)"),"Yes","No")</f>
        <v>No</v>
      </c>
      <c r="E104" s="3"/>
      <c r="F104" s="1140"/>
      <c r="G104" s="1141" t="s">
        <v>3032</v>
      </c>
      <c r="H104" s="181">
        <f>IF(OR(AND(State="Solid",Obstacle_Density="Low",Dust_Class_Feed="Class 1"),Deflagration_Energy&lt;0.1),0,IF(Occ_Bldg2_Cntr=0,H102,Occ_Bldg2_Cntr/(2*4.18*Deflagration_Energy/101.3)^0.333))</f>
        <v>0</v>
      </c>
      <c r="I104" s="3"/>
      <c r="J104" s="3"/>
    </row>
    <row r="105" spans="1:10" ht="13" x14ac:dyDescent="0.25">
      <c r="A105" s="3"/>
      <c r="B105" s="4296" t="s">
        <v>901</v>
      </c>
      <c r="C105" s="4305"/>
      <c r="D105" s="2156" t="str">
        <f>IF(AND(Location="Indoors",Dust_Deflag_External="Yes"),"Yes",IF(OR(Dust_MIE_Feed&lt;Dust_High_MIE,Dust_Hybrid_Feed="Yes"),"Yes","No"))</f>
        <v>No</v>
      </c>
      <c r="E105" s="3"/>
      <c r="F105" s="1140"/>
      <c r="G105" s="1141" t="s">
        <v>3040</v>
      </c>
      <c r="H105" s="2149">
        <f>IF(H104&gt;0,IF(EquipExp_Strength=1,IF(BST_mach1_Coeff/H104^BST_mach1_Exp&lt;BST_mach1_Limit,14.7*BST_mach1_Coeff/H104^BST_mach1_Exp,14.7*BST_mach1_Limit),IF(EquipExp_Strength=0.5,IF(BST_mach0.5_Coeff/H104^BST_mach0.5_Exp&lt;BST_mach0.5_Limit,14.7*BST_mach0.5_Coeff/H104^BST_mach0.5_Exp,14.7*BST_mach0.5_Limit),IF(EquipExp_Strength=0.35,IF(BST_mach0.35_Coeff/H104^BST_mach0.35_Exp&lt;BST_mach0.35_Limit,14.7*BST_mach0.35_Coeff/H104^BST_mach0.35_Exp,14.7*BST_mach0.35_Limit),IF(BST_gt1_Coeff/H104^BST_gt1_Exp&lt;BST_gt1_Limit,14.7*BST_gt1_Coeff/H104^BST_gt1_Exp,14.7*BST_gt1_Limit)))),Bldg2_Explosion_Press)</f>
        <v>0</v>
      </c>
      <c r="I105" s="3"/>
      <c r="J105" s="3"/>
    </row>
    <row r="106" spans="1:10" ht="13" x14ac:dyDescent="0.25">
      <c r="A106" s="3"/>
      <c r="B106" s="3"/>
      <c r="C106" s="3"/>
      <c r="D106" s="3"/>
      <c r="E106" s="3"/>
      <c r="F106" s="3"/>
      <c r="G106" s="3"/>
      <c r="H106" s="3"/>
      <c r="I106" s="3"/>
      <c r="J106" s="3"/>
    </row>
    <row r="107" spans="1:10" ht="13.5" thickBot="1" x14ac:dyDescent="0.3">
      <c r="A107" s="3"/>
      <c r="B107" s="3"/>
      <c r="C107" s="3"/>
      <c r="D107" s="3"/>
      <c r="E107" s="3"/>
      <c r="F107" s="4295" t="s">
        <v>3685</v>
      </c>
      <c r="G107" s="4295"/>
      <c r="H107" s="4295"/>
      <c r="I107" s="1319"/>
      <c r="J107" s="3"/>
    </row>
    <row r="108" spans="1:10" ht="15" x14ac:dyDescent="0.25">
      <c r="A108" s="3"/>
      <c r="B108" s="4290" t="s">
        <v>241</v>
      </c>
      <c r="C108" s="4291"/>
      <c r="D108" s="4292"/>
      <c r="E108" s="3"/>
      <c r="F108" s="1751" t="s">
        <v>1508</v>
      </c>
      <c r="G108" s="1752">
        <f>IF(OR(Insulation="Yes",Insulation="Fireproof"),Ht_Loss_Coeff_A,Ht_Loss_Coeff_B)</f>
        <v>0.01</v>
      </c>
      <c r="H108" s="187" t="s">
        <v>3683</v>
      </c>
      <c r="I108" s="187"/>
      <c r="J108" s="3"/>
    </row>
    <row r="109" spans="1:10" ht="15" x14ac:dyDescent="0.25">
      <c r="A109" s="3"/>
      <c r="B109" s="457" t="s">
        <v>1789</v>
      </c>
      <c r="C109" s="2158">
        <f>IF(Dust_Explosion="Yes",G96,0)</f>
        <v>0</v>
      </c>
      <c r="D109" s="436" t="s">
        <v>1068</v>
      </c>
      <c r="E109" s="3"/>
      <c r="F109" s="1753" t="s">
        <v>265</v>
      </c>
      <c r="G109" s="1754">
        <f>IF(Location="Outdoors",Solar_Input/4.18,0)</f>
        <v>0</v>
      </c>
      <c r="H109" s="3" t="s">
        <v>3684</v>
      </c>
      <c r="I109" s="187"/>
      <c r="J109" s="3"/>
    </row>
    <row r="110" spans="1:10" ht="15" x14ac:dyDescent="0.25">
      <c r="A110" s="3"/>
      <c r="B110" s="457" t="s">
        <v>121</v>
      </c>
      <c r="C110" s="2159" t="str">
        <f>IF(C109&gt;Public,"Yes","No")</f>
        <v>No</v>
      </c>
      <c r="D110" s="455"/>
      <c r="E110" s="3"/>
      <c r="F110" s="1753" t="s">
        <v>4711</v>
      </c>
      <c r="G110" s="2566">
        <f>IF(AND(TBp_afterFlash&lt;Ambient_Temp,Location="Outdoors",Fv&gt;0),0.2,0.02)/4.18</f>
        <v>4.7846889952153117E-3</v>
      </c>
      <c r="H110" s="3" t="s">
        <v>3684</v>
      </c>
      <c r="I110" s="187"/>
      <c r="J110" s="3"/>
    </row>
    <row r="111" spans="1:10" ht="15" x14ac:dyDescent="0.25">
      <c r="A111" s="3"/>
      <c r="B111" s="457" t="s">
        <v>784</v>
      </c>
      <c r="C111" s="2159" t="str">
        <f>IF(OR(C109&gt;Bldg_Type_Correction,C109&gt;Bldg2_Type_Correction),"Yes","No")</f>
        <v>No</v>
      </c>
      <c r="D111" s="455"/>
      <c r="E111" s="3"/>
      <c r="F111" s="1753" t="s">
        <v>4710</v>
      </c>
      <c r="G111" s="2564">
        <f>IF(AND(TBp_afterFlash&lt;Ambient_Temp,Location="Outdoors",Fv&gt;0),0.2,0.02)/4.18</f>
        <v>4.7846889952153117E-3</v>
      </c>
      <c r="H111" s="3" t="s">
        <v>3684</v>
      </c>
      <c r="I111" s="3"/>
      <c r="J111" s="3"/>
    </row>
    <row r="112" spans="1:10" ht="13" x14ac:dyDescent="0.25">
      <c r="A112" s="3"/>
      <c r="B112" s="434" t="s">
        <v>3665</v>
      </c>
      <c r="C112" s="2160">
        <f>IF(OR(Bldg_Explosion_Center=0,C111&lt;&gt;"Yes"),0,EXP(-Bldg_Vulnerable*(Bldg_Type_Correction/Bldg_Explosion_Center)^2))</f>
        <v>0</v>
      </c>
      <c r="D112" s="436" t="s">
        <v>968</v>
      </c>
      <c r="E112" s="3"/>
      <c r="F112" s="1753" t="s">
        <v>167</v>
      </c>
      <c r="G112" s="1755">
        <f>IF(Location="Indoors",Wind_Indoor,Wind)</f>
        <v>3</v>
      </c>
      <c r="H112" s="3" t="s">
        <v>1714</v>
      </c>
      <c r="I112" s="3"/>
      <c r="J112" s="3"/>
    </row>
    <row r="113" spans="1:10" ht="15" x14ac:dyDescent="0.25">
      <c r="A113" s="3"/>
      <c r="B113" s="434" t="s">
        <v>630</v>
      </c>
      <c r="C113" s="2160">
        <f>IF(OR(Bldg2_Explosion_Center=0,C111&lt;&gt;"Yes"),0,EXP(-Bldg_Vulnerable*(Bldg2_Type_Correction/Bldg2_Explosion_Center)^2))</f>
        <v>0</v>
      </c>
      <c r="D113" s="436"/>
      <c r="E113" s="3"/>
      <c r="F113" s="1753" t="s">
        <v>692</v>
      </c>
      <c r="G113" s="1760">
        <f>IF(Relief_Release="Outdoors",Solar_Input/4.18,0)</f>
        <v>0</v>
      </c>
      <c r="H113" s="3" t="s">
        <v>3684</v>
      </c>
      <c r="I113" s="3"/>
      <c r="J113" s="3"/>
    </row>
    <row r="114" spans="1:10" ht="13.5" thickBot="1" x14ac:dyDescent="0.3">
      <c r="A114" s="3"/>
      <c r="B114" s="434" t="s">
        <v>2009</v>
      </c>
      <c r="C114" s="116">
        <f>C112*Occupants_atRisk+C113*Occupants_atRisk2</f>
        <v>0</v>
      </c>
      <c r="D114" s="436"/>
      <c r="E114" s="3"/>
      <c r="F114" s="1753" t="s">
        <v>693</v>
      </c>
      <c r="G114" s="2944">
        <f>IF(Relief_Release="Indoors",Wind_Indoor,Wind)</f>
        <v>3</v>
      </c>
      <c r="H114" s="3" t="s">
        <v>1714</v>
      </c>
      <c r="I114" s="3"/>
      <c r="J114" s="3"/>
    </row>
    <row r="115" spans="1:10" ht="15.5" thickBot="1" x14ac:dyDescent="0.3">
      <c r="A115" s="3"/>
      <c r="B115" s="434" t="s">
        <v>2011</v>
      </c>
      <c r="C115" s="116">
        <f>C114+IF(Dust_Explosion="Yes",Op_Indoors)</f>
        <v>0</v>
      </c>
      <c r="D115" s="436"/>
      <c r="E115" s="3"/>
      <c r="F115" s="2964" t="s">
        <v>5049</v>
      </c>
      <c r="G115" s="2965">
        <f>352/(Ambient_Temp+273)</f>
        <v>1.1812080536912752</v>
      </c>
      <c r="H115" s="3" t="s">
        <v>4245</v>
      </c>
      <c r="I115" s="3"/>
      <c r="J115" s="3"/>
    </row>
    <row r="116" spans="1:10" ht="13" x14ac:dyDescent="0.25">
      <c r="A116" s="3"/>
      <c r="B116" s="458" t="s">
        <v>4597</v>
      </c>
      <c r="C116" s="39" t="str">
        <f>IF(OR(C115&lt;N_Screening,AND(Location="Outdoors",C109&lt;HD_Screening_Limit)),"NA",IF(C115&lt;N_VeryLow,Conseq_VeryLow,IF(C115&lt;N_Low,Conseq_Low,IF(C115&lt;N_Moderate,Conseq_Moderate,IF(C115&lt;N_High,Conseq_High,IF(C115&lt;N_VeryHigh,Conseq_VeryHigh,IF(C115&lt;N_ExtremeHigh,Conseq_ExtremeHigh,Conseq_GT_ExtremeHigh)))))))</f>
        <v>NA</v>
      </c>
      <c r="D116" s="439"/>
      <c r="E116" s="3"/>
      <c r="F116" s="3"/>
      <c r="G116" s="3"/>
      <c r="H116" s="3"/>
      <c r="I116" s="3"/>
      <c r="J116" s="3"/>
    </row>
    <row r="117" spans="1:10" ht="13" x14ac:dyDescent="0.25">
      <c r="A117" s="3"/>
      <c r="B117" s="3"/>
      <c r="C117" s="3"/>
      <c r="D117" s="3"/>
      <c r="E117" s="3"/>
      <c r="F117" s="1319" t="s">
        <v>3609</v>
      </c>
      <c r="G117" s="1756" t="s">
        <v>950</v>
      </c>
      <c r="H117" s="1756" t="s">
        <v>3611</v>
      </c>
      <c r="I117" s="3"/>
      <c r="J117" s="3"/>
    </row>
    <row r="118" spans="1:10" ht="12.75" customHeight="1" x14ac:dyDescent="0.25">
      <c r="A118" s="3"/>
      <c r="B118" s="4306" t="s">
        <v>1039</v>
      </c>
      <c r="C118" s="4307"/>
      <c r="D118" s="1779">
        <f>IF(Dust_MIE_Feed="",1,IF(Dust_MIE_Feed&gt;Dust_Low_MIE,2,1))</f>
        <v>1</v>
      </c>
      <c r="E118" s="3"/>
      <c r="F118" s="723" t="s">
        <v>3647</v>
      </c>
      <c r="G118" s="2157">
        <f>IF(Atm_Stability="Class F",IF(Roughness="Rural",DC_F_Area_Rural,IF(Roughness="Urban",DC_F_Area_Urban,DC_F_Area_Industrial)),IF(Roughness="Rural",DC_D_Area_Rural,IF(Roughness="Urban",DC_D_Area_Urban,DC_D_Area_Industrial)))</f>
        <v>0.3</v>
      </c>
      <c r="H118" s="1770">
        <f>IF(Atm_Stability="Class F",DCI_F_Area,DCI_D_Area)</f>
        <v>0.3</v>
      </c>
      <c r="I118" s="3"/>
      <c r="J118" s="3"/>
    </row>
    <row r="119" spans="1:10" ht="13" x14ac:dyDescent="0.25">
      <c r="A119" s="3"/>
      <c r="B119" s="3"/>
      <c r="C119" s="3"/>
      <c r="D119" s="3"/>
      <c r="E119" s="3"/>
      <c r="F119" s="723" t="s">
        <v>3648</v>
      </c>
      <c r="G119" s="2157">
        <f>IF(Atm_Stability="Class F",IF(Roughness="Rural",DC2_F_Area_Rural,IF(Roughness="Urban",DC2_F_Area_Urban,DC2_F_Area_Industrial)),IF(Roughness="Rural",DC2_D_Area_Rural,IF(Roughness="Urban",DC2_D_Area_Urban,DC2_D_Area_Industrial)))</f>
        <v>40</v>
      </c>
      <c r="H119" s="1761"/>
      <c r="I119" s="3"/>
      <c r="J119" s="3"/>
    </row>
    <row r="120" spans="1:10" ht="13" x14ac:dyDescent="0.25">
      <c r="A120" s="3"/>
      <c r="B120" s="4290" t="s">
        <v>997</v>
      </c>
      <c r="C120" s="4291"/>
      <c r="D120" s="4292"/>
      <c r="E120" s="3"/>
      <c r="F120" s="3"/>
      <c r="G120" s="3"/>
      <c r="H120" s="3"/>
      <c r="I120" s="3"/>
      <c r="J120" s="3"/>
    </row>
    <row r="121" spans="1:10" ht="13" x14ac:dyDescent="0.25">
      <c r="A121" s="3"/>
      <c r="B121" s="449" t="s">
        <v>1275</v>
      </c>
      <c r="C121" s="437">
        <f>0.045*(Enclosed_Process_Volume^0.67)/(0.068^0.5)</f>
        <v>0</v>
      </c>
      <c r="D121" s="452" t="s">
        <v>1160</v>
      </c>
      <c r="E121" s="3"/>
      <c r="F121" s="1319" t="s">
        <v>3610</v>
      </c>
      <c r="G121" s="1756" t="s">
        <v>950</v>
      </c>
      <c r="H121" s="1756" t="s">
        <v>3611</v>
      </c>
      <c r="I121" s="3"/>
      <c r="J121" s="3"/>
    </row>
    <row r="122" spans="1:10" ht="13" x14ac:dyDescent="0.25">
      <c r="A122" s="3"/>
      <c r="B122" s="434" t="str">
        <f>"Building Vent Panel Area "&amp;IF(Bldg_Type="","Typical Construction",Bldg_Type)&amp;" Bldg"</f>
        <v>Building Vent Panel Area Typical Construction Bldg</v>
      </c>
      <c r="C122" s="437">
        <f>IF(Bldg_Type="Low Strength",C121/(0.5^0.5),C121)</f>
        <v>0</v>
      </c>
      <c r="D122" s="436" t="s">
        <v>1160</v>
      </c>
      <c r="E122" s="3"/>
      <c r="F122" s="723" t="s">
        <v>3647</v>
      </c>
      <c r="G122" s="2157">
        <f>IF(Atm_Stability_Night="Class F",IF(Roughness="Rural",DC_F_Area_Rural,IF(Roughness="Urban",DC_F_Area_Urban,DC_F_Area_Industrial)),IF(Roughness="Rural",DC_D_Area_Rural,IF(Roughness="Urban",DC_D_Area_Urban,DC_D_Area_Industrial)))</f>
        <v>0.3</v>
      </c>
      <c r="H122" s="1770">
        <f>IF(Atm_Stability_Night="Class F",DCI_F_Area,DCI_D_Area)</f>
        <v>0.3</v>
      </c>
      <c r="I122" s="3"/>
      <c r="J122" s="3"/>
    </row>
    <row r="123" spans="1:10" ht="13" x14ac:dyDescent="0.25">
      <c r="A123" s="3"/>
      <c r="B123" s="438" t="str">
        <f>"Building Vent Panel Area "&amp;IF(Bldg_Type="","Typical Construction",Bldg_Type)&amp;" Bldg"</f>
        <v>Building Vent Panel Area Typical Construction Bldg</v>
      </c>
      <c r="C123" s="437">
        <f>10.76391*C122</f>
        <v>0</v>
      </c>
      <c r="D123" s="439" t="s">
        <v>969</v>
      </c>
      <c r="E123" s="3"/>
      <c r="F123" s="723" t="s">
        <v>3648</v>
      </c>
      <c r="G123" s="2157">
        <f>IF(Atm_Stability_Night="Class F",IF(Roughness="Rural",DC2_F_Area_Rural,IF(Roughness="Urban",DC2_F_Area_Urban,DC2_F_Area_Industrial)),IF(Roughness="Rural",DC2_D_Area_Rural,IF(Roughness="Urban",DC2_D_Area_Urban,DC2_D_Area_Industrial)))</f>
        <v>400</v>
      </c>
      <c r="H123" s="1761"/>
      <c r="I123" s="3"/>
      <c r="J123" s="3"/>
    </row>
    <row r="124" spans="1:10" ht="13" x14ac:dyDescent="0.25">
      <c r="A124" s="3"/>
      <c r="B124" s="4318" t="s">
        <v>1245</v>
      </c>
      <c r="C124" s="4319"/>
      <c r="D124" s="4320"/>
      <c r="E124" s="3"/>
      <c r="F124" s="3"/>
      <c r="G124" s="3"/>
      <c r="H124" s="3"/>
      <c r="I124" s="3"/>
      <c r="J124" s="3"/>
    </row>
    <row r="125" spans="1:10" ht="13" x14ac:dyDescent="0.25">
      <c r="A125" s="3"/>
      <c r="B125" s="4321"/>
      <c r="C125" s="4322"/>
      <c r="D125" s="4323"/>
      <c r="E125" s="3"/>
      <c r="F125" s="4296" t="s">
        <v>448</v>
      </c>
      <c r="G125" s="3825"/>
      <c r="H125" s="4317"/>
      <c r="I125" s="3"/>
      <c r="J125" s="3"/>
    </row>
    <row r="126" spans="1:10" ht="13" x14ac:dyDescent="0.25">
      <c r="A126" s="3"/>
      <c r="B126" s="3"/>
      <c r="C126" s="3"/>
      <c r="D126" s="3"/>
      <c r="E126" s="3"/>
      <c r="F126" s="443" t="s">
        <v>2388</v>
      </c>
      <c r="G126" s="212">
        <f>IF(OR(State="Vapor",Motor=0),T,IF(Equipment="Pump",Ambient_Temp+46*Motor/(D^1.8*Ht_Loss_Coeff),Ambient_Temp+0.5*Motor/(Fill_Min^IF(OR(Geometry="Flat Bottom Non-Anchored",WeakSeam_Roof="Yes",Geometry="Flat Bottom"),1,0.6)*Sur_Area*Ht_Loss_Coeff)))</f>
        <v>0</v>
      </c>
      <c r="H126" s="182" t="s">
        <v>1836</v>
      </c>
      <c r="I126" s="3"/>
      <c r="J126" s="3"/>
    </row>
    <row r="127" spans="1:10" ht="13" x14ac:dyDescent="0.25">
      <c r="A127" s="3"/>
      <c r="B127" s="4290" t="s">
        <v>1566</v>
      </c>
      <c r="C127" s="4291"/>
      <c r="D127" s="4292"/>
      <c r="E127" s="3"/>
      <c r="F127" s="465" t="s">
        <v>1716</v>
      </c>
      <c r="G127" s="2161">
        <f>IF(Liq_C_atTBp=0,1,IF(OR(Sur_Area&gt;0,Equipment="Pump"),IF(Equipment="Pump",(5*Motor+Fill_Min*Ht_Loss_Coeff*Ambient_Temp*D^1.8)/(26*D^1.4+Liq_rho_atTBp*Liq_C_atTBp*D^2.8),(0.5*0.239*Motor+Fill_Min^IF(OR(Geometry="Flat Bottom Non-Anchored",WeakSeam_Roof="Yes",Geometry="Flat Bottom"),1,0.6)*0.239*Sur_Area*Ht_Loss_Coeff*Ambient_Temp)/(Fill_Min*Max_ContainedMass*Liq_C_atTBp)),1))</f>
        <v>1</v>
      </c>
      <c r="H127" s="182"/>
      <c r="I127" s="3"/>
      <c r="J127" s="3"/>
    </row>
    <row r="128" spans="1:10" ht="13" x14ac:dyDescent="0.25">
      <c r="A128" s="3"/>
      <c r="B128" s="434" t="s">
        <v>1567</v>
      </c>
      <c r="C128" s="435" t="str">
        <f>IF(AND(State="Liquid",Equipment&lt;&gt;"Pump",Equipment&lt;&gt;"Piping",Feedrate&gt;0),0.1*Effective_ContainedMass/Feedrate,"")</f>
        <v/>
      </c>
      <c r="D128" s="436" t="s">
        <v>1760</v>
      </c>
      <c r="E128" s="3"/>
      <c r="F128" s="465" t="s">
        <v>1094</v>
      </c>
      <c r="G128" s="2161">
        <f>IF(Liq_C_atTBp=0,1,IF(OR(Sur_Area&gt;0,Equipment="Pump"),IF(Equipment="Pump",Fill_Min*Ht_Loss_Coeff*D^1.8/(26*D^1.4+Liq_rho_atTBp*Liq_C_atTBp*D^2.8),Fill_Min^IF(OR(Geometry="Flat Bottom Non-Anchored",WeakSeam_Roof="Yes"),1,0.6)*0.239*Sur_Area*Ht_Loss_Coeff/(Fill_Min*Max_ContainedMass*Liq_C_atTBp)),1))</f>
        <v>1</v>
      </c>
      <c r="H128" s="182"/>
      <c r="I128" s="3"/>
      <c r="J128" s="3"/>
    </row>
    <row r="129" spans="1:14" ht="13" x14ac:dyDescent="0.25">
      <c r="A129" s="3"/>
      <c r="B129" s="438" t="s">
        <v>1567</v>
      </c>
      <c r="C129" s="437" t="str">
        <f>IF(C128="","",IF(C128&gt;120,C128/120,C128))</f>
        <v/>
      </c>
      <c r="D129" s="439" t="str">
        <f>IF(C128="","",IF(C128&gt;120,"min","sec"))</f>
        <v/>
      </c>
      <c r="E129" s="3"/>
      <c r="F129" s="443" t="s">
        <v>2389</v>
      </c>
      <c r="G129" s="239">
        <f>IF(OR(Motor=0,Tmax_MechEng&lt;Tpeak_atRelief,State&lt;&gt;"Liquid"),0,LN((G127-G128*T)/(G127-G128*Tpeak_atRelief))/G128)</f>
        <v>0</v>
      </c>
      <c r="H129" s="182" t="s">
        <v>1760</v>
      </c>
      <c r="I129" s="3"/>
      <c r="J129" s="3"/>
    </row>
    <row r="130" spans="1:14" ht="13" x14ac:dyDescent="0.3">
      <c r="A130" s="3"/>
      <c r="B130" s="434" t="s">
        <v>2779</v>
      </c>
      <c r="C130" s="435" t="str">
        <f>IF(AND(State="Liquid",Equipment&lt;&gt;"Pump",Equipment&lt;&gt;"Piping",Backflow&gt;0),0.1*Effective_ContainedMass/Backflow,"")</f>
        <v/>
      </c>
      <c r="D130" s="436" t="s">
        <v>1760</v>
      </c>
      <c r="E130" s="3"/>
      <c r="F130" s="443" t="s">
        <v>2389</v>
      </c>
      <c r="G130" s="239">
        <f>IF(G129&gt;100000,G129/86400,IF(G129&gt;60000,G129/3600,IF(G129&gt;100,G129/60,G129)))</f>
        <v>0</v>
      </c>
      <c r="H130" s="182" t="str">
        <f>IF(G129&gt;100000,"day",IF(G129&gt;60000,"hour",IF(G129&gt;100,"min","sec")))</f>
        <v>sec</v>
      </c>
      <c r="I130" s="3"/>
      <c r="J130" s="3"/>
      <c r="K130" s="1257"/>
    </row>
    <row r="131" spans="1:14" ht="13" x14ac:dyDescent="0.3">
      <c r="A131" s="3"/>
      <c r="B131" s="438" t="s">
        <v>2779</v>
      </c>
      <c r="C131" s="437" t="str">
        <f>IF(C130="","",IF(C130&gt;120,C130/120,C130))</f>
        <v/>
      </c>
      <c r="D131" s="439" t="str">
        <f>IF(C130="","",IF(C130&gt;120,"min","sec"))</f>
        <v/>
      </c>
      <c r="E131" s="3"/>
      <c r="F131" s="443" t="s">
        <v>2390</v>
      </c>
      <c r="G131" s="239">
        <f>IF(OR(Motor=0,Tmax_MechEng&lt;Tpeak_atBurst,State&lt;&gt;"Liquid"),0,IF(G127-G128*Tpeak_atBurst&gt;0,LN((G127-G128*T)/(G127-G128*Tpeak_atBurst))/G128,G129))</f>
        <v>0</v>
      </c>
      <c r="H131" s="182" t="s">
        <v>1760</v>
      </c>
      <c r="I131" s="3"/>
      <c r="J131" s="3"/>
      <c r="K131" s="2045"/>
      <c r="L131" s="1257"/>
      <c r="M131" s="1257"/>
      <c r="N131" s="1257"/>
    </row>
    <row r="132" spans="1:14" ht="13.5" thickBot="1" x14ac:dyDescent="0.35">
      <c r="A132" s="3"/>
      <c r="B132" s="3"/>
      <c r="C132" s="3"/>
      <c r="D132" s="3"/>
      <c r="E132" s="3"/>
      <c r="F132" s="443" t="s">
        <v>2390</v>
      </c>
      <c r="G132" s="239">
        <f>IF(G131&gt;100000,G131/86400,IF(G131&gt;60000,G131/3600,IF(G131&gt;100,G131/60,G131)))</f>
        <v>0</v>
      </c>
      <c r="H132" s="182" t="str">
        <f>IF(G131&gt;100000,"day",IF(G131&gt;60000,"hour",IF(G131&gt;100,"min","sec")))</f>
        <v>sec</v>
      </c>
      <c r="I132" s="3"/>
      <c r="J132" s="3"/>
      <c r="K132" s="1257"/>
      <c r="L132" s="1257"/>
      <c r="M132" s="1257"/>
      <c r="N132" s="1257"/>
    </row>
    <row r="133" spans="1:14" ht="13.5" thickBot="1" x14ac:dyDescent="0.35">
      <c r="A133" s="3"/>
      <c r="B133" s="4334" t="str">
        <f>IF(TNR="&gt;TNR","Reactive Summary for Temperature &gt; TNR","Reactive Summary for TNR ="&amp;ROUND(TNR,0)&amp;" C")</f>
        <v>Reactive Summary for Temperature &gt; TNR</v>
      </c>
      <c r="C133" s="4335"/>
      <c r="D133" s="1759"/>
      <c r="E133" s="3"/>
      <c r="F133" s="443" t="s">
        <v>650</v>
      </c>
      <c r="G133" s="4">
        <f>IF(OR(State="Vapor",Motor=0),T,IF(Equipment="Pump",Ambient_Temp+46*Motor/(D^1.8*Ht_Loss_Coeff),Ambient_Temp+0.5*Motor/(Effective_Fill_Fract^IF(OR(Geometry="Flat Bottom Non-Anchored",WeakSeam_Roof="Yes",Geometry="Flat Bottom"),1,0.6)*Sur_Area*Ht_Loss_Coeff)))</f>
        <v>0</v>
      </c>
      <c r="H133" s="182" t="s">
        <v>1836</v>
      </c>
      <c r="I133" s="3"/>
      <c r="J133" s="3"/>
      <c r="K133" s="2045"/>
      <c r="L133" s="1257"/>
      <c r="M133" s="1257"/>
      <c r="N133" s="1257"/>
    </row>
    <row r="134" spans="1:14" ht="13" x14ac:dyDescent="0.3">
      <c r="A134" s="3"/>
      <c r="B134" s="1813" t="s">
        <v>1735</v>
      </c>
      <c r="C134" s="2162" t="str">
        <f>IF(OR(Liq_C=0,Rx_Heat=0),"No",IF(TNR="&gt;TNR","Yes",IF(Ambient_Temp&gt;TNR,"Yes","No")))</f>
        <v>No</v>
      </c>
      <c r="D134" s="1814"/>
      <c r="E134" s="3"/>
      <c r="F134" s="465" t="s">
        <v>1716</v>
      </c>
      <c r="G134" s="2161">
        <f>IF(Liq_C_atTBp=0,1,IF(OR(Sur_Area&gt;0,Equipment="Pump"),IF(Equipment="Pump",(5*Motor+0.1*Ht_Loss_Coeff*Ambient_Temp*D^1.8)/(26*D^1.4+Liq_rho_atTBp*Liq_C_atTBp*D^2.8),IF(Effective_Fill_Fract&gt;0,(0.5*0.239*Motor+0.239*Effective_Fill_Fract^IF(OR(Geometry="Flat Bottom Non-Anchored",WeakSeam_Roof="Yes",Geometry="Flat Bottom"),1,0.6)*Sur_Area*Ht_Loss_Coeff*Ambient_Temp)/(ContainedMass*Liq_C_atTBp),(0.5*0.239*Motor+0.239*Sur_Area*Ht_Loss_Coeff*Ambient_Temp)/(ContainedMass*Liq_C_atTBp))),1))</f>
        <v>1</v>
      </c>
      <c r="H134" s="182"/>
      <c r="I134" s="3"/>
      <c r="J134" s="3"/>
      <c r="K134" s="2045"/>
      <c r="L134" s="1257"/>
      <c r="M134" s="1257"/>
      <c r="N134" s="1257"/>
    </row>
    <row r="135" spans="1:14" ht="13" x14ac:dyDescent="0.3">
      <c r="A135" s="3"/>
      <c r="B135" s="1815" t="s">
        <v>1736</v>
      </c>
      <c r="C135" s="2163" t="str">
        <f>IF(OR(Liq_C=0,Rx_Heat=0),"No",IF(TNR="&gt;TNR","Yes",IF(T&gt;TNR,"Yes","No")))</f>
        <v>No</v>
      </c>
      <c r="D135" s="1816"/>
      <c r="E135" s="3"/>
      <c r="F135" s="465" t="s">
        <v>1094</v>
      </c>
      <c r="G135" s="2161">
        <f>IF(Liq_C_atTBp=0,1,IF(OR(Sur_Area&gt;0,Equipment="Pump"),IF(Equipment="Pump",(0.1*Ht_Loss_Coeff*D^1.8)/(26*D^1.4+Liq_rho_atTBp*Liq_C_atTBp*D^2.8),IF(Effective_Fill_Fract&gt;0,0.239*Effective_Fill_Fract^IF(OR(Geometry="Flat Bottom Non-Anchored",WeakSeam_Roof="Yes"),1,0.6)*Sur_Area*Ht_Loss_Coeff/(ContainedMass*Liq_C_atTBp),0.239*Sur_Area*Ht_Loss_Coeff/(ContainedMass*Liq_C_atTBp))),1))</f>
        <v>1</v>
      </c>
      <c r="H135" s="182"/>
      <c r="I135" s="3"/>
      <c r="J135" s="3"/>
      <c r="K135" s="2045"/>
      <c r="L135" s="1257"/>
      <c r="M135" s="1257"/>
      <c r="N135" s="1257"/>
    </row>
    <row r="136" spans="1:14" ht="13" x14ac:dyDescent="0.3">
      <c r="A136" s="3"/>
      <c r="B136" s="1815" t="s">
        <v>3736</v>
      </c>
      <c r="C136" s="2163" t="str">
        <f>IF(OR(Liq_C=0,Rx_Heat=0,Feed_Temp_Input=""),"No",IF(TNR="&gt;TNR","Yes",IF(Feed_T&gt;TNR,"Yes","No")))</f>
        <v>No</v>
      </c>
      <c r="D136" s="1816"/>
      <c r="E136" s="3"/>
      <c r="F136" s="443" t="s">
        <v>1500</v>
      </c>
      <c r="G136" s="239">
        <f>IF(OR(Motor=0,G133&lt;Tpeak_atRelief,State&lt;&gt;"Liquid"),0,LN((G134-G135*T)/(G134-G135*Tpeak_atRelief))/G135)</f>
        <v>0</v>
      </c>
      <c r="H136" s="182" t="s">
        <v>1760</v>
      </c>
      <c r="I136" s="3"/>
      <c r="J136" s="3"/>
      <c r="K136" s="2045"/>
      <c r="L136" s="1257"/>
      <c r="M136" s="1257"/>
      <c r="N136" s="1257"/>
    </row>
    <row r="137" spans="1:14" ht="13" x14ac:dyDescent="0.3">
      <c r="A137" s="3"/>
      <c r="B137" s="1815" t="s">
        <v>1737</v>
      </c>
      <c r="C137" s="2163" t="str">
        <f>IF(OR(Liq_C=0,Rx_Heat=0,Heating_T_Input=""),"No",IF(TNR="&gt;TNR","Yes",IF(Heating_T&gt;TNR,"Yes","No")))</f>
        <v>No</v>
      </c>
      <c r="D137" s="1816"/>
      <c r="E137" s="3"/>
      <c r="F137" s="443" t="s">
        <v>932</v>
      </c>
      <c r="G137" s="239">
        <f>IF(G136&gt;100000,G136/86400,IF(G136&gt;60000,G136/3600,IF(G136&gt;100,G136/60,G136)))</f>
        <v>0</v>
      </c>
      <c r="H137" s="182" t="str">
        <f>IF(G136&gt;100000,"day",IF(G136&gt;60000,"hour",IF(G136&gt;100,"min","sec")))</f>
        <v>sec</v>
      </c>
      <c r="I137" s="3"/>
      <c r="J137" s="3"/>
      <c r="K137" s="2045"/>
      <c r="L137" s="1257"/>
      <c r="M137" s="1257"/>
      <c r="N137" s="1257"/>
    </row>
    <row r="138" spans="1:14" ht="13" x14ac:dyDescent="0.3">
      <c r="A138" s="3"/>
      <c r="B138" s="1815" t="s">
        <v>494</v>
      </c>
      <c r="C138" s="2163" t="str">
        <f>IF(OR(Liq_C=0,Motor=0,Rx_Heat=0),"No",IF(TNR="&gt;TNR","Yes",IF(MAX(Tmax_ME_Continuous,Tmax_MechEng)&gt;TNR,"Yes","No")))</f>
        <v>No</v>
      </c>
      <c r="D138" s="1816"/>
      <c r="E138" s="3"/>
      <c r="F138" s="443" t="s">
        <v>846</v>
      </c>
      <c r="G138" s="239">
        <f>IF(OR(Motor=0,G133&lt;Tpeak_atBurst,State&lt;&gt;"Liquid"),0,LN((G134-G135*T)/(G134-G135*Tpeak_atBurst))/G135)</f>
        <v>0</v>
      </c>
      <c r="H138" s="182" t="s">
        <v>1760</v>
      </c>
      <c r="I138" s="3"/>
      <c r="J138" s="3"/>
      <c r="K138" s="2046"/>
      <c r="L138" s="1257"/>
      <c r="M138" s="1257"/>
      <c r="N138" s="1257"/>
    </row>
    <row r="139" spans="1:14" ht="13" x14ac:dyDescent="0.3">
      <c r="A139" s="3"/>
      <c r="B139" s="1815" t="s">
        <v>449</v>
      </c>
      <c r="C139" s="2164">
        <f>T_atRelief</f>
        <v>0</v>
      </c>
      <c r="D139" s="1817" t="s">
        <v>1836</v>
      </c>
      <c r="E139" s="3"/>
      <c r="F139" s="443" t="s">
        <v>846</v>
      </c>
      <c r="G139" s="239">
        <f>IF(G138&gt;100000,G138/86400,IF(G138&gt;60000,G138/3600,IF(G138&gt;100,G138/60,G138)))</f>
        <v>0</v>
      </c>
      <c r="H139" s="182" t="str">
        <f>IF(G138&gt;100000,"day",IF(G138&gt;60000,"hour",IF(G138&gt;100,"min","sec")))</f>
        <v>sec</v>
      </c>
      <c r="I139" s="3"/>
      <c r="J139" s="3"/>
      <c r="N139" s="1257"/>
    </row>
    <row r="140" spans="1:14" ht="13" x14ac:dyDescent="0.3">
      <c r="A140" s="3"/>
      <c r="B140" s="1815" t="s">
        <v>238</v>
      </c>
      <c r="C140" s="2163" t="str">
        <f>IF(OR(Liq_C=0,Rx_Heat=0),"No",IF(TNR="&gt;TNR","Yes",IF(T_atRelief&gt;TNR,"Yes","No")))</f>
        <v>No</v>
      </c>
      <c r="D140" s="1816"/>
      <c r="E140" s="3"/>
      <c r="F140" s="464" t="s">
        <v>2396</v>
      </c>
      <c r="G140" s="239" t="str">
        <f>IF(P_atMechEng&gt;Relief_Set+1,"Yes","No")</f>
        <v>No</v>
      </c>
      <c r="H140" s="182"/>
      <c r="I140" s="3"/>
      <c r="J140" s="3"/>
      <c r="K140" s="2045"/>
      <c r="L140" s="1257"/>
      <c r="M140" s="1257"/>
      <c r="N140" s="1257"/>
    </row>
    <row r="141" spans="1:14" ht="13" x14ac:dyDescent="0.3">
      <c r="A141" s="3"/>
      <c r="B141" s="1815" t="s">
        <v>3739</v>
      </c>
      <c r="C141" s="2165" t="e">
        <f>IF(OR(AND(Gas_Gen&gt;RxGas_Limit,Gas_Exo="Yes",Prx_Max_Adiabatic&gt;MAWP),AND(OR(Gas_Gen&gt;RxGas_Limit,DHR&lt;RxHeat_Limit),OR(State&lt;&gt;"Liquid",TNR_Relief="Yes"),OR(TNR_Amb="Yes",TNR_T="Yes",TNR_Feed="Yes"))),"Yes","No")</f>
        <v>#DIV/0!</v>
      </c>
      <c r="D141" s="1816"/>
      <c r="E141" s="3"/>
      <c r="F141" s="464" t="s">
        <v>2923</v>
      </c>
      <c r="G141" s="239" t="str">
        <f>IF(P_atMechEng&gt;Burst_P+1,"Yes","No")</f>
        <v>No</v>
      </c>
      <c r="H141" s="182"/>
      <c r="I141" s="3"/>
      <c r="J141" s="3"/>
      <c r="K141" s="2045"/>
      <c r="L141" s="1257"/>
      <c r="M141" s="1257"/>
      <c r="N141" s="1257"/>
    </row>
    <row r="142" spans="1:14" ht="13" x14ac:dyDescent="0.3">
      <c r="A142" s="3"/>
      <c r="B142" s="1815" t="s">
        <v>3740</v>
      </c>
      <c r="C142" s="2165" t="str">
        <f>IF(AND(OR(Gas_Gen&gt;RxGas_Limit,DHR&lt;RxHeat_Limit),OR(State&lt;&gt;"Liquid",TNR_Relief="Yes"),TNR_HT="Yes"),"Yes","No")</f>
        <v>No</v>
      </c>
      <c r="D142" s="1816"/>
      <c r="E142" s="3"/>
      <c r="F142" s="464" t="s">
        <v>453</v>
      </c>
      <c r="G142" s="239" t="str">
        <f>IF(C166&gt;Relief_Set+1,"Yes","No")</f>
        <v>No</v>
      </c>
      <c r="H142" s="182"/>
      <c r="I142" s="3"/>
      <c r="J142" s="3"/>
      <c r="K142" s="2045"/>
      <c r="L142" s="1257"/>
      <c r="M142" s="1257"/>
      <c r="N142" s="1257"/>
    </row>
    <row r="143" spans="1:14" ht="13" x14ac:dyDescent="0.3">
      <c r="A143" s="3"/>
      <c r="B143" s="1815" t="s">
        <v>3741</v>
      </c>
      <c r="C143" s="2137" t="str">
        <f>IF(AND(OR(Gas_Gen&gt;RxGas_Limit,DHR&lt;RxHeat_Limit),OR(State&lt;&gt;"Liquid",TNR_Relief="Yes"),TNR_ME="Yes"),"Yes","No")</f>
        <v>No</v>
      </c>
      <c r="D143" s="1816"/>
      <c r="E143" s="3"/>
      <c r="F143" s="466" t="s">
        <v>135</v>
      </c>
      <c r="G143" s="460" t="str">
        <f>IF(C166&gt;Burst_P+1,"Yes","No")</f>
        <v>No</v>
      </c>
      <c r="H143" s="183"/>
      <c r="I143" s="3"/>
      <c r="J143" s="3"/>
      <c r="K143" s="2045"/>
      <c r="L143" s="1257"/>
      <c r="M143" s="1257"/>
      <c r="N143" s="1257"/>
    </row>
    <row r="144" spans="1:14" ht="13" x14ac:dyDescent="0.3">
      <c r="A144" s="3"/>
      <c r="B144" s="2167" t="s">
        <v>4129</v>
      </c>
      <c r="C144" s="2137" t="e">
        <f>IF(AND(OR(Reactive_Potential_HT="Yes",Reactive_Potential_ME="Yes"),Reactive_Potential&lt;&gt;"Yes",OR(Gas_Rx_atRelief_ExtHt*ContainedMass/60&gt;Fraction_Heat_Limit*Rx_Heat_withExtHt/MAX(1,Molar_HtVap),Q_Rx_atRelief_ExtHt&gt;(1+Fraction_Heat_Limit)*Q_ExtHeat)),"Yes","No")</f>
        <v>#DIV/0!</v>
      </c>
      <c r="D144" s="1816"/>
      <c r="E144" s="3"/>
      <c r="F144" s="3"/>
      <c r="G144" s="3"/>
      <c r="H144" s="3"/>
      <c r="I144" s="3"/>
      <c r="J144" s="3"/>
      <c r="K144" s="2045"/>
      <c r="L144" s="1257"/>
      <c r="M144" s="1257"/>
      <c r="N144" s="1257"/>
    </row>
    <row r="145" spans="1:14" ht="13" x14ac:dyDescent="0.3">
      <c r="A145" s="3"/>
      <c r="B145" s="1815" t="s">
        <v>239</v>
      </c>
      <c r="C145" s="2166" t="str">
        <f>IF(AND(Fire_Potential="Yes",OR(DHR&lt;RxHeat_Limit,Gas_Gen&gt;RxGas_Limit),OR(Gas_Rx_atRelief_Fire*ContainedMass/60&gt;Fraction_Heat_Limit*Rx_Heat_withFire/MAX(1,Molar_HtVap),Rx_Heat_withFire&gt;(1+Fraction_Heat_Limit)*Fire_Heat_Rate),TNR_Relief="Yes"),"Yes","No")</f>
        <v>No</v>
      </c>
      <c r="D145" s="1816"/>
      <c r="E145" s="3"/>
      <c r="F145" s="4296" t="s">
        <v>1613</v>
      </c>
      <c r="G145" s="4311"/>
      <c r="H145" s="4305"/>
      <c r="I145" s="3"/>
      <c r="J145" s="3"/>
      <c r="K145" s="2046"/>
      <c r="L145" s="1257"/>
      <c r="M145" s="1257"/>
      <c r="N145" s="1257"/>
    </row>
    <row r="146" spans="1:14" ht="13" x14ac:dyDescent="0.3">
      <c r="A146" s="3"/>
      <c r="B146" s="1815" t="s">
        <v>4062</v>
      </c>
      <c r="C146" s="1909" t="str">
        <f>IF(Rx_Pooling&lt;&gt;"Yes","No",IF(AND(T&gt;=T_Pooling,OR(Gas_Gen&gt;RxGas_Limit,DHR&lt;RxHeat_Limit),TNR_Relief="Yes"),"Yes","No"))</f>
        <v>No</v>
      </c>
      <c r="D146" s="1816"/>
      <c r="E146" s="3"/>
      <c r="F146" s="443" t="s">
        <v>2026</v>
      </c>
      <c r="G146" s="445">
        <f>IF(Heating_T_Input="",0,Heating_T)</f>
        <v>0</v>
      </c>
      <c r="H146" s="182" t="s">
        <v>1836</v>
      </c>
      <c r="I146" s="3"/>
      <c r="J146" s="3"/>
      <c r="K146" s="2046"/>
      <c r="L146" s="1257"/>
      <c r="M146" s="1257"/>
    </row>
    <row r="147" spans="1:14" ht="13" x14ac:dyDescent="0.25">
      <c r="A147" s="3"/>
      <c r="B147" s="1815" t="s">
        <v>4063</v>
      </c>
      <c r="C147" s="1909" t="str">
        <f>IF(Rx_MisLoading&lt;&gt;"Yes","No",IF(AND(T&gt;=T_MisLoad,OR(Gas_Gen&gt;RxGas_Limit,DHR&lt;RxHeat_Limit),TNR_Relief="Yes"),"Yes","No"))</f>
        <v>No</v>
      </c>
      <c r="D147" s="1816"/>
      <c r="E147" s="3"/>
      <c r="F147" s="443" t="s">
        <v>3735</v>
      </c>
      <c r="G147" s="440">
        <f>IF(Heating_T_Input="",0,Pad_Pressure*(Heating_T+273.15)/(T+273.15)+IF(State="Liquid",P_atHeatMedia,P)-1)</f>
        <v>0</v>
      </c>
      <c r="H147" s="182" t="s">
        <v>1067</v>
      </c>
      <c r="I147" s="3"/>
      <c r="J147" s="3"/>
      <c r="K147" s="692"/>
    </row>
    <row r="148" spans="1:14" ht="13.5" thickBot="1" x14ac:dyDescent="0.3">
      <c r="A148" s="3"/>
      <c r="B148" s="1818" t="s">
        <v>3744</v>
      </c>
      <c r="C148" s="2168">
        <f>Tad_max-Tinit</f>
        <v>0</v>
      </c>
      <c r="D148" s="1868" t="s">
        <v>1836</v>
      </c>
      <c r="E148" s="3"/>
      <c r="F148" s="443" t="s">
        <v>1838</v>
      </c>
      <c r="G148" s="440">
        <f>IF(AND(Heating_T_Input&lt;&gt;"",Heating_T&gt;T,Heating_T&gt;Tpeak_atRelief),0.239*HT_Area*U*(Tpeak_atRelief-T)/LN((Heating_T-T)/(Heating_T-Tpeak_atRelief)),IF(AND(Ambient_Temp&gt;T,Ambient_Temp&gt;Tpeak_atRelief,T&lt;&gt;Tpeak_atRelief),0.239*Sur_Area*Ht_Loss_Coeff*(Tpeak_atRelief-T)/LN((Ambient_Temp-T)/(Ambient_Temp-Tpeak_atRelief)),0))</f>
        <v>0</v>
      </c>
      <c r="H148" s="182" t="s">
        <v>1498</v>
      </c>
      <c r="I148" s="3"/>
      <c r="J148" s="3"/>
      <c r="K148" s="692"/>
    </row>
    <row r="149" spans="1:14" ht="13.5" thickBot="1" x14ac:dyDescent="0.3">
      <c r="A149" s="3"/>
      <c r="B149" s="3"/>
      <c r="C149" s="3"/>
      <c r="D149" s="3"/>
      <c r="E149" s="3"/>
      <c r="F149" s="443" t="s">
        <v>85</v>
      </c>
      <c r="G149" s="460">
        <f>IF(AND(G148&gt;0,State="Liquid"),(Tpeak_atRelief-T)*Liq_C*ContainedMass/G148,0)</f>
        <v>0</v>
      </c>
      <c r="H149" s="182" t="s">
        <v>1760</v>
      </c>
      <c r="I149" s="3"/>
      <c r="J149" s="3"/>
      <c r="K149" s="692"/>
    </row>
    <row r="150" spans="1:14" ht="13.5" thickBot="1" x14ac:dyDescent="0.3">
      <c r="A150" s="3"/>
      <c r="B150" s="4310" t="s">
        <v>2231</v>
      </c>
      <c r="C150" s="4332"/>
      <c r="D150" s="4333"/>
      <c r="E150" s="3"/>
      <c r="F150" s="443" t="s">
        <v>85</v>
      </c>
      <c r="G150" s="460">
        <f>IF(G149&gt;100000,G149/86400,IF(G149&gt;60000,G149/3600,IF(G149&gt;100,G149/60,G149)))</f>
        <v>0</v>
      </c>
      <c r="H150" s="182" t="str">
        <f>IF(G149&gt;100000,"day",IF(G149&gt;60000,"hour",IF(G149&gt;100,"min","sec")))</f>
        <v>sec</v>
      </c>
      <c r="I150" s="3"/>
      <c r="J150" s="3"/>
    </row>
    <row r="151" spans="1:14" ht="13" x14ac:dyDescent="0.25">
      <c r="A151" s="3"/>
      <c r="B151" s="1801" t="s">
        <v>3692</v>
      </c>
      <c r="C151" s="1802">
        <f>IF(OR(AND(NFPA_F_Max&gt;0,Location="Indoors",Relief_Discharge_Location="Indoors"),AND(NFPA_F_Max&gt;0,Location="Outdoors",Relief_Discharge_Location="Outdoors to Ground")),1-Fire_Efficiency,1)</f>
        <v>1</v>
      </c>
      <c r="D151" s="1803"/>
      <c r="E151" s="3"/>
      <c r="F151" s="443" t="s">
        <v>2395</v>
      </c>
      <c r="G151" s="460">
        <f>IF(AND(G148&gt;0,State="Liquid"),Fill_Min*(Tpeak_atRelief-T)*Liq_C*Volume*Liq_rho/G148,0)</f>
        <v>0</v>
      </c>
      <c r="H151" s="182" t="s">
        <v>1760</v>
      </c>
      <c r="I151" s="3"/>
      <c r="J151" s="3"/>
    </row>
    <row r="152" spans="1:14" ht="13" x14ac:dyDescent="0.25">
      <c r="A152" s="3"/>
      <c r="B152" s="1804" t="s">
        <v>2788</v>
      </c>
      <c r="C152" s="1824" t="str">
        <f>IF(AND(Flash_Pt_Feed&lt;&gt;"",LFL_Mix&lt;&gt;"",Aerosol_Diameter&lt;Aerosol_Drop_Limit,State="Liquid"),"Yes","No")</f>
        <v>No</v>
      </c>
      <c r="D152" s="1757"/>
      <c r="E152" s="3"/>
      <c r="F152" s="443" t="s">
        <v>2395</v>
      </c>
      <c r="G152" s="460">
        <f>IF(G151&gt;100000,G151/86400,IF(G151&gt;60000,G151/3600,IF(G151&gt;100,G151/60,G151)))</f>
        <v>0</v>
      </c>
      <c r="H152" s="182" t="str">
        <f>IF(G151&gt;100000,"day",IF(G151&gt;60000,"hour",IF(G151&gt;100,"min","sec")))</f>
        <v>sec</v>
      </c>
      <c r="I152" s="3"/>
      <c r="J152" s="3"/>
    </row>
    <row r="153" spans="1:14" ht="13" x14ac:dyDescent="0.25">
      <c r="A153" s="3"/>
      <c r="B153" s="1804" t="s">
        <v>3579</v>
      </c>
      <c r="C153" s="1824" t="str">
        <f>IF(OR(AND(State="Vapor",Psat&lt;1,PVap&lt;1),AND(Aerosol_Internal="Yes",State="Liquid"),Flammable_Potential="Yes",Flammable_Potential_HT="Yes",Flammable_Potential_ME="Yes"),"Yes","No")</f>
        <v>No</v>
      </c>
      <c r="D153" s="1757"/>
      <c r="E153" s="3"/>
      <c r="F153" s="443" t="s">
        <v>478</v>
      </c>
      <c r="G153" s="440">
        <f>IF(AND(Heating_T_Input&lt;&gt;"",Heating_T&gt;T,Heating_T&gt;Tpeak_atBurst),0.239*HT_Area*U*(Tpeak_atBurst-T)/LN((Heating_T-T)/(Heating_T-Tpeak_atBurst)),IF(AND(Ambient_Temp&gt;T,Ambient_Temp&gt;Tpeak_atBurst,T&lt;&gt;Tpeak_atBurst),0.239*Sur_Area*Ht_Loss_Coeff*(Tpeak_atBurst-T)/LN((Ambient_Temp-T)/(Ambient_Temp-Tpeak_atBurst)),0))</f>
        <v>0</v>
      </c>
      <c r="H153" s="182" t="s">
        <v>1498</v>
      </c>
      <c r="I153" s="3"/>
      <c r="J153" s="3"/>
    </row>
    <row r="154" spans="1:14" ht="13" x14ac:dyDescent="0.25">
      <c r="A154" s="3"/>
      <c r="B154" s="1805" t="s">
        <v>3656</v>
      </c>
      <c r="C154" s="2169" t="str">
        <f>IF(OR(LFL_Feed=0,Flash_Pt_Feed=""),"No",IF(OR(Flash_Pt_Feed&lt;Flammable_FP_Limit,MAX(T,Ambient_Temp,Feed_T)&gt;Flash_Pt_Feed-FlashPt_Difference_Limit),"Yes","No"))</f>
        <v>No</v>
      </c>
      <c r="D154" s="1757"/>
      <c r="E154" s="3"/>
      <c r="F154" s="443" t="s">
        <v>846</v>
      </c>
      <c r="G154" s="460">
        <f>IF(AND(G153&gt;0,State="Liquid"),(Tpeak_atBurst-T)*Liq_C*ContainedMass/G153,0)</f>
        <v>0</v>
      </c>
      <c r="H154" s="182" t="s">
        <v>1760</v>
      </c>
      <c r="I154" s="3"/>
      <c r="J154" s="3"/>
    </row>
    <row r="155" spans="1:14" ht="13" x14ac:dyDescent="0.25">
      <c r="A155" s="3"/>
      <c r="B155" s="1805" t="s">
        <v>3742</v>
      </c>
      <c r="C155" s="2170" t="str">
        <f>IF(OR(LFL_Feed=0,Flash_Pt_Feed="",Heating_T_Input=""),"No",IF(OR(Flash_Pt_Feed&lt;Flammable_FP_Limit,MAX(T,Ambient_Temp,Feed_T,Heating_T)&gt;Flash_Pt_Feed-FlashPt_Difference_Limit),"Yes","No"))</f>
        <v>No</v>
      </c>
      <c r="D155" s="1757"/>
      <c r="E155" s="3"/>
      <c r="F155" s="443" t="s">
        <v>846</v>
      </c>
      <c r="G155" s="460">
        <f>IF(G154&gt;100000,G154/86400,IF(G154&gt;60000,G154/3600,IF(G154&gt;100,G154/60,G154)))</f>
        <v>0</v>
      </c>
      <c r="H155" s="182" t="str">
        <f>IF(G154&gt;100000,"day",IF(G154&gt;60000,"hour",IF(G154&gt;100,"min","sec")))</f>
        <v>sec</v>
      </c>
      <c r="I155" s="3"/>
      <c r="J155" s="3"/>
    </row>
    <row r="156" spans="1:14" ht="13" x14ac:dyDescent="0.25">
      <c r="A156" s="3"/>
      <c r="B156" s="1805" t="s">
        <v>3743</v>
      </c>
      <c r="C156" s="2170" t="str">
        <f>IF(OR(LFL_Feed=0,Flash_Pt_Feed="",Equipment="Filter/Centrifuge",Motor=0),"No",IF(OR(Flash_Pt_Feed&lt;Flammable_FP_Limit,MAX(T,Ambient_Temp,Feed_T,Tmax_ME_Continuous,Tmax_MechEng)&gt;Flash_Pt_Feed-FlashPt_Difference_Limit),"Yes","No"))</f>
        <v>No</v>
      </c>
      <c r="D156" s="1757"/>
      <c r="E156" s="3"/>
      <c r="F156" s="443" t="s">
        <v>2394</v>
      </c>
      <c r="G156" s="239">
        <f>IF(G153&gt;0,Fill_Min*(Tpeak_atBurst-T)*Liq_C*Volume*Liq_rho/G153,0)</f>
        <v>0</v>
      </c>
      <c r="H156" s="182" t="s">
        <v>1760</v>
      </c>
      <c r="I156" s="3"/>
      <c r="J156" s="3"/>
    </row>
    <row r="157" spans="1:14" ht="13" x14ac:dyDescent="0.25">
      <c r="A157" s="3"/>
      <c r="B157" s="1805" t="s">
        <v>3745</v>
      </c>
      <c r="C157" s="2170" t="str">
        <f>IF(OR(LFL_Feed=0,Flash_Pt_Feed=""),"No",IF(OR(Flash_Pt_Feed&lt;Flammable_FP_Limit,MAX(T,Ambient_Temp,Feed_T,Tpeak_atBurst)&gt;Flash_Pt_Feed-FlashPt_Difference_Limit),"Yes","No"))</f>
        <v>No</v>
      </c>
      <c r="D157" s="1757"/>
      <c r="E157" s="3"/>
      <c r="F157" s="443" t="s">
        <v>2390</v>
      </c>
      <c r="G157" s="460">
        <f>IF(G156&gt;100000,G156/86400,IF(G156&gt;60000,G156/3600,IF(G156&gt;100,G156/60,G156)))</f>
        <v>0</v>
      </c>
      <c r="H157" s="1778" t="str">
        <f>IF(G156&gt;100000,"day",IF(G156&gt;60000,"hour",IF(G156&gt;100,"min","sec")))</f>
        <v>sec</v>
      </c>
      <c r="I157" s="3"/>
      <c r="J157" s="3"/>
    </row>
    <row r="158" spans="1:14" ht="13" x14ac:dyDescent="0.25">
      <c r="A158" s="3"/>
      <c r="B158" s="1805" t="s">
        <v>3746</v>
      </c>
      <c r="C158" s="2170" t="str">
        <f>IF(OR(LFL_Feed=0,Flash_Pt_Feed=""),"No",IF(OR(Flash_Pt_Feed&lt;Flammable_FP_Limit,MAX(T,Ambient_Temp,Feed_T,Tpeak_atRelief)&gt;Flash_Pt_Feed-FlashPt_Difference_Limit),"Yes","No"))</f>
        <v>No</v>
      </c>
      <c r="D158" s="1757"/>
      <c r="E158" s="3"/>
      <c r="F158" s="464" t="s">
        <v>1179</v>
      </c>
      <c r="G158" s="460" t="str">
        <f>IF(G147&gt;Relief_Set+1,"Yes","No")</f>
        <v>No</v>
      </c>
      <c r="H158" s="182"/>
      <c r="I158" s="3"/>
      <c r="J158" s="3"/>
    </row>
    <row r="159" spans="1:14" ht="13" x14ac:dyDescent="0.25">
      <c r="A159" s="3"/>
      <c r="B159" s="1805" t="s">
        <v>3747</v>
      </c>
      <c r="C159" s="2170" t="str">
        <f>IF(OR(LFL_Feed=0,Flash_Pt_Feed=""),"No",IF(OR(Flash_Pt_Feed&lt;Flammable_FP_Limit,MAX(T,Ambient_Temp,Feed_T,T_atBurst)&gt;Flash_Pt_Feed-FlashPt_Difference_Limit),"Yes","No"))</f>
        <v>No</v>
      </c>
      <c r="D159" s="1757"/>
      <c r="E159" s="3"/>
      <c r="F159" s="466" t="s">
        <v>168</v>
      </c>
      <c r="G159" s="460" t="str">
        <f>IF(G147&gt;Burst_P+1,"Yes","No")</f>
        <v>No</v>
      </c>
      <c r="H159" s="183"/>
      <c r="I159" s="3"/>
      <c r="J159" s="3"/>
    </row>
    <row r="160" spans="1:14" ht="13.5" thickBot="1" x14ac:dyDescent="0.3">
      <c r="A160" s="3"/>
      <c r="B160" s="1805" t="s">
        <v>3748</v>
      </c>
      <c r="C160" s="2171" t="str">
        <f>IF(AND(OR(Flammable_Potential_HT="Yes",Flammable_Potential_ME="Yes"),Flammable_Potential="No"),"Yes","No")</f>
        <v>No</v>
      </c>
      <c r="D160" s="1757"/>
      <c r="E160" s="3"/>
      <c r="F160" s="3"/>
      <c r="G160" s="3"/>
      <c r="H160" s="3"/>
      <c r="I160" s="3"/>
      <c r="J160" s="3"/>
    </row>
    <row r="161" spans="1:10" ht="13.5" thickBot="1" x14ac:dyDescent="0.3">
      <c r="A161" s="3"/>
      <c r="B161" s="1806" t="s">
        <v>3655</v>
      </c>
      <c r="C161" s="2172" t="str">
        <f>IF(OR(Flam_In_Area&gt;Flammable_inArea_Limit,Flam_Adjacent&gt;Flammable_inArea_Limit,AND(Flammable_Potential="Yes",State="Liquid")),"Yes","No")</f>
        <v>No</v>
      </c>
      <c r="D161" s="1758"/>
      <c r="E161" s="3"/>
      <c r="F161" s="4310" t="s">
        <v>3689</v>
      </c>
      <c r="G161" s="3673"/>
      <c r="H161" s="3660"/>
      <c r="I161" s="3"/>
      <c r="J161" s="3"/>
    </row>
    <row r="162" spans="1:10" ht="15" thickBot="1" x14ac:dyDescent="0.3">
      <c r="A162" s="3"/>
      <c r="B162" s="3"/>
      <c r="C162" s="3"/>
      <c r="D162" s="3"/>
      <c r="E162" s="3"/>
      <c r="F162" s="1807" t="s">
        <v>3690</v>
      </c>
      <c r="G162" s="1808">
        <f>IF(Outdoor_PD="",Onsite_PD_Default,1000000*Outdoor_PD)</f>
        <v>200</v>
      </c>
      <c r="H162" s="1809" t="s">
        <v>3681</v>
      </c>
      <c r="I162" s="3"/>
      <c r="J162" s="3"/>
    </row>
    <row r="163" spans="1:10" ht="13.5" thickBot="1" x14ac:dyDescent="0.3">
      <c r="A163" s="3"/>
      <c r="B163" s="4299" t="s">
        <v>4014</v>
      </c>
      <c r="C163" s="4300"/>
      <c r="D163" s="4301"/>
      <c r="E163" s="3"/>
      <c r="F163" s="1810" t="s">
        <v>3691</v>
      </c>
      <c r="G163" s="1811">
        <f>IF(Op_Number="",Op_Indoors_Limit,Op_Number)</f>
        <v>2</v>
      </c>
      <c r="H163" s="1812" t="s">
        <v>1146</v>
      </c>
      <c r="I163" s="3"/>
      <c r="J163" s="3"/>
    </row>
    <row r="164" spans="1:10" ht="13.5" thickBot="1" x14ac:dyDescent="0.3">
      <c r="A164" s="3"/>
      <c r="B164" s="2173" t="s">
        <v>4015</v>
      </c>
      <c r="C164" s="1863">
        <f>Pad_Pressure*(Heating_T+273.15)/(T+273.15)+IF(State="Liquid",P_atHeatMedia,P)-1</f>
        <v>0</v>
      </c>
      <c r="D164" s="1866" t="s">
        <v>1067</v>
      </c>
      <c r="E164" s="3"/>
      <c r="F164" s="3046" t="s">
        <v>5143</v>
      </c>
      <c r="G164" s="2480" t="str">
        <f>IF(OR(Attended="Yes",AND(Attended&lt;&gt;"No",OR(Equipment="Bag/Pak Dumping (Solids)",Equipment="Drum/IBC Handling",Equipment="Tank Truck/Rail Car/Tote"))),"Yes","No")</f>
        <v>No</v>
      </c>
      <c r="H164" s="3"/>
      <c r="I164" s="3"/>
      <c r="J164" s="3"/>
    </row>
    <row r="165" spans="1:10" ht="13" x14ac:dyDescent="0.25">
      <c r="A165" s="3"/>
      <c r="B165" s="1865" t="s">
        <v>4018</v>
      </c>
      <c r="C165" s="2363">
        <f>IF(State="Liquid",IF(y_rel&gt;0,x_rel*Act_rel*EXP(VP_A-VP_B/(Tmax_MechEng+273.15-VP_C))/y_rel,P),P)</f>
        <v>1E-3</v>
      </c>
      <c r="D165" s="1864" t="s">
        <v>1067</v>
      </c>
      <c r="E165" s="3"/>
      <c r="F165" s="3054"/>
      <c r="G165" s="3055"/>
      <c r="H165" s="3"/>
      <c r="I165" s="3"/>
      <c r="J165" s="3"/>
    </row>
    <row r="166" spans="1:10" ht="13" x14ac:dyDescent="0.25">
      <c r="A166" s="3"/>
      <c r="B166" s="1865" t="s">
        <v>4019</v>
      </c>
      <c r="C166" s="2363">
        <f>IF(State="Liquid",IF(y_rel&gt;0,x_rel*Act_rel*EXP(VP_A-VP_B/(Tmax_ME_Continuous+273.15-VP_C))/y_rel,P),P)</f>
        <v>1E-3</v>
      </c>
      <c r="D166" s="1864" t="s">
        <v>1067</v>
      </c>
      <c r="E166" s="1150"/>
      <c r="F166" s="3056"/>
      <c r="G166" s="3055"/>
      <c r="H166" s="3"/>
      <c r="I166" s="3"/>
      <c r="J166" s="3"/>
    </row>
    <row r="167" spans="1:10" ht="13" x14ac:dyDescent="0.25">
      <c r="A167" s="3"/>
      <c r="B167" s="1865" t="s">
        <v>4016</v>
      </c>
      <c r="C167" s="2363">
        <f>IF(Motor=0,0,(Pad_Pressure*(Tmax_MechEng+273.15)/(T+273.15)+IF(State="Liquid",P_atMechEng,P)-1))</f>
        <v>0</v>
      </c>
      <c r="D167" s="1864" t="s">
        <v>1067</v>
      </c>
      <c r="E167" s="3"/>
      <c r="F167" s="3056"/>
      <c r="G167" s="3055"/>
      <c r="H167" s="3"/>
      <c r="I167" s="3"/>
      <c r="J167" s="3"/>
    </row>
    <row r="168" spans="1:10" ht="13" x14ac:dyDescent="0.25">
      <c r="A168" s="3"/>
      <c r="B168" s="1865" t="s">
        <v>4017</v>
      </c>
      <c r="C168" s="2363">
        <f>IF(Motor=0,0,(Pad_Pressure*(Tmax_ME_Continuous+273.15)/(T+273.15)+IF(State="Liquid",P_atME_Continuous,P)-1))</f>
        <v>0</v>
      </c>
      <c r="D168" s="1864" t="s">
        <v>1067</v>
      </c>
      <c r="E168" s="3"/>
      <c r="F168" s="3056"/>
      <c r="G168" s="3055"/>
      <c r="H168" s="3"/>
      <c r="I168" s="3"/>
      <c r="J168" s="3"/>
    </row>
    <row r="169" spans="1:10" ht="13" x14ac:dyDescent="0.25">
      <c r="A169" s="3"/>
      <c r="B169" s="1865" t="s">
        <v>4023</v>
      </c>
      <c r="C169" s="2363">
        <f>MAX(Max_Feed_P,Max_Inert_P,Downstr_P)</f>
        <v>1E-3</v>
      </c>
      <c r="D169" s="1864" t="s">
        <v>1067</v>
      </c>
      <c r="E169" s="3"/>
      <c r="F169" s="3056"/>
      <c r="G169" s="3055"/>
      <c r="H169" s="3"/>
      <c r="I169" s="3"/>
      <c r="J169" s="3"/>
    </row>
    <row r="170" spans="1:10" ht="13" x14ac:dyDescent="0.25">
      <c r="A170" s="3"/>
      <c r="B170" s="2371" t="s">
        <v>4020</v>
      </c>
      <c r="C170" s="2242" t="str">
        <f>IF(IF(State="Liquid",P_atHeatMedia+(P+1-Psat)*(Heating_T+273)/(T+273),(P+1)*(Heating_T+273)/(T+273))&gt;IF(Relief_Set_Input="",MAWP,Relief_Set)+1,"Yes","No")</f>
        <v>Yes</v>
      </c>
      <c r="D170" s="1757"/>
      <c r="E170" s="3"/>
      <c r="F170" s="3056"/>
      <c r="G170" s="3055"/>
      <c r="H170" s="3"/>
      <c r="I170" s="3"/>
      <c r="J170" s="3"/>
    </row>
    <row r="171" spans="1:10" ht="13.5" thickBot="1" x14ac:dyDescent="0.3">
      <c r="A171" s="3"/>
      <c r="B171" s="2511" t="s">
        <v>4021</v>
      </c>
      <c r="C171" s="1266" t="str">
        <f>IF(IF(State="Liquid",P_atMechEng+(P+1-Psat)*(Tmax_MechEng+273)/(T+273),(P+1)*(Tmax_MechEng+273)/(T+273))&gt;IF(Relief_Set_Input="",MAWP,Relief_Set)+1,"Yes","No")</f>
        <v>Yes</v>
      </c>
      <c r="D171" s="1758"/>
      <c r="E171" s="3"/>
      <c r="F171" s="3056"/>
      <c r="G171" s="3055"/>
      <c r="H171" s="3"/>
      <c r="I171" s="3"/>
      <c r="J171" s="3"/>
    </row>
    <row r="172" spans="1:10" ht="13" x14ac:dyDescent="0.25">
      <c r="A172" s="3"/>
      <c r="B172" s="3"/>
      <c r="C172" s="3"/>
      <c r="D172" s="3"/>
      <c r="E172" s="3"/>
      <c r="F172" s="3056"/>
      <c r="G172" s="3055"/>
      <c r="H172" s="3"/>
      <c r="I172" s="3"/>
      <c r="J172" s="3"/>
    </row>
    <row r="173" spans="1:10" ht="13.5" thickBot="1" x14ac:dyDescent="0.3">
      <c r="A173" s="2506"/>
      <c r="B173" s="2506"/>
      <c r="C173" s="2506"/>
      <c r="D173" s="2506"/>
      <c r="E173" s="2506"/>
      <c r="F173" s="2506"/>
      <c r="G173" s="2506"/>
      <c r="H173" s="2506"/>
      <c r="I173" s="2506"/>
      <c r="J173" s="2506"/>
    </row>
    <row r="174" spans="1:10" ht="16" thickBot="1" x14ac:dyDescent="0.3">
      <c r="A174" s="2506"/>
      <c r="B174" s="4273" t="s">
        <v>2253</v>
      </c>
      <c r="C174" s="4274"/>
      <c r="D174" s="4275"/>
      <c r="E174" s="2506"/>
      <c r="F174" s="4270" t="s">
        <v>723</v>
      </c>
      <c r="G174" s="4271"/>
      <c r="H174" s="4272"/>
      <c r="I174" s="2506"/>
      <c r="J174" s="2506"/>
    </row>
    <row r="175" spans="1:10" ht="13.5" thickBot="1" x14ac:dyDescent="0.3">
      <c r="A175" s="2506"/>
      <c r="B175" s="4279" t="s">
        <v>3721</v>
      </c>
      <c r="C175" s="4280"/>
      <c r="D175" s="1894"/>
      <c r="E175" s="2506"/>
      <c r="F175" s="2966" t="s">
        <v>5227</v>
      </c>
      <c r="G175" s="3064">
        <f>IF(Roughness="Rural",1,IF(Roughness="Urban",0.38,0.5))</f>
        <v>0.5</v>
      </c>
      <c r="H175" s="2967">
        <v>0</v>
      </c>
      <c r="I175" s="2506"/>
      <c r="J175" s="2506"/>
    </row>
    <row r="176" spans="1:10" ht="13" x14ac:dyDescent="0.25">
      <c r="A176" s="2506"/>
      <c r="B176" s="1928" t="s">
        <v>1643</v>
      </c>
      <c r="C176" s="2538">
        <v>160</v>
      </c>
      <c r="D176" s="1895"/>
      <c r="E176" s="2506"/>
      <c r="F176" s="1917" t="s">
        <v>3603</v>
      </c>
      <c r="G176" s="3065" t="s">
        <v>950</v>
      </c>
      <c r="H176" s="1918" t="s">
        <v>2248</v>
      </c>
      <c r="I176" s="2506"/>
      <c r="J176" s="2506"/>
    </row>
    <row r="177" spans="1:10" ht="13" x14ac:dyDescent="0.25">
      <c r="A177" s="2506"/>
      <c r="B177" s="1929" t="s">
        <v>1644</v>
      </c>
      <c r="C177" s="2539">
        <v>17</v>
      </c>
      <c r="D177" s="1895"/>
      <c r="E177" s="2506"/>
      <c r="F177" s="4265" t="str">
        <f>"Coefficients for Daytime Atmospheric Stability or "&amp;Atm_Stability</f>
        <v>Coefficients for Daytime Atmospheric Stability or Class D</v>
      </c>
      <c r="G177" s="4266"/>
      <c r="H177" s="4267"/>
      <c r="I177" s="2506"/>
      <c r="J177" s="2506"/>
    </row>
    <row r="178" spans="1:10" ht="15" x14ac:dyDescent="0.25">
      <c r="A178" s="2506"/>
      <c r="B178" s="1929" t="s">
        <v>1645</v>
      </c>
      <c r="C178" s="2539">
        <v>8.3000000000000007</v>
      </c>
      <c r="D178" s="1895"/>
      <c r="E178" s="2506"/>
      <c r="F178" s="3047" t="s">
        <v>5144</v>
      </c>
      <c r="G178" s="3028">
        <f>IF(Roughness="Rural",IF(Atm_Stability="Class B",0.23,IF(Atm_Stability="Class D",0.12,0.058)),IF(Roughness="Urban",IF(Atm_Stability="Class B",0.76,IF(Atm_Stability="Class D",0.38,0.26)),IF(Atm_Stability="Class B",0.56,IF(Atm_Stability="Class D",0.28,0.19))))</f>
        <v>0.28000000000000003</v>
      </c>
      <c r="H178" s="2358">
        <f>IF(Roughness="Rural",0.93,IF(Roughness="Urban",0.83,0.85))</f>
        <v>0.85</v>
      </c>
      <c r="I178" s="2506"/>
      <c r="J178" s="2506"/>
    </row>
    <row r="179" spans="1:10" ht="15" x14ac:dyDescent="0.3">
      <c r="A179" s="2506"/>
      <c r="B179" s="1903" t="s">
        <v>4006</v>
      </c>
      <c r="C179" s="2539">
        <v>120</v>
      </c>
      <c r="D179" s="1895"/>
      <c r="E179" s="2506"/>
      <c r="F179" s="3047" t="s">
        <v>5145</v>
      </c>
      <c r="G179" s="3048">
        <f>IF(Roughness="Rural",IF(Atm_Stability="Class B",0.12,IF(Atm_Stability="Class D",0.25,0.071)),IF(Roughness="Urban",IF(Atm_Stability="Class B",0.069,IF(Atm_Stability="Class D",0.71,0.33)),IF(Atm_Stability="Class B",0.068,IF(Atm_Stability="Class D",0.41,0.24))))</f>
        <v>0.41</v>
      </c>
      <c r="H179" s="3050">
        <f>IF(Roughness="Rural",IF(Atm_Stability="Class B",1,IF(Atm_Stability="Class D",0.71,0.72)),IF(Roughness="Urban",IF(Atm_Stability="Class B",1.25,IF(Atm_Stability="Class D",0.65,0.71)),IF(Atm_Stability="Class B",1.22,IF(Atm_Stability="Class D",0.73,0.71))))</f>
        <v>0.73</v>
      </c>
      <c r="I179" s="2506"/>
      <c r="J179" s="2506"/>
    </row>
    <row r="180" spans="1:10" ht="15.5" thickBot="1" x14ac:dyDescent="0.3">
      <c r="A180" s="2506"/>
      <c r="B180" s="1921" t="s">
        <v>4010</v>
      </c>
      <c r="C180" s="2136">
        <v>-300</v>
      </c>
      <c r="D180" s="547" t="s">
        <v>3620</v>
      </c>
      <c r="E180" s="2506"/>
      <c r="F180" s="3047" t="s">
        <v>5146</v>
      </c>
      <c r="G180" s="3049">
        <f>IF(Atm_Stability="Class B",0.14,IF(Atm_Stability="Class D",0.06,0.02))/Roughness_A^(1/3)</f>
        <v>7.5595262993692389E-2</v>
      </c>
      <c r="H180" s="2358">
        <f>IF(Atm_Stability="Class B",0.92,IF(Atm_Stability="Class D",0.92,0.89))-Roughness_B/3</f>
        <v>0.92</v>
      </c>
      <c r="I180" s="2506"/>
      <c r="J180" s="2506"/>
    </row>
    <row r="181" spans="1:10" ht="15.5" thickBot="1" x14ac:dyDescent="0.3">
      <c r="A181" s="2506"/>
      <c r="B181" s="2506"/>
      <c r="C181" s="2506"/>
      <c r="D181" s="2506"/>
      <c r="E181" s="2506"/>
      <c r="F181" s="3047" t="s">
        <v>5147</v>
      </c>
      <c r="G181" s="3049">
        <f>IF(Atm_Stability="Class B",0.14,IF(Atm_Stability="Class D",0.06,0.02))/Roughness_A^(1/3)</f>
        <v>7.5595262993692389E-2</v>
      </c>
      <c r="H181" s="2358">
        <f>IF(Atm_Stability="Class B",0.92,IF(Atm_Stability="Class D",0.92,0.89))-Roughness_B/3</f>
        <v>0.92</v>
      </c>
      <c r="I181" s="2506"/>
      <c r="J181" s="2506"/>
    </row>
    <row r="182" spans="1:10" ht="15.5" thickBot="1" x14ac:dyDescent="0.3">
      <c r="A182" s="2506"/>
      <c r="B182" s="2536" t="s">
        <v>3722</v>
      </c>
      <c r="C182" s="2537"/>
      <c r="D182" s="1894"/>
      <c r="E182" s="2506"/>
      <c r="F182" s="3047" t="s">
        <v>5148</v>
      </c>
      <c r="G182" s="3049">
        <f>IF(Atm_Stability="Class B",0.53,IF(Atm_Stability="Class D",0.15,0.05))/Roughness_A^(1/3)</f>
        <v>0.18898815748423095</v>
      </c>
      <c r="H182" s="3051">
        <f>IF(Atm_Stability="Class B",0.73,IF(Atm_Stability="Class D",0.7,0.61))-Roughness_B/3</f>
        <v>0.7</v>
      </c>
      <c r="I182" s="2506"/>
      <c r="J182" s="2506"/>
    </row>
    <row r="183" spans="1:10" ht="13" x14ac:dyDescent="0.25">
      <c r="A183" s="2506"/>
      <c r="B183" s="2337" t="str">
        <f>BldgType_Desc&amp;" Damage Limit  (Default)"</f>
        <v>Typical Construction Damage Limit  (Default)</v>
      </c>
      <c r="C183" s="1836">
        <v>1</v>
      </c>
      <c r="D183" s="536" t="s">
        <v>968</v>
      </c>
      <c r="E183" s="2506"/>
      <c r="F183" s="3047" t="s">
        <v>3596</v>
      </c>
      <c r="G183" s="3052">
        <v>0.3</v>
      </c>
      <c r="H183" s="4276">
        <v>0.3</v>
      </c>
      <c r="I183" s="2506"/>
      <c r="J183" s="2506"/>
    </row>
    <row r="184" spans="1:10" ht="13" x14ac:dyDescent="0.25">
      <c r="A184" s="2506"/>
      <c r="B184" s="2338" t="str">
        <f>BldgType_Desc2&amp;" Damage Limit"</f>
        <v>Low Strength Damage Limit</v>
      </c>
      <c r="C184" s="2197">
        <v>0.5</v>
      </c>
      <c r="D184" s="536" t="s">
        <v>968</v>
      </c>
      <c r="E184" s="2506"/>
      <c r="F184" s="1905" t="s">
        <v>3597</v>
      </c>
      <c r="G184" s="3052">
        <v>0.3</v>
      </c>
      <c r="H184" s="4277"/>
      <c r="I184" s="2506"/>
      <c r="J184" s="2506"/>
    </row>
    <row r="185" spans="1:10" ht="13" x14ac:dyDescent="0.25">
      <c r="A185" s="2506"/>
      <c r="B185" s="2338" t="str">
        <f>BldgType_Desc3&amp;" Damage Limit"</f>
        <v>Structural Frame Damage Limit</v>
      </c>
      <c r="C185" s="2197">
        <v>1.4</v>
      </c>
      <c r="D185" s="536" t="s">
        <v>968</v>
      </c>
      <c r="E185" s="2506"/>
      <c r="F185" s="1905" t="s">
        <v>3598</v>
      </c>
      <c r="G185" s="3052">
        <v>0.3</v>
      </c>
      <c r="H185" s="4278"/>
      <c r="I185" s="2506"/>
      <c r="J185" s="2506"/>
    </row>
    <row r="186" spans="1:10" ht="13" x14ac:dyDescent="0.25">
      <c r="A186" s="2506"/>
      <c r="B186" s="2338" t="str">
        <f>BldgType_Desc&amp;" Damage Exponent (Default)"</f>
        <v>Typical Construction Damage Exponent (Default)</v>
      </c>
      <c r="C186" s="2197">
        <v>2</v>
      </c>
      <c r="D186" s="1895"/>
      <c r="E186" s="2506"/>
      <c r="F186" s="1905" t="s">
        <v>3606</v>
      </c>
      <c r="G186" s="3052">
        <v>80</v>
      </c>
      <c r="H186" s="1916"/>
      <c r="I186" s="2506"/>
      <c r="J186" s="2506"/>
    </row>
    <row r="187" spans="1:10" ht="13" x14ac:dyDescent="0.25">
      <c r="A187" s="2506"/>
      <c r="B187" s="2338" t="str">
        <f>BldgType_Desc2&amp;" Damage Exponent"</f>
        <v>Low Strength Damage Exponent</v>
      </c>
      <c r="C187" s="2197">
        <v>2</v>
      </c>
      <c r="D187" s="1895"/>
      <c r="E187" s="2506"/>
      <c r="F187" s="1905" t="s">
        <v>3607</v>
      </c>
      <c r="G187" s="3052">
        <v>40</v>
      </c>
      <c r="H187" s="1916"/>
      <c r="I187" s="2506"/>
      <c r="J187" s="2506"/>
    </row>
    <row r="188" spans="1:10" ht="13.5" thickBot="1" x14ac:dyDescent="0.3">
      <c r="A188" s="2506"/>
      <c r="B188" s="2338" t="str">
        <f>BldgType_Desc3&amp;" Damage Exponent"</f>
        <v>Structural Frame Damage Exponent</v>
      </c>
      <c r="C188" s="2197">
        <v>2</v>
      </c>
      <c r="D188" s="1895"/>
      <c r="E188" s="2506"/>
      <c r="F188" s="1910" t="s">
        <v>3608</v>
      </c>
      <c r="G188" s="3066">
        <v>30</v>
      </c>
      <c r="H188" s="3063"/>
      <c r="I188" s="2506"/>
      <c r="J188" s="2506"/>
    </row>
    <row r="189" spans="1:10" ht="13.5" thickBot="1" x14ac:dyDescent="0.3">
      <c r="A189" s="2506"/>
      <c r="B189" s="2338" t="str">
        <f>BldgType_Desc&amp;" Vulnerablity Coefficient  (Default)"</f>
        <v>Typical Construction Vulnerablity Coefficient  (Default)</v>
      </c>
      <c r="C189" s="2197">
        <v>4.5</v>
      </c>
      <c r="D189" s="1895"/>
      <c r="E189" s="2506"/>
      <c r="F189" s="1919"/>
      <c r="G189" s="1919"/>
      <c r="H189" s="1920"/>
      <c r="I189" s="2506"/>
      <c r="J189" s="2506"/>
    </row>
    <row r="190" spans="1:10" ht="13.5" thickBot="1" x14ac:dyDescent="0.3">
      <c r="A190" s="2506"/>
      <c r="B190" s="2338" t="str">
        <f>BldgType_Desc2&amp;" Vulnerability Coefficient"</f>
        <v>Low Strength Vulnerability Coefficient</v>
      </c>
      <c r="C190" s="2197">
        <v>4.5</v>
      </c>
      <c r="D190" s="1895"/>
      <c r="E190" s="2506"/>
      <c r="F190" s="2966" t="s">
        <v>5227</v>
      </c>
      <c r="G190" s="3064">
        <f>Roughness_A</f>
        <v>0.5</v>
      </c>
      <c r="H190" s="2967">
        <f>Roughness_B</f>
        <v>0</v>
      </c>
      <c r="I190" s="2506"/>
      <c r="J190" s="2506"/>
    </row>
    <row r="191" spans="1:10" ht="13.5" thickBot="1" x14ac:dyDescent="0.3">
      <c r="A191" s="2506"/>
      <c r="B191" s="2338" t="str">
        <f>BldgType_Desc3&amp;" Vulnerability Coefficient"</f>
        <v>Structural Frame Vulnerability Coefficient</v>
      </c>
      <c r="C191" s="2197">
        <v>4.5</v>
      </c>
      <c r="D191" s="1895"/>
      <c r="E191" s="2506"/>
      <c r="F191" s="1917" t="s">
        <v>3603</v>
      </c>
      <c r="G191" s="3065" t="s">
        <v>950</v>
      </c>
      <c r="H191" s="1918" t="s">
        <v>2248</v>
      </c>
      <c r="I191" s="2506"/>
      <c r="J191" s="2506"/>
    </row>
    <row r="192" spans="1:10" ht="13.5" thickBot="1" x14ac:dyDescent="0.3">
      <c r="A192" s="2506"/>
      <c r="B192" s="2506"/>
      <c r="C192" s="2506"/>
      <c r="D192" s="2506"/>
      <c r="E192" s="2506"/>
      <c r="F192" s="4268" t="str">
        <f>"Coefficients for Night Atmospheric Stability or "&amp;Atm_Stability_Night</f>
        <v>Coefficients for Night Atmospheric Stability or Class F</v>
      </c>
      <c r="G192" s="3673"/>
      <c r="H192" s="3660"/>
      <c r="I192" s="2506"/>
      <c r="J192" s="2506"/>
    </row>
    <row r="193" spans="1:10" ht="15.5" thickBot="1" x14ac:dyDescent="0.3">
      <c r="A193" s="2506"/>
      <c r="B193" s="2536" t="s">
        <v>3723</v>
      </c>
      <c r="C193" s="2537"/>
      <c r="D193" s="1922" t="s">
        <v>3724</v>
      </c>
      <c r="E193" s="2506"/>
      <c r="F193" s="2770" t="s">
        <v>5144</v>
      </c>
      <c r="G193" s="3060">
        <f>IF(Roughness="Rural",IF(Atm_Stability_Night="Class B",0.23,IF(Atm_Stability_Night="Class D",0.12,0.058)),IF(Roughness="Urban",IF(Atm_Stability_Night="Class B",0.76,IF(Atm_Stability_Night="Class D",0.38,0.26)),IF(Atm_Stability_Night="Class B",0.56,IF(Atm_Stability_Night="Class D",0.28,0.19))))</f>
        <v>0.19</v>
      </c>
      <c r="H193" s="3061">
        <f>IF(Roughness="Rural",0.93,IF(Roughness="Urban",0.83,0.85))</f>
        <v>0.85</v>
      </c>
      <c r="I193" s="2506"/>
      <c r="J193" s="2506"/>
    </row>
    <row r="194" spans="1:10" ht="15" x14ac:dyDescent="0.3">
      <c r="A194" s="2506"/>
      <c r="B194" s="1927" t="s">
        <v>3726</v>
      </c>
      <c r="C194" s="2538">
        <v>0.45</v>
      </c>
      <c r="D194" s="1924" t="s">
        <v>3725</v>
      </c>
      <c r="E194" s="1896"/>
      <c r="F194" s="3047" t="s">
        <v>5145</v>
      </c>
      <c r="G194" s="3048">
        <f>IF(Roughness="Rural",IF(Atm_Stability_Night="Class B",0.12,IF(Atm_Stability_Night="Class D",0.25,0.071)),IF(Roughness="Urban",IF(Atm_Stability_Night="Class B",0.069,IF(Atm_Stability_Night="Class D",0.71,0.33)),IF(Atm_Stability_Night="Class B",0.068,IF(Atm_Stability_Night="Class D",0.41,0.24))))</f>
        <v>0.24</v>
      </c>
      <c r="H194" s="3050">
        <f>IF(Roughness="Rural",IF(Atm_Stability_Night="Class B",1,IF(Atm_Stability_Night="Class D",0.71,0.72)),IF(Roughness="Urban",IF(Atm_Stability_Night="Class B",1.25,IF(Atm_Stability_Night="Class D",0.65,0.71)),IF(Atm_Stability_Night="Class B",1.22,IF(Atm_Stability_Night="Class D",0.73,0.71))))</f>
        <v>0.71</v>
      </c>
      <c r="I194" s="2506"/>
      <c r="J194" s="2506"/>
    </row>
    <row r="195" spans="1:10" ht="15" x14ac:dyDescent="0.25">
      <c r="A195" s="2506"/>
      <c r="B195" s="1923" t="s">
        <v>3727</v>
      </c>
      <c r="C195" s="2539">
        <v>1.17</v>
      </c>
      <c r="D195" s="1924" t="s">
        <v>3725</v>
      </c>
      <c r="E195" s="1896"/>
      <c r="F195" s="3047" t="s">
        <v>5146</v>
      </c>
      <c r="G195" s="3049">
        <f>IF(Atm_Stability_Night="Class B",0.14,IF(Atm_Stability_Night="Class D",0.06,0.02))/Roughness_C^(1/3)</f>
        <v>2.5198420997897462E-2</v>
      </c>
      <c r="H195" s="2358">
        <f>IF(Atm_Stability_Night="Class B",0.92,IF(Atm_Stability_Night="Class D",0.92,0.89))-Roughness_D/3</f>
        <v>0.89</v>
      </c>
      <c r="I195" s="2506"/>
      <c r="J195" s="2506"/>
    </row>
    <row r="196" spans="1:10" ht="15" x14ac:dyDescent="0.25">
      <c r="A196" s="2506"/>
      <c r="B196" s="1923" t="s">
        <v>3728</v>
      </c>
      <c r="C196" s="2539">
        <v>20</v>
      </c>
      <c r="D196" s="1924" t="s">
        <v>3725</v>
      </c>
      <c r="E196" s="1896"/>
      <c r="F196" s="3047" t="s">
        <v>5147</v>
      </c>
      <c r="G196" s="3049">
        <f>IF(Atm_Stability_Night="Class B",0.14,IF(Atm_Stability_Night="Class D",0.06,0.02))/Roughness_C^(1/3)</f>
        <v>2.5198420997897462E-2</v>
      </c>
      <c r="H196" s="2358">
        <f>IF(Atm_Stability_Night="Class B",0.92,IF(Atm_Stability_Night="Class D",0.92,0.89))-Roughness_D/3</f>
        <v>0.89</v>
      </c>
      <c r="I196" s="2506"/>
      <c r="J196" s="2506"/>
    </row>
    <row r="197" spans="1:10" ht="15" x14ac:dyDescent="0.25">
      <c r="A197" s="2506"/>
      <c r="B197" s="1923" t="s">
        <v>3726</v>
      </c>
      <c r="C197" s="2539">
        <v>0.33</v>
      </c>
      <c r="D197" s="1924">
        <v>1</v>
      </c>
      <c r="E197" s="1896"/>
      <c r="F197" s="3047" t="s">
        <v>5148</v>
      </c>
      <c r="G197" s="3049">
        <f>IF(Atm_Stability_Night="Class B",0.53,IF(Atm_Stability_Night="Class D",0.15,0.05))/Roughness_C^(1/3)</f>
        <v>6.299605249474366E-2</v>
      </c>
      <c r="H197" s="3051">
        <f>IF(Atm_Stability_Night="Class B",0.73,IF(Atm_Stability_Night="Class D",0.7,0.61))-Roughness_D/3</f>
        <v>0.61</v>
      </c>
      <c r="I197" s="2506"/>
      <c r="J197" s="2506"/>
    </row>
    <row r="198" spans="1:10" ht="13" x14ac:dyDescent="0.25">
      <c r="A198" s="2506"/>
      <c r="B198" s="1923" t="s">
        <v>3727</v>
      </c>
      <c r="C198" s="2539">
        <v>1.1200000000000001</v>
      </c>
      <c r="D198" s="1924">
        <v>1</v>
      </c>
      <c r="E198" s="1896"/>
      <c r="F198" s="2541" t="s">
        <v>3596</v>
      </c>
      <c r="G198" s="1030">
        <v>0.3</v>
      </c>
      <c r="H198" s="4281">
        <v>0.3</v>
      </c>
      <c r="I198" s="2506"/>
      <c r="J198" s="2506"/>
    </row>
    <row r="199" spans="1:10" ht="13" x14ac:dyDescent="0.25">
      <c r="A199" s="2506"/>
      <c r="B199" s="1923" t="s">
        <v>3728</v>
      </c>
      <c r="C199" s="2539">
        <v>1.2</v>
      </c>
      <c r="D199" s="1924">
        <v>1</v>
      </c>
      <c r="E199" s="1896"/>
      <c r="F199" s="2541" t="s">
        <v>3597</v>
      </c>
      <c r="G199" s="1030">
        <v>0.3</v>
      </c>
      <c r="H199" s="4282"/>
      <c r="I199" s="2506"/>
      <c r="J199" s="2506"/>
    </row>
    <row r="200" spans="1:10" ht="13" x14ac:dyDescent="0.25">
      <c r="A200" s="2506"/>
      <c r="B200" s="1923" t="s">
        <v>3726</v>
      </c>
      <c r="C200" s="2539">
        <v>0.18</v>
      </c>
      <c r="D200" s="1924">
        <v>0.5</v>
      </c>
      <c r="E200" s="1896"/>
      <c r="F200" s="2541" t="s">
        <v>3598</v>
      </c>
      <c r="G200" s="1030">
        <v>0.3</v>
      </c>
      <c r="H200" s="4283"/>
      <c r="I200" s="2506"/>
      <c r="J200" s="2506"/>
    </row>
    <row r="201" spans="1:10" ht="13" x14ac:dyDescent="0.25">
      <c r="A201" s="2506"/>
      <c r="B201" s="1923" t="s">
        <v>3727</v>
      </c>
      <c r="C201" s="2539">
        <v>1.06</v>
      </c>
      <c r="D201" s="1924">
        <v>0.5</v>
      </c>
      <c r="E201" s="1896"/>
      <c r="F201" s="2541" t="s">
        <v>3606</v>
      </c>
      <c r="G201" s="1030">
        <v>2000</v>
      </c>
      <c r="H201" s="1916"/>
      <c r="I201" s="2506"/>
      <c r="J201" s="2506"/>
    </row>
    <row r="202" spans="1:10" ht="13" x14ac:dyDescent="0.25">
      <c r="A202" s="2506"/>
      <c r="B202" s="1923" t="s">
        <v>3728</v>
      </c>
      <c r="C202" s="2539">
        <v>0.45</v>
      </c>
      <c r="D202" s="1924">
        <v>0.5</v>
      </c>
      <c r="E202" s="1896"/>
      <c r="F202" s="2541" t="s">
        <v>3607</v>
      </c>
      <c r="G202" s="1030">
        <v>400</v>
      </c>
      <c r="H202" s="1916"/>
      <c r="I202" s="2506"/>
      <c r="J202" s="2506"/>
    </row>
    <row r="203" spans="1:10" ht="13.5" thickBot="1" x14ac:dyDescent="0.3">
      <c r="A203" s="2506"/>
      <c r="B203" s="1923" t="s">
        <v>3726</v>
      </c>
      <c r="C203" s="2539">
        <v>0.1</v>
      </c>
      <c r="D203" s="1924">
        <v>0.35</v>
      </c>
      <c r="E203" s="1896"/>
      <c r="F203" s="3062" t="s">
        <v>3608</v>
      </c>
      <c r="G203" s="25">
        <v>200</v>
      </c>
      <c r="H203" s="3063"/>
      <c r="I203" s="2506"/>
      <c r="J203" s="2506"/>
    </row>
    <row r="204" spans="1:10" ht="13.5" thickBot="1" x14ac:dyDescent="0.3">
      <c r="A204" s="2506"/>
      <c r="B204" s="1923" t="s">
        <v>3727</v>
      </c>
      <c r="C204" s="2539">
        <v>1</v>
      </c>
      <c r="D204" s="1924">
        <v>0.35</v>
      </c>
      <c r="E204" s="1896"/>
      <c r="F204" s="2506"/>
      <c r="G204" s="2506"/>
      <c r="H204" s="2506"/>
      <c r="I204" s="2506"/>
      <c r="J204" s="2506"/>
    </row>
    <row r="205" spans="1:10" ht="13.5" thickBot="1" x14ac:dyDescent="0.3">
      <c r="A205" s="2506"/>
      <c r="B205" s="1925" t="s">
        <v>3728</v>
      </c>
      <c r="C205" s="2136">
        <v>0.22</v>
      </c>
      <c r="D205" s="1926">
        <v>0.35</v>
      </c>
      <c r="E205" s="2506"/>
      <c r="F205" s="4269" t="s">
        <v>4065</v>
      </c>
      <c r="G205" s="3673"/>
      <c r="H205" s="3660"/>
      <c r="I205" s="2506"/>
      <c r="J205" s="2506"/>
    </row>
    <row r="206" spans="1:10" ht="13" x14ac:dyDescent="0.25">
      <c r="A206" s="2506"/>
      <c r="B206" s="2506"/>
      <c r="C206" s="2506"/>
      <c r="D206" s="2506"/>
      <c r="E206" s="1896"/>
      <c r="F206" s="1930" t="s">
        <v>254</v>
      </c>
      <c r="G206" s="2549">
        <v>5</v>
      </c>
      <c r="H206" s="1803"/>
      <c r="I206" s="2506"/>
      <c r="J206" s="2506"/>
    </row>
    <row r="207" spans="1:10" ht="13" x14ac:dyDescent="0.25">
      <c r="A207" s="2506"/>
      <c r="B207" s="2506"/>
      <c r="C207" s="2506"/>
      <c r="D207" s="2506"/>
      <c r="E207" s="1896"/>
      <c r="F207" s="1905" t="s">
        <v>3661</v>
      </c>
      <c r="G207" s="2994">
        <v>0.32600000000000001</v>
      </c>
      <c r="H207" s="1757"/>
      <c r="I207" s="2506"/>
      <c r="J207" s="2506"/>
    </row>
    <row r="208" spans="1:10" ht="13.5" thickBot="1" x14ac:dyDescent="0.3">
      <c r="A208" s="2506"/>
      <c r="B208" s="2506"/>
      <c r="C208" s="2506"/>
      <c r="D208" s="2506"/>
      <c r="E208" s="1896"/>
      <c r="F208" s="1908" t="s">
        <v>3654</v>
      </c>
      <c r="G208" s="2994">
        <v>4.5</v>
      </c>
      <c r="H208" s="1757"/>
      <c r="I208" s="2506"/>
      <c r="J208" s="2506"/>
    </row>
    <row r="209" spans="1:10" ht="13.5" thickBot="1" x14ac:dyDescent="0.3">
      <c r="A209" s="2506"/>
      <c r="B209" s="2535" t="s">
        <v>3990</v>
      </c>
      <c r="C209" s="1939" t="s">
        <v>3989</v>
      </c>
      <c r="D209" s="1854" t="s">
        <v>1223</v>
      </c>
      <c r="E209" s="1896"/>
      <c r="F209" s="1908" t="s">
        <v>3663</v>
      </c>
      <c r="G209" s="2994">
        <v>2.2999999999999998</v>
      </c>
      <c r="H209" s="1757"/>
      <c r="I209" s="2506"/>
      <c r="J209" s="2506"/>
    </row>
    <row r="210" spans="1:10" ht="13" x14ac:dyDescent="0.25">
      <c r="A210" s="2506"/>
      <c r="B210" s="1903" t="s">
        <v>3991</v>
      </c>
      <c r="C210" s="1906"/>
      <c r="D210" s="2542">
        <v>2.4E-2</v>
      </c>
      <c r="E210" s="1896"/>
      <c r="F210" s="3053" t="s">
        <v>5149</v>
      </c>
      <c r="G210" s="2979">
        <f>24.45/(3.142*Plume_sY_A*Plume_sZ_A)</f>
        <v>67.784562086777541</v>
      </c>
      <c r="H210" s="3051">
        <f>1/(Plume_sY_B+Plume_sZ_B)</f>
        <v>0.63291139240506322</v>
      </c>
      <c r="I210" s="2506"/>
      <c r="J210" s="2506"/>
    </row>
    <row r="211" spans="1:10" ht="13.5" thickBot="1" x14ac:dyDescent="0.3">
      <c r="A211" s="2506"/>
      <c r="B211" s="1907" t="s">
        <v>3992</v>
      </c>
      <c r="C211" s="2548"/>
      <c r="D211" s="1755">
        <v>2.8</v>
      </c>
      <c r="E211" s="1896"/>
      <c r="F211" s="3053" t="s">
        <v>5150</v>
      </c>
      <c r="G211" s="2979">
        <f>2*24.45/((2*3.142)^1.5*Puff_sX_A*Puff_sY_A*Puff_sZ_A)</f>
        <v>2874.2916887201563</v>
      </c>
      <c r="H211" s="3051">
        <f>1/(Puff_sX_B+Puff_sY_B+Puff_sZ_B)</f>
        <v>0.39370078740157477</v>
      </c>
      <c r="I211" s="2506"/>
      <c r="J211" s="2506"/>
    </row>
    <row r="212" spans="1:10" ht="13" x14ac:dyDescent="0.25">
      <c r="A212" s="2506"/>
      <c r="B212" s="2543" t="s">
        <v>3993</v>
      </c>
      <c r="C212" s="1836">
        <v>3.7</v>
      </c>
      <c r="D212" s="1770">
        <v>1.0999999999999999E-2</v>
      </c>
      <c r="E212" s="1896"/>
      <c r="F212" s="3053" t="s">
        <v>5151</v>
      </c>
      <c r="G212" s="2979">
        <f>24.45/(3.142*Plume_sY_A_Night*Plume_sZ_A_Night)</f>
        <v>170.65060806057156</v>
      </c>
      <c r="H212" s="3051">
        <f>1/(Plume_sY_B_Night+Plume_sZ_B_Night)</f>
        <v>0.64102564102564097</v>
      </c>
      <c r="I212" s="2506"/>
      <c r="J212" s="2506"/>
    </row>
    <row r="213" spans="1:10" ht="13" x14ac:dyDescent="0.3">
      <c r="A213" s="2506"/>
      <c r="B213" s="2543" t="s">
        <v>3994</v>
      </c>
      <c r="C213" s="2197">
        <v>4.5999999999999996</v>
      </c>
      <c r="D213" s="2545">
        <v>1.8</v>
      </c>
      <c r="E213" s="2506"/>
      <c r="F213" s="3053" t="s">
        <v>5152</v>
      </c>
      <c r="G213" s="2979">
        <f>2*24.45/((2*3.142)^1.5*Puff_sX_A_Night*Puff_sY_A_Night*Puff_sZ_A_Night)</f>
        <v>77605.875595444217</v>
      </c>
      <c r="H213" s="3051">
        <f>1/(Puff_sX_B_Night+Puff_sY_B_Night+Puff_sZ_B_Night)</f>
        <v>0.41841004184100417</v>
      </c>
      <c r="I213" s="2506"/>
      <c r="J213" s="2506"/>
    </row>
    <row r="214" spans="1:10" ht="13.5" thickBot="1" x14ac:dyDescent="0.3">
      <c r="A214" s="2506"/>
      <c r="B214" s="2543" t="s">
        <v>3997</v>
      </c>
      <c r="C214" s="2197">
        <v>0.67</v>
      </c>
      <c r="D214" s="2546"/>
      <c r="E214" s="2506"/>
      <c r="F214" s="2509" t="s">
        <v>3826</v>
      </c>
      <c r="G214" s="2136">
        <v>2</v>
      </c>
      <c r="H214" s="1758"/>
      <c r="I214" s="2506"/>
      <c r="J214" s="2506"/>
    </row>
    <row r="215" spans="1:10" ht="13" x14ac:dyDescent="0.3">
      <c r="A215" s="2506"/>
      <c r="B215" s="2543" t="s">
        <v>3995</v>
      </c>
      <c r="C215" s="2197">
        <v>180</v>
      </c>
      <c r="D215" s="2545">
        <v>6.2</v>
      </c>
      <c r="E215" s="2506"/>
      <c r="F215" s="2506"/>
      <c r="G215" s="2506"/>
      <c r="H215" s="2506"/>
      <c r="I215" s="2506"/>
      <c r="J215" s="2506"/>
    </row>
    <row r="216" spans="1:10" ht="13" x14ac:dyDescent="0.3">
      <c r="A216" s="2506"/>
      <c r="B216" s="2543" t="s">
        <v>3996</v>
      </c>
      <c r="C216" s="2197">
        <v>0.85</v>
      </c>
      <c r="D216" s="2545">
        <v>1.4</v>
      </c>
      <c r="E216" s="2506"/>
      <c r="F216" s="2506"/>
      <c r="G216" s="2506"/>
      <c r="H216" s="2506"/>
      <c r="I216" s="2506"/>
      <c r="J216" s="2506"/>
    </row>
    <row r="217" spans="1:10" ht="13.5" thickBot="1" x14ac:dyDescent="0.3">
      <c r="A217" s="2506"/>
      <c r="B217" s="2544" t="s">
        <v>3998</v>
      </c>
      <c r="C217" s="2540">
        <v>0.6</v>
      </c>
      <c r="D217" s="2547"/>
      <c r="E217" s="2506"/>
      <c r="F217" s="2506"/>
      <c r="G217" s="2506"/>
      <c r="H217" s="2506"/>
      <c r="I217" s="2506"/>
      <c r="J217" s="2506"/>
    </row>
    <row r="218" spans="1:10" ht="13.5" thickBot="1" x14ac:dyDescent="0.3">
      <c r="A218" s="2506"/>
      <c r="B218" s="2541" t="s">
        <v>3980</v>
      </c>
      <c r="C218" s="2540">
        <v>2</v>
      </c>
      <c r="D218" s="2547"/>
      <c r="E218" s="2506"/>
      <c r="F218" s="2506"/>
      <c r="G218" s="2506"/>
      <c r="H218" s="2506"/>
      <c r="I218" s="2506"/>
      <c r="J218" s="2506"/>
    </row>
    <row r="219" spans="1:10" ht="13" x14ac:dyDescent="0.25">
      <c r="A219" s="2506"/>
      <c r="B219" s="2506"/>
      <c r="C219" s="2506"/>
      <c r="D219" s="2506"/>
      <c r="E219" s="2506"/>
      <c r="F219" s="2506"/>
      <c r="G219" s="2506"/>
      <c r="H219" s="2506"/>
      <c r="I219" s="2506"/>
      <c r="J219" s="2506"/>
    </row>
    <row r="220" spans="1:10" ht="13" x14ac:dyDescent="0.25">
      <c r="A220" s="400"/>
      <c r="B220" s="400"/>
      <c r="C220" s="400"/>
      <c r="D220" s="400"/>
      <c r="E220" s="400"/>
      <c r="F220" s="400"/>
    </row>
    <row r="221" spans="1:10" ht="13" x14ac:dyDescent="0.25">
      <c r="A221" s="400"/>
      <c r="B221" s="400"/>
      <c r="C221" s="400"/>
      <c r="D221" s="400"/>
      <c r="E221" s="400"/>
      <c r="F221" s="400"/>
    </row>
    <row r="222" spans="1:10" ht="13" x14ac:dyDescent="0.25">
      <c r="A222" s="400"/>
      <c r="B222" s="400"/>
      <c r="C222" s="400"/>
      <c r="D222" s="400"/>
      <c r="E222" s="400"/>
      <c r="F222" s="400"/>
    </row>
    <row r="223" spans="1:10" ht="13" x14ac:dyDescent="0.25">
      <c r="A223" s="400"/>
      <c r="B223" s="400"/>
      <c r="C223" s="400"/>
      <c r="D223" s="400"/>
      <c r="E223" s="400"/>
      <c r="F223" s="400"/>
    </row>
    <row r="224" spans="1:10" ht="13" x14ac:dyDescent="0.3">
      <c r="A224" s="400"/>
      <c r="B224" s="400"/>
      <c r="C224" s="400"/>
      <c r="D224" s="400"/>
      <c r="F224" s="750"/>
      <c r="G224" s="750"/>
      <c r="H224" s="750"/>
    </row>
    <row r="225" spans="1:8" ht="13" x14ac:dyDescent="0.3">
      <c r="A225" s="400"/>
      <c r="B225" s="400"/>
      <c r="C225" s="400"/>
      <c r="D225" s="400"/>
      <c r="F225" s="2978"/>
      <c r="G225" s="750"/>
      <c r="H225" s="750"/>
    </row>
    <row r="226" spans="1:8" ht="13" x14ac:dyDescent="0.25">
      <c r="A226" s="400"/>
      <c r="B226" s="400"/>
      <c r="C226" s="400"/>
      <c r="D226" s="400"/>
      <c r="F226" s="400"/>
    </row>
    <row r="227" spans="1:8" ht="13" x14ac:dyDescent="0.25">
      <c r="F227" s="400"/>
    </row>
    <row r="228" spans="1:8" ht="13" x14ac:dyDescent="0.25">
      <c r="F228" s="400"/>
    </row>
    <row r="229" spans="1:8" ht="13" x14ac:dyDescent="0.25">
      <c r="F229" s="400"/>
    </row>
    <row r="230" spans="1:8" ht="13" x14ac:dyDescent="0.25">
      <c r="F230" s="400"/>
    </row>
    <row r="231" spans="1:8" ht="13" x14ac:dyDescent="0.25">
      <c r="F231" s="400"/>
    </row>
    <row r="232" spans="1:8" ht="13" x14ac:dyDescent="0.25">
      <c r="F232" s="400"/>
    </row>
    <row r="233" spans="1:8" ht="13" x14ac:dyDescent="0.3">
      <c r="F233" s="750"/>
      <c r="G233" s="750"/>
      <c r="H233" s="750"/>
    </row>
  </sheetData>
  <sheetProtection sheet="1" objects="1" scenarios="1"/>
  <mergeCells count="81">
    <mergeCell ref="B98:C98"/>
    <mergeCell ref="B120:D120"/>
    <mergeCell ref="B118:C118"/>
    <mergeCell ref="B150:D150"/>
    <mergeCell ref="B133:C133"/>
    <mergeCell ref="B127:D127"/>
    <mergeCell ref="B103:C103"/>
    <mergeCell ref="F125:H125"/>
    <mergeCell ref="B124:D125"/>
    <mergeCell ref="B108:D108"/>
    <mergeCell ref="B2:H2"/>
    <mergeCell ref="B4:D4"/>
    <mergeCell ref="B31:D31"/>
    <mergeCell ref="F11:H11"/>
    <mergeCell ref="F71:H71"/>
    <mergeCell ref="F29:H29"/>
    <mergeCell ref="F20:H20"/>
    <mergeCell ref="F6:H6"/>
    <mergeCell ref="B40:D40"/>
    <mergeCell ref="F45:H45"/>
    <mergeCell ref="F46:G46"/>
    <mergeCell ref="B20:D20"/>
    <mergeCell ref="F47:G47"/>
    <mergeCell ref="F52:G52"/>
    <mergeCell ref="F64:G64"/>
    <mergeCell ref="C33:D33"/>
    <mergeCell ref="F49:G49"/>
    <mergeCell ref="F50:G50"/>
    <mergeCell ref="F53:G53"/>
    <mergeCell ref="F48:G48"/>
    <mergeCell ref="F51:G51"/>
    <mergeCell ref="F54:G54"/>
    <mergeCell ref="F56:G56"/>
    <mergeCell ref="F92:G92"/>
    <mergeCell ref="F93:G93"/>
    <mergeCell ref="F59:G59"/>
    <mergeCell ref="F57:G57"/>
    <mergeCell ref="F58:G58"/>
    <mergeCell ref="F63:H63"/>
    <mergeCell ref="F65:G65"/>
    <mergeCell ref="F60:G60"/>
    <mergeCell ref="F66:G66"/>
    <mergeCell ref="F91:G91"/>
    <mergeCell ref="F75:G75"/>
    <mergeCell ref="F74:G74"/>
    <mergeCell ref="F76:G76"/>
    <mergeCell ref="F107:H107"/>
    <mergeCell ref="F88:H88"/>
    <mergeCell ref="B63:D63"/>
    <mergeCell ref="B163:D163"/>
    <mergeCell ref="C93:D93"/>
    <mergeCell ref="B95:C95"/>
    <mergeCell ref="B96:C96"/>
    <mergeCell ref="B99:C99"/>
    <mergeCell ref="B67:D67"/>
    <mergeCell ref="B76:D76"/>
    <mergeCell ref="B105:C105"/>
    <mergeCell ref="B104:C104"/>
    <mergeCell ref="F161:H161"/>
    <mergeCell ref="F145:H145"/>
    <mergeCell ref="B102:C102"/>
    <mergeCell ref="F94:G94"/>
    <mergeCell ref="C5:D5"/>
    <mergeCell ref="C35:D35"/>
    <mergeCell ref="C34:D34"/>
    <mergeCell ref="C32:D32"/>
    <mergeCell ref="B52:D52"/>
    <mergeCell ref="B48:D48"/>
    <mergeCell ref="C37:D37"/>
    <mergeCell ref="C36:D36"/>
    <mergeCell ref="C6:D6"/>
    <mergeCell ref="C7:D7"/>
    <mergeCell ref="C8:D8"/>
    <mergeCell ref="F177:H177"/>
    <mergeCell ref="F192:H192"/>
    <mergeCell ref="F205:H205"/>
    <mergeCell ref="F174:H174"/>
    <mergeCell ref="B174:D174"/>
    <mergeCell ref="H183:H185"/>
    <mergeCell ref="B175:C175"/>
    <mergeCell ref="H198:H200"/>
  </mergeCells>
  <conditionalFormatting sqref="C84">
    <cfRule type="cellIs" dxfId="20" priority="8" stopIfTrue="1" operator="lessThanOrEqual">
      <formula>600</formula>
    </cfRule>
  </conditionalFormatting>
  <conditionalFormatting sqref="G189">
    <cfRule type="expression" dxfId="19" priority="1">
      <formula>IF(AND($C$27="Class D",$C$28="Urban"),TRUE,FALSE)</formula>
    </cfRule>
    <cfRule type="expression" dxfId="18" priority="2">
      <formula>IF(AND($C$26="Class D",$C$28="Urban"),TRUE,FALSE)</formula>
    </cfRule>
  </conditionalFormatting>
  <pageMargins left="0.7" right="0.7" top="0.75" bottom="0.75" header="0.3" footer="0.3"/>
  <pageSetup orientation="portrait"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6">
    <tabColor rgb="FF00B050"/>
    <pageSetUpPr autoPageBreaks="0"/>
  </sheetPr>
  <dimension ref="A1:L31"/>
  <sheetViews>
    <sheetView showGridLines="0" zoomScale="80" zoomScaleNormal="80" workbookViewId="0">
      <pane ySplit="15" topLeftCell="A28" activePane="bottomLeft" state="frozenSplit"/>
      <selection pane="bottomLeft" activeCell="I30" sqref="I30"/>
    </sheetView>
  </sheetViews>
  <sheetFormatPr defaultColWidth="9.1796875" defaultRowHeight="13" x14ac:dyDescent="0.25"/>
  <cols>
    <col min="1" max="1" width="2.81640625" style="30" customWidth="1"/>
    <col min="2" max="2" width="18.453125" style="30" customWidth="1"/>
    <col min="3" max="3" width="84.453125" style="30" customWidth="1"/>
    <col min="4" max="4" width="10.81640625" style="5" customWidth="1"/>
    <col min="5" max="6" width="12.81640625" style="30" customWidth="1"/>
    <col min="7" max="7" width="2.81640625" style="30" customWidth="1"/>
    <col min="8" max="11" width="9.1796875" style="30"/>
    <col min="12" max="12" width="2.1796875" style="30" customWidth="1"/>
    <col min="13" max="16384" width="9.1796875" style="30"/>
  </cols>
  <sheetData>
    <row r="1" spans="1:12" ht="18" x14ac:dyDescent="0.25">
      <c r="A1" s="26"/>
      <c r="B1" s="4338" t="s">
        <v>1181</v>
      </c>
      <c r="C1" s="4338"/>
      <c r="D1" s="4338"/>
      <c r="E1" s="4338"/>
      <c r="F1" s="4338"/>
      <c r="G1" s="229"/>
      <c r="H1" s="229"/>
      <c r="I1" s="229"/>
      <c r="J1" s="229"/>
      <c r="K1" s="229"/>
      <c r="L1" s="26"/>
    </row>
    <row r="2" spans="1:12" x14ac:dyDescent="0.25">
      <c r="A2" s="26"/>
      <c r="B2" s="26"/>
      <c r="C2" s="26"/>
      <c r="D2" s="19"/>
      <c r="E2" s="26"/>
      <c r="F2" s="26"/>
      <c r="G2" s="26"/>
      <c r="H2" s="26"/>
      <c r="I2" s="26"/>
      <c r="J2" s="26"/>
      <c r="K2" s="26"/>
      <c r="L2" s="26"/>
    </row>
    <row r="3" spans="1:12" x14ac:dyDescent="0.25">
      <c r="A3" s="26"/>
      <c r="B3" s="26" t="s">
        <v>493</v>
      </c>
      <c r="C3" s="71" t="s">
        <v>4587</v>
      </c>
      <c r="D3" s="19"/>
      <c r="E3" s="72" t="s">
        <v>489</v>
      </c>
      <c r="F3" s="1519"/>
      <c r="G3" s="26"/>
      <c r="H3" s="26"/>
      <c r="I3" s="26"/>
      <c r="J3" s="26"/>
      <c r="K3" s="26"/>
      <c r="L3" s="26"/>
    </row>
    <row r="4" spans="1:12" x14ac:dyDescent="0.25">
      <c r="A4" s="26"/>
      <c r="B4" s="26"/>
      <c r="C4" s="26"/>
      <c r="D4" s="19"/>
      <c r="E4" s="72" t="s">
        <v>3502</v>
      </c>
      <c r="F4" s="1519">
        <f>MAX(E:E)</f>
        <v>45686</v>
      </c>
      <c r="G4" s="26"/>
      <c r="H4" s="26"/>
      <c r="I4" s="26"/>
      <c r="J4" s="26"/>
      <c r="K4" s="26"/>
      <c r="L4" s="26"/>
    </row>
    <row r="5" spans="1:12" x14ac:dyDescent="0.25">
      <c r="A5" s="26"/>
      <c r="B5" s="178" t="s">
        <v>1216</v>
      </c>
      <c r="C5" s="230" t="s">
        <v>4588</v>
      </c>
      <c r="D5" s="33"/>
      <c r="E5" s="26"/>
      <c r="F5" s="26"/>
      <c r="G5" s="178"/>
      <c r="H5" s="178"/>
      <c r="I5" s="178"/>
      <c r="J5" s="178"/>
      <c r="K5" s="178"/>
      <c r="L5" s="26"/>
    </row>
    <row r="6" spans="1:12" x14ac:dyDescent="0.25">
      <c r="A6" s="26"/>
      <c r="B6" s="178"/>
      <c r="C6" s="178"/>
      <c r="D6" s="33"/>
      <c r="E6" s="178"/>
      <c r="F6" s="178"/>
      <c r="G6" s="178"/>
      <c r="H6" s="178"/>
      <c r="I6" s="178"/>
      <c r="J6" s="178"/>
      <c r="K6" s="178"/>
      <c r="L6" s="26"/>
    </row>
    <row r="7" spans="1:12" x14ac:dyDescent="0.25">
      <c r="A7" s="26"/>
      <c r="B7" s="178" t="s">
        <v>1921</v>
      </c>
      <c r="C7" s="4341"/>
      <c r="D7" s="3978"/>
      <c r="E7" s="3978"/>
      <c r="F7" s="3978"/>
      <c r="G7" s="178"/>
      <c r="H7" s="178"/>
      <c r="I7" s="1232"/>
      <c r="J7" s="178"/>
      <c r="K7" s="178"/>
      <c r="L7" s="26"/>
    </row>
    <row r="8" spans="1:12" x14ac:dyDescent="0.25">
      <c r="A8" s="26"/>
      <c r="B8" s="178"/>
      <c r="C8" s="3978"/>
      <c r="D8" s="3978"/>
      <c r="E8" s="3978"/>
      <c r="F8" s="3978"/>
      <c r="G8" s="178"/>
      <c r="H8" s="178"/>
      <c r="I8" s="178"/>
      <c r="J8" s="178"/>
      <c r="K8" s="178"/>
      <c r="L8" s="26"/>
    </row>
    <row r="9" spans="1:12" x14ac:dyDescent="0.25">
      <c r="A9" s="26"/>
      <c r="B9" s="4339" t="s">
        <v>4589</v>
      </c>
      <c r="C9" s="4339"/>
      <c r="D9" s="4339"/>
      <c r="E9" s="4339"/>
      <c r="F9" s="4339"/>
      <c r="G9" s="178"/>
      <c r="H9" s="178"/>
      <c r="I9" s="178"/>
      <c r="J9" s="178"/>
      <c r="K9" s="178"/>
      <c r="L9" s="26"/>
    </row>
    <row r="10" spans="1:12" x14ac:dyDescent="0.25">
      <c r="A10" s="26"/>
      <c r="B10" s="26"/>
      <c r="C10" s="26"/>
      <c r="D10" s="19"/>
      <c r="E10" s="26"/>
      <c r="F10" s="26"/>
      <c r="G10" s="26"/>
      <c r="H10" s="26"/>
      <c r="I10" s="26"/>
      <c r="J10" s="26"/>
      <c r="K10" s="26"/>
      <c r="L10" s="26"/>
    </row>
    <row r="11" spans="1:12" ht="30" customHeight="1" x14ac:dyDescent="0.25">
      <c r="A11" s="26"/>
      <c r="B11" s="178" t="s">
        <v>1604</v>
      </c>
      <c r="C11" s="4340" t="s">
        <v>4586</v>
      </c>
      <c r="D11" s="4340"/>
      <c r="E11" s="4340"/>
      <c r="F11" s="4340"/>
      <c r="G11" s="178"/>
      <c r="H11" s="178"/>
      <c r="I11" s="178"/>
      <c r="J11" s="178"/>
      <c r="K11" s="178"/>
      <c r="L11" s="26"/>
    </row>
    <row r="12" spans="1:12" x14ac:dyDescent="0.25">
      <c r="A12" s="26"/>
      <c r="B12" s="178"/>
      <c r="C12" s="178"/>
      <c r="D12" s="33"/>
      <c r="E12" s="178"/>
      <c r="F12" s="178"/>
      <c r="G12" s="178"/>
      <c r="H12" s="178"/>
      <c r="I12" s="178"/>
      <c r="J12" s="178"/>
      <c r="K12" s="178"/>
      <c r="L12" s="26"/>
    </row>
    <row r="13" spans="1:12" x14ac:dyDescent="0.25">
      <c r="A13" s="26"/>
      <c r="B13" s="178"/>
      <c r="C13" s="178"/>
      <c r="D13" s="33"/>
      <c r="E13" s="178"/>
      <c r="F13" s="178"/>
      <c r="G13" s="178"/>
      <c r="H13" s="178"/>
      <c r="I13" s="178"/>
      <c r="J13" s="178"/>
      <c r="K13" s="178"/>
      <c r="L13" s="26"/>
    </row>
    <row r="14" spans="1:12" x14ac:dyDescent="0.25">
      <c r="A14" s="26"/>
      <c r="B14" s="4025" t="s">
        <v>379</v>
      </c>
      <c r="C14" s="4025"/>
      <c r="D14" s="4025"/>
      <c r="E14" s="4025"/>
      <c r="F14" s="4025"/>
      <c r="G14" s="26"/>
      <c r="H14" s="26"/>
      <c r="I14" s="26"/>
      <c r="J14" s="26"/>
      <c r="K14" s="26"/>
      <c r="L14" s="26"/>
    </row>
    <row r="15" spans="1:12" ht="26" x14ac:dyDescent="0.25">
      <c r="A15" s="26"/>
      <c r="B15" s="28" t="s">
        <v>380</v>
      </c>
      <c r="C15" s="28" t="s">
        <v>381</v>
      </c>
      <c r="D15" s="28" t="s">
        <v>1398</v>
      </c>
      <c r="E15" s="28" t="s">
        <v>873</v>
      </c>
      <c r="F15" s="28" t="s">
        <v>874</v>
      </c>
      <c r="G15" s="26"/>
      <c r="H15" s="26"/>
      <c r="I15" s="26"/>
      <c r="J15" s="26"/>
      <c r="K15" s="26"/>
      <c r="L15" s="26"/>
    </row>
    <row r="16" spans="1:12" x14ac:dyDescent="0.25">
      <c r="A16" s="26"/>
      <c r="B16" s="170" t="s">
        <v>875</v>
      </c>
      <c r="C16" s="170" t="s">
        <v>4689</v>
      </c>
      <c r="D16" s="169" t="s">
        <v>289</v>
      </c>
      <c r="E16" s="231">
        <v>43206</v>
      </c>
      <c r="F16" s="170" t="s">
        <v>876</v>
      </c>
      <c r="G16" s="26"/>
      <c r="H16" s="26"/>
      <c r="I16" s="26"/>
      <c r="J16" s="26"/>
      <c r="K16" s="26"/>
      <c r="L16" s="26"/>
    </row>
    <row r="17" spans="2:6" ht="156" x14ac:dyDescent="0.25">
      <c r="B17" s="170" t="s">
        <v>875</v>
      </c>
      <c r="C17" s="170" t="s">
        <v>4741</v>
      </c>
      <c r="D17" s="169" t="s">
        <v>289</v>
      </c>
      <c r="E17" s="231">
        <v>43360</v>
      </c>
      <c r="F17" s="170" t="s">
        <v>876</v>
      </c>
    </row>
    <row r="18" spans="2:6" ht="78" x14ac:dyDescent="0.25">
      <c r="B18" s="2592" t="s">
        <v>4740</v>
      </c>
      <c r="C18" s="2592" t="s">
        <v>4889</v>
      </c>
      <c r="D18" s="169" t="s">
        <v>289</v>
      </c>
      <c r="E18" s="231">
        <v>43526</v>
      </c>
      <c r="F18" s="170" t="s">
        <v>876</v>
      </c>
    </row>
    <row r="19" spans="2:6" ht="45" customHeight="1" x14ac:dyDescent="0.25">
      <c r="B19" s="2898" t="s">
        <v>5021</v>
      </c>
      <c r="C19" s="2898" t="s">
        <v>5033</v>
      </c>
      <c r="D19" s="2875" t="s">
        <v>289</v>
      </c>
      <c r="E19" s="2899">
        <v>43574</v>
      </c>
      <c r="F19" s="2898" t="s">
        <v>876</v>
      </c>
    </row>
    <row r="20" spans="2:6" ht="45" customHeight="1" x14ac:dyDescent="0.25">
      <c r="B20" s="3067" t="s">
        <v>5155</v>
      </c>
      <c r="C20" s="3067" t="s">
        <v>5156</v>
      </c>
      <c r="D20" s="3068" t="s">
        <v>289</v>
      </c>
      <c r="E20" s="3069">
        <v>43881</v>
      </c>
      <c r="F20" s="3067" t="s">
        <v>876</v>
      </c>
    </row>
    <row r="21" spans="2:6" ht="45" customHeight="1" x14ac:dyDescent="0.25">
      <c r="B21" s="3067" t="s">
        <v>5183</v>
      </c>
      <c r="C21" s="3067" t="s">
        <v>5184</v>
      </c>
      <c r="D21" s="3068" t="s">
        <v>289</v>
      </c>
      <c r="E21" s="3069">
        <v>43923</v>
      </c>
      <c r="F21" s="3067" t="s">
        <v>876</v>
      </c>
    </row>
    <row r="22" spans="2:6" x14ac:dyDescent="0.25">
      <c r="B22" s="3067" t="s">
        <v>5185</v>
      </c>
      <c r="C22" s="3067" t="s">
        <v>5186</v>
      </c>
      <c r="D22" s="3068" t="s">
        <v>289</v>
      </c>
      <c r="E22" s="3069">
        <v>43959</v>
      </c>
      <c r="F22" s="3067" t="s">
        <v>876</v>
      </c>
    </row>
    <row r="23" spans="2:6" ht="50.15" customHeight="1" x14ac:dyDescent="0.25">
      <c r="B23" s="3067" t="s">
        <v>5191</v>
      </c>
      <c r="C23" s="3067" t="s">
        <v>5192</v>
      </c>
      <c r="D23" s="3068" t="s">
        <v>289</v>
      </c>
      <c r="E23" s="3069">
        <v>44285</v>
      </c>
      <c r="F23" s="3067" t="s">
        <v>876</v>
      </c>
    </row>
    <row r="24" spans="2:6" ht="52" x14ac:dyDescent="0.25">
      <c r="B24" s="3067" t="s">
        <v>5201</v>
      </c>
      <c r="C24" s="3163" t="s">
        <v>5200</v>
      </c>
      <c r="D24" s="3068" t="s">
        <v>289</v>
      </c>
      <c r="E24" s="3069">
        <v>44590</v>
      </c>
      <c r="F24" s="3067" t="s">
        <v>876</v>
      </c>
    </row>
    <row r="25" spans="2:6" ht="80.150000000000006" customHeight="1" x14ac:dyDescent="0.25">
      <c r="B25" s="3067" t="s">
        <v>5202</v>
      </c>
      <c r="C25" s="3163" t="s">
        <v>5232</v>
      </c>
      <c r="D25" s="3068" t="s">
        <v>289</v>
      </c>
      <c r="E25" s="3069">
        <v>44650</v>
      </c>
      <c r="F25" s="3067" t="s">
        <v>876</v>
      </c>
    </row>
    <row r="26" spans="2:6" x14ac:dyDescent="0.25">
      <c r="B26" s="3067" t="s">
        <v>5302</v>
      </c>
      <c r="C26" s="3163" t="s">
        <v>5303</v>
      </c>
      <c r="D26" s="3068" t="s">
        <v>289</v>
      </c>
      <c r="E26" s="3069">
        <v>44663</v>
      </c>
      <c r="F26" s="3067" t="s">
        <v>876</v>
      </c>
    </row>
    <row r="27" spans="2:6" ht="39" x14ac:dyDescent="0.25">
      <c r="B27" s="3067" t="s">
        <v>5185</v>
      </c>
      <c r="C27" s="3163" t="s">
        <v>5309</v>
      </c>
      <c r="D27" s="3068" t="s">
        <v>289</v>
      </c>
      <c r="E27" s="3069">
        <v>45155</v>
      </c>
      <c r="F27" s="3067" t="s">
        <v>876</v>
      </c>
    </row>
    <row r="28" spans="2:6" ht="26" x14ac:dyDescent="0.25">
      <c r="B28" s="3067" t="s">
        <v>5310</v>
      </c>
      <c r="C28" s="3163" t="s">
        <v>5315</v>
      </c>
      <c r="D28" s="3068" t="s">
        <v>289</v>
      </c>
      <c r="E28" s="3069">
        <v>45370</v>
      </c>
      <c r="F28" s="3067" t="s">
        <v>876</v>
      </c>
    </row>
    <row r="29" spans="2:6" ht="52" x14ac:dyDescent="0.25">
      <c r="B29" s="3067" t="s">
        <v>5311</v>
      </c>
      <c r="C29" s="3163" t="s">
        <v>5326</v>
      </c>
      <c r="D29" s="3068" t="s">
        <v>289</v>
      </c>
      <c r="E29" s="3069">
        <v>45679</v>
      </c>
      <c r="F29" s="3067" t="s">
        <v>876</v>
      </c>
    </row>
    <row r="30" spans="2:6" ht="39" x14ac:dyDescent="0.25">
      <c r="B30" s="3067" t="s">
        <v>5327</v>
      </c>
      <c r="C30" s="3163" t="s">
        <v>5328</v>
      </c>
      <c r="D30" s="3068" t="s">
        <v>289</v>
      </c>
      <c r="E30" s="3069">
        <v>45681</v>
      </c>
      <c r="F30" s="3067" t="s">
        <v>876</v>
      </c>
    </row>
    <row r="31" spans="2:6" ht="39" x14ac:dyDescent="0.25">
      <c r="B31" s="3067" t="s">
        <v>5329</v>
      </c>
      <c r="C31" s="3163" t="s">
        <v>5331</v>
      </c>
      <c r="D31" s="3068" t="s">
        <v>289</v>
      </c>
      <c r="E31" s="3069">
        <v>45686</v>
      </c>
      <c r="F31" s="3067" t="s">
        <v>5330</v>
      </c>
    </row>
  </sheetData>
  <sheetProtection sheet="1" objects="1" scenarios="1"/>
  <mergeCells count="5">
    <mergeCell ref="B1:F1"/>
    <mergeCell ref="B9:F9"/>
    <mergeCell ref="C11:F11"/>
    <mergeCell ref="B14:F14"/>
    <mergeCell ref="C7:F8"/>
  </mergeCells>
  <phoneticPr fontId="3" type="noConversion"/>
  <pageMargins left="0.5" right="0.2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7310" r:id="rId4" name="Main Menu">
              <controlPr defaultSize="0" print="0" autoFill="0" autoPict="0" macro="[0]!Go_to_Main_from_Revision">
                <anchor moveWithCells="1" sizeWithCells="1">
                  <from>
                    <xdr:col>1</xdr:col>
                    <xdr:colOff>38100</xdr:colOff>
                    <xdr:row>32</xdr:row>
                    <xdr:rowOff>165100</xdr:rowOff>
                  </from>
                  <to>
                    <xdr:col>2</xdr:col>
                    <xdr:colOff>266700</xdr:colOff>
                    <xdr:row>34</xdr:row>
                    <xdr:rowOff>69850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7">
    <pageSetUpPr autoPageBreaks="0"/>
  </sheetPr>
  <dimension ref="A2:AA176"/>
  <sheetViews>
    <sheetView showGridLines="0" showRowColHeaders="0" topLeftCell="B41" zoomScale="70" zoomScaleNormal="70" workbookViewId="0">
      <selection activeCell="I42" sqref="I42"/>
    </sheetView>
  </sheetViews>
  <sheetFormatPr defaultColWidth="8.81640625" defaultRowHeight="13" x14ac:dyDescent="0.3"/>
  <cols>
    <col min="1" max="1" width="2.81640625" style="1464" customWidth="1"/>
    <col min="2" max="2" width="35.54296875" style="1464" customWidth="1"/>
    <col min="3" max="3" width="12.54296875" style="1464" customWidth="1"/>
    <col min="4" max="4" width="12.54296875" style="2674" customWidth="1"/>
    <col min="5" max="5" width="3.54296875" style="1464" customWidth="1"/>
    <col min="6" max="6" width="70.54296875" style="26" customWidth="1"/>
    <col min="7" max="8" width="3.54296875" style="1464" customWidth="1"/>
    <col min="9" max="9" width="35.54296875" style="1464" customWidth="1"/>
    <col min="10" max="10" width="12.54296875" style="1465" customWidth="1"/>
    <col min="11" max="11" width="12.54296875" style="2715" customWidth="1"/>
    <col min="12" max="12" width="3.54296875" style="1464" customWidth="1"/>
    <col min="13" max="13" width="8.54296875" style="1464" customWidth="1"/>
    <col min="14" max="25" width="12.54296875" style="1464" customWidth="1"/>
    <col min="26" max="26" width="4.54296875" style="1464" customWidth="1"/>
    <col min="27" max="27" width="9.1796875" style="1464" customWidth="1"/>
    <col min="28" max="29" width="8.81640625" style="1464"/>
    <col min="30" max="30" width="5.54296875" style="1464" customWidth="1"/>
    <col min="31" max="16384" width="8.81640625" style="1464"/>
  </cols>
  <sheetData>
    <row r="2" spans="1:26" ht="53.5" customHeight="1" x14ac:dyDescent="0.3">
      <c r="B2" s="4342" t="s">
        <v>4871</v>
      </c>
      <c r="C2" s="4343"/>
      <c r="D2" s="4343"/>
      <c r="E2" s="4343"/>
      <c r="F2" s="4343"/>
      <c r="G2" s="4344"/>
      <c r="H2" s="4344"/>
      <c r="I2" s="4344"/>
    </row>
    <row r="3" spans="1:26" ht="13.5" thickBot="1" x14ac:dyDescent="0.35">
      <c r="A3" s="19"/>
      <c r="B3" s="19"/>
      <c r="C3" s="19"/>
      <c r="E3" s="19"/>
      <c r="F3" s="19"/>
      <c r="G3" s="19"/>
      <c r="H3" s="19"/>
      <c r="I3" s="19"/>
      <c r="J3" s="19"/>
      <c r="K3" s="2674"/>
      <c r="L3" s="19"/>
      <c r="M3" s="19"/>
      <c r="N3" s="19"/>
      <c r="O3" s="19"/>
      <c r="P3" s="19"/>
      <c r="Q3" s="19"/>
      <c r="R3" s="19"/>
      <c r="S3" s="19"/>
      <c r="T3" s="19"/>
      <c r="U3" s="19"/>
    </row>
    <row r="4" spans="1:26" ht="30" customHeight="1" thickBot="1" x14ac:dyDescent="0.4">
      <c r="A4" s="1890"/>
      <c r="B4" s="4382" t="s">
        <v>4067</v>
      </c>
      <c r="C4" s="4382"/>
      <c r="D4" s="4382"/>
      <c r="E4" s="4383"/>
      <c r="F4" s="4383"/>
      <c r="G4" s="1803"/>
      <c r="H4" s="2550"/>
      <c r="I4" s="4384" t="s">
        <v>2253</v>
      </c>
      <c r="J4" s="4385"/>
      <c r="K4" s="4385"/>
      <c r="L4" s="4386"/>
      <c r="M4" s="4386"/>
      <c r="N4" s="4386"/>
      <c r="O4" s="4386"/>
      <c r="P4" s="4386"/>
      <c r="Q4" s="4386"/>
      <c r="R4" s="4387"/>
      <c r="S4" s="2550"/>
      <c r="T4" s="2792"/>
      <c r="U4" s="2792"/>
      <c r="V4" s="2792"/>
      <c r="W4" s="2792"/>
      <c r="X4" s="2792"/>
      <c r="Y4" s="2792"/>
      <c r="Z4" s="1894"/>
    </row>
    <row r="5" spans="1:26" ht="30" customHeight="1" thickBot="1" x14ac:dyDescent="0.35">
      <c r="A5" s="1891"/>
      <c r="B5" s="4388" t="s">
        <v>4069</v>
      </c>
      <c r="C5" s="4389"/>
      <c r="D5" s="4390"/>
      <c r="E5" s="2666"/>
      <c r="F5" s="2723" t="s">
        <v>870</v>
      </c>
      <c r="G5" s="1757"/>
      <c r="H5" s="2551"/>
      <c r="I5" s="4364" t="s">
        <v>3616</v>
      </c>
      <c r="J5" s="4365"/>
      <c r="K5" s="4366"/>
      <c r="L5" s="2551"/>
      <c r="M5" s="4352" t="s">
        <v>870</v>
      </c>
      <c r="N5" s="4353"/>
      <c r="O5" s="4354"/>
      <c r="P5" s="4354"/>
      <c r="Q5" s="4354"/>
      <c r="R5" s="4355"/>
      <c r="S5" s="2551"/>
      <c r="T5" s="4370" t="s">
        <v>4781</v>
      </c>
      <c r="U5" s="4371"/>
      <c r="V5" s="4371"/>
      <c r="W5" s="4371"/>
      <c r="X5" s="4371"/>
      <c r="Y5" s="4372"/>
      <c r="Z5" s="1895"/>
    </row>
    <row r="6" spans="1:26" ht="35.15" customHeight="1" x14ac:dyDescent="0.3">
      <c r="A6" s="1891"/>
      <c r="B6" s="1913" t="s">
        <v>4707</v>
      </c>
      <c r="C6" s="2763">
        <v>25</v>
      </c>
      <c r="D6" s="1914" t="s">
        <v>1836</v>
      </c>
      <c r="E6" s="2666"/>
      <c r="F6" s="2764" t="s">
        <v>5000</v>
      </c>
      <c r="G6" s="1757"/>
      <c r="H6" s="2551"/>
      <c r="I6" s="2695" t="s">
        <v>3718</v>
      </c>
      <c r="J6" s="3217">
        <v>0.5</v>
      </c>
      <c r="K6" s="3220"/>
      <c r="L6" s="2699"/>
      <c r="M6" s="4373" t="s">
        <v>5014</v>
      </c>
      <c r="N6" s="4374"/>
      <c r="O6" s="4375"/>
      <c r="P6" s="4375"/>
      <c r="Q6" s="4375"/>
      <c r="R6" s="4376"/>
      <c r="S6" s="2551"/>
      <c r="T6" s="4397"/>
      <c r="U6" s="4398"/>
      <c r="V6" s="4398"/>
      <c r="W6" s="4398"/>
      <c r="X6" s="4398"/>
      <c r="Y6" s="4399"/>
      <c r="Z6" s="1895"/>
    </row>
    <row r="7" spans="1:26" ht="35.15" customHeight="1" x14ac:dyDescent="0.3">
      <c r="A7" s="1891"/>
      <c r="B7" s="1898" t="s">
        <v>4080</v>
      </c>
      <c r="C7" s="2667">
        <v>-10</v>
      </c>
      <c r="D7" s="2664" t="s">
        <v>1836</v>
      </c>
      <c r="E7" s="2666"/>
      <c r="F7" s="2765" t="s">
        <v>4813</v>
      </c>
      <c r="G7" s="1757"/>
      <c r="H7" s="2551"/>
      <c r="I7" s="2696" t="s">
        <v>4910</v>
      </c>
      <c r="J7" s="2503">
        <v>0.9</v>
      </c>
      <c r="K7" s="3221"/>
      <c r="L7" s="2699"/>
      <c r="M7" s="4360" t="s">
        <v>5015</v>
      </c>
      <c r="N7" s="4361"/>
      <c r="O7" s="4362"/>
      <c r="P7" s="4362"/>
      <c r="Q7" s="4362"/>
      <c r="R7" s="4363"/>
      <c r="S7" s="2551"/>
      <c r="T7" s="4400"/>
      <c r="U7" s="3609"/>
      <c r="V7" s="3609"/>
      <c r="W7" s="3609"/>
      <c r="X7" s="3609"/>
      <c r="Y7" s="4401"/>
      <c r="Z7" s="1895"/>
    </row>
    <row r="8" spans="1:26" ht="35.15" customHeight="1" x14ac:dyDescent="0.3">
      <c r="A8" s="1891"/>
      <c r="B8" s="1898" t="s">
        <v>3604</v>
      </c>
      <c r="C8" s="2660">
        <v>3</v>
      </c>
      <c r="D8" s="2664" t="s">
        <v>1714</v>
      </c>
      <c r="E8" s="2666"/>
      <c r="F8" s="2765" t="s">
        <v>4911</v>
      </c>
      <c r="G8" s="1757"/>
      <c r="H8" s="2551"/>
      <c r="I8" s="2696" t="s">
        <v>3651</v>
      </c>
      <c r="J8" s="2503">
        <v>60</v>
      </c>
      <c r="K8" s="3221" t="s">
        <v>1836</v>
      </c>
      <c r="L8" s="2699"/>
      <c r="M8" s="4360" t="s">
        <v>5282</v>
      </c>
      <c r="N8" s="4361"/>
      <c r="O8" s="4362"/>
      <c r="P8" s="4362"/>
      <c r="Q8" s="4362"/>
      <c r="R8" s="4363"/>
      <c r="S8" s="2551"/>
      <c r="T8" s="4400"/>
      <c r="U8" s="3609"/>
      <c r="V8" s="3609"/>
      <c r="W8" s="3609"/>
      <c r="X8" s="3609"/>
      <c r="Y8" s="4401"/>
      <c r="Z8" s="1895"/>
    </row>
    <row r="9" spans="1:26" ht="35.15" customHeight="1" x14ac:dyDescent="0.3">
      <c r="A9" s="1891"/>
      <c r="B9" s="1898" t="s">
        <v>3605</v>
      </c>
      <c r="C9" s="2660">
        <v>1.5</v>
      </c>
      <c r="D9" s="2664" t="s">
        <v>1714</v>
      </c>
      <c r="E9" s="2666"/>
      <c r="F9" s="2765" t="s">
        <v>4912</v>
      </c>
      <c r="G9" s="1757"/>
      <c r="H9" s="2551"/>
      <c r="I9" s="2696" t="s">
        <v>4913</v>
      </c>
      <c r="J9" s="2503">
        <v>400</v>
      </c>
      <c r="K9" s="3221" t="s">
        <v>1836</v>
      </c>
      <c r="L9" s="2699"/>
      <c r="M9" s="4360" t="s">
        <v>4852</v>
      </c>
      <c r="N9" s="4361"/>
      <c r="O9" s="4362"/>
      <c r="P9" s="4362"/>
      <c r="Q9" s="4362"/>
      <c r="R9" s="4363"/>
      <c r="S9" s="2551"/>
      <c r="T9" s="4400"/>
      <c r="U9" s="3609"/>
      <c r="V9" s="3609"/>
      <c r="W9" s="3609"/>
      <c r="X9" s="3609"/>
      <c r="Y9" s="4401"/>
      <c r="Z9" s="1895"/>
    </row>
    <row r="10" spans="1:26" ht="35.15" customHeight="1" x14ac:dyDescent="0.3">
      <c r="A10" s="1891"/>
      <c r="B10" s="1898" t="s">
        <v>2249</v>
      </c>
      <c r="C10" s="2660">
        <v>0.1</v>
      </c>
      <c r="D10" s="2664" t="s">
        <v>1714</v>
      </c>
      <c r="E10" s="2666"/>
      <c r="F10" s="2765" t="s">
        <v>5001</v>
      </c>
      <c r="G10" s="1757"/>
      <c r="H10" s="2551"/>
      <c r="I10" s="2697" t="s">
        <v>3970</v>
      </c>
      <c r="J10" s="2503">
        <v>100</v>
      </c>
      <c r="K10" s="3221" t="s">
        <v>2822</v>
      </c>
      <c r="L10" s="2699"/>
      <c r="M10" s="4360" t="s">
        <v>4853</v>
      </c>
      <c r="N10" s="4361"/>
      <c r="O10" s="4362"/>
      <c r="P10" s="4362"/>
      <c r="Q10" s="4362"/>
      <c r="R10" s="4363"/>
      <c r="S10" s="2551"/>
      <c r="T10" s="4400"/>
      <c r="U10" s="3609"/>
      <c r="V10" s="3609"/>
      <c r="W10" s="3609"/>
      <c r="X10" s="3609"/>
      <c r="Y10" s="4401"/>
      <c r="Z10" s="1895"/>
    </row>
    <row r="11" spans="1:26" ht="35.15" customHeight="1" x14ac:dyDescent="0.3">
      <c r="A11" s="1891"/>
      <c r="B11" s="1898" t="s">
        <v>3612</v>
      </c>
      <c r="C11" s="2660">
        <v>0.5</v>
      </c>
      <c r="D11" s="2664" t="s">
        <v>3614</v>
      </c>
      <c r="E11" s="2666"/>
      <c r="F11" s="2765" t="s">
        <v>4814</v>
      </c>
      <c r="G11" s="1757"/>
      <c r="H11" s="2551"/>
      <c r="I11" s="2696" t="s">
        <v>5212</v>
      </c>
      <c r="J11" s="2504">
        <v>0.1</v>
      </c>
      <c r="K11" s="3221" t="s">
        <v>893</v>
      </c>
      <c r="L11" s="3219"/>
      <c r="M11" s="4360" t="s">
        <v>5213</v>
      </c>
      <c r="N11" s="4361"/>
      <c r="O11" s="4362"/>
      <c r="P11" s="4362"/>
      <c r="Q11" s="4362"/>
      <c r="R11" s="4363"/>
      <c r="S11" s="2551"/>
      <c r="T11" s="4400"/>
      <c r="U11" s="3609"/>
      <c r="V11" s="3609"/>
      <c r="W11" s="3609"/>
      <c r="X11" s="3609"/>
      <c r="Y11" s="4401"/>
      <c r="Z11" s="1895"/>
    </row>
    <row r="12" spans="1:26" ht="35.15" customHeight="1" x14ac:dyDescent="0.3">
      <c r="A12" s="1891"/>
      <c r="B12" s="1898" t="s">
        <v>3515</v>
      </c>
      <c r="C12" s="2668">
        <f>Ht_Loss_Coeff_B*IF(Insulation_Factor="",0.05,Insulation_Factor)</f>
        <v>5.0000000000000001E-4</v>
      </c>
      <c r="D12" s="2664" t="s">
        <v>3121</v>
      </c>
      <c r="E12" s="2666"/>
      <c r="F12" s="2765" t="s">
        <v>5002</v>
      </c>
      <c r="G12" s="1757"/>
      <c r="H12" s="2551"/>
      <c r="I12" s="2696" t="s">
        <v>3652</v>
      </c>
      <c r="J12" s="2503">
        <v>5</v>
      </c>
      <c r="K12" s="3221" t="s">
        <v>1836</v>
      </c>
      <c r="L12" s="2699"/>
      <c r="M12" s="4360" t="s">
        <v>4914</v>
      </c>
      <c r="N12" s="4361"/>
      <c r="O12" s="4362"/>
      <c r="P12" s="4362"/>
      <c r="Q12" s="4362"/>
      <c r="R12" s="4363"/>
      <c r="S12" s="2551"/>
      <c r="T12" s="4400"/>
      <c r="U12" s="3609"/>
      <c r="V12" s="3609"/>
      <c r="W12" s="3609"/>
      <c r="X12" s="3609"/>
      <c r="Y12" s="4401"/>
      <c r="Z12" s="1895"/>
    </row>
    <row r="13" spans="1:26" ht="35.15" customHeight="1" x14ac:dyDescent="0.3">
      <c r="A13" s="1891"/>
      <c r="B13" s="1899" t="s">
        <v>3516</v>
      </c>
      <c r="C13" s="2660">
        <v>0.01</v>
      </c>
      <c r="D13" s="2664" t="s">
        <v>3121</v>
      </c>
      <c r="E13" s="2666"/>
      <c r="F13" s="2765" t="s">
        <v>5003</v>
      </c>
      <c r="G13" s="1757"/>
      <c r="H13" s="2551"/>
      <c r="I13" s="2696" t="s">
        <v>4680</v>
      </c>
      <c r="J13" s="2503">
        <v>10</v>
      </c>
      <c r="K13" s="3221" t="s">
        <v>1067</v>
      </c>
      <c r="L13" s="2699"/>
      <c r="M13" s="4360" t="s">
        <v>4854</v>
      </c>
      <c r="N13" s="4361"/>
      <c r="O13" s="4362"/>
      <c r="P13" s="4362"/>
      <c r="Q13" s="4362"/>
      <c r="R13" s="4363"/>
      <c r="S13" s="2551"/>
      <c r="T13" s="4400"/>
      <c r="U13" s="3609"/>
      <c r="V13" s="3609"/>
      <c r="W13" s="3609"/>
      <c r="X13" s="3609"/>
      <c r="Y13" s="4401"/>
      <c r="Z13" s="1895"/>
    </row>
    <row r="14" spans="1:26" ht="35.15" customHeight="1" x14ac:dyDescent="0.3">
      <c r="A14" s="1891"/>
      <c r="B14" s="1899" t="s">
        <v>4684</v>
      </c>
      <c r="C14" s="2660">
        <v>3600</v>
      </c>
      <c r="D14" s="2664" t="s">
        <v>1760</v>
      </c>
      <c r="E14" s="2666"/>
      <c r="F14" s="2765" t="s">
        <v>4915</v>
      </c>
      <c r="G14" s="1757"/>
      <c r="H14" s="2551"/>
      <c r="I14" s="2793" t="s">
        <v>4091</v>
      </c>
      <c r="J14" s="2503">
        <v>100</v>
      </c>
      <c r="K14" s="3221" t="s">
        <v>2822</v>
      </c>
      <c r="L14" s="2699"/>
      <c r="M14" s="4345" t="s">
        <v>5312</v>
      </c>
      <c r="N14" s="4346"/>
      <c r="O14" s="4346"/>
      <c r="P14" s="4346"/>
      <c r="Q14" s="4346"/>
      <c r="R14" s="4347"/>
      <c r="S14" s="2551"/>
      <c r="T14" s="4400"/>
      <c r="U14" s="3609"/>
      <c r="V14" s="3609"/>
      <c r="W14" s="3609"/>
      <c r="X14" s="3609"/>
      <c r="Y14" s="4401"/>
      <c r="Z14" s="1895"/>
    </row>
    <row r="15" spans="1:26" ht="35.15" customHeight="1" x14ac:dyDescent="0.3">
      <c r="A15" s="1891"/>
      <c r="B15" s="1900" t="s">
        <v>4066</v>
      </c>
      <c r="C15" s="2660">
        <v>10</v>
      </c>
      <c r="D15" s="2664" t="s">
        <v>262</v>
      </c>
      <c r="E15" s="2666"/>
      <c r="F15" s="2765" t="s">
        <v>5004</v>
      </c>
      <c r="G15" s="1757"/>
      <c r="H15" s="2551"/>
      <c r="I15" s="3216" t="s">
        <v>4845</v>
      </c>
      <c r="J15" s="2504">
        <v>10</v>
      </c>
      <c r="K15" s="3221" t="s">
        <v>2822</v>
      </c>
      <c r="L15" s="2699"/>
      <c r="M15" s="4345" t="s">
        <v>5313</v>
      </c>
      <c r="N15" s="4346"/>
      <c r="O15" s="4346"/>
      <c r="P15" s="4346"/>
      <c r="Q15" s="4346"/>
      <c r="R15" s="4347"/>
      <c r="S15" s="2551"/>
      <c r="T15" s="4400"/>
      <c r="U15" s="3609"/>
      <c r="V15" s="3609"/>
      <c r="W15" s="3609"/>
      <c r="X15" s="3609"/>
      <c r="Y15" s="4401"/>
      <c r="Z15" s="1895"/>
    </row>
    <row r="16" spans="1:26" ht="35.15" customHeight="1" x14ac:dyDescent="0.3">
      <c r="A16" s="1891"/>
      <c r="B16" s="1901" t="s">
        <v>4738</v>
      </c>
      <c r="C16" s="2660">
        <v>0.5</v>
      </c>
      <c r="D16" s="1915"/>
      <c r="E16" s="2666"/>
      <c r="F16" s="2765" t="s">
        <v>4815</v>
      </c>
      <c r="G16" s="1757"/>
      <c r="H16" s="2551"/>
      <c r="I16" s="2793" t="s">
        <v>4846</v>
      </c>
      <c r="J16" s="2503">
        <v>840</v>
      </c>
      <c r="K16" s="3221" t="s">
        <v>4848</v>
      </c>
      <c r="L16" s="2699"/>
      <c r="M16" s="4345" t="s">
        <v>5016</v>
      </c>
      <c r="N16" s="4346"/>
      <c r="O16" s="4346"/>
      <c r="P16" s="4346"/>
      <c r="Q16" s="4346"/>
      <c r="R16" s="4347"/>
      <c r="S16" s="2551"/>
      <c r="T16" s="4400"/>
      <c r="U16" s="3609"/>
      <c r="V16" s="3609"/>
      <c r="W16" s="3609"/>
      <c r="X16" s="3609"/>
      <c r="Y16" s="4401"/>
      <c r="Z16" s="1895"/>
    </row>
    <row r="17" spans="1:26" ht="35.15" customHeight="1" x14ac:dyDescent="0.3">
      <c r="A17" s="1891"/>
      <c r="B17" s="1901" t="s">
        <v>4739</v>
      </c>
      <c r="C17" s="2660">
        <v>2</v>
      </c>
      <c r="D17" s="1915"/>
      <c r="E17" s="2666"/>
      <c r="F17" s="2766" t="s">
        <v>4816</v>
      </c>
      <c r="G17" s="1757"/>
      <c r="H17" s="2551"/>
      <c r="I17" s="2793" t="s">
        <v>4847</v>
      </c>
      <c r="J17" s="2503">
        <v>24000000</v>
      </c>
      <c r="K17" s="3221" t="s">
        <v>4844</v>
      </c>
      <c r="L17" s="2699"/>
      <c r="M17" s="4345" t="s">
        <v>5017</v>
      </c>
      <c r="N17" s="4346"/>
      <c r="O17" s="4346"/>
      <c r="P17" s="4346"/>
      <c r="Q17" s="4346"/>
      <c r="R17" s="4347"/>
      <c r="S17" s="2551"/>
      <c r="T17" s="4400"/>
      <c r="U17" s="3609"/>
      <c r="V17" s="3609"/>
      <c r="W17" s="3609"/>
      <c r="X17" s="3609"/>
      <c r="Y17" s="4401"/>
      <c r="Z17" s="1895"/>
    </row>
    <row r="18" spans="1:26" ht="35.15" customHeight="1" x14ac:dyDescent="0.3">
      <c r="A18" s="1891"/>
      <c r="B18" s="1899" t="s">
        <v>3545</v>
      </c>
      <c r="C18" s="2660">
        <v>0.19</v>
      </c>
      <c r="D18" s="2664" t="s">
        <v>3543</v>
      </c>
      <c r="E18" s="2666"/>
      <c r="F18" s="2766" t="s">
        <v>5005</v>
      </c>
      <c r="G18" s="1757"/>
      <c r="H18" s="2551"/>
      <c r="I18" s="2794" t="s">
        <v>4678</v>
      </c>
      <c r="J18" s="2503">
        <v>1</v>
      </c>
      <c r="K18" s="3221"/>
      <c r="L18" s="2699"/>
      <c r="M18" s="4345" t="s">
        <v>4916</v>
      </c>
      <c r="N18" s="4346"/>
      <c r="O18" s="4346"/>
      <c r="P18" s="4346"/>
      <c r="Q18" s="4346"/>
      <c r="R18" s="4347"/>
      <c r="S18" s="2551"/>
      <c r="T18" s="4400"/>
      <c r="U18" s="3609"/>
      <c r="V18" s="3609"/>
      <c r="W18" s="3609"/>
      <c r="X18" s="3609"/>
      <c r="Y18" s="4401"/>
      <c r="Z18" s="1895"/>
    </row>
    <row r="19" spans="1:26" ht="35.15" customHeight="1" x14ac:dyDescent="0.3">
      <c r="A19" s="1891"/>
      <c r="B19" s="1899" t="s">
        <v>3544</v>
      </c>
      <c r="C19" s="2660">
        <v>0.12</v>
      </c>
      <c r="D19" s="2664" t="s">
        <v>3543</v>
      </c>
      <c r="E19" s="2666"/>
      <c r="F19" s="2766" t="s">
        <v>5283</v>
      </c>
      <c r="G19" s="1757"/>
      <c r="H19" s="2551"/>
      <c r="I19" s="2794" t="s">
        <v>2252</v>
      </c>
      <c r="J19" s="2503">
        <v>0.9</v>
      </c>
      <c r="K19" s="3221"/>
      <c r="L19" s="2699"/>
      <c r="M19" s="4345" t="s">
        <v>4843</v>
      </c>
      <c r="N19" s="4346"/>
      <c r="O19" s="4346"/>
      <c r="P19" s="4346"/>
      <c r="Q19" s="4346"/>
      <c r="R19" s="4347"/>
      <c r="S19" s="2551"/>
      <c r="T19" s="4400"/>
      <c r="U19" s="3609"/>
      <c r="V19" s="3609"/>
      <c r="W19" s="3609"/>
      <c r="X19" s="3609"/>
      <c r="Y19" s="4401"/>
      <c r="Z19" s="1895"/>
    </row>
    <row r="20" spans="1:26" ht="35.15" customHeight="1" thickBot="1" x14ac:dyDescent="0.35">
      <c r="A20" s="1891"/>
      <c r="B20" s="1899" t="s">
        <v>4256</v>
      </c>
      <c r="C20" s="2660">
        <v>1000</v>
      </c>
      <c r="D20" s="2664" t="s">
        <v>1506</v>
      </c>
      <c r="E20" s="2666"/>
      <c r="F20" s="2766" t="s">
        <v>4817</v>
      </c>
      <c r="G20" s="1757"/>
      <c r="H20" s="2551"/>
      <c r="I20" s="2697" t="s">
        <v>3733</v>
      </c>
      <c r="J20" s="2503">
        <v>10</v>
      </c>
      <c r="K20" s="3221" t="s">
        <v>968</v>
      </c>
      <c r="L20" s="2699"/>
      <c r="M20" s="4356" t="s">
        <v>4855</v>
      </c>
      <c r="N20" s="4357"/>
      <c r="O20" s="4358"/>
      <c r="P20" s="4358"/>
      <c r="Q20" s="4358"/>
      <c r="R20" s="4359"/>
      <c r="S20" s="2551"/>
      <c r="T20" s="4400"/>
      <c r="U20" s="3609"/>
      <c r="V20" s="3609"/>
      <c r="W20" s="3609"/>
      <c r="X20" s="3609"/>
      <c r="Y20" s="4401"/>
      <c r="Z20" s="1895"/>
    </row>
    <row r="21" spans="1:26" ht="35.15" customHeight="1" thickBot="1" x14ac:dyDescent="0.35">
      <c r="A21" s="1891"/>
      <c r="B21" s="1899" t="s">
        <v>3514</v>
      </c>
      <c r="C21" s="2660">
        <v>0.5</v>
      </c>
      <c r="D21" s="1915"/>
      <c r="E21" s="2666"/>
      <c r="F21" s="2766" t="s">
        <v>5284</v>
      </c>
      <c r="G21" s="1757"/>
      <c r="H21" s="2551"/>
      <c r="I21" s="2698" t="s">
        <v>5214</v>
      </c>
      <c r="J21" s="3218">
        <v>0.5</v>
      </c>
      <c r="K21" s="3222"/>
      <c r="L21" s="2699"/>
      <c r="M21" s="4356" t="s">
        <v>5285</v>
      </c>
      <c r="N21" s="4357"/>
      <c r="O21" s="4358"/>
      <c r="P21" s="4358"/>
      <c r="Q21" s="4358"/>
      <c r="R21" s="4359"/>
      <c r="S21" s="2551"/>
      <c r="T21" s="4400"/>
      <c r="U21" s="3609"/>
      <c r="V21" s="3609"/>
      <c r="W21" s="3609"/>
      <c r="X21" s="3609"/>
      <c r="Y21" s="4401"/>
      <c r="Z21" s="1895"/>
    </row>
    <row r="22" spans="1:26" ht="35.15" customHeight="1" x14ac:dyDescent="0.3">
      <c r="A22" s="1891"/>
      <c r="B22" s="1900" t="s">
        <v>4254</v>
      </c>
      <c r="C22" s="2660">
        <v>2</v>
      </c>
      <c r="D22" s="1915"/>
      <c r="E22" s="2666"/>
      <c r="F22" s="2766" t="s">
        <v>5286</v>
      </c>
      <c r="G22" s="1757"/>
      <c r="H22" s="2551"/>
      <c r="I22" s="2694"/>
      <c r="J22" s="1236"/>
      <c r="K22" s="2704"/>
      <c r="L22" s="2699"/>
      <c r="M22" s="2699"/>
      <c r="N22" s="2699"/>
      <c r="O22" s="2699"/>
      <c r="P22" s="2699"/>
      <c r="Q22" s="2699"/>
      <c r="R22" s="2851"/>
      <c r="S22" s="2551"/>
      <c r="T22" s="4400"/>
      <c r="U22" s="3609"/>
      <c r="V22" s="3609"/>
      <c r="W22" s="3609"/>
      <c r="X22" s="3609"/>
      <c r="Y22" s="4401"/>
      <c r="Z22" s="1895"/>
    </row>
    <row r="23" spans="1:26" ht="35.15" customHeight="1" thickBot="1" x14ac:dyDescent="0.35">
      <c r="A23" s="1891"/>
      <c r="B23" s="1900" t="s">
        <v>4255</v>
      </c>
      <c r="C23" s="2660">
        <v>5</v>
      </c>
      <c r="D23" s="1915"/>
      <c r="E23" s="2666"/>
      <c r="F23" s="2766" t="s">
        <v>5286</v>
      </c>
      <c r="G23" s="1757"/>
      <c r="H23" s="2551"/>
      <c r="I23" s="2694"/>
      <c r="J23" s="1236"/>
      <c r="K23" s="2704"/>
      <c r="L23" s="2699"/>
      <c r="M23" s="2699"/>
      <c r="N23" s="2699"/>
      <c r="O23" s="2699"/>
      <c r="P23" s="2699"/>
      <c r="Q23" s="2699"/>
      <c r="R23" s="2851"/>
      <c r="S23" s="2551"/>
      <c r="T23" s="4400"/>
      <c r="U23" s="3609"/>
      <c r="V23" s="3609"/>
      <c r="W23" s="3609"/>
      <c r="X23" s="3609"/>
      <c r="Y23" s="4401"/>
      <c r="Z23" s="1895"/>
    </row>
    <row r="24" spans="1:26" ht="35.15" customHeight="1" thickBot="1" x14ac:dyDescent="0.35">
      <c r="A24" s="1891"/>
      <c r="B24" s="723" t="s">
        <v>3720</v>
      </c>
      <c r="C24" s="2659">
        <v>1</v>
      </c>
      <c r="D24" s="2717" t="s">
        <v>1068</v>
      </c>
      <c r="E24" s="2666"/>
      <c r="F24" s="2766" t="s">
        <v>5006</v>
      </c>
      <c r="G24" s="1757"/>
      <c r="H24" s="2551"/>
      <c r="I24" s="4367" t="s">
        <v>3749</v>
      </c>
      <c r="J24" s="4368"/>
      <c r="K24" s="4369"/>
      <c r="L24" s="1236"/>
      <c r="M24" s="4352" t="s">
        <v>870</v>
      </c>
      <c r="N24" s="4353"/>
      <c r="O24" s="4354"/>
      <c r="P24" s="4354"/>
      <c r="Q24" s="4354"/>
      <c r="R24" s="4355"/>
      <c r="S24" s="2551"/>
      <c r="T24" s="4400"/>
      <c r="U24" s="3609"/>
      <c r="V24" s="3609"/>
      <c r="W24" s="3609"/>
      <c r="X24" s="3609"/>
      <c r="Y24" s="4401"/>
      <c r="Z24" s="1895"/>
    </row>
    <row r="25" spans="1:26" ht="35.15" customHeight="1" x14ac:dyDescent="0.3">
      <c r="A25" s="1891"/>
      <c r="B25" s="723" t="s">
        <v>3719</v>
      </c>
      <c r="C25" s="2659">
        <v>3</v>
      </c>
      <c r="D25" s="2717" t="s">
        <v>1068</v>
      </c>
      <c r="E25" s="2666"/>
      <c r="F25" s="2766" t="s">
        <v>4818</v>
      </c>
      <c r="G25" s="1757"/>
      <c r="H25" s="2551"/>
      <c r="I25" s="2695" t="s">
        <v>3737</v>
      </c>
      <c r="J25" s="2497">
        <v>420</v>
      </c>
      <c r="K25" s="1914" t="s">
        <v>3738</v>
      </c>
      <c r="L25" s="2699"/>
      <c r="M25" s="4373" t="s">
        <v>4849</v>
      </c>
      <c r="N25" s="4374"/>
      <c r="O25" s="4375"/>
      <c r="P25" s="4375"/>
      <c r="Q25" s="4375"/>
      <c r="R25" s="4376"/>
      <c r="S25" s="2551"/>
      <c r="T25" s="4400"/>
      <c r="U25" s="3609"/>
      <c r="V25" s="3609"/>
      <c r="W25" s="3609"/>
      <c r="X25" s="3609"/>
      <c r="Y25" s="4401"/>
      <c r="Z25" s="1895"/>
    </row>
    <row r="26" spans="1:26" ht="35.15" customHeight="1" x14ac:dyDescent="0.3">
      <c r="A26" s="1891"/>
      <c r="B26" s="2691" t="s">
        <v>3125</v>
      </c>
      <c r="C26" s="2660">
        <v>15</v>
      </c>
      <c r="D26" s="1915"/>
      <c r="E26" s="2666"/>
      <c r="F26" s="4393" t="s">
        <v>4917</v>
      </c>
      <c r="G26" s="1757"/>
      <c r="H26" s="2551"/>
      <c r="I26" s="2696" t="s">
        <v>3751</v>
      </c>
      <c r="J26" s="2660">
        <v>300</v>
      </c>
      <c r="K26" s="2664" t="s">
        <v>3750</v>
      </c>
      <c r="L26" s="2699"/>
      <c r="M26" s="4360" t="s">
        <v>4851</v>
      </c>
      <c r="N26" s="4361"/>
      <c r="O26" s="4362"/>
      <c r="P26" s="4362"/>
      <c r="Q26" s="4362"/>
      <c r="R26" s="4363"/>
      <c r="S26" s="2551"/>
      <c r="T26" s="4400"/>
      <c r="U26" s="3609"/>
      <c r="V26" s="3609"/>
      <c r="W26" s="3609"/>
      <c r="X26" s="3609"/>
      <c r="Y26" s="4401"/>
      <c r="Z26" s="1895"/>
    </row>
    <row r="27" spans="1:26" ht="35.15" customHeight="1" x14ac:dyDescent="0.3">
      <c r="A27" s="1891"/>
      <c r="B27" s="2691" t="s">
        <v>3126</v>
      </c>
      <c r="C27" s="2660">
        <v>0.25</v>
      </c>
      <c r="D27" s="1915"/>
      <c r="E27" s="2666"/>
      <c r="F27" s="4393"/>
      <c r="G27" s="1757"/>
      <c r="H27" s="2551"/>
      <c r="I27" s="2696" t="s">
        <v>3752</v>
      </c>
      <c r="J27" s="2660">
        <v>100</v>
      </c>
      <c r="K27" s="2664" t="s">
        <v>3750</v>
      </c>
      <c r="L27" s="2699"/>
      <c r="M27" s="4360" t="s">
        <v>4919</v>
      </c>
      <c r="N27" s="4361"/>
      <c r="O27" s="4362"/>
      <c r="P27" s="4362"/>
      <c r="Q27" s="4362"/>
      <c r="R27" s="4363"/>
      <c r="S27" s="2551"/>
      <c r="T27" s="4400"/>
      <c r="U27" s="3609"/>
      <c r="V27" s="3609"/>
      <c r="W27" s="3609"/>
      <c r="X27" s="3609"/>
      <c r="Y27" s="4401"/>
      <c r="Z27" s="1895"/>
    </row>
    <row r="28" spans="1:26" ht="35.15" customHeight="1" x14ac:dyDescent="0.3">
      <c r="A28" s="1891"/>
      <c r="B28" s="1902" t="s">
        <v>3827</v>
      </c>
      <c r="C28" s="2660">
        <v>10</v>
      </c>
      <c r="D28" s="1915"/>
      <c r="E28" s="2666"/>
      <c r="F28" s="2767" t="s">
        <v>5007</v>
      </c>
      <c r="G28" s="1757"/>
      <c r="H28" s="2551"/>
      <c r="I28" s="2696" t="s">
        <v>3753</v>
      </c>
      <c r="J28" s="2660">
        <v>30</v>
      </c>
      <c r="K28" s="2664" t="s">
        <v>3750</v>
      </c>
      <c r="L28" s="2699"/>
      <c r="M28" s="4360" t="s">
        <v>4866</v>
      </c>
      <c r="N28" s="4361"/>
      <c r="O28" s="4362"/>
      <c r="P28" s="4362"/>
      <c r="Q28" s="4362"/>
      <c r="R28" s="4363"/>
      <c r="S28" s="2551"/>
      <c r="T28" s="4400"/>
      <c r="U28" s="3609"/>
      <c r="V28" s="3609"/>
      <c r="W28" s="3609"/>
      <c r="X28" s="3609"/>
      <c r="Y28" s="4401"/>
      <c r="Z28" s="1895"/>
    </row>
    <row r="29" spans="1:26" ht="35.15" customHeight="1" thickBot="1" x14ac:dyDescent="0.35">
      <c r="A29" s="1891"/>
      <c r="B29" s="723" t="s">
        <v>3599</v>
      </c>
      <c r="C29" s="4488" t="s">
        <v>3623</v>
      </c>
      <c r="D29" s="4489"/>
      <c r="E29" s="2666"/>
      <c r="F29" s="2768" t="s">
        <v>4918</v>
      </c>
      <c r="G29" s="1757"/>
      <c r="H29" s="2551"/>
      <c r="I29" s="2698" t="s">
        <v>3762</v>
      </c>
      <c r="J29" s="2496">
        <v>10</v>
      </c>
      <c r="K29" s="2716"/>
      <c r="L29" s="2699"/>
      <c r="M29" s="4356" t="s">
        <v>4850</v>
      </c>
      <c r="N29" s="4357"/>
      <c r="O29" s="4358"/>
      <c r="P29" s="4358"/>
      <c r="Q29" s="4358"/>
      <c r="R29" s="4359"/>
      <c r="S29" s="2551"/>
      <c r="T29" s="4400"/>
      <c r="U29" s="3609"/>
      <c r="V29" s="3609"/>
      <c r="W29" s="3609"/>
      <c r="X29" s="3609"/>
      <c r="Y29" s="4401"/>
      <c r="Z29" s="1895"/>
    </row>
    <row r="30" spans="1:26" ht="35.15" customHeight="1" x14ac:dyDescent="0.3">
      <c r="A30" s="1891"/>
      <c r="B30" s="723" t="s">
        <v>3601</v>
      </c>
      <c r="C30" s="4488" t="s">
        <v>3602</v>
      </c>
      <c r="D30" s="4489"/>
      <c r="E30" s="2666"/>
      <c r="F30" s="2768" t="s">
        <v>4943</v>
      </c>
      <c r="G30" s="1757"/>
      <c r="H30" s="2551"/>
      <c r="I30" s="2694"/>
      <c r="J30" s="1236"/>
      <c r="K30" s="2704"/>
      <c r="L30" s="2699"/>
      <c r="M30" s="2699"/>
      <c r="N30" s="2699"/>
      <c r="O30" s="2699"/>
      <c r="P30" s="2699"/>
      <c r="Q30" s="2699"/>
      <c r="R30" s="2851"/>
      <c r="S30" s="2551"/>
      <c r="T30" s="4400"/>
      <c r="U30" s="3609"/>
      <c r="V30" s="3609"/>
      <c r="W30" s="3609"/>
      <c r="X30" s="3609"/>
      <c r="Y30" s="4401"/>
      <c r="Z30" s="1895"/>
    </row>
    <row r="31" spans="1:26" ht="35.15" customHeight="1" thickBot="1" x14ac:dyDescent="0.35">
      <c r="A31" s="1891"/>
      <c r="B31" s="1771" t="s">
        <v>3600</v>
      </c>
      <c r="C31" s="4490" t="s">
        <v>3624</v>
      </c>
      <c r="D31" s="4491"/>
      <c r="E31" s="2666"/>
      <c r="F31" s="2769" t="s">
        <v>5008</v>
      </c>
      <c r="G31" s="1757"/>
      <c r="H31" s="2551"/>
      <c r="I31" s="2694"/>
      <c r="J31" s="1236"/>
      <c r="K31" s="2704"/>
      <c r="L31" s="2699"/>
      <c r="M31" s="2699"/>
      <c r="N31" s="2699"/>
      <c r="O31" s="2699"/>
      <c r="P31" s="2699"/>
      <c r="Q31" s="2699"/>
      <c r="R31" s="2851"/>
      <c r="S31" s="2551"/>
      <c r="T31" s="4400"/>
      <c r="U31" s="3609"/>
      <c r="V31" s="3609"/>
      <c r="W31" s="3609"/>
      <c r="X31" s="3609"/>
      <c r="Y31" s="4401"/>
      <c r="Z31" s="1895"/>
    </row>
    <row r="32" spans="1:26" ht="30" customHeight="1" thickBot="1" x14ac:dyDescent="0.35">
      <c r="A32" s="1891"/>
      <c r="B32" s="3"/>
      <c r="C32" s="3"/>
      <c r="D32" s="2675"/>
      <c r="E32" s="2666"/>
      <c r="F32" s="3"/>
      <c r="G32" s="1757"/>
      <c r="H32" s="2551"/>
      <c r="I32" s="4367" t="s">
        <v>3729</v>
      </c>
      <c r="J32" s="4368"/>
      <c r="K32" s="4369"/>
      <c r="L32" s="1236"/>
      <c r="M32" s="4395" t="s">
        <v>870</v>
      </c>
      <c r="N32" s="4395"/>
      <c r="O32" s="4395"/>
      <c r="P32" s="4395"/>
      <c r="Q32" s="4395"/>
      <c r="R32" s="4396"/>
      <c r="S32" s="2551"/>
      <c r="T32" s="4400"/>
      <c r="U32" s="3609"/>
      <c r="V32" s="3609"/>
      <c r="W32" s="3609"/>
      <c r="X32" s="3609"/>
      <c r="Y32" s="4401"/>
      <c r="Z32" s="1895"/>
    </row>
    <row r="33" spans="1:26" ht="30" customHeight="1" thickBot="1" x14ac:dyDescent="0.35">
      <c r="A33" s="1891"/>
      <c r="B33" s="4310" t="s">
        <v>4580</v>
      </c>
      <c r="C33" s="4391"/>
      <c r="D33" s="4392"/>
      <c r="E33" s="2666"/>
      <c r="F33" s="2774" t="s">
        <v>870</v>
      </c>
      <c r="G33" s="1757"/>
      <c r="H33" s="2551"/>
      <c r="I33" s="2700" t="s">
        <v>4727</v>
      </c>
      <c r="J33" s="2497">
        <v>30</v>
      </c>
      <c r="K33" s="1914" t="s">
        <v>1068</v>
      </c>
      <c r="L33" s="2699"/>
      <c r="M33" s="4350" t="s">
        <v>4860</v>
      </c>
      <c r="N33" s="4350"/>
      <c r="O33" s="4350"/>
      <c r="P33" s="4350"/>
      <c r="Q33" s="4350"/>
      <c r="R33" s="4351"/>
      <c r="S33" s="2551"/>
      <c r="T33" s="4400"/>
      <c r="U33" s="3609"/>
      <c r="V33" s="3609"/>
      <c r="W33" s="3609"/>
      <c r="X33" s="3609"/>
      <c r="Y33" s="4401"/>
      <c r="Z33" s="1895"/>
    </row>
    <row r="34" spans="1:26" ht="30" customHeight="1" x14ac:dyDescent="0.3">
      <c r="A34" s="1891"/>
      <c r="B34" s="2337" t="s">
        <v>1572</v>
      </c>
      <c r="C34" s="2669">
        <v>0.61</v>
      </c>
      <c r="D34" s="2675"/>
      <c r="E34" s="3"/>
      <c r="F34" s="4497" t="s">
        <v>5009</v>
      </c>
      <c r="G34" s="1757"/>
      <c r="H34" s="2551"/>
      <c r="I34" s="2701" t="s">
        <v>4728</v>
      </c>
      <c r="J34" s="2660">
        <v>100</v>
      </c>
      <c r="K34" s="2664" t="s">
        <v>1068</v>
      </c>
      <c r="L34" s="2699"/>
      <c r="M34" s="4350"/>
      <c r="N34" s="4350"/>
      <c r="O34" s="4350"/>
      <c r="P34" s="4350"/>
      <c r="Q34" s="4350"/>
      <c r="R34" s="4351"/>
      <c r="S34" s="2551"/>
      <c r="T34" s="4400"/>
      <c r="U34" s="3609"/>
      <c r="V34" s="3609"/>
      <c r="W34" s="3609"/>
      <c r="X34" s="3609"/>
      <c r="Y34" s="4401"/>
      <c r="Z34" s="1895"/>
    </row>
    <row r="35" spans="1:26" ht="30" customHeight="1" thickBot="1" x14ac:dyDescent="0.35">
      <c r="A35" s="1891"/>
      <c r="B35" s="2338" t="s">
        <v>4581</v>
      </c>
      <c r="C35" s="2660">
        <v>1</v>
      </c>
      <c r="D35" s="2675"/>
      <c r="E35" s="3"/>
      <c r="F35" s="4498"/>
      <c r="G35" s="1757"/>
      <c r="H35" s="2551"/>
      <c r="I35" s="2701" t="s">
        <v>4729</v>
      </c>
      <c r="J35" s="2660">
        <v>30</v>
      </c>
      <c r="K35" s="2664" t="s">
        <v>1068</v>
      </c>
      <c r="L35" s="2699"/>
      <c r="M35" s="4394" t="s">
        <v>4860</v>
      </c>
      <c r="N35" s="4394"/>
      <c r="O35" s="4394"/>
      <c r="P35" s="4394"/>
      <c r="Q35" s="4394"/>
      <c r="R35" s="4394"/>
      <c r="S35" s="1236"/>
      <c r="T35" s="4400"/>
      <c r="U35" s="3609"/>
      <c r="V35" s="3609"/>
      <c r="W35" s="3609"/>
      <c r="X35" s="3609"/>
      <c r="Y35" s="4401"/>
      <c r="Z35" s="1895"/>
    </row>
    <row r="36" spans="1:26" ht="30" customHeight="1" thickBot="1" x14ac:dyDescent="0.35">
      <c r="A36" s="1891"/>
      <c r="B36" s="3"/>
      <c r="C36" s="3"/>
      <c r="D36" s="2675"/>
      <c r="E36" s="3"/>
      <c r="F36" s="3"/>
      <c r="G36" s="1757"/>
      <c r="H36" s="2551"/>
      <c r="I36" s="2702" t="s">
        <v>4730</v>
      </c>
      <c r="J36" s="2496">
        <v>100</v>
      </c>
      <c r="K36" s="2716" t="s">
        <v>1068</v>
      </c>
      <c r="L36" s="2699"/>
      <c r="M36" s="4394"/>
      <c r="N36" s="4394"/>
      <c r="O36" s="4394"/>
      <c r="P36" s="4394"/>
      <c r="Q36" s="4394"/>
      <c r="R36" s="4394"/>
      <c r="S36" s="1236"/>
      <c r="T36" s="4400"/>
      <c r="U36" s="3609"/>
      <c r="V36" s="3609"/>
      <c r="W36" s="3609"/>
      <c r="X36" s="3609"/>
      <c r="Y36" s="4401"/>
      <c r="Z36" s="1895"/>
    </row>
    <row r="37" spans="1:26" ht="30" customHeight="1" thickBot="1" x14ac:dyDescent="0.35">
      <c r="A37" s="1891"/>
      <c r="B37" s="4310" t="s">
        <v>4049</v>
      </c>
      <c r="C37" s="4391"/>
      <c r="D37" s="4392"/>
      <c r="E37" s="2666"/>
      <c r="F37" s="2723" t="s">
        <v>870</v>
      </c>
      <c r="G37" s="1757"/>
      <c r="H37" s="2551"/>
      <c r="I37" s="2694"/>
      <c r="J37" s="1236"/>
      <c r="K37" s="2704"/>
      <c r="L37" s="2699"/>
      <c r="M37" s="2699"/>
      <c r="N37" s="2699"/>
      <c r="O37" s="2699"/>
      <c r="P37" s="2699"/>
      <c r="Q37" s="2699"/>
      <c r="R37" s="2851"/>
      <c r="S37" s="2551"/>
      <c r="T37" s="4402"/>
      <c r="U37" s="4403"/>
      <c r="V37" s="4403"/>
      <c r="W37" s="4403"/>
      <c r="X37" s="4403"/>
      <c r="Y37" s="4404"/>
      <c r="Z37" s="1895"/>
    </row>
    <row r="38" spans="1:26" ht="30" customHeight="1" thickBot="1" x14ac:dyDescent="0.35">
      <c r="A38" s="1891"/>
      <c r="B38" s="2770" t="s">
        <v>2262</v>
      </c>
      <c r="C38" s="2771">
        <v>0.8</v>
      </c>
      <c r="D38" s="2675"/>
      <c r="E38" s="2666"/>
      <c r="F38" s="4499" t="s">
        <v>4819</v>
      </c>
      <c r="G38" s="1757"/>
      <c r="H38" s="2787"/>
      <c r="I38" s="2852"/>
      <c r="J38" s="2789"/>
      <c r="K38" s="2790"/>
      <c r="L38" s="2788"/>
      <c r="M38" s="2788"/>
      <c r="N38" s="2788"/>
      <c r="O38" s="2788"/>
      <c r="P38" s="2788"/>
      <c r="Q38" s="2788"/>
      <c r="R38" s="2853"/>
      <c r="S38" s="2787"/>
      <c r="T38" s="2789"/>
      <c r="U38" s="2789"/>
      <c r="V38" s="2789"/>
      <c r="W38" s="2789"/>
      <c r="X38" s="2789"/>
      <c r="Y38" s="2789"/>
      <c r="Z38" s="2791"/>
    </row>
    <row r="39" spans="1:26" ht="30" customHeight="1" thickBot="1" x14ac:dyDescent="0.35">
      <c r="A39" s="1891"/>
      <c r="B39" s="2772" t="s">
        <v>2261</v>
      </c>
      <c r="C39" s="2773">
        <v>0.2</v>
      </c>
      <c r="D39" s="2675"/>
      <c r="E39" s="2666"/>
      <c r="F39" s="4500"/>
      <c r="G39" s="1757"/>
      <c r="H39" s="2507"/>
      <c r="I39" s="4494" t="s">
        <v>4070</v>
      </c>
      <c r="J39" s="4495"/>
      <c r="K39" s="4495"/>
      <c r="L39" s="4496"/>
      <c r="M39" s="4496"/>
      <c r="N39" s="4496"/>
      <c r="O39" s="4496"/>
      <c r="P39" s="4496"/>
      <c r="Q39" s="4496"/>
      <c r="R39" s="4496"/>
      <c r="S39" s="1897"/>
      <c r="T39" s="2756"/>
      <c r="U39" s="2756"/>
      <c r="V39" s="2756"/>
      <c r="W39" s="2718"/>
      <c r="X39" s="2718"/>
      <c r="Y39" s="2718"/>
      <c r="Z39" s="2722"/>
    </row>
    <row r="40" spans="1:26" ht="30" customHeight="1" thickBot="1" x14ac:dyDescent="0.35">
      <c r="A40" s="1891"/>
      <c r="B40" s="3"/>
      <c r="C40" s="3"/>
      <c r="D40" s="2675"/>
      <c r="E40" s="2666"/>
      <c r="F40" s="3"/>
      <c r="G40" s="1757"/>
      <c r="H40" s="2508"/>
      <c r="I40" s="2684" t="s">
        <v>4868</v>
      </c>
      <c r="J40" s="2719"/>
      <c r="K40" s="2720"/>
      <c r="L40" s="2721"/>
      <c r="M40" s="4352" t="s">
        <v>870</v>
      </c>
      <c r="N40" s="4353"/>
      <c r="O40" s="4354"/>
      <c r="P40" s="4354"/>
      <c r="Q40" s="4354"/>
      <c r="R40" s="4355"/>
      <c r="S40" s="1897"/>
      <c r="T40" s="4407" t="s">
        <v>4886</v>
      </c>
      <c r="U40" s="4408"/>
      <c r="V40" s="4408"/>
      <c r="W40" s="4408"/>
      <c r="X40" s="4408"/>
      <c r="Y40" s="4409"/>
      <c r="Z40" s="2722"/>
    </row>
    <row r="41" spans="1:26" ht="30" customHeight="1" thickBot="1" x14ac:dyDescent="0.35">
      <c r="A41" s="1891"/>
      <c r="B41" s="4310" t="s">
        <v>4702</v>
      </c>
      <c r="C41" s="4391"/>
      <c r="D41" s="4392"/>
      <c r="E41" s="2666"/>
      <c r="F41" s="2723" t="s">
        <v>870</v>
      </c>
      <c r="G41" s="3"/>
      <c r="H41" s="2508"/>
      <c r="I41" s="4465" t="s">
        <v>4905</v>
      </c>
      <c r="J41" s="4466"/>
      <c r="K41" s="4466"/>
      <c r="L41" s="2721"/>
      <c r="M41" s="4377" t="s">
        <v>4869</v>
      </c>
      <c r="N41" s="4377"/>
      <c r="O41" s="4377"/>
      <c r="P41" s="4377"/>
      <c r="Q41" s="4377"/>
      <c r="R41" s="4377"/>
      <c r="S41" s="1897"/>
      <c r="T41" s="4410" t="s">
        <v>4921</v>
      </c>
      <c r="U41" s="4411"/>
      <c r="V41" s="4411"/>
      <c r="W41" s="4411"/>
      <c r="X41" s="4411"/>
      <c r="Y41" s="4412"/>
      <c r="Z41" s="2722"/>
    </row>
    <row r="42" spans="1:26" ht="30" customHeight="1" thickBot="1" x14ac:dyDescent="0.35">
      <c r="A42" s="1891"/>
      <c r="B42" s="2685" t="s">
        <v>4025</v>
      </c>
      <c r="C42" s="2661">
        <v>2.2999999999999998</v>
      </c>
      <c r="D42" s="2664" t="s">
        <v>3589</v>
      </c>
      <c r="E42" s="2666"/>
      <c r="F42" s="2775" t="s">
        <v>4920</v>
      </c>
      <c r="G42" s="3"/>
      <c r="H42" s="2508"/>
      <c r="I42" s="2684"/>
      <c r="J42" s="2719"/>
      <c r="K42" s="2720"/>
      <c r="L42" s="2721"/>
      <c r="M42" s="2721"/>
      <c r="N42" s="2721"/>
      <c r="O42" s="2721"/>
      <c r="P42" s="2721"/>
      <c r="Q42" s="2721"/>
      <c r="R42" s="2721"/>
      <c r="S42" s="1897"/>
      <c r="T42" s="4413"/>
      <c r="U42" s="4414"/>
      <c r="V42" s="4414"/>
      <c r="W42" s="4414"/>
      <c r="X42" s="4414"/>
      <c r="Y42" s="4415"/>
      <c r="Z42" s="2722"/>
    </row>
    <row r="43" spans="1:26" ht="30" customHeight="1" thickBot="1" x14ac:dyDescent="0.35">
      <c r="A43" s="1891"/>
      <c r="B43" s="2686" t="s">
        <v>4050</v>
      </c>
      <c r="C43" s="2495">
        <v>50</v>
      </c>
      <c r="D43" s="2716" t="s">
        <v>3589</v>
      </c>
      <c r="E43" s="2666"/>
      <c r="F43" s="2769" t="s">
        <v>4820</v>
      </c>
      <c r="G43" s="3"/>
      <c r="H43" s="2508"/>
      <c r="I43" s="4432" t="s">
        <v>4867</v>
      </c>
      <c r="J43" s="4492"/>
      <c r="K43" s="4493"/>
      <c r="L43" s="2703"/>
      <c r="M43" s="4352" t="s">
        <v>870</v>
      </c>
      <c r="N43" s="4353"/>
      <c r="O43" s="4354"/>
      <c r="P43" s="4354"/>
      <c r="Q43" s="4354"/>
      <c r="R43" s="4355"/>
      <c r="S43" s="1897"/>
      <c r="T43" s="4413"/>
      <c r="U43" s="4414"/>
      <c r="V43" s="4414"/>
      <c r="W43" s="4414"/>
      <c r="X43" s="4414"/>
      <c r="Y43" s="4415"/>
      <c r="Z43" s="2722"/>
    </row>
    <row r="44" spans="1:26" ht="30" customHeight="1" thickBot="1" x14ac:dyDescent="0.35">
      <c r="A44" s="1891"/>
      <c r="B44" s="3"/>
      <c r="C44" s="3"/>
      <c r="D44" s="2675"/>
      <c r="E44" s="2666"/>
      <c r="F44" s="3"/>
      <c r="G44" s="3"/>
      <c r="H44" s="2508"/>
      <c r="I44" s="2712" t="s">
        <v>38</v>
      </c>
      <c r="J44" s="2724" t="s">
        <v>4812</v>
      </c>
      <c r="K44" s="4348" t="s">
        <v>4217</v>
      </c>
      <c r="L44" s="2703"/>
      <c r="M44" s="4378" t="s">
        <v>4861</v>
      </c>
      <c r="N44" s="4379"/>
      <c r="O44" s="4380"/>
      <c r="P44" s="4380"/>
      <c r="Q44" s="4380"/>
      <c r="R44" s="4381"/>
      <c r="S44" s="1897"/>
      <c r="T44" s="4413"/>
      <c r="U44" s="4414"/>
      <c r="V44" s="4414"/>
      <c r="W44" s="4414"/>
      <c r="X44" s="4414"/>
      <c r="Y44" s="4415"/>
      <c r="Z44" s="2722"/>
    </row>
    <row r="45" spans="1:26" ht="30" customHeight="1" thickBot="1" x14ac:dyDescent="0.35">
      <c r="A45" s="1891"/>
      <c r="B45" s="4310" t="s">
        <v>4068</v>
      </c>
      <c r="C45" s="4391"/>
      <c r="D45" s="4392"/>
      <c r="E45" s="2666"/>
      <c r="F45" s="2723" t="s">
        <v>870</v>
      </c>
      <c r="G45" s="3"/>
      <c r="H45" s="2508"/>
      <c r="I45" s="2714" t="s">
        <v>4928</v>
      </c>
      <c r="J45" s="2661">
        <v>1E-3</v>
      </c>
      <c r="K45" s="4349"/>
      <c r="L45" s="2703"/>
      <c r="M45" s="4360" t="s">
        <v>4856</v>
      </c>
      <c r="N45" s="4361"/>
      <c r="O45" s="4362"/>
      <c r="P45" s="4362"/>
      <c r="Q45" s="4362"/>
      <c r="R45" s="4363"/>
      <c r="S45" s="1897"/>
      <c r="T45" s="4413"/>
      <c r="U45" s="4414"/>
      <c r="V45" s="4414"/>
      <c r="W45" s="4414"/>
      <c r="X45" s="4414"/>
      <c r="Y45" s="4415"/>
      <c r="Z45" s="2722"/>
    </row>
    <row r="46" spans="1:26" ht="35.15" customHeight="1" thickBot="1" x14ac:dyDescent="0.35">
      <c r="A46" s="1891"/>
      <c r="B46" s="2776" t="s">
        <v>3763</v>
      </c>
      <c r="C46" s="2763">
        <v>55</v>
      </c>
      <c r="D46" s="1914" t="s">
        <v>1836</v>
      </c>
      <c r="E46" s="2666"/>
      <c r="F46" s="2777" t="s">
        <v>4821</v>
      </c>
      <c r="G46" s="3"/>
      <c r="H46" s="2508"/>
      <c r="I46" s="2709" t="s">
        <v>3779</v>
      </c>
      <c r="J46" s="2707"/>
      <c r="K46" s="2661">
        <v>2</v>
      </c>
      <c r="L46" s="2703"/>
      <c r="M46" s="4360" t="s">
        <v>4857</v>
      </c>
      <c r="N46" s="4361"/>
      <c r="O46" s="4362"/>
      <c r="P46" s="4362"/>
      <c r="Q46" s="4362"/>
      <c r="R46" s="4363"/>
      <c r="S46" s="1897"/>
      <c r="T46" s="4416"/>
      <c r="U46" s="4417"/>
      <c r="V46" s="4417"/>
      <c r="W46" s="4417"/>
      <c r="X46" s="4417"/>
      <c r="Y46" s="4418"/>
      <c r="Z46" s="2722"/>
    </row>
    <row r="47" spans="1:26" ht="35.15" customHeight="1" x14ac:dyDescent="0.3">
      <c r="A47" s="1891"/>
      <c r="B47" s="2680" t="s">
        <v>3764</v>
      </c>
      <c r="C47" s="2667">
        <v>70</v>
      </c>
      <c r="D47" s="2664" t="s">
        <v>1836</v>
      </c>
      <c r="E47" s="2666"/>
      <c r="F47" s="2766" t="s">
        <v>4944</v>
      </c>
      <c r="G47" s="3"/>
      <c r="H47" s="2508"/>
      <c r="I47" s="2709" t="s">
        <v>785</v>
      </c>
      <c r="J47" s="2707"/>
      <c r="K47" s="2661">
        <v>3</v>
      </c>
      <c r="L47" s="2703"/>
      <c r="M47" s="4360" t="s">
        <v>4858</v>
      </c>
      <c r="N47" s="4361"/>
      <c r="O47" s="4362"/>
      <c r="P47" s="4362"/>
      <c r="Q47" s="4362"/>
      <c r="R47" s="4363"/>
      <c r="S47" s="1897"/>
      <c r="T47" s="2752"/>
      <c r="U47" s="2752"/>
      <c r="V47" s="2752"/>
      <c r="W47" s="2718"/>
      <c r="X47" s="2718"/>
      <c r="Y47" s="2718"/>
      <c r="Z47" s="2722"/>
    </row>
    <row r="48" spans="1:26" ht="35.15" customHeight="1" x14ac:dyDescent="0.3">
      <c r="A48" s="1891"/>
      <c r="B48" s="2682" t="s">
        <v>3717</v>
      </c>
      <c r="C48" s="2667">
        <v>-23</v>
      </c>
      <c r="D48" s="2664" t="s">
        <v>1836</v>
      </c>
      <c r="E48" s="2666"/>
      <c r="F48" s="2766" t="s">
        <v>4822</v>
      </c>
      <c r="G48" s="3"/>
      <c r="H48" s="2508"/>
      <c r="I48" s="2709" t="s">
        <v>5325</v>
      </c>
      <c r="J48" s="2661">
        <v>0.01</v>
      </c>
      <c r="K48" s="2661">
        <v>2</v>
      </c>
      <c r="L48" s="2703"/>
      <c r="M48" s="4405" t="s">
        <v>4922</v>
      </c>
      <c r="N48" s="4406"/>
      <c r="O48" s="4362"/>
      <c r="P48" s="4362"/>
      <c r="Q48" s="4362"/>
      <c r="R48" s="4363"/>
      <c r="S48" s="1897"/>
      <c r="T48" s="2752"/>
      <c r="U48" s="2752"/>
      <c r="V48" s="2752"/>
      <c r="W48" s="2718"/>
      <c r="X48" s="2718"/>
      <c r="Y48" s="2718"/>
      <c r="Z48" s="2722"/>
    </row>
    <row r="49" spans="1:26" ht="35.15" customHeight="1" x14ac:dyDescent="0.3">
      <c r="A49" s="1891"/>
      <c r="B49" s="2680" t="s">
        <v>3765</v>
      </c>
      <c r="C49" s="2667">
        <v>80</v>
      </c>
      <c r="D49" s="2664" t="s">
        <v>1836</v>
      </c>
      <c r="E49" s="2666"/>
      <c r="F49" s="2766" t="s">
        <v>4823</v>
      </c>
      <c r="G49" s="3"/>
      <c r="H49" s="2508"/>
      <c r="I49" s="2709" t="s">
        <v>5322</v>
      </c>
      <c r="J49" s="2661">
        <v>0.1</v>
      </c>
      <c r="K49" s="2661">
        <v>3</v>
      </c>
      <c r="L49" s="2703"/>
      <c r="M49" s="4405" t="s">
        <v>4923</v>
      </c>
      <c r="N49" s="4406"/>
      <c r="O49" s="4362"/>
      <c r="P49" s="4362"/>
      <c r="Q49" s="4362"/>
      <c r="R49" s="4363"/>
      <c r="S49" s="1897"/>
      <c r="T49" s="2752"/>
      <c r="U49" s="2752"/>
      <c r="V49" s="2752"/>
      <c r="W49" s="2718"/>
      <c r="X49" s="2718"/>
      <c r="Y49" s="2718"/>
      <c r="Z49" s="2722"/>
    </row>
    <row r="50" spans="1:26" ht="35.15" customHeight="1" x14ac:dyDescent="0.3">
      <c r="A50" s="1891"/>
      <c r="B50" s="2680" t="s">
        <v>3766</v>
      </c>
      <c r="C50" s="2667">
        <v>120</v>
      </c>
      <c r="D50" s="2664" t="s">
        <v>1836</v>
      </c>
      <c r="E50" s="2666"/>
      <c r="F50" s="2766" t="s">
        <v>4824</v>
      </c>
      <c r="G50" s="3"/>
      <c r="H50" s="2508"/>
      <c r="I50" s="2709" t="s">
        <v>5321</v>
      </c>
      <c r="J50" s="2661">
        <v>1.1000000000000001</v>
      </c>
      <c r="K50" s="2661">
        <v>4</v>
      </c>
      <c r="L50" s="2703"/>
      <c r="M50" s="4360" t="s">
        <v>4924</v>
      </c>
      <c r="N50" s="4361"/>
      <c r="O50" s="4362"/>
      <c r="P50" s="4362"/>
      <c r="Q50" s="4362"/>
      <c r="R50" s="4363"/>
      <c r="S50" s="1897"/>
      <c r="T50" s="2752"/>
      <c r="U50" s="2752"/>
      <c r="V50" s="2752"/>
      <c r="W50" s="2718"/>
      <c r="X50" s="2718"/>
      <c r="Y50" s="2718"/>
      <c r="Z50" s="2722"/>
    </row>
    <row r="51" spans="1:26" ht="35.15" customHeight="1" x14ac:dyDescent="0.3">
      <c r="A51" s="1891"/>
      <c r="B51" s="2682" t="s">
        <v>3716</v>
      </c>
      <c r="C51" s="2661">
        <v>0.2</v>
      </c>
      <c r="D51" s="2664" t="s">
        <v>1069</v>
      </c>
      <c r="E51" s="2666"/>
      <c r="F51" s="2766" t="s">
        <v>4825</v>
      </c>
      <c r="G51" s="3"/>
      <c r="H51" s="2508"/>
      <c r="I51" s="2709" t="s">
        <v>5323</v>
      </c>
      <c r="J51" s="2661">
        <v>10</v>
      </c>
      <c r="K51" s="2661">
        <v>5</v>
      </c>
      <c r="L51" s="2703"/>
      <c r="M51" s="4360" t="s">
        <v>4925</v>
      </c>
      <c r="N51" s="4361"/>
      <c r="O51" s="4362"/>
      <c r="P51" s="4362"/>
      <c r="Q51" s="4362"/>
      <c r="R51" s="4363"/>
      <c r="S51" s="1897"/>
      <c r="T51" s="2752"/>
      <c r="U51" s="2752"/>
      <c r="V51" s="2752"/>
      <c r="W51" s="2718"/>
      <c r="X51" s="2718"/>
      <c r="Y51" s="2718"/>
      <c r="Z51" s="2722"/>
    </row>
    <row r="52" spans="1:26" ht="35.15" customHeight="1" x14ac:dyDescent="0.3">
      <c r="A52" s="1891"/>
      <c r="B52" s="2682" t="s">
        <v>4135</v>
      </c>
      <c r="C52" s="2498">
        <v>10</v>
      </c>
      <c r="D52" s="2664" t="s">
        <v>1497</v>
      </c>
      <c r="E52" s="2666"/>
      <c r="F52" s="2766" t="s">
        <v>5010</v>
      </c>
      <c r="G52" s="3"/>
      <c r="H52" s="2508"/>
      <c r="I52" s="2709" t="s">
        <v>5324</v>
      </c>
      <c r="J52" s="2661">
        <v>10</v>
      </c>
      <c r="K52" s="2661">
        <v>6</v>
      </c>
      <c r="L52" s="2703"/>
      <c r="M52" s="4360" t="s">
        <v>4925</v>
      </c>
      <c r="N52" s="4361"/>
      <c r="O52" s="4362"/>
      <c r="P52" s="4362"/>
      <c r="Q52" s="4362"/>
      <c r="R52" s="4363"/>
      <c r="S52" s="1897"/>
      <c r="T52" s="2752"/>
      <c r="U52" s="2752"/>
      <c r="V52" s="2752"/>
      <c r="W52" s="2718"/>
      <c r="X52" s="2718"/>
      <c r="Y52" s="2718"/>
      <c r="Z52" s="2722"/>
    </row>
    <row r="53" spans="1:26" ht="35.15" customHeight="1" thickBot="1" x14ac:dyDescent="0.35">
      <c r="A53" s="1891"/>
      <c r="B53" s="2683" t="s">
        <v>3715</v>
      </c>
      <c r="C53" s="2495">
        <v>4</v>
      </c>
      <c r="D53" s="2716" t="s">
        <v>3614</v>
      </c>
      <c r="E53" s="2666"/>
      <c r="F53" s="2778" t="s">
        <v>4826</v>
      </c>
      <c r="G53" s="3"/>
      <c r="H53" s="2508"/>
      <c r="I53" s="2709" t="s">
        <v>5324</v>
      </c>
      <c r="J53" s="2661">
        <v>10</v>
      </c>
      <c r="K53" s="2661">
        <v>6</v>
      </c>
      <c r="L53" s="2703"/>
      <c r="M53" s="4360" t="s">
        <v>4926</v>
      </c>
      <c r="N53" s="4361"/>
      <c r="O53" s="4362"/>
      <c r="P53" s="4362"/>
      <c r="Q53" s="4362"/>
      <c r="R53" s="4363"/>
      <c r="S53" s="1897"/>
      <c r="T53" s="2752"/>
      <c r="U53" s="2752"/>
      <c r="V53" s="2752"/>
      <c r="W53" s="2718"/>
      <c r="X53" s="2718"/>
      <c r="Y53" s="2718"/>
      <c r="Z53" s="2722"/>
    </row>
    <row r="54" spans="1:26" ht="35.15" customHeight="1" thickBot="1" x14ac:dyDescent="0.35">
      <c r="A54" s="1891"/>
      <c r="B54" s="3"/>
      <c r="C54" s="3"/>
      <c r="D54" s="2675"/>
      <c r="E54" s="2666"/>
      <c r="F54" s="3"/>
      <c r="G54" s="3"/>
      <c r="H54" s="2508"/>
      <c r="I54" s="2709" t="s">
        <v>5324</v>
      </c>
      <c r="J54" s="2662"/>
      <c r="K54" s="2661">
        <v>6</v>
      </c>
      <c r="L54" s="2703"/>
      <c r="M54" s="4360" t="s">
        <v>4862</v>
      </c>
      <c r="N54" s="4361"/>
      <c r="O54" s="4362"/>
      <c r="P54" s="4362"/>
      <c r="Q54" s="4362"/>
      <c r="R54" s="4363"/>
      <c r="S54" s="1897"/>
      <c r="T54" s="2752"/>
      <c r="U54" s="2752"/>
      <c r="V54" s="2752"/>
      <c r="W54" s="2718"/>
      <c r="X54" s="2718"/>
      <c r="Y54" s="2718"/>
      <c r="Z54" s="2722"/>
    </row>
    <row r="55" spans="1:26" ht="35.15" customHeight="1" thickBot="1" x14ac:dyDescent="0.35">
      <c r="A55" s="1891"/>
      <c r="B55" s="4310" t="s">
        <v>3767</v>
      </c>
      <c r="C55" s="4391"/>
      <c r="D55" s="4392"/>
      <c r="E55" s="2666"/>
      <c r="F55" s="2723" t="s">
        <v>870</v>
      </c>
      <c r="G55" s="3"/>
      <c r="H55" s="2508"/>
      <c r="I55" s="2850" t="s">
        <v>4887</v>
      </c>
      <c r="J55" s="2661">
        <v>1</v>
      </c>
      <c r="K55" s="2706"/>
      <c r="L55" s="2703"/>
      <c r="M55" s="4356" t="s">
        <v>4859</v>
      </c>
      <c r="N55" s="4357"/>
      <c r="O55" s="4358"/>
      <c r="P55" s="4358"/>
      <c r="Q55" s="4358"/>
      <c r="R55" s="4359"/>
      <c r="S55" s="1897"/>
      <c r="T55" s="2752"/>
      <c r="U55" s="2752"/>
      <c r="V55" s="2752"/>
      <c r="W55" s="2718"/>
      <c r="X55" s="2718"/>
      <c r="Y55" s="2718"/>
      <c r="Z55" s="2722"/>
    </row>
    <row r="56" spans="1:26" ht="35.15" customHeight="1" x14ac:dyDescent="0.3">
      <c r="A56" s="1891"/>
      <c r="B56" s="2776" t="s">
        <v>3768</v>
      </c>
      <c r="C56" s="2763">
        <v>10</v>
      </c>
      <c r="D56" s="1914" t="s">
        <v>1836</v>
      </c>
      <c r="E56" s="2666"/>
      <c r="F56" s="2775" t="s">
        <v>4827</v>
      </c>
      <c r="G56" s="3"/>
      <c r="H56" s="2508"/>
      <c r="I56" s="2703"/>
      <c r="J56" s="1897"/>
      <c r="K56" s="2705"/>
      <c r="L56" s="2703"/>
      <c r="M56" s="2703"/>
      <c r="N56" s="2703"/>
      <c r="O56" s="2703"/>
      <c r="P56" s="2703"/>
      <c r="Q56" s="2703"/>
      <c r="R56" s="2703"/>
      <c r="S56" s="1897"/>
      <c r="T56" s="2752"/>
      <c r="U56" s="2752"/>
      <c r="V56" s="2752"/>
      <c r="W56" s="2718"/>
      <c r="X56" s="2718"/>
      <c r="Y56" s="2718"/>
      <c r="Z56" s="2722"/>
    </row>
    <row r="57" spans="1:26" ht="35.15" customHeight="1" thickBot="1" x14ac:dyDescent="0.35">
      <c r="A57" s="1891"/>
      <c r="B57" s="2681" t="s">
        <v>3769</v>
      </c>
      <c r="C57" s="2495">
        <v>100</v>
      </c>
      <c r="D57" s="2716" t="s">
        <v>1068</v>
      </c>
      <c r="E57" s="2666"/>
      <c r="F57" s="2769" t="s">
        <v>4828</v>
      </c>
      <c r="G57" s="3"/>
      <c r="H57" s="2508"/>
      <c r="I57" s="1897"/>
      <c r="J57" s="1897"/>
      <c r="K57" s="2705"/>
      <c r="L57" s="1897"/>
      <c r="M57" s="1897"/>
      <c r="N57" s="1897"/>
      <c r="O57" s="1897"/>
      <c r="P57" s="1897"/>
      <c r="Q57" s="1897"/>
      <c r="R57" s="1897"/>
      <c r="S57" s="1897"/>
      <c r="T57" s="2752"/>
      <c r="U57" s="2752"/>
      <c r="V57" s="2752"/>
      <c r="W57" s="2718"/>
      <c r="X57" s="2718"/>
      <c r="Y57" s="2718"/>
      <c r="Z57" s="2722"/>
    </row>
    <row r="58" spans="1:26" ht="30" customHeight="1" thickBot="1" x14ac:dyDescent="0.35">
      <c r="A58" s="1891"/>
      <c r="B58" s="3"/>
      <c r="C58" s="3"/>
      <c r="D58" s="2675"/>
      <c r="E58" s="2666"/>
      <c r="F58" s="3"/>
      <c r="G58" s="3"/>
      <c r="H58" s="2508"/>
      <c r="I58" s="4419" t="s">
        <v>4786</v>
      </c>
      <c r="J58" s="3673"/>
      <c r="K58" s="3673"/>
      <c r="L58" s="3673"/>
      <c r="M58" s="3673"/>
      <c r="N58" s="3673"/>
      <c r="O58" s="3673"/>
      <c r="P58" s="3673"/>
      <c r="Q58" s="3673"/>
      <c r="R58" s="3673"/>
      <c r="S58" s="3673"/>
      <c r="T58" s="3673"/>
      <c r="U58" s="3660"/>
      <c r="V58" s="2718"/>
      <c r="W58" s="4453" t="s">
        <v>4983</v>
      </c>
      <c r="X58" s="4454"/>
      <c r="Y58" s="4455"/>
      <c r="Z58" s="2722"/>
    </row>
    <row r="59" spans="1:26" ht="30" customHeight="1" thickBot="1" x14ac:dyDescent="0.35">
      <c r="A59" s="1891"/>
      <c r="B59" s="4310" t="s">
        <v>3617</v>
      </c>
      <c r="C59" s="4391"/>
      <c r="D59" s="4392"/>
      <c r="E59" s="2666"/>
      <c r="F59" s="2723" t="s">
        <v>870</v>
      </c>
      <c r="G59" s="3"/>
      <c r="H59" s="2508"/>
      <c r="I59" s="2795" t="s">
        <v>4785</v>
      </c>
      <c r="J59" s="2796"/>
      <c r="K59" s="2797" t="s">
        <v>4902</v>
      </c>
      <c r="L59" s="4472" t="s">
        <v>4900</v>
      </c>
      <c r="M59" s="4473"/>
      <c r="N59" s="2797" t="s">
        <v>2552</v>
      </c>
      <c r="O59" s="2797" t="s">
        <v>4901</v>
      </c>
      <c r="P59" s="2797" t="s">
        <v>4688</v>
      </c>
      <c r="Q59" s="2797" t="s">
        <v>4784</v>
      </c>
      <c r="R59" s="2798" t="s">
        <v>4800</v>
      </c>
      <c r="S59" s="2713" t="s">
        <v>4799</v>
      </c>
      <c r="T59" s="2798" t="s">
        <v>4801</v>
      </c>
      <c r="U59" s="2799" t="s">
        <v>1193</v>
      </c>
      <c r="V59" s="2718"/>
      <c r="W59" s="4410" t="s">
        <v>4985</v>
      </c>
      <c r="X59" s="4456"/>
      <c r="Y59" s="4457"/>
      <c r="Z59" s="2722"/>
    </row>
    <row r="60" spans="1:26" ht="30" customHeight="1" x14ac:dyDescent="0.3">
      <c r="A60" s="1891"/>
      <c r="B60" s="1930" t="s">
        <v>3618</v>
      </c>
      <c r="C60" s="2497">
        <v>-12</v>
      </c>
      <c r="D60" s="1914" t="s">
        <v>3620</v>
      </c>
      <c r="E60" s="2666"/>
      <c r="F60" s="2777" t="s">
        <v>4829</v>
      </c>
      <c r="G60" s="3"/>
      <c r="H60" s="2508"/>
      <c r="I60" s="4467" t="s">
        <v>38</v>
      </c>
      <c r="J60" s="4429" t="s">
        <v>4217</v>
      </c>
      <c r="K60" s="4429" t="s">
        <v>4890</v>
      </c>
      <c r="L60" s="4476" t="s">
        <v>4897</v>
      </c>
      <c r="M60" s="4477"/>
      <c r="N60" s="4429" t="s">
        <v>4903</v>
      </c>
      <c r="O60" s="4429" t="s">
        <v>4898</v>
      </c>
      <c r="P60" s="4429" t="str">
        <f>"Distance to Direct Blast Impacts, "&amp;Blast_Direct&amp;" psi"</f>
        <v>Distance to Direct Blast Impacts, 10 psi</v>
      </c>
      <c r="Q60" s="4429" t="s">
        <v>4863</v>
      </c>
      <c r="R60" s="4429" t="str">
        <f>"Distance to LFL Multiple "&amp;LFL_Fract_FlashFIre&amp;"  (m)"</f>
        <v>Distance to LFL Multiple 0.5  (m)</v>
      </c>
      <c r="S60" s="4429" t="s">
        <v>4793</v>
      </c>
      <c r="T60" s="4429" t="s">
        <v>4864</v>
      </c>
      <c r="U60" s="4464" t="s">
        <v>4865</v>
      </c>
      <c r="V60" s="2718"/>
      <c r="W60" s="4458"/>
      <c r="X60" s="4459"/>
      <c r="Y60" s="4460"/>
      <c r="Z60" s="2722"/>
    </row>
    <row r="61" spans="1:26" ht="30" customHeight="1" x14ac:dyDescent="0.3">
      <c r="A61" s="1891"/>
      <c r="B61" s="1904" t="s">
        <v>3619</v>
      </c>
      <c r="C61" s="2660">
        <v>1.0000000000000001E-5</v>
      </c>
      <c r="D61" s="2664" t="s">
        <v>3621</v>
      </c>
      <c r="E61" s="2666"/>
      <c r="F61" s="2766" t="s">
        <v>4830</v>
      </c>
      <c r="G61" s="3"/>
      <c r="H61" s="2508"/>
      <c r="I61" s="4468"/>
      <c r="J61" s="4471"/>
      <c r="K61" s="4431"/>
      <c r="L61" s="4478"/>
      <c r="M61" s="4479"/>
      <c r="N61" s="4430"/>
      <c r="O61" s="4430"/>
      <c r="P61" s="4431"/>
      <c r="Q61" s="4431"/>
      <c r="R61" s="4431"/>
      <c r="S61" s="4349"/>
      <c r="T61" s="4431"/>
      <c r="U61" s="4278"/>
      <c r="V61" s="2718"/>
      <c r="W61" s="4458"/>
      <c r="X61" s="4459"/>
      <c r="Y61" s="4460"/>
      <c r="Z61" s="2722"/>
    </row>
    <row r="62" spans="1:26" ht="30" customHeight="1" x14ac:dyDescent="0.3">
      <c r="A62" s="1891"/>
      <c r="B62" s="1904" t="s">
        <v>3622</v>
      </c>
      <c r="C62" s="2660">
        <v>0.05</v>
      </c>
      <c r="D62" s="2727"/>
      <c r="E62" s="2666"/>
      <c r="F62" s="2768" t="s">
        <v>4927</v>
      </c>
      <c r="G62" s="3"/>
      <c r="H62" s="2508"/>
      <c r="I62" s="2800" t="s">
        <v>4928</v>
      </c>
      <c r="J62" s="4431"/>
      <c r="K62" s="2662">
        <f>HD_Screening_Limit</f>
        <v>1</v>
      </c>
      <c r="L62" s="4474" t="s">
        <v>4899</v>
      </c>
      <c r="M62" s="4475"/>
      <c r="N62" s="2662" t="s">
        <v>4899</v>
      </c>
      <c r="O62" s="2662" t="s">
        <v>4984</v>
      </c>
      <c r="P62" s="2662">
        <f>HD_Screening_Limit</f>
        <v>1</v>
      </c>
      <c r="Q62" s="2662">
        <v>1</v>
      </c>
      <c r="R62" s="2662">
        <f>HD_Screening_Limit</f>
        <v>1</v>
      </c>
      <c r="S62" s="2673">
        <v>0</v>
      </c>
      <c r="T62" s="2662">
        <f>HD_Screening_Limit</f>
        <v>1</v>
      </c>
      <c r="U62" s="2801">
        <f>HD_Screening_Limit</f>
        <v>1</v>
      </c>
      <c r="V62" s="2718"/>
      <c r="W62" s="4458"/>
      <c r="X62" s="4459"/>
      <c r="Y62" s="4460"/>
      <c r="Z62" s="2722"/>
    </row>
    <row r="63" spans="1:26" ht="30" customHeight="1" thickBot="1" x14ac:dyDescent="0.35">
      <c r="A63" s="1891"/>
      <c r="B63" s="1912" t="s">
        <v>4027</v>
      </c>
      <c r="C63" s="2496">
        <v>20</v>
      </c>
      <c r="D63" s="2728"/>
      <c r="E63" s="2666"/>
      <c r="F63" s="2779" t="s">
        <v>4831</v>
      </c>
      <c r="G63" s="3"/>
      <c r="H63" s="2508"/>
      <c r="I63" s="2802" t="str">
        <f>Desc_VeryLow</f>
        <v>Moderate Severity</v>
      </c>
      <c r="J63" s="2663">
        <v>2</v>
      </c>
      <c r="K63" s="2661">
        <v>5</v>
      </c>
      <c r="L63" s="4437">
        <v>0.2</v>
      </c>
      <c r="M63" s="4438"/>
      <c r="N63" s="2661">
        <v>0.2</v>
      </c>
      <c r="O63" s="2661">
        <v>35</v>
      </c>
      <c r="P63" s="2661">
        <v>1</v>
      </c>
      <c r="Q63" s="2661">
        <v>1.1000000000000001</v>
      </c>
      <c r="R63" s="2661">
        <v>15</v>
      </c>
      <c r="S63" s="2729">
        <v>0.01</v>
      </c>
      <c r="T63" s="2661">
        <v>5</v>
      </c>
      <c r="U63" s="2803">
        <v>10</v>
      </c>
      <c r="V63" s="2718"/>
      <c r="W63" s="4458"/>
      <c r="X63" s="4459"/>
      <c r="Y63" s="4460"/>
      <c r="Z63" s="2722"/>
    </row>
    <row r="64" spans="1:26" ht="30" customHeight="1" thickBot="1" x14ac:dyDescent="0.35">
      <c r="A64" s="1891"/>
      <c r="B64" s="3"/>
      <c r="C64" s="3"/>
      <c r="D64" s="2675"/>
      <c r="E64" s="2666"/>
      <c r="F64" s="3"/>
      <c r="G64" s="3"/>
      <c r="H64" s="2508"/>
      <c r="I64" s="2802" t="str">
        <f>Desc_Low</f>
        <v>High Severity</v>
      </c>
      <c r="J64" s="2663">
        <v>3</v>
      </c>
      <c r="K64" s="2661">
        <v>25</v>
      </c>
      <c r="L64" s="4437">
        <v>0.4</v>
      </c>
      <c r="M64" s="4438"/>
      <c r="N64" s="2661">
        <v>0.5</v>
      </c>
      <c r="O64" s="2661">
        <v>100</v>
      </c>
      <c r="P64" s="2661">
        <v>5</v>
      </c>
      <c r="Q64" s="2661">
        <v>1.2</v>
      </c>
      <c r="R64" s="2661">
        <v>50</v>
      </c>
      <c r="S64" s="2729">
        <v>0.1</v>
      </c>
      <c r="T64" s="2661">
        <v>20</v>
      </c>
      <c r="U64" s="2803">
        <v>35</v>
      </c>
      <c r="V64" s="2718"/>
      <c r="W64" s="4458"/>
      <c r="X64" s="4459"/>
      <c r="Y64" s="4460"/>
      <c r="Z64" s="2722"/>
    </row>
    <row r="65" spans="1:26" ht="30" customHeight="1" thickBot="1" x14ac:dyDescent="0.35">
      <c r="A65" s="1891"/>
      <c r="B65" s="4310" t="s">
        <v>3774</v>
      </c>
      <c r="C65" s="4391"/>
      <c r="D65" s="4392"/>
      <c r="E65" s="2666"/>
      <c r="F65" s="2723" t="s">
        <v>870</v>
      </c>
      <c r="G65" s="3"/>
      <c r="H65" s="2508"/>
      <c r="I65" s="2802" t="str">
        <f>Desc_Moderate</f>
        <v>Very High Severity</v>
      </c>
      <c r="J65" s="2663">
        <v>4</v>
      </c>
      <c r="K65" s="2661">
        <v>100</v>
      </c>
      <c r="L65" s="4437">
        <v>0.6</v>
      </c>
      <c r="M65" s="4438"/>
      <c r="N65" s="2661">
        <v>1.5</v>
      </c>
      <c r="O65" s="2661">
        <v>350</v>
      </c>
      <c r="P65" s="2661">
        <v>30</v>
      </c>
      <c r="Q65" s="2661">
        <v>1.5</v>
      </c>
      <c r="R65" s="2661">
        <v>150</v>
      </c>
      <c r="S65" s="2729">
        <v>1</v>
      </c>
      <c r="T65" s="2661">
        <v>50</v>
      </c>
      <c r="U65" s="2803">
        <v>100</v>
      </c>
      <c r="V65" s="2718"/>
      <c r="W65" s="4458"/>
      <c r="X65" s="4459"/>
      <c r="Y65" s="4460"/>
      <c r="Z65" s="2722"/>
    </row>
    <row r="66" spans="1:26" ht="30" customHeight="1" x14ac:dyDescent="0.3">
      <c r="A66" s="1891"/>
      <c r="B66" s="2780" t="s">
        <v>2670</v>
      </c>
      <c r="C66" s="2763">
        <v>1</v>
      </c>
      <c r="D66" s="2781" t="s">
        <v>512</v>
      </c>
      <c r="E66" s="2666"/>
      <c r="F66" s="2775" t="s">
        <v>4832</v>
      </c>
      <c r="G66" s="3"/>
      <c r="H66" s="2508"/>
      <c r="I66" s="2802" t="str">
        <f>Desc_High</f>
        <v>Extremely High Severity</v>
      </c>
      <c r="J66" s="2663">
        <v>5</v>
      </c>
      <c r="K66" s="2661">
        <v>350</v>
      </c>
      <c r="L66" s="4437">
        <v>2</v>
      </c>
      <c r="M66" s="4438"/>
      <c r="N66" s="2661">
        <v>4</v>
      </c>
      <c r="O66" s="2661">
        <v>1000</v>
      </c>
      <c r="P66" s="2661">
        <v>150</v>
      </c>
      <c r="Q66" s="2661">
        <v>2.5</v>
      </c>
      <c r="R66" s="2661">
        <v>500</v>
      </c>
      <c r="S66" s="2729">
        <v>2</v>
      </c>
      <c r="T66" s="2661">
        <v>200</v>
      </c>
      <c r="U66" s="2804"/>
      <c r="V66" s="2718"/>
      <c r="W66" s="4458"/>
      <c r="X66" s="4459"/>
      <c r="Y66" s="4460"/>
      <c r="Z66" s="2722"/>
    </row>
    <row r="67" spans="1:26" ht="30" customHeight="1" x14ac:dyDescent="0.3">
      <c r="A67" s="1891"/>
      <c r="B67" s="1903" t="s">
        <v>2669</v>
      </c>
      <c r="C67" s="2661">
        <v>1</v>
      </c>
      <c r="D67" s="2717" t="s">
        <v>512</v>
      </c>
      <c r="E67" s="2666"/>
      <c r="F67" s="2782" t="s">
        <v>4833</v>
      </c>
      <c r="G67" s="3"/>
      <c r="H67" s="2508"/>
      <c r="I67" s="2802" t="str">
        <f>Desc_VeryHigh</f>
        <v>Catastrophic Severity</v>
      </c>
      <c r="J67" s="2663">
        <v>6</v>
      </c>
      <c r="K67" s="2661">
        <v>350</v>
      </c>
      <c r="L67" s="4437">
        <v>2</v>
      </c>
      <c r="M67" s="4438"/>
      <c r="N67" s="2661">
        <v>4</v>
      </c>
      <c r="O67" s="2661">
        <v>1000</v>
      </c>
      <c r="P67" s="2661">
        <v>150</v>
      </c>
      <c r="Q67" s="2661">
        <v>4</v>
      </c>
      <c r="R67" s="2661">
        <v>500</v>
      </c>
      <c r="S67" s="2729">
        <v>2</v>
      </c>
      <c r="T67" s="2661">
        <v>200</v>
      </c>
      <c r="U67" s="2804"/>
      <c r="V67" s="2718"/>
      <c r="W67" s="4458"/>
      <c r="X67" s="4459"/>
      <c r="Y67" s="4460"/>
      <c r="Z67" s="2722"/>
    </row>
    <row r="68" spans="1:26" ht="30" customHeight="1" x14ac:dyDescent="0.3">
      <c r="A68" s="1891"/>
      <c r="B68" s="1903" t="s">
        <v>3988</v>
      </c>
      <c r="C68" s="2661">
        <v>1</v>
      </c>
      <c r="D68" s="2717" t="s">
        <v>512</v>
      </c>
      <c r="E68" s="2666"/>
      <c r="F68" s="2766" t="s">
        <v>4834</v>
      </c>
      <c r="G68" s="3"/>
      <c r="H68" s="2508"/>
      <c r="I68" s="2802" t="str">
        <f>Desc_ExtremeHigh</f>
        <v>Catastrophic Severity</v>
      </c>
      <c r="J68" s="2663">
        <v>6</v>
      </c>
      <c r="K68" s="2661">
        <v>350</v>
      </c>
      <c r="L68" s="4439"/>
      <c r="M68" s="4440"/>
      <c r="N68" s="2661">
        <v>4</v>
      </c>
      <c r="O68" s="2661">
        <v>1000</v>
      </c>
      <c r="P68" s="2661">
        <v>150</v>
      </c>
      <c r="Q68" s="2661">
        <v>4</v>
      </c>
      <c r="R68" s="2661">
        <v>500</v>
      </c>
      <c r="S68" s="2729">
        <v>2</v>
      </c>
      <c r="T68" s="2663"/>
      <c r="U68" s="2804"/>
      <c r="V68" s="2718"/>
      <c r="W68" s="4458"/>
      <c r="X68" s="4459"/>
      <c r="Y68" s="4460"/>
      <c r="Z68" s="2722"/>
    </row>
    <row r="69" spans="1:26" ht="30" customHeight="1" thickBot="1" x14ac:dyDescent="0.35">
      <c r="A69" s="1891"/>
      <c r="B69" s="1903" t="s">
        <v>3834</v>
      </c>
      <c r="C69" s="2661">
        <v>1</v>
      </c>
      <c r="D69" s="2717" t="s">
        <v>512</v>
      </c>
      <c r="E69" s="2666"/>
      <c r="F69" s="2766" t="s">
        <v>4929</v>
      </c>
      <c r="G69" s="3"/>
      <c r="H69" s="2508"/>
      <c r="I69" s="2805" t="str">
        <f>Desc_GT_ExtremeHigh</f>
        <v>Catastrophic Severity</v>
      </c>
      <c r="J69" s="2806">
        <v>7</v>
      </c>
      <c r="K69" s="2807"/>
      <c r="L69" s="4441"/>
      <c r="M69" s="4442"/>
      <c r="N69" s="2806"/>
      <c r="O69" s="2806"/>
      <c r="P69" s="2806"/>
      <c r="Q69" s="2806"/>
      <c r="R69" s="2806"/>
      <c r="S69" s="2808"/>
      <c r="T69" s="2806"/>
      <c r="U69" s="2809"/>
      <c r="V69" s="2718"/>
      <c r="W69" s="4461"/>
      <c r="X69" s="4462"/>
      <c r="Y69" s="4463"/>
      <c r="Z69" s="2722"/>
    </row>
    <row r="70" spans="1:26" ht="30" customHeight="1" thickBot="1" x14ac:dyDescent="0.35">
      <c r="A70" s="1891"/>
      <c r="B70" s="1903" t="s">
        <v>3775</v>
      </c>
      <c r="C70" s="2667">
        <v>0.3</v>
      </c>
      <c r="D70" s="2717" t="s">
        <v>512</v>
      </c>
      <c r="E70" s="2666"/>
      <c r="F70" s="4501" t="s">
        <v>4946</v>
      </c>
      <c r="G70" s="3"/>
      <c r="H70" s="2508"/>
      <c r="I70" s="1897"/>
      <c r="J70" s="1897"/>
      <c r="K70" s="2705"/>
      <c r="L70" s="1897"/>
      <c r="M70" s="1897"/>
      <c r="N70" s="1897"/>
      <c r="O70" s="1897"/>
      <c r="P70" s="1897"/>
      <c r="Q70" s="1897"/>
      <c r="R70" s="1897"/>
      <c r="S70" s="1897"/>
      <c r="T70" s="1897"/>
      <c r="U70" s="1897"/>
      <c r="V70" s="2718"/>
      <c r="W70" s="2718"/>
      <c r="X70" s="2718"/>
      <c r="Y70" s="2718"/>
      <c r="Z70" s="2722"/>
    </row>
    <row r="71" spans="1:26" ht="30" customHeight="1" thickBot="1" x14ac:dyDescent="0.35">
      <c r="A71" s="1891"/>
      <c r="B71" s="1903" t="s">
        <v>138</v>
      </c>
      <c r="C71" s="2661">
        <v>2.5</v>
      </c>
      <c r="D71" s="2717" t="s">
        <v>512</v>
      </c>
      <c r="E71" s="2666"/>
      <c r="F71" s="4502"/>
      <c r="G71" s="3"/>
      <c r="H71" s="2508"/>
      <c r="I71" s="4419" t="s">
        <v>4874</v>
      </c>
      <c r="J71" s="3673"/>
      <c r="K71" s="3673"/>
      <c r="L71" s="3673"/>
      <c r="M71" s="3673"/>
      <c r="N71" s="3673"/>
      <c r="O71" s="3673"/>
      <c r="P71" s="3673"/>
      <c r="Q71" s="3673"/>
      <c r="R71" s="3673"/>
      <c r="S71" s="3673"/>
      <c r="T71" s="3673"/>
      <c r="U71" s="3660"/>
      <c r="V71" s="2718"/>
      <c r="W71" s="2718"/>
      <c r="X71" s="2718"/>
      <c r="Y71" s="2718"/>
      <c r="Z71" s="2722"/>
    </row>
    <row r="72" spans="1:26" ht="30" customHeight="1" x14ac:dyDescent="0.3">
      <c r="A72" s="1891"/>
      <c r="B72" s="1903" t="s">
        <v>3776</v>
      </c>
      <c r="C72" s="2661">
        <v>5</v>
      </c>
      <c r="D72" s="2717" t="s">
        <v>512</v>
      </c>
      <c r="E72" s="2666"/>
      <c r="F72" s="4502"/>
      <c r="G72" s="3"/>
      <c r="H72" s="2508"/>
      <c r="I72" s="4420" t="s">
        <v>4930</v>
      </c>
      <c r="J72" s="4421"/>
      <c r="K72" s="4421"/>
      <c r="L72" s="4421"/>
      <c r="M72" s="4421"/>
      <c r="N72" s="4421"/>
      <c r="O72" s="4421"/>
      <c r="P72" s="4421"/>
      <c r="Q72" s="4421"/>
      <c r="R72" s="4421"/>
      <c r="S72" s="4421"/>
      <c r="T72" s="4421"/>
      <c r="U72" s="4422"/>
      <c r="V72" s="2718"/>
      <c r="W72" s="2718"/>
      <c r="X72" s="2718"/>
      <c r="Y72" s="2718"/>
      <c r="Z72" s="2722"/>
    </row>
    <row r="73" spans="1:26" ht="30" customHeight="1" thickBot="1" x14ac:dyDescent="0.35">
      <c r="A73" s="1891"/>
      <c r="B73" s="1911" t="s">
        <v>3777</v>
      </c>
      <c r="C73" s="2495">
        <v>15</v>
      </c>
      <c r="D73" s="2730" t="s">
        <v>512</v>
      </c>
      <c r="E73" s="2666"/>
      <c r="F73" s="4503"/>
      <c r="G73" s="3"/>
      <c r="H73" s="2508"/>
      <c r="I73" s="4423"/>
      <c r="J73" s="4424"/>
      <c r="K73" s="4424"/>
      <c r="L73" s="4424"/>
      <c r="M73" s="4424"/>
      <c r="N73" s="4424"/>
      <c r="O73" s="4424"/>
      <c r="P73" s="4424"/>
      <c r="Q73" s="4424"/>
      <c r="R73" s="4424"/>
      <c r="S73" s="4424"/>
      <c r="T73" s="4424"/>
      <c r="U73" s="4425"/>
      <c r="V73" s="2718"/>
      <c r="W73" s="2718"/>
      <c r="X73" s="2718"/>
      <c r="Y73" s="2718"/>
      <c r="Z73" s="2722"/>
    </row>
    <row r="74" spans="1:26" ht="30" customHeight="1" thickBot="1" x14ac:dyDescent="0.35">
      <c r="A74" s="1891"/>
      <c r="B74" s="3"/>
      <c r="C74" s="3"/>
      <c r="D74" s="2675"/>
      <c r="E74" s="2666"/>
      <c r="F74" s="3"/>
      <c r="G74" s="3"/>
      <c r="H74" s="2508"/>
      <c r="I74" s="4426"/>
      <c r="J74" s="4427"/>
      <c r="K74" s="4427"/>
      <c r="L74" s="4427"/>
      <c r="M74" s="4427"/>
      <c r="N74" s="4427"/>
      <c r="O74" s="4427"/>
      <c r="P74" s="4427"/>
      <c r="Q74" s="4427"/>
      <c r="R74" s="4427"/>
      <c r="S74" s="4427"/>
      <c r="T74" s="4427"/>
      <c r="U74" s="4428"/>
      <c r="V74" s="2718"/>
      <c r="W74" s="2718"/>
      <c r="X74" s="2718"/>
      <c r="Y74" s="2718"/>
      <c r="Z74" s="2722"/>
    </row>
    <row r="75" spans="1:26" ht="35.15" customHeight="1" thickBot="1" x14ac:dyDescent="0.35">
      <c r="A75" s="1891"/>
      <c r="B75" s="4485" t="s">
        <v>4490</v>
      </c>
      <c r="C75" s="4486"/>
      <c r="D75" s="4487"/>
      <c r="E75" s="2666"/>
      <c r="F75" s="2723" t="s">
        <v>870</v>
      </c>
      <c r="G75" s="3"/>
      <c r="H75" s="2508"/>
      <c r="I75" s="1897"/>
      <c r="J75" s="1897"/>
      <c r="K75" s="2705"/>
      <c r="L75" s="1897"/>
      <c r="M75" s="1897"/>
      <c r="N75" s="1897"/>
      <c r="O75" s="1897"/>
      <c r="P75" s="1897"/>
      <c r="Q75" s="1897"/>
      <c r="R75" s="1897"/>
      <c r="S75" s="1897"/>
      <c r="T75" s="1897"/>
      <c r="U75" s="1897"/>
      <c r="V75" s="2718"/>
      <c r="W75" s="2718"/>
      <c r="X75" s="2718"/>
      <c r="Y75" s="2718"/>
      <c r="Z75" s="2722"/>
    </row>
    <row r="76" spans="1:26" ht="35.15" customHeight="1" thickBot="1" x14ac:dyDescent="0.35">
      <c r="A76" s="1891"/>
      <c r="B76" s="2687" t="s">
        <v>4677</v>
      </c>
      <c r="C76" s="2497">
        <v>0.1</v>
      </c>
      <c r="D76" s="2665" t="s">
        <v>1714</v>
      </c>
      <c r="E76" s="2666"/>
      <c r="F76" s="2783" t="s">
        <v>4837</v>
      </c>
      <c r="G76" s="3"/>
      <c r="H76" s="2508"/>
      <c r="I76" s="4310" t="s">
        <v>4072</v>
      </c>
      <c r="J76" s="4332"/>
      <c r="K76" s="4333"/>
      <c r="L76" s="1897"/>
      <c r="M76" s="4352" t="s">
        <v>870</v>
      </c>
      <c r="N76" s="4353"/>
      <c r="O76" s="4354"/>
      <c r="P76" s="4354"/>
      <c r="Q76" s="4354"/>
      <c r="R76" s="4355"/>
      <c r="S76" s="1897"/>
      <c r="T76" s="1897"/>
      <c r="U76" s="1897"/>
      <c r="V76" s="2718"/>
      <c r="W76" s="2718"/>
      <c r="X76" s="2718"/>
      <c r="Y76" s="2718"/>
      <c r="Z76" s="2722"/>
    </row>
    <row r="77" spans="1:26" ht="35.15" customHeight="1" x14ac:dyDescent="0.3">
      <c r="A77" s="1891"/>
      <c r="B77" s="2688" t="s">
        <v>4478</v>
      </c>
      <c r="C77" s="2670">
        <v>4</v>
      </c>
      <c r="D77" s="2717" t="s">
        <v>1068</v>
      </c>
      <c r="E77" s="2666"/>
      <c r="F77" s="2766" t="s">
        <v>4838</v>
      </c>
      <c r="G77" s="3"/>
      <c r="H77" s="2508"/>
      <c r="I77" s="2810" t="s">
        <v>38</v>
      </c>
      <c r="J77" s="2811" t="s">
        <v>4762</v>
      </c>
      <c r="K77" s="2812" t="s">
        <v>4217</v>
      </c>
      <c r="L77" s="1897"/>
      <c r="M77" s="4378" t="s">
        <v>4861</v>
      </c>
      <c r="N77" s="4379"/>
      <c r="O77" s="4380"/>
      <c r="P77" s="4380"/>
      <c r="Q77" s="4380"/>
      <c r="R77" s="4381"/>
      <c r="S77" s="1897"/>
      <c r="T77" s="1897"/>
      <c r="U77" s="1897"/>
      <c r="V77" s="2718"/>
      <c r="W77" s="2718"/>
      <c r="X77" s="2718"/>
      <c r="Y77" s="2718"/>
      <c r="Z77" s="2722"/>
    </row>
    <row r="78" spans="1:26" ht="35.15" customHeight="1" x14ac:dyDescent="0.3">
      <c r="A78" s="1891"/>
      <c r="B78" s="2685" t="s">
        <v>4491</v>
      </c>
      <c r="C78" s="2660">
        <v>15</v>
      </c>
      <c r="D78" s="2717" t="s">
        <v>1068</v>
      </c>
      <c r="E78" s="2666"/>
      <c r="F78" s="2782" t="s">
        <v>4839</v>
      </c>
      <c r="G78" s="3"/>
      <c r="H78" s="2508"/>
      <c r="I78" s="2813" t="str">
        <f>"Property Damage and Business Loss "&amp;Cost_1</f>
        <v>Property Damage and Business Loss &lt; $50M</v>
      </c>
      <c r="J78" s="2708" t="s">
        <v>1787</v>
      </c>
      <c r="K78" s="2814">
        <v>2</v>
      </c>
      <c r="L78" s="1897"/>
      <c r="M78" s="4448" t="s">
        <v>4885</v>
      </c>
      <c r="N78" s="4449"/>
      <c r="O78" s="4450"/>
      <c r="P78" s="4450"/>
      <c r="Q78" s="4450"/>
      <c r="R78" s="4347"/>
      <c r="S78" s="1897"/>
      <c r="T78" s="1897"/>
      <c r="U78" s="1897"/>
      <c r="V78" s="2718"/>
      <c r="W78" s="2718"/>
      <c r="X78" s="2718"/>
      <c r="Y78" s="2718"/>
      <c r="Z78" s="2722"/>
    </row>
    <row r="79" spans="1:26" ht="35.15" customHeight="1" x14ac:dyDescent="0.3">
      <c r="A79" s="1891"/>
      <c r="B79" s="2685" t="s">
        <v>4486</v>
      </c>
      <c r="C79" s="2660">
        <v>0.25</v>
      </c>
      <c r="D79" s="2717"/>
      <c r="E79" s="2666"/>
      <c r="F79" s="2766" t="s">
        <v>4945</v>
      </c>
      <c r="G79" s="3"/>
      <c r="H79" s="2508"/>
      <c r="I79" s="2813" t="str">
        <f>"Property Damage and Business Loss "&amp;Cost_2</f>
        <v>Property Damage and Business Loss $50 M to $500 M</v>
      </c>
      <c r="J79" s="2708" t="s">
        <v>4521</v>
      </c>
      <c r="K79" s="2814">
        <v>3</v>
      </c>
      <c r="L79" s="1897"/>
      <c r="M79" s="4345" t="s">
        <v>4931</v>
      </c>
      <c r="N79" s="4527"/>
      <c r="O79" s="4450"/>
      <c r="P79" s="4450"/>
      <c r="Q79" s="4450"/>
      <c r="R79" s="4347"/>
      <c r="S79" s="1897"/>
      <c r="T79" s="1897"/>
      <c r="U79" s="1897"/>
      <c r="V79" s="2718"/>
      <c r="W79" s="2718"/>
      <c r="X79" s="2718"/>
      <c r="Y79" s="2718"/>
      <c r="Z79" s="2722"/>
    </row>
    <row r="80" spans="1:26" ht="35.15" customHeight="1" x14ac:dyDescent="0.3">
      <c r="A80" s="1891"/>
      <c r="B80" s="2685" t="s">
        <v>4488</v>
      </c>
      <c r="C80" s="2660">
        <v>2</v>
      </c>
      <c r="D80" s="2717"/>
      <c r="E80" s="2666"/>
      <c r="F80" s="2766" t="s">
        <v>4840</v>
      </c>
      <c r="G80" s="3"/>
      <c r="H80" s="2508"/>
      <c r="I80" s="2813" t="str">
        <f>"Property Damage and Business Loss "&amp;Cost_3</f>
        <v>Property Damage and Business Loss $500 M to $5 MM</v>
      </c>
      <c r="J80" s="2708" t="s">
        <v>4522</v>
      </c>
      <c r="K80" s="2814">
        <v>4</v>
      </c>
      <c r="L80" s="1897"/>
      <c r="M80" s="4448" t="s">
        <v>4932</v>
      </c>
      <c r="N80" s="4449"/>
      <c r="O80" s="4450"/>
      <c r="P80" s="4450"/>
      <c r="Q80" s="4450"/>
      <c r="R80" s="4347"/>
      <c r="S80" s="1897"/>
      <c r="T80" s="1897"/>
      <c r="U80" s="1897"/>
      <c r="V80" s="2718"/>
      <c r="W80" s="2718"/>
      <c r="X80" s="2718"/>
      <c r="Y80" s="2718"/>
      <c r="Z80" s="2722"/>
    </row>
    <row r="81" spans="1:26" ht="35.15" customHeight="1" thickBot="1" x14ac:dyDescent="0.35">
      <c r="A81" s="1891"/>
      <c r="B81" s="2686" t="s">
        <v>4489</v>
      </c>
      <c r="C81" s="2496">
        <v>1</v>
      </c>
      <c r="D81" s="2730"/>
      <c r="E81" s="2666"/>
      <c r="F81" s="2769" t="s">
        <v>4841</v>
      </c>
      <c r="G81" s="3"/>
      <c r="H81" s="2508"/>
      <c r="I81" s="2813" t="str">
        <f>"Property Damage and Business Loss "&amp;Cost_4</f>
        <v>Property Damage and Business Loss $5 MM to $50 MM</v>
      </c>
      <c r="J81" s="2708" t="s">
        <v>4523</v>
      </c>
      <c r="K81" s="2814">
        <v>5</v>
      </c>
      <c r="L81" s="1897"/>
      <c r="M81" s="4448" t="s">
        <v>4933</v>
      </c>
      <c r="N81" s="4449"/>
      <c r="O81" s="4450"/>
      <c r="P81" s="4450"/>
      <c r="Q81" s="4450"/>
      <c r="R81" s="4347"/>
      <c r="S81" s="1897"/>
      <c r="T81" s="1897"/>
      <c r="U81" s="1897"/>
      <c r="V81" s="2718"/>
      <c r="W81" s="2718"/>
      <c r="X81" s="2718"/>
      <c r="Y81" s="2718"/>
      <c r="Z81" s="2722"/>
    </row>
    <row r="82" spans="1:26" ht="35.15" customHeight="1" thickBot="1" x14ac:dyDescent="0.35">
      <c r="A82" s="1891"/>
      <c r="B82" s="3"/>
      <c r="C82" s="3"/>
      <c r="D82" s="2675"/>
      <c r="E82" s="2666"/>
      <c r="F82" s="3"/>
      <c r="G82" s="3"/>
      <c r="H82" s="2508"/>
      <c r="I82" s="2813" t="str">
        <f>IF(OR(Cost_5="",Conseq_VeryHigh_Bus=""),"","Property Damage and Business Loss "&amp;Cost_5)</f>
        <v>Property Damage and Business Loss &gt; $50 MM</v>
      </c>
      <c r="J82" s="2708" t="s">
        <v>4906</v>
      </c>
      <c r="K82" s="2814">
        <v>5</v>
      </c>
      <c r="L82" s="1897"/>
      <c r="M82" s="4345" t="s">
        <v>4934</v>
      </c>
      <c r="N82" s="4527"/>
      <c r="O82" s="4450"/>
      <c r="P82" s="4450"/>
      <c r="Q82" s="4450"/>
      <c r="R82" s="4347"/>
      <c r="S82" s="1897"/>
      <c r="T82" s="1897"/>
      <c r="U82" s="1897"/>
      <c r="V82" s="2718"/>
      <c r="W82" s="2718"/>
      <c r="X82" s="2718"/>
      <c r="Y82" s="2718"/>
      <c r="Z82" s="2722"/>
    </row>
    <row r="83" spans="1:26" ht="35.15" customHeight="1" thickBot="1" x14ac:dyDescent="0.35">
      <c r="A83" s="1891"/>
      <c r="B83" s="4310" t="s">
        <v>3575</v>
      </c>
      <c r="C83" s="4391"/>
      <c r="D83" s="4392"/>
      <c r="E83" s="2666"/>
      <c r="F83" s="2723" t="s">
        <v>870</v>
      </c>
      <c r="G83" s="3"/>
      <c r="H83" s="2508"/>
      <c r="I83" s="2815" t="str">
        <f>IF(OR(Cost_6="",Conseq_ExtremeHigh_Bus=""),"","Property Damage and Business Loss "&amp;Cost_6)</f>
        <v/>
      </c>
      <c r="J83" s="2816"/>
      <c r="K83" s="2817"/>
      <c r="L83" s="1897"/>
      <c r="M83" s="4444" t="s">
        <v>4935</v>
      </c>
      <c r="N83" s="4445"/>
      <c r="O83" s="4446"/>
      <c r="P83" s="4446"/>
      <c r="Q83" s="4446"/>
      <c r="R83" s="4447"/>
      <c r="S83" s="1897"/>
      <c r="T83" s="1897"/>
      <c r="U83" s="1897"/>
      <c r="V83" s="2718"/>
      <c r="W83" s="2718"/>
      <c r="X83" s="2718"/>
      <c r="Y83" s="2718"/>
      <c r="Z83" s="2722"/>
    </row>
    <row r="84" spans="1:26" ht="35.15" customHeight="1" x14ac:dyDescent="0.3">
      <c r="A84" s="1891"/>
      <c r="B84" s="2784" t="s">
        <v>3576</v>
      </c>
      <c r="C84" s="2763">
        <v>1.1000000000000001</v>
      </c>
      <c r="D84" s="1914"/>
      <c r="E84" s="2666"/>
      <c r="F84" s="4504" t="s">
        <v>4835</v>
      </c>
      <c r="G84" s="3"/>
      <c r="H84" s="2508"/>
      <c r="I84" s="2731" t="str">
        <f>IF(MAX(K78:K83)&gt;Conseq_GT_ExtremeHigh,"ERROR - Maximum TFF Business Loss &gt; Maximum TFF Human Harm","")</f>
        <v/>
      </c>
      <c r="J84" s="2611"/>
      <c r="K84" s="2732"/>
      <c r="L84" s="2733"/>
      <c r="M84" s="1897"/>
      <c r="N84" s="1897"/>
      <c r="O84" s="1897"/>
      <c r="P84" s="1897"/>
      <c r="Q84" s="1897"/>
      <c r="R84" s="1897"/>
      <c r="S84" s="1897"/>
      <c r="T84" s="1897"/>
      <c r="U84" s="1897"/>
      <c r="V84" s="2718"/>
      <c r="W84" s="2718"/>
      <c r="X84" s="2718"/>
      <c r="Y84" s="2718"/>
      <c r="Z84" s="2722"/>
    </row>
    <row r="85" spans="1:26" ht="35.15" customHeight="1" thickBot="1" x14ac:dyDescent="0.35">
      <c r="A85" s="1891"/>
      <c r="B85" s="2682" t="s">
        <v>3615</v>
      </c>
      <c r="C85" s="2667">
        <v>1.3</v>
      </c>
      <c r="D85" s="2664"/>
      <c r="E85" s="2666"/>
      <c r="F85" s="4505"/>
      <c r="G85" s="3"/>
      <c r="H85" s="2508"/>
      <c r="I85" s="1897"/>
      <c r="J85" s="1897"/>
      <c r="K85" s="2705"/>
      <c r="L85" s="1897"/>
      <c r="M85" s="1897"/>
      <c r="N85" s="1897"/>
      <c r="O85" s="1897"/>
      <c r="P85" s="1897"/>
      <c r="Q85" s="1897"/>
      <c r="R85" s="1897"/>
      <c r="S85" s="1897"/>
      <c r="T85" s="1897"/>
      <c r="U85" s="1897"/>
      <c r="V85" s="2718"/>
      <c r="W85" s="2718"/>
      <c r="X85" s="2718"/>
      <c r="Y85" s="2718"/>
      <c r="Z85" s="2722"/>
    </row>
    <row r="86" spans="1:26" ht="35.15" customHeight="1" thickBot="1" x14ac:dyDescent="0.35">
      <c r="A86" s="1891"/>
      <c r="B86" s="2689" t="s">
        <v>3700</v>
      </c>
      <c r="C86" s="2661">
        <v>1.5</v>
      </c>
      <c r="D86" s="2664"/>
      <c r="E86" s="2666"/>
      <c r="F86" s="4505"/>
      <c r="G86" s="3"/>
      <c r="H86" s="2508"/>
      <c r="I86" s="4432" t="s">
        <v>4073</v>
      </c>
      <c r="J86" s="4433"/>
      <c r="K86" s="4434"/>
      <c r="L86" s="1897"/>
      <c r="M86" s="4443" t="s">
        <v>870</v>
      </c>
      <c r="N86" s="4443"/>
      <c r="O86" s="4443"/>
      <c r="P86" s="4443"/>
      <c r="Q86" s="4443"/>
      <c r="R86" s="4443"/>
      <c r="S86" s="1897"/>
      <c r="T86" s="1897"/>
      <c r="U86" s="1897"/>
      <c r="V86" s="2718"/>
      <c r="W86" s="2718"/>
      <c r="X86" s="2718"/>
      <c r="Y86" s="2718"/>
      <c r="Z86" s="2722"/>
    </row>
    <row r="87" spans="1:26" ht="35.15" customHeight="1" x14ac:dyDescent="0.3">
      <c r="A87" s="1891"/>
      <c r="B87" s="2690" t="s">
        <v>3613</v>
      </c>
      <c r="C87" s="2661">
        <v>2</v>
      </c>
      <c r="D87" s="2664"/>
      <c r="E87" s="2666"/>
      <c r="F87" s="4505"/>
      <c r="G87" s="3"/>
      <c r="H87" s="2508"/>
      <c r="I87" s="4435" t="s">
        <v>38</v>
      </c>
      <c r="J87" s="4436"/>
      <c r="K87" s="2812" t="s">
        <v>4217</v>
      </c>
      <c r="L87" s="1897"/>
      <c r="M87" s="4378" t="s">
        <v>4861</v>
      </c>
      <c r="N87" s="4379"/>
      <c r="O87" s="4380"/>
      <c r="P87" s="4380"/>
      <c r="Q87" s="4380"/>
      <c r="R87" s="4381"/>
      <c r="S87" s="1897"/>
      <c r="T87" s="1897"/>
      <c r="U87" s="1897"/>
      <c r="V87" s="2718"/>
      <c r="W87" s="2718"/>
      <c r="X87" s="2718"/>
      <c r="Y87" s="2718"/>
      <c r="Z87" s="2722"/>
    </row>
    <row r="88" spans="1:26" ht="35.15" customHeight="1" x14ac:dyDescent="0.3">
      <c r="A88" s="1891"/>
      <c r="B88" s="2690" t="s">
        <v>4681</v>
      </c>
      <c r="C88" s="2498">
        <v>1.3</v>
      </c>
      <c r="D88" s="2664"/>
      <c r="E88" s="2666"/>
      <c r="F88" s="4505"/>
      <c r="G88" s="3"/>
      <c r="H88" s="2508"/>
      <c r="I88" s="4469" t="s">
        <v>32</v>
      </c>
      <c r="J88" s="4470"/>
      <c r="K88" s="2818">
        <v>2</v>
      </c>
      <c r="L88" s="1897"/>
      <c r="M88" s="4448" t="s">
        <v>4936</v>
      </c>
      <c r="N88" s="4449"/>
      <c r="O88" s="4450"/>
      <c r="P88" s="4450"/>
      <c r="Q88" s="4450"/>
      <c r="R88" s="4347"/>
      <c r="S88" s="1897"/>
      <c r="T88" s="1897"/>
      <c r="U88" s="1897"/>
      <c r="V88" s="2718"/>
      <c r="W88" s="2718"/>
      <c r="X88" s="2718"/>
      <c r="Y88" s="2718"/>
      <c r="Z88" s="2722"/>
    </row>
    <row r="89" spans="1:26" ht="35.15" customHeight="1" thickBot="1" x14ac:dyDescent="0.35">
      <c r="A89" s="1891"/>
      <c r="B89" s="1910" t="s">
        <v>3653</v>
      </c>
      <c r="C89" s="2495">
        <v>600</v>
      </c>
      <c r="D89" s="2716" t="s">
        <v>1836</v>
      </c>
      <c r="E89" s="2666"/>
      <c r="F89" s="2769" t="s">
        <v>4836</v>
      </c>
      <c r="G89" s="3"/>
      <c r="H89" s="2508"/>
      <c r="I89" s="4451" t="s">
        <v>1236</v>
      </c>
      <c r="J89" s="4452"/>
      <c r="K89" s="2818">
        <v>3</v>
      </c>
      <c r="L89" s="1897"/>
      <c r="M89" s="4448" t="s">
        <v>4937</v>
      </c>
      <c r="N89" s="4449"/>
      <c r="O89" s="4450"/>
      <c r="P89" s="4450"/>
      <c r="Q89" s="4450"/>
      <c r="R89" s="4347"/>
      <c r="S89" s="1897"/>
      <c r="T89" s="1897"/>
      <c r="U89" s="1897"/>
      <c r="V89" s="2718"/>
      <c r="W89" s="2718"/>
      <c r="X89" s="2718"/>
      <c r="Y89" s="2718"/>
      <c r="Z89" s="2722"/>
    </row>
    <row r="90" spans="1:26" ht="35.15" customHeight="1" thickBot="1" x14ac:dyDescent="0.35">
      <c r="A90" s="1891"/>
      <c r="B90" s="3"/>
      <c r="C90" s="3"/>
      <c r="D90" s="2675"/>
      <c r="E90" s="2666"/>
      <c r="F90" s="3"/>
      <c r="G90" s="3"/>
      <c r="H90" s="2508"/>
      <c r="I90" s="4451" t="s">
        <v>981</v>
      </c>
      <c r="J90" s="4452"/>
      <c r="K90" s="2818">
        <v>4</v>
      </c>
      <c r="L90" s="1897"/>
      <c r="M90" s="4448" t="s">
        <v>4938</v>
      </c>
      <c r="N90" s="4449"/>
      <c r="O90" s="4450"/>
      <c r="P90" s="4450"/>
      <c r="Q90" s="4450"/>
      <c r="R90" s="4347"/>
      <c r="S90" s="1897"/>
      <c r="T90" s="2718"/>
      <c r="U90" s="2718"/>
      <c r="V90" s="2718"/>
      <c r="W90" s="2718"/>
      <c r="X90" s="2718"/>
      <c r="Y90" s="2718"/>
      <c r="Z90" s="2722"/>
    </row>
    <row r="91" spans="1:26" ht="35.15" customHeight="1" thickBot="1" x14ac:dyDescent="0.35">
      <c r="A91" s="1891"/>
      <c r="B91" s="4249" t="s">
        <v>4703</v>
      </c>
      <c r="C91" s="4259"/>
      <c r="D91" s="4260"/>
      <c r="E91" s="2666"/>
      <c r="F91" s="2723" t="s">
        <v>870</v>
      </c>
      <c r="G91" s="3"/>
      <c r="H91" s="2508"/>
      <c r="I91" s="4451" t="s">
        <v>1359</v>
      </c>
      <c r="J91" s="4452"/>
      <c r="K91" s="2818">
        <v>5</v>
      </c>
      <c r="L91" s="1897"/>
      <c r="M91" s="4448" t="s">
        <v>4940</v>
      </c>
      <c r="N91" s="4449"/>
      <c r="O91" s="4450"/>
      <c r="P91" s="4450"/>
      <c r="Q91" s="4450"/>
      <c r="R91" s="4347"/>
      <c r="S91" s="1897"/>
      <c r="T91" s="2718"/>
      <c r="U91" s="2718"/>
      <c r="V91" s="2718"/>
      <c r="W91" s="2718"/>
      <c r="X91" s="2718"/>
      <c r="Y91" s="2718"/>
      <c r="Z91" s="2722"/>
    </row>
    <row r="92" spans="1:26" ht="35.15" customHeight="1" x14ac:dyDescent="0.3">
      <c r="A92" s="1891"/>
      <c r="B92" s="2691" t="s">
        <v>3577</v>
      </c>
      <c r="C92" s="2667">
        <v>1500</v>
      </c>
      <c r="D92" s="2664" t="s">
        <v>3625</v>
      </c>
      <c r="E92" s="2666"/>
      <c r="F92" s="2775" t="s">
        <v>4842</v>
      </c>
      <c r="G92" s="3"/>
      <c r="H92" s="2508"/>
      <c r="I92" s="4451" t="s">
        <v>1970</v>
      </c>
      <c r="J92" s="4452"/>
      <c r="K92" s="2818">
        <v>5</v>
      </c>
      <c r="L92" s="1897"/>
      <c r="M92" s="4345"/>
      <c r="N92" s="4527"/>
      <c r="O92" s="4450"/>
      <c r="P92" s="4450"/>
      <c r="Q92" s="4450"/>
      <c r="R92" s="4347"/>
      <c r="S92" s="1897"/>
      <c r="T92" s="2718"/>
      <c r="U92" s="2718"/>
      <c r="V92" s="2718"/>
      <c r="W92" s="2718"/>
      <c r="X92" s="2718"/>
      <c r="Y92" s="2718"/>
      <c r="Z92" s="2722"/>
    </row>
    <row r="93" spans="1:26" ht="35.15" customHeight="1" thickBot="1" x14ac:dyDescent="0.35">
      <c r="A93" s="1891"/>
      <c r="B93" s="2692" t="s">
        <v>3713</v>
      </c>
      <c r="C93" s="2671">
        <v>0.1</v>
      </c>
      <c r="D93" s="2676"/>
      <c r="E93" s="2666"/>
      <c r="F93" s="4512" t="s">
        <v>4939</v>
      </c>
      <c r="G93" s="3"/>
      <c r="H93" s="2508"/>
      <c r="I93" s="4519" t="s">
        <v>1099</v>
      </c>
      <c r="J93" s="4520"/>
      <c r="K93" s="2819">
        <v>5</v>
      </c>
      <c r="L93" s="1897"/>
      <c r="M93" s="4528"/>
      <c r="N93" s="4529"/>
      <c r="O93" s="4446"/>
      <c r="P93" s="4446"/>
      <c r="Q93" s="4446"/>
      <c r="R93" s="4447"/>
      <c r="S93" s="1897"/>
      <c r="T93" s="2718"/>
      <c r="U93" s="2718"/>
      <c r="V93" s="2718"/>
      <c r="W93" s="2718"/>
      <c r="X93" s="2718"/>
      <c r="Y93" s="2718"/>
      <c r="Z93" s="2722"/>
    </row>
    <row r="94" spans="1:26" ht="35.15" customHeight="1" thickBot="1" x14ac:dyDescent="0.35">
      <c r="A94" s="1891"/>
      <c r="B94" s="2692" t="s">
        <v>3714</v>
      </c>
      <c r="C94" s="2493">
        <v>0.1</v>
      </c>
      <c r="D94" s="2676"/>
      <c r="E94" s="2666"/>
      <c r="F94" s="4505"/>
      <c r="G94" s="3"/>
      <c r="H94" s="2508"/>
      <c r="I94" s="2731" t="str">
        <f>IF(MAX(K88:K93)&gt;Conseq_GT_ExtremeHigh,"ERROR - Maximum TFF Environmental Damage &gt; Maximum TFF Human Harm","")</f>
        <v/>
      </c>
      <c r="J94" s="2711"/>
      <c r="K94" s="2732"/>
      <c r="L94" s="2733"/>
      <c r="M94" s="1897"/>
      <c r="N94" s="1897"/>
      <c r="O94" s="1897"/>
      <c r="P94" s="1897"/>
      <c r="Q94" s="1897"/>
      <c r="R94" s="1897"/>
      <c r="S94" s="1897"/>
      <c r="T94" s="2718"/>
      <c r="U94" s="2718"/>
      <c r="V94" s="2718"/>
      <c r="W94" s="2718"/>
      <c r="X94" s="2718"/>
      <c r="Y94" s="2718"/>
      <c r="Z94" s="2722"/>
    </row>
    <row r="95" spans="1:26" ht="35.15" customHeight="1" thickBot="1" x14ac:dyDescent="0.35">
      <c r="A95" s="1891"/>
      <c r="B95" s="2692" t="s">
        <v>3626</v>
      </c>
      <c r="C95" s="2493">
        <v>0.2</v>
      </c>
      <c r="D95" s="2676"/>
      <c r="E95" s="2666"/>
      <c r="F95" s="4505"/>
      <c r="G95" s="3"/>
      <c r="H95" s="2508"/>
      <c r="I95" s="1897"/>
      <c r="J95" s="1897"/>
      <c r="K95" s="2705"/>
      <c r="L95" s="1897"/>
      <c r="M95" s="1897"/>
      <c r="N95" s="1897"/>
      <c r="O95" s="1897"/>
      <c r="P95" s="1897"/>
      <c r="Q95" s="1897"/>
      <c r="R95" s="1897"/>
      <c r="S95" s="1897"/>
      <c r="T95" s="4552" t="s">
        <v>4875</v>
      </c>
      <c r="U95" s="4553"/>
      <c r="V95" s="4553"/>
      <c r="W95" s="4553"/>
      <c r="X95" s="4553"/>
      <c r="Y95" s="4554"/>
      <c r="Z95" s="2843"/>
    </row>
    <row r="96" spans="1:26" ht="35.15" customHeight="1" thickBot="1" x14ac:dyDescent="0.35">
      <c r="A96" s="1891"/>
      <c r="B96" s="2692" t="s">
        <v>3522</v>
      </c>
      <c r="C96" s="2493">
        <v>0.5</v>
      </c>
      <c r="D96" s="2676"/>
      <c r="E96" s="2666"/>
      <c r="F96" s="4505"/>
      <c r="G96" s="3"/>
      <c r="H96" s="2508"/>
      <c r="I96" s="4539" t="s">
        <v>3825</v>
      </c>
      <c r="J96" s="4540"/>
      <c r="K96" s="4541"/>
      <c r="L96" s="1897"/>
      <c r="M96" s="4352" t="s">
        <v>870</v>
      </c>
      <c r="N96" s="4353"/>
      <c r="O96" s="4354"/>
      <c r="P96" s="4354"/>
      <c r="Q96" s="4354"/>
      <c r="R96" s="4355"/>
      <c r="S96" s="1897"/>
      <c r="T96" s="672"/>
      <c r="U96" s="2737" t="s">
        <v>1169</v>
      </c>
      <c r="V96" s="2737" t="s">
        <v>1091</v>
      </c>
      <c r="W96" s="2737" t="s">
        <v>599</v>
      </c>
      <c r="X96" s="4516" t="s">
        <v>4783</v>
      </c>
      <c r="Y96" s="4401"/>
      <c r="Z96" s="2843"/>
    </row>
    <row r="97" spans="1:26" ht="35.15" customHeight="1" x14ac:dyDescent="0.3">
      <c r="A97" s="1891"/>
      <c r="B97" s="2692" t="s">
        <v>3523</v>
      </c>
      <c r="C97" s="2493">
        <v>3</v>
      </c>
      <c r="D97" s="2677" t="s">
        <v>3524</v>
      </c>
      <c r="E97" s="2666"/>
      <c r="F97" s="2785" t="s">
        <v>5011</v>
      </c>
      <c r="G97" s="3"/>
      <c r="H97" s="2508"/>
      <c r="I97" s="2780" t="s">
        <v>38</v>
      </c>
      <c r="J97" s="2820" t="s">
        <v>982</v>
      </c>
      <c r="K97" s="2821" t="s">
        <v>3819</v>
      </c>
      <c r="L97" s="1897"/>
      <c r="M97" s="4378" t="s">
        <v>4861</v>
      </c>
      <c r="N97" s="4379"/>
      <c r="O97" s="4380"/>
      <c r="P97" s="4380"/>
      <c r="Q97" s="4380"/>
      <c r="R97" s="4381"/>
      <c r="S97" s="1897"/>
      <c r="T97" s="672"/>
      <c r="U97" s="2736">
        <v>4</v>
      </c>
      <c r="V97" s="2737">
        <v>3</v>
      </c>
      <c r="W97" s="2736">
        <v>2</v>
      </c>
      <c r="X97" s="4516" t="s">
        <v>4607</v>
      </c>
      <c r="Y97" s="4401"/>
      <c r="Z97" s="2843"/>
    </row>
    <row r="98" spans="1:26" ht="35.15" customHeight="1" x14ac:dyDescent="0.3">
      <c r="A98" s="1891"/>
      <c r="B98" s="2692" t="s">
        <v>4084</v>
      </c>
      <c r="C98" s="2661">
        <v>0.5</v>
      </c>
      <c r="D98" s="2677" t="s">
        <v>3524</v>
      </c>
      <c r="E98" s="2666"/>
      <c r="F98" s="2785" t="s">
        <v>5012</v>
      </c>
      <c r="G98" s="3"/>
      <c r="H98" s="2508"/>
      <c r="I98" s="2822" t="s">
        <v>3817</v>
      </c>
      <c r="J98" s="2734">
        <v>10</v>
      </c>
      <c r="K98" s="2818">
        <v>100</v>
      </c>
      <c r="L98" s="1897"/>
      <c r="M98" s="4530" t="s">
        <v>4872</v>
      </c>
      <c r="N98" s="4531"/>
      <c r="O98" s="4532"/>
      <c r="P98" s="4532"/>
      <c r="Q98" s="4532"/>
      <c r="R98" s="4533"/>
      <c r="S98" s="1897"/>
      <c r="T98" s="2749" t="s">
        <v>653</v>
      </c>
      <c r="U98" s="2739" t="s">
        <v>4701</v>
      </c>
      <c r="V98" s="2740"/>
      <c r="W98" s="35"/>
      <c r="X98" s="2636" t="s">
        <v>4606</v>
      </c>
      <c r="Y98" s="2738"/>
      <c r="Z98" s="2843"/>
    </row>
    <row r="99" spans="1:26" ht="35.15" customHeight="1" x14ac:dyDescent="0.3">
      <c r="A99" s="1891"/>
      <c r="B99" s="2691" t="s">
        <v>3694</v>
      </c>
      <c r="C99" s="2522">
        <v>200</v>
      </c>
      <c r="D99" s="2664" t="s">
        <v>3625</v>
      </c>
      <c r="E99" s="2666"/>
      <c r="F99" s="2766" t="s">
        <v>4941</v>
      </c>
      <c r="G99" s="3"/>
      <c r="H99" s="2508"/>
      <c r="I99" s="2822" t="s">
        <v>3815</v>
      </c>
      <c r="J99" s="2734">
        <v>100</v>
      </c>
      <c r="K99" s="2818">
        <v>1000</v>
      </c>
      <c r="L99" s="1897"/>
      <c r="M99" s="4534"/>
      <c r="N99" s="3887"/>
      <c r="O99" s="3887"/>
      <c r="P99" s="3887"/>
      <c r="Q99" s="3887"/>
      <c r="R99" s="4535"/>
      <c r="S99" s="1897"/>
      <c r="T99" s="2750" t="str">
        <f>"&lt; "&amp;WaterLimit_ExtremeHigh_Environ&amp;" Kg"</f>
        <v>&lt; 100000 Kg</v>
      </c>
      <c r="U99" s="2741">
        <f>Conseq_ExtremeHigh_Environ</f>
        <v>5</v>
      </c>
      <c r="V99" s="2742">
        <f>Conseq_VeryHigh_Environ</f>
        <v>5</v>
      </c>
      <c r="W99" s="2743">
        <f>Conseq_High_Environ</f>
        <v>5</v>
      </c>
      <c r="X99" s="2635" t="str">
        <f>" &lt; "&amp;SoilLimit_ExtremeHigh_Environ&amp;" Kg"</f>
        <v xml:space="preserve"> &lt; 1000000 Kg</v>
      </c>
      <c r="Y99" s="2738"/>
      <c r="Z99" s="2843"/>
    </row>
    <row r="100" spans="1:26" ht="30" customHeight="1" thickBot="1" x14ac:dyDescent="0.35">
      <c r="A100" s="1891"/>
      <c r="B100" s="2693" t="s">
        <v>3578</v>
      </c>
      <c r="C100" s="2494">
        <v>2</v>
      </c>
      <c r="D100" s="2678" t="s">
        <v>1146</v>
      </c>
      <c r="E100" s="2666"/>
      <c r="F100" s="2786" t="s">
        <v>5013</v>
      </c>
      <c r="G100" s="3"/>
      <c r="H100" s="2508"/>
      <c r="I100" s="2822" t="s">
        <v>3816</v>
      </c>
      <c r="J100" s="2734">
        <v>1000</v>
      </c>
      <c r="K100" s="2818">
        <v>10000</v>
      </c>
      <c r="L100" s="1897"/>
      <c r="M100" s="4534"/>
      <c r="N100" s="3887"/>
      <c r="O100" s="3887"/>
      <c r="P100" s="3887"/>
      <c r="Q100" s="3887"/>
      <c r="R100" s="4535"/>
      <c r="S100" s="1897"/>
      <c r="T100" s="2750" t="str">
        <f>"&lt; "&amp;WaterLimit_VeryHigh_Environ&amp;" Kg"</f>
        <v>&lt; 10000 Kg</v>
      </c>
      <c r="U100" s="2742">
        <f>Conseq_VeryHigh_Environ</f>
        <v>5</v>
      </c>
      <c r="V100" s="2743">
        <f>Conseq_High_Environ</f>
        <v>5</v>
      </c>
      <c r="W100" s="2744">
        <f>Conseq_Moderate_Environ</f>
        <v>4</v>
      </c>
      <c r="X100" s="2635" t="str">
        <f>" &lt; "&amp;SoilLimit_VeryHigh_Environ&amp;" Kg"</f>
        <v xml:space="preserve"> &lt; 100000 Kg</v>
      </c>
      <c r="Y100" s="2738"/>
      <c r="Z100" s="2843"/>
    </row>
    <row r="101" spans="1:26" ht="30" customHeight="1" x14ac:dyDescent="0.3">
      <c r="A101" s="1891"/>
      <c r="B101" s="3"/>
      <c r="C101" s="3"/>
      <c r="D101" s="2675"/>
      <c r="E101" s="2666"/>
      <c r="F101" s="3"/>
      <c r="G101" s="3"/>
      <c r="H101" s="2508"/>
      <c r="I101" s="2822" t="s">
        <v>3818</v>
      </c>
      <c r="J101" s="2734">
        <v>10000</v>
      </c>
      <c r="K101" s="2818">
        <v>100000</v>
      </c>
      <c r="L101" s="1897"/>
      <c r="M101" s="4534"/>
      <c r="N101" s="3887"/>
      <c r="O101" s="3887"/>
      <c r="P101" s="3887"/>
      <c r="Q101" s="3887"/>
      <c r="R101" s="4535"/>
      <c r="S101" s="1897"/>
      <c r="T101" s="2750" t="str">
        <f>"&lt; "&amp;WaterLimit_High_Environ&amp;" Kg"</f>
        <v>&lt; 1000 Kg</v>
      </c>
      <c r="U101" s="2743">
        <f>Conseq_High_Environ</f>
        <v>5</v>
      </c>
      <c r="V101" s="2744">
        <f>Conseq_Moderate_Environ</f>
        <v>4</v>
      </c>
      <c r="W101" s="2745">
        <f>Conseq_Low_Environ</f>
        <v>3</v>
      </c>
      <c r="X101" s="2635" t="str">
        <f>" &lt; "&amp;SoilLimit_High_Environ&amp;" Kg"</f>
        <v xml:space="preserve"> &lt; 10000 Kg</v>
      </c>
      <c r="Y101" s="2738"/>
      <c r="Z101" s="2843"/>
    </row>
    <row r="102" spans="1:26" ht="30" customHeight="1" thickBot="1" x14ac:dyDescent="0.35">
      <c r="A102" s="1892"/>
      <c r="B102" s="1893"/>
      <c r="C102" s="1893"/>
      <c r="D102" s="2679"/>
      <c r="E102" s="2672"/>
      <c r="F102" s="1893"/>
      <c r="G102" s="1893"/>
      <c r="H102" s="2508"/>
      <c r="I102" s="2823" t="s">
        <v>3820</v>
      </c>
      <c r="J102" s="2824">
        <v>100000</v>
      </c>
      <c r="K102" s="2819">
        <v>1000000</v>
      </c>
      <c r="L102" s="1897"/>
      <c r="M102" s="4536"/>
      <c r="N102" s="4537"/>
      <c r="O102" s="4537"/>
      <c r="P102" s="4537"/>
      <c r="Q102" s="4537"/>
      <c r="R102" s="4538"/>
      <c r="S102" s="1897"/>
      <c r="T102" s="2750" t="str">
        <f>"&lt; "&amp;WaterLimit_Moderate_Environ&amp;" Kg"</f>
        <v>&lt; 100 Kg</v>
      </c>
      <c r="U102" s="2744">
        <f>Conseq_Moderate_Environ</f>
        <v>4</v>
      </c>
      <c r="V102" s="2745">
        <f>Conseq_Low_Environ</f>
        <v>3</v>
      </c>
      <c r="W102" s="2737">
        <f>Conseq_VeryLow_Environ</f>
        <v>2</v>
      </c>
      <c r="X102" s="2635" t="str">
        <f>" &lt; "&amp;SoilLimit_Moderate_Environ&amp;" Kg"</f>
        <v xml:space="preserve"> &lt; 1000 Kg</v>
      </c>
      <c r="Y102" s="2738"/>
      <c r="Z102" s="2843"/>
    </row>
    <row r="103" spans="1:26" ht="30" customHeight="1" x14ac:dyDescent="0.3">
      <c r="H103" s="2508"/>
      <c r="I103" s="2710" t="s">
        <v>4765</v>
      </c>
      <c r="J103" s="2733"/>
      <c r="K103" s="2732"/>
      <c r="L103" s="2733"/>
      <c r="M103" s="1897"/>
      <c r="N103" s="1897"/>
      <c r="O103" s="1897"/>
      <c r="P103" s="1897"/>
      <c r="Q103" s="1897"/>
      <c r="R103" s="1897"/>
      <c r="S103" s="1897"/>
      <c r="T103" s="2750" t="str">
        <f>"&lt; "&amp;WaterLimit_Low_Environ&amp;" Kg"</f>
        <v>&lt; 10 Kg</v>
      </c>
      <c r="U103" s="2745">
        <f>Conseq_Low_Environ</f>
        <v>3</v>
      </c>
      <c r="V103" s="2737">
        <f>Conseq_VeryLow_Environ</f>
        <v>2</v>
      </c>
      <c r="W103" s="2746"/>
      <c r="X103" s="2635" t="str">
        <f>" &lt; "&amp;SoilLimit_Low_Environ&amp;" Kg"</f>
        <v xml:space="preserve"> &lt; 100 Kg</v>
      </c>
      <c r="Y103" s="2738"/>
      <c r="Z103" s="2843"/>
    </row>
    <row r="104" spans="1:26" ht="30" customHeight="1" thickBot="1" x14ac:dyDescent="0.35">
      <c r="H104" s="2508"/>
      <c r="I104" s="2710" t="s">
        <v>4764</v>
      </c>
      <c r="J104" s="1897"/>
      <c r="K104" s="2705"/>
      <c r="L104" s="1897"/>
      <c r="M104" s="1897"/>
      <c r="N104" s="1897"/>
      <c r="O104" s="1897"/>
      <c r="P104" s="1897"/>
      <c r="Q104" s="1897"/>
      <c r="R104" s="1897"/>
      <c r="S104" s="1897"/>
      <c r="T104" s="695"/>
      <c r="U104" s="140"/>
      <c r="V104" s="2747"/>
      <c r="W104" s="2747"/>
      <c r="X104" s="2747"/>
      <c r="Y104" s="2748"/>
      <c r="Z104" s="2843"/>
    </row>
    <row r="105" spans="1:26" ht="30" customHeight="1" x14ac:dyDescent="0.3">
      <c r="H105" s="2755"/>
      <c r="I105" s="2710" t="s">
        <v>4870</v>
      </c>
      <c r="J105" s="1897"/>
      <c r="K105" s="2705"/>
      <c r="L105" s="1897"/>
      <c r="M105" s="1897"/>
      <c r="N105" s="1897"/>
      <c r="O105" s="1897"/>
      <c r="P105" s="1897"/>
      <c r="Q105" s="1897"/>
      <c r="R105" s="1897"/>
      <c r="S105" s="1897"/>
      <c r="T105" s="1897"/>
      <c r="U105" s="1897"/>
      <c r="V105" s="2752"/>
      <c r="W105" s="2752"/>
      <c r="X105" s="2752"/>
      <c r="Y105" s="2752"/>
      <c r="Z105" s="2843"/>
    </row>
    <row r="106" spans="1:26" ht="30" customHeight="1" thickBot="1" x14ac:dyDescent="0.35">
      <c r="H106" s="2842"/>
      <c r="I106" s="2752"/>
      <c r="J106" s="2844"/>
      <c r="K106" s="2845"/>
      <c r="L106" s="2752"/>
      <c r="M106" s="2752"/>
      <c r="N106" s="2752"/>
      <c r="O106" s="2752"/>
      <c r="P106" s="2752"/>
      <c r="Q106" s="2752"/>
      <c r="R106" s="2752"/>
      <c r="S106" s="2752"/>
      <c r="T106" s="2752"/>
      <c r="U106" s="2752"/>
      <c r="V106" s="2752"/>
      <c r="W106" s="2752"/>
      <c r="X106" s="2752"/>
      <c r="Y106" s="2752"/>
      <c r="Z106" s="2843"/>
    </row>
    <row r="107" spans="1:26" ht="30" customHeight="1" thickBot="1" x14ac:dyDescent="0.35">
      <c r="H107" s="2838"/>
      <c r="I107" s="2839"/>
      <c r="J107" s="2840"/>
      <c r="K107" s="2841"/>
      <c r="L107" s="2839"/>
      <c r="M107" s="2839"/>
      <c r="N107" s="2839"/>
      <c r="O107" s="2839"/>
      <c r="P107" s="2839"/>
      <c r="Q107" s="2839"/>
      <c r="R107" s="2839"/>
      <c r="S107" s="2839"/>
      <c r="T107" s="2839"/>
      <c r="U107" s="2839"/>
      <c r="V107" s="2839"/>
      <c r="W107" s="2839"/>
      <c r="X107" s="2839"/>
      <c r="Y107" s="2839"/>
      <c r="Z107" s="2828"/>
    </row>
    <row r="108" spans="1:26" x14ac:dyDescent="0.3">
      <c r="H108" s="2842"/>
      <c r="I108" s="4546" t="s">
        <v>4942</v>
      </c>
      <c r="J108" s="3520"/>
      <c r="K108" s="3520"/>
      <c r="L108" s="3520"/>
      <c r="M108" s="3520"/>
      <c r="N108" s="3520"/>
      <c r="O108" s="3520"/>
      <c r="P108" s="3520"/>
      <c r="Q108" s="3520"/>
      <c r="R108" s="3520"/>
      <c r="S108" s="3520"/>
      <c r="T108" s="3520"/>
      <c r="U108" s="3520"/>
      <c r="V108" s="3520"/>
      <c r="W108" s="3520"/>
      <c r="X108" s="4547"/>
      <c r="Y108" s="2752"/>
      <c r="Z108" s="2722"/>
    </row>
    <row r="109" spans="1:26" x14ac:dyDescent="0.3">
      <c r="H109" s="2842"/>
      <c r="I109" s="3521"/>
      <c r="J109" s="3522"/>
      <c r="K109" s="3522"/>
      <c r="L109" s="3522"/>
      <c r="M109" s="3522"/>
      <c r="N109" s="3522"/>
      <c r="O109" s="3522"/>
      <c r="P109" s="3522"/>
      <c r="Q109" s="3522"/>
      <c r="R109" s="3522"/>
      <c r="S109" s="3522"/>
      <c r="T109" s="3522"/>
      <c r="U109" s="3522"/>
      <c r="V109" s="3522"/>
      <c r="W109" s="3522"/>
      <c r="X109" s="4548"/>
      <c r="Y109" s="2752"/>
      <c r="Z109" s="2722"/>
    </row>
    <row r="110" spans="1:26" x14ac:dyDescent="0.3">
      <c r="H110" s="2842"/>
      <c r="I110" s="2826"/>
      <c r="J110" s="2725"/>
      <c r="K110" s="2725"/>
      <c r="L110" s="2725"/>
      <c r="M110" s="2725"/>
      <c r="N110" s="2725"/>
      <c r="O110" s="2725"/>
      <c r="P110" s="2725"/>
      <c r="Q110" s="2725"/>
      <c r="R110" s="2725"/>
      <c r="S110" s="2726">
        <v>2</v>
      </c>
      <c r="T110" s="2726">
        <v>3</v>
      </c>
      <c r="U110" s="2726">
        <v>4</v>
      </c>
      <c r="V110" s="2726">
        <v>5</v>
      </c>
      <c r="W110" s="2726">
        <v>6</v>
      </c>
      <c r="X110" s="2827">
        <v>7</v>
      </c>
      <c r="Y110" s="2722"/>
      <c r="Z110" s="2843"/>
    </row>
    <row r="111" spans="1:26" ht="16" thickBot="1" x14ac:dyDescent="0.35">
      <c r="H111" s="2842"/>
      <c r="I111" s="4549" t="s">
        <v>4766</v>
      </c>
      <c r="J111" s="4550"/>
      <c r="K111" s="4550"/>
      <c r="L111" s="4550"/>
      <c r="M111" s="4550"/>
      <c r="N111" s="4550"/>
      <c r="O111" s="4550"/>
      <c r="P111" s="4550"/>
      <c r="Q111" s="4550"/>
      <c r="R111" s="4551"/>
      <c r="S111" s="4542" t="s">
        <v>4767</v>
      </c>
      <c r="T111" s="4543"/>
      <c r="U111" s="4543"/>
      <c r="V111" s="4543"/>
      <c r="W111" s="4543"/>
      <c r="X111" s="4544"/>
      <c r="Y111" s="2722"/>
      <c r="Z111" s="2843"/>
    </row>
    <row r="112" spans="1:26" x14ac:dyDescent="0.3">
      <c r="H112" s="2842"/>
      <c r="I112" s="2825" t="s">
        <v>38</v>
      </c>
      <c r="J112" s="4526" t="s">
        <v>4071</v>
      </c>
      <c r="K112" s="3576"/>
      <c r="L112" s="3576"/>
      <c r="M112" s="3624"/>
      <c r="N112" s="4526" t="s">
        <v>4763</v>
      </c>
      <c r="O112" s="3576"/>
      <c r="P112" s="3624"/>
      <c r="Q112" s="4526" t="s">
        <v>4072</v>
      </c>
      <c r="R112" s="3576"/>
      <c r="S112" s="2617" t="str">
        <f>"10^-"&amp;Conseq_VeryLow&amp;"/year"</f>
        <v>10^-2/year</v>
      </c>
      <c r="T112" s="2617" t="str">
        <f>"10^-"&amp;Conseq_Low&amp;"/year"</f>
        <v>10^-3/year</v>
      </c>
      <c r="U112" s="2617" t="str">
        <f>"10^-"&amp;Conseq_Moderate&amp;"/year"</f>
        <v>10^-4/year</v>
      </c>
      <c r="V112" s="2617" t="str">
        <f>"10^-"&amp;Conseq_High&amp;"/year"</f>
        <v>10^-5/year</v>
      </c>
      <c r="W112" s="2617" t="str">
        <f>"10^-"&amp;Conseq_VeryHigh&amp;"/year"</f>
        <v>10^-6/year</v>
      </c>
      <c r="X112" s="2617" t="str">
        <f>"10^-"&amp;Conseq_ExtremeHigh&amp;"/year"</f>
        <v>10^-6/year</v>
      </c>
      <c r="Y112" s="4482" t="s">
        <v>4777</v>
      </c>
      <c r="Z112" s="2843"/>
    </row>
    <row r="113" spans="8:27" x14ac:dyDescent="0.3">
      <c r="H113" s="2842"/>
      <c r="I113" s="4362" t="str">
        <f>I149</f>
        <v>Moderate Severity</v>
      </c>
      <c r="J113" s="4514" t="str">
        <f>IF(Conseq_Criteria="Hazard Distance",N149,J149)</f>
        <v>Minor Injury On-site
(or &lt; 0.01 Person Severely Impacted On-site)
Potential for Adverse Local Publicity</v>
      </c>
      <c r="K113" s="4515"/>
      <c r="L113" s="4515"/>
      <c r="M113" s="4515"/>
      <c r="N113" s="2761" t="str">
        <f>IF(Conseq_VeryLow_Environ="","",Desc_VeryLow_Environ&amp;"  OR")</f>
        <v>Reportable Incident to Environmental Agency  OR</v>
      </c>
      <c r="O113" s="2761"/>
      <c r="P113" s="2757"/>
      <c r="Q113" s="4506" t="str">
        <f>IF(Conseq_VeryLow_Bus&lt;&gt;"",Desc_VeryLow_Bus,"")</f>
        <v>Property Damage and Business Loss &lt; $50M</v>
      </c>
      <c r="R113" s="4507"/>
      <c r="S113" s="3437" t="str">
        <f t="shared" ref="S113:X113" si="0">IF($I113="","",IF($Z113&gt;S$110,"Red",IF($Z113=S$110,"Orange",IF($Z113+N_OffSite=S$110,"Yellow","Green"))))</f>
        <v>Orange</v>
      </c>
      <c r="T113" s="3437" t="str">
        <f t="shared" si="0"/>
        <v>Yellow</v>
      </c>
      <c r="U113" s="3437" t="str">
        <f t="shared" si="0"/>
        <v>Green</v>
      </c>
      <c r="V113" s="3437" t="str">
        <f t="shared" si="0"/>
        <v>Green</v>
      </c>
      <c r="W113" s="3437" t="str">
        <f t="shared" si="0"/>
        <v>Green</v>
      </c>
      <c r="X113" s="3437" t="str">
        <f t="shared" si="0"/>
        <v>Green</v>
      </c>
      <c r="Y113" s="4483"/>
      <c r="Z113" s="4480">
        <f>Conseq_VeryLow</f>
        <v>2</v>
      </c>
      <c r="AA113" s="40"/>
    </row>
    <row r="114" spans="8:27" x14ac:dyDescent="0.3">
      <c r="H114" s="2842"/>
      <c r="I114" s="4362"/>
      <c r="J114" s="4514"/>
      <c r="K114" s="4515"/>
      <c r="L114" s="4515"/>
      <c r="M114" s="4515"/>
      <c r="N114" s="2760" t="str">
        <f>IF(Conseq_VeryLow_Environ="","","&lt; "&amp;WaterLimit_Low_Environ&amp;" kg  Very Toxic to Waterway  OR &lt; "&amp;SoilLimit_Low_Environ&amp;" kg NFPA-H4 to Soil")</f>
        <v>&lt; 10 kg  Very Toxic to Waterway  OR &lt; 100 kg NFPA-H4 to Soil</v>
      </c>
      <c r="O114" s="2760"/>
      <c r="P114" s="2758"/>
      <c r="Q114" s="4508"/>
      <c r="R114" s="4509"/>
      <c r="S114" s="3438"/>
      <c r="T114" s="3438"/>
      <c r="U114" s="3438"/>
      <c r="V114" s="3438"/>
      <c r="W114" s="3438"/>
      <c r="X114" s="3438"/>
      <c r="Y114" s="4483"/>
      <c r="Z114" s="4480"/>
      <c r="AA114" s="40"/>
    </row>
    <row r="115" spans="8:27" ht="13" customHeight="1" x14ac:dyDescent="0.3">
      <c r="H115" s="2842"/>
      <c r="I115" s="4362"/>
      <c r="J115" s="4514"/>
      <c r="K115" s="4515"/>
      <c r="L115" s="4515"/>
      <c r="M115" s="4515"/>
      <c r="N115" s="2760" t="str">
        <f>IF(Conseq_VeryLow_Environ="","","&lt; "&amp;WaterLimit_Moderate_Environ&amp;" kg  Toxic to Waterway  OR &lt; "&amp;SoilLimit_Moderate_Environ&amp;" kg NFPA-H3 to Soil")</f>
        <v>&lt; 100 kg  Toxic to Waterway  OR &lt; 1000 kg NFPA-H3 to Soil</v>
      </c>
      <c r="O115" s="2760"/>
      <c r="P115" s="2758"/>
      <c r="Q115" s="4508"/>
      <c r="R115" s="4509"/>
      <c r="S115" s="3438"/>
      <c r="T115" s="3438"/>
      <c r="U115" s="3438"/>
      <c r="V115" s="3438"/>
      <c r="W115" s="3438"/>
      <c r="X115" s="3438"/>
      <c r="Y115" s="4483"/>
      <c r="Z115" s="4480"/>
      <c r="AA115" s="40"/>
    </row>
    <row r="116" spans="8:27" x14ac:dyDescent="0.3">
      <c r="H116" s="2842"/>
      <c r="I116" s="4362"/>
      <c r="J116" s="4514"/>
      <c r="K116" s="4515"/>
      <c r="L116" s="4515"/>
      <c r="M116" s="4515"/>
      <c r="N116" s="2762" t="str">
        <f>IF(Conseq_VeryLow_Environ="","","&lt; "&amp;WaterLimit_High_Environ&amp;" kg  Harmful to Waterway  OR &lt; "&amp;SoilLimit_High_Environ&amp;" kg NFPA-H2 to Soil")</f>
        <v>&lt; 1000 kg  Harmful to Waterway  OR &lt; 10000 kg NFPA-H2 to Soil</v>
      </c>
      <c r="O116" s="2762"/>
      <c r="P116" s="2759"/>
      <c r="Q116" s="4510"/>
      <c r="R116" s="4511"/>
      <c r="S116" s="4481"/>
      <c r="T116" s="4481"/>
      <c r="U116" s="4481"/>
      <c r="V116" s="4481"/>
      <c r="W116" s="4481"/>
      <c r="X116" s="4481"/>
      <c r="Y116" s="2722"/>
      <c r="Z116" s="4480"/>
      <c r="AA116" s="40"/>
    </row>
    <row r="117" spans="8:27" x14ac:dyDescent="0.3">
      <c r="H117" s="2842"/>
      <c r="I117" s="4362" t="str">
        <f>I153</f>
        <v>High Severity</v>
      </c>
      <c r="J117" s="4514" t="str">
        <f>IF(Conseq_Criteria="Hazard Distance",N153,J153)</f>
        <v>Major Injury On-site
(or 0.01 to 0.1 Person Severely Impacted On-site)
Public Required to Shelter Indoors
(or Minor Injury Off-site)</v>
      </c>
      <c r="K117" s="4515"/>
      <c r="L117" s="4515"/>
      <c r="M117" s="4515"/>
      <c r="N117" s="2761" t="str">
        <f>IF(Conseq_Low_Environ="","",Desc_Low_Environ&amp;"  OR")</f>
        <v>Environmental Contamination Confined to Site  OR</v>
      </c>
      <c r="O117" s="2761"/>
      <c r="P117" s="2757"/>
      <c r="Q117" s="4506" t="str">
        <f>IF(Conseq_Low_Bus&lt;&gt;"",Desc_Low_Bus,"")</f>
        <v>Property Damage and Business Loss $50 M to $500 M</v>
      </c>
      <c r="R117" s="4507"/>
      <c r="S117" s="3437" t="str">
        <f t="shared" ref="S117:X117" si="1">IF($I117="","",IF($Z117&gt;S$110,"Red",IF($Z117=S$110,"Orange",IF($Z117+N_OffSite=S$110,"Yellow","Green"))))</f>
        <v>Red</v>
      </c>
      <c r="T117" s="3437" t="str">
        <f t="shared" si="1"/>
        <v>Orange</v>
      </c>
      <c r="U117" s="3437" t="str">
        <f t="shared" si="1"/>
        <v>Yellow</v>
      </c>
      <c r="V117" s="3437" t="str">
        <f t="shared" si="1"/>
        <v>Green</v>
      </c>
      <c r="W117" s="3437" t="str">
        <f t="shared" si="1"/>
        <v>Green</v>
      </c>
      <c r="X117" s="3437" t="str">
        <f t="shared" si="1"/>
        <v>Green</v>
      </c>
      <c r="Y117" s="2722"/>
      <c r="Z117" s="4480">
        <f>Conseq_Low</f>
        <v>3</v>
      </c>
      <c r="AA117" s="40"/>
    </row>
    <row r="118" spans="8:27" x14ac:dyDescent="0.3">
      <c r="H118" s="2842"/>
      <c r="I118" s="4362"/>
      <c r="J118" s="4514"/>
      <c r="K118" s="4515"/>
      <c r="L118" s="4515"/>
      <c r="M118" s="4515"/>
      <c r="N118" s="2760" t="str">
        <f>IF(Conseq_Low_Environ="","","&lt; "&amp;WaterLimit_Moderate_Environ&amp;" kg  Very Toxic to Waterway  OR &lt; "&amp;SoilLimit_Moderate_Environ&amp;" kg NFPA-H4 to Soil")</f>
        <v>&lt; 100 kg  Very Toxic to Waterway  OR &lt; 1000 kg NFPA-H4 to Soil</v>
      </c>
      <c r="O118" s="2760"/>
      <c r="P118" s="2758"/>
      <c r="Q118" s="4508"/>
      <c r="R118" s="4509"/>
      <c r="S118" s="3438"/>
      <c r="T118" s="3438"/>
      <c r="U118" s="3438"/>
      <c r="V118" s="3438"/>
      <c r="W118" s="3438"/>
      <c r="X118" s="3438"/>
      <c r="Y118" s="2722"/>
      <c r="Z118" s="4480"/>
      <c r="AA118" s="40"/>
    </row>
    <row r="119" spans="8:27" ht="13" customHeight="1" x14ac:dyDescent="0.3">
      <c r="H119" s="2842"/>
      <c r="I119" s="4362"/>
      <c r="J119" s="4514"/>
      <c r="K119" s="4515"/>
      <c r="L119" s="4515"/>
      <c r="M119" s="4515"/>
      <c r="N119" s="2760" t="str">
        <f>IF(Conseq_Low_Environ="","","&lt; "&amp;WaterLimit_High_Environ&amp;" kg  Toxic to Waterway  OR &lt; "&amp;SoilLimit_High_Environ&amp;" kg NFPA-H3 to Soil")</f>
        <v>&lt; 1000 kg  Toxic to Waterway  OR &lt; 10000 kg NFPA-H3 to Soil</v>
      </c>
      <c r="O119" s="2760"/>
      <c r="P119" s="2758"/>
      <c r="Q119" s="4508"/>
      <c r="R119" s="4509"/>
      <c r="S119" s="3438"/>
      <c r="T119" s="3438"/>
      <c r="U119" s="3438"/>
      <c r="V119" s="3438"/>
      <c r="W119" s="3438"/>
      <c r="X119" s="3438"/>
      <c r="Y119" s="2722"/>
      <c r="Z119" s="4480"/>
    </row>
    <row r="120" spans="8:27" x14ac:dyDescent="0.3">
      <c r="H120" s="2842"/>
      <c r="I120" s="4362"/>
      <c r="J120" s="4514"/>
      <c r="K120" s="4515"/>
      <c r="L120" s="4515"/>
      <c r="M120" s="4515"/>
      <c r="N120" s="2762" t="str">
        <f>IF(Conseq_Low_Environ="","","&lt; "&amp;WaterLimit_VeryHigh_Environ&amp;" kg  Harmful to Waterway  OR &lt; "&amp;SoilLimit_VeryHigh_Environ&amp;" kg NFPA-H2 to Soil")</f>
        <v>&lt; 10000 kg  Harmful to Waterway  OR &lt; 100000 kg NFPA-H2 to Soil</v>
      </c>
      <c r="O120" s="2762"/>
      <c r="P120" s="2759"/>
      <c r="Q120" s="4510"/>
      <c r="R120" s="4511"/>
      <c r="S120" s="4481"/>
      <c r="T120" s="4481"/>
      <c r="U120" s="4481"/>
      <c r="V120" s="4481"/>
      <c r="W120" s="4481"/>
      <c r="X120" s="4481"/>
      <c r="Y120" s="2722"/>
      <c r="Z120" s="4480"/>
    </row>
    <row r="121" spans="8:27" x14ac:dyDescent="0.3">
      <c r="H121" s="2842"/>
      <c r="I121" s="4362" t="str">
        <f>I157</f>
        <v>Very High Severity</v>
      </c>
      <c r="J121" s="4514" t="str">
        <f>IF(Conseq_Criteria="Hazard Distance",N157,J157)</f>
        <v>Potential Fatality On-site
(or 0.1 to 1.1 Person Severely Impacted On-site)
or Potential Major Injury Off-site</v>
      </c>
      <c r="K121" s="4515"/>
      <c r="L121" s="4515"/>
      <c r="M121" s="4515"/>
      <c r="N121" s="2761" t="str">
        <f>IF(R153="Yes","",Desc_Moderate_Environ&amp;"  OR")</f>
        <v>Environmental Contamination of Local Groundwater  OR</v>
      </c>
      <c r="O121" s="2761"/>
      <c r="P121" s="2757"/>
      <c r="Q121" s="4350" t="str">
        <f>IF(S153="Yes","",Desc_High_Bus)</f>
        <v>Property Damage and Business Loss $5 MM to $50 MM</v>
      </c>
      <c r="R121" s="4513"/>
      <c r="S121" s="3437" t="str">
        <f t="shared" ref="S121:U121" si="2">IF($I121="","",IF($Z121&gt;S$110,"Red",IF($Z121=S$110,"Orange",IF($Z121+N_OffSite=S$110,"Yellow","Green"))))</f>
        <v>Red</v>
      </c>
      <c r="T121" s="3437" t="str">
        <f t="shared" si="2"/>
        <v>Red</v>
      </c>
      <c r="U121" s="3437" t="str">
        <f t="shared" si="2"/>
        <v>Orange</v>
      </c>
      <c r="V121" s="3437" t="str">
        <f>IF($I121="","",IF($Z121+IF($Z121=$Z117,N_OffSite,0)&gt;V$110,"Red",IF($Z121+IF($Z121=$Z117,N_OffSite,0)=V$110,"Orange",IF($Z121+N_OffSite+IF($Z121=$Z117,N_OffSite,0)=V$110,"Yellow","Green"))))</f>
        <v>Yellow</v>
      </c>
      <c r="W121" s="3437" t="str">
        <f>IF($I121="","",IF($Z121+IF($Z121=$Z117,N_OffSite,0)&gt;W$110,"Red",IF($Z121+IF($Z121=$Z117,N_OffSite,0)=W$110,"Orange",IF($Z121+N_OffSite+IF($Z121=$Z117,N_OffSite,0)=W$110,"Yellow","Green"))))</f>
        <v>Green</v>
      </c>
      <c r="X121" s="3437" t="str">
        <f>IF($I121="","",IF($Z121+IF($Z121=$Z117,N_OffSite,0)&gt;X$110,"Red",IF($Z121+IF($Z121=$Z117,N_OffSite,0)=X$110,"Orange",IF($Z121+N_OffSite+IF($Z121=$Z117,N_OffSite,0)=X$110,"Yellow","Green"))))</f>
        <v>Green</v>
      </c>
      <c r="Y121" s="2722"/>
      <c r="Z121" s="4480">
        <f>Conseq_Moderate</f>
        <v>4</v>
      </c>
    </row>
    <row r="122" spans="8:27" x14ac:dyDescent="0.3">
      <c r="H122" s="2842"/>
      <c r="I122" s="4362"/>
      <c r="J122" s="4514"/>
      <c r="K122" s="4515"/>
      <c r="L122" s="4515"/>
      <c r="M122" s="4515"/>
      <c r="N122" s="2760" t="str">
        <f>IF(R153="Yes","","&lt; "&amp;WaterLimit_High_Environ&amp;" kg  Very Toxic to Waterway  OR &lt; "&amp;SoilLimit_High_Environ&amp;" kg NFPA-H4 to Soil")</f>
        <v>&lt; 1000 kg  Very Toxic to Waterway  OR &lt; 10000 kg NFPA-H4 to Soil</v>
      </c>
      <c r="O122" s="2760"/>
      <c r="P122" s="2758"/>
      <c r="Q122" s="4350"/>
      <c r="R122" s="4513"/>
      <c r="S122" s="3438"/>
      <c r="T122" s="3438"/>
      <c r="U122" s="3438"/>
      <c r="V122" s="3438"/>
      <c r="W122" s="3438"/>
      <c r="X122" s="3438"/>
      <c r="Y122" s="2722"/>
      <c r="Z122" s="4480"/>
    </row>
    <row r="123" spans="8:27" ht="13" customHeight="1" x14ac:dyDescent="0.3">
      <c r="H123" s="2842"/>
      <c r="I123" s="4362"/>
      <c r="J123" s="4514"/>
      <c r="K123" s="4515"/>
      <c r="L123" s="4515"/>
      <c r="M123" s="4515"/>
      <c r="N123" s="2760" t="str">
        <f>IF(R153="Yes","","&lt; "&amp;WaterLimit_VeryHigh_Environ&amp;" kg  Toxic to Waterway  OR &lt; "&amp;SoilLimit_VeryHigh_Environ&amp;" kg NFPA-H3 to Soil")</f>
        <v>&lt; 10000 kg  Toxic to Waterway  OR &lt; 100000 kg NFPA-H3 to Soil</v>
      </c>
      <c r="O123" s="2760"/>
      <c r="P123" s="2758"/>
      <c r="Q123" s="4350"/>
      <c r="R123" s="4513"/>
      <c r="S123" s="3438"/>
      <c r="T123" s="3438"/>
      <c r="U123" s="3438"/>
      <c r="V123" s="3438"/>
      <c r="W123" s="3438"/>
      <c r="X123" s="3438"/>
      <c r="Y123" s="2722"/>
      <c r="Z123" s="4480"/>
    </row>
    <row r="124" spans="8:27" x14ac:dyDescent="0.3">
      <c r="H124" s="2842"/>
      <c r="I124" s="4362"/>
      <c r="J124" s="4514"/>
      <c r="K124" s="4515"/>
      <c r="L124" s="4515"/>
      <c r="M124" s="4515"/>
      <c r="N124" s="2762" t="str">
        <f>IF(R153="Yes","","&lt; "&amp;WaterLimit_ExtremeHigh_Environ&amp;" kg  Harmful to Waterway  OR &lt; "&amp;SoilLimit_ExtremeHigh_Environ&amp;" kg NFPA-H2 to Soil")</f>
        <v>&lt; 100000 kg  Harmful to Waterway  OR &lt; 1000000 kg NFPA-H2 to Soil</v>
      </c>
      <c r="O124" s="2762"/>
      <c r="P124" s="2759"/>
      <c r="Q124" s="4350"/>
      <c r="R124" s="4513"/>
      <c r="S124" s="4481"/>
      <c r="T124" s="4481"/>
      <c r="U124" s="4481"/>
      <c r="V124" s="4481"/>
      <c r="W124" s="4481"/>
      <c r="X124" s="4481"/>
      <c r="Y124" s="2722"/>
      <c r="Z124" s="4480"/>
    </row>
    <row r="125" spans="8:27" x14ac:dyDescent="0.3">
      <c r="H125" s="2842"/>
      <c r="I125" s="4362" t="str">
        <f>I161</f>
        <v>Extremely High Severity</v>
      </c>
      <c r="J125" s="4514" t="str">
        <f>IF(Conseq_Criteria="Hazard Distance",N161,J161)</f>
        <v>1.1 to 10 People Severely Impacted On-site
0.1 to 1.1 People Severely Impacted Off-site</v>
      </c>
      <c r="K125" s="4515"/>
      <c r="L125" s="4515"/>
      <c r="M125" s="4515"/>
      <c r="N125" s="2761" t="str">
        <f>IF(R157="Yes","",Desc_High_Environ&amp;"  OR")</f>
        <v>Incident Requiring Significant Off-Site Remediation  OR</v>
      </c>
      <c r="O125" s="2761"/>
      <c r="P125" s="2757"/>
      <c r="Q125" s="4350" t="str">
        <f>IF(S157="Yes","",Desc_High_Bus)</f>
        <v>Property Damage and Business Loss $5 MM to $50 MM</v>
      </c>
      <c r="R125" s="4513"/>
      <c r="S125" s="3437" t="str">
        <f t="shared" ref="S125:U125" si="3">IF($I125="","",IF($Z125&gt;S$110,"Red",IF($Z125=S$110,"Orange",IF($Z125+N_OffSite=S$110,"Yellow","Green"))))</f>
        <v>Red</v>
      </c>
      <c r="T125" s="3437" t="str">
        <f t="shared" si="3"/>
        <v>Red</v>
      </c>
      <c r="U125" s="3437" t="str">
        <f t="shared" si="3"/>
        <v>Red</v>
      </c>
      <c r="V125" s="3437" t="str">
        <f>IF($I125="","",IF($Z125+IF($Z125=$Z121,N_OffSite,0)&gt;V$110,"Red",IF($Z125+IF($Z125=$Z121,N_OffSite,0)=V$110,"Orange",IF($Z125+N_OffSite+IF($Z125=$Z121,N_OffSite,0)=V$110,"Yellow","Green"))))</f>
        <v>Orange</v>
      </c>
      <c r="W125" s="3437" t="str">
        <f>IF($I125="","",IF($Z125+IF($Z125=$Z121,N_OffSite,0)&gt;W$110,"Red",IF($Z125+IF($Z125=$Z121,N_OffSite,0)=W$110,"Orange",IF($Z125+N_OffSite+IF($Z125=$Z121,N_OffSite,0)=W$110,"Yellow","Green"))))</f>
        <v>Yellow</v>
      </c>
      <c r="X125" s="3437" t="str">
        <f>IF($I125="","",IF($Z125+IF($Z125=$Z121,N_OffSite,0)&gt;X$110,"Red",IF($Z125+IF($Z125=$Z121,N_OffSite,0)=X$110,"Orange",IF($Z125+N_OffSite+IF($Z125=$Z121,N_OffSite,0)=X$110,"Yellow","Green"))))</f>
        <v>Green</v>
      </c>
      <c r="Y125" s="2722"/>
      <c r="Z125" s="4480">
        <f>IF(Conseq_High=Z121,Conseq_VeryHigh,Conseq_High)</f>
        <v>5</v>
      </c>
    </row>
    <row r="126" spans="8:27" x14ac:dyDescent="0.3">
      <c r="H126" s="2842"/>
      <c r="I126" s="4362"/>
      <c r="J126" s="4514"/>
      <c r="K126" s="4515"/>
      <c r="L126" s="4515"/>
      <c r="M126" s="4515"/>
      <c r="N126" s="2760" t="str">
        <f>IF(R157="Yes","","&lt; "&amp;WaterLimit_VeryHigh_Environ&amp;" kg  Very Toxic to Waterway  OR &lt; "&amp;SoilLimit_VeryHigh_Environ&amp;" kg NFPA-H4 to Soil")</f>
        <v>&lt; 10000 kg  Very Toxic to Waterway  OR &lt; 100000 kg NFPA-H4 to Soil</v>
      </c>
      <c r="O126" s="2760"/>
      <c r="P126" s="2758"/>
      <c r="Q126" s="4350"/>
      <c r="R126" s="4513"/>
      <c r="S126" s="3438"/>
      <c r="T126" s="3438"/>
      <c r="U126" s="3438"/>
      <c r="V126" s="3438"/>
      <c r="W126" s="3438"/>
      <c r="X126" s="3438"/>
      <c r="Y126" s="2722"/>
      <c r="Z126" s="4480"/>
    </row>
    <row r="127" spans="8:27" ht="13" customHeight="1" x14ac:dyDescent="0.3">
      <c r="H127" s="2842"/>
      <c r="I127" s="4362"/>
      <c r="J127" s="4514"/>
      <c r="K127" s="4515"/>
      <c r="L127" s="4515"/>
      <c r="M127" s="4515"/>
      <c r="N127" s="2760" t="str">
        <f>IF(R157="Yes","","&lt; "&amp;WaterLimit_ExtremeHigh_Environ&amp;" kg  Toxic to Waterway  OR &lt; "&amp;SoilLimit_ExtremeHigh_Environ&amp;" kg NFPA-H3 to Soil")</f>
        <v>&lt; 100000 kg  Toxic to Waterway  OR &lt; 1000000 kg NFPA-H3 to Soil</v>
      </c>
      <c r="O127" s="2760"/>
      <c r="P127" s="2758"/>
      <c r="Q127" s="4350"/>
      <c r="R127" s="4513"/>
      <c r="S127" s="3438"/>
      <c r="T127" s="3438"/>
      <c r="U127" s="3438"/>
      <c r="V127" s="3438"/>
      <c r="W127" s="3438"/>
      <c r="X127" s="3438"/>
      <c r="Y127" s="2722"/>
      <c r="Z127" s="4480"/>
    </row>
    <row r="128" spans="8:27" x14ac:dyDescent="0.3">
      <c r="H128" s="2842"/>
      <c r="I128" s="4362"/>
      <c r="J128" s="4514"/>
      <c r="K128" s="4515"/>
      <c r="L128" s="4515"/>
      <c r="M128" s="4515"/>
      <c r="N128" s="2762" t="str">
        <f>IF(R157="Yes","","&gt; "&amp;WaterLimit_ExtremeHigh_Environ&amp;" kg  Harmful to Waterway  OR &gt; "&amp;SoilLimit_VeryHigh_Environ&amp;" kg NFPA-H2 to Soil")</f>
        <v>&gt; 100000 kg  Harmful to Waterway  OR &gt; 100000 kg NFPA-H2 to Soil</v>
      </c>
      <c r="O128" s="2762"/>
      <c r="P128" s="2759"/>
      <c r="Q128" s="4350"/>
      <c r="R128" s="4513"/>
      <c r="S128" s="4481"/>
      <c r="T128" s="4481"/>
      <c r="U128" s="4481"/>
      <c r="V128" s="4481"/>
      <c r="W128" s="4481"/>
      <c r="X128" s="4481"/>
      <c r="Y128" s="2722"/>
      <c r="Z128" s="4480"/>
    </row>
    <row r="129" spans="1:26" x14ac:dyDescent="0.3">
      <c r="H129" s="2842"/>
      <c r="I129" s="4362" t="str">
        <f>I165</f>
        <v>Catastrophic Severity</v>
      </c>
      <c r="J129" s="4514" t="str">
        <f>IF(Conseq_Criteria="Hazard Distance",N165,J165)</f>
        <v>&gt; 10 People Severely Impacted On-site
&gt; 1.1 Person Severely Impacted Off-site</v>
      </c>
      <c r="K129" s="4515"/>
      <c r="L129" s="4515"/>
      <c r="M129" s="4515"/>
      <c r="N129" s="2761" t="str">
        <f>IF(R161="Yes","",Desc_VeryHigh_Environ&amp;"  OR")</f>
        <v>Incident with Significant National Media Attention  OR</v>
      </c>
      <c r="O129" s="2761"/>
      <c r="P129" s="2757"/>
      <c r="Q129" s="4350" t="str">
        <f>IF(S161="Yes","",Desc_VeryHigh_Bus)</f>
        <v>Property Damage and Business Loss &gt; $50 MM</v>
      </c>
      <c r="R129" s="4513"/>
      <c r="S129" s="3437" t="str">
        <f t="shared" ref="S129:U129" si="4">IF($I129="","",IF($Z129&gt;S$110,"Red",IF($Z129=S$110,"Orange",IF($Z129+N_OffSite=S$110,"Yellow","Green"))))</f>
        <v>Red</v>
      </c>
      <c r="T129" s="3437" t="str">
        <f t="shared" si="4"/>
        <v>Red</v>
      </c>
      <c r="U129" s="3437" t="str">
        <f t="shared" si="4"/>
        <v>Red</v>
      </c>
      <c r="V129" s="3437" t="str">
        <f>IF($I129="","",IF($Z129+IF($Z129=$Z125,N_OffSite,0)&gt;V$110,"Red",IF($Z129+IF($Z129=$Z125,N_OffSite,0)=V$110,"Orange",IF($Z129+N_OffSite+IF($Z129=$Z125,N_OffSite,0)=V$110,"Yellow","Green"))))</f>
        <v>Red</v>
      </c>
      <c r="W129" s="3437" t="str">
        <f>IF($I129="","",IF($Z129+IF($Z129=$Z125,N_OffSite,0)&gt;W$110,"Red",IF($Z129+IF($Z129=$Z125,N_OffSite,0)=W$110,"Orange",IF($Z129+N_OffSite+IF($Z129=$Z125,N_OffSite,0)=W$110,"Yellow","Green"))))</f>
        <v>Orange</v>
      </c>
      <c r="X129" s="3437" t="str">
        <f>IF($I129="","",IF($Z129+IF($Z129=$Z125,N_OffSite,0)&gt;X$110,"Red",IF($Z129+IF($Z129=$Z125,N_OffSite,0)=X$110,"Orange",IF($Z129+N_OffSite+IF($Z129=$Z125,N_OffSite,0)=X$110,"Yellow","Green"))))</f>
        <v>Yellow</v>
      </c>
      <c r="Y129" s="2722"/>
      <c r="Z129" s="4480">
        <f>IF(Conseq_VeryHigh=Z125,Conseq_ExtremeHigh,Conseq_VeryHigh)</f>
        <v>6</v>
      </c>
    </row>
    <row r="130" spans="1:26" x14ac:dyDescent="0.3">
      <c r="H130" s="2842"/>
      <c r="I130" s="4362"/>
      <c r="J130" s="4514"/>
      <c r="K130" s="4515"/>
      <c r="L130" s="4515"/>
      <c r="M130" s="4515"/>
      <c r="N130" s="2760" t="str">
        <f>IF(R161="Yes","","&lt; "&amp;WaterLimit_ExtremeHigh_Environ&amp;" kg  Very Toxic to Waterway  OR &lt; "&amp;SoilLimit_ExtremeHigh_Environ&amp;" kg NFPA-H4 to Soil")</f>
        <v>&lt; 100000 kg  Very Toxic to Waterway  OR &lt; 1000000 kg NFPA-H4 to Soil</v>
      </c>
      <c r="O130" s="2760"/>
      <c r="P130" s="2758"/>
      <c r="Q130" s="4350"/>
      <c r="R130" s="4513"/>
      <c r="S130" s="3438"/>
      <c r="T130" s="3438"/>
      <c r="U130" s="3438"/>
      <c r="V130" s="3438"/>
      <c r="W130" s="3438"/>
      <c r="X130" s="3438"/>
      <c r="Y130" s="2722"/>
      <c r="Z130" s="4480"/>
    </row>
    <row r="131" spans="1:26" ht="13" customHeight="1" x14ac:dyDescent="0.3">
      <c r="H131" s="2842"/>
      <c r="I131" s="4362"/>
      <c r="J131" s="4514"/>
      <c r="K131" s="4515"/>
      <c r="L131" s="4515"/>
      <c r="M131" s="4515"/>
      <c r="N131" s="2760" t="str">
        <f>IF(R161="Yes","","&gt; "&amp;WaterLimit_ExtremeHigh_Environ&amp;" kg  Toxic to Waterway  OR &gt; "&amp;SoilLimit_ExtremeHigh_Environ&amp;" kg NFPA-H3 to Soil")</f>
        <v>&gt; 100000 kg  Toxic to Waterway  OR &gt; 1000000 kg NFPA-H3 to Soil</v>
      </c>
      <c r="O131" s="2760"/>
      <c r="P131" s="2758"/>
      <c r="Q131" s="4350"/>
      <c r="R131" s="4513"/>
      <c r="S131" s="3438"/>
      <c r="T131" s="3438"/>
      <c r="U131" s="3438"/>
      <c r="V131" s="3438"/>
      <c r="W131" s="3438"/>
      <c r="X131" s="3438"/>
      <c r="Y131" s="2722"/>
      <c r="Z131" s="4480"/>
    </row>
    <row r="132" spans="1:26" x14ac:dyDescent="0.3">
      <c r="H132" s="2842"/>
      <c r="I132" s="4362"/>
      <c r="J132" s="4514"/>
      <c r="K132" s="4515"/>
      <c r="L132" s="4515"/>
      <c r="M132" s="4515"/>
      <c r="N132" s="2762" t="str">
        <f>""</f>
        <v/>
      </c>
      <c r="O132" s="2762"/>
      <c r="P132" s="2759"/>
      <c r="Q132" s="4350"/>
      <c r="R132" s="4513"/>
      <c r="S132" s="4481"/>
      <c r="T132" s="4481"/>
      <c r="U132" s="4481"/>
      <c r="V132" s="4481"/>
      <c r="W132" s="4481"/>
      <c r="X132" s="4481"/>
      <c r="Y132" s="2722"/>
      <c r="Z132" s="4480"/>
    </row>
    <row r="133" spans="1:26" x14ac:dyDescent="0.3">
      <c r="H133" s="2842"/>
      <c r="I133" s="4362" t="str">
        <f>I169</f>
        <v/>
      </c>
      <c r="J133" s="4514" t="str">
        <f>IF(Conseq_Criteria="Hazard Distance",N169,J169)</f>
        <v/>
      </c>
      <c r="K133" s="4515"/>
      <c r="L133" s="4515"/>
      <c r="M133" s="4515"/>
      <c r="N133" s="2761" t="str">
        <f>IF(R165="Yes","",Desc_ExtremeHigh_Environ&amp;"  OR")</f>
        <v/>
      </c>
      <c r="O133" s="2761"/>
      <c r="P133" s="2757"/>
      <c r="Q133" s="4350" t="str">
        <f>IF(S165="Yes","",Desc_VeryHigh_Bus)</f>
        <v/>
      </c>
      <c r="R133" s="4513"/>
      <c r="S133" s="3437" t="str">
        <f t="shared" ref="S133:U133" si="5">IF($I133="","",IF($Z133&gt;S$110,"Red",IF($Z133=S$110,"Orange",IF($Z133+N_OffSite=S$110,"Yellow","Green"))))</f>
        <v/>
      </c>
      <c r="T133" s="3437" t="str">
        <f t="shared" si="5"/>
        <v/>
      </c>
      <c r="U133" s="3437" t="str">
        <f t="shared" si="5"/>
        <v/>
      </c>
      <c r="V133" s="3437" t="str">
        <f>IF($I133="","",IF($Z133+IF($Z133=$Z129,N_OffSite,0)&gt;V$110,"Red",IF($Z133+IF($Z133=$Z129,N_OffSite,0)=V$110,"Orange",IF($Z133+N_OffSite+IF($Z133=$Z129,N_OffSite,0)=V$110,"Yellow","Green"))))</f>
        <v/>
      </c>
      <c r="W133" s="3437" t="str">
        <f>IF($I133="","",IF($Z133+IF($Z133=$Z129,N_OffSite,0)&gt;W$110,"Red",IF($Z133+IF($Z133=$Z129,N_OffSite,0)=W$110,"Orange",IF($Z133+N_OffSite+IF($Z133=$Z129,N_OffSite,0)=W$110,"Yellow","Green"))))</f>
        <v/>
      </c>
      <c r="X133" s="3437" t="str">
        <f>IF($I133="","",IF($Z133+IF($Z133=$Z129,N_OffSite,0)&gt;X$110,"Red",IF($Z133+IF($Z133=$Z129,N_OffSite,0)=X$110,"Orange",IF($Z133+N_OffSite+IF($Z133=$Z129,N_OffSite,0)=X$110,"Yellow","Green"))))</f>
        <v/>
      </c>
      <c r="Y133" s="2722"/>
      <c r="Z133" s="4480">
        <f>IF(Conseq_ExtremeHigh=Z129,Conseq_GT_ExtremeHigh,Conseq_ExtremeHigh)</f>
        <v>6</v>
      </c>
    </row>
    <row r="134" spans="1:26" x14ac:dyDescent="0.3">
      <c r="A134" s="19"/>
      <c r="G134" s="19"/>
      <c r="H134" s="2842"/>
      <c r="I134" s="4362"/>
      <c r="J134" s="4514"/>
      <c r="K134" s="4515"/>
      <c r="L134" s="4515"/>
      <c r="M134" s="4515"/>
      <c r="N134" s="2760" t="str">
        <f>IF(R165="Yes","","&gt; "&amp;WaterLimit_ExtremeHigh_Environ&amp;" kg  Very Toxic to Waterway  OR &gt; "&amp;SoilLimit_ExtremeHigh_Environ&amp;" kg NFPA-H4 to Soil")</f>
        <v/>
      </c>
      <c r="O134" s="2760"/>
      <c r="P134" s="2758"/>
      <c r="Q134" s="4350"/>
      <c r="R134" s="4513"/>
      <c r="S134" s="3438"/>
      <c r="T134" s="3438"/>
      <c r="U134" s="3438"/>
      <c r="V134" s="3438"/>
      <c r="W134" s="3438"/>
      <c r="X134" s="3438"/>
      <c r="Y134" s="2722"/>
      <c r="Z134" s="4480"/>
    </row>
    <row r="135" spans="1:26" ht="13" customHeight="1" x14ac:dyDescent="0.3">
      <c r="A135" s="19"/>
      <c r="G135" s="19"/>
      <c r="H135" s="2842"/>
      <c r="I135" s="4362"/>
      <c r="J135" s="4514"/>
      <c r="K135" s="4515"/>
      <c r="L135" s="4515"/>
      <c r="M135" s="4515"/>
      <c r="N135" s="2760" t="str">
        <f>""</f>
        <v/>
      </c>
      <c r="O135" s="2760"/>
      <c r="P135" s="2758"/>
      <c r="Q135" s="4350"/>
      <c r="R135" s="4513"/>
      <c r="S135" s="3438"/>
      <c r="T135" s="3438"/>
      <c r="U135" s="3438"/>
      <c r="V135" s="3438"/>
      <c r="W135" s="3438"/>
      <c r="X135" s="3438"/>
      <c r="Y135" s="2722"/>
      <c r="Z135" s="4480"/>
    </row>
    <row r="136" spans="1:26" x14ac:dyDescent="0.3">
      <c r="A136" s="19"/>
      <c r="G136" s="19"/>
      <c r="H136" s="2842"/>
      <c r="I136" s="4362"/>
      <c r="J136" s="4514"/>
      <c r="K136" s="4515"/>
      <c r="L136" s="4515"/>
      <c r="M136" s="4515"/>
      <c r="N136" s="2762" t="str">
        <f>""</f>
        <v/>
      </c>
      <c r="O136" s="2762"/>
      <c r="P136" s="2759"/>
      <c r="Q136" s="4350"/>
      <c r="R136" s="4513"/>
      <c r="S136" s="4481"/>
      <c r="T136" s="4481"/>
      <c r="U136" s="4481"/>
      <c r="V136" s="4481"/>
      <c r="W136" s="4481"/>
      <c r="X136" s="4481"/>
      <c r="Y136" s="4482" t="s">
        <v>4778</v>
      </c>
      <c r="Z136" s="4480"/>
    </row>
    <row r="137" spans="1:26" x14ac:dyDescent="0.3">
      <c r="A137" s="19"/>
      <c r="G137" s="19"/>
      <c r="H137" s="2842"/>
      <c r="I137" s="4362" t="str">
        <f>I173</f>
        <v/>
      </c>
      <c r="J137" s="4514" t="str">
        <f>IF(Conseq_Criteria="Hazard Distance",N173,J173)</f>
        <v/>
      </c>
      <c r="K137" s="4515"/>
      <c r="L137" s="4515"/>
      <c r="M137" s="4515"/>
      <c r="N137" s="2751"/>
      <c r="O137" s="2751"/>
      <c r="P137" s="2751"/>
      <c r="Q137" s="2751"/>
      <c r="R137" s="2751"/>
      <c r="S137" s="3437" t="str">
        <f t="shared" ref="S137:X137" si="6">IF($I137="","",IF($Z137&gt;S$110,"Red",IF($Z137=S$110,"Orange",IF($Z137+N_OffSite=S$110,"Yellow","Green"))))</f>
        <v/>
      </c>
      <c r="T137" s="3437" t="str">
        <f t="shared" si="6"/>
        <v/>
      </c>
      <c r="U137" s="3437" t="str">
        <f t="shared" si="6"/>
        <v/>
      </c>
      <c r="V137" s="3437" t="str">
        <f t="shared" si="6"/>
        <v/>
      </c>
      <c r="W137" s="3437" t="str">
        <f t="shared" si="6"/>
        <v/>
      </c>
      <c r="X137" s="3437" t="str">
        <f t="shared" si="6"/>
        <v/>
      </c>
      <c r="Y137" s="4483"/>
      <c r="Z137" s="4480">
        <f>Conseq_GT_ExtremeHigh</f>
        <v>6</v>
      </c>
    </row>
    <row r="138" spans="1:26" x14ac:dyDescent="0.3">
      <c r="A138" s="19"/>
      <c r="G138" s="19"/>
      <c r="H138" s="2842"/>
      <c r="I138" s="4362"/>
      <c r="J138" s="4514"/>
      <c r="K138" s="4515"/>
      <c r="L138" s="4515"/>
      <c r="M138" s="4515"/>
      <c r="N138" s="2751"/>
      <c r="O138" s="2751"/>
      <c r="P138" s="2751"/>
      <c r="Q138" s="2751"/>
      <c r="R138" s="2751"/>
      <c r="S138" s="3438"/>
      <c r="T138" s="3438"/>
      <c r="U138" s="3438"/>
      <c r="V138" s="3438"/>
      <c r="W138" s="3438"/>
      <c r="X138" s="3438"/>
      <c r="Y138" s="4483"/>
      <c r="Z138" s="4480"/>
    </row>
    <row r="139" spans="1:26" x14ac:dyDescent="0.3">
      <c r="A139" s="19"/>
      <c r="B139" s="19"/>
      <c r="C139" s="19"/>
      <c r="E139" s="19"/>
      <c r="F139" s="19"/>
      <c r="G139" s="19"/>
      <c r="H139" s="2842"/>
      <c r="I139" s="4362"/>
      <c r="J139" s="4514"/>
      <c r="K139" s="4515"/>
      <c r="L139" s="4515"/>
      <c r="M139" s="4515"/>
      <c r="N139" s="2751"/>
      <c r="O139" s="2751"/>
      <c r="P139" s="2751"/>
      <c r="Q139" s="2751"/>
      <c r="R139" s="2751"/>
      <c r="S139" s="3438"/>
      <c r="T139" s="3438"/>
      <c r="U139" s="3438"/>
      <c r="V139" s="3438"/>
      <c r="W139" s="3438"/>
      <c r="X139" s="3438"/>
      <c r="Y139" s="4483"/>
      <c r="Z139" s="4480"/>
    </row>
    <row r="140" spans="1:26" x14ac:dyDescent="0.3">
      <c r="G140" s="19"/>
      <c r="H140" s="2842"/>
      <c r="I140" s="4362"/>
      <c r="J140" s="4514"/>
      <c r="K140" s="4515"/>
      <c r="L140" s="4515"/>
      <c r="M140" s="4515"/>
      <c r="N140" s="2751"/>
      <c r="O140" s="2751"/>
      <c r="P140" s="2751"/>
      <c r="Q140" s="2751"/>
      <c r="R140" s="2751"/>
      <c r="S140" s="4481"/>
      <c r="T140" s="4481"/>
      <c r="U140" s="4481"/>
      <c r="V140" s="4481"/>
      <c r="W140" s="4481"/>
      <c r="X140" s="4481"/>
      <c r="Y140" s="2722"/>
      <c r="Z140" s="4480"/>
    </row>
    <row r="141" spans="1:26" x14ac:dyDescent="0.3">
      <c r="H141" s="2842"/>
      <c r="I141" s="2718"/>
      <c r="J141" s="2718"/>
      <c r="K141" s="2718"/>
      <c r="L141" s="2718"/>
      <c r="M141" s="2718"/>
      <c r="N141" s="2718"/>
      <c r="O141" s="2718"/>
      <c r="P141" s="2718"/>
      <c r="Q141" s="2752"/>
      <c r="R141" s="2718"/>
      <c r="S141" s="2718"/>
      <c r="T141" s="2718"/>
      <c r="U141" s="2718"/>
      <c r="V141" s="2718"/>
      <c r="W141" s="2718"/>
      <c r="X141" s="2718"/>
      <c r="Y141" s="2718"/>
      <c r="Z141" s="2722"/>
    </row>
    <row r="142" spans="1:26" x14ac:dyDescent="0.3">
      <c r="H142" s="2842"/>
      <c r="I142" s="2718"/>
      <c r="J142" s="2718"/>
      <c r="K142" s="2718"/>
      <c r="L142" s="2718"/>
      <c r="M142" s="2718"/>
      <c r="N142" s="2718"/>
      <c r="O142" s="2718"/>
      <c r="P142" s="2718"/>
      <c r="Q142" s="2752"/>
      <c r="R142" s="2753" t="s">
        <v>4768</v>
      </c>
      <c r="S142" s="2753"/>
      <c r="T142" s="4545" t="s">
        <v>4779</v>
      </c>
      <c r="U142" s="2718"/>
      <c r="V142" s="2718"/>
      <c r="W142" s="2718"/>
      <c r="X142" s="2718"/>
      <c r="Y142" s="4545" t="s">
        <v>4780</v>
      </c>
      <c r="Z142" s="2722"/>
    </row>
    <row r="143" spans="1:26" x14ac:dyDescent="0.3">
      <c r="H143" s="2842"/>
      <c r="I143" s="2718"/>
      <c r="J143" s="2718"/>
      <c r="K143" s="2718"/>
      <c r="L143" s="2718"/>
      <c r="M143" s="2718"/>
      <c r="N143" s="2718"/>
      <c r="O143" s="2718"/>
      <c r="P143" s="2718"/>
      <c r="Q143" s="2718"/>
      <c r="R143" s="2754" t="s">
        <v>4769</v>
      </c>
      <c r="S143" s="2829"/>
      <c r="T143" s="3840"/>
      <c r="U143" s="2718"/>
      <c r="V143" s="2718"/>
      <c r="W143" s="2718"/>
      <c r="X143" s="2718"/>
      <c r="Y143" s="3840"/>
      <c r="Z143" s="2722"/>
    </row>
    <row r="144" spans="1:26" x14ac:dyDescent="0.3">
      <c r="H144" s="2842"/>
      <c r="I144" s="2718"/>
      <c r="J144" s="2718"/>
      <c r="K144" s="2718"/>
      <c r="L144" s="2718"/>
      <c r="M144" s="2718"/>
      <c r="N144" s="2718"/>
      <c r="O144" s="2718"/>
      <c r="P144" s="2718"/>
      <c r="Q144" s="2718"/>
      <c r="R144" s="2754" t="str">
        <f>IF(N_OffSite=1,"Tolerable - Offsite","")</f>
        <v>Tolerable - Offsite</v>
      </c>
      <c r="S144" s="2830"/>
      <c r="T144" s="2718"/>
      <c r="U144" s="2718"/>
      <c r="V144" s="2718"/>
      <c r="W144" s="2718"/>
      <c r="X144" s="2718"/>
      <c r="Y144" s="2718"/>
      <c r="Z144" s="2722"/>
    </row>
    <row r="145" spans="8:26" x14ac:dyDescent="0.3">
      <c r="H145" s="2842"/>
      <c r="I145" s="2718"/>
      <c r="J145" s="2718"/>
      <c r="K145" s="2718"/>
      <c r="L145" s="2718"/>
      <c r="M145" s="2718"/>
      <c r="N145" s="2718"/>
      <c r="O145" s="2718"/>
      <c r="P145" s="2718"/>
      <c r="Q145" s="2718"/>
      <c r="R145" s="2754" t="str">
        <f>"Tolerable "&amp;IF(N_OffSite=1,"- Onsite","")</f>
        <v>Tolerable - Onsite</v>
      </c>
      <c r="S145" s="2831"/>
      <c r="T145" s="2718"/>
      <c r="U145" s="2718"/>
      <c r="V145" s="2718"/>
      <c r="W145" s="2718"/>
      <c r="X145" s="2718"/>
      <c r="Y145" s="2718"/>
      <c r="Z145" s="2722"/>
    </row>
    <row r="146" spans="8:26" x14ac:dyDescent="0.3">
      <c r="H146" s="2842"/>
      <c r="I146" s="2718"/>
      <c r="J146" s="2718"/>
      <c r="K146" s="2718"/>
      <c r="L146" s="2718"/>
      <c r="M146" s="2718"/>
      <c r="N146" s="2718"/>
      <c r="O146" s="2718"/>
      <c r="P146" s="2718"/>
      <c r="Q146" s="2718"/>
      <c r="R146" s="2754" t="s">
        <v>4770</v>
      </c>
      <c r="S146" s="2832"/>
      <c r="T146" s="2718"/>
      <c r="U146" s="2718"/>
      <c r="V146" s="2718"/>
      <c r="W146" s="2718"/>
      <c r="X146" s="2718"/>
      <c r="Y146" s="2718"/>
      <c r="Z146" s="2722"/>
    </row>
    <row r="147" spans="8:26" ht="13.5" thickBot="1" x14ac:dyDescent="0.35">
      <c r="H147" s="2833"/>
      <c r="I147" s="2836"/>
      <c r="J147" s="2834"/>
      <c r="K147" s="2835"/>
      <c r="L147" s="2836"/>
      <c r="M147" s="2836"/>
      <c r="N147" s="2836"/>
      <c r="O147" s="2836"/>
      <c r="P147" s="2836"/>
      <c r="Q147" s="2836"/>
      <c r="R147" s="2836"/>
      <c r="S147" s="2836"/>
      <c r="T147" s="2836"/>
      <c r="U147" s="2836"/>
      <c r="V147" s="2836"/>
      <c r="W147" s="2836"/>
      <c r="X147" s="2836"/>
      <c r="Y147" s="2836"/>
      <c r="Z147" s="2837"/>
    </row>
    <row r="149" spans="8:26" x14ac:dyDescent="0.3">
      <c r="I149" s="4524" t="str">
        <f>Desc_VeryLow</f>
        <v>Moderate Severity</v>
      </c>
      <c r="J149" s="4350" t="str">
        <f>"Minor Injury "&amp;IF(N_OffSite=1,"On-site","")&amp;CHAR(10)&amp;"(or &lt; "&amp;N_VeryLow&amp;" Person Severely Impacted "&amp;IF(N_OffSite=1,"On-site)",")")&amp;CHAR(10)&amp;Desc_VeryLow_Offsite</f>
        <v>Minor Injury On-site
(or &lt; 0.01 Person Severely Impacted On-site)
Potential for Adverse Local Publicity</v>
      </c>
      <c r="K149" s="4518"/>
      <c r="L149" s="4518"/>
      <c r="M149" s="4518"/>
      <c r="N149" s="4514" t="str">
        <f>"Distance to LC-1 (1.5 F weather) - Fence Line &lt; "&amp;HD_VeryLow_Offsite&amp;" m for Offsite Toxic Outcome"&amp;CHAR(10)&amp;"Distance to LC-50 &lt; "&amp;HD_VeryLow_OnSite&amp;" m for Onsite Toxic Outcome;"&amp;CHAR(10)&amp;"Indoor Concentration to LC-1 Multiple &lt; "&amp;HD_VeryLow_Indoor&amp;" for Indoor Toxic"&amp;CHAR(10)&amp;"Distance to LFL Multiple &lt; "&amp;HD_VeryLow_FF&amp;" m for Flash Fire"&amp;CHAR(10)&amp;"Blast Overpressure/Damage Threshold &lt; "&amp;HD_VeryLow_Expl&amp;" for Occupied Buildings"</f>
        <v>Distance to LC-1 (1.5 F weather) - Fence Line &lt; 35 m for Offsite Toxic Outcome
Distance to LC-50 &lt; 5 m for Onsite Toxic Outcome;
Indoor Concentration to LC-1 Multiple &lt; 0.2 for Indoor Toxic
Distance to LFL Multiple &lt; 15 m for Flash Fire
Blast Overpressure/Damage Threshold &lt; 1.1 for Occupied Buildings</v>
      </c>
      <c r="O149" s="4517"/>
      <c r="P149" s="4517"/>
      <c r="Q149" s="3897" t="s">
        <v>4907</v>
      </c>
      <c r="R149" s="3897" t="s">
        <v>4908</v>
      </c>
      <c r="S149" s="3897" t="s">
        <v>4909</v>
      </c>
    </row>
    <row r="150" spans="8:26" x14ac:dyDescent="0.3">
      <c r="I150" s="4525"/>
      <c r="J150" s="4350"/>
      <c r="K150" s="4518"/>
      <c r="L150" s="4518"/>
      <c r="M150" s="4518"/>
      <c r="N150" s="4517"/>
      <c r="O150" s="4517"/>
      <c r="P150" s="4517"/>
      <c r="Q150" s="3897"/>
      <c r="R150" s="3897"/>
      <c r="S150" s="3897"/>
    </row>
    <row r="151" spans="8:26" ht="13" customHeight="1" x14ac:dyDescent="0.3">
      <c r="I151" s="4525"/>
      <c r="J151" s="4350"/>
      <c r="K151" s="4518"/>
      <c r="L151" s="4518"/>
      <c r="M151" s="4518"/>
      <c r="N151" s="4517"/>
      <c r="O151" s="4517"/>
      <c r="P151" s="4517"/>
      <c r="Q151" s="3897"/>
      <c r="R151" s="3897"/>
      <c r="S151" s="3897"/>
    </row>
    <row r="152" spans="8:26" x14ac:dyDescent="0.3">
      <c r="I152" s="4525"/>
      <c r="J152" s="4350"/>
      <c r="K152" s="4518"/>
      <c r="L152" s="4518"/>
      <c r="M152" s="4518"/>
      <c r="N152" s="4517"/>
      <c r="O152" s="4517"/>
      <c r="P152" s="4517"/>
      <c r="Q152" s="3897"/>
      <c r="R152" s="3897"/>
      <c r="S152" s="3897"/>
    </row>
    <row r="153" spans="8:26" x14ac:dyDescent="0.3">
      <c r="I153" s="4524" t="str">
        <f>Desc_Low</f>
        <v>High Severity</v>
      </c>
      <c r="J153" s="4350" t="str">
        <f>"Major Injury "&amp;IF(N_OffSite=1,"On-site","")&amp;CHAR(10)&amp;"(or "&amp;N_VeryLow&amp;" to "&amp;N_Low&amp;" Person Severely Impacted "&amp;IF(N_OffSite=1,"On-site)",")")&amp;CHAR(10)&amp;Desc_Low_Offsite&amp;CHAR(10)&amp;IF(N_OffSite=1,"(or Minor Injury Off-site)","")</f>
        <v>Major Injury On-site
(or 0.01 to 0.1 Person Severely Impacted On-site)
Public Required to Shelter Indoors
(or Minor Injury Off-site)</v>
      </c>
      <c r="K153" s="4518"/>
      <c r="L153" s="4518"/>
      <c r="M153" s="4518"/>
      <c r="N153" s="4514" t="str">
        <f>"Distance to LC-1 (1.5 F weather) - Fence Line &lt; "&amp;HD_Low_Offsite&amp;" m for Offsite Toxic Outcome"&amp;CHAR(10)&amp;"Distance to LC-50 &lt; "&amp;HD_Low_OnSite&amp;" m for Onsite Toxic Outcome;"&amp;CHAR(10)&amp;"Indoor Concentration to LC-1 Multiple &lt; "&amp;HD_Low_Indoor&amp;" for Indoor Toxic"&amp;CHAR(10)&amp;"Distance to LFL Multiple &lt; "&amp;HD_Low_FF&amp;" m for Flash Fire"&amp;CHAR(10)&amp;"Blast Overpressure/Damage Threshold &lt; "&amp;HD_Low_Expl&amp;" for Occupied Buildings"</f>
        <v>Distance to LC-1 (1.5 F weather) - Fence Line &lt; 100 m for Offsite Toxic Outcome
Distance to LC-50 &lt; 25 m for Onsite Toxic Outcome;
Indoor Concentration to LC-1 Multiple &lt; 0.4 for Indoor Toxic
Distance to LFL Multiple &lt; 50 m for Flash Fire
Blast Overpressure/Damage Threshold &lt; 1.2 for Occupied Buildings</v>
      </c>
      <c r="O153" s="4517"/>
      <c r="P153" s="4517"/>
      <c r="Q153" s="4484" t="str">
        <f>IF(Conseq_Low=Conseq_VeryLow,"Yes","No")</f>
        <v>No</v>
      </c>
      <c r="R153" s="4484" t="str">
        <f>IF(Conseq_Low_Environ=Conseq_VeryLow_Environ,"Yes","No")</f>
        <v>No</v>
      </c>
      <c r="S153" s="4484" t="str">
        <f>IF(Conseq_Low_Bus=Conseq_VeryLow_Bus,"Yes","No")</f>
        <v>No</v>
      </c>
    </row>
    <row r="154" spans="8:26" x14ac:dyDescent="0.3">
      <c r="I154" s="4525"/>
      <c r="J154" s="4350"/>
      <c r="K154" s="4518"/>
      <c r="L154" s="4518"/>
      <c r="M154" s="4518"/>
      <c r="N154" s="4517"/>
      <c r="O154" s="4517"/>
      <c r="P154" s="4517"/>
      <c r="Q154" s="4484"/>
      <c r="R154" s="4484"/>
      <c r="S154" s="4484"/>
    </row>
    <row r="155" spans="8:26" ht="13" customHeight="1" x14ac:dyDescent="0.3">
      <c r="I155" s="4525"/>
      <c r="J155" s="4350"/>
      <c r="K155" s="4518"/>
      <c r="L155" s="4518"/>
      <c r="M155" s="4518"/>
      <c r="N155" s="4517"/>
      <c r="O155" s="4517"/>
      <c r="P155" s="4517"/>
      <c r="Q155" s="4484"/>
      <c r="R155" s="4484"/>
      <c r="S155" s="4484"/>
    </row>
    <row r="156" spans="8:26" x14ac:dyDescent="0.3">
      <c r="I156" s="4525"/>
      <c r="J156" s="4350"/>
      <c r="K156" s="4518"/>
      <c r="L156" s="4518"/>
      <c r="M156" s="4518"/>
      <c r="N156" s="4517"/>
      <c r="O156" s="4517"/>
      <c r="P156" s="4517"/>
      <c r="Q156" s="4484"/>
      <c r="R156" s="4484"/>
      <c r="S156" s="4484"/>
    </row>
    <row r="157" spans="8:26" x14ac:dyDescent="0.3">
      <c r="I157" s="4524" t="str">
        <f>Desc_Moderate</f>
        <v>Very High Severity</v>
      </c>
      <c r="J157" s="4350" t="str">
        <f>"Potential Fatality "&amp;IF(N_OffSite=1,"On-site","")&amp;CHAR(10)&amp;"(or "&amp;N_Low&amp;" to "&amp;N_Moderate&amp;" Person Severely Impacted "&amp;IF(N_OffSite=1,"On-site)",")")&amp;IF(N_OffSite=1,CHAR(10)&amp;"or Potential Major Injury Off-site","")</f>
        <v>Potential Fatality On-site
(or 0.1 to 1.1 Person Severely Impacted On-site)
or Potential Major Injury Off-site</v>
      </c>
      <c r="K157" s="4518"/>
      <c r="L157" s="4518"/>
      <c r="M157" s="4518"/>
      <c r="N157" s="4514" t="str">
        <f>"Distance to LC-1 (1.5 F weather) - Fence Line &lt; "&amp;HD_Moderate_Offsite&amp;" m for Offsite Toxic Outcome"&amp;CHAR(10)&amp;"Distance to LC-50 &lt; "&amp;HD_Moderate_OnSite&amp;" m for Onsite Toxic Outcome;"&amp;CHAR(10)&amp;"Indoor Concentration to LC-1 Multiple &lt; "&amp;HD_Moderate_Indoor&amp;" for Indoor Toxic"&amp;CHAR(10)&amp;"Distance to LFL Multiple &lt; "&amp;HD_Moderate_FF&amp;" m for Flash Fire"&amp;CHAR(10)&amp;"Blast Overpressure/Damage Threshold &lt; "&amp;HD_Moderate_Expl&amp;" for Occupied Buildings"</f>
        <v>Distance to LC-1 (1.5 F weather) - Fence Line &lt; 350 m for Offsite Toxic Outcome
Distance to LC-50 &lt; 100 m for Onsite Toxic Outcome;
Indoor Concentration to LC-1 Multiple &lt; 0.6 for Indoor Toxic
Distance to LFL Multiple &lt; 150 m for Flash Fire
Blast Overpressure/Damage Threshold &lt; 1.5 for Occupied Buildings</v>
      </c>
      <c r="O157" s="4517"/>
      <c r="P157" s="4517"/>
      <c r="Q157" s="4484" t="str">
        <f>IF(Q153="Yes","Yes",IF(Conseq_Moderate=Conseq_Low,"Yes","No"))</f>
        <v>No</v>
      </c>
      <c r="R157" s="4484" t="str">
        <f>IF(R153="Yes","Yes",IF(Conseq_Moderate_Environ=Conseq_Low_Environ,"Yes","No"))</f>
        <v>No</v>
      </c>
      <c r="S157" s="4484" t="str">
        <f>IF(S153="Yes","Yes",IF(Conseq_Moderate_Bus=Conseq_Low_Bus,"Yes","No"))</f>
        <v>No</v>
      </c>
    </row>
    <row r="158" spans="8:26" x14ac:dyDescent="0.3">
      <c r="I158" s="4525"/>
      <c r="J158" s="4350"/>
      <c r="K158" s="4518"/>
      <c r="L158" s="4518"/>
      <c r="M158" s="4518"/>
      <c r="N158" s="4517"/>
      <c r="O158" s="4517"/>
      <c r="P158" s="4517"/>
      <c r="Q158" s="4484"/>
      <c r="R158" s="4484"/>
      <c r="S158" s="4484"/>
    </row>
    <row r="159" spans="8:26" ht="13" customHeight="1" x14ac:dyDescent="0.3">
      <c r="I159" s="4525"/>
      <c r="J159" s="4350"/>
      <c r="K159" s="4518"/>
      <c r="L159" s="4518"/>
      <c r="M159" s="4518"/>
      <c r="N159" s="4517"/>
      <c r="O159" s="4517"/>
      <c r="P159" s="4517"/>
      <c r="Q159" s="4484"/>
      <c r="R159" s="4484"/>
      <c r="S159" s="4484"/>
    </row>
    <row r="160" spans="8:26" x14ac:dyDescent="0.3">
      <c r="I160" s="4525"/>
      <c r="J160" s="4350"/>
      <c r="K160" s="4518"/>
      <c r="L160" s="4518"/>
      <c r="M160" s="4518"/>
      <c r="N160" s="4517"/>
      <c r="O160" s="4517"/>
      <c r="P160" s="4517"/>
      <c r="Q160" s="4484"/>
      <c r="R160" s="4484"/>
      <c r="S160" s="4484"/>
    </row>
    <row r="161" spans="9:19" x14ac:dyDescent="0.3">
      <c r="I161" s="4524" t="str">
        <f>IF(Q157="Yes","",Desc_High)</f>
        <v>Extremely High Severity</v>
      </c>
      <c r="J161" s="4506" t="str">
        <f>IF(Q157="Yes","",IF(Q161&lt;&gt;"Yes",N_Moderate&amp;" to "&amp;N_High&amp;" People Severely Impacted "&amp;IF(N_OffSite=1,"On-site","")&amp;CHAR(10)&amp;IF(N_OffSite=1,N_Low&amp;" to "&amp;N_Moderate&amp;" People Severely Impacted Off-site",""),"&gt; "&amp;N_Moderate&amp;" People Severely Impacted "&amp;IF(N_OffSite=1,"On-site","")&amp;CHAR(10)&amp;IF(N_OffSite=1,"&gt; "&amp;N_Low&amp;" Person Severely Impacted Off-site","")))</f>
        <v>1.1 to 10 People Severely Impacted On-site
0.1 to 1.1 People Severely Impacted Off-site</v>
      </c>
      <c r="K161" s="4521"/>
      <c r="L161" s="4521"/>
      <c r="M161" s="4507"/>
      <c r="N161" s="4514" t="str">
        <f>IF(Q157="Yes","","Distance to LC-1 (1.5 F weather) - Fence Line "&amp;IF(Q161="Yes","&gt; "&amp;HD_Moderate_Offsite,"&lt; "&amp;HD_High_Offsite)&amp;" m for Offsite Toxic Outcome"&amp;CHAR(10)&amp;"Distance to LC-50 "&amp;IF(Q161="Yes","&gt; "&amp;HD_Moderate_OnSite,"&lt; "&amp;HD_High_OnSite)&amp;" m for Onsite Toxic Outcome;"&amp;CHAR(10)&amp;"Indoor Concentration to LC-1 Multiple  "&amp;IF(Q161="Yes","&gt; "&amp;HD_Moderate_Indoor,"&lt; "&amp;HD_High_Indoor)&amp;" for Indoor Toxic"&amp;CHAR(10)&amp;"Distance to LFL Multiple "&amp;IF(Q161="Yes","&gt; "&amp;HD_Moderate_FF,"&lt; "&amp;HD_High_FF)&amp;" m for Flash Fire"&amp;CHAR(10)&amp;"Blast Overpressure/Damage Threshold "&amp;IF(Q161="Yes","&gt; "&amp;HD_Moderate_Expl,"&lt; "&amp;HD_High_Expl)&amp;" for Occupied Buildings")</f>
        <v>Distance to LC-1 (1.5 F weather) - Fence Line &lt; 1000 m for Offsite Toxic Outcome
Distance to LC-50 &lt; 350 m for Onsite Toxic Outcome;
Indoor Concentration to LC-1 Multiple  &lt; 2 for Indoor Toxic
Distance to LFL Multiple &lt; 500 m for Flash Fire
Blast Overpressure/Damage Threshold &lt; 2.5 for Occupied Buildings</v>
      </c>
      <c r="O161" s="4517"/>
      <c r="P161" s="4517"/>
      <c r="Q161" s="4484" t="str">
        <f>IF(Q157="Yes","Yes",IF(OR(Conseq_High=Conseq_Moderate,Conseq_High=Conseq_GT_ExtremeHigh),"Yes","No"))</f>
        <v>No</v>
      </c>
      <c r="R161" s="4484" t="str">
        <f>IF(R157="Yes","Yes",IF(Conseq_High_Environ=Conseq_Moderate_Environ,"Yes","No"))</f>
        <v>No</v>
      </c>
      <c r="S161" s="4484" t="str">
        <f>IF(S157="Yes","Yes",IF(Conseq_High_Bus=Conseq_Moderate_Bus,"Yes","No"))</f>
        <v>No</v>
      </c>
    </row>
    <row r="162" spans="9:19" x14ac:dyDescent="0.3">
      <c r="I162" s="4525"/>
      <c r="J162" s="4508"/>
      <c r="K162" s="4522"/>
      <c r="L162" s="4522"/>
      <c r="M162" s="4509"/>
      <c r="N162" s="4517"/>
      <c r="O162" s="4517"/>
      <c r="P162" s="4517"/>
      <c r="Q162" s="4484"/>
      <c r="R162" s="4484"/>
      <c r="S162" s="4484"/>
    </row>
    <row r="163" spans="9:19" ht="13" customHeight="1" x14ac:dyDescent="0.3">
      <c r="I163" s="4525"/>
      <c r="J163" s="4508"/>
      <c r="K163" s="4522"/>
      <c r="L163" s="4522"/>
      <c r="M163" s="4509"/>
      <c r="N163" s="4517"/>
      <c r="O163" s="4517"/>
      <c r="P163" s="4517"/>
      <c r="Q163" s="4484"/>
      <c r="R163" s="4484"/>
      <c r="S163" s="4484"/>
    </row>
    <row r="164" spans="9:19" x14ac:dyDescent="0.3">
      <c r="I164" s="4525"/>
      <c r="J164" s="4510"/>
      <c r="K164" s="4523"/>
      <c r="L164" s="4523"/>
      <c r="M164" s="4511"/>
      <c r="N164" s="4517"/>
      <c r="O164" s="4517"/>
      <c r="P164" s="4517"/>
      <c r="Q164" s="4484"/>
      <c r="R164" s="4484"/>
      <c r="S164" s="4484"/>
    </row>
    <row r="165" spans="9:19" x14ac:dyDescent="0.3">
      <c r="I165" s="4524" t="str">
        <f>IF(Q161="Yes","",Desc_VeryHigh)</f>
        <v>Catastrophic Severity</v>
      </c>
      <c r="J165" s="4506" t="str">
        <f>IF(Q161="Yes","",IF(Q165&lt;&gt;"Yes",N_High&amp;" to "&amp;N_VeryHigh&amp;" People Severely Impacted "&amp;IF(N_OffSite=1,"On-site","")&amp;CHAR(10)&amp;IF(N_OffSite=1,N_Moderate&amp;" to "&amp;N_High&amp;" People Severely Impacted Off-site",""),"&gt; "&amp;N_High&amp;" People Severely Impacted "&amp;IF(N_OffSite=1,"On-site","")&amp;CHAR(10)&amp;IF(N_OffSite=1,"&gt; "&amp;N_Moderate&amp;" Person Severely Impacted Off-site","")))</f>
        <v>&gt; 10 People Severely Impacted On-site
&gt; 1.1 Person Severely Impacted Off-site</v>
      </c>
      <c r="K165" s="4521"/>
      <c r="L165" s="4521"/>
      <c r="M165" s="4507"/>
      <c r="N165" s="4514" t="str">
        <f>IF(Q161="Yes","","Distance to LC-1 (1.5 F weather) - Fence Line "&amp;IF(Q165="Yes","&gt; "&amp;HD_High_Offsite,"&lt; "&amp;HD_VeryHigh_Offsite)&amp;" m for Offsite Toxic Outcome"&amp;CHAR(10)&amp;"Distance to LC-50 "&amp;IF(Q165="Yes","&gt; "&amp;HD_High_OnSite,"&lt; "&amp;HD_VeryHigh_OnSite)&amp;" m for Onsite Toxic Outcome;"&amp;CHAR(10)&amp;"Indoor Concentration to LC-1 Multiple  "&amp;IF(Q165="Yes","&gt; "&amp;HD_High_Indoor,"&lt; "&amp;HD_VeryHigh_Indoor)&amp;" for Indoor Toxic"&amp;CHAR(10)&amp;"Distance to LFL Multiple "&amp;IF(Q165="Yes","&gt; "&amp;HD_High_FF,"&lt; "&amp;HD_VeryHigh_FF)&amp;" m for Flash Fire"&amp;CHAR(10)&amp;"Blast Overpressure/Damage Threshold "&amp;IF(Q165="Yes","&gt; "&amp;HD_High_Expl,"&lt; "&amp;HD_VeryHigh_Expl)&amp;" for Occupied Buildings")</f>
        <v>Distance to LC-1 (1.5 F weather) - Fence Line &gt; 1000 m for Offsite Toxic Outcome
Distance to LC-50 &gt; 350 m for Onsite Toxic Outcome;
Indoor Concentration to LC-1 Multiple  &gt; 2 for Indoor Toxic
Distance to LFL Multiple &gt; 500 m for Flash Fire
Blast Overpressure/Damage Threshold &gt; 2.5 for Occupied Buildings</v>
      </c>
      <c r="O165" s="4517"/>
      <c r="P165" s="4517"/>
      <c r="Q165" s="4484" t="str">
        <f>IF(Q161="Yes","Yes",IF(OR(Conseq_VeryHigh=Conseq_High,Conseq_VeryHigh=Conseq_GT_ExtremeHigh),"Yes","No"))</f>
        <v>Yes</v>
      </c>
      <c r="R165" s="4484" t="str">
        <f>IF(R161="Yes","Yes",IF(Conseq_VeryHigh_Environ=Conseq_High_Environ,"Yes","No"))</f>
        <v>Yes</v>
      </c>
      <c r="S165" s="4484" t="str">
        <f>IF(S161="Yes","Yes",IF(Conseq_VeryHigh_Bus=Conseq_High_Bus,"Yes","No"))</f>
        <v>Yes</v>
      </c>
    </row>
    <row r="166" spans="9:19" x14ac:dyDescent="0.3">
      <c r="I166" s="4525"/>
      <c r="J166" s="4508"/>
      <c r="K166" s="4522"/>
      <c r="L166" s="4522"/>
      <c r="M166" s="4509"/>
      <c r="N166" s="4517"/>
      <c r="O166" s="4517"/>
      <c r="P166" s="4517"/>
      <c r="Q166" s="4484"/>
      <c r="R166" s="4484"/>
      <c r="S166" s="4484"/>
    </row>
    <row r="167" spans="9:19" ht="13" customHeight="1" x14ac:dyDescent="0.3">
      <c r="I167" s="4525"/>
      <c r="J167" s="4508"/>
      <c r="K167" s="4522"/>
      <c r="L167" s="4522"/>
      <c r="M167" s="4509"/>
      <c r="N167" s="4517"/>
      <c r="O167" s="4517"/>
      <c r="P167" s="4517"/>
      <c r="Q167" s="4484"/>
      <c r="R167" s="4484"/>
      <c r="S167" s="4484"/>
    </row>
    <row r="168" spans="9:19" x14ac:dyDescent="0.3">
      <c r="I168" s="4525"/>
      <c r="J168" s="4510"/>
      <c r="K168" s="4523"/>
      <c r="L168" s="4523"/>
      <c r="M168" s="4511"/>
      <c r="N168" s="4517"/>
      <c r="O168" s="4517"/>
      <c r="P168" s="4517"/>
      <c r="Q168" s="4484"/>
      <c r="R168" s="4484"/>
      <c r="S168" s="4484"/>
    </row>
    <row r="169" spans="9:19" x14ac:dyDescent="0.3">
      <c r="I169" s="4524" t="str">
        <f>IF(Q165="Yes","",Desc_ExtremeHigh)</f>
        <v/>
      </c>
      <c r="J169" s="4506" t="str">
        <f>IF(Q165="Yes","",IF(Q169&lt;&gt;"Yes",N_VeryHigh&amp;" to "&amp;N_ExtremeHigh&amp;" People Severely Impacted "&amp;IF(N_OffSite=1,"On-site","")&amp;CHAR(10)&amp;IF(N_OffSite=1,N_High&amp;" to "&amp;N_VeryHigh&amp;" People Severely Impacted Off-site",""),"&gt; "&amp;N_VeryHigh&amp;" People Severely Impacted On-site"&amp;CHAR(10)&amp;IF(N_OffSite=1,"&gt; "&amp;N_High&amp;" Person Severely Impacted Off-site","")))</f>
        <v/>
      </c>
      <c r="K169" s="4521"/>
      <c r="L169" s="4521"/>
      <c r="M169" s="4507"/>
      <c r="N169" s="4514" t="str">
        <f>IF(Q165="Yes","","Distance to LC-1 (1.5 F weather) - Fence Line "&amp;IF(Q169="Yes","&gt; "&amp;HD_VeryHigh_Offsite,"&lt; "&amp;HD_ExtremeHigh_Offsite)&amp;" m for Offsite Toxic Outcome"&amp;CHAR(10)&amp;"Distance to LC-50 "&amp;IF(Q169="Yes","&gt; "&amp;HD_VeryHigh_OnSite,"&lt; "&amp;HD_ExtremeHigh_OnSite)&amp;" m for Onsite Toxic Outcome;"&amp;CHAR(10)&amp;"Indoor Concentration to LC-1 Multiple  "&amp;IF(Q169="Yes","&gt; "&amp;HD_VeryHigh_Indoor,"&lt; "&amp;HD_ExtremeHigh_Indoor)&amp;" for Indoor Toxic"&amp;CHAR(10)&amp;"Distance to LFL Multiple "&amp;IF(Q169="Yes","&gt; "&amp;HD_VeryHigh_FF,"&lt; "&amp;HD_ExtremeHigh_FF)&amp;" m for Flash Fire"&amp;CHAR(10)&amp;"Blast Overpressure/Damage Threshold "&amp;IF(Q169="Yes","&gt; "&amp;HD_VeryHigh_Expl,"&lt; "&amp;HD_ExtremeHigh_Expl)&amp;" for Occupied Buildings")</f>
        <v/>
      </c>
      <c r="O169" s="4517"/>
      <c r="P169" s="4517"/>
      <c r="Q169" s="4484" t="str">
        <f>IF(Q165="Yes","Yes",IF(OR(Conseq_ExtremeHigh=Conseq_VeryHigh,Conseq_ExtremeHigh=Conseq_GT_ExtremeHigh),"Yes","No"))</f>
        <v>Yes</v>
      </c>
      <c r="R169" s="4484" t="str">
        <f>IF(R165="Yes","Yes",IF(Conseq_ExtremeHigh_Environ=Conseq_VeryHigh_Environ,"Yes","No"))</f>
        <v>Yes</v>
      </c>
      <c r="S169" s="4484" t="str">
        <f>IF(S165="Yes","Yes",IF(Conseq_ExtremeHigh_Bus=Conseq_VeryHigh_Bus,"Yes","No"))</f>
        <v>Yes</v>
      </c>
    </row>
    <row r="170" spans="9:19" x14ac:dyDescent="0.3">
      <c r="I170" s="4525"/>
      <c r="J170" s="4508"/>
      <c r="K170" s="4522"/>
      <c r="L170" s="4522"/>
      <c r="M170" s="4509"/>
      <c r="N170" s="4517"/>
      <c r="O170" s="4517"/>
      <c r="P170" s="4517"/>
      <c r="Q170" s="4484"/>
      <c r="R170" s="4484"/>
      <c r="S170" s="4484"/>
    </row>
    <row r="171" spans="9:19" ht="13" customHeight="1" x14ac:dyDescent="0.3">
      <c r="I171" s="4525"/>
      <c r="J171" s="4508"/>
      <c r="K171" s="4522"/>
      <c r="L171" s="4522"/>
      <c r="M171" s="4509"/>
      <c r="N171" s="4517"/>
      <c r="O171" s="4517"/>
      <c r="P171" s="4517"/>
      <c r="Q171" s="4484"/>
      <c r="R171" s="4484"/>
      <c r="S171" s="4484"/>
    </row>
    <row r="172" spans="9:19" x14ac:dyDescent="0.3">
      <c r="I172" s="4525"/>
      <c r="J172" s="4510"/>
      <c r="K172" s="4523"/>
      <c r="L172" s="4523"/>
      <c r="M172" s="4511"/>
      <c r="N172" s="4517"/>
      <c r="O172" s="4517"/>
      <c r="P172" s="4517"/>
      <c r="Q172" s="4484"/>
      <c r="R172" s="4484"/>
      <c r="S172" s="4484"/>
    </row>
    <row r="173" spans="9:19" x14ac:dyDescent="0.3">
      <c r="I173" s="4524" t="str">
        <f>IF(Q169="Yes","",Desc_GT_ExtremeHigh)</f>
        <v/>
      </c>
      <c r="J173" s="4506" t="str">
        <f>IF(Q169="Yes","","&gt; "&amp;N_ExtremeHigh&amp;" People Severely Impacted "&amp;IF(N_OffSite=1,"On-site","")&amp;CHAR(10)&amp;IF(N_OffSite=1,"&gt; "&amp;N_VeryHigh&amp;" People Severely Impacted Off-site",""))</f>
        <v/>
      </c>
      <c r="K173" s="4521"/>
      <c r="L173" s="4521"/>
      <c r="M173" s="4507"/>
      <c r="N173" s="4514" t="str">
        <f>IF(Q169="Yes","","Distance to LC-1 (1.5 F weather) - Fence Line &gt; "&amp;HD_ExtremeHigh_Offsite&amp;" m for Offsite Toxic Outcome"&amp;CHAR(10)&amp;"Distance to LC-50 &gt; "&amp;HD_ExtremeHigh_OnSite&amp;" m for Onsite Toxic Outcome;"&amp;CHAR(10)&amp;"Indoor Concentration to LC-1 Multiple &gt; "&amp;HD_ExtremeHigh_Indoor&amp;" for Indoor Toxic"&amp;CHAR(10)&amp;"Distance to LFL Multiple &gt; "&amp;HD_ExtremeHigh_FF&amp;" m for Flash Fire"&amp;CHAR(10)&amp;"Blast Overpressure/Damage Threshold &gt; "&amp;HD_ExtremeHigh_Expl&amp;" for Occupied Buildings")</f>
        <v/>
      </c>
      <c r="O173" s="4517"/>
      <c r="P173" s="4517"/>
      <c r="Q173" s="4484" t="str">
        <f>IF(Q169="Yes","Yes",IF(Conseq_GT_ExtremeHigh=Conseq_ExtremeHigh,"Yes","No"))</f>
        <v>Yes</v>
      </c>
      <c r="R173" s="4484"/>
      <c r="S173" s="4484"/>
    </row>
    <row r="174" spans="9:19" x14ac:dyDescent="0.3">
      <c r="I174" s="4525"/>
      <c r="J174" s="4508"/>
      <c r="K174" s="4522"/>
      <c r="L174" s="4522"/>
      <c r="M174" s="4509"/>
      <c r="N174" s="4517"/>
      <c r="O174" s="4517"/>
      <c r="P174" s="4517"/>
      <c r="Q174" s="4484"/>
      <c r="R174" s="4484"/>
      <c r="S174" s="4484"/>
    </row>
    <row r="175" spans="9:19" ht="13" customHeight="1" x14ac:dyDescent="0.3">
      <c r="I175" s="4525"/>
      <c r="J175" s="4508"/>
      <c r="K175" s="4522"/>
      <c r="L175" s="4522"/>
      <c r="M175" s="4509"/>
      <c r="N175" s="4517"/>
      <c r="O175" s="4517"/>
      <c r="P175" s="4517"/>
      <c r="Q175" s="4484"/>
      <c r="R175" s="4484"/>
      <c r="S175" s="4484"/>
    </row>
    <row r="176" spans="9:19" x14ac:dyDescent="0.3">
      <c r="I176" s="4525"/>
      <c r="J176" s="4510"/>
      <c r="K176" s="4523"/>
      <c r="L176" s="4523"/>
      <c r="M176" s="4511"/>
      <c r="N176" s="4517"/>
      <c r="O176" s="4517"/>
      <c r="P176" s="4517"/>
      <c r="Q176" s="4484"/>
      <c r="R176" s="4484"/>
      <c r="S176" s="4484"/>
    </row>
  </sheetData>
  <sheetProtection sheet="1" objects="1" scenarios="1"/>
  <mergeCells count="254">
    <mergeCell ref="M90:R90"/>
    <mergeCell ref="S149:S152"/>
    <mergeCell ref="N157:P160"/>
    <mergeCell ref="N161:P164"/>
    <mergeCell ref="Y142:Y143"/>
    <mergeCell ref="X117:X120"/>
    <mergeCell ref="W121:W124"/>
    <mergeCell ref="I108:X109"/>
    <mergeCell ref="I111:R111"/>
    <mergeCell ref="T142:T143"/>
    <mergeCell ref="M91:R91"/>
    <mergeCell ref="W117:W120"/>
    <mergeCell ref="T95:Y95"/>
    <mergeCell ref="Y112:Y115"/>
    <mergeCell ref="S121:S124"/>
    <mergeCell ref="V117:V120"/>
    <mergeCell ref="Q125:R128"/>
    <mergeCell ref="I137:I140"/>
    <mergeCell ref="Q133:R136"/>
    <mergeCell ref="S157:S160"/>
    <mergeCell ref="S161:S164"/>
    <mergeCell ref="Q153:Q156"/>
    <mergeCell ref="Q157:Q160"/>
    <mergeCell ref="N149:P152"/>
    <mergeCell ref="S165:S168"/>
    <mergeCell ref="S169:S172"/>
    <mergeCell ref="I169:I172"/>
    <mergeCell ref="S173:S176"/>
    <mergeCell ref="Q165:Q168"/>
    <mergeCell ref="Q169:Q172"/>
    <mergeCell ref="M77:R77"/>
    <mergeCell ref="M78:R78"/>
    <mergeCell ref="M79:R79"/>
    <mergeCell ref="M80:R80"/>
    <mergeCell ref="M81:R81"/>
    <mergeCell ref="S125:S128"/>
    <mergeCell ref="M82:R82"/>
    <mergeCell ref="R157:R160"/>
    <mergeCell ref="R161:R164"/>
    <mergeCell ref="R165:R168"/>
    <mergeCell ref="Q129:R132"/>
    <mergeCell ref="M89:R89"/>
    <mergeCell ref="J125:M128"/>
    <mergeCell ref="J129:M132"/>
    <mergeCell ref="J133:M136"/>
    <mergeCell ref="J137:M140"/>
    <mergeCell ref="I173:I176"/>
    <mergeCell ref="Q149:Q152"/>
    <mergeCell ref="R169:R172"/>
    <mergeCell ref="R173:R176"/>
    <mergeCell ref="Q173:Q176"/>
    <mergeCell ref="J169:M172"/>
    <mergeCell ref="J173:M176"/>
    <mergeCell ref="N165:P168"/>
    <mergeCell ref="N169:P172"/>
    <mergeCell ref="J157:M160"/>
    <mergeCell ref="J161:M164"/>
    <mergeCell ref="N173:P176"/>
    <mergeCell ref="N153:P156"/>
    <mergeCell ref="J149:M152"/>
    <mergeCell ref="J153:M156"/>
    <mergeCell ref="I92:J92"/>
    <mergeCell ref="I93:J93"/>
    <mergeCell ref="T113:T116"/>
    <mergeCell ref="I125:I128"/>
    <mergeCell ref="J165:M168"/>
    <mergeCell ref="I157:I160"/>
    <mergeCell ref="I161:I164"/>
    <mergeCell ref="I165:I168"/>
    <mergeCell ref="I149:I152"/>
    <mergeCell ref="I153:I156"/>
    <mergeCell ref="R149:R152"/>
    <mergeCell ref="R153:R156"/>
    <mergeCell ref="J112:M112"/>
    <mergeCell ref="N112:P112"/>
    <mergeCell ref="Q112:R112"/>
    <mergeCell ref="M92:R92"/>
    <mergeCell ref="M93:R93"/>
    <mergeCell ref="M97:R97"/>
    <mergeCell ref="M98:R102"/>
    <mergeCell ref="I96:K96"/>
    <mergeCell ref="S111:X111"/>
    <mergeCell ref="X121:X124"/>
    <mergeCell ref="X96:Y96"/>
    <mergeCell ref="X97:Y97"/>
    <mergeCell ref="T125:T128"/>
    <mergeCell ref="U125:U128"/>
    <mergeCell ref="V125:V128"/>
    <mergeCell ref="S113:S116"/>
    <mergeCell ref="S117:S120"/>
    <mergeCell ref="S133:S136"/>
    <mergeCell ref="Q117:R120"/>
    <mergeCell ref="F93:F96"/>
    <mergeCell ref="M96:R96"/>
    <mergeCell ref="V113:V116"/>
    <mergeCell ref="U121:U124"/>
    <mergeCell ref="V121:V124"/>
    <mergeCell ref="Q121:R124"/>
    <mergeCell ref="Q113:R116"/>
    <mergeCell ref="I113:I116"/>
    <mergeCell ref="J113:M116"/>
    <mergeCell ref="J117:M120"/>
    <mergeCell ref="J121:M124"/>
    <mergeCell ref="T121:T124"/>
    <mergeCell ref="T117:T120"/>
    <mergeCell ref="U117:U120"/>
    <mergeCell ref="S153:S156"/>
    <mergeCell ref="Q161:Q164"/>
    <mergeCell ref="B91:D91"/>
    <mergeCell ref="B83:D83"/>
    <mergeCell ref="B75:D75"/>
    <mergeCell ref="I76:K76"/>
    <mergeCell ref="C29:D29"/>
    <mergeCell ref="C31:D31"/>
    <mergeCell ref="C30:D30"/>
    <mergeCell ref="B41:D41"/>
    <mergeCell ref="B37:D37"/>
    <mergeCell ref="B59:D59"/>
    <mergeCell ref="B65:D65"/>
    <mergeCell ref="I32:K32"/>
    <mergeCell ref="B45:D45"/>
    <mergeCell ref="I43:K43"/>
    <mergeCell ref="I89:J89"/>
    <mergeCell ref="I90:J90"/>
    <mergeCell ref="I39:R39"/>
    <mergeCell ref="B55:D55"/>
    <mergeCell ref="F34:F35"/>
    <mergeCell ref="F38:F39"/>
    <mergeCell ref="F70:F73"/>
    <mergeCell ref="F84:F88"/>
    <mergeCell ref="Z113:Z116"/>
    <mergeCell ref="W113:W116"/>
    <mergeCell ref="X113:X116"/>
    <mergeCell ref="I129:I132"/>
    <mergeCell ref="V137:V140"/>
    <mergeCell ref="W137:W140"/>
    <mergeCell ref="X137:X140"/>
    <mergeCell ref="T133:T136"/>
    <mergeCell ref="Z117:Z120"/>
    <mergeCell ref="Z121:Z124"/>
    <mergeCell ref="Z125:Z128"/>
    <mergeCell ref="S137:S140"/>
    <mergeCell ref="U133:U136"/>
    <mergeCell ref="V133:V136"/>
    <mergeCell ref="T129:T132"/>
    <mergeCell ref="U129:U132"/>
    <mergeCell ref="V129:V132"/>
    <mergeCell ref="T137:T140"/>
    <mergeCell ref="U137:U140"/>
    <mergeCell ref="I117:I120"/>
    <mergeCell ref="I121:I124"/>
    <mergeCell ref="S129:S132"/>
    <mergeCell ref="I133:I136"/>
    <mergeCell ref="U113:U116"/>
    <mergeCell ref="Z129:Z132"/>
    <mergeCell ref="Z133:Z136"/>
    <mergeCell ref="Z137:Z140"/>
    <mergeCell ref="W133:W136"/>
    <mergeCell ref="X125:X128"/>
    <mergeCell ref="W129:W132"/>
    <mergeCell ref="X129:X132"/>
    <mergeCell ref="W125:W128"/>
    <mergeCell ref="X133:X136"/>
    <mergeCell ref="Y136:Y139"/>
    <mergeCell ref="M88:R88"/>
    <mergeCell ref="I91:J91"/>
    <mergeCell ref="M50:R50"/>
    <mergeCell ref="W58:Y58"/>
    <mergeCell ref="W59:Y69"/>
    <mergeCell ref="T60:T61"/>
    <mergeCell ref="U60:U61"/>
    <mergeCell ref="M54:R54"/>
    <mergeCell ref="I41:K41"/>
    <mergeCell ref="M51:R51"/>
    <mergeCell ref="I58:U58"/>
    <mergeCell ref="S60:S61"/>
    <mergeCell ref="I60:I61"/>
    <mergeCell ref="K60:K61"/>
    <mergeCell ref="R60:R61"/>
    <mergeCell ref="L65:M65"/>
    <mergeCell ref="I88:J88"/>
    <mergeCell ref="M55:R55"/>
    <mergeCell ref="J60:J62"/>
    <mergeCell ref="M52:R52"/>
    <mergeCell ref="M53:R53"/>
    <mergeCell ref="L59:M59"/>
    <mergeCell ref="L62:M62"/>
    <mergeCell ref="L60:M61"/>
    <mergeCell ref="M49:R49"/>
    <mergeCell ref="M46:R46"/>
    <mergeCell ref="M47:R47"/>
    <mergeCell ref="M48:R48"/>
    <mergeCell ref="T40:Y40"/>
    <mergeCell ref="T41:Y46"/>
    <mergeCell ref="I71:U71"/>
    <mergeCell ref="I72:U74"/>
    <mergeCell ref="M87:R87"/>
    <mergeCell ref="O60:O61"/>
    <mergeCell ref="P60:P61"/>
    <mergeCell ref="Q60:Q61"/>
    <mergeCell ref="N60:N61"/>
    <mergeCell ref="I86:K86"/>
    <mergeCell ref="I87:J87"/>
    <mergeCell ref="L63:M63"/>
    <mergeCell ref="L64:M64"/>
    <mergeCell ref="L66:M66"/>
    <mergeCell ref="L67:M67"/>
    <mergeCell ref="L68:M68"/>
    <mergeCell ref="L69:M69"/>
    <mergeCell ref="M76:R76"/>
    <mergeCell ref="M86:R86"/>
    <mergeCell ref="M83:R83"/>
    <mergeCell ref="T5:Y5"/>
    <mergeCell ref="M25:R25"/>
    <mergeCell ref="M26:R26"/>
    <mergeCell ref="M27:R27"/>
    <mergeCell ref="M28:R28"/>
    <mergeCell ref="M41:R41"/>
    <mergeCell ref="M44:R44"/>
    <mergeCell ref="B4:F4"/>
    <mergeCell ref="I4:R4"/>
    <mergeCell ref="B5:D5"/>
    <mergeCell ref="B33:D33"/>
    <mergeCell ref="M19:R19"/>
    <mergeCell ref="M5:R5"/>
    <mergeCell ref="M6:R6"/>
    <mergeCell ref="M7:R7"/>
    <mergeCell ref="M8:R8"/>
    <mergeCell ref="M9:R9"/>
    <mergeCell ref="M10:R10"/>
    <mergeCell ref="M11:R11"/>
    <mergeCell ref="F26:F27"/>
    <mergeCell ref="M35:R36"/>
    <mergeCell ref="M32:R32"/>
    <mergeCell ref="T6:Y37"/>
    <mergeCell ref="M21:R21"/>
    <mergeCell ref="B2:I2"/>
    <mergeCell ref="M14:R14"/>
    <mergeCell ref="M15:R15"/>
    <mergeCell ref="M16:R16"/>
    <mergeCell ref="M17:R17"/>
    <mergeCell ref="M18:R18"/>
    <mergeCell ref="K44:K45"/>
    <mergeCell ref="M33:R34"/>
    <mergeCell ref="M43:R43"/>
    <mergeCell ref="M29:R29"/>
    <mergeCell ref="M40:R40"/>
    <mergeCell ref="M12:R12"/>
    <mergeCell ref="M13:R13"/>
    <mergeCell ref="I5:K5"/>
    <mergeCell ref="I24:K24"/>
    <mergeCell ref="M45:R45"/>
    <mergeCell ref="M20:R20"/>
    <mergeCell ref="M24:R24"/>
  </mergeCells>
  <phoneticPr fontId="3" type="noConversion"/>
  <conditionalFormatting sqref="S113:S116">
    <cfRule type="expression" dxfId="17" priority="68">
      <formula>IF(S113="Red",TRUE,FALSE)</formula>
    </cfRule>
    <cfRule type="expression" dxfId="16" priority="69">
      <formula>IF(S113="Orange",TRUE,FALSE)</formula>
    </cfRule>
    <cfRule type="expression" dxfId="15" priority="70">
      <formula>IF(S113="Yellow",TRUE,FALSE)</formula>
    </cfRule>
    <cfRule type="expression" dxfId="14" priority="71">
      <formula>IF(S113="Green",TRUE,FALSE)</formula>
    </cfRule>
  </conditionalFormatting>
  <conditionalFormatting sqref="S117:S140">
    <cfRule type="expression" dxfId="13" priority="8">
      <formula>IF(S117="Red",TRUE,FALSE)</formula>
    </cfRule>
    <cfRule type="expression" dxfId="12" priority="9">
      <formula>IF(S117="Orange",TRUE,FALSE)</formula>
    </cfRule>
    <cfRule type="expression" dxfId="11" priority="10">
      <formula>IF(S117="Yellow",TRUE,FALSE)</formula>
    </cfRule>
    <cfRule type="expression" dxfId="10" priority="11">
      <formula>IF(S117="Green",TRUE,FALSE)</formula>
    </cfRule>
  </conditionalFormatting>
  <conditionalFormatting sqref="T117:X140">
    <cfRule type="expression" dxfId="9" priority="4">
      <formula>IF(T117="Red",TRUE,FALSE)</formula>
    </cfRule>
    <cfRule type="expression" dxfId="8" priority="5">
      <formula>IF(T117="Orange",TRUE,FALSE)</formula>
    </cfRule>
    <cfRule type="expression" dxfId="7" priority="6">
      <formula>IF(T117="Yellow",TRUE,FALSE)</formula>
    </cfRule>
    <cfRule type="expression" dxfId="6" priority="7">
      <formula>IF(T117="Green",TRUE,FALSE)</formula>
    </cfRule>
  </conditionalFormatting>
  <conditionalFormatting sqref="T113:X116">
    <cfRule type="expression" dxfId="5" priority="12">
      <formula>IF(T113="Red",TRUE,FALSE)</formula>
    </cfRule>
    <cfRule type="expression" dxfId="4" priority="13">
      <formula>IF(T113="Orange",TRUE,FALSE)</formula>
    </cfRule>
    <cfRule type="expression" dxfId="3" priority="14">
      <formula>IF(T113="Yellow",TRUE,FALSE)</formula>
    </cfRule>
    <cfRule type="expression" dxfId="2" priority="15">
      <formula>IF(T113="Green",TRUE,FALSE)</formula>
    </cfRule>
  </conditionalFormatting>
  <conditionalFormatting sqref="I43:K43 M43:N43">
    <cfRule type="expression" dxfId="1" priority="3">
      <formula>IF($I$41="Estimated No of People Impacted",TRUE,FALSE)</formula>
    </cfRule>
  </conditionalFormatting>
  <conditionalFormatting sqref="I58 I71">
    <cfRule type="expression" dxfId="0" priority="2">
      <formula>IF($I$41="Estimated No of People Impacted",FALSE,TRUE)</formula>
    </cfRule>
  </conditionalFormatting>
  <dataValidations disablePrompts="1" count="4">
    <dataValidation type="list" allowBlank="1" showInputMessage="1" showErrorMessage="1" sqref="C29:C30" xr:uid="{00000000-0002-0000-2100-000000000000}">
      <formula1>"Class D,Class F"</formula1>
    </dataValidation>
    <dataValidation type="list" allowBlank="1" showInputMessage="1" showErrorMessage="1" sqref="C31:D31" xr:uid="{00000000-0002-0000-2100-000001000000}">
      <formula1>"Rural,Industrial,Urban"</formula1>
    </dataValidation>
    <dataValidation type="list" allowBlank="1" showInputMessage="1" showErrorMessage="1" sqref="I41:K41" xr:uid="{94E0C94F-2D9F-4193-B86A-B709A9BA7B45}">
      <formula1>"Estimated Number of People Impacted,Hazard Distance"</formula1>
    </dataValidation>
    <dataValidation type="list" allowBlank="1" showInputMessage="1" showErrorMessage="1" sqref="J55" xr:uid="{A30917D2-6B06-4B77-88A4-A279FBF13879}">
      <formula1>"0,1"</formula1>
    </dataValidation>
  </dataValidations>
  <pageMargins left="0.75" right="0.75" top="0.5" bottom="0.75" header="0.5" footer="0.25"/>
  <pageSetup orientation="portrait" r:id="rId1"/>
  <headerFooter alignWithMargins="0"/>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5">
    <pageSetUpPr autoPageBreaks="0"/>
  </sheetPr>
  <dimension ref="B1:AC47"/>
  <sheetViews>
    <sheetView showGridLines="0" zoomScale="85" zoomScaleNormal="85" workbookViewId="0">
      <selection activeCell="J11" sqref="J11"/>
    </sheetView>
  </sheetViews>
  <sheetFormatPr defaultColWidth="9.1796875" defaultRowHeight="13" x14ac:dyDescent="0.25"/>
  <cols>
    <col min="1" max="1" width="2.54296875" style="26" customWidth="1"/>
    <col min="2" max="2" width="58.1796875" style="26" customWidth="1"/>
    <col min="3" max="3" width="8" style="26" customWidth="1"/>
    <col min="4" max="4" width="11.81640625" style="26" customWidth="1"/>
    <col min="5" max="5" width="26.453125" style="26" customWidth="1"/>
    <col min="6" max="6" width="3.81640625" style="19" customWidth="1"/>
    <col min="7" max="7" width="38.81640625" style="26" customWidth="1"/>
    <col min="8" max="8" width="10.81640625" style="26" customWidth="1"/>
    <col min="9" max="9" width="3.1796875" style="19" customWidth="1"/>
    <col min="10" max="10" width="34.453125" style="26" customWidth="1"/>
    <col min="11" max="11" width="10.81640625" style="26" customWidth="1"/>
    <col min="12" max="12" width="4.81640625" style="26" customWidth="1"/>
    <col min="13" max="13" width="37.453125" customWidth="1"/>
    <col min="14" max="14" width="9.81640625" customWidth="1"/>
    <col min="15" max="15" width="24.81640625" customWidth="1"/>
    <col min="16" max="16" width="3.81640625" style="26" customWidth="1"/>
    <col min="17" max="17" width="55.81640625" customWidth="1"/>
    <col min="18" max="18" width="12.81640625" customWidth="1"/>
    <col min="19" max="19" width="31" customWidth="1"/>
    <col min="20" max="20" width="6.453125" customWidth="1"/>
    <col min="21" max="21" width="4.81640625" style="26" customWidth="1"/>
    <col min="22" max="22" width="22.81640625" style="26" customWidth="1"/>
    <col min="23" max="28" width="9.1796875" style="26"/>
    <col min="29" max="29" width="4" style="26" customWidth="1"/>
    <col min="30" max="16384" width="9.1796875" style="26"/>
  </cols>
  <sheetData>
    <row r="1" spans="2:29" ht="13.5" thickBot="1" x14ac:dyDescent="0.3"/>
    <row r="2" spans="2:29" ht="18.5" thickBot="1" x14ac:dyDescent="0.3">
      <c r="B2" s="4555" t="s">
        <v>870</v>
      </c>
      <c r="C2" s="4556"/>
      <c r="D2" s="4556"/>
      <c r="E2" s="4556"/>
      <c r="F2" s="4556"/>
      <c r="G2" s="4556"/>
      <c r="H2" s="4556"/>
      <c r="I2" s="4556"/>
      <c r="J2" s="4557"/>
      <c r="M2" s="26"/>
      <c r="N2" s="26"/>
      <c r="O2" s="26"/>
    </row>
    <row r="3" spans="2:29" x14ac:dyDescent="0.25">
      <c r="B3" s="4558" t="s">
        <v>5281</v>
      </c>
      <c r="C3" s="4559"/>
      <c r="D3" s="4559"/>
      <c r="E3" s="4559"/>
      <c r="F3" s="4559"/>
      <c r="G3" s="4559"/>
      <c r="H3" s="4559"/>
      <c r="I3" s="4559"/>
      <c r="J3" s="4560"/>
      <c r="M3" s="26"/>
      <c r="N3" s="26"/>
      <c r="O3" s="26"/>
    </row>
    <row r="4" spans="2:29" x14ac:dyDescent="0.25">
      <c r="B4" s="4561"/>
      <c r="C4" s="4562"/>
      <c r="D4" s="4562"/>
      <c r="E4" s="4562"/>
      <c r="F4" s="4562"/>
      <c r="G4" s="4562"/>
      <c r="H4" s="4562"/>
      <c r="I4" s="4562"/>
      <c r="J4" s="4563"/>
      <c r="M4" s="26"/>
      <c r="N4" s="26"/>
      <c r="O4" s="26"/>
    </row>
    <row r="5" spans="2:29" x14ac:dyDescent="0.25">
      <c r="B5" s="4564"/>
      <c r="C5" s="4562"/>
      <c r="D5" s="4562"/>
      <c r="E5" s="4562"/>
      <c r="F5" s="4562"/>
      <c r="G5" s="4562"/>
      <c r="H5" s="4562"/>
      <c r="I5" s="4562"/>
      <c r="J5" s="4563"/>
      <c r="M5" s="26"/>
      <c r="N5" s="26"/>
      <c r="O5" s="26"/>
    </row>
    <row r="6" spans="2:29" x14ac:dyDescent="0.25">
      <c r="B6" s="4564"/>
      <c r="C6" s="4562"/>
      <c r="D6" s="4562"/>
      <c r="E6" s="4562"/>
      <c r="F6" s="4562"/>
      <c r="G6" s="4562"/>
      <c r="H6" s="4562"/>
      <c r="I6" s="4562"/>
      <c r="J6" s="4563"/>
      <c r="M6" s="26"/>
      <c r="N6" s="26"/>
      <c r="O6" s="26"/>
    </row>
    <row r="7" spans="2:29" ht="13.5" thickBot="1" x14ac:dyDescent="0.3">
      <c r="B7" s="4565"/>
      <c r="C7" s="4566"/>
      <c r="D7" s="4566"/>
      <c r="E7" s="4566"/>
      <c r="F7" s="4566"/>
      <c r="G7" s="4566"/>
      <c r="H7" s="4566"/>
      <c r="I7" s="4566"/>
      <c r="J7" s="4567"/>
      <c r="M7" s="26"/>
      <c r="N7" s="26"/>
      <c r="O7" s="26"/>
    </row>
    <row r="9" spans="2:29" ht="47.25" customHeight="1" x14ac:dyDescent="0.25">
      <c r="B9" s="2887" t="s">
        <v>365</v>
      </c>
      <c r="C9" s="2888"/>
      <c r="D9" s="2888"/>
      <c r="E9" s="2888"/>
      <c r="G9" s="4578" t="s">
        <v>1703</v>
      </c>
      <c r="H9" s="4579"/>
      <c r="J9" s="4578" t="s">
        <v>1416</v>
      </c>
      <c r="K9" s="4579"/>
      <c r="L9" s="27"/>
      <c r="M9" s="2530" t="s">
        <v>4687</v>
      </c>
      <c r="N9" s="2531" t="s">
        <v>1072</v>
      </c>
      <c r="O9" s="2882" t="s">
        <v>4960</v>
      </c>
      <c r="Q9" s="4580" t="s">
        <v>2025</v>
      </c>
      <c r="R9" s="4581"/>
      <c r="S9" s="2634"/>
      <c r="T9" s="2634"/>
      <c r="U9" s="2855"/>
      <c r="V9" s="2855"/>
      <c r="W9" s="2855"/>
      <c r="X9" s="2855"/>
      <c r="Y9" s="2855"/>
      <c r="Z9" s="2855"/>
      <c r="AA9" s="2855"/>
      <c r="AB9" s="2855"/>
      <c r="AC9" s="2855"/>
    </row>
    <row r="10" spans="2:29" ht="14.25" customHeight="1" thickBot="1" x14ac:dyDescent="0.3">
      <c r="B10" s="2529" t="s">
        <v>366</v>
      </c>
      <c r="C10" s="2529" t="s">
        <v>367</v>
      </c>
      <c r="D10" s="2529" t="s">
        <v>1072</v>
      </c>
      <c r="E10" s="2882" t="s">
        <v>4960</v>
      </c>
      <c r="G10" s="2854" t="s">
        <v>2012</v>
      </c>
      <c r="H10" s="2531" t="s">
        <v>1072</v>
      </c>
      <c r="J10" s="2530" t="s">
        <v>632</v>
      </c>
      <c r="K10" s="2531" t="s">
        <v>1072</v>
      </c>
      <c r="L10" s="29"/>
      <c r="M10" s="133" t="str">
        <f>'Scenario Identification'!AK$3</f>
        <v>BPCS Instrument Loop Failure</v>
      </c>
      <c r="N10" s="2488">
        <v>1</v>
      </c>
      <c r="O10" s="2881" t="s">
        <v>4961</v>
      </c>
      <c r="Q10" s="2530" t="s">
        <v>2565</v>
      </c>
      <c r="R10" s="2531" t="s">
        <v>631</v>
      </c>
      <c r="S10" s="2882" t="s">
        <v>4960</v>
      </c>
      <c r="T10" s="2880"/>
      <c r="U10" s="2855"/>
      <c r="V10" s="227" t="s">
        <v>4782</v>
      </c>
      <c r="W10" s="2855"/>
      <c r="X10" s="2855"/>
      <c r="Y10" s="2855"/>
      <c r="Z10" s="2855"/>
      <c r="AA10" s="2855"/>
      <c r="AB10" s="2855"/>
      <c r="AC10" s="2855"/>
    </row>
    <row r="11" spans="2:29" ht="14.25" customHeight="1" x14ac:dyDescent="0.25">
      <c r="B11" s="2856" t="s">
        <v>4528</v>
      </c>
      <c r="C11" s="2526">
        <v>0.1</v>
      </c>
      <c r="D11" s="2514">
        <v>1</v>
      </c>
      <c r="E11" s="2881" t="s">
        <v>4981</v>
      </c>
      <c r="F11" s="26"/>
      <c r="G11" s="133" t="str">
        <f>'Scenario Identification'!AK$3</f>
        <v>BPCS Instrument Loop Failure</v>
      </c>
      <c r="H11" s="2524">
        <f>N10</f>
        <v>1</v>
      </c>
      <c r="I11" s="26"/>
      <c r="J11" s="2488" t="s">
        <v>1720</v>
      </c>
      <c r="K11" s="2514">
        <v>2</v>
      </c>
      <c r="L11" s="134"/>
      <c r="M11" s="133" t="str">
        <f>'Scenario Identification'!AL$3</f>
        <v>Human Failure Action more than once per quarter</v>
      </c>
      <c r="N11" s="2488">
        <v>1</v>
      </c>
      <c r="O11" s="2881" t="s">
        <v>4962</v>
      </c>
      <c r="Q11" s="2488" t="str">
        <f>"POI for &lt; "&amp;FFire_Low_Dist&amp;" m to LFL with Low Ease of Ignition"</f>
        <v>POI for &lt; 30 m to LFL with Low Ease of Ignition</v>
      </c>
      <c r="R11" s="2489">
        <v>3</v>
      </c>
      <c r="S11" s="2881"/>
      <c r="T11" s="2880"/>
      <c r="U11" s="2855"/>
      <c r="V11" s="4568"/>
      <c r="W11" s="4569"/>
      <c r="X11" s="4569"/>
      <c r="Y11" s="4569"/>
      <c r="Z11" s="4569"/>
      <c r="AA11" s="4569"/>
      <c r="AB11" s="4570"/>
      <c r="AC11" s="2855"/>
    </row>
    <row r="12" spans="2:29" ht="14.25" customHeight="1" x14ac:dyDescent="0.25">
      <c r="B12" s="2856" t="s">
        <v>4513</v>
      </c>
      <c r="C12" s="2526">
        <v>0.01</v>
      </c>
      <c r="D12" s="2514">
        <v>2</v>
      </c>
      <c r="E12" s="2881" t="s">
        <v>4982</v>
      </c>
      <c r="F12" s="26"/>
      <c r="G12" s="133" t="str">
        <f>'Scenario Identification'!AL$3</f>
        <v>Human Failure Action more than once per quarter</v>
      </c>
      <c r="H12" s="2524">
        <f t="shared" ref="H12:H14" si="0">N11</f>
        <v>1</v>
      </c>
      <c r="I12" s="26"/>
      <c r="J12" s="2488" t="s">
        <v>933</v>
      </c>
      <c r="K12" s="2514">
        <v>1</v>
      </c>
      <c r="L12" s="134"/>
      <c r="M12" s="133" t="str">
        <f>'Scenario Identification'!AM$3</f>
        <v>Mechanical Failure</v>
      </c>
      <c r="N12" s="2488">
        <v>1</v>
      </c>
      <c r="O12" s="2881"/>
      <c r="Q12" s="2488" t="str">
        <f>"POI for &lt; "&amp;FFire_Low_Dist&amp;" m to LFL with Normal Ease of Ignition"</f>
        <v>POI for &lt; 30 m to LFL with Normal Ease of Ignition</v>
      </c>
      <c r="R12" s="2488">
        <v>2</v>
      </c>
      <c r="S12" s="2881"/>
      <c r="T12" s="2880"/>
      <c r="U12" s="2855"/>
      <c r="V12" s="4571"/>
      <c r="W12" s="4572"/>
      <c r="X12" s="4572"/>
      <c r="Y12" s="4572"/>
      <c r="Z12" s="4572"/>
      <c r="AA12" s="4572"/>
      <c r="AB12" s="4573"/>
      <c r="AC12" s="2855"/>
    </row>
    <row r="13" spans="2:29" ht="14.25" customHeight="1" x14ac:dyDescent="0.25">
      <c r="B13" s="2856" t="s">
        <v>1521</v>
      </c>
      <c r="C13" s="2526">
        <v>0.1</v>
      </c>
      <c r="D13" s="2514">
        <v>1</v>
      </c>
      <c r="E13" s="2881" t="s">
        <v>4974</v>
      </c>
      <c r="F13" s="26"/>
      <c r="G13" s="133" t="str">
        <f>'Scenario Identification'!AM$3</f>
        <v>Mechanical Failure</v>
      </c>
      <c r="H13" s="2524">
        <f t="shared" si="0"/>
        <v>1</v>
      </c>
      <c r="I13" s="26"/>
      <c r="J13" s="2488" t="s">
        <v>685</v>
      </c>
      <c r="K13" s="2514">
        <v>0</v>
      </c>
      <c r="L13" s="134"/>
      <c r="M13" s="133" t="str">
        <f>'Scenario Identification'!AN$3</f>
        <v>Human Failure Action once per quarter or less</v>
      </c>
      <c r="N13" s="2488">
        <v>2</v>
      </c>
      <c r="O13" s="2881" t="s">
        <v>4963</v>
      </c>
      <c r="Q13" s="2488" t="str">
        <f>"POI for &lt; "&amp;FFire_Low_Dist&amp;" m to LFL with Elevated Ease of Ignition"</f>
        <v>POI for &lt; 30 m to LFL with Elevated Ease of Ignition</v>
      </c>
      <c r="R13" s="2488">
        <v>1</v>
      </c>
      <c r="S13" s="2881"/>
      <c r="T13" s="2880"/>
      <c r="U13" s="2855"/>
      <c r="V13" s="4571"/>
      <c r="W13" s="4572"/>
      <c r="X13" s="4572"/>
      <c r="Y13" s="4572"/>
      <c r="Z13" s="4572"/>
      <c r="AA13" s="4572"/>
      <c r="AB13" s="4573"/>
      <c r="AC13" s="2855"/>
    </row>
    <row r="14" spans="2:29" ht="14.25" customHeight="1" x14ac:dyDescent="0.25">
      <c r="B14" s="255"/>
      <c r="C14" s="2526"/>
      <c r="D14" s="2526"/>
      <c r="E14" s="2884"/>
      <c r="F14" s="26"/>
      <c r="G14" s="133" t="str">
        <f>'Scenario Identification'!AN$3</f>
        <v>Human Failure Action once per quarter or less</v>
      </c>
      <c r="H14" s="2524">
        <f t="shared" si="0"/>
        <v>2</v>
      </c>
      <c r="I14" s="26"/>
      <c r="J14" s="2489" t="s">
        <v>13</v>
      </c>
      <c r="K14" s="2517">
        <v>0</v>
      </c>
      <c r="L14" s="134"/>
      <c r="M14" s="133" t="str">
        <f>'Scenario Identification'!AO$3</f>
        <v>3rd Party Intervention</v>
      </c>
      <c r="N14" s="2488">
        <v>2</v>
      </c>
      <c r="O14" s="2881"/>
      <c r="Q14" s="2488" t="str">
        <f>"POI for &lt; "&amp;FFire_Low_Dist&amp;" to "&amp;FFire_High_Dist&amp;" m to LFL with Low Ease of Ignition"</f>
        <v>POI for &lt; 30 to 100 m to LFL with Low Ease of Ignition</v>
      </c>
      <c r="R14" s="2489">
        <v>2</v>
      </c>
      <c r="S14" s="2885"/>
      <c r="T14" s="2884"/>
      <c r="U14" s="2855"/>
      <c r="V14" s="4571"/>
      <c r="W14" s="4572"/>
      <c r="X14" s="4572"/>
      <c r="Y14" s="4572"/>
      <c r="Z14" s="4572"/>
      <c r="AA14" s="4572"/>
      <c r="AB14" s="4573"/>
      <c r="AC14" s="2855"/>
    </row>
    <row r="15" spans="2:29" ht="13.75" customHeight="1" x14ac:dyDescent="0.25">
      <c r="B15" s="2856" t="s">
        <v>170</v>
      </c>
      <c r="C15" s="2526">
        <v>0.1</v>
      </c>
      <c r="D15" s="2514">
        <v>1</v>
      </c>
      <c r="E15" s="2881" t="s">
        <v>4975</v>
      </c>
      <c r="G15" s="133" t="str">
        <f>'Scenario Identification'!AW$3</f>
        <v>Regulator Failure</v>
      </c>
      <c r="H15" s="2524">
        <f>N22</f>
        <v>1</v>
      </c>
      <c r="J15" s="2488" t="s">
        <v>1184</v>
      </c>
      <c r="K15" s="2514">
        <v>2</v>
      </c>
      <c r="L15" s="134"/>
      <c r="M15" s="133" t="str">
        <f>'Scenario Identification'!AP$3</f>
        <v>Heat Exchanger Tube Leak &lt; 100 tubes</v>
      </c>
      <c r="N15" s="2488">
        <v>2</v>
      </c>
      <c r="O15" s="2881"/>
      <c r="Q15" s="2488" t="str">
        <f>"POI for &lt; "&amp;FFire_Low_Dist&amp;" to "&amp;FFire_High_Dist&amp;" m to LFL with Normal Ease of Ignition"</f>
        <v>POI for &lt; 30 to 100 m to LFL with Normal Ease of Ignition</v>
      </c>
      <c r="R15" s="2488">
        <v>1</v>
      </c>
      <c r="S15" s="2881"/>
      <c r="T15" s="2880"/>
      <c r="U15" s="2855"/>
      <c r="V15" s="4571"/>
      <c r="W15" s="4572"/>
      <c r="X15" s="4572"/>
      <c r="Y15" s="4572"/>
      <c r="Z15" s="4572"/>
      <c r="AA15" s="4572"/>
      <c r="AB15" s="4573"/>
      <c r="AC15" s="2855"/>
    </row>
    <row r="16" spans="2:29" x14ac:dyDescent="0.25">
      <c r="B16" s="2856" t="s">
        <v>5025</v>
      </c>
      <c r="C16" s="2916">
        <v>0.03</v>
      </c>
      <c r="D16" s="2917">
        <v>1.5</v>
      </c>
      <c r="E16" s="2918"/>
      <c r="G16" s="133" t="str">
        <f>'Scenario Identification'!BA$3</f>
        <v>General Utility Failure</v>
      </c>
      <c r="H16" s="2524">
        <f>N26</f>
        <v>1</v>
      </c>
      <c r="J16" s="2488" t="s">
        <v>5027</v>
      </c>
      <c r="K16" s="2917">
        <v>1.5</v>
      </c>
      <c r="L16" s="134"/>
      <c r="M16" s="133" t="str">
        <f>'Scenario Identification'!AQ$3</f>
        <v>Heat Exchanger Tube Leak &gt; 100 tubes</v>
      </c>
      <c r="N16" s="2488">
        <v>1</v>
      </c>
      <c r="O16" s="2881"/>
      <c r="Q16" s="2488" t="str">
        <f>"POI for &lt; "&amp;FFire_Low_Dist&amp;" to "&amp;FFire_High_Dist&amp;" m to LFL with Elevated Ease of Ignition"</f>
        <v>POI for &lt; 30 to 100 m to LFL with Elevated Ease of Ignition</v>
      </c>
      <c r="R16" s="2488">
        <v>0</v>
      </c>
      <c r="S16" s="2881"/>
      <c r="T16" s="2880"/>
      <c r="U16" s="2855"/>
      <c r="V16" s="4571"/>
      <c r="W16" s="4572"/>
      <c r="X16" s="4572"/>
      <c r="Y16" s="4572"/>
      <c r="Z16" s="4572"/>
      <c r="AA16" s="4572"/>
      <c r="AB16" s="4573"/>
      <c r="AC16" s="2855"/>
    </row>
    <row r="17" spans="2:29" ht="14.25" customHeight="1" x14ac:dyDescent="0.25">
      <c r="B17" s="2856" t="s">
        <v>171</v>
      </c>
      <c r="C17" s="2526">
        <v>0.01</v>
      </c>
      <c r="D17" s="2514">
        <v>2</v>
      </c>
      <c r="E17" s="2881" t="s">
        <v>4975</v>
      </c>
      <c r="F17" s="33"/>
      <c r="G17" s="2488" t="s">
        <v>4988</v>
      </c>
      <c r="H17" s="2488">
        <v>0</v>
      </c>
      <c r="I17" s="70"/>
      <c r="J17" s="2488" t="s">
        <v>1185</v>
      </c>
      <c r="K17" s="2514">
        <v>1</v>
      </c>
      <c r="L17" s="134"/>
      <c r="M17" s="133" t="str">
        <f>'Scenario Identification'!AR$3</f>
        <v>Sight Glass Failure</v>
      </c>
      <c r="N17" s="2488">
        <v>1</v>
      </c>
      <c r="O17" s="2881"/>
      <c r="Q17" s="2488" t="str">
        <f>"POI for &gt; "&amp;FFire_High_Dist&amp;" m to LFL with Low Ease of Ignition"</f>
        <v>POI for &gt; 100 m to LFL with Low Ease of Ignition</v>
      </c>
      <c r="R17" s="2489">
        <v>1</v>
      </c>
      <c r="S17" s="2881"/>
      <c r="T17" s="2880"/>
      <c r="U17" s="2855"/>
      <c r="V17" s="4571"/>
      <c r="W17" s="4572"/>
      <c r="X17" s="4572"/>
      <c r="Y17" s="4572"/>
      <c r="Z17" s="4572"/>
      <c r="AA17" s="4572"/>
      <c r="AB17" s="4573"/>
      <c r="AC17" s="2855"/>
    </row>
    <row r="18" spans="2:29" ht="14.25" customHeight="1" x14ac:dyDescent="0.25">
      <c r="B18" s="2856" t="s">
        <v>5026</v>
      </c>
      <c r="C18" s="2916">
        <v>3.0000000000000001E-3</v>
      </c>
      <c r="D18" s="2917">
        <v>2.5</v>
      </c>
      <c r="E18" s="2918"/>
      <c r="F18" s="33"/>
      <c r="G18" s="2488" t="s">
        <v>4989</v>
      </c>
      <c r="H18" s="2488">
        <v>1</v>
      </c>
      <c r="I18" s="70"/>
      <c r="J18" s="2488" t="s">
        <v>5028</v>
      </c>
      <c r="K18" s="2917">
        <v>0.5</v>
      </c>
      <c r="L18" s="134"/>
      <c r="M18" s="133" t="str">
        <f>'Scenario Identification'!AS$3</f>
        <v>Loss of Mixing or Agitation</v>
      </c>
      <c r="N18" s="2488">
        <v>1</v>
      </c>
      <c r="O18" s="2881"/>
      <c r="Q18" s="2488" t="str">
        <f>"POI for &gt; "&amp;FFire_High_Dist&amp;" m to  LFL with Normal Ease of Ignition"</f>
        <v>POI for &gt; 100 m to  LFL with Normal Ease of Ignition</v>
      </c>
      <c r="R18" s="2488">
        <v>0</v>
      </c>
      <c r="S18" s="2885"/>
      <c r="T18" s="2884"/>
      <c r="U18" s="2855"/>
      <c r="V18" s="4571"/>
      <c r="W18" s="4572"/>
      <c r="X18" s="4572"/>
      <c r="Y18" s="4572"/>
      <c r="Z18" s="4572"/>
      <c r="AA18" s="4572"/>
      <c r="AB18" s="4573"/>
      <c r="AC18" s="2855"/>
    </row>
    <row r="19" spans="2:29" ht="14.25" customHeight="1" x14ac:dyDescent="0.25">
      <c r="B19" s="2856" t="s">
        <v>172</v>
      </c>
      <c r="C19" s="2526">
        <v>1E-3</v>
      </c>
      <c r="D19" s="2514">
        <v>3</v>
      </c>
      <c r="E19" s="2881" t="s">
        <v>4975</v>
      </c>
      <c r="F19" s="33"/>
      <c r="G19" s="2488" t="s">
        <v>4990</v>
      </c>
      <c r="H19" s="2488">
        <v>2</v>
      </c>
      <c r="I19" s="33"/>
      <c r="J19" s="2488" t="s">
        <v>589</v>
      </c>
      <c r="K19" s="2514">
        <v>0</v>
      </c>
      <c r="M19" s="133" t="str">
        <f>'Scenario Identification'!AT$3</f>
        <v>Unloading/Loading Hose Failure</v>
      </c>
      <c r="N19" s="2488">
        <v>1</v>
      </c>
      <c r="O19" s="2881" t="s">
        <v>4968</v>
      </c>
      <c r="Q19" s="2488" t="str">
        <f>"POI for &gt; "&amp;FFire_High_Dist&amp;" m to LFL with Elevated Ease of Ignition"</f>
        <v>POI for &gt; 100 m to LFL with Elevated Ease of Ignition</v>
      </c>
      <c r="R19" s="2488">
        <v>0</v>
      </c>
      <c r="S19" s="2881"/>
      <c r="T19" s="2880"/>
      <c r="U19" s="2855"/>
      <c r="V19" s="4571"/>
      <c r="W19" s="4572"/>
      <c r="X19" s="4572"/>
      <c r="Y19" s="4572"/>
      <c r="Z19" s="4572"/>
      <c r="AA19" s="4572"/>
      <c r="AB19" s="4573"/>
      <c r="AC19" s="2855"/>
    </row>
    <row r="20" spans="2:29" ht="14.25" customHeight="1" x14ac:dyDescent="0.25">
      <c r="B20" s="255"/>
      <c r="C20" s="2526"/>
      <c r="D20" s="3141"/>
      <c r="E20" s="2884"/>
      <c r="G20" s="2488" t="s">
        <v>4991</v>
      </c>
      <c r="H20" s="2488">
        <v>3</v>
      </c>
      <c r="J20" s="2488" t="s">
        <v>5029</v>
      </c>
      <c r="K20" s="2917">
        <v>-0.5</v>
      </c>
      <c r="M20" s="133" t="str">
        <f>'Scenario Identification'!AU$3</f>
        <v>Mechanical Loading Arm Failure</v>
      </c>
      <c r="N20" s="2488">
        <v>2</v>
      </c>
      <c r="O20" s="2881"/>
      <c r="Q20" s="2488" t="s">
        <v>5280</v>
      </c>
      <c r="R20" s="2488">
        <v>0</v>
      </c>
      <c r="S20" s="2885"/>
      <c r="T20" s="2884"/>
      <c r="U20" s="2855"/>
      <c r="V20" s="4571"/>
      <c r="W20" s="4572"/>
      <c r="X20" s="4572"/>
      <c r="Y20" s="4572"/>
      <c r="Z20" s="4572"/>
      <c r="AA20" s="4572"/>
      <c r="AB20" s="4573"/>
      <c r="AC20" s="2855"/>
    </row>
    <row r="21" spans="2:29" ht="14.25" customHeight="1" x14ac:dyDescent="0.25">
      <c r="B21" s="2856" t="s">
        <v>4511</v>
      </c>
      <c r="C21" s="2526">
        <v>0.01</v>
      </c>
      <c r="D21" s="2514">
        <v>2</v>
      </c>
      <c r="E21" s="2881" t="s">
        <v>4976</v>
      </c>
      <c r="G21" s="2488" t="s">
        <v>4992</v>
      </c>
      <c r="H21" s="2488">
        <v>4</v>
      </c>
      <c r="J21" s="2488" t="s">
        <v>590</v>
      </c>
      <c r="K21" s="2514">
        <v>-1</v>
      </c>
      <c r="M21" s="133" t="str">
        <f>'Scenario Identification'!AV$3</f>
        <v>Pump (blower, compressor, etc.) Failure</v>
      </c>
      <c r="N21" s="2488">
        <v>1</v>
      </c>
      <c r="O21" s="2881" t="s">
        <v>4965</v>
      </c>
      <c r="Q21" s="2488" t="s">
        <v>946</v>
      </c>
      <c r="R21" s="2488">
        <v>1</v>
      </c>
      <c r="S21" s="2890"/>
      <c r="T21" s="134"/>
      <c r="U21" s="2855"/>
      <c r="V21" s="4571"/>
      <c r="W21" s="4572"/>
      <c r="X21" s="4572"/>
      <c r="Y21" s="4572"/>
      <c r="Z21" s="4572"/>
      <c r="AA21" s="4572"/>
      <c r="AB21" s="4573"/>
      <c r="AC21" s="2855"/>
    </row>
    <row r="22" spans="2:29" ht="12.75" customHeight="1" x14ac:dyDescent="0.25">
      <c r="B22" s="2857" t="s">
        <v>2753</v>
      </c>
      <c r="C22" s="2527">
        <v>0.1</v>
      </c>
      <c r="D22" s="2515">
        <v>1</v>
      </c>
      <c r="E22" s="2885"/>
      <c r="G22" s="2488" t="s">
        <v>4993</v>
      </c>
      <c r="H22" s="2488">
        <v>5</v>
      </c>
      <c r="M22" s="133" t="str">
        <f>'Scenario Identification'!AW$3</f>
        <v>Regulator Failure</v>
      </c>
      <c r="N22" s="2488">
        <v>1</v>
      </c>
      <c r="O22" s="2881" t="s">
        <v>4964</v>
      </c>
      <c r="Q22" s="2488" t="s">
        <v>215</v>
      </c>
      <c r="R22" s="2488">
        <v>0</v>
      </c>
      <c r="S22" s="2890"/>
      <c r="T22" s="134"/>
      <c r="U22" s="2855"/>
      <c r="V22" s="4571"/>
      <c r="W22" s="4572"/>
      <c r="X22" s="4572"/>
      <c r="Y22" s="4572"/>
      <c r="Z22" s="4572"/>
      <c r="AA22" s="4572"/>
      <c r="AB22" s="4573"/>
      <c r="AC22" s="2855"/>
    </row>
    <row r="23" spans="2:29" ht="12.75" customHeight="1" x14ac:dyDescent="0.25">
      <c r="B23" s="2857" t="s">
        <v>2754</v>
      </c>
      <c r="C23" s="2526">
        <v>0.01</v>
      </c>
      <c r="D23" s="2514">
        <v>2</v>
      </c>
      <c r="E23" s="2885" t="s">
        <v>4977</v>
      </c>
      <c r="J23"/>
      <c r="K23"/>
      <c r="M23" s="133" t="str">
        <f>'Scenario Identification'!AX$3</f>
        <v>Single Mechanical Seal Failure</v>
      </c>
      <c r="N23" s="2488">
        <v>2</v>
      </c>
      <c r="O23" s="2881" t="s">
        <v>4967</v>
      </c>
      <c r="Q23" s="2488" t="s">
        <v>3509</v>
      </c>
      <c r="R23" s="2488">
        <v>1</v>
      </c>
      <c r="S23" s="2890"/>
      <c r="T23" s="134"/>
      <c r="U23" s="2855"/>
      <c r="V23" s="4571"/>
      <c r="W23" s="4572"/>
      <c r="X23" s="4572"/>
      <c r="Y23" s="4572"/>
      <c r="Z23" s="4572"/>
      <c r="AA23" s="4572"/>
      <c r="AB23" s="4573"/>
      <c r="AC23" s="2855"/>
    </row>
    <row r="24" spans="2:29" ht="15.5" x14ac:dyDescent="0.25">
      <c r="B24" s="2857" t="s">
        <v>2755</v>
      </c>
      <c r="C24" s="2526">
        <v>1E-3</v>
      </c>
      <c r="D24" s="2514">
        <v>3</v>
      </c>
      <c r="E24" s="2885" t="s">
        <v>5187</v>
      </c>
      <c r="G24" s="2530" t="s">
        <v>2012</v>
      </c>
      <c r="H24" s="2531" t="s">
        <v>1072</v>
      </c>
      <c r="J24" s="4577" t="s">
        <v>4530</v>
      </c>
      <c r="K24" s="4577"/>
      <c r="M24" s="133" t="str">
        <f>'Scenario Identification'!AY$3</f>
        <v>Double Mechanical Seal Failure</v>
      </c>
      <c r="N24" s="2488">
        <v>2</v>
      </c>
      <c r="O24" s="2881"/>
      <c r="Q24" s="2488" t="s">
        <v>1465</v>
      </c>
      <c r="R24" s="2488">
        <v>0</v>
      </c>
      <c r="S24" s="2890"/>
      <c r="T24" s="134"/>
      <c r="U24" s="2855"/>
      <c r="V24" s="4571"/>
      <c r="W24" s="4572"/>
      <c r="X24" s="4572"/>
      <c r="Y24" s="4572"/>
      <c r="Z24" s="4572"/>
      <c r="AA24" s="4572"/>
      <c r="AB24" s="4573"/>
      <c r="AC24" s="2855"/>
    </row>
    <row r="25" spans="2:29" ht="15" customHeight="1" x14ac:dyDescent="0.25">
      <c r="B25" s="2857" t="s">
        <v>2756</v>
      </c>
      <c r="C25" s="2526">
        <v>1E-4</v>
      </c>
      <c r="D25" s="2514">
        <v>4</v>
      </c>
      <c r="E25" s="2885" t="s">
        <v>5187</v>
      </c>
      <c r="F25" s="40"/>
      <c r="G25" s="2488" t="str">
        <f>'Scenario Identification'!BC$3</f>
        <v>IEF=0 pending more detailed evaluation</v>
      </c>
      <c r="H25" s="2524">
        <f>N28</f>
        <v>0</v>
      </c>
      <c r="I25" s="40"/>
      <c r="J25" s="4577"/>
      <c r="K25" s="4577"/>
      <c r="M25" s="133" t="str">
        <f>'Scenario Identification'!AZ$3</f>
        <v>Canned/Magnetic Drive Pump Failure</v>
      </c>
      <c r="N25" s="2488">
        <v>2</v>
      </c>
      <c r="O25" s="2881"/>
      <c r="Q25" s="2488" t="s">
        <v>3508</v>
      </c>
      <c r="R25" s="2488">
        <v>0</v>
      </c>
      <c r="S25" s="2890"/>
      <c r="T25" s="134"/>
      <c r="U25" s="2855"/>
      <c r="V25" s="4571"/>
      <c r="W25" s="4572"/>
      <c r="X25" s="4572"/>
      <c r="Y25" s="4572"/>
      <c r="Z25" s="4572"/>
      <c r="AA25" s="4572"/>
      <c r="AB25" s="4573"/>
      <c r="AC25" s="2855"/>
    </row>
    <row r="26" spans="2:29" ht="12.75" customHeight="1" x14ac:dyDescent="0.25">
      <c r="B26" s="2889" t="s">
        <v>4971</v>
      </c>
      <c r="C26" s="2526">
        <v>1E-3</v>
      </c>
      <c r="D26" s="2514">
        <v>3</v>
      </c>
      <c r="E26" s="2885" t="s">
        <v>4972</v>
      </c>
      <c r="G26" s="2488" t="str">
        <f>'Scenario Identification'!BD$3</f>
        <v>IEF=1 pending more detailed evaluation</v>
      </c>
      <c r="H26" s="2524">
        <f t="shared" ref="H26:H30" si="1">N29</f>
        <v>1</v>
      </c>
      <c r="J26" s="4577"/>
      <c r="K26" s="4577"/>
      <c r="M26" s="133" t="str">
        <f>'Scenario Identification'!BA$3</f>
        <v>General Utility Failure</v>
      </c>
      <c r="N26" s="2488">
        <v>1</v>
      </c>
      <c r="O26" s="2881" t="s">
        <v>4966</v>
      </c>
      <c r="Q26" s="2488" t="str">
        <f>"POI for Dust MIE &lt; "&amp;Dust_Low_MIE&amp;" mJ (or hybrid) External or Tip Speed &lt; 1 m/sec"</f>
        <v>POI for Dust MIE &lt; 30 mJ (or hybrid) External or Tip Speed &lt; 1 m/sec</v>
      </c>
      <c r="R26" s="2488">
        <v>1</v>
      </c>
      <c r="S26" s="2890"/>
      <c r="T26" s="134"/>
      <c r="U26" s="2855"/>
      <c r="V26" s="4571"/>
      <c r="W26" s="4572"/>
      <c r="X26" s="4572"/>
      <c r="Y26" s="4572"/>
      <c r="Z26" s="4572"/>
      <c r="AA26" s="4572"/>
      <c r="AB26" s="4573"/>
      <c r="AC26" s="2855"/>
    </row>
    <row r="27" spans="2:29" ht="12.75" customHeight="1" x14ac:dyDescent="0.25">
      <c r="B27" s="2856" t="s">
        <v>2759</v>
      </c>
      <c r="C27" s="2526">
        <v>0.01</v>
      </c>
      <c r="D27" s="2514">
        <v>2</v>
      </c>
      <c r="E27" s="2885" t="s">
        <v>4978</v>
      </c>
      <c r="G27" s="2488" t="str">
        <f>'Scenario Identification'!BE$3</f>
        <v>IEF=2 pending more detailed evaluation</v>
      </c>
      <c r="H27" s="2524">
        <f t="shared" si="1"/>
        <v>2</v>
      </c>
      <c r="J27" s="2530" t="s">
        <v>632</v>
      </c>
      <c r="K27" s="2531" t="s">
        <v>1072</v>
      </c>
      <c r="M27" s="133" t="str">
        <f>'Scenario Identification'!BB$3</f>
        <v>Natural Distaster (Storm, Earthquake, etc.)</v>
      </c>
      <c r="N27" s="2488">
        <v>3</v>
      </c>
      <c r="O27" s="2881"/>
      <c r="Q27" s="2488" t="str">
        <f>"POI for Dust MIE &gt; "&amp;Dust_Low_MIE&amp;" &lt; "&amp;Dust_High_MIE&amp;" mJ External or Tip Speed &lt; 1 m/sec"</f>
        <v>POI for Dust MIE &gt; 30 &lt; 100 mJ External or Tip Speed &lt; 1 m/sec</v>
      </c>
      <c r="R27" s="2488">
        <v>2</v>
      </c>
      <c r="S27" s="2890"/>
      <c r="T27" s="134"/>
      <c r="U27" s="2855"/>
      <c r="V27" s="4571"/>
      <c r="W27" s="4572"/>
      <c r="X27" s="4572"/>
      <c r="Y27" s="4572"/>
      <c r="Z27" s="4572"/>
      <c r="AA27" s="4572"/>
      <c r="AB27" s="4573"/>
      <c r="AC27" s="2855"/>
    </row>
    <row r="28" spans="2:29" ht="12.75" customHeight="1" x14ac:dyDescent="0.25">
      <c r="B28" s="255"/>
      <c r="C28" s="2526"/>
      <c r="D28" s="2526"/>
      <c r="E28" s="2884"/>
      <c r="G28" s="2488" t="str">
        <f>'Scenario Identification'!BF$3</f>
        <v>IEF=3 pending more detailed evaluation</v>
      </c>
      <c r="H28" s="2524">
        <f t="shared" si="1"/>
        <v>3</v>
      </c>
      <c r="J28" s="747" t="str">
        <f>IF(Desc_VeryLow="","",Desc_VeryLow)</f>
        <v>Moderate Severity</v>
      </c>
      <c r="K28" s="2490">
        <f>Conseq_VeryLow</f>
        <v>2</v>
      </c>
      <c r="M28" s="133" t="str">
        <f>'Scenario Identification'!BC$3</f>
        <v>IEF=0 pending more detailed evaluation</v>
      </c>
      <c r="N28" s="2883">
        <v>0</v>
      </c>
      <c r="O28" s="2880"/>
      <c r="Q28" s="2488" t="str">
        <f>"POI for Dusts with MIE &gt; "&amp;Dust_High_MIE&amp;" External or Tip Speed &lt; 1 m/sec"</f>
        <v>POI for Dusts with MIE &gt; 100 External or Tip Speed &lt; 1 m/sec</v>
      </c>
      <c r="R28" s="2488">
        <v>2</v>
      </c>
      <c r="S28" s="2890"/>
      <c r="T28" s="134"/>
      <c r="U28" s="2855"/>
      <c r="V28" s="4571"/>
      <c r="W28" s="4572"/>
      <c r="X28" s="4572"/>
      <c r="Y28" s="4572"/>
      <c r="Z28" s="4572"/>
      <c r="AA28" s="4572"/>
      <c r="AB28" s="4573"/>
      <c r="AC28" s="2855"/>
    </row>
    <row r="29" spans="2:29" ht="12.75" customHeight="1" x14ac:dyDescent="0.25">
      <c r="B29" s="2856" t="s">
        <v>4527</v>
      </c>
      <c r="C29" s="2526">
        <v>0.1</v>
      </c>
      <c r="D29" s="2514">
        <v>1</v>
      </c>
      <c r="E29" s="2885"/>
      <c r="G29" s="2488" t="str">
        <f>'Scenario Identification'!BG$3</f>
        <v>IEF=4 pending more detailed evaluation</v>
      </c>
      <c r="H29" s="2524">
        <f t="shared" si="1"/>
        <v>4</v>
      </c>
      <c r="J29" s="747" t="str">
        <f>IF(Desc_Low="","",Desc_Low)</f>
        <v>High Severity</v>
      </c>
      <c r="K29" s="2490">
        <f>Conseq_Low</f>
        <v>3</v>
      </c>
      <c r="M29" s="133" t="str">
        <f>'Scenario Identification'!BD$3</f>
        <v>IEF=1 pending more detailed evaluation</v>
      </c>
      <c r="N29" s="2883">
        <v>1</v>
      </c>
      <c r="O29" s="2880"/>
      <c r="Q29" s="2488" t="str">
        <f>"POI for Dust MIE &lt; "&amp;Dust_Low_MIE&amp;" mJ (or hybrid) with High Tip Speed"</f>
        <v>POI for Dust MIE &lt; 30 mJ (or hybrid) with High Tip Speed</v>
      </c>
      <c r="R29" s="2488">
        <v>0</v>
      </c>
      <c r="S29" s="2890"/>
      <c r="T29" s="134"/>
      <c r="U29" s="2855"/>
      <c r="V29" s="4571"/>
      <c r="W29" s="4572"/>
      <c r="X29" s="4572"/>
      <c r="Y29" s="4572"/>
      <c r="Z29" s="4572"/>
      <c r="AA29" s="4572"/>
      <c r="AB29" s="4573"/>
      <c r="AC29" s="2855"/>
    </row>
    <row r="30" spans="2:29" x14ac:dyDescent="0.25">
      <c r="B30" s="2858" t="s">
        <v>4969</v>
      </c>
      <c r="C30" s="2528">
        <v>0.01</v>
      </c>
      <c r="D30" s="2516">
        <v>2</v>
      </c>
      <c r="E30" s="2885" t="s">
        <v>4970</v>
      </c>
      <c r="G30" s="2488" t="str">
        <f>'Scenario Identification'!BH$3</f>
        <v>IEF=5 pending more detailed evaluation</v>
      </c>
      <c r="H30" s="2524">
        <f t="shared" si="1"/>
        <v>5</v>
      </c>
      <c r="J30" s="747" t="str">
        <f>IF(Desc_Moderate="","",Desc_Moderate)</f>
        <v>Very High Severity</v>
      </c>
      <c r="K30" s="2490">
        <f>Conseq_Moderate</f>
        <v>4</v>
      </c>
      <c r="M30" s="133" t="str">
        <f>'Scenario Identification'!BE$3</f>
        <v>IEF=2 pending more detailed evaluation</v>
      </c>
      <c r="N30" s="2883">
        <v>2</v>
      </c>
      <c r="O30" s="2880"/>
      <c r="Q30" s="2488" t="str">
        <f>"POI for Dust MIE &gt; "&amp;Dust_Low_MIE&amp;" &lt; "&amp;Dust_High_MIE&amp;" mJ with Tip Speed &gt; 1 &lt; 9.5 m/sec"</f>
        <v>POI for Dust MIE &gt; 30 &lt; 100 mJ with Tip Speed &gt; 1 &lt; 9.5 m/sec</v>
      </c>
      <c r="R30" s="2488">
        <v>1</v>
      </c>
      <c r="S30" s="2890"/>
      <c r="T30" s="134"/>
      <c r="U30" s="2855"/>
      <c r="V30" s="4571"/>
      <c r="W30" s="4572"/>
      <c r="X30" s="4572"/>
      <c r="Y30" s="4572"/>
      <c r="Z30" s="4572"/>
      <c r="AA30" s="4572"/>
      <c r="AB30" s="4573"/>
      <c r="AC30" s="2855"/>
    </row>
    <row r="31" spans="2:29" ht="12.75" customHeight="1" x14ac:dyDescent="0.25">
      <c r="B31" s="2858" t="s">
        <v>3006</v>
      </c>
      <c r="C31" s="2526">
        <v>0.1</v>
      </c>
      <c r="D31" s="2514">
        <v>1</v>
      </c>
      <c r="E31" s="2885" t="s">
        <v>4979</v>
      </c>
      <c r="G31" s="2488" t="s">
        <v>4988</v>
      </c>
      <c r="H31" s="2488">
        <v>0</v>
      </c>
      <c r="J31" s="747" t="str">
        <f>IF(Desc_High="","",Desc_High)</f>
        <v>Extremely High Severity</v>
      </c>
      <c r="K31" s="2490">
        <f>Conseq_High</f>
        <v>5</v>
      </c>
      <c r="M31" s="133" t="str">
        <f>'Scenario Identification'!BF$3</f>
        <v>IEF=3 pending more detailed evaluation</v>
      </c>
      <c r="N31" s="2883">
        <v>3</v>
      </c>
      <c r="O31" s="2880"/>
      <c r="Q31" s="2488" t="str">
        <f>"POI for Dust MIE &gt;"&amp;Dust_High_MIE&amp;" mJ with Tip Speed &gt; 1 &lt; 9.5 m/sec"</f>
        <v>POI for Dust MIE &gt;100 mJ with Tip Speed &gt; 1 &lt; 9.5 m/sec</v>
      </c>
      <c r="R31" s="2488">
        <v>2</v>
      </c>
      <c r="S31" s="2890"/>
      <c r="T31" s="134"/>
      <c r="U31" s="2855"/>
      <c r="V31" s="4571"/>
      <c r="W31" s="4572"/>
      <c r="X31" s="4572"/>
      <c r="Y31" s="4572"/>
      <c r="Z31" s="4572"/>
      <c r="AA31" s="4572"/>
      <c r="AB31" s="4573"/>
      <c r="AC31" s="2855"/>
    </row>
    <row r="32" spans="2:29" ht="14.25" customHeight="1" x14ac:dyDescent="0.25">
      <c r="B32" s="2856" t="s">
        <v>3004</v>
      </c>
      <c r="C32" s="2526">
        <v>0.1</v>
      </c>
      <c r="D32" s="2514">
        <v>1</v>
      </c>
      <c r="E32" s="2885" t="s">
        <v>4980</v>
      </c>
      <c r="G32" s="2488" t="s">
        <v>4989</v>
      </c>
      <c r="H32" s="2488">
        <v>1</v>
      </c>
      <c r="J32" s="747" t="str">
        <f>IF(Desc_VeryHigh="","",Desc_VeryHigh)</f>
        <v>Catastrophic Severity</v>
      </c>
      <c r="K32" s="2490">
        <f>Conseq_VeryHigh</f>
        <v>6</v>
      </c>
      <c r="M32" s="133" t="str">
        <f>'Scenario Identification'!BG$3</f>
        <v>IEF=4 pending more detailed evaluation</v>
      </c>
      <c r="N32" s="2883">
        <v>4</v>
      </c>
      <c r="O32" s="2880"/>
      <c r="Q32" s="2488" t="str">
        <f>"POI for Dust MIE &lt;"&amp;Dust_High_MIE&amp;" mJ with Tip Speed &gt; 9.5 &lt; 20 m/sec"</f>
        <v>POI for Dust MIE &lt;100 mJ with Tip Speed &gt; 9.5 &lt; 20 m/sec</v>
      </c>
      <c r="R32" s="2488">
        <v>0</v>
      </c>
      <c r="S32" s="2890"/>
      <c r="T32" s="134"/>
      <c r="U32" s="2855"/>
      <c r="V32" s="4571"/>
      <c r="W32" s="4572"/>
      <c r="X32" s="4572"/>
      <c r="Y32" s="4572"/>
      <c r="Z32" s="4572"/>
      <c r="AA32" s="4572"/>
      <c r="AB32" s="4573"/>
      <c r="AC32" s="2855"/>
    </row>
    <row r="33" spans="2:29" ht="14.25" customHeight="1" x14ac:dyDescent="0.25">
      <c r="B33" s="2859" t="s">
        <v>3012</v>
      </c>
      <c r="C33" s="2526">
        <v>0.1</v>
      </c>
      <c r="D33" s="2514">
        <v>1</v>
      </c>
      <c r="E33" s="2885"/>
      <c r="G33" s="2488" t="s">
        <v>4990</v>
      </c>
      <c r="H33" s="2488">
        <v>2</v>
      </c>
      <c r="J33" s="747" t="str">
        <f>IF(Desc_ExtremeHigh="","",Desc_ExtremeHigh)</f>
        <v>Catastrophic Severity</v>
      </c>
      <c r="K33" s="2490">
        <f>Conseq_ExtremeHigh</f>
        <v>6</v>
      </c>
      <c r="M33" s="133" t="str">
        <f>'Scenario Identification'!BH$3</f>
        <v>IEF=5 pending more detailed evaluation</v>
      </c>
      <c r="N33" s="2883">
        <v>5</v>
      </c>
      <c r="O33" s="2880"/>
      <c r="Q33" s="2488" t="str">
        <f>"POI for Dust MIE &gt;"&amp;Dust_High_MIE&amp;" mJ with Tip Speed &gt; 9.5 &lt; 20 m/sec"</f>
        <v>POI for Dust MIE &gt;100 mJ with Tip Speed &gt; 9.5 &lt; 20 m/sec</v>
      </c>
      <c r="R33" s="2488">
        <v>1</v>
      </c>
      <c r="S33" s="2890"/>
      <c r="T33" s="134"/>
      <c r="U33" s="2855"/>
      <c r="V33" s="4571"/>
      <c r="W33" s="4572"/>
      <c r="X33" s="4572"/>
      <c r="Y33" s="4572"/>
      <c r="Z33" s="4572"/>
      <c r="AA33" s="4572"/>
      <c r="AB33" s="4573"/>
      <c r="AC33" s="2855"/>
    </row>
    <row r="34" spans="2:29" ht="14.25" customHeight="1" x14ac:dyDescent="0.25">
      <c r="B34" s="2856" t="s">
        <v>1516</v>
      </c>
      <c r="C34" s="2526">
        <v>0.01</v>
      </c>
      <c r="D34" s="2514">
        <v>2</v>
      </c>
      <c r="E34" s="2885" t="s">
        <v>4973</v>
      </c>
      <c r="G34" s="2488" t="s">
        <v>4991</v>
      </c>
      <c r="H34" s="2488">
        <v>3</v>
      </c>
      <c r="J34" s="747" t="str">
        <f>IF(Desc_GT_ExtremeHigh="","",Desc_GT_ExtremeHigh)</f>
        <v>Catastrophic Severity</v>
      </c>
      <c r="K34" s="2490">
        <f>Conseq_GT_ExtremeHigh</f>
        <v>6</v>
      </c>
      <c r="Q34" s="2488" t="s">
        <v>3003</v>
      </c>
      <c r="R34" s="2488">
        <v>0</v>
      </c>
      <c r="S34" s="2890"/>
      <c r="T34" s="134"/>
      <c r="U34" s="2855"/>
      <c r="V34" s="4571"/>
      <c r="W34" s="4572"/>
      <c r="X34" s="4572"/>
      <c r="Y34" s="4572"/>
      <c r="Z34" s="4572"/>
      <c r="AA34" s="4572"/>
      <c r="AB34" s="4573"/>
      <c r="AC34" s="2855"/>
    </row>
    <row r="35" spans="2:29" ht="14.25" customHeight="1" x14ac:dyDescent="0.25">
      <c r="B35" s="2860" t="s">
        <v>4529</v>
      </c>
      <c r="C35" s="2526">
        <v>0.1</v>
      </c>
      <c r="D35" s="2514">
        <v>1</v>
      </c>
      <c r="E35" s="2881" t="s">
        <v>4981</v>
      </c>
      <c r="F35" s="40"/>
      <c r="G35" s="2488" t="s">
        <v>4992</v>
      </c>
      <c r="H35" s="2488">
        <v>4</v>
      </c>
      <c r="I35" s="40"/>
      <c r="Q35" s="3150" t="s">
        <v>4731</v>
      </c>
      <c r="R35" s="3150">
        <v>0</v>
      </c>
      <c r="S35" s="134"/>
      <c r="T35" s="134"/>
      <c r="U35" s="2855"/>
      <c r="V35" s="4571"/>
      <c r="W35" s="4572"/>
      <c r="X35" s="4572"/>
      <c r="Y35" s="4572"/>
      <c r="Z35" s="4572"/>
      <c r="AA35" s="4572"/>
      <c r="AB35" s="4573"/>
      <c r="AC35" s="2855"/>
    </row>
    <row r="36" spans="2:29" ht="14.25" customHeight="1" x14ac:dyDescent="0.25">
      <c r="B36" s="2861" t="s">
        <v>4514</v>
      </c>
      <c r="C36" s="2526">
        <v>0.1</v>
      </c>
      <c r="D36" s="2514">
        <v>1</v>
      </c>
      <c r="E36" s="2885"/>
      <c r="F36" s="40"/>
      <c r="G36" s="2488" t="s">
        <v>4993</v>
      </c>
      <c r="H36" s="2488">
        <v>5</v>
      </c>
      <c r="I36" s="40"/>
      <c r="M36" s="4580" t="s">
        <v>22</v>
      </c>
      <c r="N36" s="4581"/>
      <c r="Q36" s="2488" t="s">
        <v>4994</v>
      </c>
      <c r="R36" s="2488">
        <v>0</v>
      </c>
      <c r="S36" s="134"/>
      <c r="T36" s="134"/>
      <c r="U36" s="2855"/>
      <c r="V36" s="4571"/>
      <c r="W36" s="4572"/>
      <c r="X36" s="4572"/>
      <c r="Y36" s="4572"/>
      <c r="Z36" s="4572"/>
      <c r="AA36" s="4572"/>
      <c r="AB36" s="4573"/>
      <c r="AC36" s="2855"/>
    </row>
    <row r="37" spans="2:29" x14ac:dyDescent="0.25">
      <c r="B37" s="2862" t="s">
        <v>4512</v>
      </c>
      <c r="C37" s="2526">
        <v>0.1</v>
      </c>
      <c r="D37" s="2514">
        <v>1</v>
      </c>
      <c r="E37" s="2885"/>
      <c r="F37" s="40"/>
      <c r="I37" s="40"/>
      <c r="J37" s="4577" t="s">
        <v>2566</v>
      </c>
      <c r="K37" s="4577"/>
      <c r="M37" s="133" t="s">
        <v>1142</v>
      </c>
      <c r="N37" s="277" t="s">
        <v>1897</v>
      </c>
      <c r="O37" s="2879"/>
      <c r="Q37" s="2488" t="s">
        <v>4995</v>
      </c>
      <c r="R37" s="2488">
        <v>1</v>
      </c>
      <c r="S37" s="134"/>
      <c r="T37" s="134"/>
      <c r="U37" s="2855"/>
      <c r="V37" s="4571"/>
      <c r="W37" s="4572"/>
      <c r="X37" s="4572"/>
      <c r="Y37" s="4572"/>
      <c r="Z37" s="4572"/>
      <c r="AA37" s="4572"/>
      <c r="AB37" s="4573"/>
      <c r="AC37" s="2855"/>
    </row>
    <row r="38" spans="2:29" x14ac:dyDescent="0.25">
      <c r="B38" s="2856" t="s">
        <v>1563</v>
      </c>
      <c r="C38" s="2526">
        <v>0.1</v>
      </c>
      <c r="D38" s="2514">
        <v>1</v>
      </c>
      <c r="E38" s="2885"/>
      <c r="J38" s="4577"/>
      <c r="K38" s="4577"/>
      <c r="M38" s="133" t="s">
        <v>1143</v>
      </c>
      <c r="N38" s="278" t="s">
        <v>1897</v>
      </c>
      <c r="O38" s="2879"/>
      <c r="Q38" s="2488" t="s">
        <v>4996</v>
      </c>
      <c r="R38" s="2488">
        <v>2</v>
      </c>
      <c r="S38" s="134"/>
      <c r="T38" s="134"/>
      <c r="U38" s="2855"/>
      <c r="V38" s="4571"/>
      <c r="W38" s="4572"/>
      <c r="X38" s="4572"/>
      <c r="Y38" s="4572"/>
      <c r="Z38" s="4572"/>
      <c r="AA38" s="4572"/>
      <c r="AB38" s="4573"/>
      <c r="AC38" s="2855"/>
    </row>
    <row r="39" spans="2:29" ht="13.5" thickBot="1" x14ac:dyDescent="0.3">
      <c r="B39" s="2856" t="s">
        <v>1419</v>
      </c>
      <c r="C39" s="2526">
        <v>0.1</v>
      </c>
      <c r="D39" s="2514">
        <v>1</v>
      </c>
      <c r="E39" s="2885" t="s">
        <v>5188</v>
      </c>
      <c r="J39" s="4577"/>
      <c r="K39" s="4577"/>
      <c r="M39" s="133" t="s">
        <v>1144</v>
      </c>
      <c r="N39" s="277" t="s">
        <v>1897</v>
      </c>
      <c r="O39" s="2879"/>
      <c r="Q39" s="2488" t="s">
        <v>4997</v>
      </c>
      <c r="R39" s="2488">
        <v>3</v>
      </c>
      <c r="S39" s="134"/>
      <c r="T39" s="134"/>
      <c r="U39" s="2855"/>
      <c r="V39" s="4574"/>
      <c r="W39" s="4575"/>
      <c r="X39" s="4575"/>
      <c r="Y39" s="4575"/>
      <c r="Z39" s="4575"/>
      <c r="AA39" s="4575"/>
      <c r="AB39" s="4576"/>
      <c r="AC39" s="2855"/>
    </row>
    <row r="40" spans="2:29" ht="15.5" x14ac:dyDescent="0.25">
      <c r="B40" s="2856" t="s">
        <v>473</v>
      </c>
      <c r="C40" s="2526">
        <v>0.1</v>
      </c>
      <c r="D40" s="2514">
        <v>1</v>
      </c>
      <c r="E40" s="2885"/>
      <c r="J40" s="2530" t="s">
        <v>632</v>
      </c>
      <c r="K40" s="2531" t="s">
        <v>1072</v>
      </c>
      <c r="U40" s="2855"/>
      <c r="V40" s="2855"/>
      <c r="W40" s="2855"/>
      <c r="X40" s="2855"/>
      <c r="Y40" s="2855"/>
      <c r="Z40" s="2855"/>
      <c r="AA40" s="2855"/>
      <c r="AB40" s="2855"/>
      <c r="AC40" s="2855"/>
    </row>
    <row r="41" spans="2:29" x14ac:dyDescent="0.25">
      <c r="B41" s="2856" t="s">
        <v>2944</v>
      </c>
      <c r="C41" s="2526">
        <v>0.1</v>
      </c>
      <c r="D41" s="2514">
        <v>1</v>
      </c>
      <c r="E41" s="2885" t="s">
        <v>4981</v>
      </c>
      <c r="J41" s="2525" t="s">
        <v>4998</v>
      </c>
      <c r="K41" s="2490">
        <v>2</v>
      </c>
    </row>
    <row r="42" spans="2:29" x14ac:dyDescent="0.25">
      <c r="B42" s="2858" t="s">
        <v>3005</v>
      </c>
      <c r="C42" s="2528">
        <v>0.1</v>
      </c>
      <c r="D42" s="2516">
        <v>1</v>
      </c>
      <c r="E42" s="2885"/>
      <c r="J42" s="2525" t="s">
        <v>5030</v>
      </c>
      <c r="K42" s="2491">
        <v>1.5</v>
      </c>
    </row>
    <row r="43" spans="2:29" x14ac:dyDescent="0.25">
      <c r="B43" s="2856" t="s">
        <v>1138</v>
      </c>
      <c r="C43" s="2526">
        <v>0.1</v>
      </c>
      <c r="D43" s="2886">
        <v>1</v>
      </c>
      <c r="E43" s="2885" t="s">
        <v>5189</v>
      </c>
      <c r="J43" s="2525" t="s">
        <v>4999</v>
      </c>
      <c r="K43" s="2491">
        <v>1</v>
      </c>
    </row>
    <row r="44" spans="2:29" x14ac:dyDescent="0.25">
      <c r="B44" s="2856" t="s">
        <v>2029</v>
      </c>
      <c r="C44" s="2526">
        <v>0.01</v>
      </c>
      <c r="D44" s="2886">
        <v>2</v>
      </c>
      <c r="E44" s="2885"/>
      <c r="J44" s="2525" t="s">
        <v>5031</v>
      </c>
      <c r="K44" s="2491">
        <v>0.5</v>
      </c>
    </row>
    <row r="45" spans="2:29" x14ac:dyDescent="0.25">
      <c r="B45" s="2856" t="s">
        <v>4524</v>
      </c>
      <c r="C45" s="2526">
        <v>0.1</v>
      </c>
      <c r="D45" s="2514">
        <v>1</v>
      </c>
      <c r="E45" s="2884"/>
      <c r="J45" s="2492" t="s">
        <v>13</v>
      </c>
      <c r="K45" s="2492">
        <v>0</v>
      </c>
    </row>
    <row r="46" spans="2:29" x14ac:dyDescent="0.25">
      <c r="B46" s="2856" t="s">
        <v>4525</v>
      </c>
      <c r="C46" s="2526">
        <v>0.01</v>
      </c>
      <c r="D46" s="2514">
        <v>2</v>
      </c>
      <c r="E46" s="2884"/>
      <c r="J46" s="134"/>
      <c r="K46" s="134"/>
    </row>
    <row r="47" spans="2:29" x14ac:dyDescent="0.25">
      <c r="B47" s="2856" t="s">
        <v>4526</v>
      </c>
      <c r="C47" s="2526">
        <v>1E-3</v>
      </c>
      <c r="D47" s="2514">
        <v>3</v>
      </c>
      <c r="E47" s="2884"/>
    </row>
  </sheetData>
  <sheetProtection sheet="1" objects="1" scenarios="1"/>
  <mergeCells count="9">
    <mergeCell ref="B2:J2"/>
    <mergeCell ref="B3:J7"/>
    <mergeCell ref="V11:AB39"/>
    <mergeCell ref="J37:K39"/>
    <mergeCell ref="J9:K9"/>
    <mergeCell ref="G9:H9"/>
    <mergeCell ref="Q9:R9"/>
    <mergeCell ref="M36:N36"/>
    <mergeCell ref="J24:K26"/>
  </mergeCells>
  <phoneticPr fontId="0" type="noConversion"/>
  <printOptions horizontalCentered="1"/>
  <pageMargins left="0.25" right="0.25" top="0.75" bottom="0.75" header="0.5" footer="0.25"/>
  <pageSetup scale="115" pageOrder="overThenDown" orientation="portrait" r:id="rId1"/>
  <headerFooter alignWithMargins="0"/>
  <colBreaks count="3" manualBreakCount="3">
    <brk id="5" max="1048575" man="1"/>
    <brk id="8" max="1048575" man="1"/>
    <brk id="11" max="1048575" man="1"/>
  </colBreaks>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0">
    <tabColor rgb="FF00B0F0"/>
    <pageSetUpPr autoPageBreaks="0"/>
  </sheetPr>
  <dimension ref="A1:Z96"/>
  <sheetViews>
    <sheetView showGridLines="0" topLeftCell="A20" workbookViewId="0">
      <selection activeCell="K22" sqref="K22"/>
    </sheetView>
  </sheetViews>
  <sheetFormatPr defaultColWidth="9.1796875" defaultRowHeight="13" x14ac:dyDescent="0.25"/>
  <cols>
    <col min="1" max="1" width="2.1796875" style="30" customWidth="1"/>
    <col min="2" max="2" width="26.81640625" style="30" customWidth="1"/>
    <col min="3" max="3" width="9.1796875" style="30"/>
    <col min="4" max="4" width="11.1796875" style="5" customWidth="1"/>
    <col min="5" max="5" width="9.81640625" style="30" bestFit="1" customWidth="1"/>
    <col min="6" max="6" width="9.1796875" style="30"/>
    <col min="7" max="7" width="10.1796875" style="5" customWidth="1"/>
    <col min="8" max="8" width="9.1796875" style="30"/>
    <col min="9" max="9" width="9.1796875" style="30" customWidth="1"/>
    <col min="10" max="10" width="14.1796875" style="5" customWidth="1"/>
    <col min="11" max="11" width="9.81640625" style="5" customWidth="1"/>
    <col min="12" max="12" width="9.1796875" style="30"/>
    <col min="13" max="13" width="23" style="5" customWidth="1"/>
    <col min="14" max="14" width="7.81640625" style="30" customWidth="1"/>
    <col min="15" max="15" width="21.1796875" style="5" customWidth="1"/>
    <col min="16" max="16" width="9.1796875" style="30"/>
    <col min="17" max="17" width="20.81640625" style="5" customWidth="1"/>
    <col min="18" max="18" width="9.1796875" style="30"/>
    <col min="19" max="19" width="16.1796875" style="5" customWidth="1"/>
    <col min="20" max="20" width="9.1796875" style="30"/>
    <col min="21" max="21" width="16" style="30" customWidth="1"/>
    <col min="22" max="16384" width="9.1796875" style="30"/>
  </cols>
  <sheetData>
    <row r="1" spans="1:21" x14ac:dyDescent="0.25">
      <c r="A1" s="164"/>
      <c r="B1" s="26"/>
      <c r="C1" s="26"/>
      <c r="D1" s="19"/>
      <c r="E1" s="26"/>
      <c r="F1" s="26"/>
      <c r="G1" s="19"/>
      <c r="H1" s="26"/>
      <c r="I1" s="26"/>
      <c r="J1" s="19"/>
      <c r="K1" s="19"/>
      <c r="L1" s="26"/>
      <c r="M1" s="19"/>
      <c r="N1" s="26"/>
      <c r="O1" s="19"/>
      <c r="P1" s="26"/>
      <c r="Q1" s="19"/>
      <c r="R1" s="26"/>
      <c r="S1" s="19"/>
      <c r="T1" s="26"/>
    </row>
    <row r="2" spans="1:21" x14ac:dyDescent="0.25">
      <c r="A2" s="26"/>
      <c r="B2" s="4582" t="s">
        <v>1110</v>
      </c>
      <c r="C2" s="4582"/>
      <c r="D2" s="4582"/>
      <c r="E2" s="10" t="s">
        <v>1973</v>
      </c>
      <c r="F2" s="10" t="s">
        <v>1823</v>
      </c>
      <c r="G2" s="10" t="s">
        <v>1065</v>
      </c>
      <c r="H2" s="26"/>
      <c r="I2" s="26"/>
      <c r="J2" s="3850" t="s">
        <v>891</v>
      </c>
      <c r="K2" s="3850"/>
      <c r="L2" s="26"/>
      <c r="M2" s="19"/>
      <c r="N2" s="26"/>
      <c r="O2" s="19"/>
      <c r="P2" s="26"/>
      <c r="Q2" s="19"/>
      <c r="R2" s="26"/>
      <c r="S2" s="19"/>
      <c r="T2" s="26"/>
    </row>
    <row r="3" spans="1:21" ht="13.75" customHeight="1" x14ac:dyDescent="0.25">
      <c r="A3" s="26"/>
      <c r="B3" s="4" t="s">
        <v>1541</v>
      </c>
      <c r="C3" s="4">
        <f t="shared" ref="C3:C10" si="0">E3*F3</f>
        <v>0</v>
      </c>
      <c r="D3" s="10" t="s">
        <v>1160</v>
      </c>
      <c r="E3" s="4">
        <f t="shared" ref="E3:E24" si="1">IF(G3&lt;&gt;0,VLOOKUP(G3,J$3:K$59,2,0),0)</f>
        <v>1</v>
      </c>
      <c r="F3" s="4">
        <f>Dike_Area_Input</f>
        <v>0</v>
      </c>
      <c r="G3" s="4" t="str">
        <f>Dike_Area_Units</f>
        <v>sq m</v>
      </c>
      <c r="H3" s="26"/>
      <c r="I3" s="26"/>
      <c r="J3" s="4" t="s">
        <v>893</v>
      </c>
      <c r="K3" s="4">
        <v>1E-3</v>
      </c>
      <c r="L3" s="26"/>
      <c r="M3" s="19" t="s">
        <v>1250</v>
      </c>
      <c r="N3" s="26"/>
      <c r="O3" s="19" t="s">
        <v>949</v>
      </c>
      <c r="P3" s="26"/>
      <c r="Q3" s="19" t="s">
        <v>1079</v>
      </c>
      <c r="R3" s="26"/>
      <c r="S3" s="19" t="s">
        <v>674</v>
      </c>
      <c r="T3" s="26"/>
    </row>
    <row r="4" spans="1:21" ht="13.75" customHeight="1" x14ac:dyDescent="0.25">
      <c r="A4" s="26"/>
      <c r="B4" s="4" t="s">
        <v>1750</v>
      </c>
      <c r="C4" s="4">
        <f t="shared" si="0"/>
        <v>0</v>
      </c>
      <c r="D4" s="10" t="s">
        <v>1497</v>
      </c>
      <c r="E4" s="4">
        <f t="shared" si="1"/>
        <v>1</v>
      </c>
      <c r="F4" s="4">
        <f>Flam_In_Area_Input</f>
        <v>0</v>
      </c>
      <c r="G4" s="4" t="str">
        <f>Flam_In_Area_Units</f>
        <v>kg</v>
      </c>
      <c r="H4" s="26"/>
      <c r="I4" s="26"/>
      <c r="J4" s="4" t="s">
        <v>512</v>
      </c>
      <c r="K4" s="4">
        <v>0.01</v>
      </c>
      <c r="L4" s="26"/>
      <c r="M4" s="4" t="s">
        <v>1264</v>
      </c>
      <c r="N4" s="26"/>
      <c r="O4" s="4" t="s">
        <v>950</v>
      </c>
      <c r="P4" s="26"/>
      <c r="Q4" s="4" t="s">
        <v>1067</v>
      </c>
      <c r="R4" s="26"/>
      <c r="S4" s="4" t="s">
        <v>140</v>
      </c>
      <c r="T4" s="26"/>
    </row>
    <row r="5" spans="1:21" x14ac:dyDescent="0.25">
      <c r="A5" s="26"/>
      <c r="B5" s="4" t="s">
        <v>2854</v>
      </c>
      <c r="C5" s="4">
        <f>E5*F5</f>
        <v>0</v>
      </c>
      <c r="D5" s="10" t="s">
        <v>1497</v>
      </c>
      <c r="E5" s="4">
        <f t="shared" si="1"/>
        <v>1</v>
      </c>
      <c r="F5" s="4">
        <f>Flam_Adjacent_Input</f>
        <v>0</v>
      </c>
      <c r="G5" s="4" t="str">
        <f>Flam_Adjacent_Units</f>
        <v>kg</v>
      </c>
      <c r="H5" s="26"/>
      <c r="I5" s="26"/>
      <c r="J5" s="4" t="s">
        <v>1068</v>
      </c>
      <c r="K5" s="4">
        <v>1</v>
      </c>
      <c r="L5" s="26"/>
      <c r="M5" s="4" t="s">
        <v>835</v>
      </c>
      <c r="N5" s="26"/>
      <c r="O5" s="4" t="s">
        <v>951</v>
      </c>
      <c r="P5" s="26"/>
      <c r="Q5" s="4" t="s">
        <v>403</v>
      </c>
      <c r="R5" s="26"/>
      <c r="S5" s="4" t="s">
        <v>139</v>
      </c>
      <c r="T5" s="26"/>
    </row>
    <row r="6" spans="1:21" x14ac:dyDescent="0.25">
      <c r="A6" s="26"/>
      <c r="B6" s="1144" t="s">
        <v>2864</v>
      </c>
      <c r="C6" s="4">
        <f t="shared" si="0"/>
        <v>0</v>
      </c>
      <c r="D6" s="10" t="s">
        <v>1160</v>
      </c>
      <c r="E6" s="4">
        <f t="shared" si="1"/>
        <v>1</v>
      </c>
      <c r="F6" s="1144">
        <f>Adjacent_Dike_Area</f>
        <v>0</v>
      </c>
      <c r="G6" s="4" t="str">
        <f>Adjacent_Dike_Units</f>
        <v>sq m</v>
      </c>
      <c r="H6" s="26"/>
      <c r="I6" s="26"/>
      <c r="J6" s="4" t="s">
        <v>894</v>
      </c>
      <c r="K6" s="4">
        <v>2.5399999999999999E-2</v>
      </c>
      <c r="L6" s="26"/>
      <c r="M6" s="19"/>
      <c r="N6" s="26"/>
      <c r="O6" s="19"/>
      <c r="P6" s="26"/>
      <c r="Q6" s="4" t="s">
        <v>967</v>
      </c>
      <c r="R6" s="26"/>
      <c r="S6" s="4" t="s">
        <v>141</v>
      </c>
      <c r="T6" s="26"/>
    </row>
    <row r="7" spans="1:21" x14ac:dyDescent="0.25">
      <c r="A7" s="26"/>
      <c r="B7" s="4" t="s">
        <v>688</v>
      </c>
      <c r="C7" s="4">
        <f t="shared" si="0"/>
        <v>0</v>
      </c>
      <c r="D7" s="10" t="s">
        <v>1161</v>
      </c>
      <c r="E7" s="4">
        <f t="shared" si="1"/>
        <v>1</v>
      </c>
      <c r="F7" s="4">
        <f>Enclosed_Process_Volume_Input</f>
        <v>0</v>
      </c>
      <c r="G7" s="4" t="str">
        <f>Enclosed_Process_Volume_Units</f>
        <v>cu m</v>
      </c>
      <c r="H7" s="26"/>
      <c r="I7" s="26"/>
      <c r="J7" s="4" t="s">
        <v>892</v>
      </c>
      <c r="K7" s="4">
        <v>0.30480000000000002</v>
      </c>
      <c r="L7" s="26"/>
      <c r="M7" s="19" t="s">
        <v>836</v>
      </c>
      <c r="N7" s="26"/>
      <c r="O7" s="19" t="s">
        <v>952</v>
      </c>
      <c r="P7" s="26"/>
      <c r="Q7" s="4" t="s">
        <v>968</v>
      </c>
      <c r="R7" s="26"/>
      <c r="S7" s="4" t="s">
        <v>137</v>
      </c>
      <c r="T7" s="26"/>
    </row>
    <row r="8" spans="1:21" x14ac:dyDescent="0.25">
      <c r="A8" s="26"/>
      <c r="B8" s="4" t="s">
        <v>307</v>
      </c>
      <c r="C8" s="4">
        <f t="shared" si="0"/>
        <v>0</v>
      </c>
      <c r="D8" s="10" t="s">
        <v>1068</v>
      </c>
      <c r="E8" s="4">
        <f t="shared" si="1"/>
        <v>1</v>
      </c>
      <c r="F8" s="4">
        <f>Public_Input</f>
        <v>0</v>
      </c>
      <c r="G8" s="4" t="str">
        <f>Public_Units</f>
        <v>m</v>
      </c>
      <c r="H8" s="26"/>
      <c r="I8" s="26"/>
      <c r="J8" s="4" t="s">
        <v>1496</v>
      </c>
      <c r="K8" s="4">
        <v>1E-3</v>
      </c>
      <c r="L8" s="26"/>
      <c r="M8" s="4" t="s">
        <v>837</v>
      </c>
      <c r="N8" s="26"/>
      <c r="O8" s="4" t="s">
        <v>1042</v>
      </c>
      <c r="P8" s="26"/>
      <c r="Q8" s="19"/>
      <c r="R8" s="26"/>
      <c r="S8" s="19"/>
      <c r="T8" s="26"/>
      <c r="U8"/>
    </row>
    <row r="9" spans="1:21" x14ac:dyDescent="0.25">
      <c r="A9" s="26"/>
      <c r="B9" s="4" t="s">
        <v>3080</v>
      </c>
      <c r="C9" s="4">
        <f t="shared" si="0"/>
        <v>0</v>
      </c>
      <c r="D9" s="10" t="s">
        <v>1068</v>
      </c>
      <c r="E9" s="4">
        <f t="shared" si="1"/>
        <v>1</v>
      </c>
      <c r="F9" s="4">
        <f>Public2_Input</f>
        <v>0</v>
      </c>
      <c r="G9" s="4" t="str">
        <f>Public2_Units</f>
        <v>m</v>
      </c>
      <c r="H9" s="26"/>
      <c r="I9" s="26"/>
      <c r="J9" s="4" t="s">
        <v>169</v>
      </c>
      <c r="K9" s="4">
        <v>3.7854120000000002E-3</v>
      </c>
      <c r="L9" s="26"/>
      <c r="M9" s="4" t="s">
        <v>752</v>
      </c>
      <c r="N9" s="26"/>
      <c r="O9" s="4" t="s">
        <v>1043</v>
      </c>
      <c r="P9" s="26"/>
      <c r="Q9" s="19" t="s">
        <v>1080</v>
      </c>
      <c r="R9" s="26"/>
      <c r="S9" s="19" t="s">
        <v>675</v>
      </c>
      <c r="T9" s="26"/>
      <c r="U9"/>
    </row>
    <row r="10" spans="1:21" x14ac:dyDescent="0.25">
      <c r="A10" s="26"/>
      <c r="B10" s="4" t="s">
        <v>3527</v>
      </c>
      <c r="C10" s="4">
        <f t="shared" si="0"/>
        <v>0</v>
      </c>
      <c r="D10" s="10" t="s">
        <v>1068</v>
      </c>
      <c r="E10" s="4">
        <f t="shared" si="1"/>
        <v>1</v>
      </c>
      <c r="F10" s="1677">
        <f>Zone1_Input</f>
        <v>0</v>
      </c>
      <c r="G10" s="1677" t="str">
        <f>Zone1_Units</f>
        <v>m</v>
      </c>
      <c r="H10" s="26"/>
      <c r="I10" s="26"/>
      <c r="J10" s="4" t="s">
        <v>895</v>
      </c>
      <c r="K10" s="4">
        <v>2.8316850000000001E-2</v>
      </c>
      <c r="L10" s="26"/>
      <c r="M10" s="4" t="s">
        <v>838</v>
      </c>
      <c r="N10" s="26"/>
      <c r="O10" s="4" t="s">
        <v>1044</v>
      </c>
      <c r="P10" s="26"/>
      <c r="Q10" s="4" t="s">
        <v>894</v>
      </c>
      <c r="R10" s="26"/>
      <c r="S10" s="4" t="s">
        <v>140</v>
      </c>
      <c r="T10" s="26"/>
      <c r="U10"/>
    </row>
    <row r="11" spans="1:21" x14ac:dyDescent="0.25">
      <c r="A11" s="26"/>
      <c r="B11" s="4" t="s">
        <v>2466</v>
      </c>
      <c r="C11" s="4">
        <f t="shared" ref="C11:C16" si="2">E11*F11</f>
        <v>0</v>
      </c>
      <c r="D11" s="10" t="s">
        <v>1068</v>
      </c>
      <c r="E11" s="4">
        <f t="shared" si="1"/>
        <v>1</v>
      </c>
      <c r="F11" s="4">
        <f>Occ_Bldg_Cntr_Input</f>
        <v>0</v>
      </c>
      <c r="G11" s="4" t="str">
        <f>Occ_Bldg_Cntr_Units</f>
        <v>m</v>
      </c>
      <c r="H11" s="26"/>
      <c r="I11" s="26"/>
      <c r="J11" s="4" t="s">
        <v>1161</v>
      </c>
      <c r="K11" s="4">
        <v>1</v>
      </c>
      <c r="L11" s="26"/>
      <c r="M11" s="19"/>
      <c r="N11" s="26"/>
      <c r="O11" s="4" t="s">
        <v>3224</v>
      </c>
      <c r="P11" s="26"/>
      <c r="Q11" s="4" t="s">
        <v>512</v>
      </c>
      <c r="R11" s="26"/>
      <c r="S11" s="4" t="s">
        <v>138</v>
      </c>
      <c r="T11" s="26"/>
      <c r="U11"/>
    </row>
    <row r="12" spans="1:21" x14ac:dyDescent="0.25">
      <c r="A12" s="26"/>
      <c r="B12" s="481" t="s">
        <v>2240</v>
      </c>
      <c r="C12" s="4">
        <f t="shared" si="2"/>
        <v>0</v>
      </c>
      <c r="D12" s="480" t="s">
        <v>1068</v>
      </c>
      <c r="E12" s="4">
        <f t="shared" si="1"/>
        <v>1</v>
      </c>
      <c r="F12" s="479">
        <f>OccBldg_Elevation_Input</f>
        <v>0</v>
      </c>
      <c r="G12" s="4" t="str">
        <f>OccBldg_Elevation_Units</f>
        <v>m</v>
      </c>
      <c r="H12" s="26"/>
      <c r="I12" s="26"/>
      <c r="J12" s="4" t="s">
        <v>1160</v>
      </c>
      <c r="K12" s="4">
        <v>1</v>
      </c>
      <c r="L12" s="26"/>
      <c r="M12" s="19" t="s">
        <v>680</v>
      </c>
      <c r="N12" s="26"/>
      <c r="O12" s="4" t="s">
        <v>1751</v>
      </c>
      <c r="P12" s="26"/>
      <c r="Q12" s="4" t="s">
        <v>893</v>
      </c>
      <c r="R12" s="26"/>
      <c r="S12" s="4" t="s">
        <v>137</v>
      </c>
      <c r="T12" s="26"/>
      <c r="U12"/>
    </row>
    <row r="13" spans="1:21" x14ac:dyDescent="0.25">
      <c r="A13" s="26"/>
      <c r="B13" s="4" t="s">
        <v>506</v>
      </c>
      <c r="C13" s="4">
        <f t="shared" si="2"/>
        <v>0</v>
      </c>
      <c r="D13" s="10" t="s">
        <v>1068</v>
      </c>
      <c r="E13" s="4">
        <f t="shared" si="1"/>
        <v>1</v>
      </c>
      <c r="F13" s="4">
        <f>Occ_Bldg_Input</f>
        <v>0</v>
      </c>
      <c r="G13" s="4" t="str">
        <f>Occ_Bldg_Units</f>
        <v>m</v>
      </c>
      <c r="H13" s="26"/>
      <c r="I13" s="26"/>
      <c r="J13" s="4" t="s">
        <v>969</v>
      </c>
      <c r="K13" s="4">
        <v>9.2903040000000006E-2</v>
      </c>
      <c r="L13" s="26"/>
      <c r="M13" s="4" t="s">
        <v>3048</v>
      </c>
      <c r="N13" s="26"/>
      <c r="O13" s="19"/>
      <c r="P13" s="26"/>
      <c r="Q13" s="19"/>
      <c r="R13" s="26"/>
      <c r="S13" s="19"/>
      <c r="T13" s="26"/>
      <c r="U13" s="30" t="s">
        <v>3494</v>
      </c>
    </row>
    <row r="14" spans="1:21" x14ac:dyDescent="0.25">
      <c r="A14" s="26"/>
      <c r="B14" s="4" t="s">
        <v>627</v>
      </c>
      <c r="C14" s="4">
        <f t="shared" si="2"/>
        <v>0</v>
      </c>
      <c r="D14" s="10" t="s">
        <v>1068</v>
      </c>
      <c r="E14" s="4">
        <f t="shared" si="1"/>
        <v>1</v>
      </c>
      <c r="F14" s="4">
        <f>Occ_Bldg2_Input</f>
        <v>0</v>
      </c>
      <c r="G14" s="4" t="str">
        <f>Occ_Bldg2_Units</f>
        <v>m</v>
      </c>
      <c r="H14" s="26"/>
      <c r="I14" s="26"/>
      <c r="J14" s="4" t="s">
        <v>1067</v>
      </c>
      <c r="K14" s="4">
        <v>1</v>
      </c>
      <c r="L14" s="26"/>
      <c r="M14" s="4" t="s">
        <v>285</v>
      </c>
      <c r="N14" s="26"/>
      <c r="O14" s="19" t="s">
        <v>451</v>
      </c>
      <c r="P14" s="26"/>
      <c r="Q14" s="19" t="s">
        <v>1385</v>
      </c>
      <c r="R14" s="26"/>
      <c r="S14" s="19" t="s">
        <v>2337</v>
      </c>
      <c r="T14" s="26"/>
      <c r="U14" s="1678" t="s">
        <v>1382</v>
      </c>
    </row>
    <row r="15" spans="1:21" ht="15" customHeight="1" x14ac:dyDescent="0.25">
      <c r="A15" s="26"/>
      <c r="B15" s="691" t="s">
        <v>2469</v>
      </c>
      <c r="C15" s="4">
        <f t="shared" si="2"/>
        <v>0</v>
      </c>
      <c r="D15" s="10" t="s">
        <v>1068</v>
      </c>
      <c r="E15" s="4">
        <f t="shared" si="1"/>
        <v>1</v>
      </c>
      <c r="F15" s="691">
        <f>OccBldg2_Elevation_Input</f>
        <v>0</v>
      </c>
      <c r="G15" s="4" t="str">
        <f>OccBldg2_Elevation_Units</f>
        <v>m</v>
      </c>
      <c r="H15" s="26"/>
      <c r="I15" s="26"/>
      <c r="J15" s="4" t="s">
        <v>403</v>
      </c>
      <c r="K15" s="4">
        <v>0.98692329999999995</v>
      </c>
      <c r="L15" s="26"/>
      <c r="M15" s="4" t="s">
        <v>1955</v>
      </c>
      <c r="N15" s="26"/>
      <c r="O15" s="4" t="s">
        <v>452</v>
      </c>
      <c r="P15" s="26"/>
      <c r="Q15" s="4" t="s">
        <v>289</v>
      </c>
      <c r="R15" s="26"/>
      <c r="S15" s="4" t="s">
        <v>140</v>
      </c>
      <c r="T15" s="26"/>
      <c r="U15" s="1678" t="s">
        <v>289</v>
      </c>
    </row>
    <row r="16" spans="1:21" ht="15" customHeight="1" x14ac:dyDescent="0.25">
      <c r="A16" s="26"/>
      <c r="B16" s="691" t="s">
        <v>2475</v>
      </c>
      <c r="C16" s="4">
        <f t="shared" si="2"/>
        <v>0</v>
      </c>
      <c r="D16" s="10" t="s">
        <v>1068</v>
      </c>
      <c r="E16" s="4">
        <f t="shared" si="1"/>
        <v>1</v>
      </c>
      <c r="F16" s="691">
        <f>Occ_Bldg2_Cntr_Input</f>
        <v>0</v>
      </c>
      <c r="G16" s="4" t="str">
        <f>Occ_Bldg2_Cntr_Units</f>
        <v>m</v>
      </c>
      <c r="H16" s="26"/>
      <c r="I16" s="26"/>
      <c r="J16" s="4" t="s">
        <v>967</v>
      </c>
      <c r="K16" s="4">
        <v>9.8692329999999998E-3</v>
      </c>
      <c r="L16" s="26"/>
      <c r="M16" s="4" t="s">
        <v>1956</v>
      </c>
      <c r="N16" s="26"/>
      <c r="O16" s="4" t="s">
        <v>1612</v>
      </c>
      <c r="P16" s="26"/>
      <c r="Q16" s="4" t="s">
        <v>1382</v>
      </c>
      <c r="R16" s="26"/>
      <c r="S16" s="4" t="s">
        <v>138</v>
      </c>
      <c r="T16" s="26"/>
      <c r="U16" s="1678" t="s">
        <v>3495</v>
      </c>
    </row>
    <row r="17" spans="1:21" x14ac:dyDescent="0.25">
      <c r="A17" s="26"/>
      <c r="B17" s="479" t="s">
        <v>2233</v>
      </c>
      <c r="C17" s="4">
        <f>IF(WorkArea_Elevation_Input&lt;&gt;"",E17*F17,1.2)</f>
        <v>1.2</v>
      </c>
      <c r="D17" s="480" t="s">
        <v>1068</v>
      </c>
      <c r="E17" s="4">
        <f t="shared" si="1"/>
        <v>1</v>
      </c>
      <c r="F17" s="479">
        <f>WorkArea_Elevation_Input</f>
        <v>0</v>
      </c>
      <c r="G17" s="4" t="str">
        <f>WorkArea_Elevation_Units</f>
        <v>m</v>
      </c>
      <c r="H17" s="26"/>
      <c r="I17" s="26"/>
      <c r="J17" s="4" t="s">
        <v>968</v>
      </c>
      <c r="K17" s="4">
        <v>6.8045960000000003E-2</v>
      </c>
      <c r="L17" s="26"/>
      <c r="M17" s="4" t="s">
        <v>1957</v>
      </c>
      <c r="N17" s="26"/>
      <c r="O17" s="4" t="s">
        <v>1721</v>
      </c>
      <c r="P17" s="26"/>
      <c r="Q17" s="4" t="s">
        <v>1386</v>
      </c>
      <c r="R17" s="26"/>
      <c r="S17" s="4" t="s">
        <v>137</v>
      </c>
      <c r="T17" s="26"/>
      <c r="U17" s="1678" t="s">
        <v>3496</v>
      </c>
    </row>
    <row r="18" spans="1:21" x14ac:dyDescent="0.25">
      <c r="A18" s="26"/>
      <c r="B18" s="479" t="s">
        <v>3085</v>
      </c>
      <c r="C18" s="4">
        <f t="shared" ref="C18:C24" si="3">E18*F18</f>
        <v>0</v>
      </c>
      <c r="D18" s="480" t="s">
        <v>1068</v>
      </c>
      <c r="E18" s="4">
        <f t="shared" si="1"/>
        <v>1</v>
      </c>
      <c r="F18" s="479">
        <f>WorkArea_Distance_Input</f>
        <v>0</v>
      </c>
      <c r="G18" s="4" t="str">
        <f>WorkArea_Distance_Units</f>
        <v>m</v>
      </c>
      <c r="H18" s="26"/>
      <c r="I18" s="26"/>
      <c r="J18" s="4" t="s">
        <v>1745</v>
      </c>
      <c r="K18" s="4">
        <v>1.3158E-3</v>
      </c>
      <c r="L18" s="26"/>
      <c r="M18" s="19"/>
      <c r="N18" s="26"/>
      <c r="O18" s="19"/>
      <c r="P18" s="26"/>
      <c r="Q18" s="19"/>
      <c r="R18" s="26"/>
      <c r="S18" s="19"/>
      <c r="T18" s="26"/>
    </row>
    <row r="19" spans="1:21" x14ac:dyDescent="0.25">
      <c r="A19" s="26"/>
      <c r="B19" s="479" t="s">
        <v>3086</v>
      </c>
      <c r="C19" s="4">
        <f t="shared" si="3"/>
        <v>0</v>
      </c>
      <c r="D19" s="480" t="s">
        <v>1068</v>
      </c>
      <c r="E19" s="4">
        <f t="shared" si="1"/>
        <v>1</v>
      </c>
      <c r="F19" s="479">
        <f>WorkArea_Distance2_Input</f>
        <v>0</v>
      </c>
      <c r="G19" s="4" t="str">
        <f>WorkArea_Distance2_Units</f>
        <v>m</v>
      </c>
      <c r="H19" s="26"/>
      <c r="I19" s="26"/>
      <c r="J19" s="4" t="s">
        <v>1892</v>
      </c>
      <c r="K19" s="4">
        <v>1</v>
      </c>
      <c r="L19" s="26"/>
      <c r="M19" s="19" t="s">
        <v>1958</v>
      </c>
      <c r="N19" s="26"/>
      <c r="O19" s="19"/>
      <c r="P19" s="26"/>
      <c r="Q19" s="19" t="s">
        <v>1652</v>
      </c>
      <c r="R19" s="26"/>
      <c r="S19" s="19" t="s">
        <v>676</v>
      </c>
      <c r="T19" s="26"/>
      <c r="U19" s="19" t="s">
        <v>3476</v>
      </c>
    </row>
    <row r="20" spans="1:21" x14ac:dyDescent="0.25">
      <c r="A20" s="26"/>
      <c r="B20" s="479" t="s">
        <v>3334</v>
      </c>
      <c r="C20" s="4">
        <f t="shared" si="3"/>
        <v>0</v>
      </c>
      <c r="D20" s="480" t="s">
        <v>1068</v>
      </c>
      <c r="E20" s="4">
        <f t="shared" si="1"/>
        <v>1</v>
      </c>
      <c r="F20" s="479">
        <f>Public_Relief_Input</f>
        <v>0</v>
      </c>
      <c r="G20" s="4" t="str">
        <f>Public_Relief_Units</f>
        <v>m</v>
      </c>
      <c r="H20" s="26"/>
      <c r="I20" s="26"/>
      <c r="J20" s="4" t="s">
        <v>261</v>
      </c>
      <c r="K20" s="4">
        <v>0.74569989999999997</v>
      </c>
      <c r="L20" s="26"/>
      <c r="M20" s="4" t="s">
        <v>289</v>
      </c>
      <c r="N20" s="26"/>
      <c r="O20" s="19" t="s">
        <v>1074</v>
      </c>
      <c r="P20" s="26"/>
      <c r="Q20" s="4" t="s">
        <v>1454</v>
      </c>
      <c r="R20" s="26"/>
      <c r="S20" s="4" t="s">
        <v>1765</v>
      </c>
      <c r="T20" s="26"/>
      <c r="U20" s="4" t="s">
        <v>3493</v>
      </c>
    </row>
    <row r="21" spans="1:21" x14ac:dyDescent="0.25">
      <c r="A21" s="26"/>
      <c r="B21" s="479" t="s">
        <v>3335</v>
      </c>
      <c r="C21" s="4">
        <f t="shared" si="3"/>
        <v>0</v>
      </c>
      <c r="D21" s="480" t="s">
        <v>1068</v>
      </c>
      <c r="E21" s="4">
        <f t="shared" si="1"/>
        <v>1</v>
      </c>
      <c r="F21" s="479">
        <f>Occ_Bldg_Relief_Input</f>
        <v>0</v>
      </c>
      <c r="G21" s="4" t="str">
        <f>Occ_Bldg_Relief_Units</f>
        <v>m</v>
      </c>
      <c r="H21" s="26"/>
      <c r="I21" s="26"/>
      <c r="J21" s="4" t="s">
        <v>825</v>
      </c>
      <c r="K21" s="4">
        <v>2.9281039999999998E-4</v>
      </c>
      <c r="L21" s="26"/>
      <c r="M21" s="4" t="s">
        <v>1382</v>
      </c>
      <c r="N21" s="26"/>
      <c r="O21" s="4" t="s">
        <v>1160</v>
      </c>
      <c r="P21" s="26"/>
      <c r="Q21" s="4" t="s">
        <v>1469</v>
      </c>
      <c r="R21" s="26"/>
      <c r="S21" s="4" t="s">
        <v>1009</v>
      </c>
      <c r="T21" s="26"/>
      <c r="U21" s="4" t="s">
        <v>3477</v>
      </c>
    </row>
    <row r="22" spans="1:21" x14ac:dyDescent="0.25">
      <c r="A22" s="26"/>
      <c r="B22" s="479" t="s">
        <v>3336</v>
      </c>
      <c r="C22" s="4">
        <f t="shared" si="3"/>
        <v>0</v>
      </c>
      <c r="D22" s="480" t="s">
        <v>1068</v>
      </c>
      <c r="E22" s="4">
        <f t="shared" si="1"/>
        <v>0</v>
      </c>
      <c r="F22" s="479">
        <f>Occ_Bldg2_Relief_Input</f>
        <v>0</v>
      </c>
      <c r="G22" s="4">
        <f>Occ_Bldg2_Relief_Units</f>
        <v>0</v>
      </c>
      <c r="H22" s="26"/>
      <c r="I22" s="26"/>
      <c r="J22" s="4" t="s">
        <v>1454</v>
      </c>
      <c r="K22" s="4">
        <v>1</v>
      </c>
      <c r="L22" s="26"/>
      <c r="M22" s="19"/>
      <c r="N22" s="26"/>
      <c r="O22" s="4" t="s">
        <v>969</v>
      </c>
      <c r="P22" s="26"/>
      <c r="Q22" s="4" t="s">
        <v>415</v>
      </c>
      <c r="R22" s="26"/>
      <c r="S22" s="4" t="s">
        <v>1615</v>
      </c>
      <c r="T22" s="26"/>
      <c r="U22" s="4" t="s">
        <v>3478</v>
      </c>
    </row>
    <row r="23" spans="1:21" x14ac:dyDescent="0.25">
      <c r="A23" s="26"/>
      <c r="B23" s="479" t="s">
        <v>3341</v>
      </c>
      <c r="C23" s="4">
        <f t="shared" si="3"/>
        <v>0</v>
      </c>
      <c r="D23" s="480" t="s">
        <v>1068</v>
      </c>
      <c r="E23" s="4">
        <f t="shared" si="1"/>
        <v>0</v>
      </c>
      <c r="F23" s="479">
        <f>Occ_Bldg_Cntr_Relief_Input</f>
        <v>0</v>
      </c>
      <c r="G23" s="4">
        <f>Occ_Bldg_Cntr_Relief_Units</f>
        <v>0</v>
      </c>
      <c r="H23" s="26"/>
      <c r="I23" s="26"/>
      <c r="J23" s="4" t="s">
        <v>1469</v>
      </c>
      <c r="K23" s="4">
        <v>1.1620000000000001E-3</v>
      </c>
      <c r="L23" s="26"/>
      <c r="M23" s="19" t="s">
        <v>1866</v>
      </c>
      <c r="N23" s="26"/>
      <c r="O23" s="19"/>
      <c r="P23" s="26"/>
      <c r="Q23" s="19"/>
      <c r="R23" s="26"/>
      <c r="S23" s="1674" t="s">
        <v>3485</v>
      </c>
      <c r="T23" s="26"/>
      <c r="U23" s="4" t="s">
        <v>3479</v>
      </c>
    </row>
    <row r="24" spans="1:21" x14ac:dyDescent="0.25">
      <c r="A24" s="26"/>
      <c r="B24" s="479" t="s">
        <v>3342</v>
      </c>
      <c r="C24" s="4">
        <f t="shared" si="3"/>
        <v>0</v>
      </c>
      <c r="D24" s="480" t="s">
        <v>1068</v>
      </c>
      <c r="E24" s="4">
        <f t="shared" si="1"/>
        <v>0</v>
      </c>
      <c r="F24" s="479">
        <f>Occ_Bldg2_Cntr_Relief_Input</f>
        <v>0</v>
      </c>
      <c r="G24" s="4">
        <f>Occ_Bldg2_Cntr_Relief_Units</f>
        <v>0</v>
      </c>
      <c r="H24" s="26"/>
      <c r="I24" s="26"/>
      <c r="J24" s="4" t="s">
        <v>415</v>
      </c>
      <c r="K24" s="4">
        <v>5.6782600000000001E-3</v>
      </c>
      <c r="L24" s="26"/>
      <c r="M24" s="4" t="s">
        <v>1867</v>
      </c>
      <c r="N24" s="26"/>
      <c r="O24" s="19" t="s">
        <v>1075</v>
      </c>
      <c r="P24" s="26"/>
      <c r="Q24" s="19" t="s">
        <v>1162</v>
      </c>
      <c r="R24" s="26"/>
      <c r="S24" s="1674" t="s">
        <v>3486</v>
      </c>
      <c r="T24" s="26"/>
    </row>
    <row r="25" spans="1:21" x14ac:dyDescent="0.25">
      <c r="A25" s="26"/>
      <c r="B25" s="26"/>
      <c r="C25" s="26"/>
      <c r="D25" s="19"/>
      <c r="E25" s="26"/>
      <c r="F25" s="26"/>
      <c r="G25" s="19"/>
      <c r="H25" s="26"/>
      <c r="I25" s="26"/>
      <c r="J25" s="4" t="s">
        <v>1761</v>
      </c>
      <c r="K25" s="4">
        <v>1</v>
      </c>
      <c r="L25" s="26"/>
      <c r="M25" s="4" t="s">
        <v>1220</v>
      </c>
      <c r="N25" s="26"/>
      <c r="O25" s="4" t="s">
        <v>1497</v>
      </c>
      <c r="P25" s="26"/>
      <c r="Q25" s="4" t="s">
        <v>1836</v>
      </c>
      <c r="R25" s="26"/>
      <c r="S25" s="1674" t="s">
        <v>3484</v>
      </c>
      <c r="T25" s="26"/>
    </row>
    <row r="26" spans="1:21" x14ac:dyDescent="0.25">
      <c r="A26" s="26"/>
      <c r="B26" s="4582" t="s">
        <v>1494</v>
      </c>
      <c r="C26" s="3771"/>
      <c r="D26" s="3771"/>
      <c r="E26" s="10" t="s">
        <v>1973</v>
      </c>
      <c r="F26" s="10" t="s">
        <v>1823</v>
      </c>
      <c r="G26" s="10" t="s">
        <v>1065</v>
      </c>
      <c r="H26" s="26"/>
      <c r="I26" s="26"/>
      <c r="J26" s="4" t="s">
        <v>264</v>
      </c>
      <c r="K26" s="4">
        <v>0.2388459</v>
      </c>
      <c r="L26" s="26"/>
      <c r="M26" s="4" t="s">
        <v>1499</v>
      </c>
      <c r="N26" s="26"/>
      <c r="O26" s="4" t="s">
        <v>1105</v>
      </c>
      <c r="P26" s="26"/>
      <c r="Q26" s="4" t="s">
        <v>1707</v>
      </c>
      <c r="R26" s="26"/>
      <c r="S26" s="19"/>
      <c r="T26" s="26"/>
    </row>
    <row r="27" spans="1:21" x14ac:dyDescent="0.25">
      <c r="A27" s="26"/>
      <c r="B27" s="4" t="s">
        <v>1006</v>
      </c>
      <c r="C27" s="4">
        <f>E27*F27</f>
        <v>0</v>
      </c>
      <c r="D27" s="10" t="s">
        <v>1496</v>
      </c>
      <c r="E27" s="4">
        <f>IF(G27&lt;&gt;0,1000*VLOOKUP(G27,J$3:K$59,2,0),0)</f>
        <v>1</v>
      </c>
      <c r="F27" s="4">
        <f>Equipment_Volume</f>
        <v>0</v>
      </c>
      <c r="G27" s="4" t="str">
        <f>Volume_Units</f>
        <v>liter</v>
      </c>
      <c r="H27" s="26"/>
      <c r="I27" s="26"/>
      <c r="J27" s="4" t="s">
        <v>1467</v>
      </c>
      <c r="K27" s="4">
        <v>0.25199579999999999</v>
      </c>
      <c r="L27" s="26"/>
      <c r="M27" s="4" t="s">
        <v>357</v>
      </c>
      <c r="N27" s="26"/>
      <c r="O27" s="1312" t="s">
        <v>169</v>
      </c>
      <c r="P27" s="26"/>
      <c r="Q27" s="19"/>
      <c r="R27" s="26"/>
      <c r="S27" s="19"/>
      <c r="T27" s="26"/>
    </row>
    <row r="28" spans="1:21" x14ac:dyDescent="0.25">
      <c r="A28" s="26"/>
      <c r="B28" s="2328" t="s">
        <v>4568</v>
      </c>
      <c r="C28" s="2328">
        <f>IF(Pump_V_Input&lt;&gt;"",Pump_V_Input,Pump_V_Est)</f>
        <v>0</v>
      </c>
      <c r="D28" s="10" t="s">
        <v>1496</v>
      </c>
      <c r="E28" s="2328"/>
      <c r="F28" s="2328"/>
      <c r="G28" s="2328"/>
      <c r="H28" s="26"/>
      <c r="I28" s="26"/>
      <c r="J28" s="4" t="s">
        <v>1907</v>
      </c>
      <c r="K28" s="4">
        <v>1</v>
      </c>
      <c r="L28" s="26"/>
      <c r="M28" s="4" t="s">
        <v>356</v>
      </c>
      <c r="N28" s="26"/>
      <c r="O28" s="1312" t="s">
        <v>1496</v>
      </c>
      <c r="P28" s="26"/>
      <c r="Q28" s="19" t="s">
        <v>1163</v>
      </c>
      <c r="R28" s="26"/>
      <c r="S28" s="19" t="s">
        <v>677</v>
      </c>
      <c r="T28" s="26"/>
    </row>
    <row r="29" spans="1:21" x14ac:dyDescent="0.25">
      <c r="A29" s="26"/>
      <c r="B29" s="2328" t="s">
        <v>4569</v>
      </c>
      <c r="C29" s="2328">
        <f>IF(Pump_S_Input&lt;&gt;"",Pump_S_Input,Pump_S_Est)</f>
        <v>0</v>
      </c>
      <c r="D29" s="10" t="s">
        <v>1160</v>
      </c>
      <c r="E29" s="2328"/>
      <c r="F29" s="2328"/>
      <c r="G29" s="2328"/>
      <c r="H29" s="26"/>
      <c r="I29" s="26"/>
      <c r="J29" s="343" t="s">
        <v>2164</v>
      </c>
      <c r="K29" s="343">
        <v>1</v>
      </c>
      <c r="L29" s="26"/>
      <c r="M29" s="4" t="s">
        <v>1477</v>
      </c>
      <c r="N29" s="26"/>
      <c r="O29" s="4" t="s">
        <v>1161</v>
      </c>
      <c r="P29" s="26"/>
      <c r="Q29" s="4" t="s">
        <v>261</v>
      </c>
      <c r="R29" s="26"/>
      <c r="S29" s="4">
        <v>0</v>
      </c>
      <c r="T29" s="26"/>
    </row>
    <row r="30" spans="1:21" x14ac:dyDescent="0.25">
      <c r="A30" s="26"/>
      <c r="B30" s="4" t="s">
        <v>1495</v>
      </c>
      <c r="C30" s="4">
        <f>E30*F30</f>
        <v>0</v>
      </c>
      <c r="D30" s="10" t="s">
        <v>1067</v>
      </c>
      <c r="E30" s="4">
        <f t="shared" ref="E30:E38" si="4">IF(G30&lt;&gt;0,VLOOKUP(G30,J$3:K$59,2,0),0)</f>
        <v>0.98692329999999995</v>
      </c>
      <c r="F30" s="4">
        <f>MAWP_Input</f>
        <v>0</v>
      </c>
      <c r="G30" s="4" t="str">
        <f>MAWP_Units</f>
        <v>bar</v>
      </c>
      <c r="H30" s="26"/>
      <c r="I30" s="26"/>
      <c r="J30" s="343" t="s">
        <v>2163</v>
      </c>
      <c r="K30" s="343">
        <v>1E-3</v>
      </c>
      <c r="L30" s="26"/>
      <c r="M30" s="4" t="s">
        <v>1222</v>
      </c>
      <c r="N30" s="26"/>
      <c r="O30" s="4" t="s">
        <v>895</v>
      </c>
      <c r="P30" s="26"/>
      <c r="Q30" s="4" t="s">
        <v>1892</v>
      </c>
      <c r="R30" s="26"/>
      <c r="S30" s="4">
        <v>1</v>
      </c>
      <c r="T30" s="26"/>
    </row>
    <row r="31" spans="1:21" x14ac:dyDescent="0.25">
      <c r="A31" s="26"/>
      <c r="B31" s="4" t="s">
        <v>3555</v>
      </c>
      <c r="C31" s="4">
        <f>IF(Failure_T_Input="",Failure_T_Default,IF(G31="F",(F31-32)/1.8,F31))</f>
        <v>600</v>
      </c>
      <c r="D31" s="10" t="s">
        <v>1836</v>
      </c>
      <c r="E31" s="518"/>
      <c r="F31" s="518">
        <f>Failure_T_Input</f>
        <v>0</v>
      </c>
      <c r="G31" s="4" t="str">
        <f>Failure_T_Units</f>
        <v>C</v>
      </c>
      <c r="H31" s="26"/>
      <c r="I31" s="26"/>
      <c r="J31" s="4" t="s">
        <v>1744</v>
      </c>
      <c r="K31" s="4">
        <v>1E-3</v>
      </c>
      <c r="L31" s="26"/>
      <c r="M31" s="4" t="s">
        <v>2033</v>
      </c>
      <c r="N31" s="26"/>
      <c r="O31" s="19"/>
      <c r="P31" s="26"/>
      <c r="Q31" s="4" t="s">
        <v>825</v>
      </c>
      <c r="R31" s="26"/>
      <c r="S31" s="4">
        <v>2</v>
      </c>
      <c r="T31" s="26"/>
    </row>
    <row r="32" spans="1:21" x14ac:dyDescent="0.25">
      <c r="A32" s="26"/>
      <c r="B32" s="4" t="s">
        <v>3583</v>
      </c>
      <c r="C32" s="4">
        <f>IF(G32="F",(F32-32)/1.8,F32)</f>
        <v>0</v>
      </c>
      <c r="D32" s="10" t="s">
        <v>1836</v>
      </c>
      <c r="E32" s="1677"/>
      <c r="F32" s="518">
        <f>Embrittle_T_Input</f>
        <v>0</v>
      </c>
      <c r="G32" s="4" t="str">
        <f>Embrittle_T_Units</f>
        <v>C</v>
      </c>
      <c r="H32" s="26"/>
      <c r="I32" s="26"/>
      <c r="J32" s="4" t="s">
        <v>668</v>
      </c>
      <c r="K32" s="4">
        <v>1.6018460000000002E-2</v>
      </c>
      <c r="L32" s="26"/>
      <c r="M32" s="4" t="s">
        <v>2034</v>
      </c>
      <c r="N32" s="26"/>
      <c r="O32" s="19" t="s">
        <v>1076</v>
      </c>
      <c r="P32" s="26"/>
      <c r="Q32" s="19"/>
      <c r="R32" s="26"/>
      <c r="S32" s="4">
        <v>3</v>
      </c>
      <c r="T32" s="26"/>
    </row>
    <row r="33" spans="1:26" x14ac:dyDescent="0.25">
      <c r="A33" s="26"/>
      <c r="B33" s="711" t="s">
        <v>2489</v>
      </c>
      <c r="C33" s="4">
        <f>E33*F33</f>
        <v>0</v>
      </c>
      <c r="D33" s="712" t="s">
        <v>1497</v>
      </c>
      <c r="E33" s="4">
        <f t="shared" si="4"/>
        <v>1</v>
      </c>
      <c r="F33" s="711">
        <f>Mass_Equip_Input</f>
        <v>0</v>
      </c>
      <c r="G33" s="4" t="str">
        <f>Mass_Equip_Units</f>
        <v>kg</v>
      </c>
      <c r="H33" s="26"/>
      <c r="I33" s="26"/>
      <c r="J33" s="4" t="s">
        <v>890</v>
      </c>
      <c r="K33" s="4">
        <v>0.11983000000000001</v>
      </c>
      <c r="L33" s="26"/>
      <c r="M33" s="19"/>
      <c r="N33" s="26"/>
      <c r="O33" s="4" t="s">
        <v>1161</v>
      </c>
      <c r="P33" s="26"/>
      <c r="Q33" s="19" t="s">
        <v>1164</v>
      </c>
      <c r="R33" s="26"/>
      <c r="S33" s="4">
        <v>4</v>
      </c>
      <c r="T33" s="26"/>
      <c r="U33" s="4" t="s">
        <v>1069</v>
      </c>
      <c r="V33" s="4" t="s">
        <v>416</v>
      </c>
      <c r="W33" s="4" t="s">
        <v>16</v>
      </c>
      <c r="X33" s="4" t="s">
        <v>1676</v>
      </c>
      <c r="Y33" s="4" t="s">
        <v>417</v>
      </c>
      <c r="Z33" s="4" t="s">
        <v>667</v>
      </c>
    </row>
    <row r="34" spans="1:26" x14ac:dyDescent="0.25">
      <c r="A34" s="26"/>
      <c r="B34" s="1885" t="s">
        <v>4060</v>
      </c>
      <c r="C34" s="4">
        <f>Est_Mass</f>
        <v>0</v>
      </c>
      <c r="D34" s="10" t="s">
        <v>1160</v>
      </c>
      <c r="E34" s="4">
        <f>IF(G34&lt;&gt;0,VLOOKUP(G34,J$3:K$59,2,0),0)</f>
        <v>1</v>
      </c>
      <c r="F34" s="4">
        <f>C34/E34</f>
        <v>0</v>
      </c>
      <c r="G34" s="4" t="str">
        <f>Mass_Equip_Units</f>
        <v>kg</v>
      </c>
      <c r="H34" s="26"/>
      <c r="I34" s="26"/>
      <c r="J34" s="4" t="s">
        <v>1455</v>
      </c>
      <c r="K34" s="4">
        <v>1</v>
      </c>
      <c r="L34" s="26"/>
      <c r="M34" s="19" t="s">
        <v>1022</v>
      </c>
      <c r="N34" s="26"/>
      <c r="O34" s="4" t="s">
        <v>895</v>
      </c>
      <c r="P34" s="26"/>
      <c r="Q34" s="4" t="s">
        <v>1069</v>
      </c>
      <c r="R34" s="26"/>
      <c r="S34" s="19"/>
      <c r="T34" s="26"/>
      <c r="U34" s="30" t="str">
        <f>U33&amp;","&amp;V33&amp;","&amp;W33&amp;","&amp;X33&amp;","&amp;Y33&amp;","&amp;Z33</f>
        <v>Kg/sec,Kg/min,Kg/hr,Lb/sec,Lb/min,Lb/hr</v>
      </c>
    </row>
    <row r="35" spans="1:26" x14ac:dyDescent="0.25">
      <c r="A35" s="26"/>
      <c r="B35" s="1677" t="s">
        <v>3558</v>
      </c>
      <c r="C35" s="1677">
        <f>E35*F35</f>
        <v>0</v>
      </c>
      <c r="D35" s="1714" t="s">
        <v>1161</v>
      </c>
      <c r="E35" s="1677">
        <f t="shared" si="4"/>
        <v>1</v>
      </c>
      <c r="F35" s="1677">
        <f>DrumOven_Volume_Input</f>
        <v>0</v>
      </c>
      <c r="G35" s="1677" t="str">
        <f>DrumOven_Volume_Units</f>
        <v>cu m</v>
      </c>
      <c r="H35" s="26"/>
      <c r="I35" s="26"/>
      <c r="J35" s="4" t="s">
        <v>404</v>
      </c>
      <c r="K35" s="4">
        <v>0.23900579999999999</v>
      </c>
      <c r="L35" s="26"/>
      <c r="M35" s="4" t="s">
        <v>1264</v>
      </c>
      <c r="N35" s="26"/>
      <c r="O35" s="19"/>
      <c r="P35" s="26"/>
      <c r="Q35" s="4" t="s">
        <v>416</v>
      </c>
      <c r="R35" s="26"/>
      <c r="S35" s="19" t="s">
        <v>678</v>
      </c>
      <c r="T35" s="26"/>
    </row>
    <row r="36" spans="1:26" x14ac:dyDescent="0.25">
      <c r="A36" s="26"/>
      <c r="B36" s="479" t="s">
        <v>2232</v>
      </c>
      <c r="C36" s="4">
        <f>IF(Equipment_Elevation_Input&lt;&gt;"",E36*F36,1.2)</f>
        <v>1.2</v>
      </c>
      <c r="D36" s="480" t="s">
        <v>1068</v>
      </c>
      <c r="E36" s="4">
        <f t="shared" si="4"/>
        <v>1</v>
      </c>
      <c r="F36" s="479">
        <f>Equipment_Elevation_Input</f>
        <v>0</v>
      </c>
      <c r="G36" s="4" t="str">
        <f>Equipment_Elevation_Units</f>
        <v>m</v>
      </c>
      <c r="H36" s="26"/>
      <c r="I36" s="26"/>
      <c r="J36" s="4" t="s">
        <v>669</v>
      </c>
      <c r="K36" s="4">
        <v>1</v>
      </c>
      <c r="L36" s="26"/>
      <c r="M36" s="4" t="s">
        <v>1023</v>
      </c>
      <c r="N36" s="26"/>
      <c r="O36" s="19" t="s">
        <v>1077</v>
      </c>
      <c r="P36" s="26"/>
      <c r="Q36" s="4" t="s">
        <v>16</v>
      </c>
      <c r="R36" s="26"/>
      <c r="S36" s="4" t="s">
        <v>599</v>
      </c>
      <c r="T36" s="26"/>
      <c r="U36" s="30" t="s">
        <v>731</v>
      </c>
    </row>
    <row r="37" spans="1:26" x14ac:dyDescent="0.25">
      <c r="A37" s="26"/>
      <c r="B37" s="4" t="s">
        <v>89</v>
      </c>
      <c r="C37" s="4">
        <f>E37*F37</f>
        <v>0</v>
      </c>
      <c r="D37" s="10" t="s">
        <v>1067</v>
      </c>
      <c r="E37" s="4">
        <f t="shared" si="4"/>
        <v>0.98692329999999995</v>
      </c>
      <c r="F37" s="4">
        <f>Relief_Set_Input</f>
        <v>0</v>
      </c>
      <c r="G37" s="4" t="str">
        <f>Relief_Set_Units</f>
        <v>bar</v>
      </c>
      <c r="H37" s="26"/>
      <c r="I37" s="26"/>
      <c r="J37" s="4" t="s">
        <v>1082</v>
      </c>
      <c r="K37" s="4">
        <v>1</v>
      </c>
      <c r="L37" s="26"/>
      <c r="M37" s="4" t="s">
        <v>249</v>
      </c>
      <c r="N37" s="26"/>
      <c r="O37" s="4" t="s">
        <v>1068</v>
      </c>
      <c r="P37" s="26"/>
      <c r="Q37" s="4" t="s">
        <v>1676</v>
      </c>
      <c r="R37" s="26"/>
      <c r="S37" s="4" t="s">
        <v>1091</v>
      </c>
      <c r="T37" s="26"/>
    </row>
    <row r="38" spans="1:26" x14ac:dyDescent="0.25">
      <c r="A38" s="26"/>
      <c r="B38" s="571" t="s">
        <v>2376</v>
      </c>
      <c r="C38" s="4">
        <f>E38*F38</f>
        <v>0</v>
      </c>
      <c r="D38" s="10" t="s">
        <v>1069</v>
      </c>
      <c r="E38" s="4">
        <f t="shared" si="4"/>
        <v>1.6666666666666666E-2</v>
      </c>
      <c r="F38" s="571">
        <f>Relief_Flowrate_Input</f>
        <v>0</v>
      </c>
      <c r="G38" s="4" t="str">
        <f>Relief_Flowrate_Units</f>
        <v>kg/min</v>
      </c>
      <c r="H38" s="26"/>
      <c r="I38" s="26"/>
      <c r="J38" s="4" t="s">
        <v>405</v>
      </c>
      <c r="K38" s="4">
        <v>0.23900579999999999</v>
      </c>
      <c r="L38" s="26"/>
      <c r="M38" s="4" t="s">
        <v>1024</v>
      </c>
      <c r="N38" s="26"/>
      <c r="O38" s="4" t="s">
        <v>892</v>
      </c>
      <c r="P38" s="26"/>
      <c r="Q38" s="4" t="s">
        <v>417</v>
      </c>
      <c r="R38" s="26"/>
      <c r="S38" s="4" t="s">
        <v>1169</v>
      </c>
      <c r="T38" s="26"/>
    </row>
    <row r="39" spans="1:26" x14ac:dyDescent="0.25">
      <c r="A39" s="26"/>
      <c r="B39" s="4" t="s">
        <v>531</v>
      </c>
      <c r="C39" s="4">
        <f>E39*F39</f>
        <v>0</v>
      </c>
      <c r="D39" s="10" t="s">
        <v>512</v>
      </c>
      <c r="E39" s="4">
        <f>IF(G39&lt;&gt;0,100*VLOOKUP(G39,J$3:K$59,2,0),0)</f>
        <v>0.1</v>
      </c>
      <c r="F39" s="4">
        <f>Relief_Size_Input</f>
        <v>0</v>
      </c>
      <c r="G39" s="4" t="str">
        <f>Relief_Size_Units</f>
        <v>mm</v>
      </c>
      <c r="H39" s="26"/>
      <c r="I39" s="26"/>
      <c r="J39" s="4" t="s">
        <v>670</v>
      </c>
      <c r="K39" s="4">
        <v>0.55555555555555558</v>
      </c>
      <c r="L39" s="26"/>
      <c r="M39" s="722" t="s">
        <v>2665</v>
      </c>
      <c r="N39" s="26"/>
      <c r="O39" s="19"/>
      <c r="P39" s="26"/>
      <c r="Q39" s="4" t="s">
        <v>667</v>
      </c>
      <c r="R39" s="26"/>
      <c r="S39" s="4" t="s">
        <v>600</v>
      </c>
      <c r="T39" s="26"/>
      <c r="U39" s="1656" t="s">
        <v>3447</v>
      </c>
      <c r="V39" s="1657" t="s">
        <v>3448</v>
      </c>
    </row>
    <row r="40" spans="1:26" x14ac:dyDescent="0.25">
      <c r="A40" s="26"/>
      <c r="B40" s="4" t="s">
        <v>253</v>
      </c>
      <c r="C40" s="4">
        <f>IF(F40&gt;0,E40*F40,IF(AND(Relief_Type&lt;&gt;"Safety Valve",Relief_Type&lt;&gt;"Pilot Operated Valve"),Relief_Size,E40*F40))</f>
        <v>0</v>
      </c>
      <c r="D40" s="10" t="s">
        <v>512</v>
      </c>
      <c r="E40" s="4">
        <f>IF(G40&lt;&gt;0,100*VLOOKUP(G40,J$3:K$59,2,0),0)</f>
        <v>0.1</v>
      </c>
      <c r="F40" s="4">
        <f>Relief_Discharge_Size_Input</f>
        <v>0</v>
      </c>
      <c r="G40" s="4" t="str">
        <f>Relief_Discharge_Units</f>
        <v>mm</v>
      </c>
      <c r="H40" s="26"/>
      <c r="I40" s="26"/>
      <c r="J40" s="4" t="s">
        <v>1069</v>
      </c>
      <c r="K40" s="4">
        <v>1</v>
      </c>
      <c r="L40" s="26"/>
      <c r="M40" s="4" t="s">
        <v>2662</v>
      </c>
      <c r="N40" s="26"/>
      <c r="O40" s="19" t="s">
        <v>1078</v>
      </c>
      <c r="P40" s="26"/>
      <c r="Q40" s="4" t="s">
        <v>868</v>
      </c>
      <c r="R40" s="26"/>
      <c r="S40" s="19"/>
      <c r="T40" s="26"/>
      <c r="U40" s="1658" t="s">
        <v>3466</v>
      </c>
      <c r="V40" s="1659">
        <v>0</v>
      </c>
    </row>
    <row r="41" spans="1:26" ht="12.75" customHeight="1" x14ac:dyDescent="0.25">
      <c r="A41" s="26"/>
      <c r="B41" s="4" t="s">
        <v>1817</v>
      </c>
      <c r="C41" s="4">
        <f>IF(Relief_Elevation_Input&lt;&gt;"",E41*F41,1.2)</f>
        <v>1.2</v>
      </c>
      <c r="D41" s="10" t="s">
        <v>1068</v>
      </c>
      <c r="E41" s="4">
        <f>IF(G41&lt;&gt;0,VLOOKUP(G41,J$3:K$59,2,0),0)</f>
        <v>1</v>
      </c>
      <c r="F41" s="4">
        <f>Relief_Elevation_Input</f>
        <v>0</v>
      </c>
      <c r="G41" s="4" t="str">
        <f>Relief_Elevation_Units</f>
        <v>m</v>
      </c>
      <c r="H41" s="26"/>
      <c r="I41" s="26"/>
      <c r="J41" s="4" t="s">
        <v>416</v>
      </c>
      <c r="K41" s="4">
        <f>1/60</f>
        <v>1.6666666666666666E-2</v>
      </c>
      <c r="L41" s="26"/>
      <c r="M41" s="4" t="s">
        <v>1548</v>
      </c>
      <c r="N41" s="26"/>
      <c r="O41" s="4" t="s">
        <v>169</v>
      </c>
      <c r="P41" s="26"/>
      <c r="Q41" s="4" t="s">
        <v>726</v>
      </c>
      <c r="R41" s="26"/>
      <c r="S41" s="19" t="s">
        <v>549</v>
      </c>
      <c r="T41" s="26"/>
      <c r="U41" s="1660" t="s">
        <v>3455</v>
      </c>
      <c r="V41" s="1661">
        <v>0.3</v>
      </c>
    </row>
    <row r="42" spans="1:26" ht="12.75" customHeight="1" x14ac:dyDescent="0.25">
      <c r="A42" s="26"/>
      <c r="B42" s="4" t="s">
        <v>250</v>
      </c>
      <c r="C42" s="4">
        <f>E42*F42</f>
        <v>0</v>
      </c>
      <c r="D42" s="10" t="s">
        <v>512</v>
      </c>
      <c r="E42" s="4">
        <f>IF(G42&lt;&gt;0,100*VLOOKUP(G42,J$3:K$59,2,0),0)</f>
        <v>0.1</v>
      </c>
      <c r="F42" s="4">
        <f>D_Input</f>
        <v>0</v>
      </c>
      <c r="G42" s="4" t="str">
        <f>D_Units</f>
        <v>mm</v>
      </c>
      <c r="H42" s="26"/>
      <c r="I42" s="26"/>
      <c r="J42" s="4" t="s">
        <v>16</v>
      </c>
      <c r="K42" s="4">
        <f>1/3600</f>
        <v>2.7777777777777778E-4</v>
      </c>
      <c r="L42" s="26"/>
      <c r="M42" s="4" t="s">
        <v>2772</v>
      </c>
      <c r="N42" s="26"/>
      <c r="O42" s="4" t="s">
        <v>1496</v>
      </c>
      <c r="P42" s="26"/>
      <c r="Q42" s="4" t="s">
        <v>867</v>
      </c>
      <c r="R42" s="26"/>
      <c r="S42" s="4" t="s">
        <v>1514</v>
      </c>
      <c r="T42" s="26"/>
      <c r="U42" s="1660" t="s">
        <v>3456</v>
      </c>
      <c r="V42" s="1661">
        <v>0.3</v>
      </c>
    </row>
    <row r="43" spans="1:26" ht="12.75" customHeight="1" x14ac:dyDescent="0.25">
      <c r="A43" s="26"/>
      <c r="B43" s="4" t="s">
        <v>523</v>
      </c>
      <c r="C43" s="4">
        <f>E43*F43</f>
        <v>0</v>
      </c>
      <c r="D43" s="10" t="s">
        <v>1068</v>
      </c>
      <c r="E43" s="4">
        <f>IF(G43&lt;&gt;0,VLOOKUP(G43,J$3:K$59,2,0),0)</f>
        <v>1</v>
      </c>
      <c r="F43" s="4">
        <f>Pipe_Length_Input</f>
        <v>0</v>
      </c>
      <c r="G43" s="4" t="str">
        <f>Pipe_Length_Units</f>
        <v>m</v>
      </c>
      <c r="H43" s="26"/>
      <c r="I43" s="26"/>
      <c r="J43" s="4" t="s">
        <v>1676</v>
      </c>
      <c r="K43" s="4">
        <f>1/2.2046226</f>
        <v>0.4535923744952991</v>
      </c>
      <c r="L43" s="26"/>
      <c r="M43" s="19"/>
      <c r="N43" s="26"/>
      <c r="O43" s="4" t="s">
        <v>1161</v>
      </c>
      <c r="P43" s="26"/>
      <c r="Q43" s="4" t="s">
        <v>1571</v>
      </c>
      <c r="R43" s="26"/>
      <c r="S43" s="4" t="s">
        <v>599</v>
      </c>
      <c r="T43" s="26"/>
      <c r="U43" s="1660" t="s">
        <v>3457</v>
      </c>
      <c r="V43" s="1661">
        <v>0.3</v>
      </c>
    </row>
    <row r="44" spans="1:26" ht="12.75" customHeight="1" x14ac:dyDescent="0.25">
      <c r="A44" s="26"/>
      <c r="B44" s="4" t="s">
        <v>625</v>
      </c>
      <c r="C44" s="4">
        <f>E44*F44</f>
        <v>0</v>
      </c>
      <c r="D44" s="10" t="s">
        <v>512</v>
      </c>
      <c r="E44" s="4">
        <f>IF(G44&lt;&gt;0,100*VLOOKUP(G44,J$3:K$59,2,0),0)</f>
        <v>0.1</v>
      </c>
      <c r="F44" s="4">
        <f>Drain_Input</f>
        <v>0</v>
      </c>
      <c r="G44" s="4" t="str">
        <f>Drain_Units</f>
        <v>mm</v>
      </c>
      <c r="H44" s="26"/>
      <c r="I44" s="26"/>
      <c r="J44" s="4" t="s">
        <v>417</v>
      </c>
      <c r="K44" s="4">
        <v>7.5598999999999996E-3</v>
      </c>
      <c r="L44" s="26"/>
      <c r="M44" s="19" t="s">
        <v>1549</v>
      </c>
      <c r="N44" s="26"/>
      <c r="O44" s="4" t="s">
        <v>895</v>
      </c>
      <c r="P44" s="26"/>
      <c r="Q44" s="4" t="s">
        <v>940</v>
      </c>
      <c r="R44" s="26"/>
      <c r="S44" s="4" t="s">
        <v>1091</v>
      </c>
      <c r="T44" s="26"/>
      <c r="U44" s="1660" t="s">
        <v>3458</v>
      </c>
      <c r="V44" s="1661">
        <v>0.3</v>
      </c>
    </row>
    <row r="45" spans="1:26" ht="12.75" customHeight="1" x14ac:dyDescent="0.25">
      <c r="A45" s="26"/>
      <c r="B45" s="4" t="s">
        <v>724</v>
      </c>
      <c r="C45" s="4">
        <f>IF(F45="",0,E45*F45)</f>
        <v>0</v>
      </c>
      <c r="D45" s="10" t="s">
        <v>512</v>
      </c>
      <c r="E45" s="4">
        <f>IF(G45&lt;&gt;0,100*VLOOKUP(G45,J$3:K$59,2,0),0)</f>
        <v>0.1</v>
      </c>
      <c r="F45" s="4" t="str">
        <f>IF(OR(User_Incident_Entered="USER DEFINED HOLE SIZE",User_Incident_Entered="USER DEFINED HOLE SIZE above Liquid Level"),User_Defined_Input,"")</f>
        <v/>
      </c>
      <c r="G45" s="4" t="str">
        <f>D_Units</f>
        <v>mm</v>
      </c>
      <c r="H45" s="26"/>
      <c r="I45" s="72" t="s">
        <v>2747</v>
      </c>
      <c r="J45" s="4" t="s">
        <v>667</v>
      </c>
      <c r="K45" s="4">
        <v>1.2599833333333332E-4</v>
      </c>
      <c r="L45" s="26"/>
      <c r="M45" s="4" t="s">
        <v>1550</v>
      </c>
      <c r="N45" s="26"/>
      <c r="O45" s="19"/>
      <c r="P45" s="26"/>
      <c r="Q45" s="4" t="s">
        <v>1941</v>
      </c>
      <c r="R45" s="26"/>
      <c r="S45" s="4" t="s">
        <v>1169</v>
      </c>
      <c r="T45" s="26"/>
      <c r="U45" s="1660" t="s">
        <v>3463</v>
      </c>
      <c r="V45" s="1661">
        <v>0.3</v>
      </c>
    </row>
    <row r="46" spans="1:26" ht="12.75" customHeight="1" x14ac:dyDescent="0.25">
      <c r="A46" s="26"/>
      <c r="B46" s="3152" t="s">
        <v>5219</v>
      </c>
      <c r="C46" s="4">
        <f>IF(F46="",0,E46*F46)</f>
        <v>0</v>
      </c>
      <c r="D46" s="3157" t="s">
        <v>1067</v>
      </c>
      <c r="E46" s="4">
        <f t="shared" ref="E46" si="5">IF(G46&lt;&gt;0,VLOOKUP(G46,J$3:K$59,2,0),0)</f>
        <v>0.98692329999999995</v>
      </c>
      <c r="F46" s="3152" t="str">
        <f>IF(OR(User_Incident_Entered="USER DEFINED HOLE SIZE",User_Incident_Entered="USER DEFINED HOLE SIZE above Liquid Level",User_Incident_Entered="USER DEFINED LEAK RATE"),User_Defined_Input3,"")</f>
        <v/>
      </c>
      <c r="G46" s="4" t="str">
        <f>P_Units</f>
        <v>bar</v>
      </c>
      <c r="H46" s="26"/>
      <c r="I46" s="4">
        <f>IF(C63&gt;0.001,C63,0.001)</f>
        <v>1E-3</v>
      </c>
      <c r="J46" s="4" t="s">
        <v>868</v>
      </c>
      <c r="K46" s="4">
        <f>1/60</f>
        <v>1.6666666666666666E-2</v>
      </c>
      <c r="L46" s="26"/>
      <c r="M46" s="4" t="s">
        <v>1537</v>
      </c>
      <c r="N46" s="26"/>
      <c r="O46" s="19" t="s">
        <v>2532</v>
      </c>
      <c r="P46" s="26"/>
      <c r="Q46" s="19"/>
      <c r="R46" s="26"/>
      <c r="S46" s="4" t="s">
        <v>600</v>
      </c>
      <c r="T46" s="26"/>
      <c r="U46" s="1660" t="s">
        <v>3464</v>
      </c>
      <c r="V46" s="1661">
        <v>0.3</v>
      </c>
    </row>
    <row r="47" spans="1:26" ht="12.75" customHeight="1" x14ac:dyDescent="0.25">
      <c r="A47" s="26"/>
      <c r="B47" s="3152" t="s">
        <v>5220</v>
      </c>
      <c r="C47" s="3152">
        <f>IF(F47="",0,IF(G47="F",(F47-32)/1.8,F47))</f>
        <v>0</v>
      </c>
      <c r="D47" s="3157" t="s">
        <v>1836</v>
      </c>
      <c r="E47" s="4"/>
      <c r="F47" s="3152" t="str">
        <f>IF(OR(User_Incident_Entered="USER DEFINED HOLE SIZE",User_Incident_Entered="USER DEFINED HOLE SIZE above Liquid Level",User_Incident_Entered="USER DEFINED LEAK RATE"),User_Defined_Input2,"")</f>
        <v/>
      </c>
      <c r="G47" s="4" t="str">
        <f>T_Units</f>
        <v>C</v>
      </c>
      <c r="H47" s="26"/>
      <c r="I47" s="72" t="s">
        <v>3163</v>
      </c>
      <c r="J47" s="4" t="s">
        <v>726</v>
      </c>
      <c r="K47" s="4">
        <f>0.06309</f>
        <v>6.3089999999999993E-2</v>
      </c>
      <c r="L47" s="26"/>
      <c r="M47" s="19"/>
      <c r="N47" s="26"/>
      <c r="O47" s="722" t="s">
        <v>2533</v>
      </c>
      <c r="P47" s="26"/>
      <c r="Q47" s="19" t="s">
        <v>1165</v>
      </c>
      <c r="R47" s="26"/>
      <c r="S47" s="19"/>
      <c r="T47" s="26"/>
      <c r="U47" s="1660" t="s">
        <v>3449</v>
      </c>
      <c r="V47" s="1661">
        <v>0.5</v>
      </c>
    </row>
    <row r="48" spans="1:26" ht="12.75" customHeight="1" x14ac:dyDescent="0.25">
      <c r="A48" s="26"/>
      <c r="B48" s="4" t="s">
        <v>2859</v>
      </c>
      <c r="C48" s="1777">
        <f>IF(Equipment="Pump",Pump_S,IF(Sur_Area_Input="",MAX(0.01,C49),E48*F48))</f>
        <v>0.01</v>
      </c>
      <c r="D48" s="10" t="s">
        <v>1160</v>
      </c>
      <c r="E48" s="4">
        <f>IF(G48&lt;&gt;0,VLOOKUP(G48,J$3:K$59,2,0),0)</f>
        <v>1</v>
      </c>
      <c r="F48" s="4">
        <f>Sur_Area_Input</f>
        <v>0</v>
      </c>
      <c r="G48" s="4" t="str">
        <f>Sur_Area_Units</f>
        <v>sq m</v>
      </c>
      <c r="I48" s="430" t="str">
        <f>IF(OR(G64="gal",G64="liter",G64="cu m",G64="cu ft"),"Yes","No")</f>
        <v>No</v>
      </c>
      <c r="J48" s="4" t="s">
        <v>867</v>
      </c>
      <c r="K48" s="4">
        <f>16.667</f>
        <v>16.667000000000002</v>
      </c>
      <c r="L48" s="26"/>
      <c r="M48" s="19" t="s">
        <v>978</v>
      </c>
      <c r="N48" s="26"/>
      <c r="O48" s="722" t="s">
        <v>2534</v>
      </c>
      <c r="P48" s="26"/>
      <c r="Q48" s="4" t="s">
        <v>1073</v>
      </c>
      <c r="R48" s="26"/>
      <c r="S48" s="19" t="s">
        <v>2805</v>
      </c>
      <c r="T48" s="26"/>
      <c r="U48" s="1660" t="s">
        <v>3451</v>
      </c>
      <c r="V48" s="1661">
        <v>0.5</v>
      </c>
    </row>
    <row r="49" spans="1:22" ht="12.75" customHeight="1" x14ac:dyDescent="0.25">
      <c r="A49" s="26"/>
      <c r="B49" s="4" t="s">
        <v>2858</v>
      </c>
      <c r="C49" s="1777">
        <f>Est_Wetted_Area</f>
        <v>0</v>
      </c>
      <c r="D49" s="10" t="s">
        <v>1160</v>
      </c>
      <c r="E49" s="4">
        <f>IF(G49&lt;&gt;0,VLOOKUP(G49,J$3:K$59,2,0),0)</f>
        <v>1</v>
      </c>
      <c r="F49" s="4">
        <f>C49/E49</f>
        <v>0</v>
      </c>
      <c r="G49" s="4" t="str">
        <f>Sur_Area_Units</f>
        <v>sq m</v>
      </c>
      <c r="I49" s="72" t="s">
        <v>730</v>
      </c>
      <c r="J49" s="4" t="s">
        <v>1571</v>
      </c>
      <c r="K49" s="4">
        <f>0.2778</f>
        <v>0.27779999999999999</v>
      </c>
      <c r="L49" s="26"/>
      <c r="M49" s="4" t="s">
        <v>1539</v>
      </c>
      <c r="N49" s="26"/>
      <c r="O49" s="722" t="s">
        <v>2659</v>
      </c>
      <c r="P49" s="26"/>
      <c r="Q49" s="4" t="s">
        <v>1166</v>
      </c>
      <c r="R49" s="26"/>
      <c r="S49" s="4" t="s">
        <v>2806</v>
      </c>
      <c r="T49" s="26"/>
      <c r="U49" s="1660" t="s">
        <v>3452</v>
      </c>
      <c r="V49" s="1661">
        <v>0.5</v>
      </c>
    </row>
    <row r="50" spans="1:22" ht="12.75" customHeight="1" x14ac:dyDescent="0.25">
      <c r="A50" s="26"/>
      <c r="B50" s="4" t="s">
        <v>608</v>
      </c>
      <c r="C50" s="4">
        <f>E50*F50</f>
        <v>0</v>
      </c>
      <c r="D50" s="10" t="s">
        <v>1160</v>
      </c>
      <c r="E50" s="4">
        <f>IF(G50&lt;&gt;0,VLOOKUP(G50,J$3:K$59,2,0),0)</f>
        <v>1</v>
      </c>
      <c r="F50" s="4">
        <f>HT_Area_Input</f>
        <v>0</v>
      </c>
      <c r="G50" s="4" t="str">
        <f>HT_Area_Units</f>
        <v>sq m</v>
      </c>
      <c r="H50" s="26"/>
      <c r="I50" s="430" t="str">
        <f>IF(AND(G67&lt;&gt;"Kg/sec",G67&lt;&gt;"Kg/min",G67&lt;&gt;"Kg/hr",G67&lt;&gt;"Lb/sec",G67&lt;&gt;"Lb/min",G67&lt;&gt;"Lb/hr"),"Yes","No")</f>
        <v>No</v>
      </c>
      <c r="J50" s="4" t="s">
        <v>940</v>
      </c>
      <c r="K50" s="4">
        <v>0.47194999999999998</v>
      </c>
      <c r="L50" s="26"/>
      <c r="M50" s="4" t="s">
        <v>947</v>
      </c>
      <c r="N50" s="26"/>
      <c r="O50" s="19"/>
      <c r="P50" s="26"/>
      <c r="Q50" s="19"/>
      <c r="R50" s="26"/>
      <c r="S50" s="4" t="s">
        <v>2807</v>
      </c>
      <c r="T50" s="26"/>
      <c r="U50" s="1660" t="s">
        <v>3453</v>
      </c>
      <c r="V50" s="1661">
        <v>0.5</v>
      </c>
    </row>
    <row r="51" spans="1:22" ht="12.75" customHeight="1" x14ac:dyDescent="0.25">
      <c r="A51" s="26"/>
      <c r="B51" s="4" t="s">
        <v>2293</v>
      </c>
      <c r="C51" s="4">
        <f>E51*F51</f>
        <v>0</v>
      </c>
      <c r="D51" s="10" t="s">
        <v>1454</v>
      </c>
      <c r="E51" s="4">
        <f>IF(G51&lt;&gt;0,VLOOKUP(G51,J$3:K$59,2,0),0)</f>
        <v>1</v>
      </c>
      <c r="F51" s="4">
        <f>U_Input</f>
        <v>0</v>
      </c>
      <c r="G51" s="4" t="str">
        <f>U_Units</f>
        <v>Kwatt /sq m C</v>
      </c>
      <c r="H51" s="26"/>
      <c r="I51" s="72" t="s">
        <v>727</v>
      </c>
      <c r="J51" s="4" t="s">
        <v>1941</v>
      </c>
      <c r="K51" s="4">
        <v>7.8659999999999997E-3</v>
      </c>
      <c r="L51" s="26"/>
      <c r="M51" s="4" t="s">
        <v>881</v>
      </c>
      <c r="N51" s="26"/>
      <c r="O51" s="19" t="s">
        <v>1595</v>
      </c>
      <c r="P51" s="26"/>
      <c r="Q51" s="19" t="s">
        <v>1167</v>
      </c>
      <c r="R51" s="26"/>
      <c r="S51" s="4" t="s">
        <v>2808</v>
      </c>
      <c r="T51" s="26"/>
      <c r="U51" s="1660" t="s">
        <v>3460</v>
      </c>
      <c r="V51" s="1661">
        <v>0.5</v>
      </c>
    </row>
    <row r="52" spans="1:22" ht="12.75" customHeight="1" x14ac:dyDescent="0.25">
      <c r="A52" s="26"/>
      <c r="B52" s="4" t="s">
        <v>291</v>
      </c>
      <c r="C52" s="4">
        <f>IF(G52="F",(F52-32)/1.8,F52)</f>
        <v>0</v>
      </c>
      <c r="D52" s="10" t="s">
        <v>1836</v>
      </c>
      <c r="E52" s="4"/>
      <c r="F52" s="4">
        <f>Heating_T_Input</f>
        <v>0</v>
      </c>
      <c r="G52" s="4" t="str">
        <f>Heating_T_Units</f>
        <v>C</v>
      </c>
      <c r="H52" s="26"/>
      <c r="I52" s="4">
        <f>IF(ISERR(State),0.3,IF(State="Vapor",IF(ISERR(Vap_rho),0.0011,Vap_rho),Liq_rho))</f>
        <v>0.1</v>
      </c>
      <c r="J52" s="4" t="s">
        <v>1497</v>
      </c>
      <c r="K52" s="4">
        <v>1</v>
      </c>
      <c r="L52" s="26"/>
      <c r="M52" s="1851" t="s">
        <v>948</v>
      </c>
      <c r="N52" s="26"/>
      <c r="O52" s="4" t="s">
        <v>1596</v>
      </c>
      <c r="P52" s="26"/>
      <c r="Q52" s="4" t="s">
        <v>1761</v>
      </c>
      <c r="R52" s="26"/>
      <c r="S52" s="4" t="s">
        <v>2809</v>
      </c>
      <c r="T52" s="26"/>
      <c r="U52" s="1660" t="s">
        <v>3462</v>
      </c>
      <c r="V52" s="1661">
        <v>0.5</v>
      </c>
    </row>
    <row r="53" spans="1:22" ht="12.75" customHeight="1" x14ac:dyDescent="0.25">
      <c r="A53" s="26"/>
      <c r="B53" s="719" t="s">
        <v>2519</v>
      </c>
      <c r="C53" s="4">
        <f>E53*F53</f>
        <v>0</v>
      </c>
      <c r="D53" s="10" t="s">
        <v>1067</v>
      </c>
      <c r="E53" s="4">
        <f>IF(G53&lt;&gt;0,VLOOKUP(G53,J$3:K$59,2,0),0)</f>
        <v>0.98692329999999995</v>
      </c>
      <c r="F53" s="719">
        <f>Heating_P_Input</f>
        <v>0</v>
      </c>
      <c r="G53" s="4" t="str">
        <f>Heating_P_Units</f>
        <v>bar</v>
      </c>
      <c r="H53" s="26"/>
      <c r="I53" s="72" t="s">
        <v>2558</v>
      </c>
      <c r="J53" s="4" t="s">
        <v>1105</v>
      </c>
      <c r="K53" s="4">
        <v>0.45359240000000001</v>
      </c>
      <c r="L53" s="26"/>
      <c r="M53" s="19"/>
      <c r="N53" s="26"/>
      <c r="O53" s="4" t="s">
        <v>1597</v>
      </c>
      <c r="P53" s="26"/>
      <c r="Q53" s="4" t="s">
        <v>1467</v>
      </c>
      <c r="R53" s="26"/>
      <c r="S53" s="4" t="s">
        <v>600</v>
      </c>
      <c r="T53" s="26"/>
      <c r="U53" s="1660" t="s">
        <v>3501</v>
      </c>
      <c r="V53" s="1661">
        <v>0.5</v>
      </c>
    </row>
    <row r="54" spans="1:22" ht="12.75" customHeight="1" x14ac:dyDescent="0.25">
      <c r="A54" s="26"/>
      <c r="B54" s="719" t="s">
        <v>2688</v>
      </c>
      <c r="C54" s="4">
        <f>E54*F54</f>
        <v>0</v>
      </c>
      <c r="D54" s="10" t="s">
        <v>512</v>
      </c>
      <c r="E54" s="4">
        <f>IF(G54&lt;&gt;0,100*VLOOKUP(G54,J$3:K$59,2,0),0)</f>
        <v>0.1</v>
      </c>
      <c r="F54" s="864">
        <f>Tube_D_Input</f>
        <v>0</v>
      </c>
      <c r="G54" s="4" t="str">
        <f>Tube_D_Units</f>
        <v>mm</v>
      </c>
      <c r="H54" s="26"/>
      <c r="I54" s="430" t="str">
        <f>IF(AND(G70&lt;&gt;"Kg/sec",G70&lt;&gt;"Kg/min",G70&lt;&gt;"Kg/hr",G70&lt;&gt;"Lb/sec",G70&lt;&gt;"Lb/min",G70&lt;&gt;"Lb/hr"),"Yes","No")</f>
        <v>No</v>
      </c>
      <c r="J54" s="4" t="s">
        <v>1760</v>
      </c>
      <c r="K54" s="4">
        <v>1</v>
      </c>
      <c r="L54" s="26"/>
      <c r="M54" s="19"/>
      <c r="N54" s="26"/>
      <c r="O54" s="4" t="s">
        <v>2990</v>
      </c>
      <c r="P54" s="26"/>
      <c r="Q54" s="4" t="s">
        <v>264</v>
      </c>
      <c r="R54" s="26"/>
      <c r="S54" s="19"/>
      <c r="T54" s="26"/>
      <c r="U54" s="1660" t="s">
        <v>3450</v>
      </c>
      <c r="V54" s="1661">
        <v>0.75</v>
      </c>
    </row>
    <row r="55" spans="1:22" ht="12.75" customHeight="1" x14ac:dyDescent="0.25">
      <c r="A55" s="26"/>
      <c r="B55" s="4" t="s">
        <v>2294</v>
      </c>
      <c r="C55" s="4">
        <f>E55*F55</f>
        <v>0</v>
      </c>
      <c r="D55" s="10" t="s">
        <v>1160</v>
      </c>
      <c r="E55" s="4">
        <f>IF(G55&lt;&gt;0,VLOOKUP(G55,J$3:K$59,2,0),0)</f>
        <v>1</v>
      </c>
      <c r="F55" s="518">
        <f>Coolant_Area_Input</f>
        <v>0</v>
      </c>
      <c r="G55" s="4" t="str">
        <f>Coolant_Area_Units</f>
        <v>sq m</v>
      </c>
      <c r="H55" s="26"/>
      <c r="I55" s="72" t="s">
        <v>729</v>
      </c>
      <c r="J55" s="4" t="s">
        <v>262</v>
      </c>
      <c r="K55" s="4">
        <v>60</v>
      </c>
      <c r="L55" s="26"/>
      <c r="M55" s="19" t="s">
        <v>2942</v>
      </c>
      <c r="N55" s="26"/>
      <c r="O55" s="4" t="s">
        <v>1598</v>
      </c>
      <c r="P55" s="26"/>
      <c r="Q55" s="19"/>
      <c r="R55" s="26"/>
      <c r="S55" s="19" t="s">
        <v>1935</v>
      </c>
      <c r="T55" s="26"/>
      <c r="U55" s="1660" t="s">
        <v>3454</v>
      </c>
      <c r="V55" s="1661">
        <v>1</v>
      </c>
    </row>
    <row r="56" spans="1:22" ht="12.75" customHeight="1" x14ac:dyDescent="0.25">
      <c r="A56" s="26"/>
      <c r="B56" s="4" t="s">
        <v>2295</v>
      </c>
      <c r="C56" s="4">
        <f>E56*F56</f>
        <v>0</v>
      </c>
      <c r="D56" s="10" t="s">
        <v>1454</v>
      </c>
      <c r="E56" s="4">
        <f>IF(G56&lt;&gt;0,VLOOKUP(G56,J$3:K$59,2,0),0)</f>
        <v>1</v>
      </c>
      <c r="F56" s="518">
        <f>Coolant_U_Input</f>
        <v>0</v>
      </c>
      <c r="G56" s="4" t="str">
        <f>Coolant_U_Units</f>
        <v>Kwatt /sq m C</v>
      </c>
      <c r="H56" s="26"/>
      <c r="I56" s="430" t="str">
        <f>IF(AND(G72&lt;&gt;"Kg/sec",G72&lt;&gt;"Kg/min",G72&lt;&gt;"Kg/hr",G72&lt;&gt;"Lb/sec",G72&lt;&gt;"Lb/min",G72&lt;&gt;"Lb/hr"),"Yes","No")</f>
        <v>No</v>
      </c>
      <c r="J56" s="4" t="s">
        <v>1592</v>
      </c>
      <c r="K56" s="4">
        <f>60*60</f>
        <v>3600</v>
      </c>
      <c r="L56" s="26"/>
      <c r="M56" s="1192" t="s">
        <v>1382</v>
      </c>
      <c r="N56" s="26"/>
      <c r="O56" s="4" t="s">
        <v>1600</v>
      </c>
      <c r="P56" s="26"/>
      <c r="Q56" s="19" t="s">
        <v>959</v>
      </c>
      <c r="R56" s="26"/>
      <c r="S56" s="4" t="s">
        <v>1936</v>
      </c>
      <c r="T56" s="26"/>
      <c r="U56" s="1660" t="s">
        <v>3461</v>
      </c>
      <c r="V56" s="1661">
        <v>1</v>
      </c>
    </row>
    <row r="57" spans="1:22" ht="12.75" customHeight="1" x14ac:dyDescent="0.25">
      <c r="A57" s="26"/>
      <c r="B57" s="4" t="s">
        <v>2296</v>
      </c>
      <c r="C57" s="4">
        <f>IF(G57="F",(F57-32)/1.8,F57)</f>
        <v>0</v>
      </c>
      <c r="D57" s="10" t="s">
        <v>1836</v>
      </c>
      <c r="E57" s="518"/>
      <c r="F57" s="518">
        <f>Coolant_Temp_Input</f>
        <v>0</v>
      </c>
      <c r="G57" s="4" t="str">
        <f>Coolant_Temp_Units</f>
        <v>C</v>
      </c>
      <c r="H57" s="26"/>
      <c r="I57" s="72" t="s">
        <v>728</v>
      </c>
      <c r="J57" s="4" t="s">
        <v>1593</v>
      </c>
      <c r="K57" s="4">
        <f>60*60*24</f>
        <v>86400</v>
      </c>
      <c r="L57" s="26"/>
      <c r="M57" s="1192" t="s">
        <v>2941</v>
      </c>
      <c r="N57" s="26"/>
      <c r="O57" s="4" t="s">
        <v>1599</v>
      </c>
      <c r="P57" s="26"/>
      <c r="Q57" s="4" t="s">
        <v>4563</v>
      </c>
      <c r="R57" s="26"/>
      <c r="S57" s="4" t="s">
        <v>272</v>
      </c>
      <c r="T57" s="26"/>
      <c r="U57" s="1660" t="s">
        <v>3489</v>
      </c>
      <c r="V57" s="1661">
        <v>1</v>
      </c>
    </row>
    <row r="58" spans="1:22" ht="12.75" customHeight="1" x14ac:dyDescent="0.25">
      <c r="A58" s="26"/>
      <c r="B58" s="4" t="s">
        <v>1614</v>
      </c>
      <c r="C58" s="4">
        <f>E58*F58</f>
        <v>0</v>
      </c>
      <c r="D58" s="10" t="s">
        <v>1892</v>
      </c>
      <c r="E58" s="4">
        <f>IF(G58&lt;&gt;0,VLOOKUP(G58,J$3:K$59,2,0),0)</f>
        <v>1</v>
      </c>
      <c r="F58" s="4">
        <f>Motor_Input</f>
        <v>0</v>
      </c>
      <c r="G58" s="4" t="str">
        <f>Motor_Units</f>
        <v>Kwatt</v>
      </c>
      <c r="H58" s="26"/>
      <c r="I58" s="291">
        <f>IF(Pad_MW&gt;0,Pad_MW*(1+P)/(82.06*(273+T)),28*(1+P)/(82.06*(273+T)))</f>
        <v>1.2957998212689899E-3</v>
      </c>
      <c r="J58" s="4" t="s">
        <v>507</v>
      </c>
      <c r="K58" s="4">
        <v>1</v>
      </c>
      <c r="L58" s="26"/>
      <c r="M58" s="1192" t="s">
        <v>2940</v>
      </c>
      <c r="N58" s="26"/>
      <c r="O58" s="4" t="s">
        <v>1601</v>
      </c>
      <c r="P58" s="26"/>
      <c r="Q58" s="4" t="s">
        <v>4564</v>
      </c>
      <c r="R58" s="26"/>
      <c r="S58" s="4" t="s">
        <v>1937</v>
      </c>
      <c r="T58" s="26"/>
      <c r="U58" s="1660" t="s">
        <v>3459</v>
      </c>
      <c r="V58" s="1661">
        <v>1.25</v>
      </c>
    </row>
    <row r="59" spans="1:22" x14ac:dyDescent="0.25">
      <c r="A59" s="26"/>
      <c r="B59" s="26"/>
      <c r="C59" s="26"/>
      <c r="D59" s="19"/>
      <c r="E59" s="26"/>
      <c r="F59" s="26"/>
      <c r="G59" s="19"/>
      <c r="H59" s="26"/>
      <c r="I59" s="26"/>
      <c r="J59" s="4" t="s">
        <v>145</v>
      </c>
      <c r="K59" s="4">
        <v>9.2903040000000006E-2</v>
      </c>
      <c r="L59" s="26"/>
      <c r="M59" s="19"/>
      <c r="N59" s="26"/>
      <c r="O59" s="722" t="s">
        <v>2540</v>
      </c>
      <c r="P59" s="26"/>
      <c r="Q59" s="4" t="s">
        <v>5307</v>
      </c>
      <c r="R59" s="26"/>
      <c r="S59" s="4" t="s">
        <v>382</v>
      </c>
      <c r="T59" s="26"/>
      <c r="U59" s="1662" t="s">
        <v>3465</v>
      </c>
      <c r="V59" s="1663">
        <v>1.25</v>
      </c>
    </row>
    <row r="60" spans="1:22" x14ac:dyDescent="0.25">
      <c r="A60" s="26"/>
      <c r="B60" s="4582" t="s">
        <v>994</v>
      </c>
      <c r="C60" s="4582"/>
      <c r="D60" s="4582"/>
      <c r="E60" s="10" t="s">
        <v>1973</v>
      </c>
      <c r="F60" s="10" t="s">
        <v>1823</v>
      </c>
      <c r="G60" s="10" t="s">
        <v>1065</v>
      </c>
      <c r="H60" s="26"/>
      <c r="I60" s="26"/>
      <c r="J60" s="19"/>
      <c r="K60" s="19"/>
      <c r="L60" s="26"/>
      <c r="M60" s="19"/>
      <c r="N60" s="26"/>
      <c r="O60" s="4" t="s">
        <v>1602</v>
      </c>
      <c r="P60" s="26"/>
      <c r="Q60" s="19"/>
      <c r="R60" s="26"/>
      <c r="S60" s="19"/>
      <c r="T60" s="26"/>
    </row>
    <row r="61" spans="1:22" x14ac:dyDescent="0.25">
      <c r="A61" s="26"/>
      <c r="B61" s="4" t="s">
        <v>4706</v>
      </c>
      <c r="C61" s="4">
        <f>IF(Ambient_Temp_Input="",Ambient_T_Default,IF(G61="F",(F61-32)/1.8,F61))</f>
        <v>25</v>
      </c>
      <c r="D61" s="10" t="s">
        <v>1836</v>
      </c>
      <c r="E61" s="4"/>
      <c r="F61" s="4">
        <f>Ambient_Temp_Input</f>
        <v>0</v>
      </c>
      <c r="G61" s="4" t="s">
        <v>1836</v>
      </c>
      <c r="H61" s="26"/>
      <c r="I61" s="26"/>
      <c r="J61" s="19"/>
      <c r="K61" s="19"/>
      <c r="L61" s="26"/>
      <c r="M61" s="19" t="s">
        <v>3796</v>
      </c>
      <c r="N61" s="26"/>
      <c r="O61" s="4" t="s">
        <v>4008</v>
      </c>
      <c r="P61" s="26"/>
      <c r="R61" s="26"/>
      <c r="S61" s="19" t="s">
        <v>383</v>
      </c>
      <c r="T61" s="26"/>
    </row>
    <row r="62" spans="1:22" x14ac:dyDescent="0.25">
      <c r="B62" s="4" t="s">
        <v>90</v>
      </c>
      <c r="C62" s="4">
        <f>IF(G62="F",(F62-32)/1.8,F62)</f>
        <v>0</v>
      </c>
      <c r="D62" s="10" t="s">
        <v>1836</v>
      </c>
      <c r="E62" s="4"/>
      <c r="F62" s="4">
        <f>T_Input</f>
        <v>0</v>
      </c>
      <c r="G62" s="4" t="str">
        <f>T_Units</f>
        <v>C</v>
      </c>
      <c r="H62" s="26"/>
      <c r="I62" s="26"/>
      <c r="J62" s="26" t="s">
        <v>3305</v>
      </c>
      <c r="L62" s="26"/>
      <c r="M62" s="1192" t="s">
        <v>3797</v>
      </c>
      <c r="N62" s="26"/>
      <c r="O62" s="19"/>
      <c r="P62" s="26"/>
      <c r="Q62" s="5" t="s">
        <v>3442</v>
      </c>
      <c r="R62" s="26"/>
      <c r="S62" s="4" t="s">
        <v>1616</v>
      </c>
      <c r="T62" s="26"/>
      <c r="U62" s="1656" t="s">
        <v>3467</v>
      </c>
      <c r="V62" s="1657" t="s">
        <v>3448</v>
      </c>
    </row>
    <row r="63" spans="1:22" x14ac:dyDescent="0.25">
      <c r="B63" s="4" t="s">
        <v>995</v>
      </c>
      <c r="C63" s="4">
        <f>E63*F63</f>
        <v>0</v>
      </c>
      <c r="D63" s="10" t="s">
        <v>1067</v>
      </c>
      <c r="E63" s="4">
        <f t="shared" ref="E63:E74" si="6">IF(G63&lt;&gt;0,VLOOKUP(G63,J$3:K$59,2,0),0)</f>
        <v>0.98692329999999995</v>
      </c>
      <c r="F63" s="4">
        <f>P_Input</f>
        <v>0</v>
      </c>
      <c r="G63" s="4" t="str">
        <f>P_Units</f>
        <v>bar</v>
      </c>
      <c r="H63" s="26"/>
      <c r="I63" s="26"/>
      <c r="J63" s="1498" t="s">
        <v>825</v>
      </c>
      <c r="K63" s="1499">
        <f>3.96859*60*60</f>
        <v>14286.923999999999</v>
      </c>
      <c r="L63" s="26"/>
      <c r="M63" s="1846" t="s">
        <v>3972</v>
      </c>
      <c r="N63" s="26"/>
      <c r="O63" s="19"/>
      <c r="P63" s="26"/>
      <c r="Q63" s="4" t="s">
        <v>289</v>
      </c>
      <c r="R63" s="26"/>
      <c r="S63" s="4" t="s">
        <v>1617</v>
      </c>
      <c r="T63" s="26"/>
      <c r="U63" s="1658" t="s">
        <v>3473</v>
      </c>
      <c r="V63" s="1659">
        <v>0</v>
      </c>
    </row>
    <row r="64" spans="1:22" x14ac:dyDescent="0.25">
      <c r="B64" s="4" t="s">
        <v>1380</v>
      </c>
      <c r="C64" s="4">
        <f>IF(Inventory_Input&lt;&gt;"",IF(I48="Yes",1000*I52*E64*F64,E64*F64),Estimated_Inventory)</f>
        <v>0</v>
      </c>
      <c r="D64" s="10" t="s">
        <v>1497</v>
      </c>
      <c r="E64" s="4">
        <f t="shared" si="6"/>
        <v>1</v>
      </c>
      <c r="F64" s="4">
        <f>Inventory_Input</f>
        <v>0</v>
      </c>
      <c r="G64" s="4" t="str">
        <f>Inventory_Units</f>
        <v>kg</v>
      </c>
      <c r="H64" s="26"/>
      <c r="I64" s="26"/>
      <c r="J64" s="1498" t="s">
        <v>1892</v>
      </c>
      <c r="K64" s="1499">
        <v>4.1840000000000002</v>
      </c>
      <c r="L64" s="26"/>
      <c r="M64" s="1192" t="s">
        <v>4608</v>
      </c>
      <c r="N64" s="26"/>
      <c r="O64" s="5" t="s">
        <v>157</v>
      </c>
      <c r="P64" s="26"/>
      <c r="Q64" s="4" t="s">
        <v>1382</v>
      </c>
      <c r="R64" s="26"/>
      <c r="S64" s="4" t="s">
        <v>897</v>
      </c>
      <c r="T64" s="26"/>
      <c r="U64" s="1660" t="s">
        <v>3469</v>
      </c>
      <c r="V64" s="1661">
        <v>0.2</v>
      </c>
    </row>
    <row r="65" spans="2:22" x14ac:dyDescent="0.25">
      <c r="B65" s="4" t="s">
        <v>899</v>
      </c>
      <c r="C65" s="4">
        <f>E65*F65</f>
        <v>0</v>
      </c>
      <c r="D65" s="10" t="s">
        <v>1068</v>
      </c>
      <c r="E65" s="4">
        <f t="shared" si="6"/>
        <v>1</v>
      </c>
      <c r="F65" s="4">
        <f>Dh_Input</f>
        <v>0</v>
      </c>
      <c r="G65" s="4" t="str">
        <f>Dh_Units</f>
        <v>m</v>
      </c>
      <c r="H65" s="26"/>
      <c r="I65" s="26"/>
      <c r="J65" s="1498" t="s">
        <v>261</v>
      </c>
      <c r="K65" s="1499">
        <v>5.6108399999999996</v>
      </c>
      <c r="L65" s="26"/>
      <c r="M65" s="1192" t="s">
        <v>3798</v>
      </c>
      <c r="N65" s="26"/>
      <c r="O65" s="240" t="s">
        <v>158</v>
      </c>
      <c r="P65" s="26"/>
      <c r="Q65" s="4" t="s">
        <v>3443</v>
      </c>
      <c r="R65" s="26"/>
      <c r="S65" s="19"/>
      <c r="T65" s="26"/>
      <c r="U65" s="1660" t="s">
        <v>3470</v>
      </c>
      <c r="V65" s="1661">
        <v>0.2</v>
      </c>
    </row>
    <row r="66" spans="2:22" x14ac:dyDescent="0.25">
      <c r="B66" s="4" t="s">
        <v>993</v>
      </c>
      <c r="C66" s="4">
        <f>IF(F66&gt;0.001,E66*F66,0.001)</f>
        <v>1E-3</v>
      </c>
      <c r="D66" s="10" t="s">
        <v>1067</v>
      </c>
      <c r="E66" s="4">
        <f t="shared" si="6"/>
        <v>0.98692329999999995</v>
      </c>
      <c r="F66" s="4">
        <f>Max_Feed_P_Input</f>
        <v>0</v>
      </c>
      <c r="G66" s="4" t="str">
        <f>Max_Feed_P_Units</f>
        <v>bar</v>
      </c>
      <c r="H66" s="26"/>
      <c r="L66" s="26"/>
      <c r="M66" s="19"/>
      <c r="N66" s="26"/>
      <c r="O66" s="240" t="s">
        <v>159</v>
      </c>
      <c r="P66" s="26"/>
      <c r="R66" s="26"/>
      <c r="S66" s="19" t="s">
        <v>671</v>
      </c>
      <c r="T66" s="26"/>
      <c r="U66" s="1660" t="s">
        <v>3472</v>
      </c>
      <c r="V66" s="1661">
        <v>0.2</v>
      </c>
    </row>
    <row r="67" spans="2:22" x14ac:dyDescent="0.25">
      <c r="B67" s="4" t="s">
        <v>378</v>
      </c>
      <c r="C67" s="4">
        <f>IF(I50="Yes",I52*E67*F67,E67*F67)</f>
        <v>0</v>
      </c>
      <c r="D67" s="10" t="s">
        <v>1069</v>
      </c>
      <c r="E67" s="4">
        <f t="shared" si="6"/>
        <v>1.6666666666666666E-2</v>
      </c>
      <c r="F67" s="4">
        <f>Feedrate_Input</f>
        <v>0</v>
      </c>
      <c r="G67" s="4" t="str">
        <f>Feedrate_Units</f>
        <v>kg/min</v>
      </c>
      <c r="H67" s="26"/>
      <c r="L67" s="26"/>
      <c r="M67" s="19"/>
      <c r="N67" s="26"/>
      <c r="O67" s="240" t="s">
        <v>160</v>
      </c>
      <c r="P67" s="26"/>
      <c r="R67" s="26"/>
      <c r="S67" s="4" t="s">
        <v>289</v>
      </c>
      <c r="T67" s="26"/>
      <c r="U67" s="1660" t="s">
        <v>3468</v>
      </c>
      <c r="V67" s="1661">
        <v>0.4</v>
      </c>
    </row>
    <row r="68" spans="2:22" x14ac:dyDescent="0.25">
      <c r="B68" s="1763" t="s">
        <v>3657</v>
      </c>
      <c r="C68" s="4">
        <f>IF(G68="F",(F68-32)/1.8,F68)</f>
        <v>0</v>
      </c>
      <c r="D68" s="10" t="s">
        <v>1836</v>
      </c>
      <c r="E68" s="1763"/>
      <c r="F68" s="4">
        <f>Feed_Temp_Input</f>
        <v>0</v>
      </c>
      <c r="G68" s="4" t="str">
        <f>Feed_Temp_Units</f>
        <v>C</v>
      </c>
      <c r="H68" s="26"/>
      <c r="L68" s="26"/>
      <c r="M68" s="19"/>
      <c r="N68" s="26"/>
      <c r="P68" s="26"/>
      <c r="Q68" s="5" t="s">
        <v>3444</v>
      </c>
      <c r="R68" s="26"/>
      <c r="S68" s="4" t="s">
        <v>1382</v>
      </c>
      <c r="T68" s="26"/>
      <c r="U68" s="1662" t="s">
        <v>3471</v>
      </c>
      <c r="V68" s="1663">
        <v>0.4</v>
      </c>
    </row>
    <row r="69" spans="2:22" x14ac:dyDescent="0.25">
      <c r="B69" s="4" t="s">
        <v>1159</v>
      </c>
      <c r="C69" s="4">
        <f>E69*F69</f>
        <v>0</v>
      </c>
      <c r="D69" s="10" t="s">
        <v>1067</v>
      </c>
      <c r="E69" s="4">
        <f t="shared" si="6"/>
        <v>0.98692329999999995</v>
      </c>
      <c r="F69" s="4">
        <f>Downstr_P_Input</f>
        <v>0</v>
      </c>
      <c r="G69" s="4" t="str">
        <f>Downstr_P_Units</f>
        <v>bar</v>
      </c>
      <c r="H69" s="26"/>
      <c r="L69" s="26"/>
      <c r="M69" s="19"/>
      <c r="N69" s="26"/>
      <c r="P69" s="26"/>
      <c r="Q69" s="4" t="s">
        <v>1382</v>
      </c>
      <c r="R69" s="26"/>
      <c r="S69" s="4" t="s">
        <v>672</v>
      </c>
      <c r="T69" s="26"/>
    </row>
    <row r="70" spans="2:22" x14ac:dyDescent="0.25">
      <c r="B70" s="735" t="s">
        <v>2557</v>
      </c>
      <c r="C70" s="4">
        <f>IF(I54="Yes",I52*E70*F70,E70*F70)</f>
        <v>0</v>
      </c>
      <c r="D70" s="10" t="s">
        <v>1069</v>
      </c>
      <c r="E70" s="4">
        <f>IF(G70&lt;&gt;0,VLOOKUP(G70,J$3:K$59,2,0),0)</f>
        <v>1.6666666666666666E-2</v>
      </c>
      <c r="F70" s="4">
        <f>Backflow_Input</f>
        <v>0</v>
      </c>
      <c r="G70" s="4" t="str">
        <f>Backflow_Units</f>
        <v>kg/min</v>
      </c>
      <c r="H70" s="26"/>
      <c r="L70" s="26"/>
      <c r="M70" s="19"/>
      <c r="N70" s="26"/>
      <c r="O70" s="5" t="s">
        <v>4184</v>
      </c>
      <c r="P70" s="26"/>
      <c r="Q70" s="4" t="s">
        <v>3445</v>
      </c>
      <c r="R70" s="26"/>
      <c r="S70" s="19"/>
      <c r="T70" s="26"/>
    </row>
    <row r="71" spans="2:22" x14ac:dyDescent="0.25">
      <c r="B71" s="4" t="s">
        <v>1880</v>
      </c>
      <c r="C71" s="4">
        <f>IF(F71&gt;0.001,E71*F71,0.001)</f>
        <v>1E-3</v>
      </c>
      <c r="D71" s="10" t="s">
        <v>1067</v>
      </c>
      <c r="E71" s="4">
        <f t="shared" si="6"/>
        <v>0.98692329999999995</v>
      </c>
      <c r="F71" s="4">
        <f>Max_Inert_P_Input</f>
        <v>0</v>
      </c>
      <c r="G71" s="4" t="str">
        <f>Max_Inert_P_Units</f>
        <v>bar</v>
      </c>
      <c r="H71" s="26"/>
      <c r="L71" s="26"/>
      <c r="M71" s="19"/>
      <c r="N71" s="26"/>
      <c r="O71" s="2075" t="s">
        <v>4189</v>
      </c>
      <c r="P71" s="26"/>
      <c r="Q71" s="4" t="s">
        <v>3498</v>
      </c>
      <c r="R71" s="26"/>
      <c r="S71" s="26"/>
      <c r="T71" s="26"/>
    </row>
    <row r="72" spans="2:22" x14ac:dyDescent="0.25">
      <c r="B72" s="4" t="s">
        <v>116</v>
      </c>
      <c r="C72" s="4">
        <f>IF(I56="Yes",I58*E72*F72,E72*F72)</f>
        <v>0</v>
      </c>
      <c r="D72" s="10" t="s">
        <v>1069</v>
      </c>
      <c r="E72" s="4">
        <f t="shared" si="6"/>
        <v>1.6666666666666666E-2</v>
      </c>
      <c r="F72" s="4">
        <f>Inert_FeedRate_Input</f>
        <v>0</v>
      </c>
      <c r="G72" s="4" t="str">
        <f>Inert_FeedRate_Units</f>
        <v>kg/min</v>
      </c>
      <c r="H72" s="26"/>
      <c r="L72" s="19"/>
      <c r="N72" s="26"/>
      <c r="O72" s="2075" t="s">
        <v>4185</v>
      </c>
      <c r="P72" s="26"/>
      <c r="Q72" s="1677" t="s">
        <v>3497</v>
      </c>
      <c r="R72" s="26"/>
      <c r="S72" s="26"/>
      <c r="T72" s="26"/>
    </row>
    <row r="73" spans="2:22" x14ac:dyDescent="0.25">
      <c r="B73" s="4" t="s">
        <v>31</v>
      </c>
      <c r="C73" s="4" t="str">
        <f>IF(F73="","",E73*F73)</f>
        <v/>
      </c>
      <c r="D73" s="10" t="s">
        <v>1069</v>
      </c>
      <c r="E73" s="4">
        <f t="shared" si="6"/>
        <v>1.6666666666666666E-2</v>
      </c>
      <c r="F73" s="4" t="str">
        <f>IF(User_Incident_Entered="USER DEFINED VAPOR VENT RATE at Relief Temp",User_Defined_Input,"")</f>
        <v/>
      </c>
      <c r="G73" s="4" t="str">
        <f>Small_Leak_Units</f>
        <v>kg/min</v>
      </c>
      <c r="H73" s="26"/>
      <c r="L73" s="26"/>
      <c r="N73" s="26"/>
      <c r="O73" s="2075" t="s">
        <v>4186</v>
      </c>
      <c r="P73" s="26"/>
      <c r="Q73" s="1677" t="s">
        <v>3499</v>
      </c>
      <c r="R73" s="26"/>
      <c r="S73" s="26"/>
      <c r="T73" s="26"/>
    </row>
    <row r="74" spans="2:22" x14ac:dyDescent="0.25">
      <c r="B74" s="4" t="s">
        <v>725</v>
      </c>
      <c r="C74" s="4" t="str">
        <f>IF(F74="","",E74*F74)</f>
        <v/>
      </c>
      <c r="D74" s="10" t="s">
        <v>1069</v>
      </c>
      <c r="E74" s="4">
        <f t="shared" si="6"/>
        <v>1.6666666666666666E-2</v>
      </c>
      <c r="F74" s="4" t="str">
        <f>IF(User_Incident_Entered="USER DEFINED LEAK RATE",User_Defined_Input,"")</f>
        <v/>
      </c>
      <c r="G74" s="4" t="str">
        <f>Small_Leak_Units</f>
        <v>kg/min</v>
      </c>
      <c r="H74" s="26"/>
      <c r="L74" s="26"/>
      <c r="N74" s="26"/>
      <c r="O74" s="2075" t="s">
        <v>4187</v>
      </c>
      <c r="P74" s="26"/>
      <c r="Q74" s="19"/>
      <c r="R74" s="26"/>
      <c r="S74" s="26"/>
      <c r="T74" s="26"/>
    </row>
    <row r="75" spans="2:22" x14ac:dyDescent="0.25">
      <c r="B75" s="26"/>
      <c r="C75" s="26"/>
      <c r="D75" s="19"/>
      <c r="E75" s="26"/>
      <c r="F75" s="26"/>
      <c r="G75" s="19"/>
      <c r="H75" s="26"/>
      <c r="L75" s="26"/>
      <c r="N75" s="26"/>
      <c r="O75" s="2075" t="s">
        <v>4188</v>
      </c>
      <c r="P75" s="26"/>
      <c r="Q75" s="19"/>
      <c r="R75" s="26"/>
      <c r="S75" s="19"/>
      <c r="T75" s="26"/>
    </row>
    <row r="76" spans="2:22" x14ac:dyDescent="0.25">
      <c r="B76" s="4582" t="s">
        <v>2763</v>
      </c>
      <c r="C76" s="4582"/>
      <c r="D76" s="4582"/>
      <c r="E76" s="10" t="s">
        <v>1973</v>
      </c>
      <c r="F76" s="10" t="s">
        <v>1823</v>
      </c>
      <c r="G76" s="10" t="s">
        <v>1065</v>
      </c>
      <c r="H76" s="26"/>
      <c r="L76" s="26"/>
      <c r="N76" s="26"/>
      <c r="P76" s="26"/>
      <c r="Q76" s="19"/>
      <c r="R76" s="26"/>
      <c r="S76" s="19"/>
      <c r="T76" s="26"/>
    </row>
    <row r="77" spans="2:22" x14ac:dyDescent="0.25">
      <c r="B77" s="1017" t="s">
        <v>154</v>
      </c>
      <c r="C77" s="1018">
        <f>Estimated_Inventory</f>
        <v>0</v>
      </c>
      <c r="D77" s="1019" t="s">
        <v>1497</v>
      </c>
      <c r="E77" s="1017">
        <f>IF(G77&lt;&gt;0,VLOOKUP(G77,J$3:K$57,2,0),0)</f>
        <v>1</v>
      </c>
      <c r="F77" s="1017">
        <f>IF(I$48="Yes",0.001*C77/(I$52*E77),C77/E77)</f>
        <v>0</v>
      </c>
      <c r="G77" s="1017" t="str">
        <f>Inventory_Units</f>
        <v>kg</v>
      </c>
      <c r="H77" s="26"/>
      <c r="N77" s="26"/>
      <c r="P77" s="26"/>
      <c r="Q77" s="19"/>
      <c r="R77" s="26"/>
      <c r="S77" s="19"/>
      <c r="T77" s="26"/>
    </row>
    <row r="78" spans="2:22" x14ac:dyDescent="0.25">
      <c r="B78" s="1017" t="s">
        <v>2762</v>
      </c>
      <c r="C78" s="1018">
        <f>Max_ContainedMass</f>
        <v>0</v>
      </c>
      <c r="D78" s="1019" t="s">
        <v>1497</v>
      </c>
      <c r="E78" s="1017">
        <f>IF(G78&lt;&gt;0,VLOOKUP(G78,J$3:K$57,2,0),0)</f>
        <v>1</v>
      </c>
      <c r="F78" s="1017">
        <f>IF(I$48="Yes",0.001*C78/(I$52*E78),C78/E78)</f>
        <v>0</v>
      </c>
      <c r="G78" s="1017" t="str">
        <f>Inventory_Units</f>
        <v>kg</v>
      </c>
      <c r="H78" s="26"/>
      <c r="N78" s="26"/>
      <c r="P78" s="26"/>
      <c r="Q78" s="19"/>
      <c r="R78" s="26"/>
      <c r="S78" s="19"/>
      <c r="T78" s="26"/>
    </row>
    <row r="79" spans="2:22" x14ac:dyDescent="0.25">
      <c r="B79" s="1017" t="s">
        <v>1924</v>
      </c>
      <c r="C79" s="1018">
        <f>ContainedMass</f>
        <v>0</v>
      </c>
      <c r="D79" s="1019" t="s">
        <v>1497</v>
      </c>
      <c r="E79" s="1017">
        <f>IF(G79&lt;&gt;0,VLOOKUP(G79,J$3:K$57,2,0),0)</f>
        <v>1</v>
      </c>
      <c r="F79" s="1017">
        <f>IF(I$48="Yes",0.001*C79/(I$52*E79),C79/E79)</f>
        <v>0</v>
      </c>
      <c r="G79" s="1017" t="str">
        <f>ContainedMass_Units</f>
        <v>kg</v>
      </c>
      <c r="H79" s="26"/>
      <c r="J79" s="19"/>
      <c r="K79" s="19"/>
      <c r="N79" s="26"/>
      <c r="P79" s="26"/>
      <c r="Q79" s="19"/>
      <c r="R79" s="26"/>
      <c r="S79" s="19"/>
      <c r="T79" s="26"/>
    </row>
    <row r="80" spans="2:22" x14ac:dyDescent="0.25">
      <c r="H80" s="26"/>
      <c r="J80" s="19"/>
      <c r="K80" s="19"/>
      <c r="Q80" s="19"/>
      <c r="R80" s="26"/>
      <c r="S80" s="19"/>
    </row>
    <row r="81" spans="8:19" x14ac:dyDescent="0.25">
      <c r="H81" s="26"/>
      <c r="J81" s="19"/>
      <c r="K81" s="19"/>
      <c r="Q81" s="19"/>
      <c r="S81" s="19"/>
    </row>
    <row r="82" spans="8:19" x14ac:dyDescent="0.25">
      <c r="H82" s="26"/>
      <c r="J82" s="19"/>
      <c r="K82" s="19"/>
      <c r="Q82" s="19"/>
      <c r="S82" s="19"/>
    </row>
    <row r="83" spans="8:19" x14ac:dyDescent="0.25">
      <c r="H83" s="26"/>
      <c r="J83" s="19"/>
      <c r="K83" s="19"/>
      <c r="Q83" s="19"/>
      <c r="S83" s="19"/>
    </row>
    <row r="84" spans="8:19" x14ac:dyDescent="0.25">
      <c r="H84" s="26"/>
      <c r="I84" s="26"/>
      <c r="J84" s="19"/>
      <c r="K84" s="19"/>
      <c r="Q84" s="19"/>
      <c r="S84" s="19"/>
    </row>
    <row r="85" spans="8:19" x14ac:dyDescent="0.25">
      <c r="H85" s="26"/>
      <c r="I85" s="26"/>
      <c r="Q85" s="19"/>
      <c r="S85" s="19"/>
    </row>
    <row r="86" spans="8:19" x14ac:dyDescent="0.25">
      <c r="H86" s="26"/>
      <c r="I86" s="26"/>
      <c r="Q86" s="19"/>
      <c r="S86" s="19"/>
    </row>
    <row r="87" spans="8:19" x14ac:dyDescent="0.25">
      <c r="H87" s="26"/>
      <c r="Q87" s="19"/>
      <c r="S87" s="19"/>
    </row>
    <row r="88" spans="8:19" x14ac:dyDescent="0.25">
      <c r="H88" s="26"/>
      <c r="S88" s="19"/>
    </row>
    <row r="89" spans="8:19" x14ac:dyDescent="0.25">
      <c r="H89" s="26"/>
      <c r="S89" s="19"/>
    </row>
    <row r="90" spans="8:19" x14ac:dyDescent="0.25">
      <c r="S90" s="19"/>
    </row>
    <row r="91" spans="8:19" x14ac:dyDescent="0.25">
      <c r="S91" s="19"/>
    </row>
    <row r="92" spans="8:19" x14ac:dyDescent="0.25">
      <c r="S92" s="19"/>
    </row>
    <row r="93" spans="8:19" x14ac:dyDescent="0.25">
      <c r="S93" s="19"/>
    </row>
    <row r="94" spans="8:19" x14ac:dyDescent="0.25">
      <c r="S94" s="19"/>
    </row>
    <row r="95" spans="8:19" x14ac:dyDescent="0.25">
      <c r="S95" s="19"/>
    </row>
    <row r="96" spans="8:19" x14ac:dyDescent="0.25">
      <c r="S96" s="19"/>
    </row>
  </sheetData>
  <sheetProtection sheet="1" objects="1" scenarios="1"/>
  <autoFilter ref="U62:V62" xr:uid="{00000000-0009-0000-0000-000023000000}"/>
  <mergeCells count="5">
    <mergeCell ref="J2:K2"/>
    <mergeCell ref="B2:D2"/>
    <mergeCell ref="B26:D26"/>
    <mergeCell ref="B60:D60"/>
    <mergeCell ref="B76:D76"/>
  </mergeCells>
  <phoneticPr fontId="3" type="noConversion"/>
  <dataValidations count="13">
    <dataValidation type="list" allowBlank="1" showInputMessage="1" showErrorMessage="1" sqref="G61:G62 G57 G52 G31:G32 G68 G47" xr:uid="{B091652F-BEF1-47DF-A847-B4A9463197B1}">
      <formula1>"C,F"</formula1>
    </dataValidation>
    <dataValidation type="list" allowBlank="1" showInputMessage="1" showErrorMessage="1" sqref="G71 G66 G63 G30 G46" xr:uid="{8B3BF287-7C9E-4DFA-A84A-2ADE918EF860}">
      <formula1>"atm,psi,kPa"</formula1>
    </dataValidation>
    <dataValidation type="list" allowBlank="1" showInputMessage="1" showErrorMessage="1" sqref="G64 G77:G79 G4:G5 G33:G34" xr:uid="{03B50849-9435-42B2-8539-14252421AB8B}">
      <formula1>"Kg,Lb"</formula1>
    </dataValidation>
    <dataValidation type="list" allowBlank="1" showInputMessage="1" showErrorMessage="1" sqref="G38 G72:G74" xr:uid="{8F0E1151-6E74-4851-B22E-D7C593D81309}">
      <formula1>"Kg/sec,Kg/min,Kg/hr,Lb/sec,Lb/min,Lb/hr"</formula1>
    </dataValidation>
    <dataValidation type="list" allowBlank="1" showInputMessage="1" showErrorMessage="1" sqref="G65 G41 G43 G36 G8:G24" xr:uid="{B283CEA9-21A4-4096-8836-333CAF3764D8}">
      <formula1>"m,ft,in,cm,mm"</formula1>
    </dataValidation>
    <dataValidation type="list" allowBlank="1" showInputMessage="1" showErrorMessage="1" sqref="G58" xr:uid="{114E9EBE-51F4-46B6-A0D0-61EA9FB93B5B}">
      <formula1>"HP,Kwatt,BU/hr"</formula1>
    </dataValidation>
    <dataValidation type="list" allowBlank="1" showInputMessage="1" showErrorMessage="1" sqref="G48 G50 G55 G6 G3" xr:uid="{29CF8E77-9740-4B54-8E43-E6A22AA8EDE5}">
      <formula1>"sq m,sq ft"</formula1>
    </dataValidation>
    <dataValidation type="list" allowBlank="1" showInputMessage="1" showErrorMessage="1" sqref="G51 G56" xr:uid="{C8F4FEA5-2B13-4AD2-A5A7-AC0E8DC8DCAA}">
      <formula1>"Kwatt /sq m C,BTU/hr sq ft F,"</formula1>
    </dataValidation>
    <dataValidation type="list" allowBlank="1" showInputMessage="1" showErrorMessage="1" sqref="G44:G45 G42 G39:G40 G54" xr:uid="{3A07B612-93DB-4A57-8D13-4193DB5ED974}">
      <formula1>"in,cm,mm"</formula1>
    </dataValidation>
    <dataValidation type="list" allowBlank="1" showInputMessage="1" showErrorMessage="1" sqref="G37 G53" xr:uid="{682911AA-D49B-473B-8F6F-81931F8132B2}">
      <formula1>"atm,bar,psi,kPa"</formula1>
    </dataValidation>
    <dataValidation type="list" allowBlank="1" showInputMessage="1" showErrorMessage="1" sqref="G70 G67" xr:uid="{C5D25950-8449-46AA-87C2-D90073793C6B}">
      <formula1>Rate_List</formula1>
    </dataValidation>
    <dataValidation type="list" allowBlank="1" showInputMessage="1" showErrorMessage="1" sqref="G27:G29" xr:uid="{01805F11-F3E0-4529-82D5-CDB0D282A5B0}">
      <formula1>"gal,liter,cu m,cu ft"</formula1>
    </dataValidation>
    <dataValidation type="list" allowBlank="1" showInputMessage="1" showErrorMessage="1" sqref="G7 G35" xr:uid="{45B9B80E-88F1-4B76-B65C-5D22A2608452}">
      <formula1>"cu m,cu ft,liter"</formula1>
    </dataValidation>
  </dataValidations>
  <pageMargins left="0.25" right="0" top="0" bottom="0.25" header="0.25" footer="0.25"/>
  <pageSetup scale="95" orientation="portrait" r:id="rId1"/>
  <headerFooter alignWithMargins="0"/>
  <legacyDrawing r:id="rId2"/>
</worksheet>
</file>

<file path=docMetadata/LabelInfo.xml><?xml version="1.0" encoding="utf-8"?>
<clbl:labelList xmlns:clbl="http://schemas.microsoft.com/office/2020/mipLabelMetadata">
  <clbl:label id="{6c5697cc-1ece-4c48-8e3b-7c379c02aab6}" enabled="0" method="" siteId="{6c5697cc-1ece-4c48-8e3b-7c379c02aab6}"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35</vt:i4>
      </vt:variant>
      <vt:variant>
        <vt:lpstr>Named Ranges</vt:lpstr>
      </vt:variant>
      <vt:variant>
        <vt:i4>3421</vt:i4>
      </vt:variant>
    </vt:vector>
  </HeadingPairs>
  <TitlesOfParts>
    <vt:vector size="3456" baseType="lpstr">
      <vt:lpstr>Introduction</vt:lpstr>
      <vt:lpstr>Main Menu</vt:lpstr>
      <vt:lpstr>Workbook Notes</vt:lpstr>
      <vt:lpstr>LOPA Menu</vt:lpstr>
      <vt:lpstr>Chemical Properties</vt:lpstr>
      <vt:lpstr>Equipment Table</vt:lpstr>
      <vt:lpstr>Chemical Data</vt:lpstr>
      <vt:lpstr>Equipment Input</vt:lpstr>
      <vt:lpstr>New Chemical</vt:lpstr>
      <vt:lpstr>Process Conditions</vt:lpstr>
      <vt:lpstr>Plant Layout</vt:lpstr>
      <vt:lpstr>Reaction Input</vt:lpstr>
      <vt:lpstr>Input Guidance</vt:lpstr>
      <vt:lpstr>Input Error Check</vt:lpstr>
      <vt:lpstr>FEI &amp; CEI</vt:lpstr>
      <vt:lpstr>Scenario List</vt:lpstr>
      <vt:lpstr>Hazards &amp; Consequences</vt:lpstr>
      <vt:lpstr>Pool Fire Frequency</vt:lpstr>
      <vt:lpstr>Relief Effluent</vt:lpstr>
      <vt:lpstr>Scenario Identification</vt:lpstr>
      <vt:lpstr>Scenario Descriptors</vt:lpstr>
      <vt:lpstr>User Scenario</vt:lpstr>
      <vt:lpstr>Scenario Analysis</vt:lpstr>
      <vt:lpstr>Scenario Selection Guidance</vt:lpstr>
      <vt:lpstr>Scenario Results</vt:lpstr>
      <vt:lpstr>MART_MALR</vt:lpstr>
      <vt:lpstr>IPL List</vt:lpstr>
      <vt:lpstr>Risk Summary</vt:lpstr>
      <vt:lpstr>LOPA Worksheet</vt:lpstr>
      <vt:lpstr>Release Calculations</vt:lpstr>
      <vt:lpstr>Special Calcs</vt:lpstr>
      <vt:lpstr>Revision History</vt:lpstr>
      <vt:lpstr>Study Parameters</vt:lpstr>
      <vt:lpstr>IPL Credits</vt:lpstr>
      <vt:lpstr>Unit Conversion</vt:lpstr>
      <vt:lpstr>Access</vt:lpstr>
      <vt:lpstr>Access_List</vt:lpstr>
      <vt:lpstr>Act_1</vt:lpstr>
      <vt:lpstr>Act_2</vt:lpstr>
      <vt:lpstr>Act_3</vt:lpstr>
      <vt:lpstr>Act_4</vt:lpstr>
      <vt:lpstr>Act_5</vt:lpstr>
      <vt:lpstr>Act_Energy</vt:lpstr>
      <vt:lpstr>Act_Energy_C</vt:lpstr>
      <vt:lpstr>Act_Energy_U</vt:lpstr>
      <vt:lpstr>Act_rel</vt:lpstr>
      <vt:lpstr>ActEng_R1</vt:lpstr>
      <vt:lpstr>ActEng_R2</vt:lpstr>
      <vt:lpstr>ActEng_T1</vt:lpstr>
      <vt:lpstr>ActEng_T2</vt:lpstr>
      <vt:lpstr>ActHT_1</vt:lpstr>
      <vt:lpstr>ActHT_2</vt:lpstr>
      <vt:lpstr>ActHT_3</vt:lpstr>
      <vt:lpstr>ActHT_4</vt:lpstr>
      <vt:lpstr>ActHT_5</vt:lpstr>
      <vt:lpstr>ActHT_Rel</vt:lpstr>
      <vt:lpstr>Activation_Energy_Est</vt:lpstr>
      <vt:lpstr>Adjacent_Dike</vt:lpstr>
      <vt:lpstr>Adjacent_Dike_Area</vt:lpstr>
      <vt:lpstr>Adjacent_Dike_Units</vt:lpstr>
      <vt:lpstr>Adjusted_Flanges</vt:lpstr>
      <vt:lpstr>AdRx_TempRise</vt:lpstr>
      <vt:lpstr>Aerosol_Diameter</vt:lpstr>
      <vt:lpstr>Aerosol_Diameter_Backflow</vt:lpstr>
      <vt:lpstr>Aerosol_Diameter_Overfill</vt:lpstr>
      <vt:lpstr>Aerosol_Drop_Limit</vt:lpstr>
      <vt:lpstr>Aerosol_Internal</vt:lpstr>
      <vt:lpstr>Aerosol_Potential</vt:lpstr>
      <vt:lpstr>AIDefault</vt:lpstr>
      <vt:lpstr>AIgnite_C</vt:lpstr>
      <vt:lpstr>AIgnite_Feed</vt:lpstr>
      <vt:lpstr>AIgnite_HT</vt:lpstr>
      <vt:lpstr>AIgnite_N</vt:lpstr>
      <vt:lpstr>AIgnite_U</vt:lpstr>
      <vt:lpstr>Air_Dens</vt:lpstr>
      <vt:lpstr>Alpha_1</vt:lpstr>
      <vt:lpstr>Alpha_2</vt:lpstr>
      <vt:lpstr>Alpha_3</vt:lpstr>
      <vt:lpstr>Alpha_4</vt:lpstr>
      <vt:lpstr>Alpha_5</vt:lpstr>
      <vt:lpstr>AlphaHT_1</vt:lpstr>
      <vt:lpstr>AlphaHT_2</vt:lpstr>
      <vt:lpstr>AlphaHT_3</vt:lpstr>
      <vt:lpstr>AlphaHT_4</vt:lpstr>
      <vt:lpstr>AlphaHT_5</vt:lpstr>
      <vt:lpstr>Ambient_T_Default</vt:lpstr>
      <vt:lpstr>Ambient_Temp</vt:lpstr>
      <vt:lpstr>Ambient_Temp_Input</vt:lpstr>
      <vt:lpstr>Ambient_Temp_Units</vt:lpstr>
      <vt:lpstr>Ambient_Tmin</vt:lpstr>
      <vt:lpstr>Apool_Backflow</vt:lpstr>
      <vt:lpstr>Apool_Drain</vt:lpstr>
      <vt:lpstr>Apool_ExtremeLarge</vt:lpstr>
      <vt:lpstr>Apool_FullBore</vt:lpstr>
      <vt:lpstr>Apool_Medium</vt:lpstr>
      <vt:lpstr>Apool_Overfill</vt:lpstr>
      <vt:lpstr>Apool_Relief</vt:lpstr>
      <vt:lpstr>APool_RupFire</vt:lpstr>
      <vt:lpstr>APool_RupPeak</vt:lpstr>
      <vt:lpstr>APool_RupSat</vt:lpstr>
      <vt:lpstr>APool_Rupture</vt:lpstr>
      <vt:lpstr>Apool_Seal</vt:lpstr>
      <vt:lpstr>Apool_Small</vt:lpstr>
      <vt:lpstr>Apool_User</vt:lpstr>
      <vt:lpstr>Apool_UserHole</vt:lpstr>
      <vt:lpstr>Apool_VeryLarge</vt:lpstr>
      <vt:lpstr>Apool_VerySmall</vt:lpstr>
      <vt:lpstr>Approach_dT</vt:lpstr>
      <vt:lpstr>AQ_Fire</vt:lpstr>
      <vt:lpstr>AQ_Heat_Transfer</vt:lpstr>
      <vt:lpstr>AQ_Mechanical</vt:lpstr>
      <vt:lpstr>AQ_Overfill</vt:lpstr>
      <vt:lpstr>AQ_Reactive</vt:lpstr>
      <vt:lpstr>AQ_Reactive_Catalyst</vt:lpstr>
      <vt:lpstr>AQ_Reactive_MisLoading</vt:lpstr>
      <vt:lpstr>AQ_Reactive_Pooling</vt:lpstr>
      <vt:lpstr>AQ_Reactive_withFire</vt:lpstr>
      <vt:lpstr>AQ_Relief</vt:lpstr>
      <vt:lpstr>AQ_Small</vt:lpstr>
      <vt:lpstr>Aquatic_Tox_Feed</vt:lpstr>
      <vt:lpstr>Aquatic_Tox_HT</vt:lpstr>
      <vt:lpstr>Aquatic_Tox_N</vt:lpstr>
      <vt:lpstr>Aquatic_Tox_U</vt:lpstr>
      <vt:lpstr>Area_Fraction</vt:lpstr>
      <vt:lpstr>Area_List</vt:lpstr>
      <vt:lpstr>AS_1</vt:lpstr>
      <vt:lpstr>AS_10</vt:lpstr>
      <vt:lpstr>AS_11</vt:lpstr>
      <vt:lpstr>AS_12</vt:lpstr>
      <vt:lpstr>AS_13</vt:lpstr>
      <vt:lpstr>AS_14</vt:lpstr>
      <vt:lpstr>AS_15</vt:lpstr>
      <vt:lpstr>AS_16</vt:lpstr>
      <vt:lpstr>AS_17</vt:lpstr>
      <vt:lpstr>AS_18</vt:lpstr>
      <vt:lpstr>AS_19</vt:lpstr>
      <vt:lpstr>AS_2</vt:lpstr>
      <vt:lpstr>AS_20</vt:lpstr>
      <vt:lpstr>AS_21</vt:lpstr>
      <vt:lpstr>AS_22</vt:lpstr>
      <vt:lpstr>AS_23</vt:lpstr>
      <vt:lpstr>AS_24</vt:lpstr>
      <vt:lpstr>AS_25</vt:lpstr>
      <vt:lpstr>AS_26</vt:lpstr>
      <vt:lpstr>AS_27</vt:lpstr>
      <vt:lpstr>AS_28</vt:lpstr>
      <vt:lpstr>AS_29</vt:lpstr>
      <vt:lpstr>AS_3</vt:lpstr>
      <vt:lpstr>AS_30</vt:lpstr>
      <vt:lpstr>AS_31</vt:lpstr>
      <vt:lpstr>AS_32</vt:lpstr>
      <vt:lpstr>AS_33</vt:lpstr>
      <vt:lpstr>AS_34</vt:lpstr>
      <vt:lpstr>AS_35</vt:lpstr>
      <vt:lpstr>AS_36</vt:lpstr>
      <vt:lpstr>AS_37</vt:lpstr>
      <vt:lpstr>AS_38</vt:lpstr>
      <vt:lpstr>AS_39</vt:lpstr>
      <vt:lpstr>AS_4</vt:lpstr>
      <vt:lpstr>AS_40</vt:lpstr>
      <vt:lpstr>AS_41</vt:lpstr>
      <vt:lpstr>AS_42</vt:lpstr>
      <vt:lpstr>AS_43</vt:lpstr>
      <vt:lpstr>AS_44</vt:lpstr>
      <vt:lpstr>AS_45</vt:lpstr>
      <vt:lpstr>AS_46</vt:lpstr>
      <vt:lpstr>AS_47</vt:lpstr>
      <vt:lpstr>AS_48</vt:lpstr>
      <vt:lpstr>AS_49</vt:lpstr>
      <vt:lpstr>AS_5</vt:lpstr>
      <vt:lpstr>AS_50</vt:lpstr>
      <vt:lpstr>AS_51</vt:lpstr>
      <vt:lpstr>AS_52</vt:lpstr>
      <vt:lpstr>AS_53</vt:lpstr>
      <vt:lpstr>AS_54</vt:lpstr>
      <vt:lpstr>AS_55</vt:lpstr>
      <vt:lpstr>AS_56</vt:lpstr>
      <vt:lpstr>AS_57</vt:lpstr>
      <vt:lpstr>AS_58</vt:lpstr>
      <vt:lpstr>AS_6</vt:lpstr>
      <vt:lpstr>AS_7</vt:lpstr>
      <vt:lpstr>AS_8</vt:lpstr>
      <vt:lpstr>AS_9</vt:lpstr>
      <vt:lpstr>Asp_Limit</vt:lpstr>
      <vt:lpstr>Asp_Screen</vt:lpstr>
      <vt:lpstr>Atm_Stability</vt:lpstr>
      <vt:lpstr>Atm_Stability_Night</vt:lpstr>
      <vt:lpstr>ATRS_C</vt:lpstr>
      <vt:lpstr>Attended</vt:lpstr>
      <vt:lpstr>Attended_Op</vt:lpstr>
      <vt:lpstr>Auto_Valve_List</vt:lpstr>
      <vt:lpstr>Automated_EBV</vt:lpstr>
      <vt:lpstr>AvgConc_Correction</vt:lpstr>
      <vt:lpstr>AvgTime_Correction</vt:lpstr>
      <vt:lpstr>Backflow</vt:lpstr>
      <vt:lpstr>Backflow_Input</vt:lpstr>
      <vt:lpstr>Backflow_Time</vt:lpstr>
      <vt:lpstr>Backflow_Time_Units</vt:lpstr>
      <vt:lpstr>Backflow_Units</vt:lpstr>
      <vt:lpstr>Backflow_Velocity</vt:lpstr>
      <vt:lpstr>Blast_Direct</vt:lpstr>
      <vt:lpstr>Blast_Fragments</vt:lpstr>
      <vt:lpstr>Bldg_Explosion_0.3psi</vt:lpstr>
      <vt:lpstr>Bldg_Explosion_0.3psi_HT</vt:lpstr>
      <vt:lpstr>Bldg_Explosion_1psi</vt:lpstr>
      <vt:lpstr>Bldg_Explosion_1psi_HT</vt:lpstr>
      <vt:lpstr>Bldg_Explosion_Center</vt:lpstr>
      <vt:lpstr>Bldg_Explosion_Center_HT</vt:lpstr>
      <vt:lpstr>Bldg_Explosion_Energy</vt:lpstr>
      <vt:lpstr>Bldg_Explosion_Press</vt:lpstr>
      <vt:lpstr>Bldg_Explosion_Press_HT</vt:lpstr>
      <vt:lpstr>Bldg_Type</vt:lpstr>
      <vt:lpstr>Bldg_Type_Coefficient</vt:lpstr>
      <vt:lpstr>Bldg_Type_Correction</vt:lpstr>
      <vt:lpstr>Bldg_Type_Exponent</vt:lpstr>
      <vt:lpstr>Bldg_Type_List</vt:lpstr>
      <vt:lpstr>Bldg_Vulnerable</vt:lpstr>
      <vt:lpstr>Bldg_Vulnerable2</vt:lpstr>
      <vt:lpstr>Bldg_Vulnerable3</vt:lpstr>
      <vt:lpstr>Bldg2_Explosion_Center</vt:lpstr>
      <vt:lpstr>Bldg2_Explosion_Center_HT</vt:lpstr>
      <vt:lpstr>Bldg2_Explosion_Press</vt:lpstr>
      <vt:lpstr>Bldg2_Explosion_Press_HT</vt:lpstr>
      <vt:lpstr>Bldg2_Type</vt:lpstr>
      <vt:lpstr>Bldg2_Type_Coefficient</vt:lpstr>
      <vt:lpstr>Bldg2_Type_Correction</vt:lpstr>
      <vt:lpstr>Bldg2_Type_Exponent</vt:lpstr>
      <vt:lpstr>BldgExp_Strength</vt:lpstr>
      <vt:lpstr>BldgExp_Strength_HT</vt:lpstr>
      <vt:lpstr>BldgType_Desc</vt:lpstr>
      <vt:lpstr>BldgType_Desc2</vt:lpstr>
      <vt:lpstr>BldgType_Desc3</vt:lpstr>
      <vt:lpstr>BldgType_Exp</vt:lpstr>
      <vt:lpstr>BldgType_Exp2</vt:lpstr>
      <vt:lpstr>BldgType_Exp3</vt:lpstr>
      <vt:lpstr>BldgType_Limit</vt:lpstr>
      <vt:lpstr>BldgType_Limit2</vt:lpstr>
      <vt:lpstr>BldgType_Limit3</vt:lpstr>
      <vt:lpstr>BldgType_List</vt:lpstr>
      <vt:lpstr>BP_C</vt:lpstr>
      <vt:lpstr>Brittle</vt:lpstr>
      <vt:lpstr>BST_gt1_Coeff</vt:lpstr>
      <vt:lpstr>BST_gt1_Exp</vt:lpstr>
      <vt:lpstr>BST_gt1_Limit</vt:lpstr>
      <vt:lpstr>BST_mach0.35_Coeff</vt:lpstr>
      <vt:lpstr>BST_mach0.35_Exp</vt:lpstr>
      <vt:lpstr>BST_mach0.35_Limit</vt:lpstr>
      <vt:lpstr>BST_mach0.5_Coeff</vt:lpstr>
      <vt:lpstr>BST_mach0.5_Exp</vt:lpstr>
      <vt:lpstr>BST_mach0.5_Limit</vt:lpstr>
      <vt:lpstr>BST_mach1_Coeff</vt:lpstr>
      <vt:lpstr>BST_mach1_Exp</vt:lpstr>
      <vt:lpstr>BST_mach1_Limit</vt:lpstr>
      <vt:lpstr>Bulk_Density</vt:lpstr>
      <vt:lpstr>Burst_P</vt:lpstr>
      <vt:lpstr>Bus_Loss</vt:lpstr>
      <vt:lpstr>Cas_No_C</vt:lpstr>
      <vt:lpstr>Cas_No_N</vt:lpstr>
      <vt:lpstr>Catalyzed</vt:lpstr>
      <vt:lpstr>Cd</vt:lpstr>
      <vt:lpstr>Cd_Relief</vt:lpstr>
      <vt:lpstr>Cd_Rounded</vt:lpstr>
      <vt:lpstr>CEI</vt:lpstr>
      <vt:lpstr>CEI_Desc</vt:lpstr>
      <vt:lpstr>CEI_HD2</vt:lpstr>
      <vt:lpstr>CEI_HD3</vt:lpstr>
      <vt:lpstr>CEI_Pool_Fire</vt:lpstr>
      <vt:lpstr>CEI_Review</vt:lpstr>
      <vt:lpstr>CEI_Review_Date</vt:lpstr>
      <vt:lpstr>CEI_Size</vt:lpstr>
      <vt:lpstr>Chem_Comments</vt:lpstr>
      <vt:lpstr>Chem_ExposureHazard</vt:lpstr>
      <vt:lpstr>Chem_ExposureHazard_HT</vt:lpstr>
      <vt:lpstr>Chem_Reference</vt:lpstr>
      <vt:lpstr>Chem_Reference_C</vt:lpstr>
      <vt:lpstr>Chem_Table</vt:lpstr>
      <vt:lpstr>ChemExp_Flow_Limit</vt:lpstr>
      <vt:lpstr>ChemExp_Mass_Limit</vt:lpstr>
      <vt:lpstr>Chemical</vt:lpstr>
      <vt:lpstr>Chemical_1</vt:lpstr>
      <vt:lpstr>Chemical_1_C</vt:lpstr>
      <vt:lpstr>Chemical_2</vt:lpstr>
      <vt:lpstr>Chemical_2_C</vt:lpstr>
      <vt:lpstr>Chemical_3</vt:lpstr>
      <vt:lpstr>Chemical_3_C</vt:lpstr>
      <vt:lpstr>Chemical_4</vt:lpstr>
      <vt:lpstr>Chemical_4_C</vt:lpstr>
      <vt:lpstr>Chemical_5</vt:lpstr>
      <vt:lpstr>Chemical_5_C</vt:lpstr>
      <vt:lpstr>Chemical_C</vt:lpstr>
      <vt:lpstr>ChemName_1</vt:lpstr>
      <vt:lpstr>ChemName_2</vt:lpstr>
      <vt:lpstr>ChemName_3</vt:lpstr>
      <vt:lpstr>ChemName_4</vt:lpstr>
      <vt:lpstr>ChemName_5</vt:lpstr>
      <vt:lpstr>ChemTable_1</vt:lpstr>
      <vt:lpstr>ChemTable_2</vt:lpstr>
      <vt:lpstr>ChemTable_3</vt:lpstr>
      <vt:lpstr>ChemTable_4</vt:lpstr>
      <vt:lpstr>ChemTable_5</vt:lpstr>
      <vt:lpstr>ConcFract_Indoor</vt:lpstr>
      <vt:lpstr>Conductive_C</vt:lpstr>
      <vt:lpstr>Conductive_Feed</vt:lpstr>
      <vt:lpstr>Conductive_HT</vt:lpstr>
      <vt:lpstr>Conductive_N</vt:lpstr>
      <vt:lpstr>Conductive_U</vt:lpstr>
      <vt:lpstr>Conductivity_List</vt:lpstr>
      <vt:lpstr>Congestion</vt:lpstr>
      <vt:lpstr>Congestion_List</vt:lpstr>
      <vt:lpstr>Connection_List</vt:lpstr>
      <vt:lpstr>Connection_Type</vt:lpstr>
      <vt:lpstr>Conseq_Criteria</vt:lpstr>
      <vt:lpstr>Conseq_ExtremeHigh</vt:lpstr>
      <vt:lpstr>Conseq_ExtremeHigh_Bus</vt:lpstr>
      <vt:lpstr>Conseq_ExtremeHigh_Environ</vt:lpstr>
      <vt:lpstr>Conseq_GT_ExtremeHigh</vt:lpstr>
      <vt:lpstr>Conseq_High</vt:lpstr>
      <vt:lpstr>Conseq_High_Bus</vt:lpstr>
      <vt:lpstr>Conseq_High_Environ</vt:lpstr>
      <vt:lpstr>Conseq_Low</vt:lpstr>
      <vt:lpstr>Conseq_Low_Bus</vt:lpstr>
      <vt:lpstr>Conseq_Low_Environ</vt:lpstr>
      <vt:lpstr>Conseq_Low_Offsite</vt:lpstr>
      <vt:lpstr>Conseq_Moderate</vt:lpstr>
      <vt:lpstr>Conseq_Moderate_Bus</vt:lpstr>
      <vt:lpstr>Conseq_Moderate_Environ</vt:lpstr>
      <vt:lpstr>Conseq_VeryHigh</vt:lpstr>
      <vt:lpstr>Conseq_VeryHigh_Bus</vt:lpstr>
      <vt:lpstr>Conseq_VeryHigh_Environ</vt:lpstr>
      <vt:lpstr>Conseq_VeryLow</vt:lpstr>
      <vt:lpstr>Conseq_VeryLow_Bus</vt:lpstr>
      <vt:lpstr>Conseq_VeryLow_Environ</vt:lpstr>
      <vt:lpstr>Conseq_VeryLow_Offsite</vt:lpstr>
      <vt:lpstr>Consequence</vt:lpstr>
      <vt:lpstr>Consequence_List1</vt:lpstr>
      <vt:lpstr>Consequence_List2</vt:lpstr>
      <vt:lpstr>ContainedMass</vt:lpstr>
      <vt:lpstr>ContainedMass_Output</vt:lpstr>
      <vt:lpstr>ContainedMass_Units</vt:lpstr>
      <vt:lpstr>Coolant_Area</vt:lpstr>
      <vt:lpstr>Coolant_Area_Input</vt:lpstr>
      <vt:lpstr>Coolant_Area_Units</vt:lpstr>
      <vt:lpstr>Coolant_Temp</vt:lpstr>
      <vt:lpstr>Coolant_Temp_Input</vt:lpstr>
      <vt:lpstr>Coolant_Temp_Units</vt:lpstr>
      <vt:lpstr>Coolant_U</vt:lpstr>
      <vt:lpstr>Coolant_U_Input</vt:lpstr>
      <vt:lpstr>Coolant_U_Units</vt:lpstr>
      <vt:lpstr>Corrosion_Insulation</vt:lpstr>
      <vt:lpstr>Corrosion_List</vt:lpstr>
      <vt:lpstr>Corrosive</vt:lpstr>
      <vt:lpstr>Cost_1</vt:lpstr>
      <vt:lpstr>Cost_2</vt:lpstr>
      <vt:lpstr>Cost_3</vt:lpstr>
      <vt:lpstr>Cost_4</vt:lpstr>
      <vt:lpstr>Cost_5</vt:lpstr>
      <vt:lpstr>Cost_6</vt:lpstr>
      <vt:lpstr>Cost_List</vt:lpstr>
      <vt:lpstr>Cp_Data_Units</vt:lpstr>
      <vt:lpstr>CP_Detonable</vt:lpstr>
      <vt:lpstr>Credit_Vent_Shutoff</vt:lpstr>
      <vt:lpstr>CT_Void_Fraction</vt:lpstr>
      <vt:lpstr>Current_Version</vt:lpstr>
      <vt:lpstr>D</vt:lpstr>
      <vt:lpstr>D_Drain</vt:lpstr>
      <vt:lpstr>D_ExtremeLarge</vt:lpstr>
      <vt:lpstr>D_Input</vt:lpstr>
      <vt:lpstr>D_Medium</vt:lpstr>
      <vt:lpstr>D_Seal</vt:lpstr>
      <vt:lpstr>D_Small</vt:lpstr>
      <vt:lpstr>D_Units</vt:lpstr>
      <vt:lpstr>D_VeryLarge</vt:lpstr>
      <vt:lpstr>D_VerySmall</vt:lpstr>
      <vt:lpstr>dAlpha_1</vt:lpstr>
      <vt:lpstr>dAlpha_2</vt:lpstr>
      <vt:lpstr>dAlpha_3</vt:lpstr>
      <vt:lpstr>dAlpha_4</vt:lpstr>
      <vt:lpstr>dAlpha_5</vt:lpstr>
      <vt:lpstr>Date</vt:lpstr>
      <vt:lpstr>DC_Cmax</vt:lpstr>
      <vt:lpstr>DC_D_Area_Industrial</vt:lpstr>
      <vt:lpstr>DC_D_Area_Rural</vt:lpstr>
      <vt:lpstr>DC_D_Area_Urban</vt:lpstr>
      <vt:lpstr>DC_Duration</vt:lpstr>
      <vt:lpstr>DC_Duration_Initial</vt:lpstr>
      <vt:lpstr>DC_F_Area_Industrial</vt:lpstr>
      <vt:lpstr>DC_F_Area_Rural</vt:lpstr>
      <vt:lpstr>DC_F_Area_Urban</vt:lpstr>
      <vt:lpstr>DC2_D_Area_Industrial</vt:lpstr>
      <vt:lpstr>DC2_D_Area_Rural</vt:lpstr>
      <vt:lpstr>DC2_D_Area_Urban</vt:lpstr>
      <vt:lpstr>DC2_F_Area_Industrial</vt:lpstr>
      <vt:lpstr>DC2_F_Area_Rural</vt:lpstr>
      <vt:lpstr>DC2_F_Area_Urban</vt:lpstr>
      <vt:lpstr>DCI_D_Area</vt:lpstr>
      <vt:lpstr>DCI_F_Area</vt:lpstr>
      <vt:lpstr>Deflagration_0.3psi_Distance</vt:lpstr>
      <vt:lpstr>Deflagration_1.0psi_Distance</vt:lpstr>
      <vt:lpstr>Deflagration_10psi_Distance</vt:lpstr>
      <vt:lpstr>Deflagration_Energy</vt:lpstr>
      <vt:lpstr>Deflagration_HD2</vt:lpstr>
      <vt:lpstr>Deflagration_HD3</vt:lpstr>
      <vt:lpstr>Deflagration_Press_Bldg1</vt:lpstr>
      <vt:lpstr>Deflagration_Press_Bldg1_Cntr</vt:lpstr>
      <vt:lpstr>Deflagration_Press_Bldg2</vt:lpstr>
      <vt:lpstr>Deflagration_Press_Bldg2_Cntr</vt:lpstr>
      <vt:lpstr>Deflagration_Volume</vt:lpstr>
      <vt:lpstr>Delete_Chemical</vt:lpstr>
      <vt:lpstr>Delete_Eliminated</vt:lpstr>
      <vt:lpstr>Dens_A_N</vt:lpstr>
      <vt:lpstr>Dens_B_N</vt:lpstr>
      <vt:lpstr>Dens_Data_Units</vt:lpstr>
      <vt:lpstr>Density_Other</vt:lpstr>
      <vt:lpstr>Depressurization_1</vt:lpstr>
      <vt:lpstr>Depressurization_2</vt:lpstr>
      <vt:lpstr>Depressurization_3</vt:lpstr>
      <vt:lpstr>Depressurization_4</vt:lpstr>
      <vt:lpstr>Depressurization_5</vt:lpstr>
      <vt:lpstr>Dermal_Tox_Feed</vt:lpstr>
      <vt:lpstr>Dermal_Tox_HT</vt:lpstr>
      <vt:lpstr>Dermal_Tox_N</vt:lpstr>
      <vt:lpstr>Dermal_Tox_U</vt:lpstr>
      <vt:lpstr>DermalTox_List</vt:lpstr>
      <vt:lpstr>Desc_ExtremeHigh</vt:lpstr>
      <vt:lpstr>Desc_ExtremeHigh_Bus</vt:lpstr>
      <vt:lpstr>Desc_ExtremeHigh_Environ</vt:lpstr>
      <vt:lpstr>Desc_GT_ExtremeHigh</vt:lpstr>
      <vt:lpstr>Desc_High</vt:lpstr>
      <vt:lpstr>Desc_High_Bus</vt:lpstr>
      <vt:lpstr>Desc_High_Environ</vt:lpstr>
      <vt:lpstr>Desc_Low</vt:lpstr>
      <vt:lpstr>Desc_Low_Bus</vt:lpstr>
      <vt:lpstr>Desc_Low_Environ</vt:lpstr>
      <vt:lpstr>Desc_Low_Offsite</vt:lpstr>
      <vt:lpstr>Desc_Moderate</vt:lpstr>
      <vt:lpstr>Desc_Moderate_Bus</vt:lpstr>
      <vt:lpstr>Desc_Moderate_Environ</vt:lpstr>
      <vt:lpstr>Desc_VeryHigh</vt:lpstr>
      <vt:lpstr>Desc_VeryHigh_Bus</vt:lpstr>
      <vt:lpstr>Desc_VeryHigh_Environ</vt:lpstr>
      <vt:lpstr>Desc_VeryLow</vt:lpstr>
      <vt:lpstr>Desc_VeryLow_Bus</vt:lpstr>
      <vt:lpstr>Desc_VeryLow_Environ</vt:lpstr>
      <vt:lpstr>Desc_VeryLow_Offsite</vt:lpstr>
      <vt:lpstr>Description</vt:lpstr>
      <vt:lpstr>Design_Intent</vt:lpstr>
      <vt:lpstr>Detonation_Limit</vt:lpstr>
      <vt:lpstr>Detonation_Potential</vt:lpstr>
      <vt:lpstr>Dh</vt:lpstr>
      <vt:lpstr>Dh_Input</vt:lpstr>
      <vt:lpstr>Dh_Units</vt:lpstr>
      <vt:lpstr>DHR</vt:lpstr>
      <vt:lpstr>DHR_C</vt:lpstr>
      <vt:lpstr>DHR_U</vt:lpstr>
      <vt:lpstr>Diameter_Units_Conversion</vt:lpstr>
      <vt:lpstr>Dike_Area</vt:lpstr>
      <vt:lpstr>Dike_Area_Input</vt:lpstr>
      <vt:lpstr>Dike_Area_Units</vt:lpstr>
      <vt:lpstr>Dike_Design</vt:lpstr>
      <vt:lpstr>Dip_Pipe</vt:lpstr>
      <vt:lpstr>Discharge_List</vt:lpstr>
      <vt:lpstr>Discharge_Velocity</vt:lpstr>
      <vt:lpstr>Discharge_VelocityTP</vt:lpstr>
      <vt:lpstr>Disk_Relief</vt:lpstr>
      <vt:lpstr>Dispersion_D</vt:lpstr>
      <vt:lpstr>Dispersion_E</vt:lpstr>
      <vt:lpstr>Dispersion_I</vt:lpstr>
      <vt:lpstr>Dispersion_M</vt:lpstr>
      <vt:lpstr>Dispersion_N</vt:lpstr>
      <vt:lpstr>Dispersion_R</vt:lpstr>
      <vt:lpstr>Displace_Flow</vt:lpstr>
      <vt:lpstr>Dist_List</vt:lpstr>
      <vt:lpstr>Downstr_P</vt:lpstr>
      <vt:lpstr>Downstr_P_Input</vt:lpstr>
      <vt:lpstr>Downstr_P_Units</vt:lpstr>
      <vt:lpstr>Downstream_Population</vt:lpstr>
      <vt:lpstr>Drain_D</vt:lpstr>
      <vt:lpstr>Drain_HD2</vt:lpstr>
      <vt:lpstr>Drain_HD3</vt:lpstr>
      <vt:lpstr>Drain_Input</vt:lpstr>
      <vt:lpstr>Drain_Units</vt:lpstr>
      <vt:lpstr>Drainage_Credit</vt:lpstr>
      <vt:lpstr>Drainage_List</vt:lpstr>
      <vt:lpstr>dRel_1</vt:lpstr>
      <vt:lpstr>dRel_2</vt:lpstr>
      <vt:lpstr>dRel_3</vt:lpstr>
      <vt:lpstr>dRel_4</vt:lpstr>
      <vt:lpstr>dRel_5</vt:lpstr>
      <vt:lpstr>DrumOven_Volume</vt:lpstr>
      <vt:lpstr>DrumOven_Volume_Input</vt:lpstr>
      <vt:lpstr>DrumOven_Volume_Units</vt:lpstr>
      <vt:lpstr>DTRS_C</vt:lpstr>
      <vt:lpstr>Duration</vt:lpstr>
      <vt:lpstr>Duration_Backflow</vt:lpstr>
      <vt:lpstr>Duration_Drain</vt:lpstr>
      <vt:lpstr>Duration_ExtremeLarge</vt:lpstr>
      <vt:lpstr>Duration_Fire</vt:lpstr>
      <vt:lpstr>Duration_Ht_Trans</vt:lpstr>
      <vt:lpstr>Duration_Mech_Energy</vt:lpstr>
      <vt:lpstr>Duration_Medium</vt:lpstr>
      <vt:lpstr>Duration_Overfill</vt:lpstr>
      <vt:lpstr>Duration_Reaction</vt:lpstr>
      <vt:lpstr>Duration_Reaction_Catalyst</vt:lpstr>
      <vt:lpstr>Duration_Reaction_MisLoading</vt:lpstr>
      <vt:lpstr>Duration_Reaction_Pooling</vt:lpstr>
      <vt:lpstr>Duration_Reaction_withFire</vt:lpstr>
      <vt:lpstr>Duration_Relief</vt:lpstr>
      <vt:lpstr>Duration_Rupture</vt:lpstr>
      <vt:lpstr>Duration_Seal</vt:lpstr>
      <vt:lpstr>Duration_Small</vt:lpstr>
      <vt:lpstr>Duration_User</vt:lpstr>
      <vt:lpstr>Duration_UserHole</vt:lpstr>
      <vt:lpstr>Duration_VeryLarge</vt:lpstr>
      <vt:lpstr>Duration_VerySmall</vt:lpstr>
      <vt:lpstr>Dust_Class_C</vt:lpstr>
      <vt:lpstr>Dust_Class_Feed</vt:lpstr>
      <vt:lpstr>Dust_Class_N</vt:lpstr>
      <vt:lpstr>Dust_Class_U</vt:lpstr>
      <vt:lpstr>Dust_Deflag_External</vt:lpstr>
      <vt:lpstr>Dust_Deflagration</vt:lpstr>
      <vt:lpstr>Dust_Equip_POI</vt:lpstr>
      <vt:lpstr>Dust_Explosion</vt:lpstr>
      <vt:lpstr>Dust_Fireball</vt:lpstr>
      <vt:lpstr>Dust_High_MIE</vt:lpstr>
      <vt:lpstr>Dust_Hybrid_C</vt:lpstr>
      <vt:lpstr>Dust_Hybrid_Feed</vt:lpstr>
      <vt:lpstr>Dust_Hybrid_N</vt:lpstr>
      <vt:lpstr>Dust_Hybrid_U</vt:lpstr>
      <vt:lpstr>Dust_Low_MIE</vt:lpstr>
      <vt:lpstr>Dust_MIE_C</vt:lpstr>
      <vt:lpstr>Dust_MIE_Feed</vt:lpstr>
      <vt:lpstr>Dust_MIE_N</vt:lpstr>
      <vt:lpstr>Dust_MIE_U</vt:lpstr>
      <vt:lpstr>Dust_Screening_Limit</vt:lpstr>
      <vt:lpstr>Dust_SecondExpl_POE</vt:lpstr>
      <vt:lpstr>Dust_Size_C</vt:lpstr>
      <vt:lpstr>Dust_Size_Feed</vt:lpstr>
      <vt:lpstr>Dust_Size_Limit</vt:lpstr>
      <vt:lpstr>Dust_Size_N</vt:lpstr>
      <vt:lpstr>Dust_Size_U</vt:lpstr>
      <vt:lpstr>Dust_Spill_POI</vt:lpstr>
      <vt:lpstr>DustDefl_List</vt:lpstr>
      <vt:lpstr>Ease_of_Ignition_Feed</vt:lpstr>
      <vt:lpstr>Ease_of_Ignition_HT</vt:lpstr>
      <vt:lpstr>Ease_of_Ignition_N</vt:lpstr>
      <vt:lpstr>Ease_of_Ignition_U</vt:lpstr>
      <vt:lpstr>Effective_ContainedMass</vt:lpstr>
      <vt:lpstr>Effective_Fill_Fract</vt:lpstr>
      <vt:lpstr>Effective_SurArea</vt:lpstr>
      <vt:lpstr>Effluent_By</vt:lpstr>
      <vt:lpstr>Effluent_Case1</vt:lpstr>
      <vt:lpstr>Effluent_Case10</vt:lpstr>
      <vt:lpstr>Effluent_Case11</vt:lpstr>
      <vt:lpstr>Effluent_Case12</vt:lpstr>
      <vt:lpstr>Effluent_Case13</vt:lpstr>
      <vt:lpstr>Effluent_Case14</vt:lpstr>
      <vt:lpstr>Effluent_Case15</vt:lpstr>
      <vt:lpstr>Effluent_Case16</vt:lpstr>
      <vt:lpstr>Effluent_Case2</vt:lpstr>
      <vt:lpstr>Effluent_Case3</vt:lpstr>
      <vt:lpstr>Effluent_Case4</vt:lpstr>
      <vt:lpstr>Effluent_Case5</vt:lpstr>
      <vt:lpstr>Effluent_Case6</vt:lpstr>
      <vt:lpstr>Effluent_Case7</vt:lpstr>
      <vt:lpstr>Effluent_Case8</vt:lpstr>
      <vt:lpstr>Effluent_Case9</vt:lpstr>
      <vt:lpstr>Effluent_Comments1</vt:lpstr>
      <vt:lpstr>Effluent_Comments10</vt:lpstr>
      <vt:lpstr>Effluent_Comments11</vt:lpstr>
      <vt:lpstr>Effluent_Comments12</vt:lpstr>
      <vt:lpstr>Effluent_Comments13</vt:lpstr>
      <vt:lpstr>Effluent_Comments14</vt:lpstr>
      <vt:lpstr>Effluent_Comments15</vt:lpstr>
      <vt:lpstr>Effluent_Comments16</vt:lpstr>
      <vt:lpstr>Effluent_Comments2</vt:lpstr>
      <vt:lpstr>Effluent_Comments3</vt:lpstr>
      <vt:lpstr>Effluent_Comments4</vt:lpstr>
      <vt:lpstr>Effluent_Comments5</vt:lpstr>
      <vt:lpstr>Effluent_Comments6</vt:lpstr>
      <vt:lpstr>Effluent_Comments7</vt:lpstr>
      <vt:lpstr>Effluent_Comments8</vt:lpstr>
      <vt:lpstr>Effluent_Comments9</vt:lpstr>
      <vt:lpstr>Effluent_Date</vt:lpstr>
      <vt:lpstr>Effluent_List</vt:lpstr>
      <vt:lpstr>Effluent_Scenario</vt:lpstr>
      <vt:lpstr>Egress</vt:lpstr>
      <vt:lpstr>EI_C</vt:lpstr>
      <vt:lpstr>Elevation_30ft</vt:lpstr>
      <vt:lpstr>Embrittle_T</vt:lpstr>
      <vt:lpstr>Embrittle_T_Input</vt:lpstr>
      <vt:lpstr>Embrittle_T_Units</vt:lpstr>
      <vt:lpstr>Enclosed_Process_Volume</vt:lpstr>
      <vt:lpstr>Enclosed_Process_Volume_Input</vt:lpstr>
      <vt:lpstr>Enclosed_Process_Volume_Units</vt:lpstr>
      <vt:lpstr>Enclosed_Ventilation_Rate</vt:lpstr>
      <vt:lpstr>Endo_Reaction</vt:lpstr>
      <vt:lpstr>Endotherm_Table</vt:lpstr>
      <vt:lpstr>Endothermic_Reaction_Type</vt:lpstr>
      <vt:lpstr>Energy_List</vt:lpstr>
      <vt:lpstr>EquipExp_Strength</vt:lpstr>
      <vt:lpstr>EquipExp_Strength_HT</vt:lpstr>
      <vt:lpstr>Equipgroup_A</vt:lpstr>
      <vt:lpstr>Equipment</vt:lpstr>
      <vt:lpstr>Equipment_Elevation</vt:lpstr>
      <vt:lpstr>Equipment_Elevation_Input</vt:lpstr>
      <vt:lpstr>Equipment_Elevation_Units</vt:lpstr>
      <vt:lpstr>Equipment_Status</vt:lpstr>
      <vt:lpstr>Equipment_Table_Headings</vt:lpstr>
      <vt:lpstr>Equipment_Tag</vt:lpstr>
      <vt:lpstr>Equipment_Type</vt:lpstr>
      <vt:lpstr>Equipment_Volume</vt:lpstr>
      <vt:lpstr>EquipVol_List</vt:lpstr>
      <vt:lpstr>ER2_1</vt:lpstr>
      <vt:lpstr>ER2_2</vt:lpstr>
      <vt:lpstr>ER2_3</vt:lpstr>
      <vt:lpstr>ER2_4</vt:lpstr>
      <vt:lpstr>ER2_5</vt:lpstr>
      <vt:lpstr>ER2_Feed</vt:lpstr>
      <vt:lpstr>ER2_Mix</vt:lpstr>
      <vt:lpstr>ER2HT_1</vt:lpstr>
      <vt:lpstr>ER2HT_2</vt:lpstr>
      <vt:lpstr>ER2HT_3</vt:lpstr>
      <vt:lpstr>ER2HT_4</vt:lpstr>
      <vt:lpstr>ER2HT_5</vt:lpstr>
      <vt:lpstr>ER3_1</vt:lpstr>
      <vt:lpstr>ER3_2</vt:lpstr>
      <vt:lpstr>ER3_3</vt:lpstr>
      <vt:lpstr>ER3_4</vt:lpstr>
      <vt:lpstr>ER3_5</vt:lpstr>
      <vt:lpstr>ER3_Feed</vt:lpstr>
      <vt:lpstr>ER3_Min</vt:lpstr>
      <vt:lpstr>ER3_Mix</vt:lpstr>
      <vt:lpstr>ER3HT_1</vt:lpstr>
      <vt:lpstr>ER3HT_2</vt:lpstr>
      <vt:lpstr>ER3HT_3</vt:lpstr>
      <vt:lpstr>ER3HT_4</vt:lpstr>
      <vt:lpstr>ER3HT_5</vt:lpstr>
      <vt:lpstr>ERPG_1_N</vt:lpstr>
      <vt:lpstr>ERPG_2_N</vt:lpstr>
      <vt:lpstr>ERPG_3_N</vt:lpstr>
      <vt:lpstr>ERPG_Ref_C</vt:lpstr>
      <vt:lpstr>ERPG1_C</vt:lpstr>
      <vt:lpstr>ERPG2_C</vt:lpstr>
      <vt:lpstr>ERPG3_C</vt:lpstr>
      <vt:lpstr>Error_Count</vt:lpstr>
      <vt:lpstr>Error_Message</vt:lpstr>
      <vt:lpstr>ES_1</vt:lpstr>
      <vt:lpstr>ES_10</vt:lpstr>
      <vt:lpstr>ES_11</vt:lpstr>
      <vt:lpstr>ES_12</vt:lpstr>
      <vt:lpstr>ES_13</vt:lpstr>
      <vt:lpstr>ES_14</vt:lpstr>
      <vt:lpstr>ES_15</vt:lpstr>
      <vt:lpstr>ES_16</vt:lpstr>
      <vt:lpstr>ES_17</vt:lpstr>
      <vt:lpstr>ES_18</vt:lpstr>
      <vt:lpstr>ES_19</vt:lpstr>
      <vt:lpstr>ES_2</vt:lpstr>
      <vt:lpstr>ES_20</vt:lpstr>
      <vt:lpstr>ES_21</vt:lpstr>
      <vt:lpstr>ES_22</vt:lpstr>
      <vt:lpstr>ES_23</vt:lpstr>
      <vt:lpstr>ES_24</vt:lpstr>
      <vt:lpstr>ES_25</vt:lpstr>
      <vt:lpstr>ES_26</vt:lpstr>
      <vt:lpstr>ES_27</vt:lpstr>
      <vt:lpstr>ES_28</vt:lpstr>
      <vt:lpstr>ES_29</vt:lpstr>
      <vt:lpstr>ES_3</vt:lpstr>
      <vt:lpstr>ES_30</vt:lpstr>
      <vt:lpstr>ES_31</vt:lpstr>
      <vt:lpstr>ES_32</vt:lpstr>
      <vt:lpstr>ES_33</vt:lpstr>
      <vt:lpstr>ES_34</vt:lpstr>
      <vt:lpstr>ES_35</vt:lpstr>
      <vt:lpstr>ES_36</vt:lpstr>
      <vt:lpstr>ES_37</vt:lpstr>
      <vt:lpstr>ES_38</vt:lpstr>
      <vt:lpstr>ES_39</vt:lpstr>
      <vt:lpstr>ES_4</vt:lpstr>
      <vt:lpstr>ES_40</vt:lpstr>
      <vt:lpstr>ES_41</vt:lpstr>
      <vt:lpstr>ES_42</vt:lpstr>
      <vt:lpstr>ES_43</vt:lpstr>
      <vt:lpstr>ES_44</vt:lpstr>
      <vt:lpstr>ES_45</vt:lpstr>
      <vt:lpstr>ES_46</vt:lpstr>
      <vt:lpstr>ES_47</vt:lpstr>
      <vt:lpstr>ES_48</vt:lpstr>
      <vt:lpstr>ES_49</vt:lpstr>
      <vt:lpstr>ES_5</vt:lpstr>
      <vt:lpstr>ES_50</vt:lpstr>
      <vt:lpstr>ES_51</vt:lpstr>
      <vt:lpstr>ES_52</vt:lpstr>
      <vt:lpstr>ES_53</vt:lpstr>
      <vt:lpstr>ES_54</vt:lpstr>
      <vt:lpstr>ES_55</vt:lpstr>
      <vt:lpstr>ES_56</vt:lpstr>
      <vt:lpstr>ES_57</vt:lpstr>
      <vt:lpstr>ES_58</vt:lpstr>
      <vt:lpstr>ES_6</vt:lpstr>
      <vt:lpstr>ES_7</vt:lpstr>
      <vt:lpstr>ES_8</vt:lpstr>
      <vt:lpstr>ES_9</vt:lpstr>
      <vt:lpstr>Est_Equip_Mass</vt:lpstr>
      <vt:lpstr>Est_Mass</vt:lpstr>
      <vt:lpstr>Est_Surf_Area</vt:lpstr>
      <vt:lpstr>Est_Wetted_Area</vt:lpstr>
      <vt:lpstr>Estimated_Inventory</vt:lpstr>
      <vt:lpstr>Estimated_Inventory_Output</vt:lpstr>
      <vt:lpstr>Event_Tree_Columns</vt:lpstr>
      <vt:lpstr>Exclude_MI</vt:lpstr>
      <vt:lpstr>ExcludeMI_List</vt:lpstr>
      <vt:lpstr>Exo_Reaction</vt:lpstr>
      <vt:lpstr>Exotherm_Table</vt:lpstr>
      <vt:lpstr>Exothermic_Reaction_Type</vt:lpstr>
      <vt:lpstr>Exp_Joint</vt:lpstr>
      <vt:lpstr>ExpJoint_List</vt:lpstr>
      <vt:lpstr>ExplEng_Limit</vt:lpstr>
      <vt:lpstr>ExplEng_perVolume</vt:lpstr>
      <vt:lpstr>ExtHeat_List</vt:lpstr>
      <vt:lpstr>ExtremeLarge_HD2</vt:lpstr>
      <vt:lpstr>ExtremeLarge_HD3</vt:lpstr>
      <vt:lpstr>ExtremeLarge_Top_HD2</vt:lpstr>
      <vt:lpstr>ExtremeLarge_Top_HD3</vt:lpstr>
      <vt:lpstr>Failure_API_Anchored</vt:lpstr>
      <vt:lpstr>Failure_API_NoAnchored</vt:lpstr>
      <vt:lpstr>Failure_ASME</vt:lpstr>
      <vt:lpstr>Failure_Fire</vt:lpstr>
      <vt:lpstr>Failure_Gasket</vt:lpstr>
      <vt:lpstr>Failure_T</vt:lpstr>
      <vt:lpstr>Failure_T_Default</vt:lpstr>
      <vt:lpstr>Failure_T_Input</vt:lpstr>
      <vt:lpstr>Failure_T_Units</vt:lpstr>
      <vt:lpstr>Fd</vt:lpstr>
      <vt:lpstr>Fd_Overfill</vt:lpstr>
      <vt:lpstr>Fd_Relief</vt:lpstr>
      <vt:lpstr>Fd_RupFire</vt:lpstr>
      <vt:lpstr>Fd_RupPeak</vt:lpstr>
      <vt:lpstr>Fd_RupSat</vt:lpstr>
      <vt:lpstr>Fd_Rupture</vt:lpstr>
      <vt:lpstr>Feed_1</vt:lpstr>
      <vt:lpstr>Feed_2</vt:lpstr>
      <vt:lpstr>Feed_3</vt:lpstr>
      <vt:lpstr>Feed_4</vt:lpstr>
      <vt:lpstr>Feed_5</vt:lpstr>
      <vt:lpstr>Feed_List</vt:lpstr>
      <vt:lpstr>Feed_T</vt:lpstr>
      <vt:lpstr>Feed_Temp_Input</vt:lpstr>
      <vt:lpstr>Feed_Temp_Units</vt:lpstr>
      <vt:lpstr>Feed_Type</vt:lpstr>
      <vt:lpstr>Feedrate</vt:lpstr>
      <vt:lpstr>Feedrate_Input</vt:lpstr>
      <vt:lpstr>Feedrate_Units</vt:lpstr>
      <vt:lpstr>FEI</vt:lpstr>
      <vt:lpstr>FEI_Review</vt:lpstr>
      <vt:lpstr>FEI_Review_Date</vt:lpstr>
      <vt:lpstr>FFire_High_Dist</vt:lpstr>
      <vt:lpstr>FFire_Low_Dist</vt:lpstr>
      <vt:lpstr>Fill</vt:lpstr>
      <vt:lpstr>Fill_Max</vt:lpstr>
      <vt:lpstr>Fill_Max_Limit</vt:lpstr>
      <vt:lpstr>Fill_Min</vt:lpstr>
      <vt:lpstr>Fill_Min_Limit</vt:lpstr>
      <vt:lpstr>Fill2</vt:lpstr>
      <vt:lpstr>Filter_Equipment</vt:lpstr>
      <vt:lpstr>Filter_IPLs</vt:lpstr>
      <vt:lpstr>Filter_Worst</vt:lpstr>
      <vt:lpstr>Fire_Burst</vt:lpstr>
      <vt:lpstr>Fire_Duration</vt:lpstr>
      <vt:lpstr>Fire_Duration_Rupture</vt:lpstr>
      <vt:lpstr>Fire_Duration_TNR</vt:lpstr>
      <vt:lpstr>Fire_Efficiency</vt:lpstr>
      <vt:lpstr>Fire_HD2</vt:lpstr>
      <vt:lpstr>Fire_HD3</vt:lpstr>
      <vt:lpstr>Fire_Heat_Rate</vt:lpstr>
      <vt:lpstr>Fire_Heat_Rate_Max</vt:lpstr>
      <vt:lpstr>Fire_Potential</vt:lpstr>
      <vt:lpstr>Fire_Relief_Rate</vt:lpstr>
      <vt:lpstr>FiredEq_List</vt:lpstr>
      <vt:lpstr>FiredEq_ProcessArea</vt:lpstr>
      <vt:lpstr>Flam_1</vt:lpstr>
      <vt:lpstr>Flam_2</vt:lpstr>
      <vt:lpstr>Flam_3</vt:lpstr>
      <vt:lpstr>Flam_4</vt:lpstr>
      <vt:lpstr>Flam_5</vt:lpstr>
      <vt:lpstr>Flam_Adjacent</vt:lpstr>
      <vt:lpstr>Flam_Adjacent_Input</vt:lpstr>
      <vt:lpstr>Flam_Adjacent_Units</vt:lpstr>
      <vt:lpstr>Flam_In_Area</vt:lpstr>
      <vt:lpstr>Flam_In_Area_Input</vt:lpstr>
      <vt:lpstr>Flam_In_Area_Units</vt:lpstr>
      <vt:lpstr>Flam_Inventory</vt:lpstr>
      <vt:lpstr>Flame_List</vt:lpstr>
      <vt:lpstr>Flame_Speed_Feed</vt:lpstr>
      <vt:lpstr>Flame_Speed_HT</vt:lpstr>
      <vt:lpstr>Flame_Speed_N</vt:lpstr>
      <vt:lpstr>Flame_Speed_U</vt:lpstr>
      <vt:lpstr>FlamHT_1</vt:lpstr>
      <vt:lpstr>FlamHT_2</vt:lpstr>
      <vt:lpstr>FlamHT_3</vt:lpstr>
      <vt:lpstr>FlamHT_4</vt:lpstr>
      <vt:lpstr>FlamHT_5</vt:lpstr>
      <vt:lpstr>Flammable_FP_Limit</vt:lpstr>
      <vt:lpstr>Flammable_inArea_Limit</vt:lpstr>
      <vt:lpstr>Flammable_Potential</vt:lpstr>
      <vt:lpstr>Flammable_Potential_Burst</vt:lpstr>
      <vt:lpstr>Flammable_Potential_HT</vt:lpstr>
      <vt:lpstr>Flammable_Potential_ME</vt:lpstr>
      <vt:lpstr>Flammable_Potential_Peak</vt:lpstr>
      <vt:lpstr>Flammable_Potential_Relief</vt:lpstr>
      <vt:lpstr>Flanges</vt:lpstr>
      <vt:lpstr>Flash_Pt_Estimate</vt:lpstr>
      <vt:lpstr>Flash_Pt_Feed</vt:lpstr>
      <vt:lpstr>Flash_Pt_HT</vt:lpstr>
      <vt:lpstr>Flash_Pt_N</vt:lpstr>
      <vt:lpstr>Flash_Pt_U</vt:lpstr>
      <vt:lpstr>FlashPt_Difference_Limit</vt:lpstr>
      <vt:lpstr>Fluidized_Equipment</vt:lpstr>
      <vt:lpstr>FP_C</vt:lpstr>
      <vt:lpstr>Fpool_Backflow</vt:lpstr>
      <vt:lpstr>Fpool_Drain</vt:lpstr>
      <vt:lpstr>Fpool_ExtremeLarge</vt:lpstr>
      <vt:lpstr>Fpool_FullBore</vt:lpstr>
      <vt:lpstr>Fpool_Medium</vt:lpstr>
      <vt:lpstr>Fpool_Overfill</vt:lpstr>
      <vt:lpstr>Fpool_Relief</vt:lpstr>
      <vt:lpstr>Fpool_Seal</vt:lpstr>
      <vt:lpstr>Fpool_Small</vt:lpstr>
      <vt:lpstr>Fpool_User</vt:lpstr>
      <vt:lpstr>Fpool_UserHole</vt:lpstr>
      <vt:lpstr>Fpool_VeryLarge</vt:lpstr>
      <vt:lpstr>Fpool_VerySmall</vt:lpstr>
      <vt:lpstr>Fr</vt:lpstr>
      <vt:lpstr>Fr_Key_Consumed_Fire</vt:lpstr>
      <vt:lpstr>Fr_Overfill</vt:lpstr>
      <vt:lpstr>Frac_Key_C</vt:lpstr>
      <vt:lpstr>Fract_1.5_F</vt:lpstr>
      <vt:lpstr>Fract_Aq</vt:lpstr>
      <vt:lpstr>Fract_Key_Chemical</vt:lpstr>
      <vt:lpstr>Fract_Key_Mix</vt:lpstr>
      <vt:lpstr>Fract_Oleum</vt:lpstr>
      <vt:lpstr>Fract_Sulfuric</vt:lpstr>
      <vt:lpstr>Fraction_Dust_C</vt:lpstr>
      <vt:lpstr>Fraction_Dust_Feed</vt:lpstr>
      <vt:lpstr>Fraction_Dust_N</vt:lpstr>
      <vt:lpstr>Fraction_Dust_U</vt:lpstr>
      <vt:lpstr>Fraction_Flammable</vt:lpstr>
      <vt:lpstr>Fraction_Heat_Limit</vt:lpstr>
      <vt:lpstr>Fraction_Reactive</vt:lpstr>
      <vt:lpstr>Frequent_Turnaround</vt:lpstr>
      <vt:lpstr>FS_C</vt:lpstr>
      <vt:lpstr>Fv</vt:lpstr>
      <vt:lpstr>Fv_Fire</vt:lpstr>
      <vt:lpstr>Fv_HT</vt:lpstr>
      <vt:lpstr>Fv_Ht_Trans</vt:lpstr>
      <vt:lpstr>Fv_Mech_Energy</vt:lpstr>
      <vt:lpstr>Fv_Peak</vt:lpstr>
      <vt:lpstr>Fv_Reaction</vt:lpstr>
      <vt:lpstr>Fv_Reaction_Catalyst</vt:lpstr>
      <vt:lpstr>Fv_Reaction_MisLoading</vt:lpstr>
      <vt:lpstr>Fv_Reaction_Pooling</vt:lpstr>
      <vt:lpstr>Fv_Reaction_withFire</vt:lpstr>
      <vt:lpstr>Fv_Relief</vt:lpstr>
      <vt:lpstr>Fv_Relief_Depressurize</vt:lpstr>
      <vt:lpstr>Fv_Rupture</vt:lpstr>
      <vt:lpstr>Fv_Rupture_Fire</vt:lpstr>
      <vt:lpstr>Fv_User_VaporRate</vt:lpstr>
      <vt:lpstr>Gas_Exo</vt:lpstr>
      <vt:lpstr>Gas_Exo_C</vt:lpstr>
      <vt:lpstr>Gas_Exo_U</vt:lpstr>
      <vt:lpstr>Gas_Gen</vt:lpstr>
      <vt:lpstr>Gas_Gen_C</vt:lpstr>
      <vt:lpstr>Gas_Gen_Est</vt:lpstr>
      <vt:lpstr>Gas_Gen_U</vt:lpstr>
      <vt:lpstr>Gas_Product</vt:lpstr>
      <vt:lpstr>Gas_Rx_atRelief</vt:lpstr>
      <vt:lpstr>Gas_Rx_atRelief_Catalyst</vt:lpstr>
      <vt:lpstr>Gas_Rx_atRelief_ExtHt</vt:lpstr>
      <vt:lpstr>Gas_Rx_atRelief_Fire</vt:lpstr>
      <vt:lpstr>Gas_Rx_atRelief_MisLoading</vt:lpstr>
      <vt:lpstr>Gas_Rx_atRelief_Pooling</vt:lpstr>
      <vt:lpstr>GasGen_P</vt:lpstr>
      <vt:lpstr>GasGen_T</vt:lpstr>
      <vt:lpstr>GasPad_1_Displacement</vt:lpstr>
      <vt:lpstr>GasPad_1_Sweep</vt:lpstr>
      <vt:lpstr>GasPad_2_Displacement</vt:lpstr>
      <vt:lpstr>GasPad_2_Sweep</vt:lpstr>
      <vt:lpstr>GasPad_3_Displacement</vt:lpstr>
      <vt:lpstr>GasPad_3_Sweep</vt:lpstr>
      <vt:lpstr>GasPad_4_Displacement</vt:lpstr>
      <vt:lpstr>GasPad_4_Sweep</vt:lpstr>
      <vt:lpstr>GasPad_5_Displacement</vt:lpstr>
      <vt:lpstr>GasPad_5_Sweep</vt:lpstr>
      <vt:lpstr>Geometry</vt:lpstr>
      <vt:lpstr>Gnd_Coeff</vt:lpstr>
      <vt:lpstr>Goto_from_User_Scenario</vt:lpstr>
      <vt:lpstr>HD_ExtremeHigh_Expl</vt:lpstr>
      <vt:lpstr>HD_ExtremeHigh_FF</vt:lpstr>
      <vt:lpstr>HD_ExtremeHigh_IndoorFF</vt:lpstr>
      <vt:lpstr>HD_ExtremeHigh_Infiltration</vt:lpstr>
      <vt:lpstr>HD_ExtremeHigh_Offsite</vt:lpstr>
      <vt:lpstr>HD_ExtremeHigh_OnSite</vt:lpstr>
      <vt:lpstr>HD_ExtremeHigh_PE</vt:lpstr>
      <vt:lpstr>HD_Factor</vt:lpstr>
      <vt:lpstr>HD_High_BLEVE</vt:lpstr>
      <vt:lpstr>HD_High_Expl</vt:lpstr>
      <vt:lpstr>HD_High_FF</vt:lpstr>
      <vt:lpstr>HD_High_Indoor</vt:lpstr>
      <vt:lpstr>HD_High_IndoorFF</vt:lpstr>
      <vt:lpstr>HD_High_Infiltration</vt:lpstr>
      <vt:lpstr>HD_High_Offsite</vt:lpstr>
      <vt:lpstr>HD_High_OnSite</vt:lpstr>
      <vt:lpstr>HD_High_PE</vt:lpstr>
      <vt:lpstr>HD_Low_BLEVE</vt:lpstr>
      <vt:lpstr>HD_Low_CE</vt:lpstr>
      <vt:lpstr>HD_Low_Expl</vt:lpstr>
      <vt:lpstr>HD_Low_FF</vt:lpstr>
      <vt:lpstr>HD_Low_Indoor</vt:lpstr>
      <vt:lpstr>HD_Low_IndoorFF</vt:lpstr>
      <vt:lpstr>HD_Low_Infiltration</vt:lpstr>
      <vt:lpstr>HD_Low_Offsite</vt:lpstr>
      <vt:lpstr>HD_Low_OnSite</vt:lpstr>
      <vt:lpstr>HD_Low_PE</vt:lpstr>
      <vt:lpstr>HD_Moderate_BLEVE</vt:lpstr>
      <vt:lpstr>HD_Moderate_CE</vt:lpstr>
      <vt:lpstr>HD_Moderate_Expl</vt:lpstr>
      <vt:lpstr>HD_Moderate_FF</vt:lpstr>
      <vt:lpstr>HD_Moderate_Indoor</vt:lpstr>
      <vt:lpstr>HD_Moderate_IndoorFF</vt:lpstr>
      <vt:lpstr>HD_Moderate_Infiltration</vt:lpstr>
      <vt:lpstr>HD_Moderate_Offsite</vt:lpstr>
      <vt:lpstr>HD_Moderate_OnSite</vt:lpstr>
      <vt:lpstr>HD_Moderate_PE</vt:lpstr>
      <vt:lpstr>HD_Screening_Limit</vt:lpstr>
      <vt:lpstr>HD_Severe_Impact</vt:lpstr>
      <vt:lpstr>HD_VeryHigh_BLEVE</vt:lpstr>
      <vt:lpstr>HD_VeryHigh_Expl</vt:lpstr>
      <vt:lpstr>HD_VeryHigh_FF</vt:lpstr>
      <vt:lpstr>HD_VeryHigh_Indoor</vt:lpstr>
      <vt:lpstr>HD_VeryHigh_IndoorFF</vt:lpstr>
      <vt:lpstr>HD_VeryHigh_Infiltration</vt:lpstr>
      <vt:lpstr>HD_VeryHigh_Offsite</vt:lpstr>
      <vt:lpstr>HD_VeryHigh_OnSite</vt:lpstr>
      <vt:lpstr>HD_VeryHigh_PE</vt:lpstr>
      <vt:lpstr>HD_VeryLow_BLEVE</vt:lpstr>
      <vt:lpstr>HD_VeryLow_CE</vt:lpstr>
      <vt:lpstr>HD_VeryLow_Expl</vt:lpstr>
      <vt:lpstr>HD_VeryLow_FF</vt:lpstr>
      <vt:lpstr>HD_VeryLow_Indoor</vt:lpstr>
      <vt:lpstr>HD_VeryLow_IndoorFF</vt:lpstr>
      <vt:lpstr>HD_VeryLow_Infiltration</vt:lpstr>
      <vt:lpstr>HD_VeryLow_Offsite</vt:lpstr>
      <vt:lpstr>HD_VeryLow_OnSite</vt:lpstr>
      <vt:lpstr>HD_VeryLow_PE</vt:lpstr>
      <vt:lpstr>HeadSpace_Deflag_Potential</vt:lpstr>
      <vt:lpstr>Heat_Transfer_HD2</vt:lpstr>
      <vt:lpstr>Heat_Transfer_HD3</vt:lpstr>
      <vt:lpstr>Heating_Media_HazClass</vt:lpstr>
      <vt:lpstr>Heating_Media_Name</vt:lpstr>
      <vt:lpstr>Heating_Media_State</vt:lpstr>
      <vt:lpstr>Heating_P</vt:lpstr>
      <vt:lpstr>Heating_P_Input</vt:lpstr>
      <vt:lpstr>Heating_P_Units</vt:lpstr>
      <vt:lpstr>Heating_Relief_Input</vt:lpstr>
      <vt:lpstr>Heating_Reqd</vt:lpstr>
      <vt:lpstr>Heating_T</vt:lpstr>
      <vt:lpstr>Heating_T_Input</vt:lpstr>
      <vt:lpstr>Heating_T_Units</vt:lpstr>
      <vt:lpstr>High_Speed</vt:lpstr>
      <vt:lpstr>High_Tip_Speed</vt:lpstr>
      <vt:lpstr>HighMix_Corr_T</vt:lpstr>
      <vt:lpstr>Hole_Drain</vt:lpstr>
      <vt:lpstr>Hole_ExtremelyLarge</vt:lpstr>
      <vt:lpstr>Hole_Gasket</vt:lpstr>
      <vt:lpstr>Hole_Medium</vt:lpstr>
      <vt:lpstr>Hole_Seal</vt:lpstr>
      <vt:lpstr>Hole_Small</vt:lpstr>
      <vt:lpstr>Hole_VeryLarge</vt:lpstr>
      <vt:lpstr>Hole_VerySmall</vt:lpstr>
      <vt:lpstr>HotOil_List</vt:lpstr>
      <vt:lpstr>HotOil_Quantity</vt:lpstr>
      <vt:lpstr>HT_Area</vt:lpstr>
      <vt:lpstr>HT_Area_Input</vt:lpstr>
      <vt:lpstr>HT_Area_Units</vt:lpstr>
      <vt:lpstr>HT_BP</vt:lpstr>
      <vt:lpstr>HT_ER2</vt:lpstr>
      <vt:lpstr>HT_ER3</vt:lpstr>
      <vt:lpstr>HT_ER3_Min</vt:lpstr>
      <vt:lpstr>HT_FP</vt:lpstr>
      <vt:lpstr>HT_Fract_1</vt:lpstr>
      <vt:lpstr>HT_Fract_2</vt:lpstr>
      <vt:lpstr>HT_Fract_3</vt:lpstr>
      <vt:lpstr>HT_Fract_4</vt:lpstr>
      <vt:lpstr>HT_Fract_5</vt:lpstr>
      <vt:lpstr>HT_HazClass_1</vt:lpstr>
      <vt:lpstr>HT_HazClass_2</vt:lpstr>
      <vt:lpstr>HT_HazClass_3</vt:lpstr>
      <vt:lpstr>HT_HazClass_4</vt:lpstr>
      <vt:lpstr>HT_HazClass_5</vt:lpstr>
      <vt:lpstr>HT_Lat_Ht</vt:lpstr>
      <vt:lpstr>HT_LFL</vt:lpstr>
      <vt:lpstr>HT_Liq_C</vt:lpstr>
      <vt:lpstr>HT_Liq_rho</vt:lpstr>
      <vt:lpstr>Ht_Loss_Coeff</vt:lpstr>
      <vt:lpstr>Ht_Loss_Coeff_A</vt:lpstr>
      <vt:lpstr>Ht_Loss_Coeff_B</vt:lpstr>
      <vt:lpstr>HT_Mw</vt:lpstr>
      <vt:lpstr>HT_Name_1</vt:lpstr>
      <vt:lpstr>HT_Name_2</vt:lpstr>
      <vt:lpstr>HT_Name_3</vt:lpstr>
      <vt:lpstr>HT_Name_4</vt:lpstr>
      <vt:lpstr>HT_Name_5</vt:lpstr>
      <vt:lpstr>HT_Psat</vt:lpstr>
      <vt:lpstr>HT_PVap</vt:lpstr>
      <vt:lpstr>Ht_Relief_Rate</vt:lpstr>
      <vt:lpstr>Ht_Trans_Rate</vt:lpstr>
      <vt:lpstr>HT_Tsat</vt:lpstr>
      <vt:lpstr>HT_Vap_C</vt:lpstr>
      <vt:lpstr>HT_Vap_rho</vt:lpstr>
      <vt:lpstr>HTFeed_1</vt:lpstr>
      <vt:lpstr>HTFeed_2</vt:lpstr>
      <vt:lpstr>HTFeed_3</vt:lpstr>
      <vt:lpstr>HTFeed_4</vt:lpstr>
      <vt:lpstr>HTFeed_5</vt:lpstr>
      <vt:lpstr>HV_A_C</vt:lpstr>
      <vt:lpstr>HV_B_C</vt:lpstr>
      <vt:lpstr>HV_C_C</vt:lpstr>
      <vt:lpstr>HVAP_1</vt:lpstr>
      <vt:lpstr>HVAP_2</vt:lpstr>
      <vt:lpstr>HVAP_A</vt:lpstr>
      <vt:lpstr>HVAP_B</vt:lpstr>
      <vt:lpstr>HVAP_C</vt:lpstr>
      <vt:lpstr>Hyperlink_Name</vt:lpstr>
      <vt:lpstr>IE</vt:lpstr>
      <vt:lpstr>IE_Fire</vt:lpstr>
      <vt:lpstr>IE_Fire_Table</vt:lpstr>
      <vt:lpstr>IE_Fire_Tool</vt:lpstr>
      <vt:lpstr>IE_Fire_USER</vt:lpstr>
      <vt:lpstr>IE_Table</vt:lpstr>
      <vt:lpstr>IED_D_1</vt:lpstr>
      <vt:lpstr>IED_D_2</vt:lpstr>
      <vt:lpstr>IED_D_3</vt:lpstr>
      <vt:lpstr>IED_D_4</vt:lpstr>
      <vt:lpstr>IED_D_5</vt:lpstr>
      <vt:lpstr>IED_D_6</vt:lpstr>
      <vt:lpstr>IED_D_7</vt:lpstr>
      <vt:lpstr>IED_D_8</vt:lpstr>
      <vt:lpstr>IED_FE_1</vt:lpstr>
      <vt:lpstr>IED_FE_10</vt:lpstr>
      <vt:lpstr>IED_FE_12</vt:lpstr>
      <vt:lpstr>IED_FE_2</vt:lpstr>
      <vt:lpstr>IED_FE_20</vt:lpstr>
      <vt:lpstr>IED_FE_21</vt:lpstr>
      <vt:lpstr>IED_FE_22</vt:lpstr>
      <vt:lpstr>IED_FE_23</vt:lpstr>
      <vt:lpstr>IED_FE_3</vt:lpstr>
      <vt:lpstr>IED_FE_30</vt:lpstr>
      <vt:lpstr>IED_FE_31</vt:lpstr>
      <vt:lpstr>IED_FE_4</vt:lpstr>
      <vt:lpstr>IED_FE_5</vt:lpstr>
      <vt:lpstr>IED_FE_6</vt:lpstr>
      <vt:lpstr>IED_FE_7</vt:lpstr>
      <vt:lpstr>IED_FE_8</vt:lpstr>
      <vt:lpstr>IED_FE_9</vt:lpstr>
      <vt:lpstr>IED_Gen_1</vt:lpstr>
      <vt:lpstr>IED_Gen_10</vt:lpstr>
      <vt:lpstr>IED_Gen_11</vt:lpstr>
      <vt:lpstr>IED_Gen_12</vt:lpstr>
      <vt:lpstr>IED_Gen_13</vt:lpstr>
      <vt:lpstr>IED_Gen_14</vt:lpstr>
      <vt:lpstr>IED_Gen_15</vt:lpstr>
      <vt:lpstr>IED_Gen_16</vt:lpstr>
      <vt:lpstr>IED_Gen_17</vt:lpstr>
      <vt:lpstr>IED_Gen_2</vt:lpstr>
      <vt:lpstr>IED_Gen_20</vt:lpstr>
      <vt:lpstr>IED_Gen_21</vt:lpstr>
      <vt:lpstr>IED_Gen_22</vt:lpstr>
      <vt:lpstr>IED_Gen_23</vt:lpstr>
      <vt:lpstr>IED_Gen_24</vt:lpstr>
      <vt:lpstr>IED_Gen_25</vt:lpstr>
      <vt:lpstr>IED_Gen_26</vt:lpstr>
      <vt:lpstr>IED_Gen_27</vt:lpstr>
      <vt:lpstr>IED_Gen_28</vt:lpstr>
      <vt:lpstr>IED_Gen_29</vt:lpstr>
      <vt:lpstr>IED_Gen_3</vt:lpstr>
      <vt:lpstr>IED_Gen_30</vt:lpstr>
      <vt:lpstr>IED_Gen_31</vt:lpstr>
      <vt:lpstr>IED_Gen_32</vt:lpstr>
      <vt:lpstr>IED_Gen_33</vt:lpstr>
      <vt:lpstr>IED_Gen_34</vt:lpstr>
      <vt:lpstr>IED_Gen_35</vt:lpstr>
      <vt:lpstr>IED_Gen_36</vt:lpstr>
      <vt:lpstr>IED_Gen_37</vt:lpstr>
      <vt:lpstr>IED_Gen_4</vt:lpstr>
      <vt:lpstr>IED_Gen_40</vt:lpstr>
      <vt:lpstr>IED_Gen_41</vt:lpstr>
      <vt:lpstr>IED_Gen_43</vt:lpstr>
      <vt:lpstr>IED_Gen_44</vt:lpstr>
      <vt:lpstr>IED_Gen_45</vt:lpstr>
      <vt:lpstr>IED_Gen_46</vt:lpstr>
      <vt:lpstr>IED_Gen_47</vt:lpstr>
      <vt:lpstr>IED_Gen_48</vt:lpstr>
      <vt:lpstr>IED_Gen_49</vt:lpstr>
      <vt:lpstr>IED_Gen_5</vt:lpstr>
      <vt:lpstr>IED_Gen_50</vt:lpstr>
      <vt:lpstr>IED_Gen_51</vt:lpstr>
      <vt:lpstr>IED_Gen_52</vt:lpstr>
      <vt:lpstr>IED_Gen_54</vt:lpstr>
      <vt:lpstr>IED_Gen_55</vt:lpstr>
      <vt:lpstr>IED_Gen_56</vt:lpstr>
      <vt:lpstr>IED_Gen_57</vt:lpstr>
      <vt:lpstr>IED_Gen_58</vt:lpstr>
      <vt:lpstr>IED_Gen_6</vt:lpstr>
      <vt:lpstr>IED_Gen_60</vt:lpstr>
      <vt:lpstr>IED_Gen_61</vt:lpstr>
      <vt:lpstr>IED_Gen_62</vt:lpstr>
      <vt:lpstr>IED_Gen_63</vt:lpstr>
      <vt:lpstr>IED_Gen_64</vt:lpstr>
      <vt:lpstr>IED_Gen_65</vt:lpstr>
      <vt:lpstr>IED_Gen_66</vt:lpstr>
      <vt:lpstr>IED_Gen_67</vt:lpstr>
      <vt:lpstr>IED_Gen_68</vt:lpstr>
      <vt:lpstr>IED_Gen_69</vt:lpstr>
      <vt:lpstr>IED_Gen_7</vt:lpstr>
      <vt:lpstr>IED_Gen_70</vt:lpstr>
      <vt:lpstr>IED_Gen_71</vt:lpstr>
      <vt:lpstr>IED_Gen_72</vt:lpstr>
      <vt:lpstr>IED_Gen_8</vt:lpstr>
      <vt:lpstr>IED_Gen_9</vt:lpstr>
      <vt:lpstr>IED_MI_1</vt:lpstr>
      <vt:lpstr>IED_MI_2</vt:lpstr>
      <vt:lpstr>IED_MI_3</vt:lpstr>
      <vt:lpstr>IED_MI_4</vt:lpstr>
      <vt:lpstr>IED_Rx_1</vt:lpstr>
      <vt:lpstr>IED_Rx_10</vt:lpstr>
      <vt:lpstr>IED_Rx_11</vt:lpstr>
      <vt:lpstr>IED_Rx_2</vt:lpstr>
      <vt:lpstr>IED_Rx_3</vt:lpstr>
      <vt:lpstr>IED_Rx_4</vt:lpstr>
      <vt:lpstr>IED_Rx_5</vt:lpstr>
      <vt:lpstr>IED_Rx_6</vt:lpstr>
      <vt:lpstr>IED_Rx_7</vt:lpstr>
      <vt:lpstr>IED_Rx_8</vt:lpstr>
      <vt:lpstr>IED_Rx_9</vt:lpstr>
      <vt:lpstr>IED_T_1</vt:lpstr>
      <vt:lpstr>IED_T_2</vt:lpstr>
      <vt:lpstr>IED_T_3</vt:lpstr>
      <vt:lpstr>IED_T_4</vt:lpstr>
      <vt:lpstr>IED_T_5</vt:lpstr>
      <vt:lpstr>IED_T_6</vt:lpstr>
      <vt:lpstr>IED_T_7</vt:lpstr>
      <vt:lpstr>Ignition_List</vt:lpstr>
      <vt:lpstr>Incident</vt:lpstr>
      <vt:lpstr>Incident_Explicit</vt:lpstr>
      <vt:lpstr>Incident_Table</vt:lpstr>
      <vt:lpstr>Indirect</vt:lpstr>
      <vt:lpstr>Inert_Atm</vt:lpstr>
      <vt:lpstr>Inert_FeedRate</vt:lpstr>
      <vt:lpstr>Inert_FeedRate_Input</vt:lpstr>
      <vt:lpstr>Inert_FeedRate_Units</vt:lpstr>
      <vt:lpstr>InertFeed_HD2</vt:lpstr>
      <vt:lpstr>InertFeed_HD3</vt:lpstr>
      <vt:lpstr>InhalTox_List</vt:lpstr>
      <vt:lpstr>Initial_Design_Intent</vt:lpstr>
      <vt:lpstr>Initiating_Event</vt:lpstr>
      <vt:lpstr>Initiating_Event_Table</vt:lpstr>
      <vt:lpstr>Insul_List</vt:lpstr>
      <vt:lpstr>Insulation</vt:lpstr>
      <vt:lpstr>Insulation_Factor</vt:lpstr>
      <vt:lpstr>Intended_Reaction</vt:lpstr>
      <vt:lpstr>International_Decimal</vt:lpstr>
      <vt:lpstr>International_System</vt:lpstr>
      <vt:lpstr>International_Thousands</vt:lpstr>
      <vt:lpstr>Inventory</vt:lpstr>
      <vt:lpstr>Inventory_Input</vt:lpstr>
      <vt:lpstr>Inventory_List</vt:lpstr>
      <vt:lpstr>Inventory_Units</vt:lpstr>
      <vt:lpstr>IPL_Alarm</vt:lpstr>
      <vt:lpstr>IPL_Column</vt:lpstr>
      <vt:lpstr>IPL_Comment</vt:lpstr>
      <vt:lpstr>IPL_Credit_Factor</vt:lpstr>
      <vt:lpstr>IPL_DelayTime</vt:lpstr>
      <vt:lpstr>IPL_Detail_Desc</vt:lpstr>
      <vt:lpstr>IPL_Equipment_Tag</vt:lpstr>
      <vt:lpstr>IPL_FCE1</vt:lpstr>
      <vt:lpstr>IPL_FCE2</vt:lpstr>
      <vt:lpstr>IPL_Gen_Desc</vt:lpstr>
      <vt:lpstr>IPL_LogicSolver</vt:lpstr>
      <vt:lpstr>IPL_MALR</vt:lpstr>
      <vt:lpstr>IPL_Notes</vt:lpstr>
      <vt:lpstr>IPL_Operator</vt:lpstr>
      <vt:lpstr>IPL_Operator_Factor</vt:lpstr>
      <vt:lpstr>IPL_PRD</vt:lpstr>
      <vt:lpstr>IPL_PRD_Factor</vt:lpstr>
      <vt:lpstr>IPL_Scenario</vt:lpstr>
      <vt:lpstr>IPL_Sensor1</vt:lpstr>
      <vt:lpstr>IPL_Sensor2</vt:lpstr>
      <vt:lpstr>IPL_Sensor3</vt:lpstr>
      <vt:lpstr>IPL_SetPoint</vt:lpstr>
      <vt:lpstr>IPL_SIS</vt:lpstr>
      <vt:lpstr>IPL_SIS_Factor</vt:lpstr>
      <vt:lpstr>IPL_SRPS</vt:lpstr>
      <vt:lpstr>IPL_SRPS_Factor</vt:lpstr>
      <vt:lpstr>IPL_Status</vt:lpstr>
      <vt:lpstr>IPL_Type</vt:lpstr>
      <vt:lpstr>IPLD_D_1</vt:lpstr>
      <vt:lpstr>IPLD_FE_1</vt:lpstr>
      <vt:lpstr>IPLD_FE_10</vt:lpstr>
      <vt:lpstr>IPLD_FE_2</vt:lpstr>
      <vt:lpstr>IPLD_FE_20</vt:lpstr>
      <vt:lpstr>IPLD_FE_21</vt:lpstr>
      <vt:lpstr>IPLD_FE_22</vt:lpstr>
      <vt:lpstr>IPLD_FE_29</vt:lpstr>
      <vt:lpstr>IPLD_FE_3</vt:lpstr>
      <vt:lpstr>IPLD_FE_30</vt:lpstr>
      <vt:lpstr>IPLD_FE_4</vt:lpstr>
      <vt:lpstr>IPLD_FE_5</vt:lpstr>
      <vt:lpstr>IPLD_FE_6</vt:lpstr>
      <vt:lpstr>IPLD_FE_7</vt:lpstr>
      <vt:lpstr>IPLD_FE_8</vt:lpstr>
      <vt:lpstr>IPLD_FE_9</vt:lpstr>
      <vt:lpstr>IPLD_Gen_1</vt:lpstr>
      <vt:lpstr>IPLD_Gen_10</vt:lpstr>
      <vt:lpstr>IPLD_Gen_11</vt:lpstr>
      <vt:lpstr>IPLD_Gen_12</vt:lpstr>
      <vt:lpstr>IPLD_Gen_13</vt:lpstr>
      <vt:lpstr>IPLD_Gen_14</vt:lpstr>
      <vt:lpstr>IPLD_Gen_15</vt:lpstr>
      <vt:lpstr>IPLD_Gen_16</vt:lpstr>
      <vt:lpstr>IPLD_Gen_17</vt:lpstr>
      <vt:lpstr>IPLD_Gen_2</vt:lpstr>
      <vt:lpstr>IPLD_Gen_20</vt:lpstr>
      <vt:lpstr>IPLD_Gen_21</vt:lpstr>
      <vt:lpstr>IPLD_Gen_22</vt:lpstr>
      <vt:lpstr>IPLD_Gen_3</vt:lpstr>
      <vt:lpstr>IPLD_Gen_32</vt:lpstr>
      <vt:lpstr>IPLD_Gen_34</vt:lpstr>
      <vt:lpstr>IPLD_Gen_37</vt:lpstr>
      <vt:lpstr>IPLD_Gen_38</vt:lpstr>
      <vt:lpstr>IPLD_Gen_39</vt:lpstr>
      <vt:lpstr>IPLD_Gen_4</vt:lpstr>
      <vt:lpstr>IPLD_Gen_41</vt:lpstr>
      <vt:lpstr>IPLD_Gen_42</vt:lpstr>
      <vt:lpstr>IPLD_MI_1</vt:lpstr>
      <vt:lpstr>IPLD_MI_2</vt:lpstr>
      <vt:lpstr>IPLD_MI_3</vt:lpstr>
      <vt:lpstr>IPLD_Rx_1</vt:lpstr>
      <vt:lpstr>IPLD_T_1</vt:lpstr>
      <vt:lpstr>IPLD_T_4</vt:lpstr>
      <vt:lpstr>Jet_Mix_Parameter</vt:lpstr>
      <vt:lpstr>K_Material</vt:lpstr>
      <vt:lpstr>Key_withGeneration</vt:lpstr>
      <vt:lpstr>Large_HD2</vt:lpstr>
      <vt:lpstr>Large_HD3</vt:lpstr>
      <vt:lpstr>Large_Top_HD2</vt:lpstr>
      <vt:lpstr>Large_Top_HD3</vt:lpstr>
      <vt:lpstr>Last_Equipment_Row</vt:lpstr>
      <vt:lpstr>Last_Scenario_Row</vt:lpstr>
      <vt:lpstr>Lat_Ht</vt:lpstr>
      <vt:lpstr>Lat_Ht_A_N</vt:lpstr>
      <vt:lpstr>Lat_Ht_atTBp</vt:lpstr>
      <vt:lpstr>Lat_Ht_B_N</vt:lpstr>
      <vt:lpstr>Lat_Ht_C_N</vt:lpstr>
      <vt:lpstr>Layout</vt:lpstr>
      <vt:lpstr>LC1_1</vt:lpstr>
      <vt:lpstr>LC1_2</vt:lpstr>
      <vt:lpstr>LC1_3</vt:lpstr>
      <vt:lpstr>LC1_4</vt:lpstr>
      <vt:lpstr>LC1_5</vt:lpstr>
      <vt:lpstr>LC1_Mix</vt:lpstr>
      <vt:lpstr>LC1_Ratio</vt:lpstr>
      <vt:lpstr>LC1HT_1</vt:lpstr>
      <vt:lpstr>LC1HT_2</vt:lpstr>
      <vt:lpstr>LC1HT_3</vt:lpstr>
      <vt:lpstr>LC1HT_4</vt:lpstr>
      <vt:lpstr>LC1HT_5</vt:lpstr>
      <vt:lpstr>LC1Pad</vt:lpstr>
      <vt:lpstr>LC50_1</vt:lpstr>
      <vt:lpstr>LC50_2</vt:lpstr>
      <vt:lpstr>LC50_3</vt:lpstr>
      <vt:lpstr>LC50_4</vt:lpstr>
      <vt:lpstr>LC50_5</vt:lpstr>
      <vt:lpstr>LC50_Mix</vt:lpstr>
      <vt:lpstr>LC50_Ratio</vt:lpstr>
      <vt:lpstr>LC50HT_1</vt:lpstr>
      <vt:lpstr>LC50HT_2</vt:lpstr>
      <vt:lpstr>LC50HT_3</vt:lpstr>
      <vt:lpstr>LC50HT_4</vt:lpstr>
      <vt:lpstr>LC50HT_5</vt:lpstr>
      <vt:lpstr>LC50Pad</vt:lpstr>
      <vt:lpstr>LCP_A_C</vt:lpstr>
      <vt:lpstr>LCP_B_C</vt:lpstr>
      <vt:lpstr>LD_1</vt:lpstr>
      <vt:lpstr>LD_2</vt:lpstr>
      <vt:lpstr>LD_A</vt:lpstr>
      <vt:lpstr>LD_A_C</vt:lpstr>
      <vt:lpstr>LD_B</vt:lpstr>
      <vt:lpstr>LD_B_C</vt:lpstr>
      <vt:lpstr>Leak</vt:lpstr>
      <vt:lpstr>Leak_Backflow</vt:lpstr>
      <vt:lpstr>Leak_Drain</vt:lpstr>
      <vt:lpstr>Leak_ExtremeLarge</vt:lpstr>
      <vt:lpstr>Leak_Fire</vt:lpstr>
      <vt:lpstr>Leak_From_InertFeed</vt:lpstr>
      <vt:lpstr>Leak_Ht_Trans</vt:lpstr>
      <vt:lpstr>Leak_Mech_Energy</vt:lpstr>
      <vt:lpstr>Leak_Medium</vt:lpstr>
      <vt:lpstr>Leak_Overfill</vt:lpstr>
      <vt:lpstr>Leak_Reaction</vt:lpstr>
      <vt:lpstr>Leak_Reaction_Catalyst</vt:lpstr>
      <vt:lpstr>Leak_Reaction_MisLoading</vt:lpstr>
      <vt:lpstr>Leak_Reaction_Pooling</vt:lpstr>
      <vt:lpstr>Leak_Reaction_withFire</vt:lpstr>
      <vt:lpstr>Leak_Relief</vt:lpstr>
      <vt:lpstr>Leak_RupSat</vt:lpstr>
      <vt:lpstr>Leak_Rupture</vt:lpstr>
      <vt:lpstr>Leak_Seal</vt:lpstr>
      <vt:lpstr>Leak_Small</vt:lpstr>
      <vt:lpstr>Leak_Type</vt:lpstr>
      <vt:lpstr>Leak_User</vt:lpstr>
      <vt:lpstr>Leak_UserHole</vt:lpstr>
      <vt:lpstr>Leak_VeryLarge</vt:lpstr>
      <vt:lpstr>Leak_VerySmall</vt:lpstr>
      <vt:lpstr>Leakrate_Solids</vt:lpstr>
      <vt:lpstr>Lethality_Correction</vt:lpstr>
      <vt:lpstr>LFL_1</vt:lpstr>
      <vt:lpstr>LFL_2</vt:lpstr>
      <vt:lpstr>LFL_3</vt:lpstr>
      <vt:lpstr>LFL_4</vt:lpstr>
      <vt:lpstr>LFL_5</vt:lpstr>
      <vt:lpstr>LFL_C</vt:lpstr>
      <vt:lpstr>LFL_Estimate</vt:lpstr>
      <vt:lpstr>LFL_Feed</vt:lpstr>
      <vt:lpstr>LFL_Fract_FlashFIre</vt:lpstr>
      <vt:lpstr>LFL_Fract_VCE_Epicenter</vt:lpstr>
      <vt:lpstr>LFL_Limit</vt:lpstr>
      <vt:lpstr>LFL_Mix</vt:lpstr>
      <vt:lpstr>LFL_N</vt:lpstr>
      <vt:lpstr>LFLHT_1</vt:lpstr>
      <vt:lpstr>LFLHT_2</vt:lpstr>
      <vt:lpstr>LFLHT_3</vt:lpstr>
      <vt:lpstr>LFLHT_4</vt:lpstr>
      <vt:lpstr>LFLHT_5</vt:lpstr>
      <vt:lpstr>LH_Data_Units</vt:lpstr>
      <vt:lpstr>LHC_1</vt:lpstr>
      <vt:lpstr>LHC_2</vt:lpstr>
      <vt:lpstr>LHC_A</vt:lpstr>
      <vt:lpstr>LHC_B</vt:lpstr>
      <vt:lpstr>Limiting_Rate</vt:lpstr>
      <vt:lpstr>Liq_C</vt:lpstr>
      <vt:lpstr>Liq_C_A_N</vt:lpstr>
      <vt:lpstr>Liq_C_atTBp</vt:lpstr>
      <vt:lpstr>Liq_C_B_N</vt:lpstr>
      <vt:lpstr>Liq_rho</vt:lpstr>
      <vt:lpstr>Liq_rho_atTBp</vt:lpstr>
      <vt:lpstr>Liq_rho_atTBurst</vt:lpstr>
      <vt:lpstr>Liq_rho_atTFireBurst</vt:lpstr>
      <vt:lpstr>Liq_rho_atTPeak</vt:lpstr>
      <vt:lpstr>LiquidA_Key_Feed</vt:lpstr>
      <vt:lpstr>LiquidB_Key_Feed</vt:lpstr>
      <vt:lpstr>List_Cause</vt:lpstr>
      <vt:lpstr>List_Cause_Description</vt:lpstr>
      <vt:lpstr>List_Deviation</vt:lpstr>
      <vt:lpstr>List_Incident</vt:lpstr>
      <vt:lpstr>List_Included</vt:lpstr>
      <vt:lpstr>List_Notes</vt:lpstr>
      <vt:lpstr>List_Outcome</vt:lpstr>
      <vt:lpstr>List_Outcome_All</vt:lpstr>
      <vt:lpstr>List_Recommendations</vt:lpstr>
      <vt:lpstr>List_Safeguards</vt:lpstr>
      <vt:lpstr>List_Scenario_Description</vt:lpstr>
      <vt:lpstr>List_Scenario_Type</vt:lpstr>
      <vt:lpstr>List_TF</vt:lpstr>
      <vt:lpstr>Location</vt:lpstr>
      <vt:lpstr>Location_List</vt:lpstr>
      <vt:lpstr>LOPA_Alt_PE</vt:lpstr>
      <vt:lpstr>LOPA_Alt_PI</vt:lpstr>
      <vt:lpstr>LOPA_Alt_TF</vt:lpstr>
      <vt:lpstr>LOPA_Approval_Date</vt:lpstr>
      <vt:lpstr>LOPA_Approval_Name</vt:lpstr>
      <vt:lpstr>LOPA_Approval_Type</vt:lpstr>
      <vt:lpstr>LOPA_Case_No</vt:lpstr>
      <vt:lpstr>LOPA_Desc</vt:lpstr>
      <vt:lpstr>LOPA_EF</vt:lpstr>
      <vt:lpstr>LOPA_HE_C1</vt:lpstr>
      <vt:lpstr>LOPA_HE_C2</vt:lpstr>
      <vt:lpstr>LOPA_IE</vt:lpstr>
      <vt:lpstr>LOPA_IE_C1</vt:lpstr>
      <vt:lpstr>LOPA_IE_C2</vt:lpstr>
      <vt:lpstr>LOPA_IPL1</vt:lpstr>
      <vt:lpstr>LOPA_IPL1_C1</vt:lpstr>
      <vt:lpstr>LOPA_IPL1_C2</vt:lpstr>
      <vt:lpstr>LOPA_IPL2</vt:lpstr>
      <vt:lpstr>LOPA_IPL2_C1</vt:lpstr>
      <vt:lpstr>LOPA_IPL2_C2</vt:lpstr>
      <vt:lpstr>LOPA_IPL3</vt:lpstr>
      <vt:lpstr>LOPA_IPL3_C1</vt:lpstr>
      <vt:lpstr>LOPA_IPL3_C2</vt:lpstr>
      <vt:lpstr>LOPA_IPL4</vt:lpstr>
      <vt:lpstr>LOPA_IPL4_C1</vt:lpstr>
      <vt:lpstr>LOPA_IPL4_C2</vt:lpstr>
      <vt:lpstr>LOPA_IPL5</vt:lpstr>
      <vt:lpstr>LOPA_IPL6</vt:lpstr>
      <vt:lpstr>LOPA_IPL7</vt:lpstr>
      <vt:lpstr>LOPA_IPL8</vt:lpstr>
      <vt:lpstr>LOPA_Issues</vt:lpstr>
      <vt:lpstr>LOPA_Notes</vt:lpstr>
      <vt:lpstr>LOPA_POE</vt:lpstr>
      <vt:lpstr>LOPA_POI</vt:lpstr>
      <vt:lpstr>LOPA_Suggested_IPLs</vt:lpstr>
      <vt:lpstr>LOPA_TF</vt:lpstr>
      <vt:lpstr>Low_Tip_Speed</vt:lpstr>
      <vt:lpstr>LowMix_Corr_T</vt:lpstr>
      <vt:lpstr>LT_Embrittlement</vt:lpstr>
      <vt:lpstr>LV_Ratio</vt:lpstr>
      <vt:lpstr>MART_R1</vt:lpstr>
      <vt:lpstr>MART_R2</vt:lpstr>
      <vt:lpstr>MART_R3</vt:lpstr>
      <vt:lpstr>MART_R4</vt:lpstr>
      <vt:lpstr>MART_R5</vt:lpstr>
      <vt:lpstr>MART_R6</vt:lpstr>
      <vt:lpstr>MART_Rx1</vt:lpstr>
      <vt:lpstr>MART_Rx2</vt:lpstr>
      <vt:lpstr>MART_Rx3</vt:lpstr>
      <vt:lpstr>MART_Rx4</vt:lpstr>
      <vt:lpstr>MART_Rx5</vt:lpstr>
      <vt:lpstr>MART_Rx6</vt:lpstr>
      <vt:lpstr>MART_SetPt</vt:lpstr>
      <vt:lpstr>Mass_Equip</vt:lpstr>
      <vt:lpstr>Mass_Equip_Input</vt:lpstr>
      <vt:lpstr>Mass_Equip_Units</vt:lpstr>
      <vt:lpstr>Mass_Fv_OpTemp</vt:lpstr>
      <vt:lpstr>Mass_Fv_ReliefTemp</vt:lpstr>
      <vt:lpstr>Mass_List</vt:lpstr>
      <vt:lpstr>Matl_Construction</vt:lpstr>
      <vt:lpstr>Matl_Construction_List</vt:lpstr>
      <vt:lpstr>MAWP</vt:lpstr>
      <vt:lpstr>MAWP_Input</vt:lpstr>
      <vt:lpstr>MAWP_Units</vt:lpstr>
      <vt:lpstr>Max_ContainedMass</vt:lpstr>
      <vt:lpstr>Max_ContainedMass_Output</vt:lpstr>
      <vt:lpstr>Max_Duration</vt:lpstr>
      <vt:lpstr>Max_Feed_P</vt:lpstr>
      <vt:lpstr>Max_Feed_P_Input</vt:lpstr>
      <vt:lpstr>Max_Feed_P_Units</vt:lpstr>
      <vt:lpstr>Max_Fire_Duration</vt:lpstr>
      <vt:lpstr>Max_FIre_Temp</vt:lpstr>
      <vt:lpstr>Max_Inert_P</vt:lpstr>
      <vt:lpstr>Max_Inert_P_Input</vt:lpstr>
      <vt:lpstr>Max_Inert_P_Units</vt:lpstr>
      <vt:lpstr>Max_Inert_Vented</vt:lpstr>
      <vt:lpstr>ME_Relief_Rate</vt:lpstr>
      <vt:lpstr>ME_Trans_Rate</vt:lpstr>
      <vt:lpstr>Mechanical_HD2</vt:lpstr>
      <vt:lpstr>Mechanical_HD3</vt:lpstr>
      <vt:lpstr>Medium_HD2</vt:lpstr>
      <vt:lpstr>Medium_HD3</vt:lpstr>
      <vt:lpstr>Medium_Top_HD2</vt:lpstr>
      <vt:lpstr>Medium_Top_HD3</vt:lpstr>
      <vt:lpstr>MI_ExtremeLarge_Hole</vt:lpstr>
      <vt:lpstr>MI_Medium_Hole</vt:lpstr>
      <vt:lpstr>MI_Small_Hole</vt:lpstr>
      <vt:lpstr>MI_VeryLarge_Hole</vt:lpstr>
      <vt:lpstr>Mixture_Comp_Data</vt:lpstr>
      <vt:lpstr>Mixture_Input</vt:lpstr>
      <vt:lpstr>Mixture_Prop_Used</vt:lpstr>
      <vt:lpstr>Modulating_Relief</vt:lpstr>
      <vt:lpstr>Molar_Cs</vt:lpstr>
      <vt:lpstr>Molar_HtVap</vt:lpstr>
      <vt:lpstr>Molar_Vapor_Cs</vt:lpstr>
      <vt:lpstr>MolFract_Key_Chemical</vt:lpstr>
      <vt:lpstr>MolVapor_Composition__Key</vt:lpstr>
      <vt:lpstr>Monomer</vt:lpstr>
      <vt:lpstr>Monomer_C</vt:lpstr>
      <vt:lpstr>Monomer_U</vt:lpstr>
      <vt:lpstr>Motor</vt:lpstr>
      <vt:lpstr>Motor_Input</vt:lpstr>
      <vt:lpstr>Motor_List</vt:lpstr>
      <vt:lpstr>Motor_Screen</vt:lpstr>
      <vt:lpstr>Motor_Units</vt:lpstr>
      <vt:lpstr>Motor_Vibration</vt:lpstr>
      <vt:lpstr>MP_C</vt:lpstr>
      <vt:lpstr>Mw_1</vt:lpstr>
      <vt:lpstr>Mw_2</vt:lpstr>
      <vt:lpstr>Mw_3</vt:lpstr>
      <vt:lpstr>Mw_4</vt:lpstr>
      <vt:lpstr>Mw_5</vt:lpstr>
      <vt:lpstr>Mw_C</vt:lpstr>
      <vt:lpstr>Mw_Feed</vt:lpstr>
      <vt:lpstr>Mw_HeadSpace</vt:lpstr>
      <vt:lpstr>Mw_Mix</vt:lpstr>
      <vt:lpstr>MW_N</vt:lpstr>
      <vt:lpstr>MW_Pad</vt:lpstr>
      <vt:lpstr>MwHT_1</vt:lpstr>
      <vt:lpstr>MwHT_2</vt:lpstr>
      <vt:lpstr>MwHT_3</vt:lpstr>
      <vt:lpstr>MwHT_4</vt:lpstr>
      <vt:lpstr>MwHT_5</vt:lpstr>
      <vt:lpstr>MwHT_Feed</vt:lpstr>
      <vt:lpstr>N_ExtremeHigh</vt:lpstr>
      <vt:lpstr>N_High</vt:lpstr>
      <vt:lpstr>N_Low</vt:lpstr>
      <vt:lpstr>N_Moderate</vt:lpstr>
      <vt:lpstr>N_OffSite</vt:lpstr>
      <vt:lpstr>N_Screening</vt:lpstr>
      <vt:lpstr>N_VeryHigh</vt:lpstr>
      <vt:lpstr>N_VeryLow</vt:lpstr>
      <vt:lpstr>NBPlume_A</vt:lpstr>
      <vt:lpstr>NBPlume_A_Night</vt:lpstr>
      <vt:lpstr>NBPlume_B</vt:lpstr>
      <vt:lpstr>NBPlume_B_Night</vt:lpstr>
      <vt:lpstr>NBPuff_A</vt:lpstr>
      <vt:lpstr>NBPuff_A_Night</vt:lpstr>
      <vt:lpstr>NBPuff_B</vt:lpstr>
      <vt:lpstr>NBPuff_B_Night</vt:lpstr>
      <vt:lpstr>New_Chemical</vt:lpstr>
      <vt:lpstr>NF_C</vt:lpstr>
      <vt:lpstr>NFPA_F_Feed</vt:lpstr>
      <vt:lpstr>NFPA_F_Max</vt:lpstr>
      <vt:lpstr>NFPA_F_N</vt:lpstr>
      <vt:lpstr>NFPA_F_Pad</vt:lpstr>
      <vt:lpstr>NFPA_F_U</vt:lpstr>
      <vt:lpstr>NFPA_H_Feed</vt:lpstr>
      <vt:lpstr>NFPA_H_Max</vt:lpstr>
      <vt:lpstr>NFPA_H_N</vt:lpstr>
      <vt:lpstr>NFPA_H_U</vt:lpstr>
      <vt:lpstr>NFPA_HT_F</vt:lpstr>
      <vt:lpstr>NFPA_HT_H</vt:lpstr>
      <vt:lpstr>NFPA_List</vt:lpstr>
      <vt:lpstr>NFPA_R_Feed</vt:lpstr>
      <vt:lpstr>NFPA_R_Max</vt:lpstr>
      <vt:lpstr>NFPA_R_N</vt:lpstr>
      <vt:lpstr>NFPA_R_U</vt:lpstr>
      <vt:lpstr>NH_C</vt:lpstr>
      <vt:lpstr>NonConductive_Equipment</vt:lpstr>
      <vt:lpstr>NR_C</vt:lpstr>
      <vt:lpstr>Number_Trials</vt:lpstr>
      <vt:lpstr>Obstacle_Density</vt:lpstr>
      <vt:lpstr>Occ_Bldg</vt:lpstr>
      <vt:lpstr>Occ_Bldg_Cntr</vt:lpstr>
      <vt:lpstr>Occ_Bldg_Cntr_Input</vt:lpstr>
      <vt:lpstr>Occ_Bldg_Cntr_Relief</vt:lpstr>
      <vt:lpstr>Occ_Bldg_Cntr_Relief_Input</vt:lpstr>
      <vt:lpstr>Occ_Bldg_Cntr_Relief_Units</vt:lpstr>
      <vt:lpstr>Occ_Bldg_Cntr_Units</vt:lpstr>
      <vt:lpstr>Occ_Bldg_Input</vt:lpstr>
      <vt:lpstr>Occ_Bldg_Name</vt:lpstr>
      <vt:lpstr>Occ_Bldg_Relief</vt:lpstr>
      <vt:lpstr>Occ_Bldg_Relief_Input</vt:lpstr>
      <vt:lpstr>Occ_Bldg_Relief_Units</vt:lpstr>
      <vt:lpstr>Occ_Bldg_Units</vt:lpstr>
      <vt:lpstr>Occ_Bldg_Vent</vt:lpstr>
      <vt:lpstr>Occ_Bldg2</vt:lpstr>
      <vt:lpstr>Occ_Bldg2_Cntr</vt:lpstr>
      <vt:lpstr>Occ_Bldg2_Cntr_Input</vt:lpstr>
      <vt:lpstr>Occ_Bldg2_Cntr_Relief</vt:lpstr>
      <vt:lpstr>Occ_Bldg2_Cntr_Relief_Input</vt:lpstr>
      <vt:lpstr>Occ_Bldg2_Cntr_Relief_Units</vt:lpstr>
      <vt:lpstr>Occ_Bldg2_Cntr_Units</vt:lpstr>
      <vt:lpstr>Occ_Bldg2_Direction</vt:lpstr>
      <vt:lpstr>Occ_Bldg2_Input</vt:lpstr>
      <vt:lpstr>Occ_Bldg2_Name</vt:lpstr>
      <vt:lpstr>Occ_Bldg2_Relief</vt:lpstr>
      <vt:lpstr>Occ_Bldg2_Relief_Direction</vt:lpstr>
      <vt:lpstr>Occ_Bldg2_Relief_Input</vt:lpstr>
      <vt:lpstr>Occ_Bldg2_Relief_Units</vt:lpstr>
      <vt:lpstr>Occ_Bldg2_Units</vt:lpstr>
      <vt:lpstr>OccBldg_Elevation</vt:lpstr>
      <vt:lpstr>OccBldg_Elevation_Input</vt:lpstr>
      <vt:lpstr>OccBldg_Elevation_Units</vt:lpstr>
      <vt:lpstr>OccBldg2_Elevation</vt:lpstr>
      <vt:lpstr>OccBldg2_Elevation_Input</vt:lpstr>
      <vt:lpstr>OccBldg2_Elevation_Units</vt:lpstr>
      <vt:lpstr>Occupants_atRisk</vt:lpstr>
      <vt:lpstr>Occupants_atRisk2</vt:lpstr>
      <vt:lpstr>OD_Review</vt:lpstr>
      <vt:lpstr>OD_Review_Date</vt:lpstr>
      <vt:lpstr>Offsite_Area_Bldg_Factor</vt:lpstr>
      <vt:lpstr>Offsite_Area_Fraction</vt:lpstr>
      <vt:lpstr>Offsite_Area_Fraction_Default</vt:lpstr>
      <vt:lpstr>Offsite_Bldg_a</vt:lpstr>
      <vt:lpstr>Offsite_Bldg_Type_Coefficient</vt:lpstr>
      <vt:lpstr>Offsite_Bldg_Type_Correction</vt:lpstr>
      <vt:lpstr>Offsite_Bldg_Type_Exponent</vt:lpstr>
      <vt:lpstr>Offsite_Building_Type</vt:lpstr>
      <vt:lpstr>Offsite_PD</vt:lpstr>
      <vt:lpstr>Offsite_PD1</vt:lpstr>
      <vt:lpstr>Offsite_PD2</vt:lpstr>
      <vt:lpstr>OnSite_Limit</vt:lpstr>
      <vt:lpstr>Onsite_PD</vt:lpstr>
      <vt:lpstr>Onsite_PD_Default</vt:lpstr>
      <vt:lpstr>Op_Indoors</vt:lpstr>
      <vt:lpstr>Op_Indoors_Limit</vt:lpstr>
      <vt:lpstr>Op_Number</vt:lpstr>
      <vt:lpstr>Operating_Time</vt:lpstr>
      <vt:lpstr>OpTime_List</vt:lpstr>
      <vt:lpstr>Out_API</vt:lpstr>
      <vt:lpstr>Out_API_Desc</vt:lpstr>
      <vt:lpstr>Out_API_Detail</vt:lpstr>
      <vt:lpstr>Out_AQ</vt:lpstr>
      <vt:lpstr>Out_AQ_Units</vt:lpstr>
      <vt:lpstr>Out_AR</vt:lpstr>
      <vt:lpstr>Out_AR_Units</vt:lpstr>
      <vt:lpstr>Out_ATEF</vt:lpstr>
      <vt:lpstr>Out_ATEF_Desc</vt:lpstr>
      <vt:lpstr>Out_ATEF_Detail</vt:lpstr>
      <vt:lpstr>Out_ATF</vt:lpstr>
      <vt:lpstr>Out_ATF_Desc</vt:lpstr>
      <vt:lpstr>Out_ATF_Detail</vt:lpstr>
      <vt:lpstr>Out_Bldg1_Name</vt:lpstr>
      <vt:lpstr>Out_Bldg2_Name</vt:lpstr>
      <vt:lpstr>Out_Case_Evaluation</vt:lpstr>
      <vt:lpstr>Out_Cause</vt:lpstr>
      <vt:lpstr>Out_Cause_Comment</vt:lpstr>
      <vt:lpstr>Out_Cause_Desc</vt:lpstr>
      <vt:lpstr>Out_Cause_Desc_Tool</vt:lpstr>
      <vt:lpstr>Out_Cause_FinalElement</vt:lpstr>
      <vt:lpstr>Out_Cause_FinalElement2</vt:lpstr>
      <vt:lpstr>Out_Cause_FinalElement3</vt:lpstr>
      <vt:lpstr>Out_Cause_FinalElement4</vt:lpstr>
      <vt:lpstr>Out_Cause_LogicSolver</vt:lpstr>
      <vt:lpstr>Out_Cause_Sensor</vt:lpstr>
      <vt:lpstr>Out_Cause_Sensor2</vt:lpstr>
      <vt:lpstr>Out_Cause_Sensor3</vt:lpstr>
      <vt:lpstr>Out_Cause_Sensor4</vt:lpstr>
      <vt:lpstr>Out_Cause_Sensor5</vt:lpstr>
      <vt:lpstr>Out_Cause_Tool</vt:lpstr>
      <vt:lpstr>Out_Comments</vt:lpstr>
      <vt:lpstr>Out_Compare</vt:lpstr>
      <vt:lpstr>Out_Conc_atOccBldg</vt:lpstr>
      <vt:lpstr>Out_Conc_atOccBldg2</vt:lpstr>
      <vt:lpstr>Out_Consequence</vt:lpstr>
      <vt:lpstr>Out_Consequence_User</vt:lpstr>
      <vt:lpstr>Out_Credible</vt:lpstr>
      <vt:lpstr>Out_Cross_Ref</vt:lpstr>
      <vt:lpstr>Out_Dist_10psi</vt:lpstr>
      <vt:lpstr>Out_Dist_10psi_Units</vt:lpstr>
      <vt:lpstr>Out_Dist_1psi</vt:lpstr>
      <vt:lpstr>Out_Dist_1psi_Units</vt:lpstr>
      <vt:lpstr>Out_Dist_3x_ERPG3</vt:lpstr>
      <vt:lpstr>Out_Dist_3x_ERPG3_Units</vt:lpstr>
      <vt:lpstr>Out_Dist_Debris</vt:lpstr>
      <vt:lpstr>Out_Dist_Debris_Units</vt:lpstr>
      <vt:lpstr>Out_Dist_ERPG2</vt:lpstr>
      <vt:lpstr>Out_Dist_ERPG2_Units</vt:lpstr>
      <vt:lpstr>Out_Dist_ERPG3</vt:lpstr>
      <vt:lpstr>Out_Dist_ERPG3_Units</vt:lpstr>
      <vt:lpstr>Out_Dist_Frag</vt:lpstr>
      <vt:lpstr>Out_Dist_Half_LFL</vt:lpstr>
      <vt:lpstr>Out_Dist_Half_LFL_Units</vt:lpstr>
      <vt:lpstr>Out_Dist_LFL</vt:lpstr>
      <vt:lpstr>Out_Dist_LFL_Units</vt:lpstr>
      <vt:lpstr>Out_Dist2_Frag</vt:lpstr>
      <vt:lpstr>Out_DurMR</vt:lpstr>
      <vt:lpstr>Out_DurT</vt:lpstr>
      <vt:lpstr>Out_EF_Desc</vt:lpstr>
      <vt:lpstr>Out_EF_Detail</vt:lpstr>
      <vt:lpstr>Out_Enc_Process_Conc</vt:lpstr>
      <vt:lpstr>Out_Enc_Process_Conc_W</vt:lpstr>
      <vt:lpstr>Out_Equip_Tag</vt:lpstr>
      <vt:lpstr>Out_Equip_Type</vt:lpstr>
      <vt:lpstr>Out_Equip_Vol</vt:lpstr>
      <vt:lpstr>Out_Equip_Vol_Units</vt:lpstr>
      <vt:lpstr>Out_ER2</vt:lpstr>
      <vt:lpstr>Out_ER3</vt:lpstr>
      <vt:lpstr>Out_Est_POE</vt:lpstr>
      <vt:lpstr>Out_Exp_Dist_1psi</vt:lpstr>
      <vt:lpstr>Out_Exp_Dist_2psi</vt:lpstr>
      <vt:lpstr>Out_Feed_Comp</vt:lpstr>
      <vt:lpstr>Out_FK</vt:lpstr>
      <vt:lpstr>Out_FlashError</vt:lpstr>
      <vt:lpstr>Out_FM</vt:lpstr>
      <vt:lpstr>Out_FM_Units</vt:lpstr>
      <vt:lpstr>Out_FragRange</vt:lpstr>
      <vt:lpstr>Out_FragRange_Units</vt:lpstr>
      <vt:lpstr>Out_Gap</vt:lpstr>
      <vt:lpstr>Out_HD_LC1</vt:lpstr>
      <vt:lpstr>Out_HD_LC1_Units</vt:lpstr>
      <vt:lpstr>Out_HD_LC50</vt:lpstr>
      <vt:lpstr>Out_HD_LC50_Units</vt:lpstr>
      <vt:lpstr>Out_HE_Comment</vt:lpstr>
      <vt:lpstr>Out_Hole</vt:lpstr>
      <vt:lpstr>Out_Hole_Units</vt:lpstr>
      <vt:lpstr>Out_IEF</vt:lpstr>
      <vt:lpstr>Out_Incident</vt:lpstr>
      <vt:lpstr>Out_IPL_1</vt:lpstr>
      <vt:lpstr>Out_IPL_2</vt:lpstr>
      <vt:lpstr>Out_IPL_3</vt:lpstr>
      <vt:lpstr>Out_IPL_4</vt:lpstr>
      <vt:lpstr>Out_IPL_5</vt:lpstr>
      <vt:lpstr>Out_IPL_6</vt:lpstr>
      <vt:lpstr>Out_IPL_7</vt:lpstr>
      <vt:lpstr>Out_IPL_8</vt:lpstr>
      <vt:lpstr>Out_IPL1_Alarm</vt:lpstr>
      <vt:lpstr>Out_IPL1_ALR</vt:lpstr>
      <vt:lpstr>Out_IPL1_DelayTime</vt:lpstr>
      <vt:lpstr>Out_IPL1_Desc</vt:lpstr>
      <vt:lpstr>Out_IPL1_Detail</vt:lpstr>
      <vt:lpstr>Out_IPL1_FinalElement</vt:lpstr>
      <vt:lpstr>Out_IPL1_FinalElement2</vt:lpstr>
      <vt:lpstr>Out_IPL1_LogicSolver</vt:lpstr>
      <vt:lpstr>Out_IPL1_Other</vt:lpstr>
      <vt:lpstr>Out_IPL1_Sensor</vt:lpstr>
      <vt:lpstr>Out_IPL1_Sensor2</vt:lpstr>
      <vt:lpstr>Out_IPL1_Sensor3</vt:lpstr>
      <vt:lpstr>Out_IPL1_SetPoint</vt:lpstr>
      <vt:lpstr>Out_IPL1_Status</vt:lpstr>
      <vt:lpstr>Out_IPL2_Alarm</vt:lpstr>
      <vt:lpstr>Out_IPL2_ALR</vt:lpstr>
      <vt:lpstr>Out_IPL2_DelayTime</vt:lpstr>
      <vt:lpstr>Out_IPL2_Desc</vt:lpstr>
      <vt:lpstr>Out_IPL2_Detail</vt:lpstr>
      <vt:lpstr>Out_IPL2_FinalElement</vt:lpstr>
      <vt:lpstr>Out_IPL2_FinalElement2</vt:lpstr>
      <vt:lpstr>Out_IPL2_LogicSolver</vt:lpstr>
      <vt:lpstr>Out_IPL2_Other</vt:lpstr>
      <vt:lpstr>Out_IPL2_Sensor</vt:lpstr>
      <vt:lpstr>Out_IPL2_Sensor2</vt:lpstr>
      <vt:lpstr>Out_IPL2_Sensor3</vt:lpstr>
      <vt:lpstr>Out_IPL2_SetPoint</vt:lpstr>
      <vt:lpstr>Out_IPL2_Status</vt:lpstr>
      <vt:lpstr>Out_IPL3_Comment</vt:lpstr>
      <vt:lpstr>Out_IPL3_DelayTime</vt:lpstr>
      <vt:lpstr>Out_IPL3_Desc</vt:lpstr>
      <vt:lpstr>Out_IPL3_Detail</vt:lpstr>
      <vt:lpstr>Out_IPL3_FinalElement</vt:lpstr>
      <vt:lpstr>Out_IPL3_FinalElement2</vt:lpstr>
      <vt:lpstr>Out_IPL3_LogicSolver</vt:lpstr>
      <vt:lpstr>Out_IPL3_Other</vt:lpstr>
      <vt:lpstr>Out_IPL3_Sensor</vt:lpstr>
      <vt:lpstr>Out_IPL3_Sensor2</vt:lpstr>
      <vt:lpstr>Out_IPL3_Sensor3</vt:lpstr>
      <vt:lpstr>Out_IPL3_SetPoint</vt:lpstr>
      <vt:lpstr>Out_IPL3_Status</vt:lpstr>
      <vt:lpstr>Out_IPL4_Comment</vt:lpstr>
      <vt:lpstr>Out_IPL4_DelayTime</vt:lpstr>
      <vt:lpstr>Out_IPL4_Desc</vt:lpstr>
      <vt:lpstr>Out_IPL4_Detail</vt:lpstr>
      <vt:lpstr>Out_IPL4_FinalElement</vt:lpstr>
      <vt:lpstr>Out_IPL4_FinalElement2</vt:lpstr>
      <vt:lpstr>Out_IPL4_LogicSolver</vt:lpstr>
      <vt:lpstr>Out_IPL4_Other</vt:lpstr>
      <vt:lpstr>Out_IPL4_Sensor</vt:lpstr>
      <vt:lpstr>Out_IPL4_Sensor2</vt:lpstr>
      <vt:lpstr>Out_IPL4_Sensor3</vt:lpstr>
      <vt:lpstr>Out_IPL4_SetPoint</vt:lpstr>
      <vt:lpstr>Out_IPL4_Status</vt:lpstr>
      <vt:lpstr>Out_IPL5_Desc</vt:lpstr>
      <vt:lpstr>Out_IPL5_Detail</vt:lpstr>
      <vt:lpstr>Out_IPL5_Status</vt:lpstr>
      <vt:lpstr>Out_IPL6_Desc</vt:lpstr>
      <vt:lpstr>Out_IPL6_Detail</vt:lpstr>
      <vt:lpstr>Out_IPL6_Status</vt:lpstr>
      <vt:lpstr>Out_IPL7_Desc</vt:lpstr>
      <vt:lpstr>Out_IPL7_Detail</vt:lpstr>
      <vt:lpstr>Out_IPL7_Status</vt:lpstr>
      <vt:lpstr>Out_IPL8_Desc</vt:lpstr>
      <vt:lpstr>Out_IPL8_Detail</vt:lpstr>
      <vt:lpstr>Out_IPL8_Status</vt:lpstr>
      <vt:lpstr>Out_Issues</vt:lpstr>
      <vt:lpstr>Out_Key_Chemical</vt:lpstr>
      <vt:lpstr>Out_Last_Calc_Date</vt:lpstr>
      <vt:lpstr>Out_Last_Version</vt:lpstr>
      <vt:lpstr>Out_LC1</vt:lpstr>
      <vt:lpstr>Out_LC50</vt:lpstr>
      <vt:lpstr>Out_LFL</vt:lpstr>
      <vt:lpstr>Out_Location</vt:lpstr>
      <vt:lpstr>Out_LPR</vt:lpstr>
      <vt:lpstr>Out_LS_Inst_Credits</vt:lpstr>
      <vt:lpstr>Out_New_IPL</vt:lpstr>
      <vt:lpstr>Out_Outcome</vt:lpstr>
      <vt:lpstr>Out_Outcome_Desc</vt:lpstr>
      <vt:lpstr>Out_Outcome_Desc_User</vt:lpstr>
      <vt:lpstr>Out_PCA</vt:lpstr>
      <vt:lpstr>Out_PCA_Date</vt:lpstr>
      <vt:lpstr>Out_PI</vt:lpstr>
      <vt:lpstr>Out_PI_Used</vt:lpstr>
      <vt:lpstr>Out_Plant_Section</vt:lpstr>
      <vt:lpstr>Out_POE</vt:lpstr>
      <vt:lpstr>Out_POE_Desc</vt:lpstr>
      <vt:lpstr>Out_POE_Detail</vt:lpstr>
      <vt:lpstr>Out_POI_Desc</vt:lpstr>
      <vt:lpstr>Out_POI_Detail</vt:lpstr>
      <vt:lpstr>Out_PoolA</vt:lpstr>
      <vt:lpstr>Out_PoolA_Units</vt:lpstr>
      <vt:lpstr>Out_Procedure_FR</vt:lpstr>
      <vt:lpstr>Out_Procedure_Freq</vt:lpstr>
      <vt:lpstr>Out_PSA</vt:lpstr>
      <vt:lpstr>Out_PSA_Date</vt:lpstr>
      <vt:lpstr>Out_Quality</vt:lpstr>
      <vt:lpstr>Out_Ref</vt:lpstr>
      <vt:lpstr>Out_Release_Calcs</vt:lpstr>
      <vt:lpstr>Out_RelP</vt:lpstr>
      <vt:lpstr>Out_RelP_Units</vt:lpstr>
      <vt:lpstr>Out_RelT</vt:lpstr>
      <vt:lpstr>Out_Scaled_LC1</vt:lpstr>
      <vt:lpstr>Out_Scenario_No</vt:lpstr>
      <vt:lpstr>Out_Scenario_Type</vt:lpstr>
      <vt:lpstr>Out_SIFA</vt:lpstr>
      <vt:lpstr>Out_SIFB</vt:lpstr>
      <vt:lpstr>Out_Source</vt:lpstr>
      <vt:lpstr>Out_Suggested_IPLs</vt:lpstr>
      <vt:lpstr>Out_TCA</vt:lpstr>
      <vt:lpstr>Out_TCA_Date</vt:lpstr>
      <vt:lpstr>Out_TEF</vt:lpstr>
      <vt:lpstr>Out_TEF_Used</vt:lpstr>
      <vt:lpstr>Out_TF</vt:lpstr>
      <vt:lpstr>Out_TF_Used</vt:lpstr>
      <vt:lpstr>Out_Time_Relief</vt:lpstr>
      <vt:lpstr>Out_Time_Relief_Units</vt:lpstr>
      <vt:lpstr>Out_TimeER3_atOccBldg</vt:lpstr>
      <vt:lpstr>Out_TimeER3_atOccBldg2</vt:lpstr>
      <vt:lpstr>Out_TimeER3_Enc_Process</vt:lpstr>
      <vt:lpstr>Out_TimeER3_Enc_Process_W</vt:lpstr>
      <vt:lpstr>Out_TR</vt:lpstr>
      <vt:lpstr>Out_TR_Units</vt:lpstr>
      <vt:lpstr>Out_TRR</vt:lpstr>
      <vt:lpstr>Out_TRR_Units</vt:lpstr>
      <vt:lpstr>Out_Wind_Direction</vt:lpstr>
      <vt:lpstr>Outcome</vt:lpstr>
      <vt:lpstr>Outcome_Desc</vt:lpstr>
      <vt:lpstr>Outcome_Summary_Table</vt:lpstr>
      <vt:lpstr>Outcome_User</vt:lpstr>
      <vt:lpstr>Outdoor_Fract</vt:lpstr>
      <vt:lpstr>Outdoor_Fract_Night</vt:lpstr>
      <vt:lpstr>Outdoor_PD</vt:lpstr>
      <vt:lpstr>Overfill_1</vt:lpstr>
      <vt:lpstr>Overfill_2</vt:lpstr>
      <vt:lpstr>Overfill_3</vt:lpstr>
      <vt:lpstr>Overfill_4</vt:lpstr>
      <vt:lpstr>Overfill_5</vt:lpstr>
      <vt:lpstr>Overfill_HD2</vt:lpstr>
      <vt:lpstr>Overfill_HD3</vt:lpstr>
      <vt:lpstr>Overflow_Location</vt:lpstr>
      <vt:lpstr>Overflow_Time</vt:lpstr>
      <vt:lpstr>Overflow_Time_Units</vt:lpstr>
      <vt:lpstr>P</vt:lpstr>
      <vt:lpstr>P_Act_Energy</vt:lpstr>
      <vt:lpstr>P_AIgnite</vt:lpstr>
      <vt:lpstr>P_Aquatic_Tox</vt:lpstr>
      <vt:lpstr>P_atBurst_PeakT</vt:lpstr>
      <vt:lpstr>P_atCoolant</vt:lpstr>
      <vt:lpstr>P_atHeatMedia</vt:lpstr>
      <vt:lpstr>P_atMax_FeedT</vt:lpstr>
      <vt:lpstr>P_atME_Continuous</vt:lpstr>
      <vt:lpstr>P_atMechEng</vt:lpstr>
      <vt:lpstr>P_Conductive</vt:lpstr>
      <vt:lpstr>P_Dermal_Tox</vt:lpstr>
      <vt:lpstr>P_DHR</vt:lpstr>
      <vt:lpstr>P_Dust_Class</vt:lpstr>
      <vt:lpstr>P_Dust_Hybrid</vt:lpstr>
      <vt:lpstr>P_Dust_MIE</vt:lpstr>
      <vt:lpstr>P_Dust_Size</vt:lpstr>
      <vt:lpstr>P_Ease_of_Ignition</vt:lpstr>
      <vt:lpstr>P_Flame_Speed</vt:lpstr>
      <vt:lpstr>P_Flash_Pt</vt:lpstr>
      <vt:lpstr>P_Fract_Key_Chemical</vt:lpstr>
      <vt:lpstr>P_Fraction_Dust</vt:lpstr>
      <vt:lpstr>P_Gas_Exo</vt:lpstr>
      <vt:lpstr>P_Gas_Gen</vt:lpstr>
      <vt:lpstr>P_Input</vt:lpstr>
      <vt:lpstr>P_Monomer</vt:lpstr>
      <vt:lpstr>P_NFPA_F</vt:lpstr>
      <vt:lpstr>P_NFPA_H</vt:lpstr>
      <vt:lpstr>P_NFPA_R</vt:lpstr>
      <vt:lpstr>P_phi</vt:lpstr>
      <vt:lpstr>P_Rdet</vt:lpstr>
      <vt:lpstr>P_Reactive_Risk</vt:lpstr>
      <vt:lpstr>P_Rx_Data_Reference</vt:lpstr>
      <vt:lpstr>P_Surge</vt:lpstr>
      <vt:lpstr>P_Sustain_Burn</vt:lpstr>
      <vt:lpstr>P_Tdet</vt:lpstr>
      <vt:lpstr>P_Test_Method</vt:lpstr>
      <vt:lpstr>P_TM</vt:lpstr>
      <vt:lpstr>P_Units</vt:lpstr>
      <vt:lpstr>P_Unlimited</vt:lpstr>
      <vt:lpstr>P0_rel</vt:lpstr>
      <vt:lpstr>P1_rel</vt:lpstr>
      <vt:lpstr>P2_rel</vt:lpstr>
      <vt:lpstr>Pad_ER2</vt:lpstr>
      <vt:lpstr>Pad_ER3</vt:lpstr>
      <vt:lpstr>Pad_Flow</vt:lpstr>
      <vt:lpstr>Pad_FP</vt:lpstr>
      <vt:lpstr>Pad_HazClass</vt:lpstr>
      <vt:lpstr>Pad_LFL</vt:lpstr>
      <vt:lpstr>Pad_MW</vt:lpstr>
      <vt:lpstr>Pad_Name</vt:lpstr>
      <vt:lpstr>Pad_Pressure</vt:lpstr>
      <vt:lpstr>Pad_Vent</vt:lpstr>
      <vt:lpstr>Parameter_Deviation</vt:lpstr>
      <vt:lpstr>Partipants</vt:lpstr>
      <vt:lpstr>Path</vt:lpstr>
      <vt:lpstr>Peak_Deflag</vt:lpstr>
      <vt:lpstr>Penalty_Corrosive</vt:lpstr>
      <vt:lpstr>Penalty_Insulation</vt:lpstr>
      <vt:lpstr>Penalty_Screwed</vt:lpstr>
      <vt:lpstr>Penalty_Screwed2</vt:lpstr>
      <vt:lpstr>Penalty_Screwed3</vt:lpstr>
      <vt:lpstr>Penalty_Screwed4</vt:lpstr>
      <vt:lpstr>Permits</vt:lpstr>
      <vt:lpstr>PFF_1</vt:lpstr>
      <vt:lpstr>PFF_10</vt:lpstr>
      <vt:lpstr>PFF_2</vt:lpstr>
      <vt:lpstr>PFF_3</vt:lpstr>
      <vt:lpstr>PFF_4</vt:lpstr>
      <vt:lpstr>PFF_5</vt:lpstr>
      <vt:lpstr>PFF_6</vt:lpstr>
      <vt:lpstr>PFF_7</vt:lpstr>
      <vt:lpstr>PFF_8</vt:lpstr>
      <vt:lpstr>PFF_9</vt:lpstr>
      <vt:lpstr>phi</vt:lpstr>
      <vt:lpstr>phi_C</vt:lpstr>
      <vt:lpstr>phi_U</vt:lpstr>
      <vt:lpstr>Phys_Prop_Used</vt:lpstr>
      <vt:lpstr>PID_Number</vt:lpstr>
      <vt:lpstr>Pipe_Length</vt:lpstr>
      <vt:lpstr>Pipe_Length_Input</vt:lpstr>
      <vt:lpstr>Pipe_Length_Units</vt:lpstr>
      <vt:lpstr>Pipe_Vulnerable</vt:lpstr>
      <vt:lpstr>Plant_Section</vt:lpstr>
      <vt:lpstr>Plume_sY_A</vt:lpstr>
      <vt:lpstr>Plume_sY_A_Night</vt:lpstr>
      <vt:lpstr>Plume_sY_B</vt:lpstr>
      <vt:lpstr>Plume_sY_B_Night</vt:lpstr>
      <vt:lpstr>Plume_sZ_A</vt:lpstr>
      <vt:lpstr>Plume_sZ_A_Night</vt:lpstr>
      <vt:lpstr>Plume_sZ_B</vt:lpstr>
      <vt:lpstr>Plume_sZ_B_Night</vt:lpstr>
      <vt:lpstr>Pmax_HtTrans</vt:lpstr>
      <vt:lpstr>Pmax_ME_Continuous</vt:lpstr>
      <vt:lpstr>Pmax_MechEng</vt:lpstr>
      <vt:lpstr>Pmax_Source</vt:lpstr>
      <vt:lpstr>Pn_1</vt:lpstr>
      <vt:lpstr>Pn_2</vt:lpstr>
      <vt:lpstr>Pn_3</vt:lpstr>
      <vt:lpstr>Pn_4</vt:lpstr>
      <vt:lpstr>Pn_5</vt:lpstr>
      <vt:lpstr>PnHT_1</vt:lpstr>
      <vt:lpstr>PnHT_2</vt:lpstr>
      <vt:lpstr>PnHT_3</vt:lpstr>
      <vt:lpstr>PnHT_4</vt:lpstr>
      <vt:lpstr>PnHT_5</vt:lpstr>
      <vt:lpstr>PnPad</vt:lpstr>
      <vt:lpstr>POE_1</vt:lpstr>
      <vt:lpstr>POE_2</vt:lpstr>
      <vt:lpstr>POE_Alternate</vt:lpstr>
      <vt:lpstr>POE_Alternate_Table</vt:lpstr>
      <vt:lpstr>POE_Table</vt:lpstr>
      <vt:lpstr>POE_Table2</vt:lpstr>
      <vt:lpstr>POI_1</vt:lpstr>
      <vt:lpstr>POI_Table</vt:lpstr>
      <vt:lpstr>Pool_1</vt:lpstr>
      <vt:lpstr>Pool_1_Backflow</vt:lpstr>
      <vt:lpstr>Pool_1_Drain</vt:lpstr>
      <vt:lpstr>Pool_1_ExtremeLarge</vt:lpstr>
      <vt:lpstr>Pool_1_FullBore</vt:lpstr>
      <vt:lpstr>Pool_1_Medium</vt:lpstr>
      <vt:lpstr>Pool_1_Overfill</vt:lpstr>
      <vt:lpstr>Pool_1_Relief</vt:lpstr>
      <vt:lpstr>Pool_1_RupFire</vt:lpstr>
      <vt:lpstr>Pool_1_RupPeak</vt:lpstr>
      <vt:lpstr>Pool_1_RupSat</vt:lpstr>
      <vt:lpstr>Pool_1_Rupture</vt:lpstr>
      <vt:lpstr>Pool_1_Seal</vt:lpstr>
      <vt:lpstr>Pool_1_Small</vt:lpstr>
      <vt:lpstr>Pool_1_User</vt:lpstr>
      <vt:lpstr>Pool_1_UserHole</vt:lpstr>
      <vt:lpstr>Pool_1_VeryLarge</vt:lpstr>
      <vt:lpstr>Pool_1_VerySmall</vt:lpstr>
      <vt:lpstr>Pool_2</vt:lpstr>
      <vt:lpstr>Pool_2_Backflow</vt:lpstr>
      <vt:lpstr>Pool_2_Drain</vt:lpstr>
      <vt:lpstr>Pool_2_ExtremeLarge</vt:lpstr>
      <vt:lpstr>Pool_2_FullBore</vt:lpstr>
      <vt:lpstr>Pool_2_Medium</vt:lpstr>
      <vt:lpstr>Pool_2_Overfill</vt:lpstr>
      <vt:lpstr>Pool_2_Relief</vt:lpstr>
      <vt:lpstr>Pool_2_RupFire</vt:lpstr>
      <vt:lpstr>Pool_2_RupPeak</vt:lpstr>
      <vt:lpstr>Pool_2_RupSat</vt:lpstr>
      <vt:lpstr>Pool_2_Rupture</vt:lpstr>
      <vt:lpstr>Pool_2_Seal</vt:lpstr>
      <vt:lpstr>Pool_2_Small</vt:lpstr>
      <vt:lpstr>Pool_2_User</vt:lpstr>
      <vt:lpstr>Pool_2_UserHole</vt:lpstr>
      <vt:lpstr>Pool_2_VeryLarge</vt:lpstr>
      <vt:lpstr>Pool_2_VerySmall</vt:lpstr>
      <vt:lpstr>Pool_3</vt:lpstr>
      <vt:lpstr>Pool_3_Backflow</vt:lpstr>
      <vt:lpstr>Pool_3_Drain</vt:lpstr>
      <vt:lpstr>Pool_3_ExtremeLarge</vt:lpstr>
      <vt:lpstr>Pool_3_FullBore</vt:lpstr>
      <vt:lpstr>Pool_3_Medium</vt:lpstr>
      <vt:lpstr>Pool_3_Overfill</vt:lpstr>
      <vt:lpstr>Pool_3_Relief</vt:lpstr>
      <vt:lpstr>Pool_3_RupFire</vt:lpstr>
      <vt:lpstr>Pool_3_RupPeak</vt:lpstr>
      <vt:lpstr>Pool_3_RupSat</vt:lpstr>
      <vt:lpstr>Pool_3_Rupture</vt:lpstr>
      <vt:lpstr>Pool_3_Seal</vt:lpstr>
      <vt:lpstr>Pool_3_Small</vt:lpstr>
      <vt:lpstr>Pool_3_User</vt:lpstr>
      <vt:lpstr>Pool_3_UserHole</vt:lpstr>
      <vt:lpstr>Pool_3_VeryLarge</vt:lpstr>
      <vt:lpstr>Pool_3_VerySmall</vt:lpstr>
      <vt:lpstr>Pool_4</vt:lpstr>
      <vt:lpstr>Pool_4_Backflow</vt:lpstr>
      <vt:lpstr>Pool_4_Drain</vt:lpstr>
      <vt:lpstr>Pool_4_ExtremeLarge</vt:lpstr>
      <vt:lpstr>Pool_4_FullBore</vt:lpstr>
      <vt:lpstr>Pool_4_Medium</vt:lpstr>
      <vt:lpstr>Pool_4_Overfill</vt:lpstr>
      <vt:lpstr>Pool_4_Relief</vt:lpstr>
      <vt:lpstr>Pool_4_RupFire</vt:lpstr>
      <vt:lpstr>Pool_4_RupPeak</vt:lpstr>
      <vt:lpstr>Pool_4_RupSat</vt:lpstr>
      <vt:lpstr>Pool_4_Rupture</vt:lpstr>
      <vt:lpstr>Pool_4_Seal</vt:lpstr>
      <vt:lpstr>Pool_4_Small</vt:lpstr>
      <vt:lpstr>Pool_4_User</vt:lpstr>
      <vt:lpstr>Pool_4_UserHole</vt:lpstr>
      <vt:lpstr>Pool_4_VeryLarge</vt:lpstr>
      <vt:lpstr>Pool_4_VerySmall</vt:lpstr>
      <vt:lpstr>Pool_5</vt:lpstr>
      <vt:lpstr>Pool_5_Backflow</vt:lpstr>
      <vt:lpstr>Pool_5_Drain</vt:lpstr>
      <vt:lpstr>Pool_5_ExtremeLarge</vt:lpstr>
      <vt:lpstr>Pool_5_FullBore</vt:lpstr>
      <vt:lpstr>Pool_5_Medium</vt:lpstr>
      <vt:lpstr>Pool_5_Overfill</vt:lpstr>
      <vt:lpstr>Pool_5_Relief</vt:lpstr>
      <vt:lpstr>Pool_5_RupFire</vt:lpstr>
      <vt:lpstr>Pool_5_RupPeak</vt:lpstr>
      <vt:lpstr>Pool_5_RupSat</vt:lpstr>
      <vt:lpstr>Pool_5_Rupture</vt:lpstr>
      <vt:lpstr>Pool_5_Seal</vt:lpstr>
      <vt:lpstr>Pool_5_Small</vt:lpstr>
      <vt:lpstr>Pool_5_User</vt:lpstr>
      <vt:lpstr>Pool_5_UserHole</vt:lpstr>
      <vt:lpstr>Pool_5_VeryLarge</vt:lpstr>
      <vt:lpstr>Pool_5_VerySmall</vt:lpstr>
      <vt:lpstr>Pool_Coefficient</vt:lpstr>
      <vt:lpstr>Pool_Fire_IE</vt:lpstr>
      <vt:lpstr>PoolFire_By</vt:lpstr>
      <vt:lpstr>PoolFire_Date</vt:lpstr>
      <vt:lpstr>PoolRate_RupFire</vt:lpstr>
      <vt:lpstr>PoolRate_RupPeak</vt:lpstr>
      <vt:lpstr>PoolRate_RupSat</vt:lpstr>
      <vt:lpstr>PoolRate_Rupture</vt:lpstr>
      <vt:lpstr>PoolRate1_Backflow</vt:lpstr>
      <vt:lpstr>PoolRate1_Drain</vt:lpstr>
      <vt:lpstr>PoolRate1_ExtremeLarge</vt:lpstr>
      <vt:lpstr>PoolRate1_FullBore</vt:lpstr>
      <vt:lpstr>PoolRate1_Medium</vt:lpstr>
      <vt:lpstr>PoolRate1_Overfill</vt:lpstr>
      <vt:lpstr>PoolRate1_Relief</vt:lpstr>
      <vt:lpstr>PoolRate1_Seal</vt:lpstr>
      <vt:lpstr>PoolRate1_Small</vt:lpstr>
      <vt:lpstr>PoolRate1_User</vt:lpstr>
      <vt:lpstr>PoolRate1_UserHole</vt:lpstr>
      <vt:lpstr>PoolRate1_VeryLarge</vt:lpstr>
      <vt:lpstr>PoolRate1_VerySmall</vt:lpstr>
      <vt:lpstr>PoolRate2_Backflow</vt:lpstr>
      <vt:lpstr>PoolRate2_Drain</vt:lpstr>
      <vt:lpstr>PoolRate2_ExtremeLarge</vt:lpstr>
      <vt:lpstr>PoolRate2_FullBore</vt:lpstr>
      <vt:lpstr>PoolRate2_Medium</vt:lpstr>
      <vt:lpstr>PoolRate2_Overfill</vt:lpstr>
      <vt:lpstr>PoolRate2_Relief</vt:lpstr>
      <vt:lpstr>PoolRate2_Seal</vt:lpstr>
      <vt:lpstr>PoolRate2_Small</vt:lpstr>
      <vt:lpstr>PoolRate2_User</vt:lpstr>
      <vt:lpstr>PoolRate2_UserHole</vt:lpstr>
      <vt:lpstr>PoolRate2_VeryLarge</vt:lpstr>
      <vt:lpstr>PoolRate2_VerySmall</vt:lpstr>
      <vt:lpstr>Press_List</vt:lpstr>
      <vt:lpstr>'Chemical Data'!Print_Area</vt:lpstr>
      <vt:lpstr>'Equipment Input'!Print_Area</vt:lpstr>
      <vt:lpstr>'FEI &amp; CEI'!Print_Area</vt:lpstr>
      <vt:lpstr>'Hazards &amp; Consequences'!Print_Area</vt:lpstr>
      <vt:lpstr>'IPL Credits'!Print_Area</vt:lpstr>
      <vt:lpstr>MART_MALR!Print_Area</vt:lpstr>
      <vt:lpstr>'New Chemical'!Print_Area</vt:lpstr>
      <vt:lpstr>'Pool Fire Frequency'!Print_Area</vt:lpstr>
      <vt:lpstr>'Reaction Input'!Print_Area</vt:lpstr>
      <vt:lpstr>'Relief Effluent'!Print_Area</vt:lpstr>
      <vt:lpstr>'Scenario Identification'!Print_Area</vt:lpstr>
      <vt:lpstr>'Scenario List'!Print_Area</vt:lpstr>
      <vt:lpstr>'Scenario Results'!Print_Area</vt:lpstr>
      <vt:lpstr>'Chemical Properties'!Print_Titles</vt:lpstr>
      <vt:lpstr>'Equipment Table'!Print_Titles</vt:lpstr>
      <vt:lpstr>'LOPA Worksheet'!Print_Titles</vt:lpstr>
      <vt:lpstr>'Pool Fire Frequency'!Print_Titles</vt:lpstr>
      <vt:lpstr>'Scenario Identification'!Print_Titles</vt:lpstr>
      <vt:lpstr>'Scenario List'!Print_Titles</vt:lpstr>
      <vt:lpstr>'Scenario Results'!Print_Titles</vt:lpstr>
      <vt:lpstr>ProbitLC1_C</vt:lpstr>
      <vt:lpstr>ProbitLC50_C</vt:lpstr>
      <vt:lpstr>Probitn_C</vt:lpstr>
      <vt:lpstr>Process</vt:lpstr>
      <vt:lpstr>Prop_Source_C</vt:lpstr>
      <vt:lpstr>Prx_Max</vt:lpstr>
      <vt:lpstr>Prx_Max_Adiabatic</vt:lpstr>
      <vt:lpstr>Prx_Max_Cat</vt:lpstr>
      <vt:lpstr>Prx_Max_Fire</vt:lpstr>
      <vt:lpstr>Prx_Max_MisLoading</vt:lpstr>
      <vt:lpstr>Prx_Max_Pooling</vt:lpstr>
      <vt:lpstr>Psat</vt:lpstr>
      <vt:lpstr>Pseudo_Chem</vt:lpstr>
      <vt:lpstr>Public</vt:lpstr>
      <vt:lpstr>Public_Input</vt:lpstr>
      <vt:lpstr>Public_Relief</vt:lpstr>
      <vt:lpstr>Public_Relief_Input</vt:lpstr>
      <vt:lpstr>Public_Relief_Units</vt:lpstr>
      <vt:lpstr>Public_Units</vt:lpstr>
      <vt:lpstr>Public_Units_Conversion</vt:lpstr>
      <vt:lpstr>Public2</vt:lpstr>
      <vt:lpstr>Public2_Input</vt:lpstr>
      <vt:lpstr>Public2_Units</vt:lpstr>
      <vt:lpstr>Puff_sX_A</vt:lpstr>
      <vt:lpstr>Puff_sX_A_Night</vt:lpstr>
      <vt:lpstr>Puff_sX_B</vt:lpstr>
      <vt:lpstr>Puff_sX_B_Night</vt:lpstr>
      <vt:lpstr>Puff_sY_A</vt:lpstr>
      <vt:lpstr>Puff_sY_A_Night</vt:lpstr>
      <vt:lpstr>Puff_sY_B</vt:lpstr>
      <vt:lpstr>Puff_sY_B_Night</vt:lpstr>
      <vt:lpstr>Puff_sZ_A</vt:lpstr>
      <vt:lpstr>Puff_sZ_A_Night</vt:lpstr>
      <vt:lpstr>Puff_sZ_B</vt:lpstr>
      <vt:lpstr>Puff_sZ_B_Night</vt:lpstr>
      <vt:lpstr>Pump_List</vt:lpstr>
      <vt:lpstr>Pump_Mass1</vt:lpstr>
      <vt:lpstr>Pump_Mass2</vt:lpstr>
      <vt:lpstr>Pump_S</vt:lpstr>
      <vt:lpstr>Pump_S_Est</vt:lpstr>
      <vt:lpstr>Pump_S_Input</vt:lpstr>
      <vt:lpstr>Pump_Sur1</vt:lpstr>
      <vt:lpstr>Pump_Sur2</vt:lpstr>
      <vt:lpstr>Pump_Type</vt:lpstr>
      <vt:lpstr>Pump_V</vt:lpstr>
      <vt:lpstr>Pump_V_Est</vt:lpstr>
      <vt:lpstr>Pump_V_Input</vt:lpstr>
      <vt:lpstr>Pump_Valves</vt:lpstr>
      <vt:lpstr>Pump_Vol1</vt:lpstr>
      <vt:lpstr>Pump_Vol2</vt:lpstr>
      <vt:lpstr>PV_Energy</vt:lpstr>
      <vt:lpstr>PV_Energy_Fire</vt:lpstr>
      <vt:lpstr>PV_Energy_Tsat</vt:lpstr>
      <vt:lpstr>PVap</vt:lpstr>
      <vt:lpstr>Q_ExtHeat</vt:lpstr>
      <vt:lpstr>Q_ExtHt_atRelief</vt:lpstr>
      <vt:lpstr>Q_Fire</vt:lpstr>
      <vt:lpstr>Q_Rx_atRelief</vt:lpstr>
      <vt:lpstr>Q_Rx_atRelief_Catalyst</vt:lpstr>
      <vt:lpstr>Q_Rx_atRelief_ExtHt</vt:lpstr>
      <vt:lpstr>Q_Rx_atRelief_Fire</vt:lpstr>
      <vt:lpstr>Q_Rx_atRelief_MisLoading</vt:lpstr>
      <vt:lpstr>Q_Rx_atRelief_Pooling</vt:lpstr>
      <vt:lpstr>Q_Rx_Total</vt:lpstr>
      <vt:lpstr>R_CEI</vt:lpstr>
      <vt:lpstr>R_CEI_Desc</vt:lpstr>
      <vt:lpstr>R_CEI_HD2</vt:lpstr>
      <vt:lpstr>R_CEI_HD3</vt:lpstr>
      <vt:lpstr>R_ER2_Mix</vt:lpstr>
      <vt:lpstr>R_FEI</vt:lpstr>
      <vt:lpstr>R_ROE</vt:lpstr>
      <vt:lpstr>r_Tinitial</vt:lpstr>
      <vt:lpstr>R_Trigger</vt:lpstr>
      <vt:lpstr>Rate_List</vt:lpstr>
      <vt:lpstr>RCTest_List</vt:lpstr>
      <vt:lpstr>Rdet</vt:lpstr>
      <vt:lpstr>Rdet_C</vt:lpstr>
      <vt:lpstr>Rdet_U</vt:lpstr>
      <vt:lpstr>Reaction_Energy</vt:lpstr>
      <vt:lpstr>Reaction_Energy2</vt:lpstr>
      <vt:lpstr>Reaction_Energy3</vt:lpstr>
      <vt:lpstr>Reaction_Index</vt:lpstr>
      <vt:lpstr>Reaction_Index_Cat</vt:lpstr>
      <vt:lpstr>Reaction_Index_Fire</vt:lpstr>
      <vt:lpstr>Reaction_Index_MisLoading</vt:lpstr>
      <vt:lpstr>Reaction_Index_Pooling</vt:lpstr>
      <vt:lpstr>Reaction_Type</vt:lpstr>
      <vt:lpstr>Reaction_withExtHeat</vt:lpstr>
      <vt:lpstr>Reactive_HD2</vt:lpstr>
      <vt:lpstr>Reactive_HD3</vt:lpstr>
      <vt:lpstr>Reactive_Only</vt:lpstr>
      <vt:lpstr>Reactive_Potential</vt:lpstr>
      <vt:lpstr>Reactive_Potential_Fire</vt:lpstr>
      <vt:lpstr>Reactive_Potential_HT</vt:lpstr>
      <vt:lpstr>Reactive_Potential_ME</vt:lpstr>
      <vt:lpstr>Reactive_Potential_MisLoad</vt:lpstr>
      <vt:lpstr>Reactive_Potential_Pooling</vt:lpstr>
      <vt:lpstr>Reactive_Relief_Rate</vt:lpstr>
      <vt:lpstr>Reactive_Risk_Feed</vt:lpstr>
      <vt:lpstr>Reactive_Risk_N</vt:lpstr>
      <vt:lpstr>Reactive_Risk_U</vt:lpstr>
      <vt:lpstr>Reactive_withCatalyst_HD2</vt:lpstr>
      <vt:lpstr>Reactive_withCatalyst_HD3</vt:lpstr>
      <vt:lpstr>Reactive_withFire_HD2</vt:lpstr>
      <vt:lpstr>Reactive_withFire_HD3</vt:lpstr>
      <vt:lpstr>Reactive_withMisloading_HD2</vt:lpstr>
      <vt:lpstr>Reactive_withMisloading_HD3</vt:lpstr>
      <vt:lpstr>Reactive_withPooling_HD2</vt:lpstr>
      <vt:lpstr>Reactive_withPooling_HD3</vt:lpstr>
      <vt:lpstr>ReactiveCategory_List</vt:lpstr>
      <vt:lpstr>Reactivity_Data</vt:lpstr>
      <vt:lpstr>Reactivity_Data_U</vt:lpstr>
      <vt:lpstr>RegToxic</vt:lpstr>
      <vt:lpstr>RegToxic_C</vt:lpstr>
      <vt:lpstr>Regulatory_Tox</vt:lpstr>
      <vt:lpstr>Regulatory_Toxic</vt:lpstr>
      <vt:lpstr>Rel_1</vt:lpstr>
      <vt:lpstr>Rel_2</vt:lpstr>
      <vt:lpstr>Rel_3</vt:lpstr>
      <vt:lpstr>Rel_4</vt:lpstr>
      <vt:lpstr>Rel_5</vt:lpstr>
      <vt:lpstr>RelHT_1</vt:lpstr>
      <vt:lpstr>RelHT_2</vt:lpstr>
      <vt:lpstr>RelHT_3</vt:lpstr>
      <vt:lpstr>RelHT_4</vt:lpstr>
      <vt:lpstr>RelHT_5</vt:lpstr>
      <vt:lpstr>Relief_Discharge_Location</vt:lpstr>
      <vt:lpstr>Relief_Discharge_Size</vt:lpstr>
      <vt:lpstr>Relief_Discharge_Size_Input</vt:lpstr>
      <vt:lpstr>Relief_Discharge_Units</vt:lpstr>
      <vt:lpstr>Relief_Elevation</vt:lpstr>
      <vt:lpstr>Relief_Elevation_Input</vt:lpstr>
      <vt:lpstr>Relief_Elevation_Units</vt:lpstr>
      <vt:lpstr>Relief_Flowrate</vt:lpstr>
      <vt:lpstr>Relief_Flowrate_Input</vt:lpstr>
      <vt:lpstr>Relief_Flowrate_Units</vt:lpstr>
      <vt:lpstr>Relief_HD2</vt:lpstr>
      <vt:lpstr>Relief_HD3</vt:lpstr>
      <vt:lpstr>Relief_HT_Capacity</vt:lpstr>
      <vt:lpstr>Relief_HT_Velocity</vt:lpstr>
      <vt:lpstr>Relief_HtTrans</vt:lpstr>
      <vt:lpstr>Relief_Liquid_Capacity</vt:lpstr>
      <vt:lpstr>Relief_List</vt:lpstr>
      <vt:lpstr>Relief_MechEng</vt:lpstr>
      <vt:lpstr>Relief_Release</vt:lpstr>
      <vt:lpstr>Relief_Set</vt:lpstr>
      <vt:lpstr>Relief_Set_Input</vt:lpstr>
      <vt:lpstr>Relief_Set_Units</vt:lpstr>
      <vt:lpstr>Relief_Size</vt:lpstr>
      <vt:lpstr>Relief_Size_Input</vt:lpstr>
      <vt:lpstr>Relief_Size_Units</vt:lpstr>
      <vt:lpstr>Relief_Tag</vt:lpstr>
      <vt:lpstr>Relief_Top_HD2</vt:lpstr>
      <vt:lpstr>Relief_Top_HD3</vt:lpstr>
      <vt:lpstr>Relief_Type</vt:lpstr>
      <vt:lpstr>Relief_Vapor_Capacity</vt:lpstr>
      <vt:lpstr>Relief_Vapor_Capacity_Pad</vt:lpstr>
      <vt:lpstr>Relief_Vapor_Velocity</vt:lpstr>
      <vt:lpstr>Relief_Vapor_Velocity_Pad</vt:lpstr>
      <vt:lpstr>Relief_Velocity</vt:lpstr>
      <vt:lpstr>ReliefEff_Distance</vt:lpstr>
      <vt:lpstr>ReliefEff_Elevation</vt:lpstr>
      <vt:lpstr>ReliefEff_Flammable</vt:lpstr>
      <vt:lpstr>ReliefEff_Infiltration</vt:lpstr>
      <vt:lpstr>ReliefEff_Toxic</vt:lpstr>
      <vt:lpstr>Remote_Start</vt:lpstr>
      <vt:lpstr>Report_A</vt:lpstr>
      <vt:lpstr>Report_D</vt:lpstr>
      <vt:lpstr>Report_F</vt:lpstr>
      <vt:lpstr>Report_H</vt:lpstr>
      <vt:lpstr>Report_M</vt:lpstr>
      <vt:lpstr>Report_NoIPL</vt:lpstr>
      <vt:lpstr>Report_P</vt:lpstr>
      <vt:lpstr>Report_V</vt:lpstr>
      <vt:lpstr>Results_Chemical</vt:lpstr>
      <vt:lpstr>Results_EF_Desc</vt:lpstr>
      <vt:lpstr>Results_EF_Detail</vt:lpstr>
      <vt:lpstr>Results_Est_POE</vt:lpstr>
      <vt:lpstr>Results_Incident</vt:lpstr>
      <vt:lpstr>Results_PI_Desc</vt:lpstr>
      <vt:lpstr>Results_PI_Detail</vt:lpstr>
      <vt:lpstr>Results_POI</vt:lpstr>
      <vt:lpstr>Results_POI_Desc</vt:lpstr>
      <vt:lpstr>Results_Release_Calcs</vt:lpstr>
      <vt:lpstr>Results_TEF</vt:lpstr>
      <vt:lpstr>Results_TEF_Desc</vt:lpstr>
      <vt:lpstr>Results_TF</vt:lpstr>
      <vt:lpstr>Risk_Filter_Input</vt:lpstr>
      <vt:lpstr>Risk_Filters</vt:lpstr>
      <vt:lpstr>ROE</vt:lpstr>
      <vt:lpstr>ROE_Units</vt:lpstr>
      <vt:lpstr>Rotating_Equip</vt:lpstr>
      <vt:lpstr>Roughness</vt:lpstr>
      <vt:lpstr>Roughness_A</vt:lpstr>
      <vt:lpstr>Roughness_B</vt:lpstr>
      <vt:lpstr>Roughness_C</vt:lpstr>
      <vt:lpstr>Roughness_D</vt:lpstr>
      <vt:lpstr>Row_Modifying</vt:lpstr>
      <vt:lpstr>RRS_C</vt:lpstr>
      <vt:lpstr>RS_1</vt:lpstr>
      <vt:lpstr>RS_10</vt:lpstr>
      <vt:lpstr>RS_11</vt:lpstr>
      <vt:lpstr>RS_12</vt:lpstr>
      <vt:lpstr>RS_13</vt:lpstr>
      <vt:lpstr>RS_14</vt:lpstr>
      <vt:lpstr>RS_15</vt:lpstr>
      <vt:lpstr>RS_16</vt:lpstr>
      <vt:lpstr>RS_17</vt:lpstr>
      <vt:lpstr>RS_18</vt:lpstr>
      <vt:lpstr>RS_19</vt:lpstr>
      <vt:lpstr>RS_2</vt:lpstr>
      <vt:lpstr>RS_20</vt:lpstr>
      <vt:lpstr>RS_21</vt:lpstr>
      <vt:lpstr>RS_22</vt:lpstr>
      <vt:lpstr>RS_23</vt:lpstr>
      <vt:lpstr>RS_24</vt:lpstr>
      <vt:lpstr>RS_25</vt:lpstr>
      <vt:lpstr>RS_26</vt:lpstr>
      <vt:lpstr>RS_27</vt:lpstr>
      <vt:lpstr>RS_28</vt:lpstr>
      <vt:lpstr>RS_29</vt:lpstr>
      <vt:lpstr>RS_3</vt:lpstr>
      <vt:lpstr>RS_30</vt:lpstr>
      <vt:lpstr>RS_31</vt:lpstr>
      <vt:lpstr>RS_32</vt:lpstr>
      <vt:lpstr>RS_33</vt:lpstr>
      <vt:lpstr>RS_34</vt:lpstr>
      <vt:lpstr>RS_35</vt:lpstr>
      <vt:lpstr>RS_36</vt:lpstr>
      <vt:lpstr>RS_37</vt:lpstr>
      <vt:lpstr>RS_38</vt:lpstr>
      <vt:lpstr>RS_39</vt:lpstr>
      <vt:lpstr>RS_4</vt:lpstr>
      <vt:lpstr>RS_40</vt:lpstr>
      <vt:lpstr>RS_41</vt:lpstr>
      <vt:lpstr>RS_42</vt:lpstr>
      <vt:lpstr>RS_43</vt:lpstr>
      <vt:lpstr>RS_44</vt:lpstr>
      <vt:lpstr>RS_45</vt:lpstr>
      <vt:lpstr>RS_46</vt:lpstr>
      <vt:lpstr>RS_47</vt:lpstr>
      <vt:lpstr>RS_48</vt:lpstr>
      <vt:lpstr>RS_49</vt:lpstr>
      <vt:lpstr>RS_5</vt:lpstr>
      <vt:lpstr>RS_50</vt:lpstr>
      <vt:lpstr>RS_51</vt:lpstr>
      <vt:lpstr>RS_52</vt:lpstr>
      <vt:lpstr>RS_53</vt:lpstr>
      <vt:lpstr>RS_54</vt:lpstr>
      <vt:lpstr>RS_55</vt:lpstr>
      <vt:lpstr>RS_56</vt:lpstr>
      <vt:lpstr>RS_57</vt:lpstr>
      <vt:lpstr>RS_58</vt:lpstr>
      <vt:lpstr>RS_6</vt:lpstr>
      <vt:lpstr>RS_7</vt:lpstr>
      <vt:lpstr>RS_8</vt:lpstr>
      <vt:lpstr>RS_9</vt:lpstr>
      <vt:lpstr>RupFire_1</vt:lpstr>
      <vt:lpstr>RupFire_2</vt:lpstr>
      <vt:lpstr>RupFire_3</vt:lpstr>
      <vt:lpstr>RupFire_4</vt:lpstr>
      <vt:lpstr>RupFire_5</vt:lpstr>
      <vt:lpstr>RupFire_Fv</vt:lpstr>
      <vt:lpstr>RupFire_T</vt:lpstr>
      <vt:lpstr>RupPeak_1</vt:lpstr>
      <vt:lpstr>RupPeak_2</vt:lpstr>
      <vt:lpstr>RupPeak_3</vt:lpstr>
      <vt:lpstr>RupPeak_4</vt:lpstr>
      <vt:lpstr>RupPeak_5</vt:lpstr>
      <vt:lpstr>RupPeak_T</vt:lpstr>
      <vt:lpstr>RupSat_1</vt:lpstr>
      <vt:lpstr>RupSat_2</vt:lpstr>
      <vt:lpstr>RupSat_3</vt:lpstr>
      <vt:lpstr>RupSat_4</vt:lpstr>
      <vt:lpstr>RupSat_5</vt:lpstr>
      <vt:lpstr>RupSat_T</vt:lpstr>
      <vt:lpstr>Rupture_1</vt:lpstr>
      <vt:lpstr>Rupture_10min</vt:lpstr>
      <vt:lpstr>Rupture_2</vt:lpstr>
      <vt:lpstr>Rupture_3</vt:lpstr>
      <vt:lpstr>Rupture_4</vt:lpstr>
      <vt:lpstr>Rupture_5</vt:lpstr>
      <vt:lpstr>Rupture_Aerosol</vt:lpstr>
      <vt:lpstr>Rupture_Aerosol_Saturation</vt:lpstr>
      <vt:lpstr>Rupture_Fire_HD2</vt:lpstr>
      <vt:lpstr>Rupture_Fire_HD3</vt:lpstr>
      <vt:lpstr>Rupture_HD2</vt:lpstr>
      <vt:lpstr>Rupture_HD3</vt:lpstr>
      <vt:lpstr>Rupture_Incidents</vt:lpstr>
      <vt:lpstr>Rupture_Spray_Area</vt:lpstr>
      <vt:lpstr>Rupture_Time</vt:lpstr>
      <vt:lpstr>Rupture_Velocity</vt:lpstr>
      <vt:lpstr>Rupture_Velocity_Fire</vt:lpstr>
      <vt:lpstr>Rupture_Velocity_Sat</vt:lpstr>
      <vt:lpstr>Rupture2_HD2</vt:lpstr>
      <vt:lpstr>Rupture2_HD3</vt:lpstr>
      <vt:lpstr>Rupture3_HD2</vt:lpstr>
      <vt:lpstr>Rupture3_HD3</vt:lpstr>
      <vt:lpstr>Rx_Data_Reference</vt:lpstr>
      <vt:lpstr>Rx_Data_Reference_C</vt:lpstr>
      <vt:lpstr>Rx_Data_Reference_U</vt:lpstr>
      <vt:lpstr>Rx_Heat</vt:lpstr>
      <vt:lpstr>Rx_Heat_Rate</vt:lpstr>
      <vt:lpstr>Rx_Heat_withCatalyst</vt:lpstr>
      <vt:lpstr>Rx_Heat_withExtHt</vt:lpstr>
      <vt:lpstr>Rx_Heat_withFire</vt:lpstr>
      <vt:lpstr>Rx_Heat_withMisLoading</vt:lpstr>
      <vt:lpstr>Rx_Heat_withPooling</vt:lpstr>
      <vt:lpstr>Rx_Incompatible</vt:lpstr>
      <vt:lpstr>Rx_MisLoading</vt:lpstr>
      <vt:lpstr>Rx_MisLoading_Factor</vt:lpstr>
      <vt:lpstr>Rx_Parameter</vt:lpstr>
      <vt:lpstr>Rx_Pooling</vt:lpstr>
      <vt:lpstr>Rx_Pooling_Factor</vt:lpstr>
      <vt:lpstr>Rx_Relief_withCatalyst</vt:lpstr>
      <vt:lpstr>Rx_Relief_withFire</vt:lpstr>
      <vt:lpstr>Rx_Relief_withHeat</vt:lpstr>
      <vt:lpstr>Rx_Relief_withMisLoading</vt:lpstr>
      <vt:lpstr>Rx_Relief_withPooling</vt:lpstr>
      <vt:lpstr>RxGas_Limit</vt:lpstr>
      <vt:lpstr>RxHeat_Limit</vt:lpstr>
      <vt:lpstr>RxParameter_Limit</vt:lpstr>
      <vt:lpstr>RxTemp_Failure</vt:lpstr>
      <vt:lpstr>Scenario_Included</vt:lpstr>
      <vt:lpstr>Scenario_Outcomes</vt:lpstr>
      <vt:lpstr>Scenario_Table</vt:lpstr>
      <vt:lpstr>Scenario_Type</vt:lpstr>
      <vt:lpstr>Scenario_Type2</vt:lpstr>
      <vt:lpstr>Scenario_Type3</vt:lpstr>
      <vt:lpstr>Scenario_Type4</vt:lpstr>
      <vt:lpstr>Scenario_Type5</vt:lpstr>
      <vt:lpstr>Screwed_Connect</vt:lpstr>
      <vt:lpstr>Screwed_List</vt:lpstr>
      <vt:lpstr>SD_D_1</vt:lpstr>
      <vt:lpstr>SD_D_10</vt:lpstr>
      <vt:lpstr>SD_D_11</vt:lpstr>
      <vt:lpstr>SD_D_2</vt:lpstr>
      <vt:lpstr>SD_D_3</vt:lpstr>
      <vt:lpstr>SD_D_4</vt:lpstr>
      <vt:lpstr>SD_D_5</vt:lpstr>
      <vt:lpstr>SD_D_6</vt:lpstr>
      <vt:lpstr>SD_D_7</vt:lpstr>
      <vt:lpstr>SD_D_8</vt:lpstr>
      <vt:lpstr>SD_D_9</vt:lpstr>
      <vt:lpstr>SD_FE_1</vt:lpstr>
      <vt:lpstr>SD_FE_10</vt:lpstr>
      <vt:lpstr>SD_FE_11</vt:lpstr>
      <vt:lpstr>SD_FE_12</vt:lpstr>
      <vt:lpstr>SD_FE_13</vt:lpstr>
      <vt:lpstr>SD_FE_14</vt:lpstr>
      <vt:lpstr>SD_FE_2</vt:lpstr>
      <vt:lpstr>SD_FE_20</vt:lpstr>
      <vt:lpstr>SD_FE_21</vt:lpstr>
      <vt:lpstr>SD_FE_22</vt:lpstr>
      <vt:lpstr>SD_FE_23</vt:lpstr>
      <vt:lpstr>SD_FE_4</vt:lpstr>
      <vt:lpstr>SD_FE_5</vt:lpstr>
      <vt:lpstr>SD_FE_6</vt:lpstr>
      <vt:lpstr>SD_FE_8</vt:lpstr>
      <vt:lpstr>SD_Gen_1</vt:lpstr>
      <vt:lpstr>SD_Gen_10</vt:lpstr>
      <vt:lpstr>SD_Gen_11</vt:lpstr>
      <vt:lpstr>SD_Gen_12</vt:lpstr>
      <vt:lpstr>SD_Gen_13</vt:lpstr>
      <vt:lpstr>SD_Gen_14</vt:lpstr>
      <vt:lpstr>SD_Gen_15</vt:lpstr>
      <vt:lpstr>SD_Gen_16</vt:lpstr>
      <vt:lpstr>SD_Gen_17</vt:lpstr>
      <vt:lpstr>SD_Gen_18</vt:lpstr>
      <vt:lpstr>SD_Gen_19</vt:lpstr>
      <vt:lpstr>SD_Gen_2</vt:lpstr>
      <vt:lpstr>SD_Gen_20</vt:lpstr>
      <vt:lpstr>SD_Gen_21</vt:lpstr>
      <vt:lpstr>SD_Gen_22</vt:lpstr>
      <vt:lpstr>SD_Gen_23</vt:lpstr>
      <vt:lpstr>SD_Gen_24</vt:lpstr>
      <vt:lpstr>SD_Gen_25</vt:lpstr>
      <vt:lpstr>SD_Gen_26</vt:lpstr>
      <vt:lpstr>SD_Gen_27</vt:lpstr>
      <vt:lpstr>SD_Gen_28</vt:lpstr>
      <vt:lpstr>SD_Gen_29</vt:lpstr>
      <vt:lpstr>SD_Gen_3</vt:lpstr>
      <vt:lpstr>SD_Gen_30</vt:lpstr>
      <vt:lpstr>SD_Gen_31</vt:lpstr>
      <vt:lpstr>SD_Gen_32</vt:lpstr>
      <vt:lpstr>SD_Gen_33</vt:lpstr>
      <vt:lpstr>SD_Gen_34</vt:lpstr>
      <vt:lpstr>SD_Gen_35</vt:lpstr>
      <vt:lpstr>SD_Gen_36</vt:lpstr>
      <vt:lpstr>SD_Gen_37</vt:lpstr>
      <vt:lpstr>SD_Gen_38</vt:lpstr>
      <vt:lpstr>SD_Gen_39</vt:lpstr>
      <vt:lpstr>SD_Gen_40</vt:lpstr>
      <vt:lpstr>SD_Gen_41</vt:lpstr>
      <vt:lpstr>SD_Gen_42</vt:lpstr>
      <vt:lpstr>SD_Gen_43</vt:lpstr>
      <vt:lpstr>SD_Gen_44</vt:lpstr>
      <vt:lpstr>SD_Gen_45</vt:lpstr>
      <vt:lpstr>SD_Gen_46</vt:lpstr>
      <vt:lpstr>SD_Gen_47</vt:lpstr>
      <vt:lpstr>SD_Gen_48</vt:lpstr>
      <vt:lpstr>SD_Gen_49</vt:lpstr>
      <vt:lpstr>SD_Gen_5</vt:lpstr>
      <vt:lpstr>SD_Gen_50</vt:lpstr>
      <vt:lpstr>SD_Gen_51</vt:lpstr>
      <vt:lpstr>SD_Gen_52</vt:lpstr>
      <vt:lpstr>SD_Gen_53</vt:lpstr>
      <vt:lpstr>SD_Gen_54</vt:lpstr>
      <vt:lpstr>SD_Gen_55</vt:lpstr>
      <vt:lpstr>SD_Gen_56</vt:lpstr>
      <vt:lpstr>SD_Gen_57</vt:lpstr>
      <vt:lpstr>SD_Gen_58</vt:lpstr>
      <vt:lpstr>SD_Gen_59</vt:lpstr>
      <vt:lpstr>SD_Gen_6</vt:lpstr>
      <vt:lpstr>SD_Gen_60</vt:lpstr>
      <vt:lpstr>SD_Gen_61</vt:lpstr>
      <vt:lpstr>SD_Gen_62</vt:lpstr>
      <vt:lpstr>SD_Gen_63</vt:lpstr>
      <vt:lpstr>SD_Gen_64</vt:lpstr>
      <vt:lpstr>SD_Gen_65</vt:lpstr>
      <vt:lpstr>SD_Gen_66</vt:lpstr>
      <vt:lpstr>SD_Gen_67</vt:lpstr>
      <vt:lpstr>SD_Gen_68</vt:lpstr>
      <vt:lpstr>SD_Gen_69</vt:lpstr>
      <vt:lpstr>SD_Gen_7</vt:lpstr>
      <vt:lpstr>SD_Gen_70</vt:lpstr>
      <vt:lpstr>SD_Gen_71</vt:lpstr>
      <vt:lpstr>SD_Gen_72</vt:lpstr>
      <vt:lpstr>SD_Gen_73</vt:lpstr>
      <vt:lpstr>SD_Gen_74</vt:lpstr>
      <vt:lpstr>SD_Gen_75</vt:lpstr>
      <vt:lpstr>SD_Gen_76</vt:lpstr>
      <vt:lpstr>SD_Gen_77</vt:lpstr>
      <vt:lpstr>SD_Gen_78</vt:lpstr>
      <vt:lpstr>SD_Gen_79</vt:lpstr>
      <vt:lpstr>SD_Gen_8</vt:lpstr>
      <vt:lpstr>SD_Gen_80</vt:lpstr>
      <vt:lpstr>SD_Gen_9</vt:lpstr>
      <vt:lpstr>SD_MI_1</vt:lpstr>
      <vt:lpstr>SD_MI_10</vt:lpstr>
      <vt:lpstr>SD_MI_11</vt:lpstr>
      <vt:lpstr>SD_MI_2</vt:lpstr>
      <vt:lpstr>SD_MI_3</vt:lpstr>
      <vt:lpstr>SD_MI_4</vt:lpstr>
      <vt:lpstr>SD_MI_5</vt:lpstr>
      <vt:lpstr>SD_MI_6</vt:lpstr>
      <vt:lpstr>SD_MI_7</vt:lpstr>
      <vt:lpstr>SD_MI_8</vt:lpstr>
      <vt:lpstr>SD_MI_9</vt:lpstr>
      <vt:lpstr>SD_Rx_1</vt:lpstr>
      <vt:lpstr>SD_Rx_10</vt:lpstr>
      <vt:lpstr>SD_Rx_11</vt:lpstr>
      <vt:lpstr>SD_Rx_12</vt:lpstr>
      <vt:lpstr>SD_Rx_13</vt:lpstr>
      <vt:lpstr>SD_Rx_14</vt:lpstr>
      <vt:lpstr>SD_Rx_15</vt:lpstr>
      <vt:lpstr>SD_Rx_16</vt:lpstr>
      <vt:lpstr>SD_Rx_17</vt:lpstr>
      <vt:lpstr>SD_Rx_18</vt:lpstr>
      <vt:lpstr>SD_Rx_19</vt:lpstr>
      <vt:lpstr>SD_Rx_2</vt:lpstr>
      <vt:lpstr>SD_Rx_20</vt:lpstr>
      <vt:lpstr>SD_Rx_21</vt:lpstr>
      <vt:lpstr>SD_Rx_22</vt:lpstr>
      <vt:lpstr>SD_Rx_23</vt:lpstr>
      <vt:lpstr>SD_Rx_3</vt:lpstr>
      <vt:lpstr>SD_Rx_4</vt:lpstr>
      <vt:lpstr>SD_Rx_5</vt:lpstr>
      <vt:lpstr>SD_Rx_6</vt:lpstr>
      <vt:lpstr>SD_Rx_7</vt:lpstr>
      <vt:lpstr>SD_Rx_8</vt:lpstr>
      <vt:lpstr>SD_Rx_9</vt:lpstr>
      <vt:lpstr>SD_T_1</vt:lpstr>
      <vt:lpstr>SD_T_2</vt:lpstr>
      <vt:lpstr>SD_T_3</vt:lpstr>
      <vt:lpstr>SD_T_4</vt:lpstr>
      <vt:lpstr>SD_T_5</vt:lpstr>
      <vt:lpstr>SD_T_6</vt:lpstr>
      <vt:lpstr>SD_T_7</vt:lpstr>
      <vt:lpstr>SD_T_8</vt:lpstr>
      <vt:lpstr>Seal_HD2</vt:lpstr>
      <vt:lpstr>Seal_HD3</vt:lpstr>
      <vt:lpstr>Seal_Indoor</vt:lpstr>
      <vt:lpstr>Seal_LFL</vt:lpstr>
      <vt:lpstr>Seal_List</vt:lpstr>
      <vt:lpstr>Seal_Type</vt:lpstr>
      <vt:lpstr>Second_Phase</vt:lpstr>
      <vt:lpstr>SecPhase_1</vt:lpstr>
      <vt:lpstr>SecPhase_1_C</vt:lpstr>
      <vt:lpstr>SecPhase_2</vt:lpstr>
      <vt:lpstr>SecPhase_2_C</vt:lpstr>
      <vt:lpstr>SecPhase_3</vt:lpstr>
      <vt:lpstr>SecPhase_3_C</vt:lpstr>
      <vt:lpstr>SecPhase_4</vt:lpstr>
      <vt:lpstr>SecPhase_4_C</vt:lpstr>
      <vt:lpstr>SecPhase_5</vt:lpstr>
      <vt:lpstr>SecPhase_5_C</vt:lpstr>
      <vt:lpstr>Sep_1</vt:lpstr>
      <vt:lpstr>Sep_2</vt:lpstr>
      <vt:lpstr>Sep_3</vt:lpstr>
      <vt:lpstr>Sep_4</vt:lpstr>
      <vt:lpstr>Sep_5</vt:lpstr>
      <vt:lpstr>Sight_Glass</vt:lpstr>
      <vt:lpstr>Size_List</vt:lpstr>
      <vt:lpstr>Small_HD2</vt:lpstr>
      <vt:lpstr>Small_HD3</vt:lpstr>
      <vt:lpstr>Small_Leak_AQ_Units</vt:lpstr>
      <vt:lpstr>Small_Leak_AQ_Units_Conversion</vt:lpstr>
      <vt:lpstr>Small_Leak_Units</vt:lpstr>
      <vt:lpstr>Small_Leak_Units_Conversion</vt:lpstr>
      <vt:lpstr>Small_Top_HD2</vt:lpstr>
      <vt:lpstr>Small_Top_HD3</vt:lpstr>
      <vt:lpstr>Soil_Remediation</vt:lpstr>
      <vt:lpstr>SoilLimit_ExtremeHigh_Environ</vt:lpstr>
      <vt:lpstr>SoilLimit_High_Environ</vt:lpstr>
      <vt:lpstr>SoilLimit_Low_Environ</vt:lpstr>
      <vt:lpstr>SoilLimit_Moderate_Environ</vt:lpstr>
      <vt:lpstr>SoilLimit_VeryHigh_Environ</vt:lpstr>
      <vt:lpstr>Solar</vt:lpstr>
      <vt:lpstr>Solar_Input</vt:lpstr>
      <vt:lpstr>Solar_Relief</vt:lpstr>
      <vt:lpstr>SP_Notes</vt:lpstr>
      <vt:lpstr>Spray_Distance</vt:lpstr>
      <vt:lpstr>Spray_Distance_Backflow</vt:lpstr>
      <vt:lpstr>Spray_Distance_HT</vt:lpstr>
      <vt:lpstr>Spray_Distance_Relief</vt:lpstr>
      <vt:lpstr>Spray_Distance_Rupture</vt:lpstr>
      <vt:lpstr>Spray_Distance_VaporRelief</vt:lpstr>
      <vt:lpstr>Spray_ImpactArea</vt:lpstr>
      <vt:lpstr>Starting_Chemical</vt:lpstr>
      <vt:lpstr>State</vt:lpstr>
      <vt:lpstr>Storage</vt:lpstr>
      <vt:lpstr>Stream_Input</vt:lpstr>
      <vt:lpstr>Suggested_IPLs</vt:lpstr>
      <vt:lpstr>Sum_WtFract</vt:lpstr>
      <vt:lpstr>Sur_Area</vt:lpstr>
      <vt:lpstr>Sur_Area_Input</vt:lpstr>
      <vt:lpstr>Sur_Area_Units</vt:lpstr>
      <vt:lpstr>Sustain_Burn_U</vt:lpstr>
      <vt:lpstr>T</vt:lpstr>
      <vt:lpstr>T_Access</vt:lpstr>
      <vt:lpstr>T_Adjacent_Dike_Area</vt:lpstr>
      <vt:lpstr>T_Adjacent_Dike_Units</vt:lpstr>
      <vt:lpstr>T_Aerosol_Internal</vt:lpstr>
      <vt:lpstr>T_Ambient_Temp_Input</vt:lpstr>
      <vt:lpstr>T_Ambient_Temp_Units</vt:lpstr>
      <vt:lpstr>T_AS_1</vt:lpstr>
      <vt:lpstr>T_AS_10</vt:lpstr>
      <vt:lpstr>T_AS_11</vt:lpstr>
      <vt:lpstr>T_AS_12</vt:lpstr>
      <vt:lpstr>T_AS_13</vt:lpstr>
      <vt:lpstr>T_AS_14</vt:lpstr>
      <vt:lpstr>T_AS_15</vt:lpstr>
      <vt:lpstr>T_AS_16</vt:lpstr>
      <vt:lpstr>T_AS_17</vt:lpstr>
      <vt:lpstr>T_AS_18</vt:lpstr>
      <vt:lpstr>T_AS_19</vt:lpstr>
      <vt:lpstr>T_AS_2</vt:lpstr>
      <vt:lpstr>T_AS_20</vt:lpstr>
      <vt:lpstr>T_AS_21</vt:lpstr>
      <vt:lpstr>T_AS_22</vt:lpstr>
      <vt:lpstr>T_AS_23</vt:lpstr>
      <vt:lpstr>T_AS_24</vt:lpstr>
      <vt:lpstr>T_AS_25</vt:lpstr>
      <vt:lpstr>T_AS_26</vt:lpstr>
      <vt:lpstr>T_AS_27</vt:lpstr>
      <vt:lpstr>T_AS_28</vt:lpstr>
      <vt:lpstr>T_AS_29</vt:lpstr>
      <vt:lpstr>T_AS_3</vt:lpstr>
      <vt:lpstr>T_AS_30</vt:lpstr>
      <vt:lpstr>T_AS_31</vt:lpstr>
      <vt:lpstr>T_AS_32</vt:lpstr>
      <vt:lpstr>T_AS_33</vt:lpstr>
      <vt:lpstr>T_AS_34</vt:lpstr>
      <vt:lpstr>T_AS_35</vt:lpstr>
      <vt:lpstr>T_AS_36</vt:lpstr>
      <vt:lpstr>T_AS_37</vt:lpstr>
      <vt:lpstr>T_AS_38</vt:lpstr>
      <vt:lpstr>T_AS_39</vt:lpstr>
      <vt:lpstr>T_AS_4</vt:lpstr>
      <vt:lpstr>T_AS_40</vt:lpstr>
      <vt:lpstr>T_AS_41</vt:lpstr>
      <vt:lpstr>T_AS_42</vt:lpstr>
      <vt:lpstr>T_AS_43</vt:lpstr>
      <vt:lpstr>T_AS_44</vt:lpstr>
      <vt:lpstr>T_AS_45</vt:lpstr>
      <vt:lpstr>T_AS_46</vt:lpstr>
      <vt:lpstr>T_AS_47</vt:lpstr>
      <vt:lpstr>T_AS_48</vt:lpstr>
      <vt:lpstr>T_AS_49</vt:lpstr>
      <vt:lpstr>T_AS_5</vt:lpstr>
      <vt:lpstr>T_AS_50</vt:lpstr>
      <vt:lpstr>T_AS_51</vt:lpstr>
      <vt:lpstr>T_AS_52</vt:lpstr>
      <vt:lpstr>T_AS_53</vt:lpstr>
      <vt:lpstr>T_AS_54</vt:lpstr>
      <vt:lpstr>T_AS_55</vt:lpstr>
      <vt:lpstr>T_AS_56</vt:lpstr>
      <vt:lpstr>T_AS_57</vt:lpstr>
      <vt:lpstr>T_AS_58</vt:lpstr>
      <vt:lpstr>T_AS_6</vt:lpstr>
      <vt:lpstr>T_AS_7</vt:lpstr>
      <vt:lpstr>T_AS_8</vt:lpstr>
      <vt:lpstr>T_AS_9</vt:lpstr>
      <vt:lpstr>T_atBurst</vt:lpstr>
      <vt:lpstr>T_atFire_Burst</vt:lpstr>
      <vt:lpstr>T_atRelief</vt:lpstr>
      <vt:lpstr>T_Attended</vt:lpstr>
      <vt:lpstr>T_Automated_EBV</vt:lpstr>
      <vt:lpstr>T_Backflow_Input</vt:lpstr>
      <vt:lpstr>T_Backflow_Units</vt:lpstr>
      <vt:lpstr>T_Bldg_Type</vt:lpstr>
      <vt:lpstr>T_Bldg2_Type</vt:lpstr>
      <vt:lpstr>T_Bulk_Density</vt:lpstr>
      <vt:lpstr>T_Bus_Loss</vt:lpstr>
      <vt:lpstr>T_Cat</vt:lpstr>
      <vt:lpstr>T_Catalyzed</vt:lpstr>
      <vt:lpstr>T_CEI_Review</vt:lpstr>
      <vt:lpstr>T_CEI_Review_Date</vt:lpstr>
      <vt:lpstr>T_Chem_Comments</vt:lpstr>
      <vt:lpstr>T_Chemical</vt:lpstr>
      <vt:lpstr>T_Chemical_2</vt:lpstr>
      <vt:lpstr>T_Chemical_3</vt:lpstr>
      <vt:lpstr>T_Chemical_4</vt:lpstr>
      <vt:lpstr>T_Chemical_5</vt:lpstr>
      <vt:lpstr>T_Congestion</vt:lpstr>
      <vt:lpstr>T_Connection_Type</vt:lpstr>
      <vt:lpstr>T_Coolant_Area_Input</vt:lpstr>
      <vt:lpstr>T_Coolant_Area_Units</vt:lpstr>
      <vt:lpstr>T_Coolant_Temp_Input</vt:lpstr>
      <vt:lpstr>T_Coolant_Temp_Units</vt:lpstr>
      <vt:lpstr>T_Coolant_U_Input</vt:lpstr>
      <vt:lpstr>T_Coolant_U_Units</vt:lpstr>
      <vt:lpstr>T_Corrosive</vt:lpstr>
      <vt:lpstr>T_CP_Detonable</vt:lpstr>
      <vt:lpstr>T_D_Input</vt:lpstr>
      <vt:lpstr>T_D_Units</vt:lpstr>
      <vt:lpstr>T_Data_Units</vt:lpstr>
      <vt:lpstr>T_Date</vt:lpstr>
      <vt:lpstr>T_Density_Other</vt:lpstr>
      <vt:lpstr>T_Description</vt:lpstr>
      <vt:lpstr>T_Design_Intent</vt:lpstr>
      <vt:lpstr>T_Dh_Input</vt:lpstr>
      <vt:lpstr>T_Dh_Units</vt:lpstr>
      <vt:lpstr>T_Dike_Area_Input</vt:lpstr>
      <vt:lpstr>T_Dike_Area_Units</vt:lpstr>
      <vt:lpstr>T_Dike_Design</vt:lpstr>
      <vt:lpstr>T_Dip_Pipe</vt:lpstr>
      <vt:lpstr>T_Downstr_P_Input</vt:lpstr>
      <vt:lpstr>T_Downstr_P_Units</vt:lpstr>
      <vt:lpstr>T_Downstream_Population</vt:lpstr>
      <vt:lpstr>T_Drain_Input</vt:lpstr>
      <vt:lpstr>T_Drain_Units</vt:lpstr>
      <vt:lpstr>T_Drainage_Credit</vt:lpstr>
      <vt:lpstr>T_DrumOven_Volume_Input</vt:lpstr>
      <vt:lpstr>T_DrumOven_Volume_Units</vt:lpstr>
      <vt:lpstr>T_Effluent_By</vt:lpstr>
      <vt:lpstr>T_Effluent_Case1</vt:lpstr>
      <vt:lpstr>T_Effluent_Case10</vt:lpstr>
      <vt:lpstr>T_Effluent_Case11</vt:lpstr>
      <vt:lpstr>T_Effluent_Case12</vt:lpstr>
      <vt:lpstr>T_Effluent_Case13</vt:lpstr>
      <vt:lpstr>T_Effluent_Case14</vt:lpstr>
      <vt:lpstr>T_Effluent_Case15</vt:lpstr>
      <vt:lpstr>T_Effluent_Case16</vt:lpstr>
      <vt:lpstr>T_Effluent_Case2</vt:lpstr>
      <vt:lpstr>T_Effluent_Case3</vt:lpstr>
      <vt:lpstr>T_Effluent_Case4</vt:lpstr>
      <vt:lpstr>T_Effluent_Case5</vt:lpstr>
      <vt:lpstr>T_Effluent_Case6</vt:lpstr>
      <vt:lpstr>T_Effluent_Case7</vt:lpstr>
      <vt:lpstr>T_Effluent_Case8</vt:lpstr>
      <vt:lpstr>T_Effluent_Case9</vt:lpstr>
      <vt:lpstr>T_Effluent_Comments1</vt:lpstr>
      <vt:lpstr>T_Effluent_Comments10</vt:lpstr>
      <vt:lpstr>T_Effluent_Comments11</vt:lpstr>
      <vt:lpstr>T_Effluent_Comments12</vt:lpstr>
      <vt:lpstr>T_Effluent_Comments13</vt:lpstr>
      <vt:lpstr>T_Effluent_Comments14</vt:lpstr>
      <vt:lpstr>T_Effluent_Comments15</vt:lpstr>
      <vt:lpstr>T_Effluent_Comments16</vt:lpstr>
      <vt:lpstr>T_Effluent_Comments2</vt:lpstr>
      <vt:lpstr>T_Effluent_Comments3</vt:lpstr>
      <vt:lpstr>T_Effluent_Comments4</vt:lpstr>
      <vt:lpstr>T_Effluent_Comments5</vt:lpstr>
      <vt:lpstr>T_Effluent_Comments6</vt:lpstr>
      <vt:lpstr>T_Effluent_Comments7</vt:lpstr>
      <vt:lpstr>T_Effluent_Comments8</vt:lpstr>
      <vt:lpstr>T_Effluent_Comments9</vt:lpstr>
      <vt:lpstr>T_Effluent_Date</vt:lpstr>
      <vt:lpstr>T_Egress</vt:lpstr>
      <vt:lpstr>T_Embrittle_T_Input</vt:lpstr>
      <vt:lpstr>T_Embrittle_T_Units</vt:lpstr>
      <vt:lpstr>T_Enclosed_Process_Volume_Input</vt:lpstr>
      <vt:lpstr>T_Enclosed_Process_Volume_Units</vt:lpstr>
      <vt:lpstr>T_Enclosed_Ventilation_Rate</vt:lpstr>
      <vt:lpstr>T_Endo_Reaction</vt:lpstr>
      <vt:lpstr>T_Equipment</vt:lpstr>
      <vt:lpstr>T_Equipment_Elevation_Input</vt:lpstr>
      <vt:lpstr>T_Equipment_Elevation_Units</vt:lpstr>
      <vt:lpstr>T_Equipment_Status</vt:lpstr>
      <vt:lpstr>T_Equipment_Tag</vt:lpstr>
      <vt:lpstr>T_ES_1</vt:lpstr>
      <vt:lpstr>T_ES_10</vt:lpstr>
      <vt:lpstr>T_ES_11</vt:lpstr>
      <vt:lpstr>T_ES_12</vt:lpstr>
      <vt:lpstr>T_ES_13</vt:lpstr>
      <vt:lpstr>T_ES_14</vt:lpstr>
      <vt:lpstr>T_ES_15</vt:lpstr>
      <vt:lpstr>T_ES_16</vt:lpstr>
      <vt:lpstr>T_ES_17</vt:lpstr>
      <vt:lpstr>T_ES_18</vt:lpstr>
      <vt:lpstr>T_ES_19</vt:lpstr>
      <vt:lpstr>T_ES_2</vt:lpstr>
      <vt:lpstr>T_ES_20</vt:lpstr>
      <vt:lpstr>T_ES_21</vt:lpstr>
      <vt:lpstr>T_ES_22</vt:lpstr>
      <vt:lpstr>T_ES_23</vt:lpstr>
      <vt:lpstr>T_ES_24</vt:lpstr>
      <vt:lpstr>T_ES_25</vt:lpstr>
      <vt:lpstr>T_ES_26</vt:lpstr>
      <vt:lpstr>T_ES_27</vt:lpstr>
      <vt:lpstr>T_ES_28</vt:lpstr>
      <vt:lpstr>T_ES_29</vt:lpstr>
      <vt:lpstr>T_ES_3</vt:lpstr>
      <vt:lpstr>T_ES_30</vt:lpstr>
      <vt:lpstr>T_ES_31</vt:lpstr>
      <vt:lpstr>T_ES_32</vt:lpstr>
      <vt:lpstr>T_ES_33</vt:lpstr>
      <vt:lpstr>T_ES_34</vt:lpstr>
      <vt:lpstr>T_ES_35</vt:lpstr>
      <vt:lpstr>T_ES_36</vt:lpstr>
      <vt:lpstr>T_ES_37</vt:lpstr>
      <vt:lpstr>T_ES_38</vt:lpstr>
      <vt:lpstr>T_ES_39</vt:lpstr>
      <vt:lpstr>T_ES_4</vt:lpstr>
      <vt:lpstr>T_ES_40</vt:lpstr>
      <vt:lpstr>T_ES_41</vt:lpstr>
      <vt:lpstr>T_ES_42</vt:lpstr>
      <vt:lpstr>T_ES_43</vt:lpstr>
      <vt:lpstr>T_ES_44</vt:lpstr>
      <vt:lpstr>T_ES_45</vt:lpstr>
      <vt:lpstr>T_ES_46</vt:lpstr>
      <vt:lpstr>T_ES_47</vt:lpstr>
      <vt:lpstr>T_ES_48</vt:lpstr>
      <vt:lpstr>T_ES_49</vt:lpstr>
      <vt:lpstr>T_ES_5</vt:lpstr>
      <vt:lpstr>T_ES_50</vt:lpstr>
      <vt:lpstr>T_ES_51</vt:lpstr>
      <vt:lpstr>T_ES_52</vt:lpstr>
      <vt:lpstr>T_ES_53</vt:lpstr>
      <vt:lpstr>T_ES_54</vt:lpstr>
      <vt:lpstr>T_ES_55</vt:lpstr>
      <vt:lpstr>T_ES_56</vt:lpstr>
      <vt:lpstr>T_ES_57</vt:lpstr>
      <vt:lpstr>T_ES_58</vt:lpstr>
      <vt:lpstr>T_ES_6</vt:lpstr>
      <vt:lpstr>T_ES_7</vt:lpstr>
      <vt:lpstr>T_ES_8</vt:lpstr>
      <vt:lpstr>T_ES_9</vt:lpstr>
      <vt:lpstr>T_Exclude_MI</vt:lpstr>
      <vt:lpstr>T_Exo_Reaction</vt:lpstr>
      <vt:lpstr>T_Exp_Joint</vt:lpstr>
      <vt:lpstr>T_ExtHeat</vt:lpstr>
      <vt:lpstr>T_Failure_T_Input</vt:lpstr>
      <vt:lpstr>T_Failure_T_Units</vt:lpstr>
      <vt:lpstr>T_Feed_Temp_Input</vt:lpstr>
      <vt:lpstr>T_Feed_Temp_Units</vt:lpstr>
      <vt:lpstr>T_Feed_Type</vt:lpstr>
      <vt:lpstr>T_Feedrate_Input</vt:lpstr>
      <vt:lpstr>T_Feedrate_Units</vt:lpstr>
      <vt:lpstr>T_FEI_Review</vt:lpstr>
      <vt:lpstr>T_FEI_Review_Date</vt:lpstr>
      <vt:lpstr>T_Fill</vt:lpstr>
      <vt:lpstr>T_Fill2</vt:lpstr>
      <vt:lpstr>T_Fire</vt:lpstr>
      <vt:lpstr>T_FiredEq_ProcessArea</vt:lpstr>
      <vt:lpstr>T_Flam_Adjacent_Input</vt:lpstr>
      <vt:lpstr>T_Flam_Adjacent_Units</vt:lpstr>
      <vt:lpstr>T_Flam_in_Area_Input</vt:lpstr>
      <vt:lpstr>T_Flam_in_Area_Units</vt:lpstr>
      <vt:lpstr>T_Flanges</vt:lpstr>
      <vt:lpstr>T_Frequent_Turnaround</vt:lpstr>
      <vt:lpstr>T_Geometry</vt:lpstr>
      <vt:lpstr>T_Heating_Media_Name</vt:lpstr>
      <vt:lpstr>T_Heating_P_Input</vt:lpstr>
      <vt:lpstr>T_Heating_P_Units</vt:lpstr>
      <vt:lpstr>T_Heating_Relief_Input</vt:lpstr>
      <vt:lpstr>T_Heating_T_Input</vt:lpstr>
      <vt:lpstr>T_Heating_T_Units</vt:lpstr>
      <vt:lpstr>T_High_Speed</vt:lpstr>
      <vt:lpstr>T_HighMix_Corr_T</vt:lpstr>
      <vt:lpstr>T_HotOil_Quantity</vt:lpstr>
      <vt:lpstr>T_HT_Area_Input</vt:lpstr>
      <vt:lpstr>T_HT_Area_Units</vt:lpstr>
      <vt:lpstr>T_Inert_Atm</vt:lpstr>
      <vt:lpstr>T_Inert_FeedRate_Input</vt:lpstr>
      <vt:lpstr>T_Inert_FeedRate_Units</vt:lpstr>
      <vt:lpstr>T_Input</vt:lpstr>
      <vt:lpstr>T_Insulation</vt:lpstr>
      <vt:lpstr>T_Insulation_Factor</vt:lpstr>
      <vt:lpstr>T_Intended_Reaction</vt:lpstr>
      <vt:lpstr>T_Inventory_Input</vt:lpstr>
      <vt:lpstr>T_Inventory_Units</vt:lpstr>
      <vt:lpstr>T_K_Material</vt:lpstr>
      <vt:lpstr>T_Layout</vt:lpstr>
      <vt:lpstr>T_Limiting_Rate</vt:lpstr>
      <vt:lpstr>T_List</vt:lpstr>
      <vt:lpstr>T_Location</vt:lpstr>
      <vt:lpstr>T_LowMix_Corr_T</vt:lpstr>
      <vt:lpstr>T_Mass_Equip_Input</vt:lpstr>
      <vt:lpstr>T_Mass_Equip_Units</vt:lpstr>
      <vt:lpstr>T_Matl_Construction</vt:lpstr>
      <vt:lpstr>T_MAWP_Input</vt:lpstr>
      <vt:lpstr>T_MAWP_Units</vt:lpstr>
      <vt:lpstr>T_Max_Feed_P_Input</vt:lpstr>
      <vt:lpstr>T_Max_Feed_P_Units</vt:lpstr>
      <vt:lpstr>T_Max_Inert_P_Input</vt:lpstr>
      <vt:lpstr>T_Max_Inert_P_Units</vt:lpstr>
      <vt:lpstr>T_MisLoad</vt:lpstr>
      <vt:lpstr>T_Motor_Input</vt:lpstr>
      <vt:lpstr>T_Motor_Units</vt:lpstr>
      <vt:lpstr>T_Occ_Bldg_Cntr_Input</vt:lpstr>
      <vt:lpstr>T_Occ_Bldg_Cntr_Relief_Input</vt:lpstr>
      <vt:lpstr>T_Occ_Bldg_Cntr_Relief_Units</vt:lpstr>
      <vt:lpstr>T_Occ_Bldg_Cntr_Units</vt:lpstr>
      <vt:lpstr>T_Occ_Bldg_Input</vt:lpstr>
      <vt:lpstr>T_Occ_Bldg_Name</vt:lpstr>
      <vt:lpstr>T_Occ_Bldg_Relief_Input</vt:lpstr>
      <vt:lpstr>T_Occ_Bldg_Relief_Units</vt:lpstr>
      <vt:lpstr>T_Occ_Bldg_Units</vt:lpstr>
      <vt:lpstr>T_Occ_Bldg2_Cntr_Input</vt:lpstr>
      <vt:lpstr>T_Occ_Bldg2_Cntr_Relief_Input</vt:lpstr>
      <vt:lpstr>T_Occ_Bldg2_Cntr_Relief_Units</vt:lpstr>
      <vt:lpstr>T_Occ_Bldg2_Cntr_Units</vt:lpstr>
      <vt:lpstr>T_Occ_Bldg2_Direction</vt:lpstr>
      <vt:lpstr>T_Occ_Bldg2_Input</vt:lpstr>
      <vt:lpstr>T_Occ_Bldg2_Name</vt:lpstr>
      <vt:lpstr>T_Occ_Bldg2_Relief_Direction</vt:lpstr>
      <vt:lpstr>T_Occ_Bldg2_Relief_Input</vt:lpstr>
      <vt:lpstr>T_Occ_Bldg2_Relief_Units</vt:lpstr>
      <vt:lpstr>T_Occ_Bldg2_Units</vt:lpstr>
      <vt:lpstr>T_OccBldg_Elevation_Input</vt:lpstr>
      <vt:lpstr>T_OccBldg_Elevation_Units</vt:lpstr>
      <vt:lpstr>T_OccBldg2_Elevation_Input</vt:lpstr>
      <vt:lpstr>T_OccBldg2_Elevation_Units</vt:lpstr>
      <vt:lpstr>T_Occupants_atRisk</vt:lpstr>
      <vt:lpstr>T_Occupants_atRisk2</vt:lpstr>
      <vt:lpstr>T_OD_Review</vt:lpstr>
      <vt:lpstr>T_OD_Review_Date</vt:lpstr>
      <vt:lpstr>T_Offsite_Area_Fraction</vt:lpstr>
      <vt:lpstr>T_Offsite_Building_Type</vt:lpstr>
      <vt:lpstr>T_Offsite_PD1</vt:lpstr>
      <vt:lpstr>T_Offsite_PD2</vt:lpstr>
      <vt:lpstr>T_Op_Number</vt:lpstr>
      <vt:lpstr>T_Operating_Time</vt:lpstr>
      <vt:lpstr>T_Outdoor_PD</vt:lpstr>
      <vt:lpstr>T_Overflow_Location</vt:lpstr>
      <vt:lpstr>T_P_Input</vt:lpstr>
      <vt:lpstr>T_P_Units</vt:lpstr>
      <vt:lpstr>T_Pad_Name</vt:lpstr>
      <vt:lpstr>T_Partipants</vt:lpstr>
      <vt:lpstr>T_Permits</vt:lpstr>
      <vt:lpstr>T_PFF_1</vt:lpstr>
      <vt:lpstr>T_PFF_10</vt:lpstr>
      <vt:lpstr>T_PFF_2</vt:lpstr>
      <vt:lpstr>T_PFF_3</vt:lpstr>
      <vt:lpstr>T_PFF_4</vt:lpstr>
      <vt:lpstr>T_PFF_5</vt:lpstr>
      <vt:lpstr>T_PFF_6</vt:lpstr>
      <vt:lpstr>T_PFF_7</vt:lpstr>
      <vt:lpstr>T_PFF_8</vt:lpstr>
      <vt:lpstr>T_PFF_9</vt:lpstr>
      <vt:lpstr>T_PID_Number</vt:lpstr>
      <vt:lpstr>T_Pipe_Length_Input</vt:lpstr>
      <vt:lpstr>T_Pipe_Length_Units</vt:lpstr>
      <vt:lpstr>T_Pipe_Vulnerable</vt:lpstr>
      <vt:lpstr>T_Plant_Section</vt:lpstr>
      <vt:lpstr>T_PoolFire_By</vt:lpstr>
      <vt:lpstr>T_PoolFire_Date</vt:lpstr>
      <vt:lpstr>T_Pooling</vt:lpstr>
      <vt:lpstr>T_Process</vt:lpstr>
      <vt:lpstr>T_Pseudo_Chem</vt:lpstr>
      <vt:lpstr>T_Public_Input</vt:lpstr>
      <vt:lpstr>T_Public_Relief_Input</vt:lpstr>
      <vt:lpstr>T_Public_Relief_Units</vt:lpstr>
      <vt:lpstr>T_Public_Units</vt:lpstr>
      <vt:lpstr>T_Public2_Input</vt:lpstr>
      <vt:lpstr>T_Public2_Units</vt:lpstr>
      <vt:lpstr>T_Pump_S_Input</vt:lpstr>
      <vt:lpstr>T_Pump_Type</vt:lpstr>
      <vt:lpstr>T_Pump_V_Input</vt:lpstr>
      <vt:lpstr>T_Pump_Valves</vt:lpstr>
      <vt:lpstr>T_Reactive_Only</vt:lpstr>
      <vt:lpstr>T_Regulatory_Tox</vt:lpstr>
      <vt:lpstr>T_Relief_Discharge_Location</vt:lpstr>
      <vt:lpstr>T_Relief_Discharge_Size_Input</vt:lpstr>
      <vt:lpstr>T_Relief_Discharge_Units</vt:lpstr>
      <vt:lpstr>T_Relief_Elevation_Input</vt:lpstr>
      <vt:lpstr>T_Relief_Elevation_Units</vt:lpstr>
      <vt:lpstr>T_Relief_Flowrate_Input</vt:lpstr>
      <vt:lpstr>T_Relief_Flowrate_Units</vt:lpstr>
      <vt:lpstr>T_Relief_Set_Input</vt:lpstr>
      <vt:lpstr>T_Relief_Set_Units</vt:lpstr>
      <vt:lpstr>T_Relief_Size_Input</vt:lpstr>
      <vt:lpstr>T_Relief_Size_Units</vt:lpstr>
      <vt:lpstr>T_Relief_Tag</vt:lpstr>
      <vt:lpstr>T_Relief_Type</vt:lpstr>
      <vt:lpstr>T_Remote_Start</vt:lpstr>
      <vt:lpstr>T_Report_NoIPL</vt:lpstr>
      <vt:lpstr>T_RS_1</vt:lpstr>
      <vt:lpstr>T_RS_10</vt:lpstr>
      <vt:lpstr>T_RS_11</vt:lpstr>
      <vt:lpstr>T_RS_12</vt:lpstr>
      <vt:lpstr>T_RS_13</vt:lpstr>
      <vt:lpstr>T_RS_14</vt:lpstr>
      <vt:lpstr>T_RS_15</vt:lpstr>
      <vt:lpstr>T_RS_16</vt:lpstr>
      <vt:lpstr>T_RS_17</vt:lpstr>
      <vt:lpstr>T_RS_18</vt:lpstr>
      <vt:lpstr>T_RS_19</vt:lpstr>
      <vt:lpstr>T_RS_2</vt:lpstr>
      <vt:lpstr>T_RS_20</vt:lpstr>
      <vt:lpstr>T_RS_21</vt:lpstr>
      <vt:lpstr>T_RS_22</vt:lpstr>
      <vt:lpstr>T_RS_23</vt:lpstr>
      <vt:lpstr>T_RS_24</vt:lpstr>
      <vt:lpstr>T_RS_25</vt:lpstr>
      <vt:lpstr>T_RS_26</vt:lpstr>
      <vt:lpstr>T_RS_27</vt:lpstr>
      <vt:lpstr>T_RS_28</vt:lpstr>
      <vt:lpstr>T_RS_29</vt:lpstr>
      <vt:lpstr>T_RS_3</vt:lpstr>
      <vt:lpstr>T_RS_30</vt:lpstr>
      <vt:lpstr>T_RS_31</vt:lpstr>
      <vt:lpstr>T_RS_32</vt:lpstr>
      <vt:lpstr>T_RS_33</vt:lpstr>
      <vt:lpstr>T_RS_34</vt:lpstr>
      <vt:lpstr>T_RS_35</vt:lpstr>
      <vt:lpstr>T_RS_36</vt:lpstr>
      <vt:lpstr>T_RS_37</vt:lpstr>
      <vt:lpstr>T_RS_38</vt:lpstr>
      <vt:lpstr>T_RS_39</vt:lpstr>
      <vt:lpstr>T_RS_4</vt:lpstr>
      <vt:lpstr>T_RS_40</vt:lpstr>
      <vt:lpstr>T_RS_41</vt:lpstr>
      <vt:lpstr>T_RS_42</vt:lpstr>
      <vt:lpstr>T_RS_43</vt:lpstr>
      <vt:lpstr>T_RS_44</vt:lpstr>
      <vt:lpstr>T_RS_45</vt:lpstr>
      <vt:lpstr>T_RS_46</vt:lpstr>
      <vt:lpstr>T_RS_47</vt:lpstr>
      <vt:lpstr>T_RS_48</vt:lpstr>
      <vt:lpstr>T_RS_49</vt:lpstr>
      <vt:lpstr>T_RS_5</vt:lpstr>
      <vt:lpstr>T_RS_50</vt:lpstr>
      <vt:lpstr>T_RS_51</vt:lpstr>
      <vt:lpstr>T_RS_52</vt:lpstr>
      <vt:lpstr>T_RS_53</vt:lpstr>
      <vt:lpstr>T_RS_54</vt:lpstr>
      <vt:lpstr>T_RS_55</vt:lpstr>
      <vt:lpstr>T_RS_56</vt:lpstr>
      <vt:lpstr>T_RS_57</vt:lpstr>
      <vt:lpstr>T_RS_58</vt:lpstr>
      <vt:lpstr>T_RS_6</vt:lpstr>
      <vt:lpstr>T_RS_7</vt:lpstr>
      <vt:lpstr>T_RS_8</vt:lpstr>
      <vt:lpstr>T_RS_9</vt:lpstr>
      <vt:lpstr>T_Rupture_10min</vt:lpstr>
      <vt:lpstr>T_Rupture_Time</vt:lpstr>
      <vt:lpstr>T_Rx_Incompatible</vt:lpstr>
      <vt:lpstr>T_Rx_MisLoading</vt:lpstr>
      <vt:lpstr>T_Rx_MisLoading_Factor</vt:lpstr>
      <vt:lpstr>T_Rx_Pooling</vt:lpstr>
      <vt:lpstr>T_Rx_Pooling_Factor</vt:lpstr>
      <vt:lpstr>T_Save_Date</vt:lpstr>
      <vt:lpstr>T_Screwed_Connect</vt:lpstr>
      <vt:lpstr>T_Seal_Type</vt:lpstr>
      <vt:lpstr>T_Second_Phase</vt:lpstr>
      <vt:lpstr>T_SecPhase_1</vt:lpstr>
      <vt:lpstr>T_SecPhase_2</vt:lpstr>
      <vt:lpstr>T_SecPhase_3</vt:lpstr>
      <vt:lpstr>T_SecPhase_4</vt:lpstr>
      <vt:lpstr>T_SecPhase_5</vt:lpstr>
      <vt:lpstr>T_Sight_Glass</vt:lpstr>
      <vt:lpstr>T_Soil_Remediation</vt:lpstr>
      <vt:lpstr>T_Storage</vt:lpstr>
      <vt:lpstr>T_Sur_Area_Input</vt:lpstr>
      <vt:lpstr>T_Sur_Area_Units</vt:lpstr>
      <vt:lpstr>T_T_Input</vt:lpstr>
      <vt:lpstr>T_T_Units</vt:lpstr>
      <vt:lpstr>T_TCSupport</vt:lpstr>
      <vt:lpstr>T_Tracing</vt:lpstr>
      <vt:lpstr>T_Tube_D_Input</vt:lpstr>
      <vt:lpstr>T_Tube_D_Units</vt:lpstr>
      <vt:lpstr>T_Tube_No</vt:lpstr>
      <vt:lpstr>T_U_Input</vt:lpstr>
      <vt:lpstr>T_U_Units</vt:lpstr>
      <vt:lpstr>T_Units</vt:lpstr>
      <vt:lpstr>T_Vacuum_Rated</vt:lpstr>
      <vt:lpstr>T_Ventilation_Rate</vt:lpstr>
      <vt:lpstr>T_Ventilation_Rate2</vt:lpstr>
      <vt:lpstr>T_Ventilation_ShutOff</vt:lpstr>
      <vt:lpstr>T_Ventilation_ShutOff2</vt:lpstr>
      <vt:lpstr>T_Vibration</vt:lpstr>
      <vt:lpstr>T_Viscous</vt:lpstr>
      <vt:lpstr>T_Volume_Input</vt:lpstr>
      <vt:lpstr>T_Volume_Units</vt:lpstr>
      <vt:lpstr>T_Waterway</vt:lpstr>
      <vt:lpstr>T_WeakSeam_Roof</vt:lpstr>
      <vt:lpstr>T_WorkArea_Distance_Input</vt:lpstr>
      <vt:lpstr>T_WorkArea_Distance_Units</vt:lpstr>
      <vt:lpstr>T_WorkArea_Distance2_Input</vt:lpstr>
      <vt:lpstr>T_WorkArea_Distance2_Units</vt:lpstr>
      <vt:lpstr>T_WorkArea_Elevation_Input</vt:lpstr>
      <vt:lpstr>T_WorkArea_Elevation_Units</vt:lpstr>
      <vt:lpstr>T_WtFract_2</vt:lpstr>
      <vt:lpstr>T_WtFract_3</vt:lpstr>
      <vt:lpstr>T_WtFract_4</vt:lpstr>
      <vt:lpstr>T_WtFract_5</vt:lpstr>
      <vt:lpstr>T_Zone1_Input</vt:lpstr>
      <vt:lpstr>T_Zone1_Units</vt:lpstr>
      <vt:lpstr>Table_TF</vt:lpstr>
      <vt:lpstr>Tad_max</vt:lpstr>
      <vt:lpstr>Tank_Geometry_List</vt:lpstr>
      <vt:lpstr>Tank_Mass1</vt:lpstr>
      <vt:lpstr>Tank_Mass2</vt:lpstr>
      <vt:lpstr>Tank_Mass3</vt:lpstr>
      <vt:lpstr>Tank_Sur1</vt:lpstr>
      <vt:lpstr>Tank_Sur2</vt:lpstr>
      <vt:lpstr>Tank_Sur3</vt:lpstr>
      <vt:lpstr>Target_Factor_Table</vt:lpstr>
      <vt:lpstr>TB_N</vt:lpstr>
      <vt:lpstr>TBp</vt:lpstr>
      <vt:lpstr>TBp_Aerosol</vt:lpstr>
      <vt:lpstr>TBp_Aerosol_Overfill</vt:lpstr>
      <vt:lpstr>TBp_Aerosol_RupFire</vt:lpstr>
      <vt:lpstr>TBp_Aerosol_RupPeak</vt:lpstr>
      <vt:lpstr>TBp_Aerosol_RupSat</vt:lpstr>
      <vt:lpstr>TBp_Aerosol_Rupture</vt:lpstr>
      <vt:lpstr>TBp_afterFlash</vt:lpstr>
      <vt:lpstr>TBp_ReliefFlash</vt:lpstr>
      <vt:lpstr>TCSupport</vt:lpstr>
      <vt:lpstr>Tdet</vt:lpstr>
      <vt:lpstr>Tdet_C</vt:lpstr>
      <vt:lpstr>Tdet_U</vt:lpstr>
      <vt:lpstr>Team_Selection</vt:lpstr>
      <vt:lpstr>Temp_1</vt:lpstr>
      <vt:lpstr>Temp_2</vt:lpstr>
      <vt:lpstr>Test_Method</vt:lpstr>
      <vt:lpstr>Test_Method_C</vt:lpstr>
      <vt:lpstr>Test_Method_U</vt:lpstr>
      <vt:lpstr>TF_User</vt:lpstr>
      <vt:lpstr>TFCorrect</vt:lpstr>
      <vt:lpstr>TFCorrect_Table</vt:lpstr>
      <vt:lpstr>Thermal_Expand</vt:lpstr>
      <vt:lpstr>Thermal_Expand_DT</vt:lpstr>
      <vt:lpstr>Thermal_Expand_Length</vt:lpstr>
      <vt:lpstr>Thermal_Liquid_High</vt:lpstr>
      <vt:lpstr>Thermal_Liquid_Low</vt:lpstr>
      <vt:lpstr>Thermal_Liquid_Severe</vt:lpstr>
      <vt:lpstr>Thermal_Vapor_High</vt:lpstr>
      <vt:lpstr>Thermal_Vapor_Severe</vt:lpstr>
      <vt:lpstr>ThermRad_Screening_Limit</vt:lpstr>
      <vt:lpstr>This_Version</vt:lpstr>
      <vt:lpstr>Time_HTRelief_atHigh</vt:lpstr>
      <vt:lpstr>Time_HTRelief_atLow</vt:lpstr>
      <vt:lpstr>Time_MERelief_atHigh</vt:lpstr>
      <vt:lpstr>Time_MERelief_atLow</vt:lpstr>
      <vt:lpstr>Time_to_Event</vt:lpstr>
      <vt:lpstr>Time_to_Event_Units</vt:lpstr>
      <vt:lpstr>Time_to_Rupture</vt:lpstr>
      <vt:lpstr>Time_to_Rupture_Table</vt:lpstr>
      <vt:lpstr>Tinit</vt:lpstr>
      <vt:lpstr>TM_Feed</vt:lpstr>
      <vt:lpstr>TM_N</vt:lpstr>
      <vt:lpstr>TM_U</vt:lpstr>
      <vt:lpstr>Tmax</vt:lpstr>
      <vt:lpstr>Tmax_ME_Continuous</vt:lpstr>
      <vt:lpstr>Tmax_MechEng</vt:lpstr>
      <vt:lpstr>Tmin</vt:lpstr>
      <vt:lpstr>Tmisload_max</vt:lpstr>
      <vt:lpstr>TMR</vt:lpstr>
      <vt:lpstr>TNR</vt:lpstr>
      <vt:lpstr>TNR_Amb</vt:lpstr>
      <vt:lpstr>TNR_Feed</vt:lpstr>
      <vt:lpstr>TNR_HT</vt:lpstr>
      <vt:lpstr>TNR_ME</vt:lpstr>
      <vt:lpstr>TNR_Relief</vt:lpstr>
      <vt:lpstr>TNR_T</vt:lpstr>
      <vt:lpstr>TNR_withCoolant</vt:lpstr>
      <vt:lpstr>TNT_A</vt:lpstr>
      <vt:lpstr>TNT_B</vt:lpstr>
      <vt:lpstr>TNT_C</vt:lpstr>
      <vt:lpstr>Total_AQ</vt:lpstr>
      <vt:lpstr>Total_AQ_Drain</vt:lpstr>
      <vt:lpstr>Total_AQ_ExtremeLarge</vt:lpstr>
      <vt:lpstr>Total_AQ_ExtremeLarge_Top</vt:lpstr>
      <vt:lpstr>Total_AQ_Fire</vt:lpstr>
      <vt:lpstr>Total_AQ_from_InertFeed</vt:lpstr>
      <vt:lpstr>Total_AQ_Heat_Transfer</vt:lpstr>
      <vt:lpstr>Total_AQ_Mechanical</vt:lpstr>
      <vt:lpstr>Total_AQ_Medium</vt:lpstr>
      <vt:lpstr>Total_AQ_Medium_Top</vt:lpstr>
      <vt:lpstr>Total_AQ_Overfill</vt:lpstr>
      <vt:lpstr>Total_AQ_Reactive</vt:lpstr>
      <vt:lpstr>Total_AQ_Reactive_Catalyst</vt:lpstr>
      <vt:lpstr>Total_AQ_Reactive_MisLoading</vt:lpstr>
      <vt:lpstr>Total_AQ_Reactive_Pooling</vt:lpstr>
      <vt:lpstr>Total_AQ_Reactive_withFire</vt:lpstr>
      <vt:lpstr>Total_AQ_Relief</vt:lpstr>
      <vt:lpstr>Total_AQ_Relief_Top</vt:lpstr>
      <vt:lpstr>Total_AQ_Seal</vt:lpstr>
      <vt:lpstr>Total_AQ_Small</vt:lpstr>
      <vt:lpstr>Total_AQ_Small_Top</vt:lpstr>
      <vt:lpstr>Total_AQ_Top</vt:lpstr>
      <vt:lpstr>Total_AQ_UserHole</vt:lpstr>
      <vt:lpstr>Total_AQ_VeryLarge</vt:lpstr>
      <vt:lpstr>Total_AQ_VeryLarge_Top</vt:lpstr>
      <vt:lpstr>Total_AQ_VerySmall</vt:lpstr>
      <vt:lpstr>Total_AQ_VerySmall_Top</vt:lpstr>
      <vt:lpstr>Total_Flash</vt:lpstr>
      <vt:lpstr>Total_Leak_Solids</vt:lpstr>
      <vt:lpstr>Toxic_Limit</vt:lpstr>
      <vt:lpstr>Tpeak_atBurst</vt:lpstr>
      <vt:lpstr>Tpeak_atRelief</vt:lpstr>
      <vt:lpstr>TPool_RupFire</vt:lpstr>
      <vt:lpstr>TPool_RupPeak</vt:lpstr>
      <vt:lpstr>TPool_RupSat</vt:lpstr>
      <vt:lpstr>TPool_Rupture</vt:lpstr>
      <vt:lpstr>Tpool1_Backflow</vt:lpstr>
      <vt:lpstr>Tpool1_Drain</vt:lpstr>
      <vt:lpstr>Tpool1_ExtremeLarge</vt:lpstr>
      <vt:lpstr>Tpool1_FullBore</vt:lpstr>
      <vt:lpstr>Tpool1_Medium</vt:lpstr>
      <vt:lpstr>Tpool1_Overfill</vt:lpstr>
      <vt:lpstr>Tpool1_Relief</vt:lpstr>
      <vt:lpstr>Tpool1_Seal</vt:lpstr>
      <vt:lpstr>Tpool1_Small</vt:lpstr>
      <vt:lpstr>Tpool1_User</vt:lpstr>
      <vt:lpstr>Tpool1_UserHole</vt:lpstr>
      <vt:lpstr>Tpool1_VeryLarge</vt:lpstr>
      <vt:lpstr>Tpool1_VerySmall</vt:lpstr>
      <vt:lpstr>Tpool2_Backflow</vt:lpstr>
      <vt:lpstr>Tpool2_Drain</vt:lpstr>
      <vt:lpstr>Tpool2_ExtremeLarge</vt:lpstr>
      <vt:lpstr>Tpool2_FullBore</vt:lpstr>
      <vt:lpstr>Tpool2_Medium</vt:lpstr>
      <vt:lpstr>Tpool2_Overfill</vt:lpstr>
      <vt:lpstr>Tpool2_Relief</vt:lpstr>
      <vt:lpstr>Tpool2_Seal</vt:lpstr>
      <vt:lpstr>Tpool2_Small</vt:lpstr>
      <vt:lpstr>Tpool2_User</vt:lpstr>
      <vt:lpstr>Tpool2_UserHole</vt:lpstr>
      <vt:lpstr>Tpool2_VeryLarge</vt:lpstr>
      <vt:lpstr>Tpool2_VerySmall</vt:lpstr>
      <vt:lpstr>Tracing</vt:lpstr>
      <vt:lpstr>TRate_List</vt:lpstr>
      <vt:lpstr>Trial_Gain</vt:lpstr>
      <vt:lpstr>Tsat</vt:lpstr>
      <vt:lpstr>Tube_D</vt:lpstr>
      <vt:lpstr>Tube_D_Input</vt:lpstr>
      <vt:lpstr>Tube_D_Units</vt:lpstr>
      <vt:lpstr>Tube_No</vt:lpstr>
      <vt:lpstr>Two_Phase_1</vt:lpstr>
      <vt:lpstr>Two_Phase_2</vt:lpstr>
      <vt:lpstr>Two_Phase_3</vt:lpstr>
      <vt:lpstr>Two_Phase_4</vt:lpstr>
      <vt:lpstr>Two_Phase_5</vt:lpstr>
      <vt:lpstr>Two_Phase_Limit</vt:lpstr>
      <vt:lpstr>U</vt:lpstr>
      <vt:lpstr>U_droplet</vt:lpstr>
      <vt:lpstr>U_Input</vt:lpstr>
      <vt:lpstr>U_List</vt:lpstr>
      <vt:lpstr>U_Units</vt:lpstr>
      <vt:lpstr>UFL_C</vt:lpstr>
      <vt:lpstr>UFL_Fraction_Limit</vt:lpstr>
      <vt:lpstr>UFL_N</vt:lpstr>
      <vt:lpstr>Units</vt:lpstr>
      <vt:lpstr>User_Cause</vt:lpstr>
      <vt:lpstr>User_Cause_Desc</vt:lpstr>
      <vt:lpstr>User_Clear1</vt:lpstr>
      <vt:lpstr>User_Cons_NA</vt:lpstr>
      <vt:lpstr>User_Consequence_Program</vt:lpstr>
      <vt:lpstr>User_Consequence_User</vt:lpstr>
      <vt:lpstr>User_Defined_Calcs</vt:lpstr>
      <vt:lpstr>User_Defined_D</vt:lpstr>
      <vt:lpstr>User_Defined_Input</vt:lpstr>
      <vt:lpstr>User_Defined_Input_Units</vt:lpstr>
      <vt:lpstr>User_Defined_Input2</vt:lpstr>
      <vt:lpstr>User_Defined_Input2_Units</vt:lpstr>
      <vt:lpstr>User_Defined_Input3</vt:lpstr>
      <vt:lpstr>User_Defined_Input3_Units</vt:lpstr>
      <vt:lpstr>User_Defined_LeakRate</vt:lpstr>
      <vt:lpstr>User_Defined_P</vt:lpstr>
      <vt:lpstr>User_Defined_T</vt:lpstr>
      <vt:lpstr>User_Defined_VaporRate</vt:lpstr>
      <vt:lpstr>User_Dust_Prop</vt:lpstr>
      <vt:lpstr>User_EF_Desc</vt:lpstr>
      <vt:lpstr>User_EF_Detail</vt:lpstr>
      <vt:lpstr>User_Equip_Tag</vt:lpstr>
      <vt:lpstr>User_Equip_Type</vt:lpstr>
      <vt:lpstr>User_Hole_In</vt:lpstr>
      <vt:lpstr>User_Hole_Out</vt:lpstr>
      <vt:lpstr>User_Hole_Units_In</vt:lpstr>
      <vt:lpstr>User_IEF</vt:lpstr>
      <vt:lpstr>User_Incident</vt:lpstr>
      <vt:lpstr>User_Incident_Entered</vt:lpstr>
      <vt:lpstr>User_Key_Chemical</vt:lpstr>
      <vt:lpstr>User_Mix_Prop</vt:lpstr>
      <vt:lpstr>User_Mix_Prop2</vt:lpstr>
      <vt:lpstr>User_Outcome</vt:lpstr>
      <vt:lpstr>User_Outcome_Desc</vt:lpstr>
      <vt:lpstr>User_Outcome_Desc_User</vt:lpstr>
      <vt:lpstr>User_PhysProps</vt:lpstr>
      <vt:lpstr>User_PI</vt:lpstr>
      <vt:lpstr>User_PI_Desc</vt:lpstr>
      <vt:lpstr>User_PI_Detail</vt:lpstr>
      <vt:lpstr>User_Plant_Section</vt:lpstr>
      <vt:lpstr>User_POE</vt:lpstr>
      <vt:lpstr>User_POE_Desc</vt:lpstr>
      <vt:lpstr>User_POE_Entered</vt:lpstr>
      <vt:lpstr>User_POE_Overwritten</vt:lpstr>
      <vt:lpstr>User_Press_In</vt:lpstr>
      <vt:lpstr>User_Press_Out</vt:lpstr>
      <vt:lpstr>User_Press_Units_In</vt:lpstr>
      <vt:lpstr>User_Properties</vt:lpstr>
      <vt:lpstr>User_Rate_In</vt:lpstr>
      <vt:lpstr>User_Rate_Out</vt:lpstr>
      <vt:lpstr>User_Rate_Units_In</vt:lpstr>
      <vt:lpstr>User_Release_Calcs</vt:lpstr>
      <vt:lpstr>User_Release_Calcs_User</vt:lpstr>
      <vt:lpstr>User_Scenario_Type</vt:lpstr>
      <vt:lpstr>User_TEF</vt:lpstr>
      <vt:lpstr>User_Temp_In</vt:lpstr>
      <vt:lpstr>User_Temp_Out</vt:lpstr>
      <vt:lpstr>User_Temp_Units_In</vt:lpstr>
      <vt:lpstr>User_TF</vt:lpstr>
      <vt:lpstr>User_Units_In</vt:lpstr>
      <vt:lpstr>User_Units_Out</vt:lpstr>
      <vt:lpstr>User_Value_In</vt:lpstr>
      <vt:lpstr>User_Value_Out</vt:lpstr>
      <vt:lpstr>UserHole_HD2</vt:lpstr>
      <vt:lpstr>UserHole_HD3</vt:lpstr>
      <vt:lpstr>Vacuum_Rated</vt:lpstr>
      <vt:lpstr>Vap_C</vt:lpstr>
      <vt:lpstr>Vap_C_atTBp</vt:lpstr>
      <vt:lpstr>Vap_Pres_A_N</vt:lpstr>
      <vt:lpstr>Vap_Pres_B_N</vt:lpstr>
      <vt:lpstr>Vap_Pres_C_N</vt:lpstr>
      <vt:lpstr>Vap_rho</vt:lpstr>
      <vt:lpstr>Vap_rho_atAmbient</vt:lpstr>
      <vt:lpstr>Vap_rho_atTBp</vt:lpstr>
      <vt:lpstr>Vapor_Composition__Key</vt:lpstr>
      <vt:lpstr>Vapor_Incident_Fire</vt:lpstr>
      <vt:lpstr>Vapor_Incident_HT</vt:lpstr>
      <vt:lpstr>Vapor_Incident_ME</vt:lpstr>
      <vt:lpstr>Vapor_Incident_Rx</vt:lpstr>
      <vt:lpstr>Vapor_Incident_Rx_Cat</vt:lpstr>
      <vt:lpstr>Vapor_Incident_Rx_Fire</vt:lpstr>
      <vt:lpstr>Vapor_Incident_Rx_ML</vt:lpstr>
      <vt:lpstr>Vapor_Incident_Rx_Pool</vt:lpstr>
      <vt:lpstr>VCE_BST_Coeff</vt:lpstr>
      <vt:lpstr>VCE_BST_Coeff_HT</vt:lpstr>
      <vt:lpstr>VCE_BST_Exp</vt:lpstr>
      <vt:lpstr>VCE_BST_Exp_HT</vt:lpstr>
      <vt:lpstr>VCE_BST_Limit</vt:lpstr>
      <vt:lpstr>VCE_BST_Limit_HT</vt:lpstr>
      <vt:lpstr>VCE_Efficiency</vt:lpstr>
      <vt:lpstr>VCE_Efficiency_HT</vt:lpstr>
      <vt:lpstr>VCE_High_Dist</vt:lpstr>
      <vt:lpstr>VCE_HighTotal</vt:lpstr>
      <vt:lpstr>VCE_Low_Dist</vt:lpstr>
      <vt:lpstr>VCE_LowTotal</vt:lpstr>
      <vt:lpstr>VCE_R_1psi</vt:lpstr>
      <vt:lpstr>VCE_R_1psi_HT</vt:lpstr>
      <vt:lpstr>Vent_List</vt:lpstr>
      <vt:lpstr>Vent_Nat</vt:lpstr>
      <vt:lpstr>Vent_Release</vt:lpstr>
      <vt:lpstr>Ventilation_Rate</vt:lpstr>
      <vt:lpstr>Ventilation_Rate2</vt:lpstr>
      <vt:lpstr>Ventilation_ShutOff</vt:lpstr>
      <vt:lpstr>Ventilation_ShutOff2</vt:lpstr>
      <vt:lpstr>Version</vt:lpstr>
      <vt:lpstr>VeryLarge_HD2</vt:lpstr>
      <vt:lpstr>VeryLarge_HD3</vt:lpstr>
      <vt:lpstr>VeryLarge_Top_HD2</vt:lpstr>
      <vt:lpstr>VeryLarge_Top_HD3</vt:lpstr>
      <vt:lpstr>VerySmall_HD2</vt:lpstr>
      <vt:lpstr>VerySmall_HD3</vt:lpstr>
      <vt:lpstr>VerySmall_Top_HD2</vt:lpstr>
      <vt:lpstr>VerySmall_Top_HD3</vt:lpstr>
      <vt:lpstr>Vibration</vt:lpstr>
      <vt:lpstr>Viscous</vt:lpstr>
      <vt:lpstr>Vol_List</vt:lpstr>
      <vt:lpstr>Volume</vt:lpstr>
      <vt:lpstr>Volume_Input</vt:lpstr>
      <vt:lpstr>Volume_Units</vt:lpstr>
      <vt:lpstr>VP_1</vt:lpstr>
      <vt:lpstr>VP_2</vt:lpstr>
      <vt:lpstr>VP_A</vt:lpstr>
      <vt:lpstr>VP_A_C</vt:lpstr>
      <vt:lpstr>VP_B</vt:lpstr>
      <vt:lpstr>VP_B_C</vt:lpstr>
      <vt:lpstr>VP_C</vt:lpstr>
      <vt:lpstr>VP_C_C</vt:lpstr>
      <vt:lpstr>VP_Data_Units</vt:lpstr>
      <vt:lpstr>VPHT_A</vt:lpstr>
      <vt:lpstr>VPHT_B</vt:lpstr>
      <vt:lpstr>VPHT_C</vt:lpstr>
      <vt:lpstr>WaterLimit_ExtremeHigh_Environ</vt:lpstr>
      <vt:lpstr>WaterLimit_High_Environ</vt:lpstr>
      <vt:lpstr>WaterLimit_Low_Environ</vt:lpstr>
      <vt:lpstr>WaterLimit_Moderate_Environ</vt:lpstr>
      <vt:lpstr>WaterLimit_VeryHigh_Environ</vt:lpstr>
      <vt:lpstr>Waterway</vt:lpstr>
      <vt:lpstr>WeakSeam_Roof</vt:lpstr>
      <vt:lpstr>WFeed_1</vt:lpstr>
      <vt:lpstr>WFeed_2</vt:lpstr>
      <vt:lpstr>WFeed_3</vt:lpstr>
      <vt:lpstr>WFeed_4</vt:lpstr>
      <vt:lpstr>WFeed_5</vt:lpstr>
      <vt:lpstr>Wind</vt:lpstr>
      <vt:lpstr>Wind_Effective</vt:lpstr>
      <vt:lpstr>Wind_Indoor</vt:lpstr>
      <vt:lpstr>Wind_Night</vt:lpstr>
      <vt:lpstr>Wind_Relief</vt:lpstr>
      <vt:lpstr>WorkArea_Distance</vt:lpstr>
      <vt:lpstr>WorkArea_Distance_Input</vt:lpstr>
      <vt:lpstr>WorkArea_Distance_Units</vt:lpstr>
      <vt:lpstr>WorkArea_Distance2</vt:lpstr>
      <vt:lpstr>WorkArea_Distance2_Input</vt:lpstr>
      <vt:lpstr>WorkArea_Distance2_Units</vt:lpstr>
      <vt:lpstr>WorkArea_Elevation</vt:lpstr>
      <vt:lpstr>WorkArea_Elevation_Input</vt:lpstr>
      <vt:lpstr>WorkArea_Elevation_Units</vt:lpstr>
      <vt:lpstr>Workbook_Comments</vt:lpstr>
      <vt:lpstr>Workbook_Review</vt:lpstr>
      <vt:lpstr>Workbook_Review_Date</vt:lpstr>
      <vt:lpstr>WtFract_2</vt:lpstr>
      <vt:lpstr>WtFract_2_C</vt:lpstr>
      <vt:lpstr>WtFract_3</vt:lpstr>
      <vt:lpstr>WtFract_3_C</vt:lpstr>
      <vt:lpstr>WtFract_4</vt:lpstr>
      <vt:lpstr>WtFract_4_C</vt:lpstr>
      <vt:lpstr>WtFract_5</vt:lpstr>
      <vt:lpstr>WtFract_5_C</vt:lpstr>
      <vt:lpstr>WtVap_2</vt:lpstr>
      <vt:lpstr>WtVap_3</vt:lpstr>
      <vt:lpstr>WtVap_4</vt:lpstr>
      <vt:lpstr>WtVap_5</vt:lpstr>
      <vt:lpstr>x_rel</vt:lpstr>
      <vt:lpstr>y_rel</vt:lpstr>
      <vt:lpstr>y_rel1</vt:lpstr>
      <vt:lpstr>y_rel2</vt:lpstr>
      <vt:lpstr>YN_List</vt:lpstr>
      <vt:lpstr>Zone_1</vt:lpstr>
      <vt:lpstr>Zone1_Input</vt:lpstr>
      <vt:lpstr>Zone1_Units</vt:lpstr>
    </vt:vector>
  </TitlesOfParts>
  <Company>CCPS and EPSC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RAST</dc:title>
  <dc:creator>Ken First</dc:creator>
  <cp:lastModifiedBy>Ken First</cp:lastModifiedBy>
  <cp:revision/>
  <cp:lastPrinted>2024-09-18T13:23:32Z</cp:lastPrinted>
  <dcterms:created xsi:type="dcterms:W3CDTF">2005-10-27T01:48:43Z</dcterms:created>
  <dcterms:modified xsi:type="dcterms:W3CDTF">2025-01-29T20:42:35Z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_Steward">
    <vt:lpwstr>Hersey K u248286</vt:lpwstr>
  </property>
  <property fmtid="{D5CDD505-2E9C-101B-9397-08002B2CF9AE}" pid="3" name="Retention_Period_Start_Date">
    <vt:filetime>2019-01-14T18:06:59Z</vt:filetime>
  </property>
  <property fmtid="{D5CDD505-2E9C-101B-9397-08002B2CF9AE}" pid="4" name="Source_C" linkTarget="Prop_Source_C">
    <vt:lpwstr>Source</vt:lpwstr>
  </property>
  <property fmtid="{D5CDD505-2E9C-101B-9397-08002B2CF9AE}" pid="5" name="Information_Classification">
    <vt:lpwstr/>
  </property>
  <property fmtid="{D5CDD505-2E9C-101B-9397-08002B2CF9AE}" pid="6" name="Record_Title_ID">
    <vt:lpwstr>72</vt:lpwstr>
  </property>
  <property fmtid="{D5CDD505-2E9C-101B-9397-08002B2CF9AE}" pid="7" name="Initial_Creation_Date">
    <vt:filetime>2013-02-28T18:44:43Z</vt:filetime>
  </property>
  <property fmtid="{D5CDD505-2E9C-101B-9397-08002B2CF9AE}" pid="8" name="Last_Reviewed_Date">
    <vt:lpwstr/>
  </property>
  <property fmtid="{D5CDD505-2E9C-101B-9397-08002B2CF9AE}" pid="9" name="Retention_Review_Frequency">
    <vt:lpwstr/>
  </property>
  <property fmtid="{D5CDD505-2E9C-101B-9397-08002B2CF9AE}" pid="10" name="_NewReviewCycle">
    <vt:lpwstr/>
  </property>
  <property fmtid="{D5CDD505-2E9C-101B-9397-08002B2CF9AE}" pid="11" name="Update_Footer">
    <vt:lpwstr>No</vt:lpwstr>
  </property>
  <property fmtid="{D5CDD505-2E9C-101B-9397-08002B2CF9AE}" pid="12" name="Radio_Button">
    <vt:lpwstr>RadioButton2</vt:lpwstr>
  </property>
  <property fmtid="{D5CDD505-2E9C-101B-9397-08002B2CF9AE}" pid="13" name="lqminfo">
    <vt:i4>1</vt:i4>
  </property>
  <property fmtid="{D5CDD505-2E9C-101B-9397-08002B2CF9AE}" pid="14" name="lqmsess">
    <vt:lpwstr>c21546ab-322b-4aff-a219-59f427b420b0</vt:lpwstr>
  </property>
  <property fmtid="{D5CDD505-2E9C-101B-9397-08002B2CF9AE}" pid="15" name="_IQPDocumentId">
    <vt:lpwstr>1a5bdb54-895c-45ea-bc5c-1ed1033ff14f</vt:lpwstr>
  </property>
  <property fmtid="{D5CDD505-2E9C-101B-9397-08002B2CF9AE}" pid="16" name="MSIP_Label_ab600bf3-54ae-4595-bfc0-4225f2e608de_Enabled">
    <vt:lpwstr>true</vt:lpwstr>
  </property>
  <property fmtid="{D5CDD505-2E9C-101B-9397-08002B2CF9AE}" pid="17" name="MSIP_Label_ab600bf3-54ae-4595-bfc0-4225f2e608de_SetDate">
    <vt:lpwstr>2024-09-19T17:38:41Z</vt:lpwstr>
  </property>
  <property fmtid="{D5CDD505-2E9C-101B-9397-08002B2CF9AE}" pid="18" name="MSIP_Label_ab600bf3-54ae-4595-bfc0-4225f2e608de_Method">
    <vt:lpwstr>Standard</vt:lpwstr>
  </property>
  <property fmtid="{D5CDD505-2E9C-101B-9397-08002B2CF9AE}" pid="19" name="MSIP_Label_ab600bf3-54ae-4595-bfc0-4225f2e608de_Name">
    <vt:lpwstr>ab600bf3-54ae-4595-bfc0-4225f2e608de</vt:lpwstr>
  </property>
  <property fmtid="{D5CDD505-2E9C-101B-9397-08002B2CF9AE}" pid="20" name="MSIP_Label_ab600bf3-54ae-4595-bfc0-4225f2e608de_SiteId">
    <vt:lpwstr>fbe62081-06d8-481d-baa0-34149cfefa5f</vt:lpwstr>
  </property>
  <property fmtid="{D5CDD505-2E9C-101B-9397-08002B2CF9AE}" pid="21" name="MSIP_Label_ab600bf3-54ae-4595-bfc0-4225f2e608de_ActionId">
    <vt:lpwstr>05034c7e-79c2-4c5c-8c9f-ed97a95db1f6</vt:lpwstr>
  </property>
  <property fmtid="{D5CDD505-2E9C-101B-9397-08002B2CF9AE}" pid="22" name="MSIP_Label_ab600bf3-54ae-4595-bfc0-4225f2e608de_ContentBits">
    <vt:lpwstr>0</vt:lpwstr>
  </property>
</Properties>
</file>